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ouffan\Desktop\Nubia Inversiones\Sigfe\Subtitulo 31\URS\"/>
    </mc:Choice>
  </mc:AlternateContent>
  <bookViews>
    <workbookView xWindow="0" yWindow="0" windowWidth="28800" windowHeight="12930" firstSheet="2" activeTab="9"/>
  </bookViews>
  <sheets>
    <sheet name="0561" sheetId="10" r:id="rId1"/>
    <sheet name="0562" sheetId="11" r:id="rId2"/>
    <sheet name="0563" sheetId="12" r:id="rId3"/>
    <sheet name="0564" sheetId="13" r:id="rId4"/>
    <sheet name="0565" sheetId="15" r:id="rId5"/>
    <sheet name="0566" sheetId="16" r:id="rId6"/>
    <sheet name="0567" sheetId="17" r:id="rId7"/>
    <sheet name="0568" sheetId="18" r:id="rId8"/>
    <sheet name="0569" sheetId="19" r:id="rId9"/>
    <sheet name="0570" sheetId="20" r:id="rId10"/>
    <sheet name="0571" sheetId="21" r:id="rId11"/>
    <sheet name="0572" sheetId="22" r:id="rId12"/>
    <sheet name="0573" sheetId="23" r:id="rId13"/>
    <sheet name="0574" sheetId="24" r:id="rId14"/>
    <sheet name="0575" sheetId="25" r:id="rId15"/>
    <sheet name="0576" sheetId="26" r:id="rId16"/>
  </sheets>
  <externalReferences>
    <externalReference r:id="rId17"/>
  </externalReferences>
  <definedNames>
    <definedName name="_xlnm._FilterDatabase" localSheetId="0" hidden="1">'0561'!$B$15:$BK$85</definedName>
    <definedName name="_xlnm._FilterDatabase" localSheetId="3" hidden="1">'0564'!$B$15:$AU$15</definedName>
    <definedName name="_xlnm._FilterDatabase" localSheetId="8" hidden="1">'0569'!$A$15:$OW$246</definedName>
    <definedName name="_xlnm._FilterDatabase" localSheetId="9" hidden="1">'0570'!$A$11:$FR$221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V144" i="22" l="1"/>
  <c r="BR144" i="22"/>
  <c r="BN144" i="22"/>
  <c r="BJ144" i="22"/>
  <c r="BF144" i="22"/>
  <c r="BB144" i="22"/>
  <c r="AX144" i="22"/>
  <c r="AT144" i="22"/>
  <c r="AP144" i="22"/>
  <c r="AL144" i="22"/>
  <c r="AH144" i="22"/>
  <c r="AD144" i="22"/>
  <c r="X144" i="22"/>
  <c r="W144" i="22"/>
  <c r="V144" i="22"/>
  <c r="U144" i="22"/>
  <c r="T144" i="22"/>
  <c r="S144" i="22"/>
  <c r="R144" i="22"/>
  <c r="Q144" i="22"/>
  <c r="P144" i="22"/>
  <c r="O144" i="22"/>
  <c r="N144" i="22"/>
  <c r="M144" i="22"/>
  <c r="L144" i="22"/>
  <c r="K144" i="22"/>
  <c r="J144" i="22"/>
  <c r="CA143" i="22"/>
  <c r="BZ143" i="22"/>
  <c r="Y143" i="22"/>
  <c r="BZ141" i="22"/>
  <c r="Y141" i="22"/>
  <c r="CA141" i="22" s="1"/>
  <c r="BZ140" i="22"/>
  <c r="CA140" i="22" s="1"/>
  <c r="Y140" i="22"/>
  <c r="BZ139" i="22"/>
  <c r="Y139" i="22"/>
  <c r="CA139" i="22" s="1"/>
  <c r="BZ138" i="22"/>
  <c r="CA138" i="22" s="1"/>
  <c r="Y138" i="22"/>
  <c r="BZ137" i="22"/>
  <c r="CA137" i="22" s="1"/>
  <c r="Y137" i="22"/>
  <c r="BZ136" i="22"/>
  <c r="CA136" i="22" s="1"/>
  <c r="Y136" i="22"/>
  <c r="BZ135" i="22"/>
  <c r="CA135" i="22" s="1"/>
  <c r="Y135" i="22"/>
  <c r="CA134" i="22"/>
  <c r="BZ134" i="22"/>
  <c r="Y134" i="22"/>
  <c r="BZ133" i="22"/>
  <c r="Y133" i="22"/>
  <c r="CA133" i="22" s="1"/>
  <c r="BZ132" i="22"/>
  <c r="CA132" i="22" s="1"/>
  <c r="Y132" i="22"/>
  <c r="BZ131" i="22"/>
  <c r="Y131" i="22"/>
  <c r="CA131" i="22" s="1"/>
  <c r="BZ130" i="22"/>
  <c r="CA130" i="22" s="1"/>
  <c r="Y130" i="22"/>
  <c r="BZ129" i="22"/>
  <c r="CA129" i="22" s="1"/>
  <c r="Y129" i="22"/>
  <c r="BZ128" i="22"/>
  <c r="CA128" i="22" s="1"/>
  <c r="Y128" i="22"/>
  <c r="BZ127" i="22"/>
  <c r="CA127" i="22" s="1"/>
  <c r="Y127" i="22"/>
  <c r="CA126" i="22"/>
  <c r="BZ126" i="22"/>
  <c r="Y126" i="22"/>
  <c r="BZ125" i="22"/>
  <c r="Y125" i="22"/>
  <c r="CA125" i="22" s="1"/>
  <c r="BZ124" i="22"/>
  <c r="CA124" i="22" s="1"/>
  <c r="Y124" i="22"/>
  <c r="BZ123" i="22"/>
  <c r="Y123" i="22"/>
  <c r="CA123" i="22" s="1"/>
  <c r="BZ122" i="22"/>
  <c r="CA122" i="22" s="1"/>
  <c r="Y122" i="22"/>
  <c r="BZ121" i="22"/>
  <c r="CA121" i="22" s="1"/>
  <c r="Y121" i="22"/>
  <c r="BZ120" i="22"/>
  <c r="CA120" i="22" s="1"/>
  <c r="Y120" i="22"/>
  <c r="BZ119" i="22"/>
  <c r="CA119" i="22" s="1"/>
  <c r="Y119" i="22"/>
  <c r="CA118" i="22"/>
  <c r="BZ118" i="22"/>
  <c r="Y118" i="22"/>
  <c r="Z117" i="22"/>
  <c r="BZ117" i="22" s="1"/>
  <c r="CA117" i="22" s="1"/>
  <c r="Y117" i="22"/>
  <c r="BZ116" i="22"/>
  <c r="CA116" i="22" s="1"/>
  <c r="Y116" i="22"/>
  <c r="BZ115" i="22"/>
  <c r="CA115" i="22" s="1"/>
  <c r="Y115" i="22"/>
  <c r="BZ114" i="22"/>
  <c r="CA114" i="22" s="1"/>
  <c r="Y114" i="22"/>
  <c r="CA113" i="22"/>
  <c r="BZ113" i="22"/>
  <c r="Y113" i="22"/>
  <c r="BZ112" i="22"/>
  <c r="Y112" i="22"/>
  <c r="CA112" i="22" s="1"/>
  <c r="BZ111" i="22"/>
  <c r="CA111" i="22" s="1"/>
  <c r="Y111" i="22"/>
  <c r="BZ110" i="22"/>
  <c r="Y110" i="22"/>
  <c r="CA110" i="22" s="1"/>
  <c r="BZ109" i="22"/>
  <c r="CA109" i="22" s="1"/>
  <c r="Y109" i="22"/>
  <c r="BZ108" i="22"/>
  <c r="CA108" i="22" s="1"/>
  <c r="Y108" i="22"/>
  <c r="BZ107" i="22"/>
  <c r="CA107" i="22" s="1"/>
  <c r="Y107" i="22"/>
  <c r="BZ106" i="22"/>
  <c r="CA106" i="22" s="1"/>
  <c r="Y106" i="22"/>
  <c r="CA105" i="22"/>
  <c r="BZ105" i="22"/>
  <c r="Y105" i="22"/>
  <c r="BZ104" i="22"/>
  <c r="Y104" i="22"/>
  <c r="CA104" i="22" s="1"/>
  <c r="BZ103" i="22"/>
  <c r="CA103" i="22" s="1"/>
  <c r="Y103" i="22"/>
  <c r="BZ102" i="22"/>
  <c r="Y102" i="22"/>
  <c r="CA102" i="22" s="1"/>
  <c r="BZ101" i="22"/>
  <c r="CA101" i="22" s="1"/>
  <c r="Y101" i="22"/>
  <c r="BZ100" i="22"/>
  <c r="CA100" i="22" s="1"/>
  <c r="Y100" i="22"/>
  <c r="BZ99" i="22"/>
  <c r="CA99" i="22" s="1"/>
  <c r="Y99" i="22"/>
  <c r="BZ98" i="22"/>
  <c r="CA98" i="22" s="1"/>
  <c r="Y98" i="22"/>
  <c r="CA97" i="22"/>
  <c r="BZ97" i="22"/>
  <c r="Z97" i="22"/>
  <c r="Y97" i="22"/>
  <c r="BZ96" i="22"/>
  <c r="CA96" i="22" s="1"/>
  <c r="Y96" i="22"/>
  <c r="BZ95" i="22"/>
  <c r="CA95" i="22" s="1"/>
  <c r="Z95" i="22"/>
  <c r="Y95" i="22"/>
  <c r="BZ94" i="22"/>
  <c r="Y94" i="22"/>
  <c r="CA94" i="22" s="1"/>
  <c r="BZ93" i="22"/>
  <c r="CA93" i="22" s="1"/>
  <c r="Y93" i="22"/>
  <c r="BZ92" i="22"/>
  <c r="Y92" i="22"/>
  <c r="CA92" i="22" s="1"/>
  <c r="BZ91" i="22"/>
  <c r="CA91" i="22" s="1"/>
  <c r="Y91" i="22"/>
  <c r="BZ90" i="22"/>
  <c r="CA90" i="22" s="1"/>
  <c r="Y90" i="22"/>
  <c r="BZ89" i="22"/>
  <c r="CA89" i="22" s="1"/>
  <c r="Z89" i="22"/>
  <c r="Y89" i="22"/>
  <c r="BZ88" i="22"/>
  <c r="CA88" i="22" s="1"/>
  <c r="Y88" i="22"/>
  <c r="BZ87" i="22"/>
  <c r="Y87" i="22"/>
  <c r="CA87" i="22" s="1"/>
  <c r="BZ86" i="22"/>
  <c r="CA86" i="22" s="1"/>
  <c r="Y86" i="22"/>
  <c r="BZ85" i="22"/>
  <c r="CA85" i="22" s="1"/>
  <c r="Y85" i="22"/>
  <c r="BZ84" i="22"/>
  <c r="CA84" i="22" s="1"/>
  <c r="Y84" i="22"/>
  <c r="BZ83" i="22"/>
  <c r="CA83" i="22" s="1"/>
  <c r="Y83" i="22"/>
  <c r="CA82" i="22"/>
  <c r="BZ82" i="22"/>
  <c r="Y82" i="22"/>
  <c r="BZ81" i="22"/>
  <c r="Y81" i="22"/>
  <c r="CA81" i="22" s="1"/>
  <c r="BZ80" i="22"/>
  <c r="CA80" i="22" s="1"/>
  <c r="Y80" i="22"/>
  <c r="BZ79" i="22"/>
  <c r="Y79" i="22"/>
  <c r="CA79" i="22" s="1"/>
  <c r="BZ78" i="22"/>
  <c r="CA78" i="22" s="1"/>
  <c r="Y78" i="22"/>
  <c r="BZ77" i="22"/>
  <c r="CA77" i="22" s="1"/>
  <c r="Y77" i="22"/>
  <c r="BZ76" i="22"/>
  <c r="CA76" i="22" s="1"/>
  <c r="Z76" i="22"/>
  <c r="Y76" i="22"/>
  <c r="Z75" i="22"/>
  <c r="BZ75" i="22" s="1"/>
  <c r="CA75" i="22" s="1"/>
  <c r="Y75" i="22"/>
  <c r="BZ74" i="22"/>
  <c r="CA74" i="22" s="1"/>
  <c r="Y74" i="22"/>
  <c r="BZ73" i="22"/>
  <c r="CA73" i="22" s="1"/>
  <c r="Y73" i="22"/>
  <c r="CA72" i="22"/>
  <c r="BZ72" i="22"/>
  <c r="Y72" i="22"/>
  <c r="BZ71" i="22"/>
  <c r="Y71" i="22"/>
  <c r="CA71" i="22" s="1"/>
  <c r="Z70" i="22"/>
  <c r="BZ70" i="22" s="1"/>
  <c r="CA70" i="22" s="1"/>
  <c r="Y70" i="22"/>
  <c r="BZ69" i="22"/>
  <c r="CA69" i="22" s="1"/>
  <c r="Y69" i="22"/>
  <c r="Z68" i="22"/>
  <c r="BZ68" i="22" s="1"/>
  <c r="CA68" i="22" s="1"/>
  <c r="Y68" i="22"/>
  <c r="BZ67" i="22"/>
  <c r="Y67" i="22"/>
  <c r="CA67" i="22" s="1"/>
  <c r="Z66" i="22"/>
  <c r="BZ66" i="22" s="1"/>
  <c r="CA66" i="22" s="1"/>
  <c r="Y66" i="22"/>
  <c r="CA65" i="22"/>
  <c r="BZ65" i="22"/>
  <c r="Y65" i="22"/>
  <c r="Z64" i="22"/>
  <c r="BZ64" i="22" s="1"/>
  <c r="CA64" i="22" s="1"/>
  <c r="Y64" i="22"/>
  <c r="BZ63" i="22"/>
  <c r="CA63" i="22" s="1"/>
  <c r="Y63" i="22"/>
  <c r="BZ62" i="22"/>
  <c r="CA62" i="22" s="1"/>
  <c r="Z62" i="22"/>
  <c r="Y62" i="22"/>
  <c r="BZ61" i="22"/>
  <c r="CA61" i="22" s="1"/>
  <c r="Y61" i="22"/>
  <c r="BZ60" i="22"/>
  <c r="CA60" i="22" s="1"/>
  <c r="Y60" i="22"/>
  <c r="BZ59" i="22"/>
  <c r="CA59" i="22" s="1"/>
  <c r="Y59" i="22"/>
  <c r="BZ58" i="22"/>
  <c r="CA58" i="22" s="1"/>
  <c r="Y58" i="22"/>
  <c r="BZ57" i="22"/>
  <c r="CA57" i="22" s="1"/>
  <c r="Y57" i="22"/>
  <c r="BZ56" i="22"/>
  <c r="CA56" i="22" s="1"/>
  <c r="Y56" i="22"/>
  <c r="CA55" i="22"/>
  <c r="BZ55" i="22"/>
  <c r="Y55" i="22"/>
  <c r="BZ54" i="22"/>
  <c r="Y54" i="22"/>
  <c r="CA54" i="22" s="1"/>
  <c r="BZ53" i="22"/>
  <c r="CA53" i="22" s="1"/>
  <c r="Y53" i="22"/>
  <c r="Z52" i="22"/>
  <c r="BZ52" i="22" s="1"/>
  <c r="CA52" i="22" s="1"/>
  <c r="Y52" i="22"/>
  <c r="Z51" i="22"/>
  <c r="BZ51" i="22" s="1"/>
  <c r="CA51" i="22" s="1"/>
  <c r="Y51" i="22"/>
  <c r="Z50" i="22"/>
  <c r="BZ50" i="22" s="1"/>
  <c r="CA50" i="22" s="1"/>
  <c r="Y50" i="22"/>
  <c r="BZ49" i="22"/>
  <c r="CA49" i="22" s="1"/>
  <c r="Y49" i="22"/>
  <c r="CA48" i="22"/>
  <c r="BZ48" i="22"/>
  <c r="Y48" i="22"/>
  <c r="BZ47" i="22"/>
  <c r="Y47" i="22"/>
  <c r="CA47" i="22" s="1"/>
  <c r="BZ46" i="22"/>
  <c r="CA46" i="22" s="1"/>
  <c r="Y46" i="22"/>
  <c r="Z45" i="22"/>
  <c r="BZ45" i="22" s="1"/>
  <c r="CA45" i="22" s="1"/>
  <c r="Y45" i="22"/>
  <c r="BZ44" i="22"/>
  <c r="CA44" i="22" s="1"/>
  <c r="Y44" i="22"/>
  <c r="CA43" i="22"/>
  <c r="BZ43" i="22"/>
  <c r="Y43" i="22"/>
  <c r="BZ42" i="22"/>
  <c r="Y42" i="22"/>
  <c r="CA42" i="22" s="1"/>
  <c r="BZ41" i="22"/>
  <c r="CA41" i="22" s="1"/>
  <c r="Y41" i="22"/>
  <c r="BZ40" i="22"/>
  <c r="Y40" i="22"/>
  <c r="CA40" i="22" s="1"/>
  <c r="BZ39" i="22"/>
  <c r="CA39" i="22" s="1"/>
  <c r="Y39" i="22"/>
  <c r="BZ38" i="22"/>
  <c r="CA38" i="22" s="1"/>
  <c r="Y38" i="22"/>
  <c r="BZ37" i="22"/>
  <c r="CA37" i="22" s="1"/>
  <c r="Y37" i="22"/>
  <c r="BZ36" i="22"/>
  <c r="CA36" i="22" s="1"/>
  <c r="Y36" i="22"/>
  <c r="CA35" i="22"/>
  <c r="BZ35" i="22"/>
  <c r="Y35" i="22"/>
  <c r="BZ34" i="22"/>
  <c r="Y34" i="22"/>
  <c r="CA34" i="22" s="1"/>
  <c r="BZ33" i="22"/>
  <c r="CA33" i="22" s="1"/>
  <c r="Y33" i="22"/>
  <c r="BZ32" i="22"/>
  <c r="Y32" i="22"/>
  <c r="CA32" i="22" s="1"/>
  <c r="BZ31" i="22"/>
  <c r="CA31" i="22" s="1"/>
  <c r="Y31" i="22"/>
  <c r="BZ30" i="22"/>
  <c r="CA30" i="22" s="1"/>
  <c r="Y30" i="22"/>
  <c r="BZ29" i="22"/>
  <c r="CA29" i="22" s="1"/>
  <c r="Z29" i="22"/>
  <c r="Y29" i="22"/>
  <c r="Z28" i="22"/>
  <c r="BZ28" i="22" s="1"/>
  <c r="CA28" i="22" s="1"/>
  <c r="Y28" i="22"/>
  <c r="BZ27" i="22"/>
  <c r="CA27" i="22" s="1"/>
  <c r="Y27" i="22"/>
  <c r="Z26" i="22"/>
  <c r="BZ26" i="22" s="1"/>
  <c r="CA26" i="22" s="1"/>
  <c r="Y26" i="22"/>
  <c r="BZ25" i="22"/>
  <c r="CA25" i="22" s="1"/>
  <c r="Y25" i="22"/>
  <c r="BZ24" i="22"/>
  <c r="CA24" i="22" s="1"/>
  <c r="Y24" i="22"/>
  <c r="BZ23" i="22"/>
  <c r="CA23" i="22" s="1"/>
  <c r="Y23" i="22"/>
  <c r="BZ22" i="22"/>
  <c r="CA22" i="22" s="1"/>
  <c r="Y22" i="22"/>
  <c r="BZ21" i="22"/>
  <c r="CA21" i="22" s="1"/>
  <c r="Y21" i="22"/>
  <c r="CA20" i="22"/>
  <c r="BZ20" i="22"/>
  <c r="Y20" i="22"/>
  <c r="Z19" i="22"/>
  <c r="BZ19" i="22" s="1"/>
  <c r="CA19" i="22" s="1"/>
  <c r="Y19" i="22"/>
  <c r="BZ18" i="22"/>
  <c r="CA18" i="22" s="1"/>
  <c r="Y18" i="22"/>
  <c r="BZ17" i="22"/>
  <c r="CA17" i="22" s="1"/>
  <c r="Y17" i="22"/>
  <c r="Z16" i="22"/>
  <c r="Z144" i="22" s="1"/>
  <c r="Y16" i="22"/>
  <c r="Y144" i="22" s="1"/>
  <c r="E13" i="22" s="1"/>
  <c r="C13" i="22"/>
  <c r="BZ16" i="22" l="1"/>
  <c r="BZ144" i="22" l="1"/>
  <c r="CA16" i="22"/>
  <c r="CA144" i="22" s="1"/>
  <c r="AP134" i="17" l="1"/>
  <c r="AL134" i="17"/>
  <c r="AH134" i="17"/>
  <c r="AD134" i="17"/>
  <c r="Z134" i="17"/>
  <c r="X134" i="17"/>
  <c r="W134" i="17"/>
  <c r="V134" i="17"/>
  <c r="U134" i="17"/>
  <c r="T134" i="17"/>
  <c r="S134" i="17"/>
  <c r="R134" i="17"/>
  <c r="Q134" i="17"/>
  <c r="P134" i="17"/>
  <c r="O134" i="17"/>
  <c r="N134" i="17"/>
  <c r="M134" i="17"/>
  <c r="K134" i="17"/>
  <c r="J134" i="17"/>
  <c r="Y131" i="17"/>
  <c r="Y130" i="17"/>
  <c r="Y129" i="17"/>
  <c r="Y128" i="17"/>
  <c r="Y127" i="17"/>
  <c r="Y126" i="17"/>
  <c r="Y125" i="17"/>
  <c r="Y124" i="17"/>
  <c r="Y123" i="17"/>
  <c r="Y134" i="17" s="1"/>
  <c r="AU122" i="17"/>
  <c r="AT122" i="17"/>
  <c r="Y122" i="17"/>
  <c r="L122" i="17"/>
  <c r="AU121" i="17"/>
  <c r="AT121" i="17"/>
  <c r="Y121" i="17"/>
  <c r="L121" i="17"/>
  <c r="AU120" i="17"/>
  <c r="AT120" i="17"/>
  <c r="Y120" i="17"/>
  <c r="L120" i="17"/>
  <c r="AU119" i="17"/>
  <c r="AT119" i="17"/>
  <c r="Y119" i="17"/>
  <c r="L119" i="17"/>
  <c r="AU118" i="17"/>
  <c r="AT118" i="17"/>
  <c r="Y118" i="17"/>
  <c r="L118" i="17"/>
  <c r="AU117" i="17"/>
  <c r="AT117" i="17"/>
  <c r="Y117" i="17"/>
  <c r="L117" i="17"/>
  <c r="AU116" i="17"/>
  <c r="AT116" i="17"/>
  <c r="Y116" i="17"/>
  <c r="L116" i="17"/>
  <c r="AU115" i="17"/>
  <c r="AT115" i="17"/>
  <c r="Y115" i="17"/>
  <c r="L115" i="17"/>
  <c r="AU114" i="17"/>
  <c r="AT114" i="17"/>
  <c r="Y114" i="17"/>
  <c r="L114" i="17"/>
  <c r="AU113" i="17"/>
  <c r="AT113" i="17"/>
  <c r="Y113" i="17"/>
  <c r="L113" i="17"/>
  <c r="AU112" i="17"/>
  <c r="AT112" i="17"/>
  <c r="Y112" i="17"/>
  <c r="L112" i="17"/>
  <c r="AU111" i="17"/>
  <c r="AT111" i="17"/>
  <c r="Y111" i="17"/>
  <c r="L111" i="17"/>
  <c r="AU110" i="17"/>
  <c r="AT110" i="17"/>
  <c r="Y110" i="17"/>
  <c r="L110" i="17"/>
  <c r="AU109" i="17"/>
  <c r="AT109" i="17"/>
  <c r="Y109" i="17"/>
  <c r="L109" i="17"/>
  <c r="AU108" i="17"/>
  <c r="AT108" i="17"/>
  <c r="Y108" i="17"/>
  <c r="L108" i="17"/>
  <c r="AU107" i="17"/>
  <c r="AT107" i="17"/>
  <c r="Y107" i="17"/>
  <c r="L107" i="17"/>
  <c r="AU106" i="17"/>
  <c r="AT106" i="17"/>
  <c r="Y106" i="17"/>
  <c r="L106" i="17"/>
  <c r="AU105" i="17"/>
  <c r="AT105" i="17"/>
  <c r="Y105" i="17"/>
  <c r="L105" i="17"/>
  <c r="AU104" i="17"/>
  <c r="AT104" i="17"/>
  <c r="Y104" i="17"/>
  <c r="L104" i="17"/>
  <c r="AU103" i="17"/>
  <c r="AT103" i="17"/>
  <c r="Y103" i="17"/>
  <c r="L103" i="17"/>
  <c r="AU102" i="17"/>
  <c r="AT102" i="17"/>
  <c r="Y102" i="17"/>
  <c r="L102" i="17"/>
  <c r="AU101" i="17"/>
  <c r="AT101" i="17"/>
  <c r="Y101" i="17"/>
  <c r="L101" i="17"/>
  <c r="AU100" i="17"/>
  <c r="AT100" i="17"/>
  <c r="Y100" i="17"/>
  <c r="L100" i="17"/>
  <c r="AU99" i="17"/>
  <c r="AT99" i="17"/>
  <c r="Y99" i="17"/>
  <c r="L99" i="17"/>
  <c r="AU98" i="17"/>
  <c r="AT98" i="17"/>
  <c r="Y98" i="17"/>
  <c r="L98" i="17"/>
  <c r="AU97" i="17"/>
  <c r="AT97" i="17"/>
  <c r="Y97" i="17"/>
  <c r="L97" i="17"/>
  <c r="AU96" i="17"/>
  <c r="AT96" i="17"/>
  <c r="Y96" i="17"/>
  <c r="L96" i="17"/>
  <c r="AU95" i="17"/>
  <c r="AT95" i="17"/>
  <c r="Y95" i="17"/>
  <c r="L95" i="17"/>
  <c r="AU94" i="17"/>
  <c r="AT94" i="17"/>
  <c r="Y94" i="17"/>
  <c r="L94" i="17"/>
  <c r="AU93" i="17"/>
  <c r="AT93" i="17"/>
  <c r="Y93" i="17"/>
  <c r="L93" i="17"/>
  <c r="AU92" i="17"/>
  <c r="AT92" i="17"/>
  <c r="Y92" i="17"/>
  <c r="L92" i="17"/>
  <c r="AU91" i="17"/>
  <c r="AT91" i="17"/>
  <c r="Y91" i="17"/>
  <c r="L91" i="17"/>
  <c r="AU90" i="17"/>
  <c r="AT90" i="17"/>
  <c r="Y90" i="17"/>
  <c r="L90" i="17"/>
  <c r="AU89" i="17"/>
  <c r="AT89" i="17"/>
  <c r="Y89" i="17"/>
  <c r="L89" i="17"/>
  <c r="AU88" i="17"/>
  <c r="AT88" i="17"/>
  <c r="Y88" i="17"/>
  <c r="L88" i="17"/>
  <c r="AU87" i="17"/>
  <c r="AT87" i="17"/>
  <c r="Y87" i="17"/>
  <c r="L87" i="17"/>
  <c r="AU86" i="17"/>
  <c r="AT86" i="17"/>
  <c r="Y86" i="17"/>
  <c r="L86" i="17"/>
  <c r="AU85" i="17"/>
  <c r="AT85" i="17"/>
  <c r="Y85" i="17"/>
  <c r="L85" i="17"/>
  <c r="AU84" i="17"/>
  <c r="AT84" i="17"/>
  <c r="Y84" i="17"/>
  <c r="L84" i="17"/>
  <c r="AU83" i="17"/>
  <c r="AT83" i="17"/>
  <c r="Y83" i="17"/>
  <c r="L83" i="17"/>
  <c r="AU82" i="17"/>
  <c r="AT82" i="17"/>
  <c r="Y82" i="17"/>
  <c r="L82" i="17"/>
  <c r="AU81" i="17"/>
  <c r="AT81" i="17"/>
  <c r="Y81" i="17"/>
  <c r="L81" i="17"/>
  <c r="AU80" i="17"/>
  <c r="AT80" i="17"/>
  <c r="Y80" i="17"/>
  <c r="L80" i="17"/>
  <c r="AU79" i="17"/>
  <c r="AT79" i="17"/>
  <c r="Y79" i="17"/>
  <c r="L79" i="17"/>
  <c r="AU78" i="17"/>
  <c r="AT78" i="17"/>
  <c r="Y78" i="17"/>
  <c r="L78" i="17"/>
  <c r="AU77" i="17"/>
  <c r="AT77" i="17"/>
  <c r="Y77" i="17"/>
  <c r="L77" i="17"/>
  <c r="AU76" i="17"/>
  <c r="AT76" i="17"/>
  <c r="Y76" i="17"/>
  <c r="L76" i="17"/>
  <c r="AU75" i="17"/>
  <c r="AT75" i="17"/>
  <c r="Y75" i="17"/>
  <c r="L75" i="17"/>
  <c r="AU74" i="17"/>
  <c r="AT74" i="17"/>
  <c r="Y74" i="17"/>
  <c r="L74" i="17"/>
  <c r="AU73" i="17"/>
  <c r="AT73" i="17"/>
  <c r="Y73" i="17"/>
  <c r="L73" i="17"/>
  <c r="AU72" i="17"/>
  <c r="AT72" i="17"/>
  <c r="Y72" i="17"/>
  <c r="L72" i="17"/>
  <c r="AU71" i="17"/>
  <c r="AT71" i="17"/>
  <c r="Y71" i="17"/>
  <c r="L71" i="17"/>
  <c r="AU70" i="17"/>
  <c r="AT70" i="17"/>
  <c r="Y70" i="17"/>
  <c r="L70" i="17"/>
  <c r="AU69" i="17"/>
  <c r="AT69" i="17"/>
  <c r="Y69" i="17"/>
  <c r="L69" i="17"/>
  <c r="AU68" i="17"/>
  <c r="AT68" i="17"/>
  <c r="Y68" i="17"/>
  <c r="L68" i="17"/>
  <c r="AU67" i="17"/>
  <c r="AT67" i="17"/>
  <c r="Y67" i="17"/>
  <c r="L67" i="17"/>
  <c r="AU66" i="17"/>
  <c r="AT66" i="17"/>
  <c r="Y66" i="17"/>
  <c r="L66" i="17"/>
  <c r="AU65" i="17"/>
  <c r="AT65" i="17"/>
  <c r="Y65" i="17"/>
  <c r="L65" i="17"/>
  <c r="AU64" i="17"/>
  <c r="AT64" i="17"/>
  <c r="Y64" i="17"/>
  <c r="L64" i="17"/>
  <c r="AU63" i="17"/>
  <c r="AT63" i="17"/>
  <c r="Y63" i="17"/>
  <c r="L63" i="17"/>
  <c r="AU62" i="17"/>
  <c r="AT62" i="17"/>
  <c r="Y62" i="17"/>
  <c r="L62" i="17"/>
  <c r="AU61" i="17"/>
  <c r="AT61" i="17"/>
  <c r="Y61" i="17"/>
  <c r="L61" i="17"/>
  <c r="AU60" i="17"/>
  <c r="AT60" i="17"/>
  <c r="Y60" i="17"/>
  <c r="L60" i="17"/>
  <c r="AU59" i="17"/>
  <c r="AT59" i="17"/>
  <c r="Y59" i="17"/>
  <c r="L59" i="17"/>
  <c r="AU58" i="17"/>
  <c r="AT58" i="17"/>
  <c r="Y58" i="17"/>
  <c r="L58" i="17"/>
  <c r="AU57" i="17"/>
  <c r="AT57" i="17"/>
  <c r="Y57" i="17"/>
  <c r="L57" i="17"/>
  <c r="AU56" i="17"/>
  <c r="AT56" i="17"/>
  <c r="Y56" i="17"/>
  <c r="L56" i="17"/>
  <c r="AU55" i="17"/>
  <c r="AT55" i="17"/>
  <c r="Y55" i="17"/>
  <c r="L55" i="17"/>
  <c r="AU54" i="17"/>
  <c r="AT54" i="17"/>
  <c r="Y54" i="17"/>
  <c r="L54" i="17"/>
  <c r="AU53" i="17"/>
  <c r="AT53" i="17"/>
  <c r="Y53" i="17"/>
  <c r="L53" i="17"/>
  <c r="AU52" i="17"/>
  <c r="AT52" i="17"/>
  <c r="Y52" i="17"/>
  <c r="L52" i="17"/>
  <c r="AU51" i="17"/>
  <c r="AT51" i="17"/>
  <c r="Y51" i="17"/>
  <c r="L51" i="17"/>
  <c r="AU50" i="17"/>
  <c r="AT50" i="17"/>
  <c r="Y50" i="17"/>
  <c r="L50" i="17"/>
  <c r="AU49" i="17"/>
  <c r="AT49" i="17"/>
  <c r="Y49" i="17"/>
  <c r="L49" i="17"/>
  <c r="AU48" i="17"/>
  <c r="AT48" i="17"/>
  <c r="Y48" i="17"/>
  <c r="L48" i="17"/>
  <c r="AU47" i="17"/>
  <c r="AT47" i="17"/>
  <c r="Y47" i="17"/>
  <c r="L47" i="17"/>
  <c r="AU46" i="17"/>
  <c r="AT46" i="17"/>
  <c r="Y46" i="17"/>
  <c r="L46" i="17"/>
  <c r="AU45" i="17"/>
  <c r="AT45" i="17"/>
  <c r="Y45" i="17"/>
  <c r="L45" i="17"/>
  <c r="AU44" i="17"/>
  <c r="AT44" i="17"/>
  <c r="Y44" i="17"/>
  <c r="L44" i="17"/>
  <c r="AU43" i="17"/>
  <c r="AT43" i="17"/>
  <c r="Y43" i="17"/>
  <c r="L43" i="17"/>
  <c r="AU42" i="17"/>
  <c r="AT42" i="17"/>
  <c r="Y42" i="17"/>
  <c r="L42" i="17"/>
  <c r="AU41" i="17"/>
  <c r="AT41" i="17"/>
  <c r="Y41" i="17"/>
  <c r="L41" i="17"/>
  <c r="AU40" i="17"/>
  <c r="AT40" i="17"/>
  <c r="Y40" i="17"/>
  <c r="L40" i="17"/>
  <c r="AU39" i="17"/>
  <c r="AT39" i="17"/>
  <c r="Y39" i="17"/>
  <c r="L39" i="17"/>
  <c r="AU38" i="17"/>
  <c r="AT38" i="17"/>
  <c r="Y38" i="17"/>
  <c r="L38" i="17"/>
  <c r="AU37" i="17"/>
  <c r="AT37" i="17"/>
  <c r="Y37" i="17"/>
  <c r="L37" i="17"/>
  <c r="AU36" i="17"/>
  <c r="AT36" i="17"/>
  <c r="Y36" i="17"/>
  <c r="L36" i="17"/>
  <c r="AU35" i="17"/>
  <c r="AT35" i="17"/>
  <c r="Y35" i="17"/>
  <c r="L35" i="17"/>
  <c r="AU34" i="17"/>
  <c r="AT34" i="17"/>
  <c r="Y34" i="17"/>
  <c r="L34" i="17"/>
  <c r="AU33" i="17"/>
  <c r="AT33" i="17"/>
  <c r="Y33" i="17"/>
  <c r="L33" i="17"/>
  <c r="AU32" i="17"/>
  <c r="AT32" i="17"/>
  <c r="Y32" i="17"/>
  <c r="L32" i="17"/>
  <c r="AU31" i="17"/>
  <c r="AT31" i="17"/>
  <c r="Y31" i="17"/>
  <c r="L31" i="17"/>
  <c r="AU30" i="17"/>
  <c r="AT30" i="17"/>
  <c r="Y30" i="17"/>
  <c r="L30" i="17"/>
  <c r="AU29" i="17"/>
  <c r="AT29" i="17"/>
  <c r="Y29" i="17"/>
  <c r="L29" i="17"/>
  <c r="AU28" i="17"/>
  <c r="AT28" i="17"/>
  <c r="Y28" i="17"/>
  <c r="L28" i="17"/>
  <c r="AU27" i="17"/>
  <c r="AT27" i="17"/>
  <c r="Y27" i="17"/>
  <c r="L27" i="17"/>
  <c r="AU26" i="17"/>
  <c r="AT26" i="17"/>
  <c r="Y26" i="17"/>
  <c r="L26" i="17"/>
  <c r="AU25" i="17"/>
  <c r="AT25" i="17"/>
  <c r="Y25" i="17"/>
  <c r="L25" i="17"/>
  <c r="AU24" i="17"/>
  <c r="AT24" i="17"/>
  <c r="Y24" i="17"/>
  <c r="L24" i="17"/>
  <c r="AU23" i="17"/>
  <c r="AT23" i="17"/>
  <c r="Y23" i="17"/>
  <c r="L23" i="17"/>
  <c r="AU22" i="17"/>
  <c r="AT22" i="17"/>
  <c r="Y22" i="17"/>
  <c r="L22" i="17"/>
  <c r="AU21" i="17"/>
  <c r="AT21" i="17"/>
  <c r="Y21" i="17"/>
  <c r="L21" i="17"/>
  <c r="AU20" i="17"/>
  <c r="AT20" i="17"/>
  <c r="Y20" i="17"/>
  <c r="L20" i="17"/>
  <c r="AU19" i="17"/>
  <c r="AT19" i="17"/>
  <c r="Y19" i="17"/>
  <c r="L19" i="17"/>
  <c r="AU18" i="17"/>
  <c r="AT18" i="17"/>
  <c r="Y18" i="17"/>
  <c r="L18" i="17"/>
  <c r="AU17" i="17"/>
  <c r="AT17" i="17"/>
  <c r="Y17" i="17"/>
  <c r="L17" i="17"/>
  <c r="L134" i="17" s="1"/>
  <c r="AU16" i="17"/>
  <c r="AU134" i="17" s="1"/>
  <c r="AT16" i="17"/>
  <c r="AT134" i="17" s="1"/>
  <c r="Y16" i="17"/>
  <c r="L16" i="17"/>
  <c r="E13" i="17" l="1"/>
  <c r="J137" i="16" l="1"/>
  <c r="AQ137" i="16"/>
  <c r="AM137" i="16"/>
  <c r="AI137" i="16"/>
  <c r="AE137" i="16"/>
  <c r="AA137" i="16"/>
  <c r="Y137" i="16"/>
  <c r="X137" i="16"/>
  <c r="W137" i="16"/>
  <c r="V137" i="16"/>
  <c r="U137" i="16"/>
  <c r="T137" i="16"/>
  <c r="P137" i="16"/>
  <c r="O137" i="16"/>
  <c r="N137" i="16"/>
  <c r="M137" i="16"/>
  <c r="L137" i="16"/>
  <c r="K137" i="16"/>
  <c r="AU136" i="16"/>
  <c r="Z136" i="16"/>
  <c r="AU122" i="16"/>
  <c r="Z122" i="16"/>
  <c r="AV122" i="16" s="1"/>
  <c r="AU121" i="16"/>
  <c r="Z121" i="16"/>
  <c r="AU120" i="16"/>
  <c r="AV120" i="16" s="1"/>
  <c r="Z120" i="16"/>
  <c r="AU119" i="16"/>
  <c r="Z119" i="16"/>
  <c r="AU118" i="16"/>
  <c r="Z118" i="16"/>
  <c r="AU117" i="16"/>
  <c r="Z117" i="16"/>
  <c r="AU116" i="16"/>
  <c r="Z116" i="16"/>
  <c r="AU115" i="16"/>
  <c r="Z115" i="16"/>
  <c r="AU114" i="16"/>
  <c r="Z114" i="16"/>
  <c r="AV114" i="16" s="1"/>
  <c r="AU113" i="16"/>
  <c r="Z113" i="16"/>
  <c r="AU112" i="16"/>
  <c r="Z112" i="16"/>
  <c r="AU111" i="16"/>
  <c r="Z111" i="16"/>
  <c r="AU110" i="16"/>
  <c r="Z110" i="16"/>
  <c r="AU109" i="16"/>
  <c r="AV109" i="16" s="1"/>
  <c r="Z109" i="16"/>
  <c r="AU108" i="16"/>
  <c r="Z108" i="16"/>
  <c r="AU107" i="16"/>
  <c r="Z107" i="16"/>
  <c r="AU106" i="16"/>
  <c r="Z106" i="16"/>
  <c r="AV106" i="16" s="1"/>
  <c r="AU105" i="16"/>
  <c r="AV105" i="16" s="1"/>
  <c r="Z105" i="16"/>
  <c r="AU104" i="16"/>
  <c r="Z104" i="16"/>
  <c r="AU103" i="16"/>
  <c r="Z103" i="16"/>
  <c r="AU102" i="16"/>
  <c r="Z102" i="16"/>
  <c r="AU101" i="16"/>
  <c r="Z101" i="16"/>
  <c r="AU100" i="16"/>
  <c r="Z100" i="16"/>
  <c r="AU99" i="16"/>
  <c r="Z99" i="16"/>
  <c r="AU98" i="16"/>
  <c r="Z98" i="16"/>
  <c r="AU97" i="16"/>
  <c r="Z97" i="16"/>
  <c r="AU96" i="16"/>
  <c r="Z96" i="16"/>
  <c r="AU95" i="16"/>
  <c r="Z95" i="16"/>
  <c r="AU94" i="16"/>
  <c r="S94" i="16"/>
  <c r="Z94" i="16" s="1"/>
  <c r="AU93" i="16"/>
  <c r="AV93" i="16" s="1"/>
  <c r="Z93" i="16"/>
  <c r="AU92" i="16"/>
  <c r="Z92" i="16"/>
  <c r="AU91" i="16"/>
  <c r="Z91" i="16"/>
  <c r="AU90" i="16"/>
  <c r="Z90" i="16"/>
  <c r="AU89" i="16"/>
  <c r="Z89" i="16"/>
  <c r="AU88" i="16"/>
  <c r="Z88" i="16"/>
  <c r="AU87" i="16"/>
  <c r="Z87" i="16"/>
  <c r="AU86" i="16"/>
  <c r="Z86" i="16"/>
  <c r="AU85" i="16"/>
  <c r="AV85" i="16" s="1"/>
  <c r="Z85" i="16"/>
  <c r="AU84" i="16"/>
  <c r="Z84" i="16"/>
  <c r="AU83" i="16"/>
  <c r="AV83" i="16" s="1"/>
  <c r="Z83" i="16"/>
  <c r="AU82" i="16"/>
  <c r="S82" i="16"/>
  <c r="R82" i="16"/>
  <c r="AU81" i="16"/>
  <c r="Z81" i="16"/>
  <c r="S81" i="16"/>
  <c r="AU80" i="16"/>
  <c r="Z80" i="16"/>
  <c r="AU79" i="16"/>
  <c r="S79" i="16"/>
  <c r="Z79" i="16" s="1"/>
  <c r="Q79" i="16"/>
  <c r="AU78" i="16"/>
  <c r="R78" i="16"/>
  <c r="Z78" i="16" s="1"/>
  <c r="AU77" i="16"/>
  <c r="Z77" i="16"/>
  <c r="AU76" i="16"/>
  <c r="R76" i="16"/>
  <c r="Z76" i="16" s="1"/>
  <c r="AU75" i="16"/>
  <c r="Z75" i="16"/>
  <c r="AU74" i="16"/>
  <c r="Z74" i="16"/>
  <c r="AU73" i="16"/>
  <c r="Z73" i="16"/>
  <c r="AU72" i="16"/>
  <c r="Z72" i="16"/>
  <c r="AU71" i="16"/>
  <c r="Z71" i="16"/>
  <c r="AU70" i="16"/>
  <c r="Z70" i="16"/>
  <c r="AU69" i="16"/>
  <c r="Z69" i="16"/>
  <c r="AU68" i="16"/>
  <c r="Z68" i="16"/>
  <c r="AU67" i="16"/>
  <c r="S67" i="16"/>
  <c r="Z67" i="16" s="1"/>
  <c r="AU66" i="16"/>
  <c r="Z66" i="16"/>
  <c r="AU65" i="16"/>
  <c r="R65" i="16"/>
  <c r="Z65" i="16" s="1"/>
  <c r="AU64" i="16"/>
  <c r="Z64" i="16"/>
  <c r="AV64" i="16" s="1"/>
  <c r="AU63" i="16"/>
  <c r="AV63" i="16" s="1"/>
  <c r="Z63" i="16"/>
  <c r="AU62" i="16"/>
  <c r="Z62" i="16"/>
  <c r="AU61" i="16"/>
  <c r="Z61" i="16"/>
  <c r="AU60" i="16"/>
  <c r="Z60" i="16"/>
  <c r="AU59" i="16"/>
  <c r="Z59" i="16"/>
  <c r="AU58" i="16"/>
  <c r="Z58" i="16"/>
  <c r="AU57" i="16"/>
  <c r="Q57" i="16"/>
  <c r="Z57" i="16" s="1"/>
  <c r="AU56" i="16"/>
  <c r="Z56" i="16"/>
  <c r="AU55" i="16"/>
  <c r="Z55" i="16"/>
  <c r="AU54" i="16"/>
  <c r="S54" i="16"/>
  <c r="Z54" i="16" s="1"/>
  <c r="AU53" i="16"/>
  <c r="Z53" i="16"/>
  <c r="AU52" i="16"/>
  <c r="S52" i="16"/>
  <c r="R52" i="16"/>
  <c r="Q52" i="16"/>
  <c r="AU51" i="16"/>
  <c r="Z51" i="16"/>
  <c r="AU50" i="16"/>
  <c r="Z50" i="16"/>
  <c r="AU49" i="16"/>
  <c r="R49" i="16"/>
  <c r="AU48" i="16"/>
  <c r="AV48" i="16" s="1"/>
  <c r="Z48" i="16"/>
  <c r="AU47" i="16"/>
  <c r="Z47" i="16"/>
  <c r="AU46" i="16"/>
  <c r="Z46" i="16"/>
  <c r="AU45" i="16"/>
  <c r="S45" i="16"/>
  <c r="Q45" i="16"/>
  <c r="Z45" i="16" s="1"/>
  <c r="AU44" i="16"/>
  <c r="S44" i="16"/>
  <c r="Z44" i="16" s="1"/>
  <c r="AU43" i="16"/>
  <c r="Z43" i="16"/>
  <c r="AU42" i="16"/>
  <c r="Z42" i="16"/>
  <c r="AU41" i="16"/>
  <c r="S41" i="16"/>
  <c r="R41" i="16"/>
  <c r="Q41" i="16"/>
  <c r="AU40" i="16"/>
  <c r="S40" i="16"/>
  <c r="R40" i="16"/>
  <c r="Q40" i="16"/>
  <c r="AU39" i="16"/>
  <c r="S39" i="16"/>
  <c r="Q39" i="16"/>
  <c r="AU38" i="16"/>
  <c r="Z38" i="16"/>
  <c r="AU37" i="16"/>
  <c r="Q37" i="16"/>
  <c r="Z37" i="16" s="1"/>
  <c r="AU36" i="16"/>
  <c r="Z36" i="16"/>
  <c r="AU35" i="16"/>
  <c r="S35" i="16"/>
  <c r="AU34" i="16"/>
  <c r="Z34" i="16"/>
  <c r="AU33" i="16"/>
  <c r="Z33" i="16"/>
  <c r="AU32" i="16"/>
  <c r="Z32" i="16"/>
  <c r="AU31" i="16"/>
  <c r="AV31" i="16" s="1"/>
  <c r="Z31" i="16"/>
  <c r="AU30" i="16"/>
  <c r="Q30" i="16"/>
  <c r="Z30" i="16" s="1"/>
  <c r="AU29" i="16"/>
  <c r="R29" i="16"/>
  <c r="Q29" i="16"/>
  <c r="AU28" i="16"/>
  <c r="Z28" i="16"/>
  <c r="AU27" i="16"/>
  <c r="S27" i="16"/>
  <c r="R27" i="16"/>
  <c r="Q27" i="16"/>
  <c r="AU26" i="16"/>
  <c r="Z26" i="16"/>
  <c r="AU25" i="16"/>
  <c r="Z25" i="16"/>
  <c r="AU24" i="16"/>
  <c r="Q24" i="16"/>
  <c r="Z24" i="16" s="1"/>
  <c r="AU23" i="16"/>
  <c r="Q23" i="16"/>
  <c r="Z23" i="16" s="1"/>
  <c r="AU22" i="16"/>
  <c r="Z22" i="16"/>
  <c r="AU21" i="16"/>
  <c r="Z21" i="16"/>
  <c r="Q21" i="16"/>
  <c r="AU20" i="16"/>
  <c r="R20" i="16"/>
  <c r="Q20" i="16"/>
  <c r="AU19" i="16"/>
  <c r="Z19" i="16"/>
  <c r="AU18" i="16"/>
  <c r="Z18" i="16"/>
  <c r="AU17" i="16"/>
  <c r="Z17" i="16"/>
  <c r="AU16" i="16"/>
  <c r="AV16" i="16" s="1"/>
  <c r="Z16" i="16"/>
  <c r="AV72" i="16" l="1"/>
  <c r="AV19" i="16"/>
  <c r="AV22" i="16"/>
  <c r="AV42" i="16"/>
  <c r="Z20" i="16"/>
  <c r="AV20" i="16" s="1"/>
  <c r="Z27" i="16"/>
  <c r="AV27" i="16" s="1"/>
  <c r="AV33" i="16"/>
  <c r="Z40" i="16"/>
  <c r="AV40" i="16" s="1"/>
  <c r="AV43" i="16"/>
  <c r="AV50" i="16"/>
  <c r="AV53" i="16"/>
  <c r="AV57" i="16"/>
  <c r="AV61" i="16"/>
  <c r="AV77" i="16"/>
  <c r="AV91" i="16"/>
  <c r="AV115" i="16"/>
  <c r="AV119" i="16"/>
  <c r="AV25" i="16"/>
  <c r="Z41" i="16"/>
  <c r="AV41" i="16" s="1"/>
  <c r="AV88" i="16"/>
  <c r="AV100" i="16"/>
  <c r="AV18" i="16"/>
  <c r="AV36" i="16"/>
  <c r="AV68" i="16"/>
  <c r="AV98" i="16"/>
  <c r="AV62" i="16"/>
  <c r="AV81" i="16"/>
  <c r="AV96" i="16"/>
  <c r="AV104" i="16"/>
  <c r="AV112" i="16"/>
  <c r="Z39" i="16"/>
  <c r="AV39" i="16" s="1"/>
  <c r="Z82" i="16"/>
  <c r="AV82" i="16" s="1"/>
  <c r="Z29" i="16"/>
  <c r="AV95" i="16"/>
  <c r="AV102" i="16"/>
  <c r="AV117" i="16"/>
  <c r="AV44" i="16"/>
  <c r="AV51" i="16"/>
  <c r="AV58" i="16"/>
  <c r="AV65" i="16"/>
  <c r="AV69" i="16"/>
  <c r="AV89" i="16"/>
  <c r="AV110" i="16"/>
  <c r="AV121" i="16"/>
  <c r="AV17" i="16"/>
  <c r="Z52" i="16"/>
  <c r="AV52" i="16" s="1"/>
  <c r="AV73" i="16"/>
  <c r="AV80" i="16"/>
  <c r="AV99" i="16"/>
  <c r="AV103" i="16"/>
  <c r="AV118" i="16"/>
  <c r="AV55" i="16"/>
  <c r="AV59" i="16"/>
  <c r="AV66" i="16"/>
  <c r="AV70" i="16"/>
  <c r="AV74" i="16"/>
  <c r="AV86" i="16"/>
  <c r="AV90" i="16"/>
  <c r="AV107" i="16"/>
  <c r="AV111" i="16"/>
  <c r="AV26" i="16"/>
  <c r="AV32" i="16"/>
  <c r="AV47" i="16"/>
  <c r="AV92" i="16"/>
  <c r="AV113" i="16"/>
  <c r="R137" i="16"/>
  <c r="AV21" i="16"/>
  <c r="AV34" i="16"/>
  <c r="AV56" i="16"/>
  <c r="AV60" i="16"/>
  <c r="AV67" i="16"/>
  <c r="AV71" i="16"/>
  <c r="AV78" i="16"/>
  <c r="AV87" i="16"/>
  <c r="AV97" i="16"/>
  <c r="AV108" i="16"/>
  <c r="AV136" i="16"/>
  <c r="AV28" i="16"/>
  <c r="S137" i="16"/>
  <c r="AV38" i="16"/>
  <c r="AV46" i="16"/>
  <c r="AV75" i="16"/>
  <c r="AV84" i="16"/>
  <c r="AV94" i="16"/>
  <c r="AV101" i="16"/>
  <c r="AV116" i="16"/>
  <c r="AV35" i="16"/>
  <c r="AV76" i="16"/>
  <c r="AV79" i="16"/>
  <c r="AV23" i="16"/>
  <c r="AV29" i="16"/>
  <c r="AV54" i="16"/>
  <c r="AV24" i="16"/>
  <c r="AV30" i="16"/>
  <c r="AV37" i="16"/>
  <c r="AV45" i="16"/>
  <c r="Q137" i="16"/>
  <c r="Z49" i="16"/>
  <c r="Z35" i="16"/>
  <c r="AU137" i="16"/>
  <c r="Z137" i="16" l="1"/>
  <c r="E13" i="16" s="1"/>
  <c r="AV49" i="16"/>
  <c r="AV137" i="16"/>
  <c r="AS185" i="26" l="1"/>
  <c r="AR185" i="26"/>
  <c r="AQ185" i="26"/>
  <c r="AP185" i="26"/>
  <c r="AO185" i="26"/>
  <c r="AN185" i="26"/>
  <c r="AM185" i="26"/>
  <c r="AL185" i="26"/>
  <c r="AH185" i="26"/>
  <c r="AD185" i="26"/>
  <c r="Z185" i="26"/>
  <c r="X185" i="26"/>
  <c r="W185" i="26"/>
  <c r="V185" i="26"/>
  <c r="U185" i="26"/>
  <c r="T185" i="26"/>
  <c r="S185" i="26"/>
  <c r="O185" i="26"/>
  <c r="M185" i="26"/>
  <c r="L185" i="26"/>
  <c r="K185" i="26"/>
  <c r="AT184" i="26"/>
  <c r="AU184" i="26" s="1"/>
  <c r="Y184" i="26"/>
  <c r="AT183" i="26"/>
  <c r="Y183" i="26"/>
  <c r="AT182" i="26"/>
  <c r="AU182" i="26" s="1"/>
  <c r="Y182" i="26"/>
  <c r="AT181" i="26"/>
  <c r="Y181" i="26"/>
  <c r="AT180" i="26"/>
  <c r="Y180" i="26"/>
  <c r="AT179" i="26"/>
  <c r="AU179" i="26" s="1"/>
  <c r="Y179" i="26"/>
  <c r="AT178" i="26"/>
  <c r="AU178" i="26" s="1"/>
  <c r="Y178" i="26"/>
  <c r="AT177" i="26"/>
  <c r="AU177" i="26" s="1"/>
  <c r="Y177" i="26"/>
  <c r="AT176" i="26"/>
  <c r="AU176" i="26" s="1"/>
  <c r="Y176" i="26"/>
  <c r="AT175" i="26"/>
  <c r="Y175" i="26"/>
  <c r="AU175" i="26" s="1"/>
  <c r="AT174" i="26"/>
  <c r="AU174" i="26" s="1"/>
  <c r="Y174" i="26"/>
  <c r="AT173" i="26"/>
  <c r="Y173" i="26"/>
  <c r="AT172" i="26"/>
  <c r="AU172" i="26" s="1"/>
  <c r="Y172" i="26"/>
  <c r="AT171" i="26"/>
  <c r="Y171" i="26"/>
  <c r="AT170" i="26"/>
  <c r="AU170" i="26" s="1"/>
  <c r="Y170" i="26"/>
  <c r="AT169" i="26"/>
  <c r="AU169" i="26" s="1"/>
  <c r="Y169" i="26"/>
  <c r="AT168" i="26"/>
  <c r="Y168" i="26"/>
  <c r="AT167" i="26"/>
  <c r="Y167" i="26"/>
  <c r="AU167" i="26" s="1"/>
  <c r="AU166" i="26"/>
  <c r="AT166" i="26"/>
  <c r="Y166" i="26"/>
  <c r="AT165" i="26"/>
  <c r="AU165" i="26" s="1"/>
  <c r="Y165" i="26"/>
  <c r="AT164" i="26"/>
  <c r="Y164" i="26"/>
  <c r="AT163" i="26"/>
  <c r="Y163" i="26"/>
  <c r="AT162" i="26"/>
  <c r="AU162" i="26" s="1"/>
  <c r="Y162" i="26"/>
  <c r="AT161" i="26"/>
  <c r="Y161" i="26"/>
  <c r="AT160" i="26"/>
  <c r="Y160" i="26"/>
  <c r="AT159" i="26"/>
  <c r="Y159" i="26"/>
  <c r="AU158" i="26"/>
  <c r="AT158" i="26"/>
  <c r="Y158" i="26"/>
  <c r="AT157" i="26"/>
  <c r="Y157" i="26"/>
  <c r="AT156" i="26"/>
  <c r="Y156" i="26"/>
  <c r="AT155" i="26"/>
  <c r="Y155" i="26"/>
  <c r="AT154" i="26"/>
  <c r="Y154" i="26"/>
  <c r="AU154" i="26" s="1"/>
  <c r="AT153" i="26"/>
  <c r="Y153" i="26"/>
  <c r="AT152" i="26"/>
  <c r="AU152" i="26" s="1"/>
  <c r="Y152" i="26"/>
  <c r="AT151" i="26"/>
  <c r="Y151" i="26"/>
  <c r="AT150" i="26"/>
  <c r="AU150" i="26" s="1"/>
  <c r="Y150" i="26"/>
  <c r="AT149" i="26"/>
  <c r="Y149" i="26"/>
  <c r="AT148" i="26"/>
  <c r="Y148" i="26"/>
  <c r="AT147" i="26"/>
  <c r="AU147" i="26" s="1"/>
  <c r="Y147" i="26"/>
  <c r="AT146" i="26"/>
  <c r="AU146" i="26" s="1"/>
  <c r="Y146" i="26"/>
  <c r="AT145" i="26"/>
  <c r="AU145" i="26" s="1"/>
  <c r="Y145" i="26"/>
  <c r="AT144" i="26"/>
  <c r="AU144" i="26" s="1"/>
  <c r="Y144" i="26"/>
  <c r="AT143" i="26"/>
  <c r="Y143" i="26"/>
  <c r="AU143" i="26" s="1"/>
  <c r="AT142" i="26"/>
  <c r="AU142" i="26" s="1"/>
  <c r="Y142" i="26"/>
  <c r="AT141" i="26"/>
  <c r="Y141" i="26"/>
  <c r="AT140" i="26"/>
  <c r="AU140" i="26" s="1"/>
  <c r="Y140" i="26"/>
  <c r="AT139" i="26"/>
  <c r="Y139" i="26"/>
  <c r="AT138" i="26"/>
  <c r="AU138" i="26" s="1"/>
  <c r="Y138" i="26"/>
  <c r="AT137" i="26"/>
  <c r="AU137" i="26" s="1"/>
  <c r="Y137" i="26"/>
  <c r="AT136" i="26"/>
  <c r="Y136" i="26"/>
  <c r="AT135" i="26"/>
  <c r="Y135" i="26"/>
  <c r="AU135" i="26" s="1"/>
  <c r="AU134" i="26"/>
  <c r="AT134" i="26"/>
  <c r="Y134" i="26"/>
  <c r="AT133" i="26"/>
  <c r="AU133" i="26" s="1"/>
  <c r="Y133" i="26"/>
  <c r="AT132" i="26"/>
  <c r="Y132" i="26"/>
  <c r="AT131" i="26"/>
  <c r="Y131" i="26"/>
  <c r="AT130" i="26"/>
  <c r="AU130" i="26" s="1"/>
  <c r="Y130" i="26"/>
  <c r="AT129" i="26"/>
  <c r="Y129" i="26"/>
  <c r="AT128" i="26"/>
  <c r="Y128" i="26"/>
  <c r="AT127" i="26"/>
  <c r="Y127" i="26"/>
  <c r="AU126" i="26"/>
  <c r="AT126" i="26"/>
  <c r="Y126" i="26"/>
  <c r="AT125" i="26"/>
  <c r="Y125" i="26"/>
  <c r="AT124" i="26"/>
  <c r="Y124" i="26"/>
  <c r="AT123" i="26"/>
  <c r="Y123" i="26"/>
  <c r="AT122" i="26"/>
  <c r="Y122" i="26"/>
  <c r="AU122" i="26" s="1"/>
  <c r="AT121" i="26"/>
  <c r="Y121" i="26"/>
  <c r="AT120" i="26"/>
  <c r="AU120" i="26" s="1"/>
  <c r="Y120" i="26"/>
  <c r="AT119" i="26"/>
  <c r="Y119" i="26"/>
  <c r="AT118" i="26"/>
  <c r="AU118" i="26" s="1"/>
  <c r="Y118" i="26"/>
  <c r="AT117" i="26"/>
  <c r="Y117" i="26"/>
  <c r="AT116" i="26"/>
  <c r="Y116" i="26"/>
  <c r="AT115" i="26"/>
  <c r="AU115" i="26" s="1"/>
  <c r="Y115" i="26"/>
  <c r="AT114" i="26"/>
  <c r="AU114" i="26" s="1"/>
  <c r="Y114" i="26"/>
  <c r="AT113" i="26"/>
  <c r="AU113" i="26" s="1"/>
  <c r="Y113" i="26"/>
  <c r="AT112" i="26"/>
  <c r="AU112" i="26" s="1"/>
  <c r="Y112" i="26"/>
  <c r="AT111" i="26"/>
  <c r="Y111" i="26"/>
  <c r="AU111" i="26" s="1"/>
  <c r="AT110" i="26"/>
  <c r="AU110" i="26" s="1"/>
  <c r="Y110" i="26"/>
  <c r="AT109" i="26"/>
  <c r="Y109" i="26"/>
  <c r="AT108" i="26"/>
  <c r="AU108" i="26" s="1"/>
  <c r="Y108" i="26"/>
  <c r="AT107" i="26"/>
  <c r="Y107" i="26"/>
  <c r="AT106" i="26"/>
  <c r="AU106" i="26" s="1"/>
  <c r="Y106" i="26"/>
  <c r="AT105" i="26"/>
  <c r="AU105" i="26" s="1"/>
  <c r="Y105" i="26"/>
  <c r="AT104" i="26"/>
  <c r="Y104" i="26"/>
  <c r="AT103" i="26"/>
  <c r="Y103" i="26"/>
  <c r="AU102" i="26"/>
  <c r="AT102" i="26"/>
  <c r="Y102" i="26"/>
  <c r="AT101" i="26"/>
  <c r="AU101" i="26" s="1"/>
  <c r="Y101" i="26"/>
  <c r="AT100" i="26"/>
  <c r="Y100" i="26"/>
  <c r="AT99" i="26"/>
  <c r="Y99" i="26"/>
  <c r="AT98" i="26"/>
  <c r="AU98" i="26" s="1"/>
  <c r="Y98" i="26"/>
  <c r="AT97" i="26"/>
  <c r="Y97" i="26"/>
  <c r="AT96" i="26"/>
  <c r="Y96" i="26"/>
  <c r="AT95" i="26"/>
  <c r="AU95" i="26" s="1"/>
  <c r="Y95" i="26"/>
  <c r="AU94" i="26"/>
  <c r="AT94" i="26"/>
  <c r="Y94" i="26"/>
  <c r="AT93" i="26"/>
  <c r="Y93" i="26"/>
  <c r="AT92" i="26"/>
  <c r="Y92" i="26"/>
  <c r="AT91" i="26"/>
  <c r="Y91" i="26"/>
  <c r="AT90" i="26"/>
  <c r="Y90" i="26"/>
  <c r="AU90" i="26" s="1"/>
  <c r="AT89" i="26"/>
  <c r="Y89" i="26"/>
  <c r="AT88" i="26"/>
  <c r="AU88" i="26" s="1"/>
  <c r="Y88" i="26"/>
  <c r="AT87" i="26"/>
  <c r="AU87" i="26" s="1"/>
  <c r="Y87" i="26"/>
  <c r="AT86" i="26"/>
  <c r="AU86" i="26" s="1"/>
  <c r="Y86" i="26"/>
  <c r="AT85" i="26"/>
  <c r="Y85" i="26"/>
  <c r="AT84" i="26"/>
  <c r="Y84" i="26"/>
  <c r="AT83" i="26"/>
  <c r="AU83" i="26" s="1"/>
  <c r="Y83" i="26"/>
  <c r="AT82" i="26"/>
  <c r="AU82" i="26" s="1"/>
  <c r="Y82" i="26"/>
  <c r="AT81" i="26"/>
  <c r="AU81" i="26" s="1"/>
  <c r="Y81" i="26"/>
  <c r="AT80" i="26"/>
  <c r="AU80" i="26" s="1"/>
  <c r="Y80" i="26"/>
  <c r="AT79" i="26"/>
  <c r="Y79" i="26"/>
  <c r="AT78" i="26"/>
  <c r="AU78" i="26" s="1"/>
  <c r="Y78" i="26"/>
  <c r="AT77" i="26"/>
  <c r="Y77" i="26"/>
  <c r="AT76" i="26"/>
  <c r="AU76" i="26" s="1"/>
  <c r="Y76" i="26"/>
  <c r="AT75" i="26"/>
  <c r="Y75" i="26"/>
  <c r="AT74" i="26"/>
  <c r="AU74" i="26" s="1"/>
  <c r="Y74" i="26"/>
  <c r="AT73" i="26"/>
  <c r="AU73" i="26" s="1"/>
  <c r="Y73" i="26"/>
  <c r="AT72" i="26"/>
  <c r="Y72" i="26"/>
  <c r="AT71" i="26"/>
  <c r="Y71" i="26"/>
  <c r="AU70" i="26"/>
  <c r="AT70" i="26"/>
  <c r="Y70" i="26"/>
  <c r="AT69" i="26"/>
  <c r="AU69" i="26" s="1"/>
  <c r="Y69" i="26"/>
  <c r="AT68" i="26"/>
  <c r="Y68" i="26"/>
  <c r="AT67" i="26"/>
  <c r="Y67" i="26"/>
  <c r="AT66" i="26"/>
  <c r="AU66" i="26" s="1"/>
  <c r="Y66" i="26"/>
  <c r="AT65" i="26"/>
  <c r="Y65" i="26"/>
  <c r="AT64" i="26"/>
  <c r="Y64" i="26"/>
  <c r="AT63" i="26"/>
  <c r="AU63" i="26" s="1"/>
  <c r="Y63" i="26"/>
  <c r="AU62" i="26"/>
  <c r="AT62" i="26"/>
  <c r="Y62" i="26"/>
  <c r="AT61" i="26"/>
  <c r="Y61" i="26"/>
  <c r="AT60" i="26"/>
  <c r="Y60" i="26"/>
  <c r="AT59" i="26"/>
  <c r="Y59" i="26"/>
  <c r="AT58" i="26"/>
  <c r="Y58" i="26"/>
  <c r="AU58" i="26" s="1"/>
  <c r="AT57" i="26"/>
  <c r="Y57" i="26"/>
  <c r="AT56" i="26"/>
  <c r="AU56" i="26" s="1"/>
  <c r="Y56" i="26"/>
  <c r="AT55" i="26"/>
  <c r="AU55" i="26" s="1"/>
  <c r="Y55" i="26"/>
  <c r="AT54" i="26"/>
  <c r="AU54" i="26" s="1"/>
  <c r="Y54" i="26"/>
  <c r="AT53" i="26"/>
  <c r="Y53" i="26"/>
  <c r="AT52" i="26"/>
  <c r="Y52" i="26"/>
  <c r="AT51" i="26"/>
  <c r="AU51" i="26" s="1"/>
  <c r="Y51" i="26"/>
  <c r="AT50" i="26"/>
  <c r="AU50" i="26" s="1"/>
  <c r="Y50" i="26"/>
  <c r="AT49" i="26"/>
  <c r="AU49" i="26" s="1"/>
  <c r="Y49" i="26"/>
  <c r="AT48" i="26"/>
  <c r="AU48" i="26" s="1"/>
  <c r="Y48" i="26"/>
  <c r="AT47" i="26"/>
  <c r="Y47" i="26"/>
  <c r="AT46" i="26"/>
  <c r="AU46" i="26" s="1"/>
  <c r="Y46" i="26"/>
  <c r="AT45" i="26"/>
  <c r="Y45" i="26"/>
  <c r="AT44" i="26"/>
  <c r="R44" i="26"/>
  <c r="R185" i="26" s="1"/>
  <c r="AT43" i="26"/>
  <c r="Y43" i="26"/>
  <c r="AT42" i="26"/>
  <c r="AU42" i="26" s="1"/>
  <c r="Y42" i="26"/>
  <c r="AT41" i="26"/>
  <c r="Q41" i="26"/>
  <c r="Y41" i="26" s="1"/>
  <c r="AT40" i="26"/>
  <c r="AU40" i="26" s="1"/>
  <c r="Y40" i="26"/>
  <c r="AT39" i="26"/>
  <c r="Y39" i="26"/>
  <c r="AT38" i="26"/>
  <c r="Y38" i="26"/>
  <c r="AT37" i="26"/>
  <c r="P37" i="26"/>
  <c r="Y37" i="26" s="1"/>
  <c r="AT36" i="26"/>
  <c r="Y36" i="26"/>
  <c r="AT35" i="26"/>
  <c r="AU35" i="26" s="1"/>
  <c r="Y35" i="26"/>
  <c r="AT34" i="26"/>
  <c r="AU34" i="26" s="1"/>
  <c r="Y34" i="26"/>
  <c r="AT33" i="26"/>
  <c r="N33" i="26"/>
  <c r="N185" i="26" s="1"/>
  <c r="AT32" i="26"/>
  <c r="Y32" i="26"/>
  <c r="AT31" i="26"/>
  <c r="Y31" i="26"/>
  <c r="AT30" i="26"/>
  <c r="Y30" i="26"/>
  <c r="AU30" i="26" s="1"/>
  <c r="AT29" i="26"/>
  <c r="Y29" i="26"/>
  <c r="AT28" i="26"/>
  <c r="AU28" i="26" s="1"/>
  <c r="Y28" i="26"/>
  <c r="AT27" i="26"/>
  <c r="Y27" i="26"/>
  <c r="AT26" i="26"/>
  <c r="AU26" i="26" s="1"/>
  <c r="Y26" i="26"/>
  <c r="AT25" i="26"/>
  <c r="Y25" i="26"/>
  <c r="AT24" i="26"/>
  <c r="Y24" i="26"/>
  <c r="AT23" i="26"/>
  <c r="AU23" i="26" s="1"/>
  <c r="Y23" i="26"/>
  <c r="AT22" i="26"/>
  <c r="AU22" i="26" s="1"/>
  <c r="Y22" i="26"/>
  <c r="AT21" i="26"/>
  <c r="AU21" i="26" s="1"/>
  <c r="Y21" i="26"/>
  <c r="AT20" i="26"/>
  <c r="AU20" i="26" s="1"/>
  <c r="Y20" i="26"/>
  <c r="AT19" i="26"/>
  <c r="Y19" i="26"/>
  <c r="AU19" i="26" s="1"/>
  <c r="AT18" i="26"/>
  <c r="AU18" i="26" s="1"/>
  <c r="Y18" i="26"/>
  <c r="AT17" i="26"/>
  <c r="Y17" i="26"/>
  <c r="AT16" i="26"/>
  <c r="AU16" i="26" s="1"/>
  <c r="Y16" i="26"/>
  <c r="AU60" i="26" l="1"/>
  <c r="AU99" i="26"/>
  <c r="AU117" i="26"/>
  <c r="AU131" i="26"/>
  <c r="AU149" i="26"/>
  <c r="AU57" i="26"/>
  <c r="AU71" i="26"/>
  <c r="AU128" i="26"/>
  <c r="AU61" i="26"/>
  <c r="AU68" i="26"/>
  <c r="AU93" i="26"/>
  <c r="AU125" i="26"/>
  <c r="AU132" i="26"/>
  <c r="AU157" i="26"/>
  <c r="AU171" i="26"/>
  <c r="Y185" i="26"/>
  <c r="E13" i="26" s="1"/>
  <c r="Y44" i="26"/>
  <c r="AU47" i="26"/>
  <c r="AU65" i="26"/>
  <c r="AU72" i="26"/>
  <c r="AU79" i="26"/>
  <c r="AU97" i="26"/>
  <c r="AU104" i="26"/>
  <c r="AU129" i="26"/>
  <c r="AU136" i="26"/>
  <c r="AU161" i="26"/>
  <c r="AU168" i="26"/>
  <c r="AU32" i="26"/>
  <c r="AU85" i="26"/>
  <c r="AU92" i="26"/>
  <c r="AU124" i="26"/>
  <c r="AU156" i="26"/>
  <c r="AU163" i="26"/>
  <c r="AU181" i="26"/>
  <c r="AU29" i="26"/>
  <c r="AU43" i="26"/>
  <c r="AU89" i="26"/>
  <c r="AU96" i="26"/>
  <c r="AU36" i="26"/>
  <c r="AU75" i="26"/>
  <c r="AU100" i="26"/>
  <c r="AU107" i="26"/>
  <c r="AU139" i="26"/>
  <c r="AU164" i="26"/>
  <c r="AU27" i="26"/>
  <c r="AU41" i="26"/>
  <c r="AU44" i="26"/>
  <c r="AU119" i="26"/>
  <c r="AU151" i="26"/>
  <c r="AU183" i="26"/>
  <c r="P185" i="26"/>
  <c r="AU25" i="26"/>
  <c r="AU39" i="26"/>
  <c r="AU53" i="26"/>
  <c r="AU67" i="26"/>
  <c r="AU64" i="26"/>
  <c r="AU103" i="26"/>
  <c r="AU121" i="26"/>
  <c r="AU153" i="26"/>
  <c r="AU160" i="26"/>
  <c r="Y33" i="26"/>
  <c r="AU33" i="26" s="1"/>
  <c r="AU17" i="26"/>
  <c r="AU24" i="26"/>
  <c r="AU31" i="26"/>
  <c r="AU38" i="26"/>
  <c r="AU45" i="26"/>
  <c r="AU52" i="26"/>
  <c r="AU59" i="26"/>
  <c r="AU77" i="26"/>
  <c r="AU84" i="26"/>
  <c r="AU91" i="26"/>
  <c r="AU109" i="26"/>
  <c r="AU116" i="26"/>
  <c r="AU123" i="26"/>
  <c r="AU127" i="26"/>
  <c r="AU141" i="26"/>
  <c r="AU148" i="26"/>
  <c r="AU155" i="26"/>
  <c r="AU159" i="26"/>
  <c r="AU173" i="26"/>
  <c r="AU180" i="26"/>
  <c r="AU37" i="26"/>
  <c r="Q185" i="26"/>
  <c r="AT185" i="26"/>
  <c r="AU185" i="26" l="1"/>
  <c r="Y16" i="24" l="1"/>
  <c r="AT16" i="24"/>
  <c r="AU16" i="24" s="1"/>
  <c r="AP82" i="25" l="1"/>
  <c r="AL82" i="25"/>
  <c r="AH82" i="25"/>
  <c r="AD82" i="25"/>
  <c r="Z82" i="25"/>
  <c r="X82" i="25"/>
  <c r="W82" i="25"/>
  <c r="V82" i="25"/>
  <c r="U82" i="25"/>
  <c r="T82" i="25"/>
  <c r="S82" i="25"/>
  <c r="R82" i="25"/>
  <c r="Q82" i="25"/>
  <c r="P82" i="25"/>
  <c r="O82" i="25"/>
  <c r="N82" i="25"/>
  <c r="M82" i="25"/>
  <c r="L82" i="25"/>
  <c r="K82" i="25"/>
  <c r="J82" i="25"/>
  <c r="AT71" i="25"/>
  <c r="Y71" i="25"/>
  <c r="AT70" i="25"/>
  <c r="Y70" i="25"/>
  <c r="AT69" i="25"/>
  <c r="Y69" i="25"/>
  <c r="AT68" i="25"/>
  <c r="AU68" i="25" s="1"/>
  <c r="Y68" i="25"/>
  <c r="AT67" i="25"/>
  <c r="Y67" i="25"/>
  <c r="AT66" i="25"/>
  <c r="Y66" i="25"/>
  <c r="AT65" i="25"/>
  <c r="AU65" i="25" s="1"/>
  <c r="Y65" i="25"/>
  <c r="AT64" i="25"/>
  <c r="AU64" i="25" s="1"/>
  <c r="Y64" i="25"/>
  <c r="AT63" i="25"/>
  <c r="Y63" i="25"/>
  <c r="AT62" i="25"/>
  <c r="Y62" i="25"/>
  <c r="AT61" i="25"/>
  <c r="Y61" i="25"/>
  <c r="AT60" i="25"/>
  <c r="Y60" i="25"/>
  <c r="AT59" i="25"/>
  <c r="Y59" i="25"/>
  <c r="AT58" i="25"/>
  <c r="Y58" i="25"/>
  <c r="AT57" i="25"/>
  <c r="Y57" i="25"/>
  <c r="AU57" i="25" s="1"/>
  <c r="AT56" i="25"/>
  <c r="AU56" i="25" s="1"/>
  <c r="Y56" i="25"/>
  <c r="AT55" i="25"/>
  <c r="Y55" i="25"/>
  <c r="AT54" i="25"/>
  <c r="AU54" i="25" s="1"/>
  <c r="Y54" i="25"/>
  <c r="AT53" i="25"/>
  <c r="Y53" i="25"/>
  <c r="AT52" i="25"/>
  <c r="Y52" i="25"/>
  <c r="AT51" i="25"/>
  <c r="Y51" i="25"/>
  <c r="AT50" i="25"/>
  <c r="AU50" i="25" s="1"/>
  <c r="Y50" i="25"/>
  <c r="AT49" i="25"/>
  <c r="AU49" i="25" s="1"/>
  <c r="Y49" i="25"/>
  <c r="AU48" i="25"/>
  <c r="AT48" i="25"/>
  <c r="Y48" i="25"/>
  <c r="AT47" i="25"/>
  <c r="AU47" i="25" s="1"/>
  <c r="Y47" i="25"/>
  <c r="AT46" i="25"/>
  <c r="Y46" i="25"/>
  <c r="AT45" i="25"/>
  <c r="Y45" i="25"/>
  <c r="AT44" i="25"/>
  <c r="Y44" i="25"/>
  <c r="AT43" i="25"/>
  <c r="AU43" i="25" s="1"/>
  <c r="Y43" i="25"/>
  <c r="AT42" i="25"/>
  <c r="Y42" i="25"/>
  <c r="AT41" i="25"/>
  <c r="AU41" i="25" s="1"/>
  <c r="Y41" i="25"/>
  <c r="AU40" i="25"/>
  <c r="AT40" i="25"/>
  <c r="Y40" i="25"/>
  <c r="AT39" i="25"/>
  <c r="Y39" i="25"/>
  <c r="AT38" i="25"/>
  <c r="Y38" i="25"/>
  <c r="AT37" i="25"/>
  <c r="Y37" i="25"/>
  <c r="AT36" i="25"/>
  <c r="AU36" i="25" s="1"/>
  <c r="Y36" i="25"/>
  <c r="AT35" i="25"/>
  <c r="Y35" i="25"/>
  <c r="AT34" i="25"/>
  <c r="Y34" i="25"/>
  <c r="AT33" i="25"/>
  <c r="AU33" i="25" s="1"/>
  <c r="Y33" i="25"/>
  <c r="AT32" i="25"/>
  <c r="AU32" i="25" s="1"/>
  <c r="Y32" i="25"/>
  <c r="AT31" i="25"/>
  <c r="Y31" i="25"/>
  <c r="AT30" i="25"/>
  <c r="Y30" i="25"/>
  <c r="AT29" i="25"/>
  <c r="AU29" i="25" s="1"/>
  <c r="Y29" i="25"/>
  <c r="AT28" i="25"/>
  <c r="Y28" i="25"/>
  <c r="AT27" i="25"/>
  <c r="Y27" i="25"/>
  <c r="AT26" i="25"/>
  <c r="Y26" i="25"/>
  <c r="AT25" i="25"/>
  <c r="Y25" i="25"/>
  <c r="AU25" i="25" s="1"/>
  <c r="AT24" i="25"/>
  <c r="AU24" i="25" s="1"/>
  <c r="Y24" i="25"/>
  <c r="AT23" i="25"/>
  <c r="Y23" i="25"/>
  <c r="AT22" i="25"/>
  <c r="AU22" i="25" s="1"/>
  <c r="Y22" i="25"/>
  <c r="AT21" i="25"/>
  <c r="Y21" i="25"/>
  <c r="AT20" i="25"/>
  <c r="Y20" i="25"/>
  <c r="AT19" i="25"/>
  <c r="Y19" i="25"/>
  <c r="AT18" i="25"/>
  <c r="AU18" i="25" s="1"/>
  <c r="Y18" i="25"/>
  <c r="AT17" i="25"/>
  <c r="AU17" i="25" s="1"/>
  <c r="Y17" i="25"/>
  <c r="AU16" i="25"/>
  <c r="AT16" i="25"/>
  <c r="Y16" i="25"/>
  <c r="AT15" i="25"/>
  <c r="AU15" i="25" s="1"/>
  <c r="Y15" i="25"/>
  <c r="AT14" i="25"/>
  <c r="Y14" i="25"/>
  <c r="AT13" i="25"/>
  <c r="Y13" i="25"/>
  <c r="AT12" i="25"/>
  <c r="Y12" i="25"/>
  <c r="AT11" i="25"/>
  <c r="AU11" i="25" s="1"/>
  <c r="Y11" i="25"/>
  <c r="AT10" i="25"/>
  <c r="Y10" i="25"/>
  <c r="AT9" i="25"/>
  <c r="AU9" i="25" s="1"/>
  <c r="Y9" i="25"/>
  <c r="AU8" i="25"/>
  <c r="AT8" i="25"/>
  <c r="Y8" i="25"/>
  <c r="AU13" i="25" l="1"/>
  <c r="AU31" i="25"/>
  <c r="AU45" i="25"/>
  <c r="AU63" i="25"/>
  <c r="Y82" i="25"/>
  <c r="AU10" i="25"/>
  <c r="AU21" i="25"/>
  <c r="AU28" i="25"/>
  <c r="AU35" i="25"/>
  <c r="AU46" i="25"/>
  <c r="AU67" i="25"/>
  <c r="AU38" i="25"/>
  <c r="AU52" i="25"/>
  <c r="AU66" i="25"/>
  <c r="AU14" i="25"/>
  <c r="AU39" i="25"/>
  <c r="AU42" i="25"/>
  <c r="AU53" i="25"/>
  <c r="AU60" i="25"/>
  <c r="AU71" i="25"/>
  <c r="AU61" i="25"/>
  <c r="AU20" i="25"/>
  <c r="AU27" i="25"/>
  <c r="AU34" i="25"/>
  <c r="AU59" i="25"/>
  <c r="AU70" i="25"/>
  <c r="AU12" i="25"/>
  <c r="AU19" i="25"/>
  <c r="AU23" i="25"/>
  <c r="AU26" i="25"/>
  <c r="AU30" i="25"/>
  <c r="AU37" i="25"/>
  <c r="AU44" i="25"/>
  <c r="AU51" i="25"/>
  <c r="AU55" i="25"/>
  <c r="AU58" i="25"/>
  <c r="AU62" i="25"/>
  <c r="AU69" i="25"/>
  <c r="AU82" i="25"/>
  <c r="AT82" i="25"/>
  <c r="J148" i="24" l="1"/>
  <c r="AS148" i="24"/>
  <c r="AR148" i="24"/>
  <c r="AQ148" i="24"/>
  <c r="AP148" i="24"/>
  <c r="AL148" i="24"/>
  <c r="AH148" i="24"/>
  <c r="AD148" i="24"/>
  <c r="Z148" i="24"/>
  <c r="X148" i="24"/>
  <c r="W148" i="24"/>
  <c r="V148" i="24"/>
  <c r="U148" i="24"/>
  <c r="T148" i="24"/>
  <c r="S148" i="24"/>
  <c r="Q148" i="24"/>
  <c r="P148" i="24"/>
  <c r="O148" i="24"/>
  <c r="N148" i="24"/>
  <c r="M148" i="24"/>
  <c r="L148" i="24"/>
  <c r="K148" i="24"/>
  <c r="AT147" i="24"/>
  <c r="Y147" i="24"/>
  <c r="AT146" i="24"/>
  <c r="Y146" i="24"/>
  <c r="AU145" i="24"/>
  <c r="AT145" i="24"/>
  <c r="Y145" i="24"/>
  <c r="AT144" i="24"/>
  <c r="Y144" i="24"/>
  <c r="AU144" i="24" s="1"/>
  <c r="AT143" i="24"/>
  <c r="AU143" i="24" s="1"/>
  <c r="Y143" i="24"/>
  <c r="AT142" i="24"/>
  <c r="Y142" i="24"/>
  <c r="AU142" i="24" s="1"/>
  <c r="AT141" i="24"/>
  <c r="Y141" i="24"/>
  <c r="AT140" i="24"/>
  <c r="Y140" i="24"/>
  <c r="AT139" i="24"/>
  <c r="AU139" i="24" s="1"/>
  <c r="Y139" i="24"/>
  <c r="AT138" i="24"/>
  <c r="Y138" i="24"/>
  <c r="AU138" i="24" s="1"/>
  <c r="AT137" i="24"/>
  <c r="AU137" i="24" s="1"/>
  <c r="Y137" i="24"/>
  <c r="AT136" i="24"/>
  <c r="Y136" i="24"/>
  <c r="AU136" i="24" s="1"/>
  <c r="AT135" i="24"/>
  <c r="AU135" i="24" s="1"/>
  <c r="Y135" i="24"/>
  <c r="AT134" i="24"/>
  <c r="Y134" i="24"/>
  <c r="AT133" i="24"/>
  <c r="Y133" i="24"/>
  <c r="AT132" i="24"/>
  <c r="Y132" i="24"/>
  <c r="AT131" i="24"/>
  <c r="AU131" i="24" s="1"/>
  <c r="Y131" i="24"/>
  <c r="AT130" i="24"/>
  <c r="Y130" i="24"/>
  <c r="AT129" i="24"/>
  <c r="AU129" i="24" s="1"/>
  <c r="Y129" i="24"/>
  <c r="AT128" i="24"/>
  <c r="Y128" i="24"/>
  <c r="AT127" i="24"/>
  <c r="Y127" i="24"/>
  <c r="AT126" i="24"/>
  <c r="Y126" i="24"/>
  <c r="AU126" i="24" s="1"/>
  <c r="AT125" i="24"/>
  <c r="Y125" i="24"/>
  <c r="AT124" i="24"/>
  <c r="AU124" i="24" s="1"/>
  <c r="Y124" i="24"/>
  <c r="AT123" i="24"/>
  <c r="Y123" i="24"/>
  <c r="AT122" i="24"/>
  <c r="Y122" i="24"/>
  <c r="AU122" i="24" s="1"/>
  <c r="AT121" i="24"/>
  <c r="AU121" i="24" s="1"/>
  <c r="Y121" i="24"/>
  <c r="AT120" i="24"/>
  <c r="Y120" i="24"/>
  <c r="AT119" i="24"/>
  <c r="AU119" i="24" s="1"/>
  <c r="Y119" i="24"/>
  <c r="AT118" i="24"/>
  <c r="Y118" i="24"/>
  <c r="AU118" i="24" s="1"/>
  <c r="AT117" i="24"/>
  <c r="Y117" i="24"/>
  <c r="AT116" i="24"/>
  <c r="AU116" i="24" s="1"/>
  <c r="Y116" i="24"/>
  <c r="AT115" i="24"/>
  <c r="AU115" i="24" s="1"/>
  <c r="Y115" i="24"/>
  <c r="AT114" i="24"/>
  <c r="Y114" i="24"/>
  <c r="AU114" i="24" s="1"/>
  <c r="AT113" i="24"/>
  <c r="AU113" i="24" s="1"/>
  <c r="Y113" i="24"/>
  <c r="AT112" i="24"/>
  <c r="Y112" i="24"/>
  <c r="AU112" i="24" s="1"/>
  <c r="AT111" i="24"/>
  <c r="Y111" i="24"/>
  <c r="AT110" i="24"/>
  <c r="Y110" i="24"/>
  <c r="AU110" i="24" s="1"/>
  <c r="AT109" i="24"/>
  <c r="AU109" i="24" s="1"/>
  <c r="Y109" i="24"/>
  <c r="AT108" i="24"/>
  <c r="Y108" i="24"/>
  <c r="AT107" i="24"/>
  <c r="Y107" i="24"/>
  <c r="AT106" i="24"/>
  <c r="Y106" i="24"/>
  <c r="AU106" i="24" s="1"/>
  <c r="AU105" i="24"/>
  <c r="AT105" i="24"/>
  <c r="Y105" i="24"/>
  <c r="AT104" i="24"/>
  <c r="Y104" i="24"/>
  <c r="AT103" i="24"/>
  <c r="Y103" i="24"/>
  <c r="AT102" i="24"/>
  <c r="Y102" i="24"/>
  <c r="AU102" i="24" s="1"/>
  <c r="AT101" i="24"/>
  <c r="AU101" i="24" s="1"/>
  <c r="Y101" i="24"/>
  <c r="AT100" i="24"/>
  <c r="AU100" i="24" s="1"/>
  <c r="Y100" i="24"/>
  <c r="AT99" i="24"/>
  <c r="Y99" i="24"/>
  <c r="AT98" i="24"/>
  <c r="Y98" i="24"/>
  <c r="AU98" i="24" s="1"/>
  <c r="AU97" i="24"/>
  <c r="AT97" i="24"/>
  <c r="Y97" i="24"/>
  <c r="AT96" i="24"/>
  <c r="Y96" i="24"/>
  <c r="AU96" i="24" s="1"/>
  <c r="AT95" i="24"/>
  <c r="Y95" i="24"/>
  <c r="AT94" i="24"/>
  <c r="Y94" i="24"/>
  <c r="AT93" i="24"/>
  <c r="Y93" i="24"/>
  <c r="AT92" i="24"/>
  <c r="Y92" i="24"/>
  <c r="AT91" i="24"/>
  <c r="R91" i="24"/>
  <c r="R148" i="24" s="1"/>
  <c r="AT90" i="24"/>
  <c r="AU90" i="24" s="1"/>
  <c r="Y90" i="24"/>
  <c r="AT89" i="24"/>
  <c r="Y89" i="24"/>
  <c r="AU89" i="24" s="1"/>
  <c r="AT88" i="24"/>
  <c r="Y88" i="24"/>
  <c r="AT87" i="24"/>
  <c r="Y87" i="24"/>
  <c r="AT86" i="24"/>
  <c r="AU86" i="24" s="1"/>
  <c r="Y86" i="24"/>
  <c r="AT85" i="24"/>
  <c r="Y85" i="24"/>
  <c r="AU85" i="24" s="1"/>
  <c r="AT84" i="24"/>
  <c r="AU84" i="24" s="1"/>
  <c r="Y84" i="24"/>
  <c r="AT83" i="24"/>
  <c r="Y83" i="24"/>
  <c r="AU83" i="24" s="1"/>
  <c r="AT82" i="24"/>
  <c r="AU82" i="24" s="1"/>
  <c r="Y82" i="24"/>
  <c r="AT81" i="24"/>
  <c r="Y81" i="24"/>
  <c r="AT80" i="24"/>
  <c r="Y80" i="24"/>
  <c r="AT79" i="24"/>
  <c r="Y79" i="24"/>
  <c r="AT78" i="24"/>
  <c r="AU78" i="24" s="1"/>
  <c r="Y78" i="24"/>
  <c r="AT77" i="24"/>
  <c r="Y77" i="24"/>
  <c r="AT76" i="24"/>
  <c r="AU76" i="24" s="1"/>
  <c r="Y76" i="24"/>
  <c r="AT75" i="24"/>
  <c r="Y75" i="24"/>
  <c r="AT74" i="24"/>
  <c r="Y74" i="24"/>
  <c r="AT73" i="24"/>
  <c r="Y73" i="24"/>
  <c r="AU73" i="24" s="1"/>
  <c r="AT72" i="24"/>
  <c r="Y72" i="24"/>
  <c r="AT71" i="24"/>
  <c r="AU71" i="24" s="1"/>
  <c r="Y71" i="24"/>
  <c r="AT70" i="24"/>
  <c r="Y70" i="24"/>
  <c r="AT69" i="24"/>
  <c r="Y69" i="24"/>
  <c r="AU69" i="24" s="1"/>
  <c r="AT68" i="24"/>
  <c r="AU68" i="24" s="1"/>
  <c r="Y68" i="24"/>
  <c r="AT67" i="24"/>
  <c r="Y67" i="24"/>
  <c r="AT66" i="24"/>
  <c r="AU66" i="24" s="1"/>
  <c r="Y66" i="24"/>
  <c r="AT65" i="24"/>
  <c r="Y65" i="24"/>
  <c r="AT64" i="24"/>
  <c r="Y64" i="24"/>
  <c r="AT63" i="24"/>
  <c r="AU63" i="24" s="1"/>
  <c r="Y63" i="24"/>
  <c r="AT62" i="24"/>
  <c r="AU62" i="24" s="1"/>
  <c r="Y62" i="24"/>
  <c r="AT61" i="24"/>
  <c r="Y61" i="24"/>
  <c r="AU61" i="24" s="1"/>
  <c r="AT60" i="24"/>
  <c r="AU60" i="24" s="1"/>
  <c r="Y60" i="24"/>
  <c r="AT59" i="24"/>
  <c r="Y59" i="24"/>
  <c r="AU59" i="24" s="1"/>
  <c r="AT58" i="24"/>
  <c r="Q58" i="24"/>
  <c r="Y58" i="24" s="1"/>
  <c r="AT57" i="24"/>
  <c r="Y57" i="24"/>
  <c r="AT56" i="24"/>
  <c r="Y56" i="24"/>
  <c r="AU55" i="24"/>
  <c r="AT55" i="24"/>
  <c r="Y55" i="24"/>
  <c r="AT54" i="24"/>
  <c r="Y54" i="24"/>
  <c r="AU54" i="24" s="1"/>
  <c r="AT53" i="24"/>
  <c r="AU53" i="24" s="1"/>
  <c r="Y53" i="24"/>
  <c r="AT52" i="24"/>
  <c r="Y52" i="24"/>
  <c r="AT51" i="24"/>
  <c r="Y51" i="24"/>
  <c r="AT50" i="24"/>
  <c r="Y50" i="24"/>
  <c r="AT49" i="24"/>
  <c r="AU49" i="24" s="1"/>
  <c r="Y49" i="24"/>
  <c r="AT48" i="24"/>
  <c r="Y48" i="24"/>
  <c r="AU48" i="24" s="1"/>
  <c r="AT47" i="24"/>
  <c r="AU47" i="24" s="1"/>
  <c r="Y47" i="24"/>
  <c r="AT46" i="24"/>
  <c r="Y46" i="24"/>
  <c r="AU46" i="24" s="1"/>
  <c r="AT45" i="24"/>
  <c r="AU45" i="24" s="1"/>
  <c r="Y45" i="24"/>
  <c r="AT44" i="24"/>
  <c r="AU44" i="24" s="1"/>
  <c r="Y44" i="24"/>
  <c r="AT43" i="24"/>
  <c r="Y43" i="24"/>
  <c r="AT42" i="24"/>
  <c r="Y42" i="24"/>
  <c r="AT41" i="24"/>
  <c r="AU41" i="24" s="1"/>
  <c r="Y41" i="24"/>
  <c r="AT40" i="24"/>
  <c r="Y40" i="24"/>
  <c r="AT39" i="24"/>
  <c r="AU39" i="24" s="1"/>
  <c r="Y39" i="24"/>
  <c r="AT38" i="24"/>
  <c r="Y38" i="24"/>
  <c r="AT37" i="24"/>
  <c r="Y37" i="24"/>
  <c r="AT36" i="24"/>
  <c r="Y36" i="24"/>
  <c r="AT35" i="24"/>
  <c r="Y35" i="24"/>
  <c r="AT34" i="24"/>
  <c r="AU34" i="24" s="1"/>
  <c r="Y34" i="24"/>
  <c r="AT33" i="24"/>
  <c r="Y33" i="24"/>
  <c r="AT32" i="24"/>
  <c r="Y32" i="24"/>
  <c r="AU32" i="24" s="1"/>
  <c r="AT31" i="24"/>
  <c r="AU31" i="24" s="1"/>
  <c r="Y31" i="24"/>
  <c r="AT30" i="24"/>
  <c r="Y30" i="24"/>
  <c r="AT29" i="24"/>
  <c r="AU29" i="24" s="1"/>
  <c r="Y29" i="24"/>
  <c r="AT28" i="24"/>
  <c r="Y28" i="24"/>
  <c r="AT27" i="24"/>
  <c r="Y27" i="24"/>
  <c r="AT26" i="24"/>
  <c r="AU26" i="24" s="1"/>
  <c r="Y26" i="24"/>
  <c r="AT25" i="24"/>
  <c r="AU25" i="24" s="1"/>
  <c r="Y25" i="24"/>
  <c r="AT24" i="24"/>
  <c r="Y24" i="24"/>
  <c r="AU24" i="24" s="1"/>
  <c r="AT23" i="24"/>
  <c r="AU23" i="24" s="1"/>
  <c r="Y23" i="24"/>
  <c r="AT22" i="24"/>
  <c r="Y22" i="24"/>
  <c r="AU22" i="24" s="1"/>
  <c r="AT21" i="24"/>
  <c r="Y21" i="24"/>
  <c r="AT20" i="24"/>
  <c r="Y20" i="24"/>
  <c r="AT19" i="24"/>
  <c r="AU19" i="24" s="1"/>
  <c r="Y19" i="24"/>
  <c r="AT18" i="24"/>
  <c r="Y18" i="24"/>
  <c r="AT17" i="24"/>
  <c r="Y17" i="24"/>
  <c r="AU27" i="24" l="1"/>
  <c r="AU57" i="24"/>
  <c r="AU79" i="24"/>
  <c r="AU117" i="24"/>
  <c r="AU132" i="24"/>
  <c r="AU20" i="24"/>
  <c r="AU35" i="24"/>
  <c r="AU72" i="24"/>
  <c r="AU95" i="24"/>
  <c r="AU125" i="24"/>
  <c r="AU140" i="24"/>
  <c r="AU28" i="24"/>
  <c r="AU43" i="24"/>
  <c r="AU65" i="24"/>
  <c r="AU80" i="24"/>
  <c r="AU99" i="24"/>
  <c r="AU103" i="24"/>
  <c r="AU133" i="24"/>
  <c r="AU17" i="24"/>
  <c r="AU21" i="24"/>
  <c r="AU36" i="24"/>
  <c r="AU40" i="24"/>
  <c r="AU51" i="24"/>
  <c r="AU58" i="24"/>
  <c r="AU77" i="24"/>
  <c r="AU81" i="24"/>
  <c r="AU88" i="24"/>
  <c r="AU92" i="24"/>
  <c r="AU104" i="24"/>
  <c r="AU107" i="24"/>
  <c r="AU111" i="24"/>
  <c r="AU130" i="24"/>
  <c r="AU134" i="24"/>
  <c r="AU141" i="24"/>
  <c r="AU64" i="24"/>
  <c r="AU50" i="24"/>
  <c r="AU87" i="24"/>
  <c r="AU18" i="24"/>
  <c r="AU30" i="24"/>
  <c r="AU33" i="24"/>
  <c r="AU37" i="24"/>
  <c r="AU52" i="24"/>
  <c r="AU56" i="24"/>
  <c r="AU67" i="24"/>
  <c r="AU70" i="24"/>
  <c r="AU74" i="24"/>
  <c r="AU93" i="24"/>
  <c r="AU108" i="24"/>
  <c r="AU120" i="24"/>
  <c r="AU123" i="24"/>
  <c r="AU127" i="24"/>
  <c r="AU146" i="24"/>
  <c r="AU42" i="24"/>
  <c r="AU147" i="24"/>
  <c r="AT148" i="24"/>
  <c r="AU38" i="24"/>
  <c r="AU75" i="24"/>
  <c r="AU94" i="24"/>
  <c r="AU128" i="24"/>
  <c r="Y91" i="24"/>
  <c r="Y148" i="24" s="1"/>
  <c r="E13" i="24" s="1"/>
  <c r="AU91" i="24" l="1"/>
  <c r="AU148" i="24"/>
  <c r="AP337" i="23" l="1"/>
  <c r="AL337" i="23"/>
  <c r="AH337" i="23"/>
  <c r="AD337" i="23"/>
  <c r="Z337" i="23"/>
  <c r="X337" i="23"/>
  <c r="W337" i="23"/>
  <c r="V337" i="23"/>
  <c r="U337" i="23"/>
  <c r="T337" i="23"/>
  <c r="S337" i="23"/>
  <c r="R337" i="23"/>
  <c r="Q337" i="23"/>
  <c r="P337" i="23"/>
  <c r="O337" i="23"/>
  <c r="N337" i="23"/>
  <c r="M337" i="23"/>
  <c r="L337" i="23"/>
  <c r="K337" i="23"/>
  <c r="AT334" i="23"/>
  <c r="Y334" i="23"/>
  <c r="AT333" i="23"/>
  <c r="AU333" i="23" s="1"/>
  <c r="Y333" i="23"/>
  <c r="AT332" i="23"/>
  <c r="Y332" i="23"/>
  <c r="AT331" i="23"/>
  <c r="Y331" i="23"/>
  <c r="AT330" i="23"/>
  <c r="Y330" i="23"/>
  <c r="AT329" i="23"/>
  <c r="AU329" i="23" s="1"/>
  <c r="Y329" i="23"/>
  <c r="AU328" i="23"/>
  <c r="AT328" i="23"/>
  <c r="Y328" i="23"/>
  <c r="AT327" i="23"/>
  <c r="Y327" i="23"/>
  <c r="AT326" i="23"/>
  <c r="Y326" i="23"/>
  <c r="AT325" i="23"/>
  <c r="Y325" i="23"/>
  <c r="AT324" i="23"/>
  <c r="AU324" i="23" s="1"/>
  <c r="Y324" i="23"/>
  <c r="AT323" i="23"/>
  <c r="AU323" i="23" s="1"/>
  <c r="Y323" i="23"/>
  <c r="AT322" i="23"/>
  <c r="AU322" i="23" s="1"/>
  <c r="Y322" i="23"/>
  <c r="AT321" i="23"/>
  <c r="AU321" i="23" s="1"/>
  <c r="Y321" i="23"/>
  <c r="AT320" i="23"/>
  <c r="AU320" i="23" s="1"/>
  <c r="Y320" i="23"/>
  <c r="AT319" i="23"/>
  <c r="Y319" i="23"/>
  <c r="AT318" i="23"/>
  <c r="Y318" i="23"/>
  <c r="AT317" i="23"/>
  <c r="AU317" i="23" s="1"/>
  <c r="Y317" i="23"/>
  <c r="AT316" i="23"/>
  <c r="Y316" i="23"/>
  <c r="AT315" i="23"/>
  <c r="Y315" i="23"/>
  <c r="AT314" i="23"/>
  <c r="Y314" i="23"/>
  <c r="AT313" i="23"/>
  <c r="AU313" i="23" s="1"/>
  <c r="Y313" i="23"/>
  <c r="AT312" i="23"/>
  <c r="AU312" i="23" s="1"/>
  <c r="Y312" i="23"/>
  <c r="AT311" i="23"/>
  <c r="AU311" i="23" s="1"/>
  <c r="Y311" i="23"/>
  <c r="AT310" i="23"/>
  <c r="AU310" i="23" s="1"/>
  <c r="Y310" i="23"/>
  <c r="AT309" i="23"/>
  <c r="Y309" i="23"/>
  <c r="AT308" i="23"/>
  <c r="Y308" i="23"/>
  <c r="AU307" i="23"/>
  <c r="AT307" i="23"/>
  <c r="Y307" i="23"/>
  <c r="AT306" i="23"/>
  <c r="AU306" i="23" s="1"/>
  <c r="Y306" i="23"/>
  <c r="AT305" i="23"/>
  <c r="Y305" i="23"/>
  <c r="AT304" i="23"/>
  <c r="AU304" i="23" s="1"/>
  <c r="Y304" i="23"/>
  <c r="AT303" i="23"/>
  <c r="Y303" i="23"/>
  <c r="AT302" i="23"/>
  <c r="Y302" i="23"/>
  <c r="AT301" i="23"/>
  <c r="Y301" i="23"/>
  <c r="AU301" i="23" s="1"/>
  <c r="AT300" i="23"/>
  <c r="Y300" i="23"/>
  <c r="AT299" i="23"/>
  <c r="AU299" i="23" s="1"/>
  <c r="Y299" i="23"/>
  <c r="AT298" i="23"/>
  <c r="Y298" i="23"/>
  <c r="AT297" i="23"/>
  <c r="Y297" i="23"/>
  <c r="AU296" i="23"/>
  <c r="AT296" i="23"/>
  <c r="Y296" i="23"/>
  <c r="AT295" i="23"/>
  <c r="AU295" i="23" s="1"/>
  <c r="Y295" i="23"/>
  <c r="AT294" i="23"/>
  <c r="Y294" i="23"/>
  <c r="AT293" i="23"/>
  <c r="Y293" i="23"/>
  <c r="AT292" i="23"/>
  <c r="Y292" i="23"/>
  <c r="AT291" i="23"/>
  <c r="Y291" i="23"/>
  <c r="AU291" i="23" s="1"/>
  <c r="AT290" i="23"/>
  <c r="Y290" i="23"/>
  <c r="AT289" i="23"/>
  <c r="AU289" i="23" s="1"/>
  <c r="Y289" i="23"/>
  <c r="AU288" i="23"/>
  <c r="AT288" i="23"/>
  <c r="Y288" i="23"/>
  <c r="AT287" i="23"/>
  <c r="Y287" i="23"/>
  <c r="AT286" i="23"/>
  <c r="Y286" i="23"/>
  <c r="AT285" i="23"/>
  <c r="Y285" i="23"/>
  <c r="AT284" i="23"/>
  <c r="Y284" i="23"/>
  <c r="AT283" i="23"/>
  <c r="Y283" i="23"/>
  <c r="AT282" i="23"/>
  <c r="Y282" i="23"/>
  <c r="AT281" i="23"/>
  <c r="Y281" i="23"/>
  <c r="AT280" i="23"/>
  <c r="Y280" i="23"/>
  <c r="AU280" i="23" s="1"/>
  <c r="AT279" i="23"/>
  <c r="Y279" i="23"/>
  <c r="AT278" i="23"/>
  <c r="AU278" i="23" s="1"/>
  <c r="Y278" i="23"/>
  <c r="AT277" i="23"/>
  <c r="AU277" i="23" s="1"/>
  <c r="Y277" i="23"/>
  <c r="AT276" i="23"/>
  <c r="Y276" i="23"/>
  <c r="AT275" i="23"/>
  <c r="AU275" i="23" s="1"/>
  <c r="Y275" i="23"/>
  <c r="AT274" i="23"/>
  <c r="Y274" i="23"/>
  <c r="AT273" i="23"/>
  <c r="AU273" i="23" s="1"/>
  <c r="Y273" i="23"/>
  <c r="AT272" i="23"/>
  <c r="AU272" i="23" s="1"/>
  <c r="Y272" i="23"/>
  <c r="AT271" i="23"/>
  <c r="Y271" i="23"/>
  <c r="AT270" i="23"/>
  <c r="AU270" i="23" s="1"/>
  <c r="Y270" i="23"/>
  <c r="AT269" i="23"/>
  <c r="Y269" i="23"/>
  <c r="AU269" i="23" s="1"/>
  <c r="AT268" i="23"/>
  <c r="Y268" i="23"/>
  <c r="AT267" i="23"/>
  <c r="AU267" i="23" s="1"/>
  <c r="Y267" i="23"/>
  <c r="AT266" i="23"/>
  <c r="AU266" i="23" s="1"/>
  <c r="Y266" i="23"/>
  <c r="AT265" i="23"/>
  <c r="Y265" i="23"/>
  <c r="AT264" i="23"/>
  <c r="AU264" i="23" s="1"/>
  <c r="Y264" i="23"/>
  <c r="AT263" i="23"/>
  <c r="Y263" i="23"/>
  <c r="AT262" i="23"/>
  <c r="AU262" i="23" s="1"/>
  <c r="Y262" i="23"/>
  <c r="AT261" i="23"/>
  <c r="Y261" i="23"/>
  <c r="AT260" i="23"/>
  <c r="Y260" i="23"/>
  <c r="AT259" i="23"/>
  <c r="AU259" i="23" s="1"/>
  <c r="Y259" i="23"/>
  <c r="AT258" i="23"/>
  <c r="Y258" i="23"/>
  <c r="AT257" i="23"/>
  <c r="Y257" i="23"/>
  <c r="AU256" i="23"/>
  <c r="AT256" i="23"/>
  <c r="Y256" i="23"/>
  <c r="AT255" i="23"/>
  <c r="Y255" i="23"/>
  <c r="AT254" i="23"/>
  <c r="Y254" i="23"/>
  <c r="AT253" i="23"/>
  <c r="Y253" i="23"/>
  <c r="AT252" i="23"/>
  <c r="Y252" i="23"/>
  <c r="AT251" i="23"/>
  <c r="AU251" i="23" s="1"/>
  <c r="Y251" i="23"/>
  <c r="AT250" i="23"/>
  <c r="Y250" i="23"/>
  <c r="AT249" i="23"/>
  <c r="Y249" i="23"/>
  <c r="AT248" i="23"/>
  <c r="AU248" i="23" s="1"/>
  <c r="Y248" i="23"/>
  <c r="AT247" i="23"/>
  <c r="Y247" i="23"/>
  <c r="AT246" i="23"/>
  <c r="Y246" i="23"/>
  <c r="AT245" i="23"/>
  <c r="AU245" i="23" s="1"/>
  <c r="Y245" i="23"/>
  <c r="AT244" i="23"/>
  <c r="AU244" i="23" s="1"/>
  <c r="Y244" i="23"/>
  <c r="AT243" i="23"/>
  <c r="AU243" i="23" s="1"/>
  <c r="Y243" i="23"/>
  <c r="AT242" i="23"/>
  <c r="Y242" i="23"/>
  <c r="AT241" i="23"/>
  <c r="Y241" i="23"/>
  <c r="AT240" i="23"/>
  <c r="Y240" i="23"/>
  <c r="AU240" i="23" s="1"/>
  <c r="AT239" i="23"/>
  <c r="Y239" i="23"/>
  <c r="AT238" i="23"/>
  <c r="AU238" i="23" s="1"/>
  <c r="Y238" i="23"/>
  <c r="AT237" i="23"/>
  <c r="AU237" i="23" s="1"/>
  <c r="Y237" i="23"/>
  <c r="AT236" i="23"/>
  <c r="Y236" i="23"/>
  <c r="AT235" i="23"/>
  <c r="Y235" i="23"/>
  <c r="AT234" i="23"/>
  <c r="AU234" i="23" s="1"/>
  <c r="Y234" i="23"/>
  <c r="AT233" i="23"/>
  <c r="AU233" i="23" s="1"/>
  <c r="Y233" i="23"/>
  <c r="AT232" i="23"/>
  <c r="AU232" i="23" s="1"/>
  <c r="Y232" i="23"/>
  <c r="AT231" i="23"/>
  <c r="Y231" i="23"/>
  <c r="AT230" i="23"/>
  <c r="Y230" i="23"/>
  <c r="AT229" i="23"/>
  <c r="AU229" i="23" s="1"/>
  <c r="Y229" i="23"/>
  <c r="AT228" i="23"/>
  <c r="Y228" i="23"/>
  <c r="AT227" i="23"/>
  <c r="AU227" i="23" s="1"/>
  <c r="Y227" i="23"/>
  <c r="AT226" i="23"/>
  <c r="AU226" i="23" s="1"/>
  <c r="Y226" i="23"/>
  <c r="AT225" i="23"/>
  <c r="Y225" i="23"/>
  <c r="AT224" i="23"/>
  <c r="AU224" i="23" s="1"/>
  <c r="Y224" i="23"/>
  <c r="AT223" i="23"/>
  <c r="Y223" i="23"/>
  <c r="AT222" i="23"/>
  <c r="AU222" i="23" s="1"/>
  <c r="Y222" i="23"/>
  <c r="AT221" i="23"/>
  <c r="Y221" i="23"/>
  <c r="AT220" i="23"/>
  <c r="Y220" i="23"/>
  <c r="AT219" i="23"/>
  <c r="Y219" i="23"/>
  <c r="AT218" i="23"/>
  <c r="AU218" i="23" s="1"/>
  <c r="Y218" i="23"/>
  <c r="AT217" i="23"/>
  <c r="Y217" i="23"/>
  <c r="AT216" i="23"/>
  <c r="AU216" i="23" s="1"/>
  <c r="Y216" i="23"/>
  <c r="AT215" i="23"/>
  <c r="AU215" i="23" s="1"/>
  <c r="Y215" i="23"/>
  <c r="AT214" i="23"/>
  <c r="Y214" i="23"/>
  <c r="AT213" i="23"/>
  <c r="Y213" i="23"/>
  <c r="AT212" i="23"/>
  <c r="AU212" i="23" s="1"/>
  <c r="Y212" i="23"/>
  <c r="AU211" i="23"/>
  <c r="AT211" i="23"/>
  <c r="Y211" i="23"/>
  <c r="AT210" i="23"/>
  <c r="Y210" i="23"/>
  <c r="AT209" i="23"/>
  <c r="Y209" i="23"/>
  <c r="AT208" i="23"/>
  <c r="AU208" i="23" s="1"/>
  <c r="Y208" i="23"/>
  <c r="AT207" i="23"/>
  <c r="Y207" i="23"/>
  <c r="AT206" i="23"/>
  <c r="Y206" i="23"/>
  <c r="AT205" i="23"/>
  <c r="Y205" i="23"/>
  <c r="AT204" i="23"/>
  <c r="Y204" i="23"/>
  <c r="AT203" i="23"/>
  <c r="Y203" i="23"/>
  <c r="AT202" i="23"/>
  <c r="Y202" i="23"/>
  <c r="AT201" i="23"/>
  <c r="AU201" i="23" s="1"/>
  <c r="Y201" i="23"/>
  <c r="AU200" i="23"/>
  <c r="AT200" i="23"/>
  <c r="Y200" i="23"/>
  <c r="AT199" i="23"/>
  <c r="Y199" i="23"/>
  <c r="AT198" i="23"/>
  <c r="Y198" i="23"/>
  <c r="AT197" i="23"/>
  <c r="Y197" i="23"/>
  <c r="AT196" i="23"/>
  <c r="AU196" i="23" s="1"/>
  <c r="Y196" i="23"/>
  <c r="AT195" i="23"/>
  <c r="AU195" i="23" s="1"/>
  <c r="Y195" i="23"/>
  <c r="AT194" i="23"/>
  <c r="AU194" i="23" s="1"/>
  <c r="Y194" i="23"/>
  <c r="AT193" i="23"/>
  <c r="AU193" i="23" s="1"/>
  <c r="Y193" i="23"/>
  <c r="AT192" i="23"/>
  <c r="AU192" i="23" s="1"/>
  <c r="Y192" i="23"/>
  <c r="AT191" i="23"/>
  <c r="Y191" i="23"/>
  <c r="AT190" i="23"/>
  <c r="Y190" i="23"/>
  <c r="AT189" i="23"/>
  <c r="AU189" i="23" s="1"/>
  <c r="Y189" i="23"/>
  <c r="AT188" i="23"/>
  <c r="Y188" i="23"/>
  <c r="AT187" i="23"/>
  <c r="Y187" i="23"/>
  <c r="AT186" i="23"/>
  <c r="Y186" i="23"/>
  <c r="AT185" i="23"/>
  <c r="AU185" i="23" s="1"/>
  <c r="Y185" i="23"/>
  <c r="AT184" i="23"/>
  <c r="AU184" i="23" s="1"/>
  <c r="Y184" i="23"/>
  <c r="AT183" i="23"/>
  <c r="AU183" i="23" s="1"/>
  <c r="Y183" i="23"/>
  <c r="AT182" i="23"/>
  <c r="AU182" i="23" s="1"/>
  <c r="Y182" i="23"/>
  <c r="AT181" i="23"/>
  <c r="Y181" i="23"/>
  <c r="AT180" i="23"/>
  <c r="Y180" i="23"/>
  <c r="AU179" i="23"/>
  <c r="AT179" i="23"/>
  <c r="Y179" i="23"/>
  <c r="AT178" i="23"/>
  <c r="AU178" i="23" s="1"/>
  <c r="Y178" i="23"/>
  <c r="AT177" i="23"/>
  <c r="Y177" i="23"/>
  <c r="AT176" i="23"/>
  <c r="AU176" i="23" s="1"/>
  <c r="Y176" i="23"/>
  <c r="AT175" i="23"/>
  <c r="Y175" i="23"/>
  <c r="AT174" i="23"/>
  <c r="Y174" i="23"/>
  <c r="AT173" i="23"/>
  <c r="Y173" i="23"/>
  <c r="AT172" i="23"/>
  <c r="Y172" i="23"/>
  <c r="AT171" i="23"/>
  <c r="AU171" i="23" s="1"/>
  <c r="Y171" i="23"/>
  <c r="AT170" i="23"/>
  <c r="Y170" i="23"/>
  <c r="AT169" i="23"/>
  <c r="Y169" i="23"/>
  <c r="AU168" i="23"/>
  <c r="AT168" i="23"/>
  <c r="Y168" i="23"/>
  <c r="AT167" i="23"/>
  <c r="AU167" i="23" s="1"/>
  <c r="Y167" i="23"/>
  <c r="AT166" i="23"/>
  <c r="Y166" i="23"/>
  <c r="AT165" i="23"/>
  <c r="Y165" i="23"/>
  <c r="AT164" i="23"/>
  <c r="Y164" i="23"/>
  <c r="AT163" i="23"/>
  <c r="Y163" i="23"/>
  <c r="AU163" i="23" s="1"/>
  <c r="AT162" i="23"/>
  <c r="Y162" i="23"/>
  <c r="AT161" i="23"/>
  <c r="AU161" i="23" s="1"/>
  <c r="Y161" i="23"/>
  <c r="AU160" i="23"/>
  <c r="AT160" i="23"/>
  <c r="Y160" i="23"/>
  <c r="AT159" i="23"/>
  <c r="Y159" i="23"/>
  <c r="AT158" i="23"/>
  <c r="Y158" i="23"/>
  <c r="AT157" i="23"/>
  <c r="Y157" i="23"/>
  <c r="AU157" i="23" s="1"/>
  <c r="AT156" i="23"/>
  <c r="Y156" i="23"/>
  <c r="AT155" i="23"/>
  <c r="Y155" i="23"/>
  <c r="AT154" i="23"/>
  <c r="Y154" i="23"/>
  <c r="AT153" i="23"/>
  <c r="Y153" i="23"/>
  <c r="AT152" i="23"/>
  <c r="Y152" i="23"/>
  <c r="AU152" i="23" s="1"/>
  <c r="AT151" i="23"/>
  <c r="Y151" i="23"/>
  <c r="AT150" i="23"/>
  <c r="AU150" i="23" s="1"/>
  <c r="Y150" i="23"/>
  <c r="AT149" i="23"/>
  <c r="AU149" i="23" s="1"/>
  <c r="Y149" i="23"/>
  <c r="AT148" i="23"/>
  <c r="Y148" i="23"/>
  <c r="AT147" i="23"/>
  <c r="AU147" i="23" s="1"/>
  <c r="Y147" i="23"/>
  <c r="AT146" i="23"/>
  <c r="Y146" i="23"/>
  <c r="AT145" i="23"/>
  <c r="AU145" i="23" s="1"/>
  <c r="Y145" i="23"/>
  <c r="AT144" i="23"/>
  <c r="AU144" i="23" s="1"/>
  <c r="Y144" i="23"/>
  <c r="AT143" i="23"/>
  <c r="Y143" i="23"/>
  <c r="AT142" i="23"/>
  <c r="AU142" i="23" s="1"/>
  <c r="Y142" i="23"/>
  <c r="AT141" i="23"/>
  <c r="Y141" i="23"/>
  <c r="AU141" i="23" s="1"/>
  <c r="AT140" i="23"/>
  <c r="Y140" i="23"/>
  <c r="AT139" i="23"/>
  <c r="AU139" i="23" s="1"/>
  <c r="Y139" i="23"/>
  <c r="AT138" i="23"/>
  <c r="AU138" i="23" s="1"/>
  <c r="Y138" i="23"/>
  <c r="AT137" i="23"/>
  <c r="Y137" i="23"/>
  <c r="AT136" i="23"/>
  <c r="AU136" i="23" s="1"/>
  <c r="Y136" i="23"/>
  <c r="AT135" i="23"/>
  <c r="Y135" i="23"/>
  <c r="AT134" i="23"/>
  <c r="AU134" i="23" s="1"/>
  <c r="Y134" i="23"/>
  <c r="AT133" i="23"/>
  <c r="Y133" i="23"/>
  <c r="AU133" i="23" s="1"/>
  <c r="AT132" i="23"/>
  <c r="Y132" i="23"/>
  <c r="AT131" i="23"/>
  <c r="AU131" i="23" s="1"/>
  <c r="Y131" i="23"/>
  <c r="AT130" i="23"/>
  <c r="Y130" i="23"/>
  <c r="AT129" i="23"/>
  <c r="Y129" i="23"/>
  <c r="AU128" i="23"/>
  <c r="AT128" i="23"/>
  <c r="Y128" i="23"/>
  <c r="AT127" i="23"/>
  <c r="Y127" i="23"/>
  <c r="AT126" i="23"/>
  <c r="Y126" i="23"/>
  <c r="AT125" i="23"/>
  <c r="Y125" i="23"/>
  <c r="AT124" i="23"/>
  <c r="Y124" i="23"/>
  <c r="AT123" i="23"/>
  <c r="AU123" i="23" s="1"/>
  <c r="Y123" i="23"/>
  <c r="AT122" i="23"/>
  <c r="Y122" i="23"/>
  <c r="AT121" i="23"/>
  <c r="Y121" i="23"/>
  <c r="AT120" i="23"/>
  <c r="AU120" i="23" s="1"/>
  <c r="Y120" i="23"/>
  <c r="AT119" i="23"/>
  <c r="Y119" i="23"/>
  <c r="AT118" i="23"/>
  <c r="Y118" i="23"/>
  <c r="AT117" i="23"/>
  <c r="AU117" i="23" s="1"/>
  <c r="Y117" i="23"/>
  <c r="AT116" i="23"/>
  <c r="AU116" i="23" s="1"/>
  <c r="Y116" i="23"/>
  <c r="AT115" i="23"/>
  <c r="AU115" i="23" s="1"/>
  <c r="Y115" i="23"/>
  <c r="AT114" i="23"/>
  <c r="Y114" i="23"/>
  <c r="AT113" i="23"/>
  <c r="Y113" i="23"/>
  <c r="AT112" i="23"/>
  <c r="AU112" i="23" s="1"/>
  <c r="Y112" i="23"/>
  <c r="AT111" i="23"/>
  <c r="Y111" i="23"/>
  <c r="AT110" i="23"/>
  <c r="AU110" i="23" s="1"/>
  <c r="Y110" i="23"/>
  <c r="AT109" i="23"/>
  <c r="AU109" i="23" s="1"/>
  <c r="Y109" i="23"/>
  <c r="AT108" i="23"/>
  <c r="Y108" i="23"/>
  <c r="AT107" i="23"/>
  <c r="Y107" i="23"/>
  <c r="AT106" i="23"/>
  <c r="AU106" i="23" s="1"/>
  <c r="Y106" i="23"/>
  <c r="AT105" i="23"/>
  <c r="AU105" i="23" s="1"/>
  <c r="Y105" i="23"/>
  <c r="AT104" i="23"/>
  <c r="AU104" i="23" s="1"/>
  <c r="Y104" i="23"/>
  <c r="AT103" i="23"/>
  <c r="Y103" i="23"/>
  <c r="AT102" i="23"/>
  <c r="Y102" i="23"/>
  <c r="AT101" i="23"/>
  <c r="AU101" i="23" s="1"/>
  <c r="Y101" i="23"/>
  <c r="AT100" i="23"/>
  <c r="Y100" i="23"/>
  <c r="AT99" i="23"/>
  <c r="AU99" i="23" s="1"/>
  <c r="Y99" i="23"/>
  <c r="AT98" i="23"/>
  <c r="AU98" i="23" s="1"/>
  <c r="Y98" i="23"/>
  <c r="AT97" i="23"/>
  <c r="Y97" i="23"/>
  <c r="AT96" i="23"/>
  <c r="AU96" i="23" s="1"/>
  <c r="Y96" i="23"/>
  <c r="AT95" i="23"/>
  <c r="Y95" i="23"/>
  <c r="AT94" i="23"/>
  <c r="AU94" i="23" s="1"/>
  <c r="Y94" i="23"/>
  <c r="AT93" i="23"/>
  <c r="Y93" i="23"/>
  <c r="AU93" i="23" s="1"/>
  <c r="AT92" i="23"/>
  <c r="Y92" i="23"/>
  <c r="AT91" i="23"/>
  <c r="Y91" i="23"/>
  <c r="AT90" i="23"/>
  <c r="AU90" i="23" s="1"/>
  <c r="Y90" i="23"/>
  <c r="AT89" i="23"/>
  <c r="Y89" i="23"/>
  <c r="AT88" i="23"/>
  <c r="AU88" i="23" s="1"/>
  <c r="Y88" i="23"/>
  <c r="AT87" i="23"/>
  <c r="AU87" i="23" s="1"/>
  <c r="Y87" i="23"/>
  <c r="AT86" i="23"/>
  <c r="Y86" i="23"/>
  <c r="AT85" i="23"/>
  <c r="Y85" i="23"/>
  <c r="AU85" i="23" s="1"/>
  <c r="AT84" i="23"/>
  <c r="AU84" i="23" s="1"/>
  <c r="Y84" i="23"/>
  <c r="AU83" i="23"/>
  <c r="AT83" i="23"/>
  <c r="Y83" i="23"/>
  <c r="AT82" i="23"/>
  <c r="Y82" i="23"/>
  <c r="AT81" i="23"/>
  <c r="Y81" i="23"/>
  <c r="AT80" i="23"/>
  <c r="AU80" i="23" s="1"/>
  <c r="Y80" i="23"/>
  <c r="AT79" i="23"/>
  <c r="Y79" i="23"/>
  <c r="AT78" i="23"/>
  <c r="Y78" i="23"/>
  <c r="AT77" i="23"/>
  <c r="Y77" i="23"/>
  <c r="AT76" i="23"/>
  <c r="Y76" i="23"/>
  <c r="AT75" i="23"/>
  <c r="Y75" i="23"/>
  <c r="AT74" i="23"/>
  <c r="Y74" i="23"/>
  <c r="AT73" i="23"/>
  <c r="AU73" i="23" s="1"/>
  <c r="Y73" i="23"/>
  <c r="AU72" i="23"/>
  <c r="AT72" i="23"/>
  <c r="Y72" i="23"/>
  <c r="AT71" i="23"/>
  <c r="Y71" i="23"/>
  <c r="AT70" i="23"/>
  <c r="Y70" i="23"/>
  <c r="AT69" i="23"/>
  <c r="Y69" i="23"/>
  <c r="AU69" i="23" s="1"/>
  <c r="AT68" i="23"/>
  <c r="Y68" i="23"/>
  <c r="AT67" i="23"/>
  <c r="AU67" i="23" s="1"/>
  <c r="Y67" i="23"/>
  <c r="AT66" i="23"/>
  <c r="AU66" i="23" s="1"/>
  <c r="Y66" i="23"/>
  <c r="AT65" i="23"/>
  <c r="AU65" i="23" s="1"/>
  <c r="Y65" i="23"/>
  <c r="AT64" i="23"/>
  <c r="AU64" i="23" s="1"/>
  <c r="Y64" i="23"/>
  <c r="AT63" i="23"/>
  <c r="Y63" i="23"/>
  <c r="AT62" i="23"/>
  <c r="Y62" i="23"/>
  <c r="AT61" i="23"/>
  <c r="Y61" i="23"/>
  <c r="AU61" i="23" s="1"/>
  <c r="AT60" i="23"/>
  <c r="Y60" i="23"/>
  <c r="AT59" i="23"/>
  <c r="Y59" i="23"/>
  <c r="AT58" i="23"/>
  <c r="Y58" i="23"/>
  <c r="AT57" i="23"/>
  <c r="AU57" i="23" s="1"/>
  <c r="Y57" i="23"/>
  <c r="AT56" i="23"/>
  <c r="AU56" i="23" s="1"/>
  <c r="Y56" i="23"/>
  <c r="AT55" i="23"/>
  <c r="AU55" i="23" s="1"/>
  <c r="Y55" i="23"/>
  <c r="AT54" i="23"/>
  <c r="AU54" i="23" s="1"/>
  <c r="Y54" i="23"/>
  <c r="AT53" i="23"/>
  <c r="Y53" i="23"/>
  <c r="AT52" i="23"/>
  <c r="Y52" i="23"/>
  <c r="AU51" i="23"/>
  <c r="AT51" i="23"/>
  <c r="Y51" i="23"/>
  <c r="AT50" i="23"/>
  <c r="Y50" i="23"/>
  <c r="AT49" i="23"/>
  <c r="Y49" i="23"/>
  <c r="AT48" i="23"/>
  <c r="AU48" i="23" s="1"/>
  <c r="Y48" i="23"/>
  <c r="AT47" i="23"/>
  <c r="Y47" i="23"/>
  <c r="AT46" i="23"/>
  <c r="Y46" i="23"/>
  <c r="AT45" i="23"/>
  <c r="Y45" i="23"/>
  <c r="AT44" i="23"/>
  <c r="Y44" i="23"/>
  <c r="AT43" i="23"/>
  <c r="AU43" i="23" s="1"/>
  <c r="Y43" i="23"/>
  <c r="AT42" i="23"/>
  <c r="Y42" i="23"/>
  <c r="AT41" i="23"/>
  <c r="Y41" i="23"/>
  <c r="AU40" i="23"/>
  <c r="AT40" i="23"/>
  <c r="Y40" i="23"/>
  <c r="AT39" i="23"/>
  <c r="AU39" i="23" s="1"/>
  <c r="Y39" i="23"/>
  <c r="AT38" i="23"/>
  <c r="Y38" i="23"/>
  <c r="AT37" i="23"/>
  <c r="Y37" i="23"/>
  <c r="AT36" i="23"/>
  <c r="Y36" i="23"/>
  <c r="AT35" i="23"/>
  <c r="Y35" i="23"/>
  <c r="AU35" i="23" s="1"/>
  <c r="AT34" i="23"/>
  <c r="Y34" i="23"/>
  <c r="AT33" i="23"/>
  <c r="AU33" i="23" s="1"/>
  <c r="Y33" i="23"/>
  <c r="AU32" i="23"/>
  <c r="AT32" i="23"/>
  <c r="Y32" i="23"/>
  <c r="AT31" i="23"/>
  <c r="Y31" i="23"/>
  <c r="AT30" i="23"/>
  <c r="Y30" i="23"/>
  <c r="AT29" i="23"/>
  <c r="Y29" i="23"/>
  <c r="AU29" i="23" s="1"/>
  <c r="AT28" i="23"/>
  <c r="Y28" i="23"/>
  <c r="AT27" i="23"/>
  <c r="Y27" i="23"/>
  <c r="AT26" i="23"/>
  <c r="Y26" i="23"/>
  <c r="AT25" i="23"/>
  <c r="Y25" i="23"/>
  <c r="AT24" i="23"/>
  <c r="AU24" i="23" s="1"/>
  <c r="Y24" i="23"/>
  <c r="AT23" i="23"/>
  <c r="Y23" i="23"/>
  <c r="AT22" i="23"/>
  <c r="AU22" i="23" s="1"/>
  <c r="Y22" i="23"/>
  <c r="AT21" i="23"/>
  <c r="AU21" i="23" s="1"/>
  <c r="Y21" i="23"/>
  <c r="AT20" i="23"/>
  <c r="Y20" i="23"/>
  <c r="AT19" i="23"/>
  <c r="AU19" i="23" s="1"/>
  <c r="Y19" i="23"/>
  <c r="AT18" i="23"/>
  <c r="Y18" i="23"/>
  <c r="AT17" i="23"/>
  <c r="Y17" i="23"/>
  <c r="AT16" i="23"/>
  <c r="AU16" i="23" s="1"/>
  <c r="Y16" i="23"/>
  <c r="Y337" i="23" s="1"/>
  <c r="AU27" i="23" l="1"/>
  <c r="AU89" i="23"/>
  <c r="AU122" i="23"/>
  <c r="AU155" i="23"/>
  <c r="AU210" i="23"/>
  <c r="AU250" i="23"/>
  <c r="AU327" i="23"/>
  <c r="AU18" i="23"/>
  <c r="AU25" i="23"/>
  <c r="AU36" i="23"/>
  <c r="AU58" i="23"/>
  <c r="AU62" i="23"/>
  <c r="AU77" i="23"/>
  <c r="AU91" i="23"/>
  <c r="AU102" i="23"/>
  <c r="AU113" i="23"/>
  <c r="AU135" i="23"/>
  <c r="AU146" i="23"/>
  <c r="AU153" i="23"/>
  <c r="AU164" i="23"/>
  <c r="AU186" i="23"/>
  <c r="AU190" i="23"/>
  <c r="AU197" i="23"/>
  <c r="AU205" i="23"/>
  <c r="AU219" i="23"/>
  <c r="AU230" i="23"/>
  <c r="AU241" i="23"/>
  <c r="AU263" i="23"/>
  <c r="AU274" i="23"/>
  <c r="AU281" i="23"/>
  <c r="AU285" i="23"/>
  <c r="AU292" i="23"/>
  <c r="AU314" i="23"/>
  <c r="AU318" i="23"/>
  <c r="AU325" i="23"/>
  <c r="AU70" i="23"/>
  <c r="AU103" i="23"/>
  <c r="AU121" i="23"/>
  <c r="AU154" i="23"/>
  <c r="AU41" i="23"/>
  <c r="AU74" i="23"/>
  <c r="AU107" i="23"/>
  <c r="AU173" i="23"/>
  <c r="AU202" i="23"/>
  <c r="AU235" i="23"/>
  <c r="AU100" i="23"/>
  <c r="AU199" i="23"/>
  <c r="AU221" i="23"/>
  <c r="AU261" i="23"/>
  <c r="AU283" i="23"/>
  <c r="AU294" i="23"/>
  <c r="AU20" i="23"/>
  <c r="AU42" i="23"/>
  <c r="AU46" i="23"/>
  <c r="AU53" i="23"/>
  <c r="AU75" i="23"/>
  <c r="AU86" i="23"/>
  <c r="AU97" i="23"/>
  <c r="AU119" i="23"/>
  <c r="AU130" i="23"/>
  <c r="AU137" i="23"/>
  <c r="AU148" i="23"/>
  <c r="AU170" i="23"/>
  <c r="AU174" i="23"/>
  <c r="AU181" i="23"/>
  <c r="AU203" i="23"/>
  <c r="AU214" i="23"/>
  <c r="AU225" i="23"/>
  <c r="AU247" i="23"/>
  <c r="AU258" i="23"/>
  <c r="AU265" i="23"/>
  <c r="AU276" i="23"/>
  <c r="AU298" i="23"/>
  <c r="AU302" i="23"/>
  <c r="AU309" i="23"/>
  <c r="AU331" i="23"/>
  <c r="AU26" i="23"/>
  <c r="AU37" i="23"/>
  <c r="AU114" i="23"/>
  <c r="AU132" i="23"/>
  <c r="AU165" i="23"/>
  <c r="AU209" i="23"/>
  <c r="AU260" i="23"/>
  <c r="AU282" i="23"/>
  <c r="AU315" i="23"/>
  <c r="AU326" i="23"/>
  <c r="AU129" i="23"/>
  <c r="AU213" i="23"/>
  <c r="AU290" i="23"/>
  <c r="AU297" i="23"/>
  <c r="AU308" i="23"/>
  <c r="AU330" i="23"/>
  <c r="AU334" i="23"/>
  <c r="AU126" i="23"/>
  <c r="AU166" i="23"/>
  <c r="AU217" i="23"/>
  <c r="AU228" i="23"/>
  <c r="AU305" i="23"/>
  <c r="AU17" i="23"/>
  <c r="AU50" i="23"/>
  <c r="AU68" i="23"/>
  <c r="AU30" i="23"/>
  <c r="AU59" i="23"/>
  <c r="AU81" i="23"/>
  <c r="AU125" i="23"/>
  <c r="AU158" i="23"/>
  <c r="AU187" i="23"/>
  <c r="AU198" i="23"/>
  <c r="AU231" i="23"/>
  <c r="AU242" i="23"/>
  <c r="AU249" i="23"/>
  <c r="AU253" i="23"/>
  <c r="AU286" i="23"/>
  <c r="AU293" i="23"/>
  <c r="AU23" i="23"/>
  <c r="AU34" i="23"/>
  <c r="AU45" i="23"/>
  <c r="AU52" i="23"/>
  <c r="AU78" i="23"/>
  <c r="AU118" i="23"/>
  <c r="AU151" i="23"/>
  <c r="AU162" i="23"/>
  <c r="AU169" i="23"/>
  <c r="AU180" i="23"/>
  <c r="AU206" i="23"/>
  <c r="AU246" i="23"/>
  <c r="AU257" i="23"/>
  <c r="AU279" i="23"/>
  <c r="AU38" i="23"/>
  <c r="AU49" i="23"/>
  <c r="AU71" i="23"/>
  <c r="AU82" i="23"/>
  <c r="AU177" i="23"/>
  <c r="AU254" i="23"/>
  <c r="AU31" i="23"/>
  <c r="AU47" i="23"/>
  <c r="AU79" i="23"/>
  <c r="AU95" i="23"/>
  <c r="AU127" i="23"/>
  <c r="AU143" i="23"/>
  <c r="AU191" i="23"/>
  <c r="AU207" i="23"/>
  <c r="AU223" i="23"/>
  <c r="AU255" i="23"/>
  <c r="AU271" i="23"/>
  <c r="AU287" i="23"/>
  <c r="AU303" i="23"/>
  <c r="AU319" i="23"/>
  <c r="AU28" i="23"/>
  <c r="AU337" i="23" s="1"/>
  <c r="AU44" i="23"/>
  <c r="AU92" i="23"/>
  <c r="AU124" i="23"/>
  <c r="AU172" i="23"/>
  <c r="AU252" i="23"/>
  <c r="AU268" i="23"/>
  <c r="AU284" i="23"/>
  <c r="AU300" i="23"/>
  <c r="AU316" i="23"/>
  <c r="AU332" i="23"/>
  <c r="AT337" i="23"/>
  <c r="AU111" i="23"/>
  <c r="AU159" i="23"/>
  <c r="AU175" i="23"/>
  <c r="AU60" i="23"/>
  <c r="AU76" i="23"/>
  <c r="AU108" i="23"/>
  <c r="AU140" i="23"/>
  <c r="AU156" i="23"/>
  <c r="AU188" i="23"/>
  <c r="AU204" i="23"/>
  <c r="AU220" i="23"/>
  <c r="AU236" i="23"/>
  <c r="E13" i="23"/>
  <c r="AU63" i="23"/>
  <c r="AU239" i="23"/>
  <c r="AM90" i="21" l="1"/>
  <c r="AL90" i="21"/>
  <c r="AK90" i="21"/>
  <c r="AJ90" i="21"/>
  <c r="AI90" i="21"/>
  <c r="AH90" i="21"/>
  <c r="AG90" i="21"/>
  <c r="AF90" i="21"/>
  <c r="AB90" i="21"/>
  <c r="X90" i="21"/>
  <c r="T90" i="21"/>
  <c r="R90" i="21"/>
  <c r="Q90" i="21"/>
  <c r="P90" i="21"/>
  <c r="O90" i="21"/>
  <c r="N90" i="21"/>
  <c r="M90" i="21"/>
  <c r="S89" i="21"/>
  <c r="S88" i="21"/>
  <c r="AN87" i="21"/>
  <c r="S87" i="21"/>
  <c r="AN86" i="21"/>
  <c r="S86" i="21"/>
  <c r="AN85" i="21"/>
  <c r="S85" i="21"/>
  <c r="AN84" i="21"/>
  <c r="S84" i="21"/>
  <c r="AN83" i="21"/>
  <c r="S83" i="21"/>
  <c r="AN82" i="21"/>
  <c r="S82" i="21"/>
  <c r="AN81" i="21"/>
  <c r="S81" i="21"/>
  <c r="AN80" i="21"/>
  <c r="S80" i="21"/>
  <c r="AN79" i="21"/>
  <c r="S79" i="21"/>
  <c r="AN78" i="21"/>
  <c r="S78" i="21"/>
  <c r="AN77" i="21"/>
  <c r="S77" i="21"/>
  <c r="AN76" i="21"/>
  <c r="S76" i="21"/>
  <c r="AN75" i="21"/>
  <c r="S75" i="21"/>
  <c r="AN74" i="21"/>
  <c r="S74" i="21"/>
  <c r="AN73" i="21"/>
  <c r="S73" i="21"/>
  <c r="AN72" i="21"/>
  <c r="S72" i="21"/>
  <c r="AN71" i="21"/>
  <c r="S71" i="21"/>
  <c r="AN70" i="21"/>
  <c r="S70" i="21"/>
  <c r="AN69" i="21"/>
  <c r="S69" i="21"/>
  <c r="AN68" i="21"/>
  <c r="S68" i="21"/>
  <c r="AN67" i="21"/>
  <c r="S67" i="21"/>
  <c r="AN66" i="21"/>
  <c r="S66" i="21"/>
  <c r="AN65" i="21"/>
  <c r="S65" i="21"/>
  <c r="AN64" i="21"/>
  <c r="S64" i="21"/>
  <c r="AN63" i="21"/>
  <c r="S63" i="21"/>
  <c r="AN62" i="21"/>
  <c r="S62" i="21"/>
  <c r="AN61" i="21"/>
  <c r="S61" i="21"/>
  <c r="AN60" i="21"/>
  <c r="S60" i="21"/>
  <c r="AN59" i="21"/>
  <c r="S59" i="21"/>
  <c r="AN58" i="21"/>
  <c r="S58" i="21"/>
  <c r="AN57" i="21"/>
  <c r="S57" i="21"/>
  <c r="AN56" i="21"/>
  <c r="S56" i="21"/>
  <c r="AN55" i="21"/>
  <c r="S55" i="21"/>
  <c r="AN54" i="21"/>
  <c r="S54" i="21"/>
  <c r="AN53" i="21"/>
  <c r="S53" i="21"/>
  <c r="AN52" i="21"/>
  <c r="S52" i="21"/>
  <c r="AN51" i="21"/>
  <c r="S51" i="21"/>
  <c r="AN50" i="21"/>
  <c r="S50" i="21"/>
  <c r="AN49" i="21"/>
  <c r="S49" i="21"/>
  <c r="AN48" i="21"/>
  <c r="S48" i="21"/>
  <c r="AN47" i="21"/>
  <c r="S47" i="21"/>
  <c r="AN46" i="21"/>
  <c r="S46" i="21"/>
  <c r="AN45" i="21"/>
  <c r="S45" i="21"/>
  <c r="AN44" i="21"/>
  <c r="S44" i="21"/>
  <c r="AN43" i="21"/>
  <c r="S43" i="21"/>
  <c r="AN42" i="21"/>
  <c r="S42" i="21"/>
  <c r="AN41" i="21"/>
  <c r="S41" i="21"/>
  <c r="AN40" i="21"/>
  <c r="S40" i="21"/>
  <c r="AN39" i="21"/>
  <c r="S39" i="21"/>
  <c r="AN38" i="21"/>
  <c r="S38" i="21"/>
  <c r="AN37" i="21"/>
  <c r="S37" i="21"/>
  <c r="AN36" i="21"/>
  <c r="S36" i="21"/>
  <c r="AN35" i="21"/>
  <c r="S35" i="21"/>
  <c r="AN34" i="21"/>
  <c r="S34" i="21"/>
  <c r="AN33" i="21"/>
  <c r="S33" i="21"/>
  <c r="AN32" i="21"/>
  <c r="S32" i="21"/>
  <c r="L32" i="21"/>
  <c r="L90" i="21" s="1"/>
  <c r="J32" i="21"/>
  <c r="AN31" i="21"/>
  <c r="S31" i="21"/>
  <c r="AN30" i="21"/>
  <c r="S30" i="21"/>
  <c r="AN29" i="21"/>
  <c r="S29" i="21"/>
  <c r="AN28" i="21"/>
  <c r="S28" i="21"/>
  <c r="AN27" i="21"/>
  <c r="S27" i="21"/>
  <c r="AN26" i="21"/>
  <c r="S26" i="21"/>
  <c r="AN25" i="21"/>
  <c r="S25" i="21"/>
  <c r="AN24" i="21"/>
  <c r="S24" i="21"/>
  <c r="AN23" i="21"/>
  <c r="AO23" i="21" s="1"/>
  <c r="S23" i="21"/>
  <c r="K23" i="21"/>
  <c r="K90" i="21" s="1"/>
  <c r="J23" i="21"/>
  <c r="AN22" i="21"/>
  <c r="S22" i="21"/>
  <c r="AN21" i="21"/>
  <c r="S21" i="21"/>
  <c r="AN20" i="21"/>
  <c r="S20" i="21"/>
  <c r="AN19" i="21"/>
  <c r="S19" i="21"/>
  <c r="AN18" i="21"/>
  <c r="S18" i="21"/>
  <c r="AN17" i="21"/>
  <c r="S17" i="21"/>
  <c r="AN16" i="21"/>
  <c r="S16" i="21"/>
  <c r="AN15" i="21"/>
  <c r="S15" i="21"/>
  <c r="AN14" i="21"/>
  <c r="S14" i="21"/>
  <c r="B14" i="21"/>
  <c r="B15" i="21" s="1"/>
  <c r="B16" i="21" s="1"/>
  <c r="B17" i="21" s="1"/>
  <c r="B18" i="21" s="1"/>
  <c r="B19" i="21" s="1"/>
  <c r="B20" i="21" s="1"/>
  <c r="B21" i="21" s="1"/>
  <c r="B22" i="21" s="1"/>
  <c r="B23" i="21" s="1"/>
  <c r="B24" i="21" s="1"/>
  <c r="B25" i="21" s="1"/>
  <c r="B26" i="21" s="1"/>
  <c r="B27" i="21" s="1"/>
  <c r="B28" i="21" s="1"/>
  <c r="B29" i="21" s="1"/>
  <c r="B30" i="21" s="1"/>
  <c r="B31" i="21" s="1"/>
  <c r="B32" i="21" s="1"/>
  <c r="B33" i="21" s="1"/>
  <c r="B34" i="21" s="1"/>
  <c r="B35" i="21" s="1"/>
  <c r="B36" i="21" s="1"/>
  <c r="B37" i="21" s="1"/>
  <c r="B38" i="21" s="1"/>
  <c r="B39" i="21" s="1"/>
  <c r="B40" i="21" s="1"/>
  <c r="B41" i="21" s="1"/>
  <c r="B42" i="21" s="1"/>
  <c r="B43" i="21" s="1"/>
  <c r="B44" i="21" s="1"/>
  <c r="B45" i="21" s="1"/>
  <c r="B46" i="21" s="1"/>
  <c r="B47" i="21" s="1"/>
  <c r="B48" i="21" s="1"/>
  <c r="B49" i="21" s="1"/>
  <c r="B50" i="21" s="1"/>
  <c r="B51" i="21" s="1"/>
  <c r="B52" i="21" s="1"/>
  <c r="B53" i="21" s="1"/>
  <c r="B54" i="21" s="1"/>
  <c r="B55" i="21" s="1"/>
  <c r="B56" i="21" s="1"/>
  <c r="B57" i="21" s="1"/>
  <c r="B58" i="21" s="1"/>
  <c r="B59" i="21" s="1"/>
  <c r="B60" i="21" s="1"/>
  <c r="B61" i="21" s="1"/>
  <c r="B62" i="21" s="1"/>
  <c r="B63" i="21" s="1"/>
  <c r="B64" i="21" s="1"/>
  <c r="B65" i="21" s="1"/>
  <c r="B66" i="21" s="1"/>
  <c r="B67" i="21" s="1"/>
  <c r="B68" i="21" s="1"/>
  <c r="B69" i="21" s="1"/>
  <c r="B70" i="21" s="1"/>
  <c r="B71" i="21" s="1"/>
  <c r="B72" i="21" s="1"/>
  <c r="B73" i="21" s="1"/>
  <c r="B74" i="21" s="1"/>
  <c r="B75" i="21" s="1"/>
  <c r="B76" i="21" s="1"/>
  <c r="B77" i="21" s="1"/>
  <c r="B78" i="21" s="1"/>
  <c r="B79" i="21" s="1"/>
  <c r="B80" i="21" s="1"/>
  <c r="B81" i="21" s="1"/>
  <c r="B82" i="21" s="1"/>
  <c r="B83" i="21" s="1"/>
  <c r="B84" i="21" s="1"/>
  <c r="B85" i="21" s="1"/>
  <c r="B86" i="21" s="1"/>
  <c r="B87" i="21" s="1"/>
  <c r="AN13" i="21"/>
  <c r="S13" i="21"/>
  <c r="AN12" i="21"/>
  <c r="AN90" i="21" s="1"/>
  <c r="S12" i="21"/>
  <c r="AO13" i="21" l="1"/>
  <c r="AO31" i="21"/>
  <c r="AO27" i="21"/>
  <c r="AO14" i="21"/>
  <c r="AO22" i="21"/>
  <c r="AO25" i="21"/>
  <c r="AO32" i="21"/>
  <c r="AO40" i="21"/>
  <c r="AO48" i="21"/>
  <c r="AO56" i="21"/>
  <c r="AO60" i="21"/>
  <c r="AO64" i="21"/>
  <c r="AO72" i="21"/>
  <c r="AO76" i="21"/>
  <c r="AO80" i="21"/>
  <c r="AO84" i="21"/>
  <c r="AO29" i="21"/>
  <c r="AO18" i="21"/>
  <c r="J90" i="21"/>
  <c r="AO36" i="21"/>
  <c r="AO44" i="21"/>
  <c r="AO52" i="21"/>
  <c r="AO68" i="21"/>
  <c r="AO28" i="21"/>
  <c r="AO34" i="21"/>
  <c r="AO42" i="21"/>
  <c r="AO50" i="21"/>
  <c r="AO66" i="21"/>
  <c r="S90" i="21"/>
  <c r="E9" i="21" s="1"/>
  <c r="AO15" i="21"/>
  <c r="AO19" i="21"/>
  <c r="AO12" i="21"/>
  <c r="AO35" i="21"/>
  <c r="AO39" i="21"/>
  <c r="AO43" i="21"/>
  <c r="AO47" i="21"/>
  <c r="AO51" i="21"/>
  <c r="AO55" i="21"/>
  <c r="AO59" i="21"/>
  <c r="AO63" i="21"/>
  <c r="AO67" i="21"/>
  <c r="AO71" i="21"/>
  <c r="AO75" i="21"/>
  <c r="AO79" i="21"/>
  <c r="AO83" i="21"/>
  <c r="AO87" i="21"/>
  <c r="AO16" i="21"/>
  <c r="AO20" i="21"/>
  <c r="AO26" i="21"/>
  <c r="AO38" i="21"/>
  <c r="AO54" i="21"/>
  <c r="AO70" i="21"/>
  <c r="AO46" i="21"/>
  <c r="AO58" i="21"/>
  <c r="AO62" i="21"/>
  <c r="AO74" i="21"/>
  <c r="AO78" i="21"/>
  <c r="AO82" i="21"/>
  <c r="AO86" i="21"/>
  <c r="AO17" i="21"/>
  <c r="AO21" i="21"/>
  <c r="AO30" i="21"/>
  <c r="AO24" i="21"/>
  <c r="AO33" i="21"/>
  <c r="AO37" i="21"/>
  <c r="AO41" i="21"/>
  <c r="AO45" i="21"/>
  <c r="AO49" i="21"/>
  <c r="AO53" i="21"/>
  <c r="AO57" i="21"/>
  <c r="AO61" i="21"/>
  <c r="AO65" i="21"/>
  <c r="AO69" i="21"/>
  <c r="AO73" i="21"/>
  <c r="AO77" i="21"/>
  <c r="AO81" i="21"/>
  <c r="AO85" i="21"/>
  <c r="AO90" i="21" l="1"/>
  <c r="AN222" i="20"/>
  <c r="AJ222" i="20"/>
  <c r="AF222" i="20"/>
  <c r="AB222" i="20"/>
  <c r="X222" i="20"/>
  <c r="T222" i="20"/>
  <c r="R222" i="20"/>
  <c r="P222" i="20"/>
  <c r="L222" i="20"/>
  <c r="K222" i="20"/>
  <c r="J222" i="20"/>
  <c r="AR221" i="20"/>
  <c r="S221" i="20"/>
  <c r="AR220" i="20"/>
  <c r="S220" i="20"/>
  <c r="AR219" i="20"/>
  <c r="S219" i="20"/>
  <c r="AR218" i="20"/>
  <c r="S218" i="20"/>
  <c r="AR217" i="20"/>
  <c r="S217" i="20"/>
  <c r="AR216" i="20"/>
  <c r="AS216" i="20" s="1"/>
  <c r="S216" i="20"/>
  <c r="AR215" i="20"/>
  <c r="S215" i="20"/>
  <c r="AR214" i="20"/>
  <c r="S214" i="20"/>
  <c r="AR213" i="20"/>
  <c r="S213" i="20"/>
  <c r="AR212" i="20"/>
  <c r="S212" i="20"/>
  <c r="AR211" i="20"/>
  <c r="S211" i="20"/>
  <c r="AR210" i="20"/>
  <c r="S210" i="20"/>
  <c r="AR209" i="20"/>
  <c r="S209" i="20"/>
  <c r="AR208" i="20"/>
  <c r="AS208" i="20" s="1"/>
  <c r="S208" i="20"/>
  <c r="AR207" i="20"/>
  <c r="Q207" i="20"/>
  <c r="S207" i="20" s="1"/>
  <c r="AR206" i="20"/>
  <c r="S206" i="20"/>
  <c r="AR205" i="20"/>
  <c r="S205" i="20"/>
  <c r="AR204" i="20"/>
  <c r="S204" i="20"/>
  <c r="AR203" i="20"/>
  <c r="S203" i="20"/>
  <c r="AR202" i="20"/>
  <c r="S202" i="20"/>
  <c r="AR201" i="20"/>
  <c r="S201" i="20"/>
  <c r="AR200" i="20"/>
  <c r="S200" i="20"/>
  <c r="AR199" i="20"/>
  <c r="S199" i="20"/>
  <c r="AS199" i="20" s="1"/>
  <c r="AR198" i="20"/>
  <c r="S198" i="20"/>
  <c r="AR197" i="20"/>
  <c r="S197" i="20"/>
  <c r="AR196" i="20"/>
  <c r="S196" i="20"/>
  <c r="AR195" i="20"/>
  <c r="S195" i="20"/>
  <c r="AR194" i="20"/>
  <c r="S194" i="20"/>
  <c r="AR193" i="20"/>
  <c r="S193" i="20"/>
  <c r="AR192" i="20"/>
  <c r="S192" i="20"/>
  <c r="AR191" i="20"/>
  <c r="S191" i="20"/>
  <c r="AR190" i="20"/>
  <c r="S190" i="20"/>
  <c r="AR189" i="20"/>
  <c r="S189" i="20"/>
  <c r="AR188" i="20"/>
  <c r="S188" i="20"/>
  <c r="AR187" i="20"/>
  <c r="S187" i="20"/>
  <c r="AR186" i="20"/>
  <c r="S186" i="20"/>
  <c r="AR185" i="20"/>
  <c r="S185" i="20"/>
  <c r="AR184" i="20"/>
  <c r="S184" i="20"/>
  <c r="AR183" i="20"/>
  <c r="S183" i="20"/>
  <c r="AR182" i="20"/>
  <c r="S182" i="20"/>
  <c r="AR181" i="20"/>
  <c r="S181" i="20"/>
  <c r="AR180" i="20"/>
  <c r="S180" i="20"/>
  <c r="AR179" i="20"/>
  <c r="S179" i="20"/>
  <c r="AR178" i="20"/>
  <c r="O178" i="20"/>
  <c r="S178" i="20" s="1"/>
  <c r="AR177" i="20"/>
  <c r="Q177" i="20"/>
  <c r="S177" i="20" s="1"/>
  <c r="AR176" i="20"/>
  <c r="S176" i="20"/>
  <c r="AR175" i="20"/>
  <c r="S175" i="20"/>
  <c r="AR174" i="20"/>
  <c r="S174" i="20"/>
  <c r="AR173" i="20"/>
  <c r="S173" i="20"/>
  <c r="AR172" i="20"/>
  <c r="S172" i="20"/>
  <c r="AR171" i="20"/>
  <c r="S171" i="20"/>
  <c r="AR170" i="20"/>
  <c r="S170" i="20"/>
  <c r="AR169" i="20"/>
  <c r="S169" i="20"/>
  <c r="AR168" i="20"/>
  <c r="S168" i="20"/>
  <c r="AR167" i="20"/>
  <c r="S167" i="20"/>
  <c r="AR166" i="20"/>
  <c r="S166" i="20"/>
  <c r="AR165" i="20"/>
  <c r="S165" i="20"/>
  <c r="AR164" i="20"/>
  <c r="S164" i="20"/>
  <c r="AR163" i="20"/>
  <c r="O163" i="20"/>
  <c r="S163" i="20" s="1"/>
  <c r="AR162" i="20"/>
  <c r="S162" i="20"/>
  <c r="AR161" i="20"/>
  <c r="S161" i="20"/>
  <c r="AR160" i="20"/>
  <c r="Q160" i="20"/>
  <c r="S160" i="20" s="1"/>
  <c r="AR159" i="20"/>
  <c r="Q159" i="20"/>
  <c r="S159" i="20" s="1"/>
  <c r="AR158" i="20"/>
  <c r="S158" i="20"/>
  <c r="AR157" i="20"/>
  <c r="S157" i="20"/>
  <c r="AR156" i="20"/>
  <c r="AS156" i="20" s="1"/>
  <c r="S156" i="20"/>
  <c r="AR155" i="20"/>
  <c r="S155" i="20"/>
  <c r="AS155" i="20" s="1"/>
  <c r="AR154" i="20"/>
  <c r="S154" i="20"/>
  <c r="AR153" i="20"/>
  <c r="S153" i="20"/>
  <c r="AR152" i="20"/>
  <c r="S152" i="20"/>
  <c r="AR151" i="20"/>
  <c r="S151" i="20"/>
  <c r="AR150" i="20"/>
  <c r="S150" i="20"/>
  <c r="AR149" i="20"/>
  <c r="S149" i="20"/>
  <c r="AR148" i="20"/>
  <c r="S148" i="20"/>
  <c r="AR147" i="20"/>
  <c r="S147" i="20"/>
  <c r="AS147" i="20" s="1"/>
  <c r="AR146" i="20"/>
  <c r="S146" i="20"/>
  <c r="AR145" i="20"/>
  <c r="S145" i="20"/>
  <c r="AR144" i="20"/>
  <c r="S144" i="20"/>
  <c r="AR143" i="20"/>
  <c r="S143" i="20"/>
  <c r="AR142" i="20"/>
  <c r="S142" i="20"/>
  <c r="AR141" i="20"/>
  <c r="S141" i="20"/>
  <c r="AR140" i="20"/>
  <c r="S140" i="20"/>
  <c r="AR139" i="20"/>
  <c r="Q139" i="20"/>
  <c r="S139" i="20" s="1"/>
  <c r="AR138" i="20"/>
  <c r="S138" i="20"/>
  <c r="AR137" i="20"/>
  <c r="S137" i="20"/>
  <c r="AR136" i="20"/>
  <c r="S136" i="20"/>
  <c r="AR135" i="20"/>
  <c r="S135" i="20"/>
  <c r="AR134" i="20"/>
  <c r="S134" i="20"/>
  <c r="AR133" i="20"/>
  <c r="S133" i="20"/>
  <c r="AR132" i="20"/>
  <c r="S132" i="20"/>
  <c r="AR131" i="20"/>
  <c r="S131" i="20"/>
  <c r="AR130" i="20"/>
  <c r="Q130" i="20"/>
  <c r="O130" i="20"/>
  <c r="S130" i="20" s="1"/>
  <c r="AR129" i="20"/>
  <c r="S129" i="20"/>
  <c r="AR128" i="20"/>
  <c r="S128" i="20"/>
  <c r="AR127" i="20"/>
  <c r="S127" i="20"/>
  <c r="AR126" i="20"/>
  <c r="S126" i="20"/>
  <c r="AR125" i="20"/>
  <c r="S125" i="20"/>
  <c r="AR124" i="20"/>
  <c r="S124" i="20"/>
  <c r="AS124" i="20" s="1"/>
  <c r="AR123" i="20"/>
  <c r="S123" i="20"/>
  <c r="AR122" i="20"/>
  <c r="S122" i="20"/>
  <c r="AR121" i="20"/>
  <c r="S121" i="20"/>
  <c r="AR120" i="20"/>
  <c r="S120" i="20"/>
  <c r="AR119" i="20"/>
  <c r="S119" i="20"/>
  <c r="AR118" i="20"/>
  <c r="S118" i="20"/>
  <c r="AR117" i="20"/>
  <c r="S117" i="20"/>
  <c r="AR116" i="20"/>
  <c r="S116" i="20"/>
  <c r="AR115" i="20"/>
  <c r="S115" i="20"/>
  <c r="AR114" i="20"/>
  <c r="S114" i="20"/>
  <c r="AR113" i="20"/>
  <c r="S113" i="20"/>
  <c r="AR112" i="20"/>
  <c r="S112" i="20"/>
  <c r="AR111" i="20"/>
  <c r="S111" i="20"/>
  <c r="AR110" i="20"/>
  <c r="S110" i="20"/>
  <c r="AR109" i="20"/>
  <c r="S109" i="20"/>
  <c r="AR108" i="20"/>
  <c r="O108" i="20"/>
  <c r="N108" i="20"/>
  <c r="M108" i="20"/>
  <c r="AR107" i="20"/>
  <c r="S107" i="20"/>
  <c r="AR106" i="20"/>
  <c r="S106" i="20"/>
  <c r="AR105" i="20"/>
  <c r="M105" i="20"/>
  <c r="S105" i="20" s="1"/>
  <c r="AR104" i="20"/>
  <c r="S104" i="20"/>
  <c r="AS104" i="20" s="1"/>
  <c r="AR103" i="20"/>
  <c r="S103" i="20"/>
  <c r="AR102" i="20"/>
  <c r="S102" i="20"/>
  <c r="AR101" i="20"/>
  <c r="S101" i="20"/>
  <c r="AR100" i="20"/>
  <c r="S100" i="20"/>
  <c r="AR99" i="20"/>
  <c r="S99" i="20"/>
  <c r="AR98" i="20"/>
  <c r="Q98" i="20"/>
  <c r="S98" i="20" s="1"/>
  <c r="AR97" i="20"/>
  <c r="S97" i="20"/>
  <c r="AR96" i="20"/>
  <c r="S96" i="20"/>
  <c r="AR95" i="20"/>
  <c r="S95" i="20"/>
  <c r="AR94" i="20"/>
  <c r="S94" i="20"/>
  <c r="AR93" i="20"/>
  <c r="S93" i="20"/>
  <c r="AR92" i="20"/>
  <c r="S92" i="20"/>
  <c r="AR91" i="20"/>
  <c r="S91" i="20"/>
  <c r="AS91" i="20" s="1"/>
  <c r="AR90" i="20"/>
  <c r="S90" i="20"/>
  <c r="AR89" i="20"/>
  <c r="S89" i="20"/>
  <c r="AR88" i="20"/>
  <c r="S88" i="20"/>
  <c r="AR87" i="20"/>
  <c r="S87" i="20"/>
  <c r="AR86" i="20"/>
  <c r="S86" i="20"/>
  <c r="AR85" i="20"/>
  <c r="S85" i="20"/>
  <c r="AR84" i="20"/>
  <c r="S84" i="20"/>
  <c r="AR83" i="20"/>
  <c r="S83" i="20"/>
  <c r="AS83" i="20" s="1"/>
  <c r="AR82" i="20"/>
  <c r="S82" i="20"/>
  <c r="AR81" i="20"/>
  <c r="S81" i="20"/>
  <c r="AR80" i="20"/>
  <c r="N80" i="20"/>
  <c r="S80" i="20" s="1"/>
  <c r="AR79" i="20"/>
  <c r="AS79" i="20" s="1"/>
  <c r="S79" i="20"/>
  <c r="AR78" i="20"/>
  <c r="M78" i="20"/>
  <c r="S78" i="20" s="1"/>
  <c r="AR77" i="20"/>
  <c r="S77" i="20"/>
  <c r="AR76" i="20"/>
  <c r="S76" i="20"/>
  <c r="AR75" i="20"/>
  <c r="S75" i="20"/>
  <c r="AR74" i="20"/>
  <c r="S74" i="20"/>
  <c r="AR73" i="20"/>
  <c r="S73" i="20"/>
  <c r="AS73" i="20" s="1"/>
  <c r="AR72" i="20"/>
  <c r="S72" i="20"/>
  <c r="AR71" i="20"/>
  <c r="S71" i="20"/>
  <c r="AR70" i="20"/>
  <c r="N70" i="20"/>
  <c r="S70" i="20" s="1"/>
  <c r="AR69" i="20"/>
  <c r="S69" i="20"/>
  <c r="AR68" i="20"/>
  <c r="M68" i="20"/>
  <c r="S68" i="20" s="1"/>
  <c r="AS68" i="20" s="1"/>
  <c r="AR67" i="20"/>
  <c r="O67" i="20"/>
  <c r="S67" i="20" s="1"/>
  <c r="AR66" i="20"/>
  <c r="O66" i="20"/>
  <c r="S66" i="20" s="1"/>
  <c r="AR65" i="20"/>
  <c r="S65" i="20"/>
  <c r="AR64" i="20"/>
  <c r="M64" i="20"/>
  <c r="S64" i="20" s="1"/>
  <c r="AS64" i="20" s="1"/>
  <c r="AR63" i="20"/>
  <c r="S63" i="20"/>
  <c r="AR62" i="20"/>
  <c r="O62" i="20"/>
  <c r="M62" i="20"/>
  <c r="AR61" i="20"/>
  <c r="S61" i="20"/>
  <c r="AR60" i="20"/>
  <c r="S60" i="20"/>
  <c r="AR59" i="20"/>
  <c r="S59" i="20"/>
  <c r="AR58" i="20"/>
  <c r="S58" i="20"/>
  <c r="AR57" i="20"/>
  <c r="S57" i="20"/>
  <c r="AR56" i="20"/>
  <c r="S56" i="20"/>
  <c r="AR55" i="20"/>
  <c r="S55" i="20"/>
  <c r="AR54" i="20"/>
  <c r="Q54" i="20"/>
  <c r="S54" i="20" s="1"/>
  <c r="AS54" i="20" s="1"/>
  <c r="AR53" i="20"/>
  <c r="S53" i="20"/>
  <c r="AR52" i="20"/>
  <c r="M52" i="20"/>
  <c r="S52" i="20" s="1"/>
  <c r="AR51" i="20"/>
  <c r="O51" i="20"/>
  <c r="S51" i="20" s="1"/>
  <c r="AR50" i="20"/>
  <c r="O50" i="20"/>
  <c r="M50" i="20"/>
  <c r="AR49" i="20"/>
  <c r="S49" i="20"/>
  <c r="AR48" i="20"/>
  <c r="S48" i="20"/>
  <c r="AR47" i="20"/>
  <c r="S47" i="20"/>
  <c r="AR46" i="20"/>
  <c r="S46" i="20"/>
  <c r="AR45" i="20"/>
  <c r="S45" i="20"/>
  <c r="AS45" i="20" s="1"/>
  <c r="AR44" i="20"/>
  <c r="S44" i="20"/>
  <c r="AR43" i="20"/>
  <c r="S43" i="20"/>
  <c r="AR42" i="20"/>
  <c r="S42" i="20"/>
  <c r="AR41" i="20"/>
  <c r="S41" i="20"/>
  <c r="AR40" i="20"/>
  <c r="S40" i="20"/>
  <c r="AR39" i="20"/>
  <c r="S39" i="20"/>
  <c r="AR38" i="20"/>
  <c r="S38" i="20"/>
  <c r="AR37" i="20"/>
  <c r="S37" i="20"/>
  <c r="AS37" i="20" s="1"/>
  <c r="AR36" i="20"/>
  <c r="S36" i="20"/>
  <c r="AR35" i="20"/>
  <c r="S35" i="20"/>
  <c r="AR34" i="20"/>
  <c r="N34" i="20"/>
  <c r="S34" i="20" s="1"/>
  <c r="AR33" i="20"/>
  <c r="S33" i="20"/>
  <c r="AR32" i="20"/>
  <c r="S32" i="20"/>
  <c r="AS32" i="20" s="1"/>
  <c r="AR31" i="20"/>
  <c r="S31" i="20"/>
  <c r="AR30" i="20"/>
  <c r="O30" i="20"/>
  <c r="N30" i="20"/>
  <c r="M30" i="20"/>
  <c r="AR29" i="20"/>
  <c r="S29" i="20"/>
  <c r="AR28" i="20"/>
  <c r="O28" i="20"/>
  <c r="N28" i="20"/>
  <c r="AR27" i="20"/>
  <c r="S27" i="20"/>
  <c r="AR26" i="20"/>
  <c r="S26" i="20"/>
  <c r="AR25" i="20"/>
  <c r="N25" i="20"/>
  <c r="S25" i="20" s="1"/>
  <c r="AR24" i="20"/>
  <c r="S24" i="20"/>
  <c r="AR23" i="20"/>
  <c r="S23" i="20"/>
  <c r="AR22" i="20"/>
  <c r="S22" i="20"/>
  <c r="AR21" i="20"/>
  <c r="S21" i="20"/>
  <c r="AR20" i="20"/>
  <c r="S20" i="20"/>
  <c r="AR19" i="20"/>
  <c r="S19" i="20"/>
  <c r="AR18" i="20"/>
  <c r="O18" i="20"/>
  <c r="S18" i="20" s="1"/>
  <c r="AR17" i="20"/>
  <c r="S17" i="20"/>
  <c r="AR16" i="20"/>
  <c r="S16" i="20"/>
  <c r="AR15" i="20"/>
  <c r="S15" i="20"/>
  <c r="AR14" i="20"/>
  <c r="AS14" i="20" s="1"/>
  <c r="S14" i="20"/>
  <c r="AR13" i="20"/>
  <c r="S13" i="20"/>
  <c r="AR12" i="20"/>
  <c r="Q12" i="20"/>
  <c r="Q222" i="20" s="1"/>
  <c r="O12" i="20"/>
  <c r="AS17" i="20" l="1"/>
  <c r="AS94" i="20"/>
  <c r="AS165" i="20"/>
  <c r="AS56" i="20"/>
  <c r="AS21" i="20"/>
  <c r="AS59" i="20"/>
  <c r="AS82" i="20"/>
  <c r="AS181" i="20"/>
  <c r="AS109" i="20"/>
  <c r="AS92" i="20"/>
  <c r="AS111" i="20"/>
  <c r="AS119" i="20"/>
  <c r="AS135" i="20"/>
  <c r="AS179" i="20"/>
  <c r="AS203" i="20"/>
  <c r="AS51" i="20"/>
  <c r="AS189" i="20"/>
  <c r="AS26" i="20"/>
  <c r="AS99" i="20"/>
  <c r="AS142" i="20"/>
  <c r="AS146" i="20"/>
  <c r="AS158" i="20"/>
  <c r="AS162" i="20"/>
  <c r="AS115" i="20"/>
  <c r="AS13" i="20"/>
  <c r="AS78" i="20"/>
  <c r="AS112" i="20"/>
  <c r="AS160" i="20"/>
  <c r="AS76" i="20"/>
  <c r="AS106" i="20"/>
  <c r="AS136" i="20"/>
  <c r="AS186" i="20"/>
  <c r="AS205" i="20"/>
  <c r="AS209" i="20"/>
  <c r="AS65" i="20"/>
  <c r="AS103" i="20"/>
  <c r="AS125" i="20"/>
  <c r="AS171" i="20"/>
  <c r="AS24" i="20"/>
  <c r="AS133" i="20"/>
  <c r="AS137" i="20"/>
  <c r="AS183" i="20"/>
  <c r="AS187" i="20"/>
  <c r="AS202" i="20"/>
  <c r="AS206" i="20"/>
  <c r="AS210" i="20"/>
  <c r="AS31" i="20"/>
  <c r="AS39" i="20"/>
  <c r="AS43" i="20"/>
  <c r="AS55" i="20"/>
  <c r="AS74" i="20"/>
  <c r="AS85" i="20"/>
  <c r="AS89" i="20"/>
  <c r="AS122" i="20"/>
  <c r="AS126" i="20"/>
  <c r="AS134" i="20"/>
  <c r="AS149" i="20"/>
  <c r="AS153" i="20"/>
  <c r="AS172" i="20"/>
  <c r="AS191" i="20"/>
  <c r="AS195" i="20"/>
  <c r="AS218" i="20"/>
  <c r="AS33" i="20"/>
  <c r="AS49" i="20"/>
  <c r="AS72" i="20"/>
  <c r="AS197" i="20"/>
  <c r="AS220" i="20"/>
  <c r="AS19" i="20"/>
  <c r="AS27" i="20"/>
  <c r="AS61" i="20"/>
  <c r="AS95" i="20"/>
  <c r="AS140" i="20"/>
  <c r="AS148" i="20"/>
  <c r="AS16" i="20"/>
  <c r="AS57" i="20"/>
  <c r="AS117" i="20"/>
  <c r="AS132" i="20"/>
  <c r="AS38" i="20"/>
  <c r="AS46" i="20"/>
  <c r="AS69" i="20"/>
  <c r="AS84" i="20"/>
  <c r="AS175" i="20"/>
  <c r="AS20" i="20"/>
  <c r="AS18" i="20"/>
  <c r="AS36" i="20"/>
  <c r="AS40" i="20"/>
  <c r="AS44" i="20"/>
  <c r="AS48" i="20"/>
  <c r="AS52" i="20"/>
  <c r="AS63" i="20"/>
  <c r="AS75" i="20"/>
  <c r="AS86" i="20"/>
  <c r="AS90" i="20"/>
  <c r="AS123" i="20"/>
  <c r="AS127" i="20"/>
  <c r="AS139" i="20"/>
  <c r="AS150" i="20"/>
  <c r="AS154" i="20"/>
  <c r="AS169" i="20"/>
  <c r="AS173" i="20"/>
  <c r="AS196" i="20"/>
  <c r="AS212" i="20"/>
  <c r="AS219" i="20"/>
  <c r="AS163" i="20"/>
  <c r="AS159" i="20"/>
  <c r="AS47" i="20"/>
  <c r="AS113" i="20"/>
  <c r="AS193" i="20"/>
  <c r="AS213" i="20"/>
  <c r="AR222" i="20"/>
  <c r="AS34" i="20"/>
  <c r="AS70" i="20"/>
  <c r="AS100" i="20"/>
  <c r="AS110" i="20"/>
  <c r="AS120" i="20"/>
  <c r="AS157" i="20"/>
  <c r="AS180" i="20"/>
  <c r="AS190" i="20"/>
  <c r="AS200" i="20"/>
  <c r="AS41" i="20"/>
  <c r="AS71" i="20"/>
  <c r="AS101" i="20"/>
  <c r="AS131" i="20"/>
  <c r="AS23" i="20"/>
  <c r="AS42" i="20"/>
  <c r="AS58" i="20"/>
  <c r="S62" i="20"/>
  <c r="AS62" i="20" s="1"/>
  <c r="AS81" i="20"/>
  <c r="AS118" i="20"/>
  <c r="AS128" i="20"/>
  <c r="AS138" i="20"/>
  <c r="AS145" i="20"/>
  <c r="AS161" i="20"/>
  <c r="AS164" i="20"/>
  <c r="AS174" i="20"/>
  <c r="AS188" i="20"/>
  <c r="AS198" i="20"/>
  <c r="AS215" i="20"/>
  <c r="S12" i="20"/>
  <c r="S222" i="20" s="1"/>
  <c r="AS53" i="20"/>
  <c r="AS60" i="20"/>
  <c r="AS96" i="20"/>
  <c r="AS107" i="20"/>
  <c r="AS176" i="20"/>
  <c r="AS93" i="20"/>
  <c r="AS166" i="20"/>
  <c r="AS217" i="20"/>
  <c r="AS22" i="20"/>
  <c r="AS29" i="20"/>
  <c r="AS77" i="20"/>
  <c r="AS97" i="20"/>
  <c r="AS114" i="20"/>
  <c r="AS35" i="20"/>
  <c r="AS87" i="20"/>
  <c r="AS121" i="20"/>
  <c r="AS141" i="20"/>
  <c r="AS151" i="20"/>
  <c r="AS167" i="20"/>
  <c r="AS184" i="20"/>
  <c r="AS201" i="20"/>
  <c r="AS211" i="20"/>
  <c r="AS221" i="20"/>
  <c r="AS88" i="20"/>
  <c r="AS102" i="20"/>
  <c r="AS152" i="20"/>
  <c r="AS168" i="20"/>
  <c r="AS185" i="20"/>
  <c r="AS143" i="20"/>
  <c r="AS80" i="20"/>
  <c r="AS144" i="20"/>
  <c r="AS170" i="20"/>
  <c r="AS194" i="20"/>
  <c r="AS204" i="20"/>
  <c r="AS214" i="20"/>
  <c r="M222" i="20"/>
  <c r="S108" i="20"/>
  <c r="AS108" i="20" s="1"/>
  <c r="O222" i="20"/>
  <c r="S28" i="20"/>
  <c r="AS28" i="20" s="1"/>
  <c r="S50" i="20"/>
  <c r="AS50" i="20" s="1"/>
  <c r="AS66" i="20"/>
  <c r="AS116" i="20"/>
  <c r="AS129" i="20"/>
  <c r="AS182" i="20"/>
  <c r="AS192" i="20"/>
  <c r="AS25" i="20"/>
  <c r="AS67" i="20"/>
  <c r="AS130" i="20"/>
  <c r="AS207" i="20"/>
  <c r="AS177" i="20"/>
  <c r="AS98" i="20"/>
  <c r="AS105" i="20"/>
  <c r="AS178" i="20"/>
  <c r="AS15" i="20"/>
  <c r="S30" i="20"/>
  <c r="AS30" i="20" s="1"/>
  <c r="N222" i="20"/>
  <c r="AS12" i="20" l="1"/>
  <c r="AS222" i="20" s="1"/>
  <c r="E9" i="20"/>
  <c r="AQ249" i="19" l="1"/>
  <c r="AM249" i="19"/>
  <c r="AI249" i="19"/>
  <c r="AE249" i="19"/>
  <c r="AA249" i="19"/>
  <c r="Y249" i="19"/>
  <c r="X249" i="19"/>
  <c r="W249" i="19"/>
  <c r="V249" i="19"/>
  <c r="U249" i="19"/>
  <c r="T249" i="19"/>
  <c r="S249" i="19"/>
  <c r="R249" i="19"/>
  <c r="Q249" i="19"/>
  <c r="P249" i="19"/>
  <c r="O249" i="19"/>
  <c r="N249" i="19"/>
  <c r="M249" i="19"/>
  <c r="L249" i="19"/>
  <c r="K249" i="19"/>
  <c r="AU246" i="19"/>
  <c r="Z246" i="19"/>
  <c r="AV246" i="19" s="1"/>
  <c r="AU245" i="19"/>
  <c r="Z245" i="19"/>
  <c r="AU244" i="19"/>
  <c r="Z244" i="19"/>
  <c r="AU243" i="19"/>
  <c r="Z243" i="19"/>
  <c r="AU242" i="19"/>
  <c r="Z242" i="19"/>
  <c r="AV242" i="19" s="1"/>
  <c r="AU241" i="19"/>
  <c r="Z241" i="19"/>
  <c r="AU240" i="19"/>
  <c r="Z240" i="19"/>
  <c r="AU239" i="19"/>
  <c r="AV239" i="19" s="1"/>
  <c r="Z239" i="19"/>
  <c r="AU238" i="19"/>
  <c r="Z238" i="19"/>
  <c r="AV238" i="19" s="1"/>
  <c r="AU237" i="19"/>
  <c r="Z237" i="19"/>
  <c r="AU236" i="19"/>
  <c r="Z236" i="19"/>
  <c r="AU235" i="19"/>
  <c r="Z235" i="19"/>
  <c r="AU234" i="19"/>
  <c r="Z234" i="19"/>
  <c r="AV234" i="19" s="1"/>
  <c r="AU233" i="19"/>
  <c r="Z233" i="19"/>
  <c r="AU232" i="19"/>
  <c r="Z232" i="19"/>
  <c r="AU231" i="19"/>
  <c r="Z231" i="19"/>
  <c r="AU230" i="19"/>
  <c r="Z230" i="19"/>
  <c r="AU229" i="19"/>
  <c r="Z229" i="19"/>
  <c r="AU228" i="19"/>
  <c r="Z228" i="19"/>
  <c r="AU227" i="19"/>
  <c r="Z227" i="19"/>
  <c r="AU226" i="19"/>
  <c r="Z226" i="19"/>
  <c r="AU225" i="19"/>
  <c r="Z225" i="19"/>
  <c r="AU224" i="19"/>
  <c r="Z224" i="19"/>
  <c r="AU223" i="19"/>
  <c r="Z223" i="19"/>
  <c r="AU222" i="19"/>
  <c r="Z222" i="19"/>
  <c r="AU221" i="19"/>
  <c r="Z221" i="19"/>
  <c r="AU220" i="19"/>
  <c r="Z220" i="19"/>
  <c r="AU219" i="19"/>
  <c r="Z219" i="19"/>
  <c r="AU218" i="19"/>
  <c r="Z218" i="19"/>
  <c r="AU217" i="19"/>
  <c r="Z217" i="19"/>
  <c r="AU216" i="19"/>
  <c r="Z216" i="19"/>
  <c r="AU215" i="19"/>
  <c r="Z215" i="19"/>
  <c r="AU214" i="19"/>
  <c r="Z214" i="19"/>
  <c r="AU213" i="19"/>
  <c r="Z213" i="19"/>
  <c r="AU212" i="19"/>
  <c r="AV212" i="19" s="1"/>
  <c r="Z212" i="19"/>
  <c r="AU211" i="19"/>
  <c r="Z211" i="19"/>
  <c r="AU210" i="19"/>
  <c r="Z210" i="19"/>
  <c r="AU209" i="19"/>
  <c r="Z209" i="19"/>
  <c r="AU208" i="19"/>
  <c r="Z208" i="19"/>
  <c r="AU207" i="19"/>
  <c r="Z207" i="19"/>
  <c r="AU206" i="19"/>
  <c r="Z206" i="19"/>
  <c r="AU205" i="19"/>
  <c r="Z205" i="19"/>
  <c r="AU204" i="19"/>
  <c r="AV204" i="19" s="1"/>
  <c r="Z204" i="19"/>
  <c r="AU203" i="19"/>
  <c r="Z203" i="19"/>
  <c r="AU202" i="19"/>
  <c r="Z202" i="19"/>
  <c r="AU201" i="19"/>
  <c r="Z201" i="19"/>
  <c r="AU200" i="19"/>
  <c r="Z200" i="19"/>
  <c r="AU199" i="19"/>
  <c r="Z199" i="19"/>
  <c r="AU198" i="19"/>
  <c r="Z198" i="19"/>
  <c r="AU197" i="19"/>
  <c r="Z197" i="19"/>
  <c r="AU196" i="19"/>
  <c r="AV196" i="19" s="1"/>
  <c r="Z196" i="19"/>
  <c r="AU195" i="19"/>
  <c r="Z195" i="19"/>
  <c r="AU194" i="19"/>
  <c r="Z194" i="19"/>
  <c r="AU193" i="19"/>
  <c r="Z193" i="19"/>
  <c r="AU192" i="19"/>
  <c r="Z192" i="19"/>
  <c r="AU191" i="19"/>
  <c r="AV191" i="19" s="1"/>
  <c r="Z191" i="19"/>
  <c r="AU190" i="19"/>
  <c r="Z190" i="19"/>
  <c r="AU189" i="19"/>
  <c r="Z189" i="19"/>
  <c r="AU188" i="19"/>
  <c r="Z188" i="19"/>
  <c r="AU187" i="19"/>
  <c r="Z187" i="19"/>
  <c r="AU186" i="19"/>
  <c r="Z186" i="19"/>
  <c r="AU185" i="19"/>
  <c r="Z185" i="19"/>
  <c r="AU184" i="19"/>
  <c r="Z184" i="19"/>
  <c r="AU183" i="19"/>
  <c r="Z183" i="19"/>
  <c r="AU182" i="19"/>
  <c r="Z182" i="19"/>
  <c r="AU181" i="19"/>
  <c r="Z181" i="19"/>
  <c r="AU180" i="19"/>
  <c r="Z180" i="19"/>
  <c r="AU179" i="19"/>
  <c r="Z179" i="19"/>
  <c r="AU178" i="19"/>
  <c r="Z178" i="19"/>
  <c r="AU177" i="19"/>
  <c r="Z177" i="19"/>
  <c r="AU176" i="19"/>
  <c r="Z176" i="19"/>
  <c r="AU175" i="19"/>
  <c r="AV175" i="19" s="1"/>
  <c r="Z175" i="19"/>
  <c r="AU174" i="19"/>
  <c r="Z174" i="19"/>
  <c r="AU173" i="19"/>
  <c r="Z173" i="19"/>
  <c r="AU172" i="19"/>
  <c r="AV172" i="19" s="1"/>
  <c r="Z172" i="19"/>
  <c r="AU171" i="19"/>
  <c r="Z171" i="19"/>
  <c r="AU170" i="19"/>
  <c r="Z170" i="19"/>
  <c r="AU169" i="19"/>
  <c r="Z169" i="19"/>
  <c r="AU168" i="19"/>
  <c r="Z168" i="19"/>
  <c r="AU167" i="19"/>
  <c r="AV167" i="19" s="1"/>
  <c r="Z167" i="19"/>
  <c r="AU166" i="19"/>
  <c r="Z166" i="19"/>
  <c r="AU165" i="19"/>
  <c r="Z165" i="19"/>
  <c r="AU164" i="19"/>
  <c r="Z164" i="19"/>
  <c r="AU163" i="19"/>
  <c r="Z163" i="19"/>
  <c r="AV163" i="19" s="1"/>
  <c r="AU162" i="19"/>
  <c r="Z162" i="19"/>
  <c r="AU161" i="19"/>
  <c r="Z161" i="19"/>
  <c r="AU160" i="19"/>
  <c r="Z160" i="19"/>
  <c r="AV160" i="19" s="1"/>
  <c r="AU159" i="19"/>
  <c r="Z159" i="19"/>
  <c r="AU158" i="19"/>
  <c r="Z158" i="19"/>
  <c r="AU157" i="19"/>
  <c r="Z157" i="19"/>
  <c r="AU156" i="19"/>
  <c r="AV156" i="19" s="1"/>
  <c r="Z156" i="19"/>
  <c r="AU155" i="19"/>
  <c r="Z155" i="19"/>
  <c r="AU154" i="19"/>
  <c r="Z154" i="19"/>
  <c r="AU153" i="19"/>
  <c r="Z153" i="19"/>
  <c r="AU152" i="19"/>
  <c r="Z152" i="19"/>
  <c r="AU151" i="19"/>
  <c r="Z151" i="19"/>
  <c r="AU150" i="19"/>
  <c r="Z150" i="19"/>
  <c r="AU149" i="19"/>
  <c r="AV149" i="19" s="1"/>
  <c r="Z149" i="19"/>
  <c r="AU148" i="19"/>
  <c r="Z148" i="19"/>
  <c r="AU147" i="19"/>
  <c r="Z147" i="19"/>
  <c r="AU146" i="19"/>
  <c r="Z146" i="19"/>
  <c r="AU145" i="19"/>
  <c r="Z145" i="19"/>
  <c r="AU144" i="19"/>
  <c r="Z144" i="19"/>
  <c r="AU143" i="19"/>
  <c r="Z143" i="19"/>
  <c r="AU142" i="19"/>
  <c r="Z142" i="19"/>
  <c r="AU141" i="19"/>
  <c r="AV141" i="19" s="1"/>
  <c r="Z141" i="19"/>
  <c r="AU140" i="19"/>
  <c r="AV140" i="19" s="1"/>
  <c r="Z140" i="19"/>
  <c r="AU139" i="19"/>
  <c r="Z139" i="19"/>
  <c r="AU138" i="19"/>
  <c r="AV138" i="19" s="1"/>
  <c r="Z138" i="19"/>
  <c r="AU137" i="19"/>
  <c r="Z137" i="19"/>
  <c r="AU136" i="19"/>
  <c r="Z136" i="19"/>
  <c r="AU135" i="19"/>
  <c r="Z135" i="19"/>
  <c r="AU134" i="19"/>
  <c r="Z134" i="19"/>
  <c r="AU133" i="19"/>
  <c r="Z133" i="19"/>
  <c r="AU132" i="19"/>
  <c r="Z132" i="19"/>
  <c r="AU131" i="19"/>
  <c r="AV131" i="19" s="1"/>
  <c r="Z131" i="19"/>
  <c r="AU130" i="19"/>
  <c r="Z130" i="19"/>
  <c r="AU129" i="19"/>
  <c r="Z129" i="19"/>
  <c r="AU128" i="19"/>
  <c r="Z128" i="19"/>
  <c r="AV128" i="19" s="1"/>
  <c r="AU127" i="19"/>
  <c r="Z127" i="19"/>
  <c r="AU126" i="19"/>
  <c r="Z126" i="19"/>
  <c r="AU125" i="19"/>
  <c r="Z125" i="19"/>
  <c r="AU124" i="19"/>
  <c r="Z124" i="19"/>
  <c r="AU123" i="19"/>
  <c r="Z123" i="19"/>
  <c r="AU122" i="19"/>
  <c r="AV122" i="19" s="1"/>
  <c r="Z122" i="19"/>
  <c r="AU121" i="19"/>
  <c r="Z121" i="19"/>
  <c r="AU120" i="19"/>
  <c r="Z120" i="19"/>
  <c r="AU119" i="19"/>
  <c r="Z119" i="19"/>
  <c r="AU118" i="19"/>
  <c r="Z118" i="19"/>
  <c r="AU117" i="19"/>
  <c r="AV117" i="19" s="1"/>
  <c r="Z117" i="19"/>
  <c r="AU116" i="19"/>
  <c r="Z116" i="19"/>
  <c r="AU115" i="19"/>
  <c r="Z115" i="19"/>
  <c r="AU114" i="19"/>
  <c r="Z114" i="19"/>
  <c r="AU113" i="19"/>
  <c r="Z113" i="19"/>
  <c r="AU112" i="19"/>
  <c r="Z112" i="19"/>
  <c r="AV112" i="19" s="1"/>
  <c r="AU111" i="19"/>
  <c r="Z111" i="19"/>
  <c r="AU110" i="19"/>
  <c r="AV110" i="19" s="1"/>
  <c r="Z110" i="19"/>
  <c r="AU109" i="19"/>
  <c r="AV109" i="19" s="1"/>
  <c r="Z109" i="19"/>
  <c r="AU108" i="19"/>
  <c r="Z108" i="19"/>
  <c r="AU107" i="19"/>
  <c r="Z107" i="19"/>
  <c r="AU106" i="19"/>
  <c r="Z106" i="19"/>
  <c r="AU105" i="19"/>
  <c r="Z105" i="19"/>
  <c r="AU104" i="19"/>
  <c r="Z104" i="19"/>
  <c r="AU103" i="19"/>
  <c r="Z103" i="19"/>
  <c r="AU102" i="19"/>
  <c r="Z102" i="19"/>
  <c r="AU101" i="19"/>
  <c r="Z101" i="19"/>
  <c r="AU100" i="19"/>
  <c r="Z100" i="19"/>
  <c r="AU99" i="19"/>
  <c r="AV99" i="19" s="1"/>
  <c r="Z99" i="19"/>
  <c r="AU98" i="19"/>
  <c r="Z98" i="19"/>
  <c r="AU97" i="19"/>
  <c r="Z97" i="19"/>
  <c r="AU96" i="19"/>
  <c r="Z96" i="19"/>
  <c r="AV96" i="19" s="1"/>
  <c r="AU95" i="19"/>
  <c r="AV95" i="19" s="1"/>
  <c r="Z95" i="19"/>
  <c r="AU94" i="19"/>
  <c r="Z94" i="19"/>
  <c r="AU93" i="19"/>
  <c r="Z93" i="19"/>
  <c r="AU92" i="19"/>
  <c r="AV92" i="19" s="1"/>
  <c r="Z92" i="19"/>
  <c r="AU91" i="19"/>
  <c r="Z91" i="19"/>
  <c r="AU90" i="19"/>
  <c r="AV90" i="19" s="1"/>
  <c r="Z90" i="19"/>
  <c r="AU89" i="19"/>
  <c r="Z89" i="19"/>
  <c r="AU88" i="19"/>
  <c r="Z88" i="19"/>
  <c r="AU87" i="19"/>
  <c r="AV87" i="19" s="1"/>
  <c r="Z87" i="19"/>
  <c r="AU86" i="19"/>
  <c r="Z86" i="19"/>
  <c r="AU85" i="19"/>
  <c r="Z85" i="19"/>
  <c r="AU84" i="19"/>
  <c r="Z84" i="19"/>
  <c r="AU83" i="19"/>
  <c r="AV83" i="19" s="1"/>
  <c r="Z83" i="19"/>
  <c r="AU82" i="19"/>
  <c r="Z82" i="19"/>
  <c r="AU81" i="19"/>
  <c r="Z81" i="19"/>
  <c r="AU80" i="19"/>
  <c r="Z80" i="19"/>
  <c r="AV80" i="19" s="1"/>
  <c r="AU79" i="19"/>
  <c r="AV79" i="19" s="1"/>
  <c r="Z79" i="19"/>
  <c r="AU78" i="19"/>
  <c r="AV78" i="19" s="1"/>
  <c r="Z78" i="19"/>
  <c r="AU77" i="19"/>
  <c r="Z77" i="19"/>
  <c r="AU76" i="19"/>
  <c r="Z76" i="19"/>
  <c r="AU75" i="19"/>
  <c r="Z75" i="19"/>
  <c r="AU74" i="19"/>
  <c r="Z74" i="19"/>
  <c r="AU73" i="19"/>
  <c r="Z73" i="19"/>
  <c r="AU72" i="19"/>
  <c r="Z72" i="19"/>
  <c r="AV72" i="19" s="1"/>
  <c r="AU71" i="19"/>
  <c r="AV71" i="19" s="1"/>
  <c r="Z71" i="19"/>
  <c r="AU70" i="19"/>
  <c r="AV70" i="19" s="1"/>
  <c r="Z70" i="19"/>
  <c r="AU69" i="19"/>
  <c r="Z69" i="19"/>
  <c r="AU68" i="19"/>
  <c r="Z68" i="19"/>
  <c r="AU67" i="19"/>
  <c r="AV67" i="19" s="1"/>
  <c r="Z67" i="19"/>
  <c r="AU66" i="19"/>
  <c r="Z66" i="19"/>
  <c r="AU65" i="19"/>
  <c r="Z65" i="19"/>
  <c r="AU64" i="19"/>
  <c r="Z64" i="19"/>
  <c r="AV64" i="19" s="1"/>
  <c r="AU63" i="19"/>
  <c r="Z63" i="19"/>
  <c r="AU62" i="19"/>
  <c r="Z62" i="19"/>
  <c r="AU61" i="19"/>
  <c r="Z61" i="19"/>
  <c r="AU60" i="19"/>
  <c r="Z60" i="19"/>
  <c r="AU59" i="19"/>
  <c r="Z59" i="19"/>
  <c r="AU58" i="19"/>
  <c r="Z58" i="19"/>
  <c r="AU57" i="19"/>
  <c r="Z57" i="19"/>
  <c r="AU56" i="19"/>
  <c r="Z56" i="19"/>
  <c r="AU55" i="19"/>
  <c r="AV55" i="19" s="1"/>
  <c r="Z55" i="19"/>
  <c r="AU54" i="19"/>
  <c r="Z54" i="19"/>
  <c r="AU53" i="19"/>
  <c r="Z53" i="19"/>
  <c r="AU52" i="19"/>
  <c r="Z52" i="19"/>
  <c r="AU51" i="19"/>
  <c r="Z51" i="19"/>
  <c r="AU50" i="19"/>
  <c r="AV50" i="19" s="1"/>
  <c r="Z50" i="19"/>
  <c r="AU49" i="19"/>
  <c r="Z49" i="19"/>
  <c r="AU48" i="19"/>
  <c r="Z48" i="19"/>
  <c r="AU47" i="19"/>
  <c r="Z47" i="19"/>
  <c r="AU46" i="19"/>
  <c r="AV46" i="19" s="1"/>
  <c r="Z46" i="19"/>
  <c r="AU45" i="19"/>
  <c r="Z45" i="19"/>
  <c r="AU44" i="19"/>
  <c r="Z44" i="19"/>
  <c r="AU43" i="19"/>
  <c r="Z43" i="19"/>
  <c r="AU42" i="19"/>
  <c r="Z42" i="19"/>
  <c r="AU41" i="19"/>
  <c r="Z41" i="19"/>
  <c r="AU40" i="19"/>
  <c r="Z40" i="19"/>
  <c r="AU39" i="19"/>
  <c r="AV39" i="19" s="1"/>
  <c r="Z39" i="19"/>
  <c r="AU38" i="19"/>
  <c r="Z38" i="19"/>
  <c r="AU37" i="19"/>
  <c r="Z37" i="19"/>
  <c r="AU36" i="19"/>
  <c r="Z36" i="19"/>
  <c r="AU35" i="19"/>
  <c r="Z35" i="19"/>
  <c r="AU34" i="19"/>
  <c r="Z34" i="19"/>
  <c r="AU33" i="19"/>
  <c r="Z33" i="19"/>
  <c r="AU32" i="19"/>
  <c r="Z32" i="19"/>
  <c r="AU31" i="19"/>
  <c r="Z31" i="19"/>
  <c r="AU30" i="19"/>
  <c r="AV30" i="19" s="1"/>
  <c r="Z30" i="19"/>
  <c r="AU29" i="19"/>
  <c r="Z29" i="19"/>
  <c r="AU28" i="19"/>
  <c r="Z28" i="19"/>
  <c r="AU27" i="19"/>
  <c r="Z27" i="19"/>
  <c r="AU26" i="19"/>
  <c r="AV26" i="19" s="1"/>
  <c r="Z26" i="19"/>
  <c r="AU25" i="19"/>
  <c r="Z25" i="19"/>
  <c r="AU24" i="19"/>
  <c r="Z24" i="19"/>
  <c r="AU23" i="19"/>
  <c r="AV23" i="19" s="1"/>
  <c r="Z23" i="19"/>
  <c r="AU22" i="19"/>
  <c r="Z22" i="19"/>
  <c r="AU21" i="19"/>
  <c r="Z21" i="19"/>
  <c r="AU20" i="19"/>
  <c r="Z20" i="19"/>
  <c r="AU19" i="19"/>
  <c r="AV19" i="19" s="1"/>
  <c r="Z19" i="19"/>
  <c r="AU18" i="19"/>
  <c r="Z18" i="19"/>
  <c r="AU17" i="19"/>
  <c r="Z17" i="19"/>
  <c r="B17" i="19"/>
  <c r="B18" i="19" s="1"/>
  <c r="B19" i="19" s="1"/>
  <c r="B20" i="19" s="1"/>
  <c r="B21" i="19" s="1"/>
  <c r="B22" i="19" s="1"/>
  <c r="B23" i="19" s="1"/>
  <c r="B24" i="19" s="1"/>
  <c r="B25" i="19" s="1"/>
  <c r="B26" i="19" s="1"/>
  <c r="B27" i="19" s="1"/>
  <c r="B28" i="19" s="1"/>
  <c r="B29" i="19" s="1"/>
  <c r="B30" i="19" s="1"/>
  <c r="B31" i="19" s="1"/>
  <c r="B32" i="19" s="1"/>
  <c r="B33" i="19" s="1"/>
  <c r="B34" i="19" s="1"/>
  <c r="B35" i="19" s="1"/>
  <c r="B36" i="19" s="1"/>
  <c r="B37" i="19" s="1"/>
  <c r="B38" i="19" s="1"/>
  <c r="B39" i="19" s="1"/>
  <c r="B40" i="19" s="1"/>
  <c r="B41" i="19" s="1"/>
  <c r="B42" i="19" s="1"/>
  <c r="B43" i="19" s="1"/>
  <c r="B44" i="19" s="1"/>
  <c r="B45" i="19" s="1"/>
  <c r="B46" i="19" s="1"/>
  <c r="B47" i="19" s="1"/>
  <c r="B48" i="19" s="1"/>
  <c r="B49" i="19" s="1"/>
  <c r="B50" i="19" s="1"/>
  <c r="B51" i="19" s="1"/>
  <c r="B52" i="19" s="1"/>
  <c r="B53" i="19" s="1"/>
  <c r="B54" i="19" s="1"/>
  <c r="B55" i="19" s="1"/>
  <c r="B56" i="19" s="1"/>
  <c r="B57" i="19" s="1"/>
  <c r="B58" i="19" s="1"/>
  <c r="B59" i="19" s="1"/>
  <c r="B60" i="19" s="1"/>
  <c r="B61" i="19" s="1"/>
  <c r="B63" i="19" s="1"/>
  <c r="B64" i="19" s="1"/>
  <c r="B65" i="19" s="1"/>
  <c r="B66" i="19" s="1"/>
  <c r="B67" i="19" s="1"/>
  <c r="B68" i="19" s="1"/>
  <c r="B69" i="19" s="1"/>
  <c r="B70" i="19" s="1"/>
  <c r="B71" i="19" s="1"/>
  <c r="B72" i="19" s="1"/>
  <c r="B73" i="19" s="1"/>
  <c r="B74" i="19" s="1"/>
  <c r="B75" i="19" s="1"/>
  <c r="B76" i="19" s="1"/>
  <c r="B77" i="19" s="1"/>
  <c r="B78" i="19" s="1"/>
  <c r="B79" i="19" s="1"/>
  <c r="B80" i="19" s="1"/>
  <c r="B81" i="19" s="1"/>
  <c r="B82" i="19" s="1"/>
  <c r="B83" i="19" s="1"/>
  <c r="B84" i="19" s="1"/>
  <c r="B85" i="19" s="1"/>
  <c r="B86" i="19" s="1"/>
  <c r="B87" i="19" s="1"/>
  <c r="B88" i="19" s="1"/>
  <c r="B89" i="19" s="1"/>
  <c r="B90" i="19" s="1"/>
  <c r="B91" i="19" s="1"/>
  <c r="B92" i="19" s="1"/>
  <c r="B93" i="19" s="1"/>
  <c r="B94" i="19" s="1"/>
  <c r="B95" i="19" s="1"/>
  <c r="B96" i="19" s="1"/>
  <c r="B97" i="19" s="1"/>
  <c r="B98" i="19" s="1"/>
  <c r="B99" i="19" s="1"/>
  <c r="B100" i="19" s="1"/>
  <c r="B101" i="19" s="1"/>
  <c r="B102" i="19" s="1"/>
  <c r="B103" i="19" s="1"/>
  <c r="B104" i="19" s="1"/>
  <c r="B105" i="19" s="1"/>
  <c r="B106" i="19" s="1"/>
  <c r="B107" i="19" s="1"/>
  <c r="B108" i="19" s="1"/>
  <c r="B109" i="19" s="1"/>
  <c r="B110" i="19" s="1"/>
  <c r="B111" i="19" s="1"/>
  <c r="B112" i="19" s="1"/>
  <c r="B113" i="19" s="1"/>
  <c r="B114" i="19" s="1"/>
  <c r="B115" i="19" s="1"/>
  <c r="B116" i="19" s="1"/>
  <c r="B117" i="19" s="1"/>
  <c r="B118" i="19" s="1"/>
  <c r="B119" i="19" s="1"/>
  <c r="B120" i="19" s="1"/>
  <c r="B121" i="19" s="1"/>
  <c r="B122" i="19" s="1"/>
  <c r="B123" i="19" s="1"/>
  <c r="B124" i="19" s="1"/>
  <c r="B125" i="19" s="1"/>
  <c r="B126" i="19" s="1"/>
  <c r="B127" i="19" s="1"/>
  <c r="B128" i="19" s="1"/>
  <c r="B129" i="19" s="1"/>
  <c r="B130" i="19" s="1"/>
  <c r="B131" i="19" s="1"/>
  <c r="B132" i="19" s="1"/>
  <c r="B133" i="19" s="1"/>
  <c r="B134" i="19" s="1"/>
  <c r="B135" i="19" s="1"/>
  <c r="B136" i="19" s="1"/>
  <c r="B137" i="19" s="1"/>
  <c r="B138" i="19" s="1"/>
  <c r="B139" i="19" s="1"/>
  <c r="B140" i="19" s="1"/>
  <c r="B141" i="19" s="1"/>
  <c r="B142" i="19" s="1"/>
  <c r="B143" i="19" s="1"/>
  <c r="B144" i="19" s="1"/>
  <c r="B145" i="19" s="1"/>
  <c r="B146" i="19" s="1"/>
  <c r="B147" i="19" s="1"/>
  <c r="B148" i="19" s="1"/>
  <c r="B149" i="19" s="1"/>
  <c r="B150" i="19" s="1"/>
  <c r="B151" i="19" s="1"/>
  <c r="B152" i="19" s="1"/>
  <c r="B153" i="19" s="1"/>
  <c r="B154" i="19" s="1"/>
  <c r="B155" i="19" s="1"/>
  <c r="B156" i="19" s="1"/>
  <c r="B157" i="19" s="1"/>
  <c r="B158" i="19" s="1"/>
  <c r="B159" i="19" s="1"/>
  <c r="B160" i="19" s="1"/>
  <c r="B161" i="19" s="1"/>
  <c r="B162" i="19" s="1"/>
  <c r="B163" i="19" s="1"/>
  <c r="B164" i="19" s="1"/>
  <c r="B165" i="19" s="1"/>
  <c r="B166" i="19" s="1"/>
  <c r="B167" i="19" s="1"/>
  <c r="B168" i="19" s="1"/>
  <c r="B169" i="19" s="1"/>
  <c r="B170" i="19" s="1"/>
  <c r="B171" i="19" s="1"/>
  <c r="B172" i="19" s="1"/>
  <c r="B173" i="19" s="1"/>
  <c r="B174" i="19" s="1"/>
  <c r="B175" i="19" s="1"/>
  <c r="B176" i="19" s="1"/>
  <c r="B177" i="19" s="1"/>
  <c r="B178" i="19" s="1"/>
  <c r="B179" i="19" s="1"/>
  <c r="B180" i="19" s="1"/>
  <c r="B181" i="19" s="1"/>
  <c r="B182" i="19" s="1"/>
  <c r="B183" i="19" s="1"/>
  <c r="B184" i="19" s="1"/>
  <c r="B185" i="19" s="1"/>
  <c r="B186" i="19" s="1"/>
  <c r="B187" i="19" s="1"/>
  <c r="B188" i="19" s="1"/>
  <c r="B189" i="19" s="1"/>
  <c r="B190" i="19" s="1"/>
  <c r="B191" i="19" s="1"/>
  <c r="B192" i="19" s="1"/>
  <c r="B193" i="19" s="1"/>
  <c r="B194" i="19" s="1"/>
  <c r="B195" i="19" s="1"/>
  <c r="B196" i="19" s="1"/>
  <c r="B197" i="19" s="1"/>
  <c r="B198" i="19" s="1"/>
  <c r="B199" i="19" s="1"/>
  <c r="B200" i="19" s="1"/>
  <c r="B201" i="19" s="1"/>
  <c r="B202" i="19" s="1"/>
  <c r="B203" i="19" s="1"/>
  <c r="B204" i="19" s="1"/>
  <c r="B205" i="19" s="1"/>
  <c r="B206" i="19" s="1"/>
  <c r="B207" i="19" s="1"/>
  <c r="B208" i="19" s="1"/>
  <c r="B209" i="19" s="1"/>
  <c r="B210" i="19" s="1"/>
  <c r="B211" i="19" s="1"/>
  <c r="B212" i="19" s="1"/>
  <c r="B213" i="19" s="1"/>
  <c r="B214" i="19" s="1"/>
  <c r="B215" i="19" s="1"/>
  <c r="B216" i="19" s="1"/>
  <c r="B217" i="19" s="1"/>
  <c r="B218" i="19" s="1"/>
  <c r="B219" i="19" s="1"/>
  <c r="B220" i="19" s="1"/>
  <c r="B221" i="19" s="1"/>
  <c r="B222" i="19" s="1"/>
  <c r="B223" i="19" s="1"/>
  <c r="B224" i="19" s="1"/>
  <c r="B225" i="19" s="1"/>
  <c r="B226" i="19" s="1"/>
  <c r="B227" i="19" s="1"/>
  <c r="B228" i="19" s="1"/>
  <c r="B229" i="19" s="1"/>
  <c r="B230" i="19" s="1"/>
  <c r="B231" i="19" s="1"/>
  <c r="B232" i="19" s="1"/>
  <c r="B233" i="19" s="1"/>
  <c r="B234" i="19" s="1"/>
  <c r="B235" i="19" s="1"/>
  <c r="B236" i="19" s="1"/>
  <c r="B237" i="19" s="1"/>
  <c r="B238" i="19" s="1"/>
  <c r="B239" i="19" s="1"/>
  <c r="B240" i="19" s="1"/>
  <c r="B241" i="19" s="1"/>
  <c r="B242" i="19" s="1"/>
  <c r="B243" i="19" s="1"/>
  <c r="B244" i="19" s="1"/>
  <c r="B245" i="19" s="1"/>
  <c r="B246" i="19" s="1"/>
  <c r="AU16" i="19"/>
  <c r="Z16" i="19"/>
  <c r="AV123" i="19" l="1"/>
  <c r="AV201" i="19"/>
  <c r="AV209" i="19"/>
  <c r="AV221" i="19"/>
  <c r="AV233" i="19"/>
  <c r="AV49" i="19"/>
  <c r="AV57" i="19"/>
  <c r="AV89" i="19"/>
  <c r="AV108" i="19"/>
  <c r="AV124" i="19"/>
  <c r="AV147" i="19"/>
  <c r="AV151" i="19"/>
  <c r="AV174" i="19"/>
  <c r="AV93" i="19"/>
  <c r="AV144" i="19"/>
  <c r="AV159" i="19"/>
  <c r="AV103" i="19"/>
  <c r="AV115" i="19"/>
  <c r="AV127" i="19"/>
  <c r="AV193" i="19"/>
  <c r="AV213" i="19"/>
  <c r="AV21" i="19"/>
  <c r="AV41" i="19"/>
  <c r="AV53" i="19"/>
  <c r="AV65" i="19"/>
  <c r="AV81" i="19"/>
  <c r="AV27" i="19"/>
  <c r="AV35" i="19"/>
  <c r="AV43" i="19"/>
  <c r="AV59" i="19"/>
  <c r="AV232" i="19"/>
  <c r="AV236" i="19"/>
  <c r="AV240" i="19"/>
  <c r="AV76" i="19"/>
  <c r="AV111" i="19"/>
  <c r="AV119" i="19"/>
  <c r="AV173" i="19"/>
  <c r="AV197" i="19"/>
  <c r="AV205" i="19"/>
  <c r="AV217" i="19"/>
  <c r="AV225" i="19"/>
  <c r="AV229" i="19"/>
  <c r="AV237" i="19"/>
  <c r="AV135" i="19"/>
  <c r="AV61" i="19"/>
  <c r="AV116" i="19"/>
  <c r="AV69" i="19"/>
  <c r="AV146" i="19"/>
  <c r="AV139" i="19"/>
  <c r="AV97" i="19"/>
  <c r="AV133" i="19"/>
  <c r="AV195" i="19"/>
  <c r="AV203" i="19"/>
  <c r="AV211" i="19"/>
  <c r="AV219" i="19"/>
  <c r="AV223" i="19"/>
  <c r="AV227" i="19"/>
  <c r="AV231" i="19"/>
  <c r="AV235" i="19"/>
  <c r="AV18" i="19"/>
  <c r="AV25" i="19"/>
  <c r="AV29" i="19"/>
  <c r="AV33" i="19"/>
  <c r="AV37" i="19"/>
  <c r="AV74" i="19"/>
  <c r="AV91" i="19"/>
  <c r="AV94" i="19"/>
  <c r="AV98" i="19"/>
  <c r="AV105" i="19"/>
  <c r="AV126" i="19"/>
  <c r="AV130" i="19"/>
  <c r="AV137" i="19"/>
  <c r="AV155" i="19"/>
  <c r="AV162" i="19"/>
  <c r="AV169" i="19"/>
  <c r="AV180" i="19"/>
  <c r="AV188" i="19"/>
  <c r="AV243" i="19"/>
  <c r="AV107" i="19"/>
  <c r="AV153" i="19"/>
  <c r="AV178" i="19"/>
  <c r="AV241" i="19"/>
  <c r="AV58" i="19"/>
  <c r="AV198" i="19"/>
  <c r="AV230" i="19"/>
  <c r="AV104" i="19"/>
  <c r="AV125" i="19"/>
  <c r="AV136" i="19"/>
  <c r="AV143" i="19"/>
  <c r="AV161" i="19"/>
  <c r="AV179" i="19"/>
  <c r="AV187" i="19"/>
  <c r="AV101" i="19"/>
  <c r="AV165" i="19"/>
  <c r="AV207" i="19"/>
  <c r="AV88" i="19"/>
  <c r="AV220" i="19"/>
  <c r="AV228" i="19"/>
  <c r="AV244" i="19"/>
  <c r="AV86" i="19"/>
  <c r="AV114" i="19"/>
  <c r="AV121" i="19"/>
  <c r="AV142" i="19"/>
  <c r="AV171" i="19"/>
  <c r="AV182" i="19"/>
  <c r="AV190" i="19"/>
  <c r="AV245" i="19"/>
  <c r="AV51" i="19"/>
  <c r="AV132" i="19"/>
  <c r="AV157" i="19"/>
  <c r="AV194" i="19"/>
  <c r="AV206" i="19"/>
  <c r="AV214" i="19"/>
  <c r="AV222" i="19"/>
  <c r="AV17" i="19"/>
  <c r="AV73" i="19"/>
  <c r="AV129" i="19"/>
  <c r="AV154" i="19"/>
  <c r="AV168" i="19"/>
  <c r="AV183" i="19"/>
  <c r="AV63" i="19"/>
  <c r="AV77" i="19"/>
  <c r="AV158" i="19"/>
  <c r="AV199" i="19"/>
  <c r="AV215" i="19"/>
  <c r="AV34" i="19"/>
  <c r="AV75" i="19"/>
  <c r="AV85" i="19"/>
  <c r="AV106" i="19"/>
  <c r="AV113" i="19"/>
  <c r="AV120" i="19"/>
  <c r="AV145" i="19"/>
  <c r="AV152" i="19"/>
  <c r="AV170" i="19"/>
  <c r="AV177" i="19"/>
  <c r="AV181" i="19"/>
  <c r="AV185" i="19"/>
  <c r="AV189" i="19"/>
  <c r="AV202" i="19"/>
  <c r="AV45" i="19"/>
  <c r="AV31" i="19"/>
  <c r="AV100" i="19"/>
  <c r="AV164" i="19"/>
  <c r="AV210" i="19"/>
  <c r="AV40" i="19"/>
  <c r="AV134" i="19"/>
  <c r="AV82" i="19"/>
  <c r="AV166" i="19"/>
  <c r="AV28" i="19"/>
  <c r="AV60" i="19"/>
  <c r="AV24" i="19"/>
  <c r="AV56" i="19"/>
  <c r="AV102" i="19"/>
  <c r="AV42" i="19"/>
  <c r="AV68" i="19"/>
  <c r="AV148" i="19"/>
  <c r="AV226" i="19"/>
  <c r="AV118" i="19"/>
  <c r="AV186" i="19"/>
  <c r="AU249" i="19"/>
  <c r="AV66" i="19"/>
  <c r="AV44" i="19"/>
  <c r="AV47" i="19"/>
  <c r="AV84" i="19"/>
  <c r="AV150" i="19"/>
  <c r="AV218" i="19"/>
  <c r="AV22" i="19"/>
  <c r="AV176" i="19"/>
  <c r="AV184" i="19"/>
  <c r="AV192" i="19"/>
  <c r="AV200" i="19"/>
  <c r="AV208" i="19"/>
  <c r="AV216" i="19"/>
  <c r="AV224" i="19"/>
  <c r="AV20" i="19"/>
  <c r="AV36" i="19"/>
  <c r="AV52" i="19"/>
  <c r="AV38" i="19"/>
  <c r="AV54" i="19"/>
  <c r="Z249" i="19"/>
  <c r="AV16" i="19"/>
  <c r="AV32" i="19"/>
  <c r="AV48" i="19"/>
  <c r="AV249" i="19" l="1"/>
  <c r="F13" i="19"/>
  <c r="J104" i="12" l="1"/>
  <c r="Y16" i="18"/>
  <c r="BJ16" i="18"/>
  <c r="BK16" i="18" s="1"/>
  <c r="BF166" i="18"/>
  <c r="BB166" i="18"/>
  <c r="AX166" i="18"/>
  <c r="AT166" i="18"/>
  <c r="AP166" i="18"/>
  <c r="AL166" i="18"/>
  <c r="AH166" i="18"/>
  <c r="AD166" i="18"/>
  <c r="Z166" i="18"/>
  <c r="X166" i="18"/>
  <c r="W166" i="18"/>
  <c r="V166" i="18"/>
  <c r="U166" i="18"/>
  <c r="T166" i="18"/>
  <c r="S166" i="18"/>
  <c r="R166" i="18"/>
  <c r="Q166" i="18"/>
  <c r="P166" i="18"/>
  <c r="O166" i="18"/>
  <c r="N166" i="18"/>
  <c r="M166" i="18"/>
  <c r="L166" i="18"/>
  <c r="K166" i="18"/>
  <c r="J166" i="18"/>
  <c r="BJ165" i="18"/>
  <c r="Y165" i="18"/>
  <c r="BJ164" i="18"/>
  <c r="BK164" i="18" s="1"/>
  <c r="Y164" i="18"/>
  <c r="BJ163" i="18"/>
  <c r="Y163" i="18"/>
  <c r="BJ162" i="18"/>
  <c r="BK162" i="18" s="1"/>
  <c r="Y162" i="18"/>
  <c r="BJ161" i="18"/>
  <c r="Y161" i="18"/>
  <c r="BJ160" i="18"/>
  <c r="Y160" i="18"/>
  <c r="BJ159" i="18"/>
  <c r="Y159" i="18"/>
  <c r="BJ158" i="18"/>
  <c r="BK158" i="18" s="1"/>
  <c r="Y158" i="18"/>
  <c r="BJ157" i="18"/>
  <c r="Y157" i="18"/>
  <c r="BK156" i="18"/>
  <c r="BJ156" i="18"/>
  <c r="Y156" i="18"/>
  <c r="BJ155" i="18"/>
  <c r="BK155" i="18" s="1"/>
  <c r="Y155" i="18"/>
  <c r="BJ154" i="18"/>
  <c r="Y154" i="18"/>
  <c r="BJ153" i="18"/>
  <c r="Y153" i="18"/>
  <c r="BJ152" i="18"/>
  <c r="Y152" i="18"/>
  <c r="BJ151" i="18"/>
  <c r="BK151" i="18" s="1"/>
  <c r="Y151" i="18"/>
  <c r="BJ150" i="18"/>
  <c r="BK150" i="18" s="1"/>
  <c r="Y150" i="18"/>
  <c r="BJ149" i="18"/>
  <c r="BK149" i="18" s="1"/>
  <c r="Y149" i="18"/>
  <c r="BK148" i="18"/>
  <c r="BJ148" i="18"/>
  <c r="Y148" i="18"/>
  <c r="BJ147" i="18"/>
  <c r="Y147" i="18"/>
  <c r="BJ146" i="18"/>
  <c r="Y146" i="18"/>
  <c r="BJ145" i="18"/>
  <c r="Y145" i="18"/>
  <c r="BJ144" i="18"/>
  <c r="BK144" i="18" s="1"/>
  <c r="Y144" i="18"/>
  <c r="BJ143" i="18"/>
  <c r="Y143" i="18"/>
  <c r="BJ142" i="18"/>
  <c r="BK142" i="18" s="1"/>
  <c r="Y142" i="18"/>
  <c r="BJ141" i="18"/>
  <c r="BK141" i="18" s="1"/>
  <c r="Y141" i="18"/>
  <c r="BJ140" i="18"/>
  <c r="BK140" i="18" s="1"/>
  <c r="Y140" i="18"/>
  <c r="BJ139" i="18"/>
  <c r="Y139" i="18"/>
  <c r="BJ138" i="18"/>
  <c r="Y138" i="18"/>
  <c r="BJ137" i="18"/>
  <c r="BK137" i="18" s="1"/>
  <c r="Y137" i="18"/>
  <c r="BJ136" i="18"/>
  <c r="Y136" i="18"/>
  <c r="BJ135" i="18"/>
  <c r="Y135" i="18"/>
  <c r="BJ134" i="18"/>
  <c r="BK134" i="18" s="1"/>
  <c r="Y134" i="18"/>
  <c r="BJ133" i="18"/>
  <c r="Y133" i="18"/>
  <c r="BJ132" i="18"/>
  <c r="BK132" i="18" s="1"/>
  <c r="Y132" i="18"/>
  <c r="BJ131" i="18"/>
  <c r="Y131" i="18"/>
  <c r="BJ130" i="18"/>
  <c r="BK130" i="18" s="1"/>
  <c r="Y130" i="18"/>
  <c r="BJ129" i="18"/>
  <c r="Y129" i="18"/>
  <c r="BJ128" i="18"/>
  <c r="Y128" i="18"/>
  <c r="BJ127" i="18"/>
  <c r="Y127" i="18"/>
  <c r="BJ126" i="18"/>
  <c r="Y126" i="18"/>
  <c r="BK126" i="18" s="1"/>
  <c r="BJ125" i="18"/>
  <c r="Y125" i="18"/>
  <c r="BK124" i="18"/>
  <c r="BJ124" i="18"/>
  <c r="Y124" i="18"/>
  <c r="BJ123" i="18"/>
  <c r="BK123" i="18" s="1"/>
  <c r="Y123" i="18"/>
  <c r="BJ122" i="18"/>
  <c r="Y122" i="18"/>
  <c r="BJ121" i="18"/>
  <c r="Y121" i="18"/>
  <c r="BJ120" i="18"/>
  <c r="Y120" i="18"/>
  <c r="BJ119" i="18"/>
  <c r="BK119" i="18" s="1"/>
  <c r="Y119" i="18"/>
  <c r="BJ118" i="18"/>
  <c r="BK118" i="18" s="1"/>
  <c r="Y118" i="18"/>
  <c r="BJ117" i="18"/>
  <c r="BK117" i="18" s="1"/>
  <c r="Y117" i="18"/>
  <c r="BK116" i="18"/>
  <c r="BJ116" i="18"/>
  <c r="Y116" i="18"/>
  <c r="BJ115" i="18"/>
  <c r="Y115" i="18"/>
  <c r="BJ114" i="18"/>
  <c r="Y114" i="18"/>
  <c r="BJ113" i="18"/>
  <c r="Y113" i="18"/>
  <c r="BJ112" i="18"/>
  <c r="BK112" i="18" s="1"/>
  <c r="Y112" i="18"/>
  <c r="BJ111" i="18"/>
  <c r="Y111" i="18"/>
  <c r="BJ110" i="18"/>
  <c r="BK110" i="18" s="1"/>
  <c r="Y110" i="18"/>
  <c r="BJ109" i="18"/>
  <c r="BK109" i="18" s="1"/>
  <c r="Y109" i="18"/>
  <c r="BJ108" i="18"/>
  <c r="BK108" i="18" s="1"/>
  <c r="Y108" i="18"/>
  <c r="BJ107" i="18"/>
  <c r="Y107" i="18"/>
  <c r="BJ106" i="18"/>
  <c r="Y106" i="18"/>
  <c r="BJ105" i="18"/>
  <c r="BK105" i="18" s="1"/>
  <c r="Y105" i="18"/>
  <c r="BJ104" i="18"/>
  <c r="Y104" i="18"/>
  <c r="BJ103" i="18"/>
  <c r="Y103" i="18"/>
  <c r="BJ102" i="18"/>
  <c r="BK102" i="18" s="1"/>
  <c r="Y102" i="18"/>
  <c r="BJ101" i="18"/>
  <c r="Y101" i="18"/>
  <c r="BJ100" i="18"/>
  <c r="BK100" i="18" s="1"/>
  <c r="Y100" i="18"/>
  <c r="BJ99" i="18"/>
  <c r="Y99" i="18"/>
  <c r="BK99" i="18" s="1"/>
  <c r="BJ98" i="18"/>
  <c r="BK98" i="18" s="1"/>
  <c r="Y98" i="18"/>
  <c r="BJ97" i="18"/>
  <c r="Y97" i="18"/>
  <c r="BJ96" i="18"/>
  <c r="Y96" i="18"/>
  <c r="BJ95" i="18"/>
  <c r="Y95" i="18"/>
  <c r="BJ94" i="18"/>
  <c r="Y94" i="18"/>
  <c r="BK94" i="18" s="1"/>
  <c r="BJ93" i="18"/>
  <c r="Y93" i="18"/>
  <c r="BK92" i="18"/>
  <c r="BJ92" i="18"/>
  <c r="Y92" i="18"/>
  <c r="BJ91" i="18"/>
  <c r="Y91" i="18"/>
  <c r="BJ90" i="18"/>
  <c r="Y90" i="18"/>
  <c r="BJ89" i="18"/>
  <c r="Y89" i="18"/>
  <c r="BJ88" i="18"/>
  <c r="Y88" i="18"/>
  <c r="BJ87" i="18"/>
  <c r="BK87" i="18" s="1"/>
  <c r="Y87" i="18"/>
  <c r="BJ86" i="18"/>
  <c r="BK86" i="18" s="1"/>
  <c r="Y86" i="18"/>
  <c r="BJ85" i="18"/>
  <c r="BK85" i="18" s="1"/>
  <c r="Y85" i="18"/>
  <c r="BK84" i="18"/>
  <c r="BJ84" i="18"/>
  <c r="Y84" i="18"/>
  <c r="BJ83" i="18"/>
  <c r="BK83" i="18" s="1"/>
  <c r="Y83" i="18"/>
  <c r="BJ82" i="18"/>
  <c r="BK82" i="18" s="1"/>
  <c r="Y82" i="18"/>
  <c r="BJ81" i="18"/>
  <c r="BK81" i="18" s="1"/>
  <c r="Y81" i="18"/>
  <c r="BJ80" i="18"/>
  <c r="Y80" i="18"/>
  <c r="BJ79" i="18"/>
  <c r="Y79" i="18"/>
  <c r="BK78" i="18"/>
  <c r="BJ78" i="18"/>
  <c r="Y78" i="18"/>
  <c r="BJ77" i="18"/>
  <c r="BK77" i="18" s="1"/>
  <c r="Y77" i="18"/>
  <c r="BJ76" i="18"/>
  <c r="BK76" i="18" s="1"/>
  <c r="Y76" i="18"/>
  <c r="BK75" i="18"/>
  <c r="BJ75" i="18"/>
  <c r="Y75" i="18"/>
  <c r="BJ74" i="18"/>
  <c r="BK74" i="18" s="1"/>
  <c r="Y74" i="18"/>
  <c r="BJ73" i="18"/>
  <c r="Y73" i="18"/>
  <c r="BJ72" i="18"/>
  <c r="Y72" i="18"/>
  <c r="BJ71" i="18"/>
  <c r="Y71" i="18"/>
  <c r="BJ70" i="18"/>
  <c r="Y70" i="18"/>
  <c r="BK70" i="18" s="1"/>
  <c r="BJ69" i="18"/>
  <c r="Y69" i="18"/>
  <c r="BK68" i="18"/>
  <c r="BJ68" i="18"/>
  <c r="Y68" i="18"/>
  <c r="BJ67" i="18"/>
  <c r="Y67" i="18"/>
  <c r="BK67" i="18" s="1"/>
  <c r="BJ66" i="18"/>
  <c r="Y66" i="18"/>
  <c r="BJ65" i="18"/>
  <c r="BK65" i="18" s="1"/>
  <c r="Y65" i="18"/>
  <c r="BJ64" i="18"/>
  <c r="BK64" i="18" s="1"/>
  <c r="Y64" i="18"/>
  <c r="BJ63" i="18"/>
  <c r="Y63" i="18"/>
  <c r="BJ62" i="18"/>
  <c r="BK62" i="18" s="1"/>
  <c r="Y62" i="18"/>
  <c r="BJ61" i="18"/>
  <c r="Y61" i="18"/>
  <c r="BJ60" i="18"/>
  <c r="Y60" i="18"/>
  <c r="BK60" i="18" s="1"/>
  <c r="BJ59" i="18"/>
  <c r="BK59" i="18" s="1"/>
  <c r="Y59" i="18"/>
  <c r="BJ58" i="18"/>
  <c r="Y58" i="18"/>
  <c r="BJ57" i="18"/>
  <c r="BK57" i="18" s="1"/>
  <c r="Y57" i="18"/>
  <c r="BJ56" i="18"/>
  <c r="Y56" i="18"/>
  <c r="BJ55" i="18"/>
  <c r="Y55" i="18"/>
  <c r="BJ54" i="18"/>
  <c r="BK54" i="18" s="1"/>
  <c r="Y54" i="18"/>
  <c r="BJ53" i="18"/>
  <c r="Y53" i="18"/>
  <c r="BJ52" i="18"/>
  <c r="BK52" i="18" s="1"/>
  <c r="Y52" i="18"/>
  <c r="BJ51" i="18"/>
  <c r="BK51" i="18" s="1"/>
  <c r="Y51" i="18"/>
  <c r="BJ50" i="18"/>
  <c r="Y50" i="18"/>
  <c r="BJ49" i="18"/>
  <c r="Y49" i="18"/>
  <c r="BJ48" i="18"/>
  <c r="BK48" i="18" s="1"/>
  <c r="Y48" i="18"/>
  <c r="BJ47" i="18"/>
  <c r="BK47" i="18" s="1"/>
  <c r="Y47" i="18"/>
  <c r="BJ46" i="18"/>
  <c r="BK46" i="18" s="1"/>
  <c r="Y46" i="18"/>
  <c r="BJ45" i="18"/>
  <c r="Y45" i="18"/>
  <c r="BJ44" i="18"/>
  <c r="BK44" i="18" s="1"/>
  <c r="Y44" i="18"/>
  <c r="BJ43" i="18"/>
  <c r="BK43" i="18" s="1"/>
  <c r="Y43" i="18"/>
  <c r="BJ42" i="18"/>
  <c r="Y42" i="18"/>
  <c r="BJ41" i="18"/>
  <c r="Y41" i="18"/>
  <c r="BJ40" i="18"/>
  <c r="BK40" i="18" s="1"/>
  <c r="Y40" i="18"/>
  <c r="BJ39" i="18"/>
  <c r="Y39" i="18"/>
  <c r="BJ38" i="18"/>
  <c r="BK38" i="18" s="1"/>
  <c r="Y38" i="18"/>
  <c r="BJ37" i="18"/>
  <c r="BK37" i="18" s="1"/>
  <c r="Y37" i="18"/>
  <c r="BJ36" i="18"/>
  <c r="BK36" i="18" s="1"/>
  <c r="Y36" i="18"/>
  <c r="BJ35" i="18"/>
  <c r="BK35" i="18" s="1"/>
  <c r="Y35" i="18"/>
  <c r="BJ34" i="18"/>
  <c r="BK34" i="18" s="1"/>
  <c r="Y34" i="18"/>
  <c r="BJ33" i="18"/>
  <c r="Y33" i="18"/>
  <c r="BJ32" i="18"/>
  <c r="Y32" i="18"/>
  <c r="BJ31" i="18"/>
  <c r="BK31" i="18" s="1"/>
  <c r="Y31" i="18"/>
  <c r="BK30" i="18"/>
  <c r="BJ30" i="18"/>
  <c r="Y30" i="18"/>
  <c r="BJ29" i="18"/>
  <c r="Y29" i="18"/>
  <c r="BJ28" i="18"/>
  <c r="BK28" i="18" s="1"/>
  <c r="Y28" i="18"/>
  <c r="BK27" i="18"/>
  <c r="BJ27" i="18"/>
  <c r="Y27" i="18"/>
  <c r="BJ26" i="18"/>
  <c r="Y26" i="18"/>
  <c r="BJ25" i="18"/>
  <c r="Y25" i="18"/>
  <c r="BJ24" i="18"/>
  <c r="Y24" i="18"/>
  <c r="BJ23" i="18"/>
  <c r="BK23" i="18" s="1"/>
  <c r="Y23" i="18"/>
  <c r="BJ22" i="18"/>
  <c r="BK22" i="18" s="1"/>
  <c r="Y22" i="18"/>
  <c r="BJ21" i="18"/>
  <c r="BK21" i="18" s="1"/>
  <c r="Y21" i="18"/>
  <c r="BK20" i="18"/>
  <c r="BJ20" i="18"/>
  <c r="Y20" i="18"/>
  <c r="BJ19" i="18"/>
  <c r="BK19" i="18" s="1"/>
  <c r="Y19" i="18"/>
  <c r="Y166" i="18" s="1"/>
  <c r="BJ18" i="18"/>
  <c r="BK18" i="18" s="1"/>
  <c r="Y18" i="18"/>
  <c r="BJ17" i="18"/>
  <c r="BK17" i="18" s="1"/>
  <c r="Y17" i="18"/>
  <c r="BK25" i="18" l="1"/>
  <c r="BK166" i="18" s="1"/>
  <c r="BK55" i="18"/>
  <c r="BK72" i="18"/>
  <c r="BK96" i="18"/>
  <c r="BK103" i="18"/>
  <c r="BK135" i="18"/>
  <c r="BK153" i="18"/>
  <c r="BK66" i="18"/>
  <c r="BK79" i="18"/>
  <c r="BK93" i="18"/>
  <c r="BK125" i="18"/>
  <c r="BK29" i="18"/>
  <c r="BK56" i="18"/>
  <c r="BK104" i="18"/>
  <c r="BK111" i="18"/>
  <c r="BK129" i="18"/>
  <c r="BK147" i="18"/>
  <c r="BK161" i="18"/>
  <c r="BJ166" i="18"/>
  <c r="BK33" i="18"/>
  <c r="BK50" i="18"/>
  <c r="BK53" i="18"/>
  <c r="BK63" i="18"/>
  <c r="BK80" i="18"/>
  <c r="BK91" i="18"/>
  <c r="BK101" i="18"/>
  <c r="BK133" i="18"/>
  <c r="BK165" i="18"/>
  <c r="BK42" i="18"/>
  <c r="BK89" i="18"/>
  <c r="BK114" i="18"/>
  <c r="BK128" i="18"/>
  <c r="BK139" i="18"/>
  <c r="BK32" i="18"/>
  <c r="BK69" i="18"/>
  <c r="BK157" i="18"/>
  <c r="BK26" i="18"/>
  <c r="BK39" i="18"/>
  <c r="BK73" i="18"/>
  <c r="BK90" i="18"/>
  <c r="BK97" i="18"/>
  <c r="BK115" i="18"/>
  <c r="BK122" i="18"/>
  <c r="BK136" i="18"/>
  <c r="BK143" i="18"/>
  <c r="BK154" i="18"/>
  <c r="BK45" i="18"/>
  <c r="BK107" i="18"/>
  <c r="BK121" i="18"/>
  <c r="BK146" i="18"/>
  <c r="BK160" i="18"/>
  <c r="BK49" i="18"/>
  <c r="BK24" i="18"/>
  <c r="BK41" i="18"/>
  <c r="BK58" i="18"/>
  <c r="BK61" i="18"/>
  <c r="BK71" i="18"/>
  <c r="BK88" i="18"/>
  <c r="BK95" i="18"/>
  <c r="BK106" i="18"/>
  <c r="BK113" i="18"/>
  <c r="BK120" i="18"/>
  <c r="BK127" i="18"/>
  <c r="BK131" i="18"/>
  <c r="BK138" i="18"/>
  <c r="BK145" i="18"/>
  <c r="BK152" i="18"/>
  <c r="BK159" i="18"/>
  <c r="BK163" i="18"/>
  <c r="E13" i="18"/>
  <c r="AX337" i="15" l="1"/>
  <c r="AT337" i="15"/>
  <c r="AP337" i="15"/>
  <c r="AL337" i="15"/>
  <c r="AH337" i="15"/>
  <c r="AD337" i="15"/>
  <c r="Z337" i="15"/>
  <c r="X337" i="15"/>
  <c r="W337" i="15"/>
  <c r="V337" i="15"/>
  <c r="U337" i="15"/>
  <c r="T337" i="15"/>
  <c r="S337" i="15"/>
  <c r="R337" i="15"/>
  <c r="O337" i="15"/>
  <c r="N337" i="15"/>
  <c r="M337" i="15"/>
  <c r="Y334" i="15"/>
  <c r="I334" i="15"/>
  <c r="BC333" i="15"/>
  <c r="BB333" i="15"/>
  <c r="Y333" i="15"/>
  <c r="I333" i="15"/>
  <c r="BC332" i="15"/>
  <c r="BB332" i="15"/>
  <c r="Y332" i="15"/>
  <c r="I332" i="15"/>
  <c r="BB331" i="15"/>
  <c r="Y331" i="15"/>
  <c r="I331" i="15"/>
  <c r="BB330" i="15"/>
  <c r="Y330" i="15"/>
  <c r="BC330" i="15" s="1"/>
  <c r="I330" i="15"/>
  <c r="BB329" i="15"/>
  <c r="Y329" i="15"/>
  <c r="BC329" i="15" s="1"/>
  <c r="I329" i="15"/>
  <c r="BB328" i="15"/>
  <c r="Y328" i="15"/>
  <c r="BC328" i="15" s="1"/>
  <c r="I328" i="15"/>
  <c r="BC327" i="15"/>
  <c r="BB327" i="15"/>
  <c r="Y327" i="15"/>
  <c r="I327" i="15"/>
  <c r="BB326" i="15"/>
  <c r="Y326" i="15"/>
  <c r="I326" i="15"/>
  <c r="BB325" i="15"/>
  <c r="Y325" i="15"/>
  <c r="BC325" i="15" s="1"/>
  <c r="I325" i="15"/>
  <c r="BB324" i="15"/>
  <c r="BC324" i="15" s="1"/>
  <c r="Y324" i="15"/>
  <c r="I324" i="15"/>
  <c r="BB323" i="15"/>
  <c r="Y323" i="15"/>
  <c r="BC323" i="15" s="1"/>
  <c r="I323" i="15"/>
  <c r="BB322" i="15"/>
  <c r="Y322" i="15"/>
  <c r="I322" i="15"/>
  <c r="BB321" i="15"/>
  <c r="Y321" i="15"/>
  <c r="I321" i="15"/>
  <c r="BB320" i="15"/>
  <c r="Y320" i="15"/>
  <c r="I320" i="15"/>
  <c r="BB319" i="15"/>
  <c r="Y319" i="15"/>
  <c r="I319" i="15"/>
  <c r="BB318" i="15"/>
  <c r="Y318" i="15"/>
  <c r="I318" i="15"/>
  <c r="BB317" i="15"/>
  <c r="Y317" i="15"/>
  <c r="I317" i="15"/>
  <c r="BB316" i="15"/>
  <c r="Y316" i="15"/>
  <c r="I316" i="15"/>
  <c r="BB315" i="15"/>
  <c r="BC315" i="15" s="1"/>
  <c r="Y315" i="15"/>
  <c r="I315" i="15"/>
  <c r="BB314" i="15"/>
  <c r="Y314" i="15"/>
  <c r="BC314" i="15" s="1"/>
  <c r="I314" i="15"/>
  <c r="BB313" i="15"/>
  <c r="Y313" i="15"/>
  <c r="I313" i="15"/>
  <c r="BB312" i="15"/>
  <c r="BC312" i="15" s="1"/>
  <c r="Y312" i="15"/>
  <c r="I312" i="15"/>
  <c r="BB311" i="15"/>
  <c r="Y311" i="15"/>
  <c r="BC311" i="15" s="1"/>
  <c r="I311" i="15"/>
  <c r="BB310" i="15"/>
  <c r="Y310" i="15"/>
  <c r="I310" i="15"/>
  <c r="BB309" i="15"/>
  <c r="Y309" i="15"/>
  <c r="I309" i="15"/>
  <c r="BB308" i="15"/>
  <c r="Y308" i="15"/>
  <c r="I308" i="15"/>
  <c r="BB307" i="15"/>
  <c r="Y307" i="15"/>
  <c r="BC307" i="15" s="1"/>
  <c r="I307" i="15"/>
  <c r="BB306" i="15"/>
  <c r="BC306" i="15" s="1"/>
  <c r="Y306" i="15"/>
  <c r="I306" i="15"/>
  <c r="BB305" i="15"/>
  <c r="Y305" i="15"/>
  <c r="I305" i="15"/>
  <c r="BB304" i="15"/>
  <c r="Y304" i="15"/>
  <c r="I304" i="15"/>
  <c r="BB303" i="15"/>
  <c r="Y303" i="15"/>
  <c r="I303" i="15"/>
  <c r="BB302" i="15"/>
  <c r="Y302" i="15"/>
  <c r="I302" i="15"/>
  <c r="BB301" i="15"/>
  <c r="BC301" i="15" s="1"/>
  <c r="Y301" i="15"/>
  <c r="I301" i="15"/>
  <c r="BB300" i="15"/>
  <c r="Y300" i="15"/>
  <c r="I300" i="15"/>
  <c r="BB299" i="15"/>
  <c r="Y299" i="15"/>
  <c r="BC299" i="15" s="1"/>
  <c r="I299" i="15"/>
  <c r="BB298" i="15"/>
  <c r="BC298" i="15" s="1"/>
  <c r="Y298" i="15"/>
  <c r="I298" i="15"/>
  <c r="BB297" i="15"/>
  <c r="Y297" i="15"/>
  <c r="BC297" i="15" s="1"/>
  <c r="I297" i="15"/>
  <c r="BB296" i="15"/>
  <c r="BC296" i="15" s="1"/>
  <c r="Y296" i="15"/>
  <c r="I296" i="15"/>
  <c r="BB295" i="15"/>
  <c r="Y295" i="15"/>
  <c r="I295" i="15"/>
  <c r="BC294" i="15"/>
  <c r="BB294" i="15"/>
  <c r="Y294" i="15"/>
  <c r="BB293" i="15"/>
  <c r="Y293" i="15"/>
  <c r="BC293" i="15" s="1"/>
  <c r="BB292" i="15"/>
  <c r="Y292" i="15"/>
  <c r="BB291" i="15"/>
  <c r="Y291" i="15"/>
  <c r="BC291" i="15" s="1"/>
  <c r="BB290" i="15"/>
  <c r="Y290" i="15"/>
  <c r="BB289" i="15"/>
  <c r="Y289" i="15"/>
  <c r="BC289" i="15" s="1"/>
  <c r="BB288" i="15"/>
  <c r="Y288" i="15"/>
  <c r="BB287" i="15"/>
  <c r="Y287" i="15"/>
  <c r="BB286" i="15"/>
  <c r="Y286" i="15"/>
  <c r="BB285" i="15"/>
  <c r="Y285" i="15"/>
  <c r="BB284" i="15"/>
  <c r="Y284" i="15"/>
  <c r="BB283" i="15"/>
  <c r="Y283" i="15"/>
  <c r="BB282" i="15"/>
  <c r="Y282" i="15"/>
  <c r="BC282" i="15" s="1"/>
  <c r="BB281" i="15"/>
  <c r="BC281" i="15" s="1"/>
  <c r="Y281" i="15"/>
  <c r="BB280" i="15"/>
  <c r="Y280" i="15"/>
  <c r="BC280" i="15" s="1"/>
  <c r="BB279" i="15"/>
  <c r="Y279" i="15"/>
  <c r="BB278" i="15"/>
  <c r="Y278" i="15"/>
  <c r="BC278" i="15" s="1"/>
  <c r="BB277" i="15"/>
  <c r="Y277" i="15"/>
  <c r="BB276" i="15"/>
  <c r="Y276" i="15"/>
  <c r="BB275" i="15"/>
  <c r="Y275" i="15"/>
  <c r="BB274" i="15"/>
  <c r="Y274" i="15"/>
  <c r="BC273" i="15"/>
  <c r="BB273" i="15"/>
  <c r="Y273" i="15"/>
  <c r="BB272" i="15"/>
  <c r="Y272" i="15"/>
  <c r="BB271" i="15"/>
  <c r="Y271" i="15"/>
  <c r="BB270" i="15"/>
  <c r="Y270" i="15"/>
  <c r="BB269" i="15"/>
  <c r="Y269" i="15"/>
  <c r="BB268" i="15"/>
  <c r="Y268" i="15"/>
  <c r="BB267" i="15"/>
  <c r="Y267" i="15"/>
  <c r="BB266" i="15"/>
  <c r="Y266" i="15"/>
  <c r="BB265" i="15"/>
  <c r="Y265" i="15"/>
  <c r="BC265" i="15" s="1"/>
  <c r="BB264" i="15"/>
  <c r="Y264" i="15"/>
  <c r="BB263" i="15"/>
  <c r="Y263" i="15"/>
  <c r="BC262" i="15"/>
  <c r="BB262" i="15"/>
  <c r="Y262" i="15"/>
  <c r="BB261" i="15"/>
  <c r="Y261" i="15"/>
  <c r="BC261" i="15" s="1"/>
  <c r="BB260" i="15"/>
  <c r="Y260" i="15"/>
  <c r="BB259" i="15"/>
  <c r="Y259" i="15"/>
  <c r="BC259" i="15" s="1"/>
  <c r="BB258" i="15"/>
  <c r="Y258" i="15"/>
  <c r="BB257" i="15"/>
  <c r="Y257" i="15"/>
  <c r="BC257" i="15" s="1"/>
  <c r="BB256" i="15"/>
  <c r="Y256" i="15"/>
  <c r="BB255" i="15"/>
  <c r="Y255" i="15"/>
  <c r="BB254" i="15"/>
  <c r="Y254" i="15"/>
  <c r="BB253" i="15"/>
  <c r="Y253" i="15"/>
  <c r="BB252" i="15"/>
  <c r="Y252" i="15"/>
  <c r="BB251" i="15"/>
  <c r="Y251" i="15"/>
  <c r="BB250" i="15"/>
  <c r="Y250" i="15"/>
  <c r="BB249" i="15"/>
  <c r="Y249" i="15"/>
  <c r="BC249" i="15" s="1"/>
  <c r="BB248" i="15"/>
  <c r="Y248" i="15"/>
  <c r="BC248" i="15" s="1"/>
  <c r="BB247" i="15"/>
  <c r="Y247" i="15"/>
  <c r="BC247" i="15" s="1"/>
  <c r="BB246" i="15"/>
  <c r="Y246" i="15"/>
  <c r="BB245" i="15"/>
  <c r="BC245" i="15" s="1"/>
  <c r="Y245" i="15"/>
  <c r="BB244" i="15"/>
  <c r="Y244" i="15"/>
  <c r="BB243" i="15"/>
  <c r="Y243" i="15"/>
  <c r="BB242" i="15"/>
  <c r="Y242" i="15"/>
  <c r="BB241" i="15"/>
  <c r="BB240" i="15"/>
  <c r="Y240" i="15"/>
  <c r="BB239" i="15"/>
  <c r="Y239" i="15"/>
  <c r="BB238" i="15"/>
  <c r="Y238" i="15"/>
  <c r="BB237" i="15"/>
  <c r="Y237" i="15"/>
  <c r="BB236" i="15"/>
  <c r="Y236" i="15"/>
  <c r="BB235" i="15"/>
  <c r="Y235" i="15"/>
  <c r="BC235" i="15" s="1"/>
  <c r="BB234" i="15"/>
  <c r="Y234" i="15"/>
  <c r="BB233" i="15"/>
  <c r="BC233" i="15" s="1"/>
  <c r="Y233" i="15"/>
  <c r="BB232" i="15"/>
  <c r="BC232" i="15" s="1"/>
  <c r="Y232" i="15"/>
  <c r="BB231" i="15"/>
  <c r="Y231" i="15"/>
  <c r="BB230" i="15"/>
  <c r="Y230" i="15"/>
  <c r="BB229" i="15"/>
  <c r="Y229" i="15"/>
  <c r="BB228" i="15"/>
  <c r="Y228" i="15"/>
  <c r="BB227" i="15"/>
  <c r="BB226" i="15"/>
  <c r="Y226" i="15"/>
  <c r="BB225" i="15"/>
  <c r="Y225" i="15"/>
  <c r="BB224" i="15"/>
  <c r="Y224" i="15"/>
  <c r="BB223" i="15"/>
  <c r="Y223" i="15"/>
  <c r="BB222" i="15"/>
  <c r="BC222" i="15" s="1"/>
  <c r="Y222" i="15"/>
  <c r="BB221" i="15"/>
  <c r="BC221" i="15" s="1"/>
  <c r="Y221" i="15"/>
  <c r="BB220" i="15"/>
  <c r="Y220" i="15"/>
  <c r="BB219" i="15"/>
  <c r="Y219" i="15"/>
  <c r="BB218" i="15"/>
  <c r="Y218" i="15"/>
  <c r="BB217" i="15"/>
  <c r="BC217" i="15" s="1"/>
  <c r="Y217" i="15"/>
  <c r="BB216" i="15"/>
  <c r="Y216" i="15"/>
  <c r="BB215" i="15"/>
  <c r="BC215" i="15" s="1"/>
  <c r="Y215" i="15"/>
  <c r="BB214" i="15"/>
  <c r="Y214" i="15"/>
  <c r="BB213" i="15"/>
  <c r="Y213" i="15"/>
  <c r="BB212" i="15"/>
  <c r="BB211" i="15"/>
  <c r="BC211" i="15" s="1"/>
  <c r="Y211" i="15"/>
  <c r="BB210" i="15"/>
  <c r="Y210" i="15"/>
  <c r="BB209" i="15"/>
  <c r="Y209" i="15"/>
  <c r="BB208" i="15"/>
  <c r="Y208" i="15"/>
  <c r="BB207" i="15"/>
  <c r="Y207" i="15"/>
  <c r="BB206" i="15"/>
  <c r="Y206" i="15"/>
  <c r="BB205" i="15"/>
  <c r="Y205" i="15"/>
  <c r="BB204" i="15"/>
  <c r="Y204" i="15"/>
  <c r="BC204" i="15" s="1"/>
  <c r="BB203" i="15"/>
  <c r="Y203" i="15"/>
  <c r="BB202" i="15"/>
  <c r="BC202" i="15" s="1"/>
  <c r="Y202" i="15"/>
  <c r="BB201" i="15"/>
  <c r="Y201" i="15"/>
  <c r="BB200" i="15"/>
  <c r="Y200" i="15"/>
  <c r="BB199" i="15"/>
  <c r="Y199" i="15"/>
  <c r="BB198" i="15"/>
  <c r="Y198" i="15"/>
  <c r="BB197" i="15"/>
  <c r="Y197" i="15"/>
  <c r="BC197" i="15" s="1"/>
  <c r="BC196" i="15"/>
  <c r="BB196" i="15"/>
  <c r="Y196" i="15"/>
  <c r="BB195" i="15"/>
  <c r="Y195" i="15"/>
  <c r="BB194" i="15"/>
  <c r="Y194" i="15"/>
  <c r="BB193" i="15"/>
  <c r="Y193" i="15"/>
  <c r="BB192" i="15"/>
  <c r="Y192" i="15"/>
  <c r="BB191" i="15"/>
  <c r="BB190" i="15"/>
  <c r="Y190" i="15"/>
  <c r="BB189" i="15"/>
  <c r="BC189" i="15" s="1"/>
  <c r="Y189" i="15"/>
  <c r="BB188" i="15"/>
  <c r="Y188" i="15"/>
  <c r="BB187" i="15"/>
  <c r="Y187" i="15"/>
  <c r="BB186" i="15"/>
  <c r="Y186" i="15"/>
  <c r="BB185" i="15"/>
  <c r="Y185" i="15"/>
  <c r="BB184" i="15"/>
  <c r="Y184" i="15"/>
  <c r="BB183" i="15"/>
  <c r="Y183" i="15"/>
  <c r="BB182" i="15"/>
  <c r="Y182" i="15"/>
  <c r="BB181" i="15"/>
  <c r="Y181" i="15"/>
  <c r="BB180" i="15"/>
  <c r="Y180" i="15"/>
  <c r="BB179" i="15"/>
  <c r="Y179" i="15"/>
  <c r="BC179" i="15" s="1"/>
  <c r="BB178" i="15"/>
  <c r="Y178" i="15"/>
  <c r="BB177" i="15"/>
  <c r="Y177" i="15"/>
  <c r="BC177" i="15" s="1"/>
  <c r="BB176" i="15"/>
  <c r="Y176" i="15"/>
  <c r="BB175" i="15"/>
  <c r="Y175" i="15"/>
  <c r="BB174" i="15"/>
  <c r="BC174" i="15" s="1"/>
  <c r="Y174" i="15"/>
  <c r="BB173" i="15"/>
  <c r="Y173" i="15"/>
  <c r="BB172" i="15"/>
  <c r="Y172" i="15"/>
  <c r="BB171" i="15"/>
  <c r="Y171" i="15"/>
  <c r="BB170" i="15"/>
  <c r="BC170" i="15" s="1"/>
  <c r="Y170" i="15"/>
  <c r="BB169" i="15"/>
  <c r="Y169" i="15"/>
  <c r="BB168" i="15"/>
  <c r="Y168" i="15"/>
  <c r="BC168" i="15" s="1"/>
  <c r="BB167" i="15"/>
  <c r="BC167" i="15" s="1"/>
  <c r="Y167" i="15"/>
  <c r="BB166" i="15"/>
  <c r="Y166" i="15"/>
  <c r="BB165" i="15"/>
  <c r="Y165" i="15"/>
  <c r="BB164" i="15"/>
  <c r="Y164" i="15"/>
  <c r="BC164" i="15" s="1"/>
  <c r="BB163" i="15"/>
  <c r="Y163" i="15"/>
  <c r="BB162" i="15"/>
  <c r="Y162" i="15"/>
  <c r="BB161" i="15"/>
  <c r="Y161" i="15"/>
  <c r="BB160" i="15"/>
  <c r="BB159" i="15"/>
  <c r="Y159" i="15"/>
  <c r="BB158" i="15"/>
  <c r="Y158" i="15"/>
  <c r="BB157" i="15"/>
  <c r="Y157" i="15"/>
  <c r="BC157" i="15" s="1"/>
  <c r="BB156" i="15"/>
  <c r="BB155" i="15"/>
  <c r="Y155" i="15"/>
  <c r="BC155" i="15" s="1"/>
  <c r="BB154" i="15"/>
  <c r="Y154" i="15"/>
  <c r="BB153" i="15"/>
  <c r="BB152" i="15"/>
  <c r="Y152" i="15"/>
  <c r="BC152" i="15" s="1"/>
  <c r="BB151" i="15"/>
  <c r="BC151" i="15" s="1"/>
  <c r="Y151" i="15"/>
  <c r="BB150" i="15"/>
  <c r="BC150" i="15" s="1"/>
  <c r="Y150" i="15"/>
  <c r="BB149" i="15"/>
  <c r="Y149" i="15"/>
  <c r="BB148" i="15"/>
  <c r="Y148" i="15"/>
  <c r="BB147" i="15"/>
  <c r="Y147" i="15"/>
  <c r="BC146" i="15"/>
  <c r="BB146" i="15"/>
  <c r="Y146" i="15"/>
  <c r="BB145" i="15"/>
  <c r="Y145" i="15"/>
  <c r="BB144" i="15"/>
  <c r="Y144" i="15"/>
  <c r="BB143" i="15"/>
  <c r="Y143" i="15"/>
  <c r="BB142" i="15"/>
  <c r="Y142" i="15"/>
  <c r="BB141" i="15"/>
  <c r="Y141" i="15"/>
  <c r="BC141" i="15" s="1"/>
  <c r="BB140" i="15"/>
  <c r="Y140" i="15"/>
  <c r="BB139" i="15"/>
  <c r="Y139" i="15"/>
  <c r="BB138" i="15"/>
  <c r="Y138" i="15"/>
  <c r="BB137" i="15"/>
  <c r="Y137" i="15"/>
  <c r="BB136" i="15"/>
  <c r="Y136" i="15"/>
  <c r="BB135" i="15"/>
  <c r="Y135" i="15"/>
  <c r="BB134" i="15"/>
  <c r="Y134" i="15"/>
  <c r="BB133" i="15"/>
  <c r="BC133" i="15" s="1"/>
  <c r="Y133" i="15"/>
  <c r="BB132" i="15"/>
  <c r="BC132" i="15" s="1"/>
  <c r="Y132" i="15"/>
  <c r="BB131" i="15"/>
  <c r="Y131" i="15"/>
  <c r="BB130" i="15"/>
  <c r="BC130" i="15" s="1"/>
  <c r="Y130" i="15"/>
  <c r="BB129" i="15"/>
  <c r="Y129" i="15"/>
  <c r="BB128" i="15"/>
  <c r="Y128" i="15"/>
  <c r="BB127" i="15"/>
  <c r="Y127" i="15"/>
  <c r="BB126" i="15"/>
  <c r="Y126" i="15"/>
  <c r="BB125" i="15"/>
  <c r="BC125" i="15" s="1"/>
  <c r="Y125" i="15"/>
  <c r="BB124" i="15"/>
  <c r="Y124" i="15"/>
  <c r="BB123" i="15"/>
  <c r="Y123" i="15"/>
  <c r="BB122" i="15"/>
  <c r="Y122" i="15"/>
  <c r="BB121" i="15"/>
  <c r="Y121" i="15"/>
  <c r="BB120" i="15"/>
  <c r="Y120" i="15"/>
  <c r="BB119" i="15"/>
  <c r="Y119" i="15"/>
  <c r="BB118" i="15"/>
  <c r="BC118" i="15" s="1"/>
  <c r="Y118" i="15"/>
  <c r="BB117" i="15"/>
  <c r="Y117" i="15"/>
  <c r="BB116" i="15"/>
  <c r="Y116" i="15"/>
  <c r="BB115" i="15"/>
  <c r="Y115" i="15"/>
  <c r="BB114" i="15"/>
  <c r="Y114" i="15"/>
  <c r="BB113" i="15"/>
  <c r="Y113" i="15"/>
  <c r="BB112" i="15"/>
  <c r="BC112" i="15" s="1"/>
  <c r="Y112" i="15"/>
  <c r="BB111" i="15"/>
  <c r="Y111" i="15"/>
  <c r="BB110" i="15"/>
  <c r="Y110" i="15"/>
  <c r="BC110" i="15" s="1"/>
  <c r="BB109" i="15"/>
  <c r="BC109" i="15" s="1"/>
  <c r="Y109" i="15"/>
  <c r="BB108" i="15"/>
  <c r="Y108" i="15"/>
  <c r="BC108" i="15" s="1"/>
  <c r="BB107" i="15"/>
  <c r="Y107" i="15"/>
  <c r="BC107" i="15" s="1"/>
  <c r="BB106" i="15"/>
  <c r="Y106" i="15"/>
  <c r="BC106" i="15" s="1"/>
  <c r="BB105" i="15"/>
  <c r="Y105" i="15"/>
  <c r="BB104" i="15"/>
  <c r="Y104" i="15"/>
  <c r="BB103" i="15"/>
  <c r="Y103" i="15"/>
  <c r="BB102" i="15"/>
  <c r="Y102" i="15"/>
  <c r="BB101" i="15"/>
  <c r="Y101" i="15"/>
  <c r="BB100" i="15"/>
  <c r="Y100" i="15"/>
  <c r="BB99" i="15"/>
  <c r="Y99" i="15"/>
  <c r="BB98" i="15"/>
  <c r="BB97" i="15"/>
  <c r="Y97" i="15"/>
  <c r="BB96" i="15"/>
  <c r="Y96" i="15"/>
  <c r="BB95" i="15"/>
  <c r="Y95" i="15"/>
  <c r="BB94" i="15"/>
  <c r="Y94" i="15"/>
  <c r="BB93" i="15"/>
  <c r="Y93" i="15"/>
  <c r="BB92" i="15"/>
  <c r="Y92" i="15"/>
  <c r="BB91" i="15"/>
  <c r="Y91" i="15"/>
  <c r="BB90" i="15"/>
  <c r="Y90" i="15"/>
  <c r="BC90" i="15" s="1"/>
  <c r="BB89" i="15"/>
  <c r="Y89" i="15"/>
  <c r="BB88" i="15"/>
  <c r="Y88" i="15"/>
  <c r="BC88" i="15" s="1"/>
  <c r="BB87" i="15"/>
  <c r="Y87" i="15"/>
  <c r="BB86" i="15"/>
  <c r="Y86" i="15"/>
  <c r="BB85" i="15"/>
  <c r="Y85" i="15"/>
  <c r="BB84" i="15"/>
  <c r="Y84" i="15"/>
  <c r="BB83" i="15"/>
  <c r="Y83" i="15"/>
  <c r="BB82" i="15"/>
  <c r="BC82" i="15" s="1"/>
  <c r="Y82" i="15"/>
  <c r="BB81" i="15"/>
  <c r="BC81" i="15" s="1"/>
  <c r="Y81" i="15"/>
  <c r="BB80" i="15"/>
  <c r="Y80" i="15"/>
  <c r="BB79" i="15"/>
  <c r="BC79" i="15" s="1"/>
  <c r="Y79" i="15"/>
  <c r="BB78" i="15"/>
  <c r="Y78" i="15"/>
  <c r="BB77" i="15"/>
  <c r="Y77" i="15"/>
  <c r="BC77" i="15" s="1"/>
  <c r="BB76" i="15"/>
  <c r="Y76" i="15"/>
  <c r="BB75" i="15"/>
  <c r="Y75" i="15"/>
  <c r="BC75" i="15" s="1"/>
  <c r="BB74" i="15"/>
  <c r="Y74" i="15"/>
  <c r="BB73" i="15"/>
  <c r="Y73" i="15"/>
  <c r="BB72" i="15"/>
  <c r="Y72" i="15"/>
  <c r="BB71" i="15"/>
  <c r="Y71" i="15"/>
  <c r="BB70" i="15"/>
  <c r="BC70" i="15" s="1"/>
  <c r="Y70" i="15"/>
  <c r="BB69" i="15"/>
  <c r="Y69" i="15"/>
  <c r="BC69" i="15" s="1"/>
  <c r="BB68" i="15"/>
  <c r="Y68" i="15"/>
  <c r="BB67" i="15"/>
  <c r="Y67" i="15"/>
  <c r="BC67" i="15" s="1"/>
  <c r="BB66" i="15"/>
  <c r="Y66" i="15"/>
  <c r="BB65" i="15"/>
  <c r="Y65" i="15"/>
  <c r="BC65" i="15" s="1"/>
  <c r="BB64" i="15"/>
  <c r="Y64" i="15"/>
  <c r="BB63" i="15"/>
  <c r="Y63" i="15"/>
  <c r="BC63" i="15" s="1"/>
  <c r="BB62" i="15"/>
  <c r="Y62" i="15"/>
  <c r="BB61" i="15"/>
  <c r="BB60" i="15"/>
  <c r="Y60" i="15"/>
  <c r="BC60" i="15" s="1"/>
  <c r="BB59" i="15"/>
  <c r="Y59" i="15"/>
  <c r="BC59" i="15" s="1"/>
  <c r="BB58" i="15"/>
  <c r="Y58" i="15"/>
  <c r="BC58" i="15" s="1"/>
  <c r="BB57" i="15"/>
  <c r="Y57" i="15"/>
  <c r="BB56" i="15"/>
  <c r="Y56" i="15"/>
  <c r="BC56" i="15" s="1"/>
  <c r="BB55" i="15"/>
  <c r="Y55" i="15"/>
  <c r="BC55" i="15" s="1"/>
  <c r="BB54" i="15"/>
  <c r="Y54" i="15"/>
  <c r="BC54" i="15" s="1"/>
  <c r="BB53" i="15"/>
  <c r="Y53" i="15"/>
  <c r="BB52" i="15"/>
  <c r="Y52" i="15"/>
  <c r="BB51" i="15"/>
  <c r="Y51" i="15"/>
  <c r="BB50" i="15"/>
  <c r="BB49" i="15"/>
  <c r="Y49" i="15"/>
  <c r="BB48" i="15"/>
  <c r="Y48" i="15"/>
  <c r="BB47" i="15"/>
  <c r="Y47" i="15"/>
  <c r="BB46" i="15"/>
  <c r="Y46" i="15"/>
  <c r="BC46" i="15" s="1"/>
  <c r="BB45" i="15"/>
  <c r="Y45" i="15"/>
  <c r="BB44" i="15"/>
  <c r="Y44" i="15"/>
  <c r="BC44" i="15" s="1"/>
  <c r="BC43" i="15"/>
  <c r="BB43" i="15"/>
  <c r="Y43" i="15"/>
  <c r="BB42" i="15"/>
  <c r="Y42" i="15"/>
  <c r="BC42" i="15" s="1"/>
  <c r="BB41" i="15"/>
  <c r="Y41" i="15"/>
  <c r="BC41" i="15" s="1"/>
  <c r="BC40" i="15"/>
  <c r="BB40" i="15"/>
  <c r="Y40" i="15"/>
  <c r="BB39" i="15"/>
  <c r="Y39" i="15"/>
  <c r="BC39" i="15" s="1"/>
  <c r="BB38" i="15"/>
  <c r="Y38" i="15"/>
  <c r="BB37" i="15"/>
  <c r="Y37" i="15"/>
  <c r="BC37" i="15" s="1"/>
  <c r="BB36" i="15"/>
  <c r="BC36" i="15" s="1"/>
  <c r="Y36" i="15"/>
  <c r="BB35" i="15"/>
  <c r="Y35" i="15"/>
  <c r="BB34" i="15"/>
  <c r="Y34" i="15"/>
  <c r="BC34" i="15" s="1"/>
  <c r="BB33" i="15"/>
  <c r="Y33" i="15"/>
  <c r="BB32" i="15"/>
  <c r="Y32" i="15"/>
  <c r="BB31" i="15"/>
  <c r="Y31" i="15"/>
  <c r="BB30" i="15"/>
  <c r="Y30" i="15"/>
  <c r="BB29" i="15"/>
  <c r="Y29" i="15"/>
  <c r="BB28" i="15"/>
  <c r="Y28" i="15"/>
  <c r="BB27" i="15"/>
  <c r="Y27" i="15"/>
  <c r="BB26" i="15"/>
  <c r="Y26" i="15"/>
  <c r="BB25" i="15"/>
  <c r="Y25" i="15"/>
  <c r="BB24" i="15"/>
  <c r="Y24" i="15"/>
  <c r="BB23" i="15"/>
  <c r="Y23" i="15"/>
  <c r="BB22" i="15"/>
  <c r="Y22" i="15"/>
  <c r="BB21" i="15"/>
  <c r="Y21" i="15"/>
  <c r="BB20" i="15"/>
  <c r="Y20" i="15"/>
  <c r="BB19" i="15"/>
  <c r="Y19" i="15"/>
  <c r="BB18" i="15"/>
  <c r="Y18" i="15"/>
  <c r="P337" i="15"/>
  <c r="B18" i="15"/>
  <c r="B19" i="15" s="1"/>
  <c r="B20" i="15" s="1"/>
  <c r="B21" i="15" s="1"/>
  <c r="B22" i="15" s="1"/>
  <c r="B23" i="15" s="1"/>
  <c r="B24" i="15" s="1"/>
  <c r="B25" i="15" s="1"/>
  <c r="B26" i="15" s="1"/>
  <c r="B27" i="15" s="1"/>
  <c r="B28" i="15" s="1"/>
  <c r="B29" i="15" s="1"/>
  <c r="B30" i="15" s="1"/>
  <c r="B31" i="15" s="1"/>
  <c r="B32" i="15" s="1"/>
  <c r="B33" i="15" s="1"/>
  <c r="B34" i="15" s="1"/>
  <c r="B35" i="15" s="1"/>
  <c r="B36" i="15" s="1"/>
  <c r="B37" i="15" s="1"/>
  <c r="B38" i="15" s="1"/>
  <c r="B39" i="15" s="1"/>
  <c r="B40" i="15" s="1"/>
  <c r="B41" i="15" s="1"/>
  <c r="B42" i="15" s="1"/>
  <c r="B43" i="15" s="1"/>
  <c r="B44" i="15" s="1"/>
  <c r="B45" i="15" s="1"/>
  <c r="B46" i="15" s="1"/>
  <c r="B47" i="15" s="1"/>
  <c r="B48" i="15" s="1"/>
  <c r="B49" i="15" s="1"/>
  <c r="B50" i="15" s="1"/>
  <c r="B51" i="15" s="1"/>
  <c r="B52" i="15" s="1"/>
  <c r="B53" i="15" s="1"/>
  <c r="B54" i="15" s="1"/>
  <c r="B55" i="15" s="1"/>
  <c r="B56" i="15" s="1"/>
  <c r="B57" i="15" s="1"/>
  <c r="B58" i="15" s="1"/>
  <c r="B59" i="15" s="1"/>
  <c r="B60" i="15" s="1"/>
  <c r="B61" i="15" s="1"/>
  <c r="B62" i="15" s="1"/>
  <c r="B63" i="15" s="1"/>
  <c r="B64" i="15" s="1"/>
  <c r="B65" i="15" s="1"/>
  <c r="B66" i="15" s="1"/>
  <c r="B67" i="15" s="1"/>
  <c r="B68" i="15" s="1"/>
  <c r="B69" i="15" s="1"/>
  <c r="B70" i="15" s="1"/>
  <c r="B71" i="15" s="1"/>
  <c r="B72" i="15" s="1"/>
  <c r="B73" i="15" s="1"/>
  <c r="B74" i="15" s="1"/>
  <c r="B75" i="15" s="1"/>
  <c r="B76" i="15" s="1"/>
  <c r="B77" i="15" s="1"/>
  <c r="B78" i="15" s="1"/>
  <c r="B79" i="15" s="1"/>
  <c r="B80" i="15" s="1"/>
  <c r="B81" i="15" s="1"/>
  <c r="B82" i="15" s="1"/>
  <c r="B83" i="15" s="1"/>
  <c r="B84" i="15" s="1"/>
  <c r="B85" i="15" s="1"/>
  <c r="B86" i="15" s="1"/>
  <c r="B87" i="15" s="1"/>
  <c r="B88" i="15" s="1"/>
  <c r="B89" i="15" s="1"/>
  <c r="B90" i="15" s="1"/>
  <c r="B91" i="15" s="1"/>
  <c r="B92" i="15" s="1"/>
  <c r="B93" i="15" s="1"/>
  <c r="B94" i="15" s="1"/>
  <c r="B95" i="15" s="1"/>
  <c r="B96" i="15" s="1"/>
  <c r="B97" i="15" s="1"/>
  <c r="B98" i="15" s="1"/>
  <c r="B99" i="15" s="1"/>
  <c r="B100" i="15" s="1"/>
  <c r="B101" i="15" s="1"/>
  <c r="B102" i="15" s="1"/>
  <c r="B103" i="15" s="1"/>
  <c r="B104" i="15" s="1"/>
  <c r="B105" i="15" s="1"/>
  <c r="B106" i="15" s="1"/>
  <c r="B107" i="15" s="1"/>
  <c r="B108" i="15" s="1"/>
  <c r="B109" i="15" s="1"/>
  <c r="B110" i="15" s="1"/>
  <c r="B111" i="15" s="1"/>
  <c r="B112" i="15" s="1"/>
  <c r="B113" i="15" s="1"/>
  <c r="B114" i="15" s="1"/>
  <c r="B115" i="15" s="1"/>
  <c r="B116" i="15" s="1"/>
  <c r="B117" i="15" s="1"/>
  <c r="B118" i="15" s="1"/>
  <c r="B119" i="15" s="1"/>
  <c r="B120" i="15" s="1"/>
  <c r="B121" i="15" s="1"/>
  <c r="B122" i="15" s="1"/>
  <c r="B123" i="15" s="1"/>
  <c r="B124" i="15" s="1"/>
  <c r="B125" i="15" s="1"/>
  <c r="B126" i="15" s="1"/>
  <c r="B127" i="15" s="1"/>
  <c r="B128" i="15" s="1"/>
  <c r="B129" i="15" s="1"/>
  <c r="B130" i="15" s="1"/>
  <c r="B131" i="15" s="1"/>
  <c r="B132" i="15" s="1"/>
  <c r="B133" i="15" s="1"/>
  <c r="B134" i="15" s="1"/>
  <c r="B135" i="15" s="1"/>
  <c r="B136" i="15" s="1"/>
  <c r="B137" i="15" s="1"/>
  <c r="B138" i="15" s="1"/>
  <c r="B139" i="15" s="1"/>
  <c r="B140" i="15" s="1"/>
  <c r="B141" i="15" s="1"/>
  <c r="B142" i="15" s="1"/>
  <c r="B143" i="15" s="1"/>
  <c r="B144" i="15" s="1"/>
  <c r="B145" i="15" s="1"/>
  <c r="B146" i="15" s="1"/>
  <c r="B147" i="15" s="1"/>
  <c r="B148" i="15" s="1"/>
  <c r="B149" i="15" s="1"/>
  <c r="B150" i="15" s="1"/>
  <c r="B151" i="15" s="1"/>
  <c r="B152" i="15" s="1"/>
  <c r="B153" i="15" s="1"/>
  <c r="B154" i="15" s="1"/>
  <c r="B155" i="15" s="1"/>
  <c r="B156" i="15" s="1"/>
  <c r="B157" i="15" s="1"/>
  <c r="B158" i="15" s="1"/>
  <c r="B159" i="15" s="1"/>
  <c r="B160" i="15" s="1"/>
  <c r="B161" i="15" s="1"/>
  <c r="B162" i="15" s="1"/>
  <c r="B163" i="15" s="1"/>
  <c r="B164" i="15" s="1"/>
  <c r="B165" i="15" s="1"/>
  <c r="B166" i="15" s="1"/>
  <c r="B167" i="15" s="1"/>
  <c r="B168" i="15" s="1"/>
  <c r="B169" i="15" s="1"/>
  <c r="B170" i="15" s="1"/>
  <c r="B171" i="15" s="1"/>
  <c r="B172" i="15" s="1"/>
  <c r="B173" i="15" s="1"/>
  <c r="B174" i="15" s="1"/>
  <c r="B175" i="15" s="1"/>
  <c r="B176" i="15" s="1"/>
  <c r="B177" i="15" s="1"/>
  <c r="B178" i="15" s="1"/>
  <c r="B179" i="15" s="1"/>
  <c r="B180" i="15" s="1"/>
  <c r="B181" i="15" s="1"/>
  <c r="B182" i="15" s="1"/>
  <c r="B183" i="15" s="1"/>
  <c r="B184" i="15" s="1"/>
  <c r="B185" i="15" s="1"/>
  <c r="B186" i="15" s="1"/>
  <c r="B187" i="15" s="1"/>
  <c r="B188" i="15" s="1"/>
  <c r="B189" i="15" s="1"/>
  <c r="B190" i="15" s="1"/>
  <c r="B191" i="15" s="1"/>
  <c r="B192" i="15" s="1"/>
  <c r="B193" i="15" s="1"/>
  <c r="B194" i="15" s="1"/>
  <c r="B195" i="15" s="1"/>
  <c r="B196" i="15" s="1"/>
  <c r="B197" i="15" s="1"/>
  <c r="B198" i="15" s="1"/>
  <c r="B199" i="15" s="1"/>
  <c r="B200" i="15" s="1"/>
  <c r="B201" i="15" s="1"/>
  <c r="B202" i="15" s="1"/>
  <c r="B203" i="15" s="1"/>
  <c r="B204" i="15" s="1"/>
  <c r="B205" i="15" s="1"/>
  <c r="B206" i="15" s="1"/>
  <c r="B207" i="15" s="1"/>
  <c r="B208" i="15" s="1"/>
  <c r="B209" i="15" s="1"/>
  <c r="B210" i="15" s="1"/>
  <c r="B211" i="15" s="1"/>
  <c r="B212" i="15" s="1"/>
  <c r="B213" i="15" s="1"/>
  <c r="B214" i="15" s="1"/>
  <c r="B215" i="15" s="1"/>
  <c r="B216" i="15" s="1"/>
  <c r="B217" i="15" s="1"/>
  <c r="B218" i="15" s="1"/>
  <c r="B219" i="15" s="1"/>
  <c r="B220" i="15" s="1"/>
  <c r="B221" i="15" s="1"/>
  <c r="B222" i="15" s="1"/>
  <c r="B223" i="15" s="1"/>
  <c r="B224" i="15" s="1"/>
  <c r="B225" i="15" s="1"/>
  <c r="B226" i="15" s="1"/>
  <c r="B227" i="15" s="1"/>
  <c r="B228" i="15" s="1"/>
  <c r="B229" i="15" s="1"/>
  <c r="B230" i="15" s="1"/>
  <c r="B231" i="15" s="1"/>
  <c r="B232" i="15" s="1"/>
  <c r="B233" i="15" s="1"/>
  <c r="B234" i="15" s="1"/>
  <c r="B235" i="15" s="1"/>
  <c r="B236" i="15" s="1"/>
  <c r="B237" i="15" s="1"/>
  <c r="B238" i="15" s="1"/>
  <c r="B239" i="15" s="1"/>
  <c r="B240" i="15" s="1"/>
  <c r="B241" i="15" s="1"/>
  <c r="B242" i="15" s="1"/>
  <c r="B243" i="15" s="1"/>
  <c r="B244" i="15" s="1"/>
  <c r="B245" i="15" s="1"/>
  <c r="B246" i="15" s="1"/>
  <c r="B247" i="15" s="1"/>
  <c r="B248" i="15" s="1"/>
  <c r="B249" i="15" s="1"/>
  <c r="B250" i="15" s="1"/>
  <c r="B251" i="15" s="1"/>
  <c r="B252" i="15" s="1"/>
  <c r="B253" i="15" s="1"/>
  <c r="B254" i="15" s="1"/>
  <c r="B255" i="15" s="1"/>
  <c r="B256" i="15" s="1"/>
  <c r="B257" i="15" s="1"/>
  <c r="B258" i="15" s="1"/>
  <c r="B259" i="15" s="1"/>
  <c r="B260" i="15" s="1"/>
  <c r="B261" i="15" s="1"/>
  <c r="B262" i="15" s="1"/>
  <c r="B263" i="15" s="1"/>
  <c r="B264" i="15" s="1"/>
  <c r="B265" i="15" s="1"/>
  <c r="B266" i="15" s="1"/>
  <c r="B267" i="15" s="1"/>
  <c r="B268" i="15" s="1"/>
  <c r="B269" i="15" s="1"/>
  <c r="B270" i="15" s="1"/>
  <c r="B271" i="15" s="1"/>
  <c r="B272" i="15" s="1"/>
  <c r="B273" i="15" s="1"/>
  <c r="B274" i="15" s="1"/>
  <c r="B275" i="15" s="1"/>
  <c r="B276" i="15" s="1"/>
  <c r="B277" i="15" s="1"/>
  <c r="B278" i="15" s="1"/>
  <c r="B279" i="15" s="1"/>
  <c r="B280" i="15" s="1"/>
  <c r="B281" i="15" s="1"/>
  <c r="B282" i="15" s="1"/>
  <c r="B283" i="15" s="1"/>
  <c r="B284" i="15" s="1"/>
  <c r="B285" i="15" s="1"/>
  <c r="B286" i="15" s="1"/>
  <c r="B287" i="15" s="1"/>
  <c r="B288" i="15" s="1"/>
  <c r="B289" i="15" s="1"/>
  <c r="B290" i="15" s="1"/>
  <c r="B291" i="15" s="1"/>
  <c r="B292" i="15" s="1"/>
  <c r="B293" i="15" s="1"/>
  <c r="B294" i="15" s="1"/>
  <c r="B295" i="15" s="1"/>
  <c r="B296" i="15" s="1"/>
  <c r="B297" i="15" s="1"/>
  <c r="B298" i="15" s="1"/>
  <c r="B299" i="15" s="1"/>
  <c r="B300" i="15" s="1"/>
  <c r="B301" i="15" s="1"/>
  <c r="B302" i="15" s="1"/>
  <c r="B303" i="15" s="1"/>
  <c r="B304" i="15" s="1"/>
  <c r="B305" i="15" s="1"/>
  <c r="B306" i="15" s="1"/>
  <c r="B307" i="15" s="1"/>
  <c r="B308" i="15" s="1"/>
  <c r="B309" i="15" s="1"/>
  <c r="B310" i="15" s="1"/>
  <c r="B311" i="15" s="1"/>
  <c r="B312" i="15" s="1"/>
  <c r="B313" i="15" s="1"/>
  <c r="B314" i="15" s="1"/>
  <c r="B315" i="15" s="1"/>
  <c r="B316" i="15" s="1"/>
  <c r="B317" i="15" s="1"/>
  <c r="B318" i="15" s="1"/>
  <c r="B319" i="15" s="1"/>
  <c r="B320" i="15" s="1"/>
  <c r="B321" i="15" s="1"/>
  <c r="B322" i="15" s="1"/>
  <c r="B323" i="15" s="1"/>
  <c r="B324" i="15" s="1"/>
  <c r="B325" i="15" s="1"/>
  <c r="B326" i="15" s="1"/>
  <c r="B327" i="15" s="1"/>
  <c r="B328" i="15" s="1"/>
  <c r="B329" i="15" s="1"/>
  <c r="B330" i="15" s="1"/>
  <c r="B331" i="15" s="1"/>
  <c r="B332" i="15" s="1"/>
  <c r="B333" i="15" s="1"/>
  <c r="BB17" i="15"/>
  <c r="Y17" i="15"/>
  <c r="D14" i="15"/>
  <c r="BC135" i="15" l="1"/>
  <c r="BC320" i="15"/>
  <c r="BC114" i="15"/>
  <c r="BC129" i="15"/>
  <c r="BC206" i="15"/>
  <c r="BC214" i="15"/>
  <c r="BC224" i="15"/>
  <c r="BC51" i="15"/>
  <c r="BC64" i="15"/>
  <c r="BC68" i="15"/>
  <c r="BC72" i="15"/>
  <c r="BC76" i="15"/>
  <c r="BC87" i="15"/>
  <c r="BC111" i="15"/>
  <c r="BC115" i="15"/>
  <c r="BC165" i="15"/>
  <c r="BC184" i="15"/>
  <c r="BC192" i="15"/>
  <c r="BC260" i="15"/>
  <c r="BC264" i="15"/>
  <c r="BC275" i="15"/>
  <c r="BC313" i="15"/>
  <c r="BC321" i="15"/>
  <c r="BC326" i="15"/>
  <c r="BC331" i="15"/>
  <c r="BC139" i="15"/>
  <c r="BC255" i="15"/>
  <c r="BC119" i="15"/>
  <c r="BC38" i="15"/>
  <c r="BC48" i="15"/>
  <c r="BC53" i="15"/>
  <c r="BC57" i="15"/>
  <c r="BC92" i="15"/>
  <c r="BC96" i="15"/>
  <c r="BC101" i="15"/>
  <c r="BC105" i="15"/>
  <c r="BC134" i="15"/>
  <c r="BC158" i="15"/>
  <c r="BC201" i="15"/>
  <c r="BC234" i="15"/>
  <c r="BC246" i="15"/>
  <c r="BC309" i="15"/>
  <c r="BC319" i="15"/>
  <c r="BC322" i="15"/>
  <c r="BC123" i="15"/>
  <c r="BC283" i="15"/>
  <c r="BC287" i="15"/>
  <c r="BC35" i="15"/>
  <c r="BC45" i="15"/>
  <c r="BC49" i="15"/>
  <c r="BC62" i="15"/>
  <c r="BC66" i="15"/>
  <c r="BC74" i="15"/>
  <c r="BC85" i="15"/>
  <c r="BC89" i="15"/>
  <c r="BC113" i="15"/>
  <c r="BC117" i="15"/>
  <c r="BC154" i="15"/>
  <c r="BC213" i="15"/>
  <c r="BC277" i="15"/>
  <c r="BC317" i="15"/>
  <c r="BC102" i="15"/>
  <c r="BC148" i="15"/>
  <c r="BC178" i="15"/>
  <c r="BC208" i="15"/>
  <c r="BC271" i="15"/>
  <c r="BC295" i="15"/>
  <c r="BC304" i="15"/>
  <c r="BC83" i="15"/>
  <c r="BC120" i="15"/>
  <c r="BC145" i="15"/>
  <c r="BC171" i="15"/>
  <c r="BC190" i="15"/>
  <c r="BC318" i="15"/>
  <c r="BC80" i="15"/>
  <c r="BC91" i="15"/>
  <c r="BC103" i="15"/>
  <c r="BC138" i="15"/>
  <c r="BC161" i="15"/>
  <c r="BC187" i="15"/>
  <c r="BC205" i="15"/>
  <c r="BC209" i="15"/>
  <c r="BC220" i="15"/>
  <c r="BC254" i="15"/>
  <c r="BC268" i="15"/>
  <c r="BC272" i="15"/>
  <c r="BC286" i="15"/>
  <c r="BC302" i="15"/>
  <c r="BC316" i="15"/>
  <c r="BC73" i="15"/>
  <c r="BC142" i="15"/>
  <c r="BC228" i="15"/>
  <c r="BC300" i="15"/>
  <c r="BC305" i="15"/>
  <c r="BC116" i="15"/>
  <c r="BC186" i="15"/>
  <c r="BC267" i="15"/>
  <c r="BC47" i="15"/>
  <c r="BC122" i="15"/>
  <c r="BC143" i="15"/>
  <c r="BC169" i="15"/>
  <c r="BC173" i="15"/>
  <c r="BC229" i="15"/>
  <c r="BC240" i="15"/>
  <c r="BC303" i="15"/>
  <c r="BC310" i="15"/>
  <c r="BC32" i="15"/>
  <c r="BC52" i="15"/>
  <c r="BC71" i="15"/>
  <c r="BC126" i="15"/>
  <c r="BC163" i="15"/>
  <c r="BC181" i="15"/>
  <c r="BC200" i="15"/>
  <c r="BC203" i="15"/>
  <c r="BC218" i="15"/>
  <c r="BC225" i="15"/>
  <c r="BC256" i="15"/>
  <c r="BC270" i="15"/>
  <c r="BC284" i="15"/>
  <c r="BC288" i="15"/>
  <c r="BC308" i="15"/>
  <c r="BC18" i="15"/>
  <c r="BC86" i="15"/>
  <c r="BC183" i="15"/>
  <c r="BC21" i="15"/>
  <c r="BC17" i="15"/>
  <c r="BC30" i="15"/>
  <c r="BC230" i="15"/>
  <c r="BC258" i="15"/>
  <c r="BC290" i="15"/>
  <c r="BC25" i="15"/>
  <c r="BC29" i="15"/>
  <c r="BC137" i="15"/>
  <c r="BC28" i="15"/>
  <c r="Y61" i="15"/>
  <c r="BC61" i="15" s="1"/>
  <c r="BC100" i="15"/>
  <c r="BC195" i="15"/>
  <c r="BC210" i="15"/>
  <c r="BC22" i="15"/>
  <c r="BC31" i="15"/>
  <c r="BC20" i="15"/>
  <c r="Q337" i="15"/>
  <c r="BC26" i="15"/>
  <c r="BC193" i="15"/>
  <c r="BC274" i="15"/>
  <c r="BC24" i="15"/>
  <c r="BC27" i="15"/>
  <c r="J337" i="15"/>
  <c r="L337" i="15"/>
  <c r="BC19" i="15"/>
  <c r="BC23" i="15"/>
  <c r="BC33" i="15"/>
  <c r="BC78" i="15"/>
  <c r="Y98" i="15"/>
  <c r="BC98" i="15" s="1"/>
  <c r="BC99" i="15"/>
  <c r="BC127" i="15"/>
  <c r="Y156" i="15"/>
  <c r="BC156" i="15" s="1"/>
  <c r="Y191" i="15"/>
  <c r="BC191" i="15" s="1"/>
  <c r="BC266" i="15"/>
  <c r="BC276" i="15"/>
  <c r="BC292" i="15"/>
  <c r="BC121" i="15"/>
  <c r="BC172" i="15"/>
  <c r="BC180" i="15"/>
  <c r="BC185" i="15"/>
  <c r="BC219" i="15"/>
  <c r="Y227" i="15"/>
  <c r="BC227" i="15" s="1"/>
  <c r="BC237" i="15"/>
  <c r="BC243" i="15"/>
  <c r="BC251" i="15"/>
  <c r="BC95" i="15"/>
  <c r="BC84" i="15"/>
  <c r="BC94" i="15"/>
  <c r="BC176" i="15"/>
  <c r="BC182" i="15"/>
  <c r="BC231" i="15"/>
  <c r="BC236" i="15"/>
  <c r="BC239" i="15"/>
  <c r="BC250" i="15"/>
  <c r="BC253" i="15"/>
  <c r="BC269" i="15"/>
  <c r="BC285" i="15"/>
  <c r="BC93" i="15"/>
  <c r="BC97" i="15"/>
  <c r="BC124" i="15"/>
  <c r="BC136" i="15"/>
  <c r="Y160" i="15"/>
  <c r="BC160" i="15" s="1"/>
  <c r="BC175" i="15"/>
  <c r="BC188" i="15"/>
  <c r="BC194" i="15"/>
  <c r="BC198" i="15"/>
  <c r="BC207" i="15"/>
  <c r="BC244" i="15"/>
  <c r="BC263" i="15"/>
  <c r="BC279" i="15"/>
  <c r="BC159" i="15"/>
  <c r="BC223" i="15"/>
  <c r="BB337" i="15"/>
  <c r="BC104" i="15"/>
  <c r="BC140" i="15"/>
  <c r="BC149" i="15"/>
  <c r="Y50" i="15"/>
  <c r="BC50" i="15" s="1"/>
  <c r="Y153" i="15"/>
  <c r="BC153" i="15" s="1"/>
  <c r="BC242" i="15"/>
  <c r="BC131" i="15"/>
  <c r="BC147" i="15"/>
  <c r="BC166" i="15"/>
  <c r="Y212" i="15"/>
  <c r="BC212" i="15" s="1"/>
  <c r="BC216" i="15"/>
  <c r="Y241" i="15"/>
  <c r="BC241" i="15" s="1"/>
  <c r="K337" i="15"/>
  <c r="BC128" i="15"/>
  <c r="BC144" i="15"/>
  <c r="BC162" i="15"/>
  <c r="BC226" i="15"/>
  <c r="BC199" i="15"/>
  <c r="BC238" i="15"/>
  <c r="BC252" i="15"/>
  <c r="Y337" i="15" l="1"/>
  <c r="E14" i="15" s="1"/>
  <c r="BC337" i="15"/>
  <c r="AU139" i="13" l="1"/>
  <c r="AT139" i="13"/>
  <c r="AP139" i="13"/>
  <c r="AL139" i="13"/>
  <c r="AH139" i="13"/>
  <c r="AD139" i="13"/>
  <c r="Z139" i="13"/>
  <c r="Y139" i="13"/>
  <c r="X139" i="13"/>
  <c r="W139" i="13"/>
  <c r="V139" i="13"/>
  <c r="U139" i="13"/>
  <c r="T139" i="13"/>
  <c r="S139" i="13"/>
  <c r="R139" i="13"/>
  <c r="Q139" i="13"/>
  <c r="P139" i="13"/>
  <c r="O139" i="13"/>
  <c r="N139" i="13"/>
  <c r="M139" i="13"/>
  <c r="L139" i="13"/>
  <c r="K139" i="13"/>
  <c r="AU138" i="13"/>
  <c r="AT138" i="13"/>
  <c r="Y138" i="13"/>
  <c r="AU137" i="13"/>
  <c r="AT137" i="13"/>
  <c r="Y137" i="13"/>
  <c r="AT136" i="13"/>
  <c r="Y136" i="13"/>
  <c r="AT135" i="13"/>
  <c r="AU135" i="13" s="1"/>
  <c r="Y135" i="13"/>
  <c r="AT134" i="13"/>
  <c r="Y134" i="13"/>
  <c r="AU134" i="13" s="1"/>
  <c r="AT133" i="13"/>
  <c r="AU133" i="13" s="1"/>
  <c r="Y133" i="13"/>
  <c r="AT132" i="13"/>
  <c r="AU132" i="13" s="1"/>
  <c r="Y132" i="13"/>
  <c r="AT131" i="13"/>
  <c r="AU131" i="13" s="1"/>
  <c r="Y131" i="13"/>
  <c r="AU130" i="13"/>
  <c r="AT130" i="13"/>
  <c r="Y130" i="13"/>
  <c r="AU129" i="13"/>
  <c r="AT129" i="13"/>
  <c r="Y129" i="13"/>
  <c r="AT128" i="13"/>
  <c r="Y128" i="13"/>
  <c r="AT127" i="13"/>
  <c r="AU127" i="13" s="1"/>
  <c r="Y127" i="13"/>
  <c r="AT126" i="13"/>
  <c r="Y126" i="13"/>
  <c r="AU126" i="13" s="1"/>
  <c r="AT125" i="13"/>
  <c r="AU125" i="13" s="1"/>
  <c r="Y125" i="13"/>
  <c r="AT124" i="13"/>
  <c r="AU124" i="13" s="1"/>
  <c r="Y124" i="13"/>
  <c r="AT123" i="13"/>
  <c r="AU123" i="13" s="1"/>
  <c r="Y123" i="13"/>
  <c r="AU122" i="13"/>
  <c r="AT122" i="13"/>
  <c r="Y122" i="13"/>
  <c r="AU121" i="13"/>
  <c r="AT121" i="13"/>
  <c r="Y121" i="13"/>
  <c r="AT120" i="13"/>
  <c r="Y120" i="13"/>
  <c r="AT119" i="13"/>
  <c r="AU119" i="13" s="1"/>
  <c r="Y119" i="13"/>
  <c r="AT118" i="13"/>
  <c r="Y118" i="13"/>
  <c r="AU118" i="13" s="1"/>
  <c r="AT117" i="13"/>
  <c r="AU117" i="13" s="1"/>
  <c r="Y117" i="13"/>
  <c r="AT116" i="13"/>
  <c r="AU116" i="13" s="1"/>
  <c r="Y116" i="13"/>
  <c r="Z115" i="13"/>
  <c r="AT115" i="13" s="1"/>
  <c r="AU115" i="13" s="1"/>
  <c r="Y115" i="13"/>
  <c r="Q115" i="13"/>
  <c r="P115" i="13"/>
  <c r="L115" i="13"/>
  <c r="K115" i="13"/>
  <c r="J115" i="13"/>
  <c r="Z114" i="13"/>
  <c r="AT114" i="13" s="1"/>
  <c r="AU114" i="13" s="1"/>
  <c r="Q114" i="13"/>
  <c r="P114" i="13"/>
  <c r="Y114" i="13" s="1"/>
  <c r="L114" i="13"/>
  <c r="K114" i="13"/>
  <c r="J114" i="13"/>
  <c r="AT113" i="13"/>
  <c r="Q113" i="13"/>
  <c r="P113" i="13"/>
  <c r="Y113" i="13" s="1"/>
  <c r="L113" i="13"/>
  <c r="K113" i="13"/>
  <c r="J113" i="13"/>
  <c r="AT112" i="13"/>
  <c r="AU112" i="13" s="1"/>
  <c r="Z112" i="13"/>
  <c r="Q112" i="13"/>
  <c r="Y112" i="13" s="1"/>
  <c r="P112" i="13"/>
  <c r="L112" i="13"/>
  <c r="K112" i="13"/>
  <c r="J112" i="13"/>
  <c r="AU111" i="13"/>
  <c r="AT111" i="13"/>
  <c r="Y111" i="13"/>
  <c r="AT110" i="13"/>
  <c r="Z110" i="13"/>
  <c r="Q110" i="13"/>
  <c r="Y110" i="13" s="1"/>
  <c r="AU110" i="13" s="1"/>
  <c r="L110" i="13"/>
  <c r="K110" i="13"/>
  <c r="J110" i="13"/>
  <c r="AT109" i="13"/>
  <c r="Z109" i="13"/>
  <c r="Q109" i="13"/>
  <c r="Y109" i="13" s="1"/>
  <c r="AU109" i="13" s="1"/>
  <c r="L109" i="13"/>
  <c r="K109" i="13"/>
  <c r="J109" i="13"/>
  <c r="AT108" i="13"/>
  <c r="Z108" i="13"/>
  <c r="Q108" i="13"/>
  <c r="Y108" i="13" s="1"/>
  <c r="AU108" i="13" s="1"/>
  <c r="L108" i="13"/>
  <c r="K108" i="13"/>
  <c r="J108" i="13"/>
  <c r="AD107" i="13"/>
  <c r="Z107" i="13"/>
  <c r="AT107" i="13" s="1"/>
  <c r="AU107" i="13" s="1"/>
  <c r="P107" i="13"/>
  <c r="Y107" i="13" s="1"/>
  <c r="L107" i="13"/>
  <c r="K107" i="13"/>
  <c r="J107" i="13"/>
  <c r="Z106" i="13"/>
  <c r="AT106" i="13" s="1"/>
  <c r="Q106" i="13"/>
  <c r="Y106" i="13" s="1"/>
  <c r="L106" i="13"/>
  <c r="K106" i="13"/>
  <c r="J106" i="13"/>
  <c r="Z105" i="13"/>
  <c r="AT105" i="13" s="1"/>
  <c r="Q105" i="13"/>
  <c r="Y105" i="13" s="1"/>
  <c r="L105" i="13"/>
  <c r="K105" i="13"/>
  <c r="J105" i="13"/>
  <c r="Z104" i="13"/>
  <c r="AT104" i="13" s="1"/>
  <c r="AU104" i="13" s="1"/>
  <c r="Y104" i="13"/>
  <c r="L104" i="13"/>
  <c r="K104" i="13"/>
  <c r="J104" i="13"/>
  <c r="AT103" i="13"/>
  <c r="Z103" i="13"/>
  <c r="Q103" i="13"/>
  <c r="Y103" i="13" s="1"/>
  <c r="AU103" i="13" s="1"/>
  <c r="L103" i="13"/>
  <c r="K103" i="13"/>
  <c r="AT102" i="13"/>
  <c r="Z102" i="13"/>
  <c r="Q102" i="13"/>
  <c r="Y102" i="13" s="1"/>
  <c r="L102" i="13"/>
  <c r="K102" i="13"/>
  <c r="J102" i="13"/>
  <c r="AT101" i="13"/>
  <c r="AU101" i="13" s="1"/>
  <c r="Z101" i="13"/>
  <c r="Q101" i="13"/>
  <c r="Y101" i="13" s="1"/>
  <c r="L101" i="13"/>
  <c r="K101" i="13"/>
  <c r="AT100" i="13"/>
  <c r="AU100" i="13" s="1"/>
  <c r="Y100" i="13"/>
  <c r="Q100" i="13"/>
  <c r="L100" i="13"/>
  <c r="K100" i="13"/>
  <c r="J100" i="13"/>
  <c r="AU99" i="13"/>
  <c r="AT99" i="13"/>
  <c r="Q99" i="13"/>
  <c r="Y99" i="13" s="1"/>
  <c r="L99" i="13"/>
  <c r="K99" i="13"/>
  <c r="J99" i="13"/>
  <c r="AT98" i="13"/>
  <c r="AU98" i="13" s="1"/>
  <c r="Z98" i="13"/>
  <c r="Q98" i="13"/>
  <c r="Y98" i="13" s="1"/>
  <c r="L98" i="13"/>
  <c r="K98" i="13"/>
  <c r="J98" i="13"/>
  <c r="AT97" i="13"/>
  <c r="Z97" i="13"/>
  <c r="P97" i="13"/>
  <c r="Y97" i="13" s="1"/>
  <c r="L97" i="13"/>
  <c r="K97" i="13"/>
  <c r="Z96" i="13"/>
  <c r="AT96" i="13" s="1"/>
  <c r="AU96" i="13" s="1"/>
  <c r="Q96" i="13"/>
  <c r="P96" i="13"/>
  <c r="Y96" i="13" s="1"/>
  <c r="O96" i="13"/>
  <c r="L96" i="13"/>
  <c r="AT95" i="13"/>
  <c r="AU95" i="13" s="1"/>
  <c r="Y95" i="13"/>
  <c r="Z94" i="13"/>
  <c r="AT94" i="13" s="1"/>
  <c r="AU94" i="13" s="1"/>
  <c r="Y94" i="13"/>
  <c r="O94" i="13"/>
  <c r="L94" i="13"/>
  <c r="K94" i="13"/>
  <c r="J94" i="13"/>
  <c r="Z93" i="13"/>
  <c r="AT93" i="13" s="1"/>
  <c r="AU93" i="13" s="1"/>
  <c r="Y93" i="13"/>
  <c r="O93" i="13"/>
  <c r="L93" i="13"/>
  <c r="K93" i="13"/>
  <c r="J93" i="13"/>
  <c r="Z92" i="13"/>
  <c r="AT92" i="13" s="1"/>
  <c r="AU92" i="13" s="1"/>
  <c r="Y92" i="13"/>
  <c r="O92" i="13"/>
  <c r="L92" i="13"/>
  <c r="K92" i="13"/>
  <c r="J92" i="13"/>
  <c r="Z91" i="13"/>
  <c r="AT91" i="13" s="1"/>
  <c r="AU91" i="13" s="1"/>
  <c r="Y91" i="13"/>
  <c r="O91" i="13"/>
  <c r="L91" i="13"/>
  <c r="K91" i="13"/>
  <c r="J91" i="13"/>
  <c r="Z90" i="13"/>
  <c r="AT90" i="13" s="1"/>
  <c r="AU90" i="13" s="1"/>
  <c r="Y90" i="13"/>
  <c r="O90" i="13"/>
  <c r="L90" i="13"/>
  <c r="K90" i="13"/>
  <c r="J90" i="13"/>
  <c r="Z89" i="13"/>
  <c r="AT89" i="13" s="1"/>
  <c r="AU89" i="13" s="1"/>
  <c r="Y89" i="13"/>
  <c r="O89" i="13"/>
  <c r="L89" i="13"/>
  <c r="K89" i="13"/>
  <c r="J89" i="13"/>
  <c r="Z88" i="13"/>
  <c r="AT88" i="13" s="1"/>
  <c r="AU88" i="13" s="1"/>
  <c r="Y88" i="13"/>
  <c r="O88" i="13"/>
  <c r="L88" i="13"/>
  <c r="K88" i="13"/>
  <c r="J88" i="13"/>
  <c r="Z87" i="13"/>
  <c r="AT87" i="13" s="1"/>
  <c r="Q87" i="13"/>
  <c r="O87" i="13"/>
  <c r="N87" i="13"/>
  <c r="Y87" i="13" s="1"/>
  <c r="L87" i="13"/>
  <c r="K87" i="13"/>
  <c r="J87" i="13"/>
  <c r="AT86" i="13"/>
  <c r="Z86" i="13"/>
  <c r="O86" i="13"/>
  <c r="Y86" i="13" s="1"/>
  <c r="AU86" i="13" s="1"/>
  <c r="L86" i="13"/>
  <c r="K86" i="13"/>
  <c r="AT85" i="13"/>
  <c r="AU85" i="13" s="1"/>
  <c r="Z85" i="13"/>
  <c r="N85" i="13"/>
  <c r="Y85" i="13" s="1"/>
  <c r="L85" i="13"/>
  <c r="K85" i="13"/>
  <c r="Z84" i="13"/>
  <c r="AT84" i="13" s="1"/>
  <c r="O84" i="13"/>
  <c r="N84" i="13"/>
  <c r="M84" i="13"/>
  <c r="Y84" i="13" s="1"/>
  <c r="L84" i="13"/>
  <c r="K84" i="13"/>
  <c r="J84" i="13"/>
  <c r="AT83" i="13"/>
  <c r="Z83" i="13"/>
  <c r="Q83" i="13"/>
  <c r="O83" i="13"/>
  <c r="Y83" i="13" s="1"/>
  <c r="AU83" i="13" s="1"/>
  <c r="N83" i="13"/>
  <c r="M83" i="13"/>
  <c r="L83" i="13"/>
  <c r="K83" i="13"/>
  <c r="J83" i="13"/>
  <c r="Z82" i="13"/>
  <c r="AT82" i="13" s="1"/>
  <c r="Q82" i="13"/>
  <c r="P82" i="13"/>
  <c r="Y82" i="13" s="1"/>
  <c r="O82" i="13"/>
  <c r="M82" i="13"/>
  <c r="L82" i="13"/>
  <c r="K82" i="13"/>
  <c r="J82" i="13"/>
  <c r="Z81" i="13"/>
  <c r="AT81" i="13" s="1"/>
  <c r="O81" i="13"/>
  <c r="M81" i="13"/>
  <c r="Y81" i="13" s="1"/>
  <c r="L81" i="13"/>
  <c r="K81" i="13"/>
  <c r="J81" i="13"/>
  <c r="AT80" i="13"/>
  <c r="Z80" i="13"/>
  <c r="Q80" i="13"/>
  <c r="P80" i="13"/>
  <c r="N80" i="13"/>
  <c r="M80" i="13"/>
  <c r="Y80" i="13" s="1"/>
  <c r="L80" i="13"/>
  <c r="K80" i="13"/>
  <c r="J80" i="13"/>
  <c r="Z79" i="13"/>
  <c r="AT79" i="13" s="1"/>
  <c r="Y79" i="13"/>
  <c r="O79" i="13"/>
  <c r="N79" i="13"/>
  <c r="M79" i="13"/>
  <c r="L79" i="13"/>
  <c r="K79" i="13"/>
  <c r="J79" i="13"/>
  <c r="AT78" i="13"/>
  <c r="O78" i="13"/>
  <c r="N78" i="13"/>
  <c r="Y78" i="13" s="1"/>
  <c r="M78" i="13"/>
  <c r="L78" i="13"/>
  <c r="K78" i="13"/>
  <c r="J78" i="13"/>
  <c r="AU77" i="13"/>
  <c r="Z77" i="13"/>
  <c r="AT77" i="13" s="1"/>
  <c r="Y77" i="13"/>
  <c r="O77" i="13"/>
  <c r="N77" i="13"/>
  <c r="M77" i="13"/>
  <c r="L77" i="13"/>
  <c r="K77" i="13"/>
  <c r="J77" i="13"/>
  <c r="AT76" i="13"/>
  <c r="AD76" i="13"/>
  <c r="Z76" i="13"/>
  <c r="Q76" i="13"/>
  <c r="P76" i="13"/>
  <c r="O76" i="13"/>
  <c r="N76" i="13"/>
  <c r="M76" i="13"/>
  <c r="L76" i="13"/>
  <c r="K76" i="13"/>
  <c r="J76" i="13"/>
  <c r="AT75" i="13"/>
  <c r="AU75" i="13" s="1"/>
  <c r="AD75" i="13"/>
  <c r="Z75" i="13"/>
  <c r="Q75" i="13"/>
  <c r="P75" i="13"/>
  <c r="O75" i="13"/>
  <c r="N75" i="13"/>
  <c r="M75" i="13"/>
  <c r="Y75" i="13" s="1"/>
  <c r="K75" i="13"/>
  <c r="J75" i="13"/>
  <c r="AT74" i="13"/>
  <c r="Z74" i="13"/>
  <c r="O74" i="13"/>
  <c r="N74" i="13"/>
  <c r="Y74" i="13" s="1"/>
  <c r="AU74" i="13" s="1"/>
  <c r="M74" i="13"/>
  <c r="L74" i="13"/>
  <c r="K74" i="13"/>
  <c r="J74" i="13"/>
  <c r="Z73" i="13"/>
  <c r="AT73" i="13" s="1"/>
  <c r="Y73" i="13"/>
  <c r="O73" i="13"/>
  <c r="N73" i="13"/>
  <c r="M73" i="13"/>
  <c r="L73" i="13"/>
  <c r="K73" i="13"/>
  <c r="J73" i="13"/>
  <c r="AT72" i="13"/>
  <c r="O72" i="13"/>
  <c r="N72" i="13"/>
  <c r="Y72" i="13" s="1"/>
  <c r="M72" i="13"/>
  <c r="L72" i="13"/>
  <c r="K72" i="13"/>
  <c r="J72" i="13"/>
  <c r="AU71" i="13"/>
  <c r="Z71" i="13"/>
  <c r="AT71" i="13" s="1"/>
  <c r="Y71" i="13"/>
  <c r="O71" i="13"/>
  <c r="N71" i="13"/>
  <c r="M71" i="13"/>
  <c r="L71" i="13"/>
  <c r="K71" i="13"/>
  <c r="J71" i="13"/>
  <c r="AT70" i="13"/>
  <c r="Z70" i="13"/>
  <c r="Q70" i="13"/>
  <c r="P70" i="13"/>
  <c r="O70" i="13"/>
  <c r="N70" i="13"/>
  <c r="M70" i="13"/>
  <c r="Y70" i="13" s="1"/>
  <c r="L70" i="13"/>
  <c r="K70" i="13"/>
  <c r="J70" i="13"/>
  <c r="AD69" i="13"/>
  <c r="AT69" i="13" s="1"/>
  <c r="AU69" i="13" s="1"/>
  <c r="Z69" i="13"/>
  <c r="Q69" i="13"/>
  <c r="P69" i="13"/>
  <c r="O69" i="13"/>
  <c r="N69" i="13"/>
  <c r="M69" i="13"/>
  <c r="Y69" i="13" s="1"/>
  <c r="L69" i="13"/>
  <c r="K69" i="13"/>
  <c r="J69" i="13"/>
  <c r="AD68" i="13"/>
  <c r="Z68" i="13"/>
  <c r="AT68" i="13" s="1"/>
  <c r="Q68" i="13"/>
  <c r="Y68" i="13" s="1"/>
  <c r="O68" i="13"/>
  <c r="N68" i="13"/>
  <c r="M68" i="13"/>
  <c r="L68" i="13"/>
  <c r="K68" i="13"/>
  <c r="J68" i="13"/>
  <c r="AT67" i="13"/>
  <c r="AU67" i="13" s="1"/>
  <c r="AD67" i="13"/>
  <c r="Z67" i="13"/>
  <c r="Q67" i="13"/>
  <c r="O67" i="13"/>
  <c r="N67" i="13"/>
  <c r="M67" i="13"/>
  <c r="Y67" i="13" s="1"/>
  <c r="L67" i="13"/>
  <c r="K67" i="13"/>
  <c r="J67" i="13"/>
  <c r="AT66" i="13"/>
  <c r="Z66" i="13"/>
  <c r="O66" i="13"/>
  <c r="N66" i="13"/>
  <c r="Y66" i="13" s="1"/>
  <c r="AU66" i="13" s="1"/>
  <c r="M66" i="13"/>
  <c r="L66" i="13"/>
  <c r="K66" i="13"/>
  <c r="J66" i="13"/>
  <c r="Z65" i="13"/>
  <c r="AT65" i="13" s="1"/>
  <c r="AU65" i="13" s="1"/>
  <c r="Y65" i="13"/>
  <c r="Q65" i="13"/>
  <c r="P65" i="13"/>
  <c r="N65" i="13"/>
  <c r="M65" i="13"/>
  <c r="L65" i="13"/>
  <c r="K65" i="13"/>
  <c r="J65" i="13"/>
  <c r="Z64" i="13"/>
  <c r="AT64" i="13" s="1"/>
  <c r="AU64" i="13" s="1"/>
  <c r="Y64" i="13"/>
  <c r="O64" i="13"/>
  <c r="M64" i="13"/>
  <c r="L64" i="13"/>
  <c r="K64" i="13"/>
  <c r="J64" i="13"/>
  <c r="Z63" i="13"/>
  <c r="AT63" i="13" s="1"/>
  <c r="AU63" i="13" s="1"/>
  <c r="O63" i="13"/>
  <c r="N63" i="13"/>
  <c r="M63" i="13"/>
  <c r="Y63" i="13" s="1"/>
  <c r="L63" i="13"/>
  <c r="K63" i="13"/>
  <c r="J63" i="13"/>
  <c r="AT62" i="13"/>
  <c r="Z62" i="13"/>
  <c r="O62" i="13"/>
  <c r="N62" i="13"/>
  <c r="Y62" i="13" s="1"/>
  <c r="AU62" i="13" s="1"/>
  <c r="M62" i="13"/>
  <c r="L62" i="13"/>
  <c r="K62" i="13"/>
  <c r="J62" i="13"/>
  <c r="Z61" i="13"/>
  <c r="AT61" i="13" s="1"/>
  <c r="AU61" i="13" s="1"/>
  <c r="Y61" i="13"/>
  <c r="Q61" i="13"/>
  <c r="P61" i="13"/>
  <c r="M61" i="13"/>
  <c r="L61" i="13"/>
  <c r="K61" i="13"/>
  <c r="J61" i="13"/>
  <c r="AT60" i="13"/>
  <c r="AU60" i="13" s="1"/>
  <c r="Z60" i="13"/>
  <c r="O60" i="13"/>
  <c r="Y60" i="13" s="1"/>
  <c r="N60" i="13"/>
  <c r="M60" i="13"/>
  <c r="L60" i="13"/>
  <c r="K60" i="13"/>
  <c r="J60" i="13"/>
  <c r="Z59" i="13"/>
  <c r="AT59" i="13" s="1"/>
  <c r="AU59" i="13" s="1"/>
  <c r="O59" i="13"/>
  <c r="N59" i="13"/>
  <c r="M59" i="13"/>
  <c r="Y59" i="13" s="1"/>
  <c r="L59" i="13"/>
  <c r="K59" i="13"/>
  <c r="J59" i="13"/>
  <c r="AT58" i="13"/>
  <c r="Z58" i="13"/>
  <c r="P58" i="13"/>
  <c r="O58" i="13"/>
  <c r="Y58" i="13" s="1"/>
  <c r="AU58" i="13" s="1"/>
  <c r="N58" i="13"/>
  <c r="M58" i="13"/>
  <c r="L58" i="13"/>
  <c r="K58" i="13"/>
  <c r="J58" i="13"/>
  <c r="AD57" i="13"/>
  <c r="AT57" i="13" s="1"/>
  <c r="AU57" i="13" s="1"/>
  <c r="Z57" i="13"/>
  <c r="Q57" i="13"/>
  <c r="P57" i="13"/>
  <c r="O57" i="13"/>
  <c r="M57" i="13"/>
  <c r="Y57" i="13" s="1"/>
  <c r="L57" i="13"/>
  <c r="K57" i="13"/>
  <c r="J57" i="13"/>
  <c r="AT56" i="13"/>
  <c r="AH56" i="13"/>
  <c r="AD56" i="13"/>
  <c r="Z56" i="13"/>
  <c r="Q56" i="13"/>
  <c r="Y56" i="13" s="1"/>
  <c r="P56" i="13"/>
  <c r="O56" i="13"/>
  <c r="N56" i="13"/>
  <c r="M56" i="13"/>
  <c r="L56" i="13"/>
  <c r="K56" i="13"/>
  <c r="J56" i="13"/>
  <c r="Z55" i="13"/>
  <c r="AT55" i="13" s="1"/>
  <c r="AU55" i="13" s="1"/>
  <c r="Y55" i="13"/>
  <c r="P55" i="13"/>
  <c r="N55" i="13"/>
  <c r="M55" i="13"/>
  <c r="L55" i="13"/>
  <c r="K55" i="13"/>
  <c r="J55" i="13"/>
  <c r="AT54" i="13"/>
  <c r="AD54" i="13"/>
  <c r="Z54" i="13"/>
  <c r="Q54" i="13"/>
  <c r="O54" i="13"/>
  <c r="Y54" i="13" s="1"/>
  <c r="M54" i="13"/>
  <c r="L54" i="13"/>
  <c r="K54" i="13"/>
  <c r="J54" i="13"/>
  <c r="Z53" i="13"/>
  <c r="AT53" i="13" s="1"/>
  <c r="Y53" i="13"/>
  <c r="P53" i="13"/>
  <c r="O53" i="13"/>
  <c r="N53" i="13"/>
  <c r="M53" i="13"/>
  <c r="L53" i="13"/>
  <c r="K53" i="13"/>
  <c r="J53" i="13"/>
  <c r="AU52" i="13"/>
  <c r="Z52" i="13"/>
  <c r="AT52" i="13" s="1"/>
  <c r="Q52" i="13"/>
  <c r="P52" i="13"/>
  <c r="O52" i="13"/>
  <c r="N52" i="13"/>
  <c r="M52" i="13"/>
  <c r="Y52" i="13" s="1"/>
  <c r="L52" i="13"/>
  <c r="K52" i="13"/>
  <c r="J52" i="13"/>
  <c r="AD51" i="13"/>
  <c r="Z51" i="13"/>
  <c r="AT51" i="13" s="1"/>
  <c r="AU51" i="13" s="1"/>
  <c r="Y51" i="13"/>
  <c r="Q51" i="13"/>
  <c r="P51" i="13"/>
  <c r="O51" i="13"/>
  <c r="N51" i="13"/>
  <c r="M51" i="13"/>
  <c r="L51" i="13"/>
  <c r="K51" i="13"/>
  <c r="J51" i="13"/>
  <c r="AD50" i="13"/>
  <c r="AT50" i="13" s="1"/>
  <c r="Z50" i="13"/>
  <c r="Q50" i="13"/>
  <c r="P50" i="13"/>
  <c r="O50" i="13"/>
  <c r="N50" i="13"/>
  <c r="M50" i="13"/>
  <c r="Y50" i="13" s="1"/>
  <c r="L50" i="13"/>
  <c r="K50" i="13"/>
  <c r="J50" i="13"/>
  <c r="Z49" i="13"/>
  <c r="AT49" i="13" s="1"/>
  <c r="AU49" i="13" s="1"/>
  <c r="Q49" i="13"/>
  <c r="O49" i="13"/>
  <c r="Y49" i="13" s="1"/>
  <c r="N49" i="13"/>
  <c r="M49" i="13"/>
  <c r="L49" i="13"/>
  <c r="K49" i="13"/>
  <c r="J49" i="13"/>
  <c r="Z48" i="13"/>
  <c r="AT48" i="13" s="1"/>
  <c r="AU48" i="13" s="1"/>
  <c r="Q48" i="13"/>
  <c r="P48" i="13"/>
  <c r="O48" i="13"/>
  <c r="N48" i="13"/>
  <c r="M48" i="13"/>
  <c r="Y48" i="13" s="1"/>
  <c r="L48" i="13"/>
  <c r="K48" i="13"/>
  <c r="J48" i="13"/>
  <c r="AD47" i="13"/>
  <c r="Z47" i="13"/>
  <c r="AT47" i="13" s="1"/>
  <c r="Q47" i="13"/>
  <c r="P47" i="13"/>
  <c r="O47" i="13"/>
  <c r="N47" i="13"/>
  <c r="M47" i="13"/>
  <c r="Y47" i="13" s="1"/>
  <c r="L47" i="13"/>
  <c r="K47" i="13"/>
  <c r="J47" i="13"/>
  <c r="AT46" i="13"/>
  <c r="Z46" i="13"/>
  <c r="Q46" i="13"/>
  <c r="P46" i="13"/>
  <c r="O46" i="13"/>
  <c r="N46" i="13"/>
  <c r="M46" i="13"/>
  <c r="L46" i="13"/>
  <c r="K46" i="13"/>
  <c r="J46" i="13"/>
  <c r="AD45" i="13"/>
  <c r="AT45" i="13" s="1"/>
  <c r="Z45" i="13"/>
  <c r="Q45" i="13"/>
  <c r="P45" i="13"/>
  <c r="N45" i="13"/>
  <c r="M45" i="13"/>
  <c r="Y45" i="13" s="1"/>
  <c r="L45" i="13"/>
  <c r="K45" i="13"/>
  <c r="J45" i="13"/>
  <c r="AT44" i="13"/>
  <c r="AU44" i="13" s="1"/>
  <c r="Z44" i="13"/>
  <c r="O44" i="13"/>
  <c r="M44" i="13"/>
  <c r="Y44" i="13" s="1"/>
  <c r="L44" i="13"/>
  <c r="K44" i="13"/>
  <c r="J44" i="13"/>
  <c r="AT43" i="13"/>
  <c r="Z43" i="13"/>
  <c r="O43" i="13"/>
  <c r="N43" i="13"/>
  <c r="Y43" i="13" s="1"/>
  <c r="AU43" i="13" s="1"/>
  <c r="M43" i="13"/>
  <c r="L43" i="13"/>
  <c r="K43" i="13"/>
  <c r="J43" i="13"/>
  <c r="Z42" i="13"/>
  <c r="AT42" i="13" s="1"/>
  <c r="Y42" i="13"/>
  <c r="Q42" i="13"/>
  <c r="P42" i="13"/>
  <c r="O42" i="13"/>
  <c r="N42" i="13"/>
  <c r="M42" i="13"/>
  <c r="L42" i="13"/>
  <c r="K42" i="13"/>
  <c r="J42" i="13"/>
  <c r="Z41" i="13"/>
  <c r="AT41" i="13" s="1"/>
  <c r="AU41" i="13" s="1"/>
  <c r="O41" i="13"/>
  <c r="N41" i="13"/>
  <c r="M41" i="13"/>
  <c r="Y41" i="13" s="1"/>
  <c r="L41" i="13"/>
  <c r="K41" i="13"/>
  <c r="J41" i="13"/>
  <c r="AT40" i="13"/>
  <c r="Z40" i="13"/>
  <c r="O40" i="13"/>
  <c r="N40" i="13"/>
  <c r="M40" i="13"/>
  <c r="L40" i="13"/>
  <c r="K40" i="13"/>
  <c r="J40" i="13"/>
  <c r="Z39" i="13"/>
  <c r="AT39" i="13" s="1"/>
  <c r="Y39" i="13"/>
  <c r="Q39" i="13"/>
  <c r="P39" i="13"/>
  <c r="O39" i="13"/>
  <c r="M39" i="13"/>
  <c r="L39" i="13"/>
  <c r="K39" i="13"/>
  <c r="J39" i="13"/>
  <c r="Z38" i="13"/>
  <c r="AT38" i="13" s="1"/>
  <c r="AU38" i="13" s="1"/>
  <c r="Q38" i="13"/>
  <c r="P38" i="13"/>
  <c r="O38" i="13"/>
  <c r="N38" i="13"/>
  <c r="M38" i="13"/>
  <c r="Y38" i="13" s="1"/>
  <c r="L38" i="13"/>
  <c r="K38" i="13"/>
  <c r="J38" i="13"/>
  <c r="Z37" i="13"/>
  <c r="AT37" i="13" s="1"/>
  <c r="O37" i="13"/>
  <c r="Y37" i="13" s="1"/>
  <c r="N37" i="13"/>
  <c r="M37" i="13"/>
  <c r="L37" i="13"/>
  <c r="K37" i="13"/>
  <c r="J37" i="13"/>
  <c r="Z36" i="13"/>
  <c r="AT36" i="13" s="1"/>
  <c r="AU36" i="13" s="1"/>
  <c r="Q36" i="13"/>
  <c r="P36" i="13"/>
  <c r="Y36" i="13" s="1"/>
  <c r="O36" i="13"/>
  <c r="M36" i="13"/>
  <c r="L36" i="13"/>
  <c r="K36" i="13"/>
  <c r="J36" i="13"/>
  <c r="Z35" i="13"/>
  <c r="AT35" i="13" s="1"/>
  <c r="AU35" i="13" s="1"/>
  <c r="O35" i="13"/>
  <c r="N35" i="13"/>
  <c r="M35" i="13"/>
  <c r="Y35" i="13" s="1"/>
  <c r="L35" i="13"/>
  <c r="K35" i="13"/>
  <c r="J35" i="13"/>
  <c r="AT34" i="13"/>
  <c r="Z34" i="13"/>
  <c r="Q34" i="13"/>
  <c r="P34" i="13"/>
  <c r="M34" i="13"/>
  <c r="L34" i="13"/>
  <c r="K34" i="13"/>
  <c r="J34" i="13"/>
  <c r="Z33" i="13"/>
  <c r="AT33" i="13" s="1"/>
  <c r="Y33" i="13"/>
  <c r="Q33" i="13"/>
  <c r="O33" i="13"/>
  <c r="N33" i="13"/>
  <c r="M33" i="13"/>
  <c r="L33" i="13"/>
  <c r="K33" i="13"/>
  <c r="J33" i="13"/>
  <c r="Z32" i="13"/>
  <c r="AT32" i="13" s="1"/>
  <c r="AU32" i="13" s="1"/>
  <c r="Y32" i="13"/>
  <c r="P32" i="13"/>
  <c r="O32" i="13"/>
  <c r="M32" i="13"/>
  <c r="L32" i="13"/>
  <c r="K32" i="13"/>
  <c r="J32" i="13"/>
  <c r="AT31" i="13"/>
  <c r="Z31" i="13"/>
  <c r="Q31" i="13"/>
  <c r="P31" i="13"/>
  <c r="N31" i="13"/>
  <c r="M31" i="13"/>
  <c r="Y31" i="13" s="1"/>
  <c r="L31" i="13"/>
  <c r="K31" i="13"/>
  <c r="J31" i="13"/>
  <c r="Z30" i="13"/>
  <c r="AT30" i="13" s="1"/>
  <c r="Y30" i="13"/>
  <c r="O30" i="13"/>
  <c r="N30" i="13"/>
  <c r="M30" i="13"/>
  <c r="L30" i="13"/>
  <c r="K30" i="13"/>
  <c r="J30" i="13"/>
  <c r="AT29" i="13"/>
  <c r="AU29" i="13" s="1"/>
  <c r="Z29" i="13"/>
  <c r="Q29" i="13"/>
  <c r="P29" i="13"/>
  <c r="N29" i="13"/>
  <c r="M29" i="13"/>
  <c r="Y29" i="13" s="1"/>
  <c r="L29" i="13"/>
  <c r="K29" i="13"/>
  <c r="J29" i="13"/>
  <c r="AT28" i="13"/>
  <c r="AU28" i="13" s="1"/>
  <c r="Z28" i="13"/>
  <c r="O28" i="13"/>
  <c r="M28" i="13"/>
  <c r="Y28" i="13" s="1"/>
  <c r="L28" i="13"/>
  <c r="K28" i="13"/>
  <c r="J28" i="13"/>
  <c r="AT27" i="13"/>
  <c r="Z27" i="13"/>
  <c r="Q27" i="13"/>
  <c r="P27" i="13"/>
  <c r="Y27" i="13" s="1"/>
  <c r="AU27" i="13" s="1"/>
  <c r="M27" i="13"/>
  <c r="L27" i="13"/>
  <c r="K27" i="13"/>
  <c r="J27" i="13"/>
  <c r="Z26" i="13"/>
  <c r="AT26" i="13" s="1"/>
  <c r="Y26" i="13"/>
  <c r="O26" i="13"/>
  <c r="L26" i="13"/>
  <c r="K26" i="13"/>
  <c r="J26" i="13"/>
  <c r="AD25" i="13"/>
  <c r="Z25" i="13"/>
  <c r="Q25" i="13"/>
  <c r="Y25" i="13" s="1"/>
  <c r="L25" i="13"/>
  <c r="K25" i="13"/>
  <c r="J25" i="13"/>
  <c r="AD24" i="13"/>
  <c r="Z24" i="13"/>
  <c r="Q24" i="13"/>
  <c r="Y24" i="13" s="1"/>
  <c r="P24" i="13"/>
  <c r="L24" i="13"/>
  <c r="K24" i="13"/>
  <c r="J24" i="13"/>
  <c r="Z23" i="13"/>
  <c r="AT23" i="13" s="1"/>
  <c r="AU23" i="13" s="1"/>
  <c r="Y23" i="13"/>
  <c r="L23" i="13"/>
  <c r="K23" i="13"/>
  <c r="Z22" i="13"/>
  <c r="Q22" i="13"/>
  <c r="P22" i="13"/>
  <c r="Y22" i="13" s="1"/>
  <c r="L22" i="13"/>
  <c r="K22" i="13"/>
  <c r="J22" i="13"/>
  <c r="AT21" i="13"/>
  <c r="AU21" i="13" s="1"/>
  <c r="AD21" i="13"/>
  <c r="Z21" i="13"/>
  <c r="Y21" i="13"/>
  <c r="L21" i="13"/>
  <c r="K21" i="13"/>
  <c r="J21" i="13"/>
  <c r="AT20" i="13"/>
  <c r="AU20" i="13" s="1"/>
  <c r="Z20" i="13"/>
  <c r="Q20" i="13"/>
  <c r="Y20" i="13" s="1"/>
  <c r="P20" i="13"/>
  <c r="L20" i="13"/>
  <c r="K20" i="13"/>
  <c r="J20" i="13"/>
  <c r="Z19" i="13"/>
  <c r="AT19" i="13" s="1"/>
  <c r="AU19" i="13" s="1"/>
  <c r="Y19" i="13"/>
  <c r="L19" i="13"/>
  <c r="K19" i="13"/>
  <c r="J19" i="13"/>
  <c r="AU18" i="13"/>
  <c r="AT18" i="13"/>
  <c r="Z18" i="13"/>
  <c r="Q18" i="13"/>
  <c r="Y18" i="13" s="1"/>
  <c r="P18" i="13"/>
  <c r="O18" i="13"/>
  <c r="L18" i="13"/>
  <c r="K18" i="13"/>
  <c r="J18" i="13"/>
  <c r="Z17" i="13"/>
  <c r="AT17" i="13" s="1"/>
  <c r="AU17" i="13" s="1"/>
  <c r="Y17" i="13"/>
  <c r="P17" i="13"/>
  <c r="L17" i="13"/>
  <c r="K17" i="13"/>
  <c r="J17" i="13"/>
  <c r="AH16" i="13"/>
  <c r="AT16" i="13" s="1"/>
  <c r="AD16" i="13"/>
  <c r="Z16" i="13"/>
  <c r="Q16" i="13"/>
  <c r="L16" i="13"/>
  <c r="K16" i="13"/>
  <c r="J16" i="13"/>
  <c r="AU53" i="13" l="1"/>
  <c r="AT22" i="13"/>
  <c r="AU22" i="13" s="1"/>
  <c r="AU39" i="13"/>
  <c r="AU54" i="13"/>
  <c r="AU68" i="13"/>
  <c r="AU97" i="13"/>
  <c r="AU120" i="13"/>
  <c r="Y16" i="13"/>
  <c r="AU26" i="13"/>
  <c r="AU42" i="13"/>
  <c r="AU45" i="13"/>
  <c r="AU50" i="13"/>
  <c r="AU81" i="13"/>
  <c r="AU82" i="13"/>
  <c r="AU84" i="13"/>
  <c r="AU106" i="13"/>
  <c r="AU113" i="13"/>
  <c r="AT25" i="13"/>
  <c r="AU25" i="13" s="1"/>
  <c r="AU30" i="13"/>
  <c r="Y34" i="13"/>
  <c r="AU34" i="13" s="1"/>
  <c r="AU76" i="13"/>
  <c r="AU78" i="13"/>
  <c r="AU79" i="13"/>
  <c r="AU87" i="13"/>
  <c r="AU128" i="13"/>
  <c r="AU31" i="13"/>
  <c r="AU46" i="13"/>
  <c r="Y76" i="13"/>
  <c r="AU80" i="13"/>
  <c r="AU47" i="13"/>
  <c r="AU105" i="13"/>
  <c r="AU136" i="13"/>
  <c r="AT24" i="13"/>
  <c r="AU24" i="13" s="1"/>
  <c r="AU33" i="13"/>
  <c r="AU37" i="13"/>
  <c r="Y40" i="13"/>
  <c r="AU40" i="13" s="1"/>
  <c r="Y46" i="13"/>
  <c r="AU56" i="13"/>
  <c r="AU70" i="13"/>
  <c r="AU72" i="13"/>
  <c r="AU73" i="13"/>
  <c r="AU102" i="13"/>
  <c r="E13" i="13" l="1"/>
  <c r="AU16" i="13"/>
  <c r="BA104" i="12" l="1"/>
  <c r="AZ104" i="12"/>
  <c r="AY104" i="12"/>
  <c r="AX104" i="12"/>
  <c r="AT104" i="12"/>
  <c r="AP104" i="12"/>
  <c r="AL104" i="12"/>
  <c r="AH104" i="12"/>
  <c r="AD104" i="12"/>
  <c r="Z104" i="12"/>
  <c r="X104" i="12"/>
  <c r="W104" i="12"/>
  <c r="V104" i="12"/>
  <c r="U104" i="12"/>
  <c r="T104" i="12"/>
  <c r="S104" i="12"/>
  <c r="R104" i="12"/>
  <c r="Q104" i="12"/>
  <c r="P104" i="12"/>
  <c r="O104" i="12"/>
  <c r="N104" i="12"/>
  <c r="M104" i="12"/>
  <c r="L104" i="12"/>
  <c r="K104" i="12"/>
  <c r="BB103" i="12"/>
  <c r="Y103" i="12"/>
  <c r="BB102" i="12"/>
  <c r="Y102" i="12"/>
  <c r="BB101" i="12"/>
  <c r="Y101" i="12"/>
  <c r="BB100" i="12"/>
  <c r="Y100" i="12"/>
  <c r="BB99" i="12"/>
  <c r="Y99" i="12"/>
  <c r="BB98" i="12"/>
  <c r="Y98" i="12"/>
  <c r="BB97" i="12"/>
  <c r="Y97" i="12"/>
  <c r="BB96" i="12"/>
  <c r="Y96" i="12"/>
  <c r="BB95" i="12"/>
  <c r="Y95" i="12"/>
  <c r="BB94" i="12"/>
  <c r="Y94" i="12"/>
  <c r="BB93" i="12"/>
  <c r="Y93" i="12"/>
  <c r="BB92" i="12"/>
  <c r="BC92" i="12" s="1"/>
  <c r="Y92" i="12"/>
  <c r="BB91" i="12"/>
  <c r="BC91" i="12" s="1"/>
  <c r="Y91" i="12"/>
  <c r="BB90" i="12"/>
  <c r="BC90" i="12" s="1"/>
  <c r="Y90" i="12"/>
  <c r="BB89" i="12"/>
  <c r="Y89" i="12"/>
  <c r="BB88" i="12"/>
  <c r="BC88" i="12" s="1"/>
  <c r="Y88" i="12"/>
  <c r="BB87" i="12"/>
  <c r="Y87" i="12"/>
  <c r="BC87" i="12" s="1"/>
  <c r="BB86" i="12"/>
  <c r="BC86" i="12" s="1"/>
  <c r="Y86" i="12"/>
  <c r="BB85" i="12"/>
  <c r="Y85" i="12"/>
  <c r="BB84" i="12"/>
  <c r="BC84" i="12" s="1"/>
  <c r="Y84" i="12"/>
  <c r="BB83" i="12"/>
  <c r="BC83" i="12" s="1"/>
  <c r="Y83" i="12"/>
  <c r="BB82" i="12"/>
  <c r="Y82" i="12"/>
  <c r="BB81" i="12"/>
  <c r="BC81" i="12" s="1"/>
  <c r="Y81" i="12"/>
  <c r="BB80" i="12"/>
  <c r="Y80" i="12"/>
  <c r="BB79" i="12"/>
  <c r="Y79" i="12"/>
  <c r="BC79" i="12" s="1"/>
  <c r="BB78" i="12"/>
  <c r="Y78" i="12"/>
  <c r="BB77" i="12"/>
  <c r="BC77" i="12" s="1"/>
  <c r="Y77" i="12"/>
  <c r="BB76" i="12"/>
  <c r="Y76" i="12"/>
  <c r="BB75" i="12"/>
  <c r="BC75" i="12" s="1"/>
  <c r="Y75" i="12"/>
  <c r="BB74" i="12"/>
  <c r="Y74" i="12"/>
  <c r="BB73" i="12"/>
  <c r="BC73" i="12" s="1"/>
  <c r="Y73" i="12"/>
  <c r="BB72" i="12"/>
  <c r="Y72" i="12"/>
  <c r="BB71" i="12"/>
  <c r="Y71" i="12"/>
  <c r="BB70" i="12"/>
  <c r="Y70" i="12"/>
  <c r="BB69" i="12"/>
  <c r="BC69" i="12" s="1"/>
  <c r="Y69" i="12"/>
  <c r="BB68" i="12"/>
  <c r="Y68" i="12"/>
  <c r="BC67" i="12"/>
  <c r="BB67" i="12"/>
  <c r="Y67" i="12"/>
  <c r="BB66" i="12"/>
  <c r="BC66" i="12" s="1"/>
  <c r="Y66" i="12"/>
  <c r="BB65" i="12"/>
  <c r="Y65" i="12"/>
  <c r="BB64" i="12"/>
  <c r="Y64" i="12"/>
  <c r="BB63" i="12"/>
  <c r="Y63" i="12"/>
  <c r="BC63" i="12" s="1"/>
  <c r="BB62" i="12"/>
  <c r="BC62" i="12" s="1"/>
  <c r="Y62" i="12"/>
  <c r="BB61" i="12"/>
  <c r="Y61" i="12"/>
  <c r="BB60" i="12"/>
  <c r="Y60" i="12"/>
  <c r="BB59" i="12"/>
  <c r="BC59" i="12" s="1"/>
  <c r="Y59" i="12"/>
  <c r="BB58" i="12"/>
  <c r="Y58" i="12"/>
  <c r="BB57" i="12"/>
  <c r="Y57" i="12"/>
  <c r="BB56" i="12"/>
  <c r="BC56" i="12" s="1"/>
  <c r="Y56" i="12"/>
  <c r="BB55" i="12"/>
  <c r="Y55" i="12"/>
  <c r="BC55" i="12" s="1"/>
  <c r="BB54" i="12"/>
  <c r="Y54" i="12"/>
  <c r="BB53" i="12"/>
  <c r="Y53" i="12"/>
  <c r="BB52" i="12"/>
  <c r="BC52" i="12" s="1"/>
  <c r="Y52" i="12"/>
  <c r="BB51" i="12"/>
  <c r="BC51" i="12" s="1"/>
  <c r="Y51" i="12"/>
  <c r="BB50" i="12"/>
  <c r="Y50" i="12"/>
  <c r="BB49" i="12"/>
  <c r="Y49" i="12"/>
  <c r="BB48" i="12"/>
  <c r="Y48" i="12"/>
  <c r="BB47" i="12"/>
  <c r="Y47" i="12"/>
  <c r="BB46" i="12"/>
  <c r="Y46" i="12"/>
  <c r="BB45" i="12"/>
  <c r="Y45" i="12"/>
  <c r="BC45" i="12" s="1"/>
  <c r="BB44" i="12"/>
  <c r="Y44" i="12"/>
  <c r="BC43" i="12"/>
  <c r="BB43" i="12"/>
  <c r="Y43" i="12"/>
  <c r="BB42" i="12"/>
  <c r="Y42" i="12"/>
  <c r="BB41" i="12"/>
  <c r="BC41" i="12" s="1"/>
  <c r="Y41" i="12"/>
  <c r="BB40" i="12"/>
  <c r="Y40" i="12"/>
  <c r="BB39" i="12"/>
  <c r="Y39" i="12"/>
  <c r="BB38" i="12"/>
  <c r="Y38" i="12"/>
  <c r="BB37" i="12"/>
  <c r="Y37" i="12"/>
  <c r="BB36" i="12"/>
  <c r="Y36" i="12"/>
  <c r="BB35" i="12"/>
  <c r="BC35" i="12" s="1"/>
  <c r="Y35" i="12"/>
  <c r="BB34" i="12"/>
  <c r="Y34" i="12"/>
  <c r="BB33" i="12"/>
  <c r="Y33" i="12"/>
  <c r="BB32" i="12"/>
  <c r="BC32" i="12" s="1"/>
  <c r="Y32" i="12"/>
  <c r="BB31" i="12"/>
  <c r="Y31" i="12"/>
  <c r="BC31" i="12" s="1"/>
  <c r="BB30" i="12"/>
  <c r="Y30" i="12"/>
  <c r="BB29" i="12"/>
  <c r="Y29" i="12"/>
  <c r="BC29" i="12" s="1"/>
  <c r="BB28" i="12"/>
  <c r="BC28" i="12" s="1"/>
  <c r="Y28" i="12"/>
  <c r="BB27" i="12"/>
  <c r="BC27" i="12" s="1"/>
  <c r="Y27" i="12"/>
  <c r="BB26" i="12"/>
  <c r="BC26" i="12" s="1"/>
  <c r="Y26" i="12"/>
  <c r="BB25" i="12"/>
  <c r="Y25" i="12"/>
  <c r="BB24" i="12"/>
  <c r="BC24" i="12" s="1"/>
  <c r="Y24" i="12"/>
  <c r="BB23" i="12"/>
  <c r="Y23" i="12"/>
  <c r="BC23" i="12" s="1"/>
  <c r="BB22" i="12"/>
  <c r="BC22" i="12" s="1"/>
  <c r="Y22" i="12"/>
  <c r="BB21" i="12"/>
  <c r="Y21" i="12"/>
  <c r="BC21" i="12" s="1"/>
  <c r="BB20" i="12"/>
  <c r="BC20" i="12" s="1"/>
  <c r="Y20" i="12"/>
  <c r="BB19" i="12"/>
  <c r="BC19" i="12" s="1"/>
  <c r="Y19" i="12"/>
  <c r="BB18" i="12"/>
  <c r="Y18" i="12"/>
  <c r="BB17" i="12"/>
  <c r="BC17" i="12" s="1"/>
  <c r="Y17" i="12"/>
  <c r="BB16" i="12"/>
  <c r="Y16" i="12"/>
  <c r="Y104" i="12" s="1"/>
  <c r="AP84" i="11"/>
  <c r="AL84" i="11"/>
  <c r="AH84" i="11"/>
  <c r="AD84" i="11"/>
  <c r="Z84" i="11"/>
  <c r="X84" i="11"/>
  <c r="W84" i="11"/>
  <c r="V84" i="11"/>
  <c r="U84" i="11"/>
  <c r="T84" i="11"/>
  <c r="S84" i="11"/>
  <c r="L84" i="11"/>
  <c r="K84" i="11"/>
  <c r="J84" i="11"/>
  <c r="AT81" i="11"/>
  <c r="AU81" i="11" s="1"/>
  <c r="Y81" i="11"/>
  <c r="AT80" i="11"/>
  <c r="Y80" i="11"/>
  <c r="AU80" i="11" s="1"/>
  <c r="AT79" i="11"/>
  <c r="AU79" i="11" s="1"/>
  <c r="Y79" i="11"/>
  <c r="AT78" i="11"/>
  <c r="AU78" i="11" s="1"/>
  <c r="Y78" i="11"/>
  <c r="AT77" i="11"/>
  <c r="Y77" i="11"/>
  <c r="AT76" i="11"/>
  <c r="Y76" i="11"/>
  <c r="AU75" i="11"/>
  <c r="AT75" i="11"/>
  <c r="Y75" i="11"/>
  <c r="AT74" i="11"/>
  <c r="R74" i="11"/>
  <c r="Q74" i="11"/>
  <c r="P74" i="11"/>
  <c r="AT73" i="11"/>
  <c r="Y73" i="11"/>
  <c r="AT72" i="11"/>
  <c r="R72" i="11"/>
  <c r="O72" i="11"/>
  <c r="AT71" i="11"/>
  <c r="N71" i="11"/>
  <c r="M71" i="11"/>
  <c r="Y71" i="11" s="1"/>
  <c r="AU71" i="11" s="1"/>
  <c r="AT70" i="11"/>
  <c r="AU70" i="11" s="1"/>
  <c r="Y70" i="11"/>
  <c r="AT69" i="11"/>
  <c r="Y69" i="11"/>
  <c r="AU69" i="11" s="1"/>
  <c r="AT68" i="11"/>
  <c r="AU68" i="11" s="1"/>
  <c r="Y68" i="11"/>
  <c r="AT67" i="11"/>
  <c r="R67" i="11"/>
  <c r="O67" i="11"/>
  <c r="N67" i="11"/>
  <c r="M67" i="11"/>
  <c r="AT66" i="11"/>
  <c r="Y66" i="11"/>
  <c r="AT65" i="11"/>
  <c r="P65" i="11"/>
  <c r="Y65" i="11" s="1"/>
  <c r="AU65" i="11" s="1"/>
  <c r="AT64" i="11"/>
  <c r="Y64" i="11"/>
  <c r="AT63" i="11"/>
  <c r="R63" i="11"/>
  <c r="Q63" i="11"/>
  <c r="P63" i="11"/>
  <c r="Y63" i="11" s="1"/>
  <c r="AT62" i="11"/>
  <c r="Y62" i="11"/>
  <c r="AT61" i="11"/>
  <c r="Q61" i="11"/>
  <c r="Y61" i="11" s="1"/>
  <c r="AU61" i="11" s="1"/>
  <c r="AT60" i="11"/>
  <c r="AU60" i="11" s="1"/>
  <c r="Y60" i="11"/>
  <c r="AT59" i="11"/>
  <c r="P59" i="11"/>
  <c r="O59" i="11"/>
  <c r="AT58" i="11"/>
  <c r="R58" i="11"/>
  <c r="Y58" i="11" s="1"/>
  <c r="Q58" i="11"/>
  <c r="P58" i="11"/>
  <c r="O58" i="11"/>
  <c r="M58" i="11"/>
  <c r="AT57" i="11"/>
  <c r="N57" i="11"/>
  <c r="Y57" i="11" s="1"/>
  <c r="AT56" i="11"/>
  <c r="Q56" i="11"/>
  <c r="M56" i="11"/>
  <c r="AT55" i="11"/>
  <c r="R55" i="11"/>
  <c r="Q55" i="11"/>
  <c r="P55" i="11"/>
  <c r="O55" i="11"/>
  <c r="N55" i="11"/>
  <c r="Y55" i="11" s="1"/>
  <c r="AT54" i="11"/>
  <c r="AU54" i="11" s="1"/>
  <c r="Y54" i="11"/>
  <c r="AT53" i="11"/>
  <c r="Y53" i="11"/>
  <c r="AU53" i="11" s="1"/>
  <c r="AT52" i="11"/>
  <c r="R52" i="11"/>
  <c r="Q52" i="11"/>
  <c r="P52" i="11"/>
  <c r="P84" i="11" s="1"/>
  <c r="O52" i="11"/>
  <c r="N52" i="11"/>
  <c r="AT51" i="11"/>
  <c r="Y51" i="11"/>
  <c r="AT50" i="11"/>
  <c r="Q50" i="11"/>
  <c r="Y50" i="11" s="1"/>
  <c r="AT49" i="11"/>
  <c r="AU49" i="11" s="1"/>
  <c r="Y49" i="11"/>
  <c r="AT48" i="11"/>
  <c r="Y48" i="11"/>
  <c r="AT47" i="11"/>
  <c r="Y47" i="11"/>
  <c r="AU47" i="11" s="1"/>
  <c r="AT46" i="11"/>
  <c r="O46" i="11"/>
  <c r="Y46" i="11" s="1"/>
  <c r="N46" i="11"/>
  <c r="AT45" i="11"/>
  <c r="Y45" i="11"/>
  <c r="AU45" i="11" s="1"/>
  <c r="AT44" i="11"/>
  <c r="N44" i="11"/>
  <c r="M44" i="11"/>
  <c r="AT43" i="11"/>
  <c r="Q43" i="11"/>
  <c r="Y43" i="11" s="1"/>
  <c r="AU43" i="11" s="1"/>
  <c r="AT42" i="11"/>
  <c r="AU42" i="11" s="1"/>
  <c r="Y42" i="11"/>
  <c r="AT41" i="11"/>
  <c r="R41" i="11"/>
  <c r="Q41" i="11"/>
  <c r="O41" i="11"/>
  <c r="AT40" i="11"/>
  <c r="Y40" i="11"/>
  <c r="Q40" i="11"/>
  <c r="AT39" i="11"/>
  <c r="Y39" i="11"/>
  <c r="AT38" i="11"/>
  <c r="AU38" i="11" s="1"/>
  <c r="Y38" i="11"/>
  <c r="AT37" i="11"/>
  <c r="AU37" i="11" s="1"/>
  <c r="Y37" i="11"/>
  <c r="AT36" i="11"/>
  <c r="AU36" i="11" s="1"/>
  <c r="Y36" i="11"/>
  <c r="AT35" i="11"/>
  <c r="Y35" i="11"/>
  <c r="AT34" i="11"/>
  <c r="Y34" i="11"/>
  <c r="AU34" i="11" s="1"/>
  <c r="AT33" i="11"/>
  <c r="Y33" i="11"/>
  <c r="AU32" i="11"/>
  <c r="AT32" i="11"/>
  <c r="Y32" i="11"/>
  <c r="AT31" i="11"/>
  <c r="R31" i="11"/>
  <c r="M31" i="11"/>
  <c r="Y31" i="11" s="1"/>
  <c r="AT30" i="11"/>
  <c r="AU30" i="11" s="1"/>
  <c r="Y30" i="11"/>
  <c r="AT29" i="11"/>
  <c r="Y29" i="11"/>
  <c r="AT28" i="11"/>
  <c r="R28" i="11"/>
  <c r="Y28" i="11" s="1"/>
  <c r="AT27" i="11"/>
  <c r="Y27" i="11"/>
  <c r="AU27" i="11" s="1"/>
  <c r="AT26" i="11"/>
  <c r="Q26" i="11"/>
  <c r="P26" i="11"/>
  <c r="N26" i="11"/>
  <c r="M26" i="11"/>
  <c r="AT25" i="11"/>
  <c r="Y25" i="11"/>
  <c r="AT24" i="11"/>
  <c r="AU24" i="11" s="1"/>
  <c r="Y24" i="11"/>
  <c r="AT23" i="11"/>
  <c r="P23" i="11"/>
  <c r="Y23" i="11" s="1"/>
  <c r="AU23" i="11" s="1"/>
  <c r="AT22" i="11"/>
  <c r="AU22" i="11" s="1"/>
  <c r="Y22" i="11"/>
  <c r="AT21" i="11"/>
  <c r="AU21" i="11" s="1"/>
  <c r="Y21" i="11"/>
  <c r="AT20" i="11"/>
  <c r="AU20" i="11" s="1"/>
  <c r="Y20" i="11"/>
  <c r="AT19" i="11"/>
  <c r="Y19" i="11"/>
  <c r="AT18" i="11"/>
  <c r="Y18" i="11"/>
  <c r="AU18" i="11" s="1"/>
  <c r="AT17" i="11"/>
  <c r="Y17" i="11"/>
  <c r="AU16" i="11"/>
  <c r="AT16" i="11"/>
  <c r="Y16" i="11"/>
  <c r="BC34" i="12" l="1"/>
  <c r="BC49" i="12"/>
  <c r="BC60" i="12"/>
  <c r="BC42" i="12"/>
  <c r="BC57" i="12"/>
  <c r="BC72" i="12"/>
  <c r="BC16" i="12"/>
  <c r="BC39" i="12"/>
  <c r="BC46" i="12"/>
  <c r="BC50" i="12"/>
  <c r="BC61" i="12"/>
  <c r="BC65" i="12"/>
  <c r="BC76" i="12"/>
  <c r="BC80" i="12"/>
  <c r="BC103" i="12"/>
  <c r="BC30" i="12"/>
  <c r="BC64" i="12"/>
  <c r="BC38" i="12"/>
  <c r="BC53" i="12"/>
  <c r="BC68" i="12"/>
  <c r="BC47" i="12"/>
  <c r="BC54" i="12"/>
  <c r="BC58" i="12"/>
  <c r="BC25" i="12"/>
  <c r="BB104" i="12"/>
  <c r="BC36" i="12"/>
  <c r="BC40" i="12"/>
  <c r="BC70" i="12"/>
  <c r="BC74" i="12"/>
  <c r="BC85" i="12"/>
  <c r="BC89" i="12"/>
  <c r="BC18" i="12"/>
  <c r="BC33" i="12"/>
  <c r="BC37" i="12"/>
  <c r="BC44" i="12"/>
  <c r="BC48" i="12"/>
  <c r="BC71" i="12"/>
  <c r="BC78" i="12"/>
  <c r="BC82" i="12"/>
  <c r="BC93" i="12"/>
  <c r="E13" i="12"/>
  <c r="AU50" i="11"/>
  <c r="AU76" i="11"/>
  <c r="O84" i="11"/>
  <c r="Y52" i="11"/>
  <c r="AU52" i="11" s="1"/>
  <c r="AU58" i="11"/>
  <c r="Y74" i="11"/>
  <c r="AU74" i="11" s="1"/>
  <c r="M84" i="11"/>
  <c r="R84" i="11"/>
  <c r="Y44" i="11"/>
  <c r="AU57" i="11"/>
  <c r="Y59" i="11"/>
  <c r="AU59" i="11" s="1"/>
  <c r="AU62" i="11"/>
  <c r="AU77" i="11"/>
  <c r="AU40" i="11"/>
  <c r="AU25" i="11"/>
  <c r="AU28" i="11"/>
  <c r="AU63" i="11"/>
  <c r="AU19" i="11"/>
  <c r="AU35" i="11"/>
  <c r="AU48" i="11"/>
  <c r="AU51" i="11"/>
  <c r="AU55" i="11"/>
  <c r="AU66" i="11"/>
  <c r="Y72" i="11"/>
  <c r="AU64" i="11"/>
  <c r="N84" i="11"/>
  <c r="AU31" i="11"/>
  <c r="AU44" i="11"/>
  <c r="AT84" i="11"/>
  <c r="AT86" i="11" s="1"/>
  <c r="Q84" i="11"/>
  <c r="AU29" i="11"/>
  <c r="AU39" i="11"/>
  <c r="Y56" i="11"/>
  <c r="AU56" i="11" s="1"/>
  <c r="Y67" i="11"/>
  <c r="AU67" i="11" s="1"/>
  <c r="AU17" i="11"/>
  <c r="AU33" i="11"/>
  <c r="AU73" i="11"/>
  <c r="AU72" i="11"/>
  <c r="AU46" i="11"/>
  <c r="Y41" i="11"/>
  <c r="AU41" i="11" s="1"/>
  <c r="Y26" i="11"/>
  <c r="AU26" i="11" s="1"/>
  <c r="BC104" i="12" l="1"/>
  <c r="AU84" i="11"/>
  <c r="Y84" i="11"/>
  <c r="E13" i="11" s="1"/>
  <c r="BK86" i="10" l="1"/>
  <c r="BJ86" i="10"/>
  <c r="BF86" i="10"/>
  <c r="BB86" i="10"/>
  <c r="AX86" i="10"/>
  <c r="AT86" i="10"/>
  <c r="AP86" i="10"/>
  <c r="AL86" i="10"/>
  <c r="AH86" i="10"/>
  <c r="AD86" i="10"/>
  <c r="Z86" i="10"/>
  <c r="BJ17" i="10"/>
  <c r="BJ18" i="10"/>
  <c r="BJ19" i="10"/>
  <c r="BJ20" i="10"/>
  <c r="BJ21" i="10"/>
  <c r="BJ22" i="10"/>
  <c r="BJ23" i="10"/>
  <c r="BJ24" i="10"/>
  <c r="BJ25" i="10"/>
  <c r="BJ26" i="10"/>
  <c r="BJ27" i="10"/>
  <c r="BJ28" i="10"/>
  <c r="BJ29" i="10"/>
  <c r="BJ30" i="10"/>
  <c r="BJ31" i="10"/>
  <c r="BJ32" i="10"/>
  <c r="BJ33" i="10"/>
  <c r="BJ34" i="10"/>
  <c r="BJ35" i="10"/>
  <c r="BJ36" i="10"/>
  <c r="BJ37" i="10"/>
  <c r="BJ38" i="10"/>
  <c r="BJ39" i="10"/>
  <c r="BJ40" i="10"/>
  <c r="BJ41" i="10"/>
  <c r="BJ42" i="10"/>
  <c r="BJ43" i="10"/>
  <c r="BJ44" i="10"/>
  <c r="BJ45" i="10"/>
  <c r="BJ46" i="10"/>
  <c r="BJ47" i="10"/>
  <c r="BJ48" i="10"/>
  <c r="BJ49" i="10"/>
  <c r="BJ50" i="10"/>
  <c r="BJ51" i="10"/>
  <c r="BJ52" i="10"/>
  <c r="BJ53" i="10"/>
  <c r="BJ54" i="10"/>
  <c r="BJ55" i="10"/>
  <c r="BJ56" i="10"/>
  <c r="BJ57" i="10"/>
  <c r="BJ58" i="10"/>
  <c r="BJ59" i="10"/>
  <c r="BJ60" i="10"/>
  <c r="BJ61" i="10"/>
  <c r="BJ62" i="10"/>
  <c r="BJ63" i="10"/>
  <c r="BJ64" i="10"/>
  <c r="BJ65" i="10"/>
  <c r="BJ66" i="10"/>
  <c r="BJ67" i="10"/>
  <c r="BJ68" i="10"/>
  <c r="BJ69" i="10"/>
  <c r="BJ70" i="10"/>
  <c r="BJ71" i="10"/>
  <c r="BJ72" i="10"/>
  <c r="BJ73" i="10"/>
  <c r="BJ74" i="10"/>
  <c r="BJ75" i="10"/>
  <c r="BJ76" i="10"/>
  <c r="BJ77" i="10"/>
  <c r="BJ78" i="10"/>
  <c r="BJ79" i="10"/>
  <c r="BJ80" i="10"/>
  <c r="BJ81" i="10"/>
  <c r="BJ82" i="10"/>
  <c r="BJ16" i="10"/>
  <c r="K86" i="10"/>
  <c r="L86" i="10"/>
  <c r="M86" i="10"/>
  <c r="N86" i="10"/>
  <c r="O86" i="10"/>
  <c r="P86" i="10"/>
  <c r="Q86" i="10"/>
  <c r="R86" i="10"/>
  <c r="S86" i="10"/>
  <c r="T86" i="10"/>
  <c r="U86" i="10"/>
  <c r="V86" i="10"/>
  <c r="W86" i="10"/>
  <c r="X86" i="10"/>
  <c r="Y86" i="10"/>
  <c r="BJ83" i="10" l="1"/>
  <c r="BJ84" i="10"/>
  <c r="BJ85" i="10"/>
  <c r="Y84" i="10"/>
  <c r="Y83" i="10"/>
  <c r="Y82" i="10"/>
  <c r="Y81" i="10"/>
  <c r="Y71" i="10"/>
  <c r="Y72" i="10"/>
  <c r="Y73" i="10"/>
  <c r="Y74" i="10"/>
  <c r="Y75" i="10"/>
  <c r="Y76" i="10"/>
  <c r="Y77" i="10"/>
  <c r="Y28" i="10"/>
  <c r="BK84" i="10" l="1"/>
  <c r="BK82" i="10"/>
  <c r="BK77" i="10"/>
  <c r="BK75" i="10"/>
  <c r="BK73" i="10"/>
  <c r="BK83" i="10"/>
  <c r="BK81" i="10"/>
  <c r="BK71" i="10"/>
  <c r="BK74" i="10"/>
  <c r="BK72" i="10"/>
  <c r="Y85" i="10"/>
  <c r="BK85" i="10" s="1"/>
  <c r="Y80" i="10"/>
  <c r="Y79" i="10"/>
  <c r="Y78" i="10"/>
  <c r="Y70" i="10"/>
  <c r="BK70" i="10" s="1"/>
  <c r="Y69" i="10"/>
  <c r="Y68" i="10"/>
  <c r="Y67" i="10"/>
  <c r="Y66" i="10"/>
  <c r="Y65" i="10"/>
  <c r="Y64" i="10"/>
  <c r="Y63" i="10"/>
  <c r="Y62" i="10"/>
  <c r="Y61" i="10"/>
  <c r="Y60" i="10"/>
  <c r="Y59" i="10"/>
  <c r="Y58" i="10"/>
  <c r="Y57" i="10"/>
  <c r="Y56" i="10"/>
  <c r="Y55" i="10"/>
  <c r="Y54" i="10"/>
  <c r="Y53" i="10"/>
  <c r="Y52" i="10"/>
  <c r="Y51" i="10"/>
  <c r="Y50" i="10"/>
  <c r="Y49" i="10"/>
  <c r="Y48" i="10"/>
  <c r="Y47" i="10"/>
  <c r="Y46" i="10"/>
  <c r="Y45" i="10"/>
  <c r="Y44" i="10"/>
  <c r="Y43" i="10"/>
  <c r="Y42" i="10"/>
  <c r="Y41" i="10"/>
  <c r="Y40" i="10"/>
  <c r="Y39" i="10"/>
  <c r="Y38" i="10"/>
  <c r="Y37" i="10"/>
  <c r="Y36" i="10"/>
  <c r="Y35" i="10"/>
  <c r="Y34" i="10"/>
  <c r="Y33" i="10"/>
  <c r="Y32" i="10"/>
  <c r="Y31" i="10"/>
  <c r="Y30" i="10"/>
  <c r="Y29" i="10"/>
  <c r="Y27" i="10"/>
  <c r="Y26" i="10"/>
  <c r="Y25" i="10"/>
  <c r="Y24" i="10"/>
  <c r="BK24" i="10" s="1"/>
  <c r="Y23" i="10"/>
  <c r="BK23" i="10" s="1"/>
  <c r="Y22" i="10"/>
  <c r="BK22" i="10" s="1"/>
  <c r="Y21" i="10"/>
  <c r="Y20" i="10"/>
  <c r="Y19" i="10"/>
  <c r="Y18" i="10"/>
  <c r="Y17" i="10"/>
  <c r="BK17" i="10" s="1"/>
  <c r="Y16" i="10"/>
  <c r="BK30" i="10" l="1"/>
  <c r="BK31" i="10"/>
  <c r="BK32" i="10"/>
  <c r="BK33" i="10"/>
  <c r="BK38" i="10"/>
  <c r="BK39" i="10"/>
  <c r="BK42" i="10"/>
  <c r="BK43" i="10"/>
  <c r="BK46" i="10"/>
  <c r="BK50" i="10"/>
  <c r="BK51" i="10"/>
  <c r="BK53" i="10"/>
  <c r="BK54" i="10"/>
  <c r="BK58" i="10"/>
  <c r="BK59" i="10"/>
  <c r="BK61" i="10"/>
  <c r="BK62" i="10"/>
  <c r="BK25" i="10"/>
  <c r="BK80" i="10"/>
  <c r="BK66" i="10"/>
  <c r="BK67" i="10"/>
  <c r="BK69" i="10"/>
  <c r="BK79" i="10"/>
  <c r="E13" i="10"/>
  <c r="BK21" i="10"/>
  <c r="BK29" i="10"/>
  <c r="BK37" i="10"/>
  <c r="BK41" i="10"/>
  <c r="BK45" i="10"/>
  <c r="BK49" i="10"/>
  <c r="BK57" i="10"/>
  <c r="BK65" i="10"/>
  <c r="BK18" i="10"/>
  <c r="BK19" i="10"/>
  <c r="BK20" i="10"/>
  <c r="BK26" i="10"/>
  <c r="BK27" i="10"/>
  <c r="BK28" i="10"/>
  <c r="BK34" i="10"/>
  <c r="BK35" i="10"/>
  <c r="BK36" i="10"/>
  <c r="BK44" i="10"/>
  <c r="BK52" i="10"/>
  <c r="BK60" i="10"/>
  <c r="BK68" i="10"/>
  <c r="BK76" i="10"/>
  <c r="BK78" i="10"/>
  <c r="BK40" i="10"/>
  <c r="BK47" i="10"/>
  <c r="BK48" i="10"/>
  <c r="BK55" i="10"/>
  <c r="BK56" i="10"/>
  <c r="BK63" i="10"/>
  <c r="BK64" i="10"/>
  <c r="BK16" i="10"/>
</calcChain>
</file>

<file path=xl/comments1.xml><?xml version="1.0" encoding="utf-8"?>
<comments xmlns="http://schemas.openxmlformats.org/spreadsheetml/2006/main">
  <authors>
    <author>Jose Ignacio Urrutia Anselmo</author>
  </authors>
  <commentList>
    <comment ref="AV76" authorId="0" shapeId="0">
      <text>
        <r>
          <rPr>
            <b/>
            <sz val="9"/>
            <color indexed="81"/>
            <rFont val="Tahoma"/>
            <family val="2"/>
          </rPr>
          <t>Jose Ignacio Urrutia Anselmo:</t>
        </r>
        <r>
          <rPr>
            <sz val="9"/>
            <color indexed="81"/>
            <rFont val="Tahoma"/>
            <family val="2"/>
          </rPr>
          <t xml:space="preserve">
Monto Identificado aumenta en resolución N°7 con toma de razon 01-04-2021 quedando en 685.858</t>
        </r>
      </text>
    </comment>
    <comment ref="AV77" authorId="0" shapeId="0">
      <text>
        <r>
          <rPr>
            <b/>
            <sz val="9"/>
            <color indexed="81"/>
            <rFont val="Tahoma"/>
            <family val="2"/>
          </rPr>
          <t>Jose Ignacio Urrutia Anselmo:</t>
        </r>
        <r>
          <rPr>
            <sz val="9"/>
            <color indexed="81"/>
            <rFont val="Tahoma"/>
            <family val="2"/>
          </rPr>
          <t xml:space="preserve">
Monto Identificado aumenta en resolución N°7 con toma de razon 01-04-2021 quedando en 428.541</t>
        </r>
      </text>
    </comment>
  </commentList>
</comments>
</file>

<file path=xl/comments2.xml><?xml version="1.0" encoding="utf-8"?>
<comments xmlns="http://schemas.openxmlformats.org/spreadsheetml/2006/main">
  <authors>
    <author>Edgardo Saavedra Manzano</author>
  </authors>
  <commentList>
    <comment ref="N33" authorId="0" shapeId="0">
      <text>
        <r>
          <rPr>
            <b/>
            <sz val="9"/>
            <color indexed="81"/>
            <rFont val="Tahoma"/>
            <family val="2"/>
          </rPr>
          <t>Edgardo Saavedra Manzano:
I</t>
        </r>
        <r>
          <rPr>
            <sz val="9"/>
            <color indexed="81"/>
            <rFont val="Tahoma"/>
            <family val="2"/>
          </rPr>
          <t>ngresado a sigfe como 00No Aplica, se ingresa a proyecto según Inf. De Gore Ñuble.</t>
        </r>
      </text>
    </comment>
  </commentList>
</comments>
</file>

<file path=xl/sharedStrings.xml><?xml version="1.0" encoding="utf-8"?>
<sst xmlns="http://schemas.openxmlformats.org/spreadsheetml/2006/main" count="14732" uniqueCount="3169">
  <si>
    <t>INFORMACIÓN RESOLUCIONES GORE ST 31 PROGRAMA INVERSIÓN REGIONAL</t>
  </si>
  <si>
    <t>Ley Inicial 2021</t>
  </si>
  <si>
    <t>Ley Vigente 2021</t>
  </si>
  <si>
    <t>Ley Vigente Medicion 2021</t>
  </si>
  <si>
    <t>Gasto Acumulado</t>
  </si>
  <si>
    <t>IDENTIFICACIÓN INICIAL</t>
  </si>
  <si>
    <t>MODIFICACIÓN</t>
  </si>
  <si>
    <t>Programa Financiero</t>
  </si>
  <si>
    <t>N°</t>
  </si>
  <si>
    <t>ST-Item</t>
  </si>
  <si>
    <t>Código BIP</t>
  </si>
  <si>
    <t xml:space="preserve">Nombre de proyecto </t>
  </si>
  <si>
    <t>Etapa</t>
  </si>
  <si>
    <t xml:space="preserve">  Región </t>
  </si>
  <si>
    <t>Comuna</t>
  </si>
  <si>
    <t>Costo Total Ficha IDI</t>
  </si>
  <si>
    <t xml:space="preserve">    Ejecutado Años Anteriores FICHA IDI</t>
  </si>
  <si>
    <t>Saldo Proximos Años Ficha IDI</t>
  </si>
  <si>
    <t>Enero mensual SIGFE 2021</t>
  </si>
  <si>
    <t>Febrero mensual SIGFE 2021</t>
  </si>
  <si>
    <t>Marzo mensual SIGFE 2021</t>
  </si>
  <si>
    <t>Abril mensual SIGFE 2021</t>
  </si>
  <si>
    <t>Mayo mensual SIGFE 2021</t>
  </si>
  <si>
    <t>Junio mensual SIGFE 2021</t>
  </si>
  <si>
    <t>Julio mensual SIGFE 2021</t>
  </si>
  <si>
    <t>Agosto mensual SIGFE 2021</t>
  </si>
  <si>
    <t>Septiembre mensual SIGFE 2021</t>
  </si>
  <si>
    <t>Octubre mensual SIGFE 2021</t>
  </si>
  <si>
    <t>Noviembre mensual SIGFE 2021</t>
  </si>
  <si>
    <t>Diciembre mensual SIGFE 2021</t>
  </si>
  <si>
    <t>Total Ejecución acumulada 2021</t>
  </si>
  <si>
    <t>Monto Identificado Año 2021</t>
  </si>
  <si>
    <t xml:space="preserve">N° Resolución
</t>
  </si>
  <si>
    <t>Fecha Resolución</t>
  </si>
  <si>
    <t>Fecha de Toma de Razón</t>
  </si>
  <si>
    <t>Monto Modificado 2021</t>
  </si>
  <si>
    <t>Total Identificado</t>
  </si>
  <si>
    <t>Saldo  por
Ejecutar</t>
  </si>
  <si>
    <t>31.02</t>
  </si>
  <si>
    <t xml:space="preserve">Total M$ </t>
  </si>
  <si>
    <t>31.01</t>
  </si>
  <si>
    <t>31.03</t>
  </si>
  <si>
    <t>A</t>
  </si>
  <si>
    <t>N</t>
  </si>
  <si>
    <t>REGIONAL</t>
  </si>
  <si>
    <t>Ejecución</t>
  </si>
  <si>
    <t>Diseño</t>
  </si>
  <si>
    <t>ACTUALIZACION PLANO REGULADOR COMUNA IQUIQUE</t>
  </si>
  <si>
    <t>Tarapacá</t>
  </si>
  <si>
    <t>IQUIQUE</t>
  </si>
  <si>
    <t>ANALISIS RIESGOS ALUVIONALES SECTOR ALTOS DE PLAYA BLANCA, COMUNA DE IQUIQUE</t>
  </si>
  <si>
    <t>CONSTRUCCION RED ELECTRICA A LA COMUNA DE COLCHANE</t>
  </si>
  <si>
    <t>COLCHANE</t>
  </si>
  <si>
    <t>CONSTRUCCION ALCANTARILLADO CALETA CHANAVAYITA, IQUIQUE</t>
  </si>
  <si>
    <t>CONSTRUCCION CEMENTERIO MUNICIPAL, ALTO HOSPICIO, I REGION</t>
  </si>
  <si>
    <t>ALTO HOSPICIO</t>
  </si>
  <si>
    <t>CONSERVACION ACERAS Y SOLERAS EN COMUNA DE IQUIQUE, SECTOR SUR</t>
  </si>
  <si>
    <t>CONSTRUCCION COLEGIO MUNICIPAL, LA PAMPA, COMUNA  DE ALTO HOSPICIO</t>
  </si>
  <si>
    <t>CONSERVACION ACERAS Y SOLERAS COMUNA IQUIQUE, SECTOR NORTE, ETAPA I</t>
  </si>
  <si>
    <t>CONSERVACION ACERAS Y SOLERAS EN COMUNA DE IQUIQUE, SECTOR NORTE, ETAPA II</t>
  </si>
  <si>
    <t>RESTAURACION FACHADAS CALLE BAQUEDANO, ZONA TIPICA DE IQUIQUE</t>
  </si>
  <si>
    <t>RESTAURACION IGLESIA SAN ANTONIO DE PADUA Y CONVENTO FRANCISCANO</t>
  </si>
  <si>
    <t>CONSTRUCCION TERMAS DE CHUSMIZA, COMUNA DE HUARA</t>
  </si>
  <si>
    <t>CONSERVACION CENTRO CE18ADO IQUIQUE</t>
  </si>
  <si>
    <t>RESTAURACION EDIFICIO SOCIEDAD PROTECTORA DE EMPLEADOS DE TARAPACA, MHN</t>
  </si>
  <si>
    <t>RESTAURACION EX CARCEL DE PISAGUA, PARA EL CENTRO DE INTERPRETACION HISTORICA</t>
  </si>
  <si>
    <t>CONSTRUCCION SISTEMA DE CAMARAS DE TELEVIGILANCIA COMUNA DE ALTO HOSPICIO</t>
  </si>
  <si>
    <t>CONSTRUCCION BORDE COSTERO CALETA CHANAVAYITA, IQUIQUE</t>
  </si>
  <si>
    <t>MEJORAMIENTO PSICINA CENTRO DEPORTIVO LA PAMPA</t>
  </si>
  <si>
    <t>CONSTRUCCION RED ELECTRICA VARIAS LOCALIDADES DE LA COMUNA DE HUARA</t>
  </si>
  <si>
    <t xml:space="preserve">HUARA </t>
  </si>
  <si>
    <t>CONSTRUCCION CENTRO COMUNITARIO  COMUNA IQUIQUE</t>
  </si>
  <si>
    <t>CONSTRUCCION POSTA DE SALUD RURAL DE CARIQUIMA, COMUNA DE COLCHANE</t>
  </si>
  <si>
    <t>REPOSICION POSTA SALUD RURAL DE LA TIRANA, COMUNA DE POZO ALMONTE</t>
  </si>
  <si>
    <t>POZO ALMONTE</t>
  </si>
  <si>
    <t>CONSTRUCCION RED ALCANTARILLADO SECTOR EL BORO PONIENTE</t>
  </si>
  <si>
    <t>CONSTRUCCION RED AGUA POTABLE, SECTOR BORO PONIENTE</t>
  </si>
  <si>
    <t>RESTAURACION ARQUITECTONICA EX ADUANA DE IQUIQUE</t>
  </si>
  <si>
    <t>CONSERVACION PLAN DE CCBB RUTA A-475 YA-475, PROVINCIA DEL TAMARUGAL, REGION DE TARAPACA</t>
  </si>
  <si>
    <t>CONSTRUCCION ARCHIVO REGIONAL DE TARAPACA</t>
  </si>
  <si>
    <t>CONSTRUCCION NUEVO RELLENO SANITARIO MANCOMUNADO</t>
  </si>
  <si>
    <t>CONSERVACION PLAN DE CCBB RUTAS A-855 Y A-412</t>
  </si>
  <si>
    <t>CONSTRUCCION CENTRO SALUD FAMILIAR COMUNA IQUIQUE</t>
  </si>
  <si>
    <t>REPOSICION SALA MULTIUSO DE CAMIÑA</t>
  </si>
  <si>
    <t>CAMIÑA</t>
  </si>
  <si>
    <t>REPOSICION CASAS DE HUESPEDES PARA FUNCIONARIOS  MUNICIPALES, DE LA SALUD Y EDUCACION</t>
  </si>
  <si>
    <t>REPOSICION ASCENSORES DEL HOSPITAL ERNESTO TO18ES G.</t>
  </si>
  <si>
    <t>CONSTRUCCION ILUMINACION SOLAR PARA MEJORAR SEGURIDAD RUTA A-469</t>
  </si>
  <si>
    <t>RESTAURACION ARQUITECTONICA TEATRO MUNICIPAL, IQUIQUE</t>
  </si>
  <si>
    <t>SANEAMIENTO CONTROL DE PLAGAS SECTOR EL BORO, ALTO HOSPICIO</t>
  </si>
  <si>
    <t>CAPACITACION TNENCIA RESPONSABLE DE MASCOTAS, REGION DE TARAPACA</t>
  </si>
  <si>
    <t>CAPACITACION EN SEPARACION DE RESIDUOS SOLIDOS DOMICILIARIOS INORGANICOS, COMUNA</t>
  </si>
  <si>
    <t>CONTROL DE LA POBLACION DE CANINOS SIN DUEÑO, REGION DE TARAPACA</t>
  </si>
  <si>
    <t>CONSTRUCCION CENTRO DE CONTROL DE TRANSITO-SCAT REGION DE TARAPACA</t>
  </si>
  <si>
    <t>REPOSICION ALUMBRADO PUBLICO CON TECNOLOGIA LED COMUNA DE COLCHANE</t>
  </si>
  <si>
    <t>MEJORAMIENTO DEPENDENCIAS MUNICIPALES POZO ALMONTE</t>
  </si>
  <si>
    <t>CONSERVACION RED VIAL, OBRAS DE EMERGENCIA RUTA A-475, S. ARIQUILDA-S.C RUTA A-457</t>
  </si>
  <si>
    <t>AMPLIACION DEL RELLENO SANITARIO DE PICA</t>
  </si>
  <si>
    <t>PICA</t>
  </si>
  <si>
    <t>REPOSICION ASCENSOR EDIFICIO INTENDENCIA REGIONAL DE TARAPACA, IQUIQUE</t>
  </si>
  <si>
    <t>MEJORAMIENTO ACCESIBILIDAD Y CONECTIVIDAD EN LA CIUDAD DE IQUIQUE</t>
  </si>
  <si>
    <t>CONSTRUCCION HOSPITAL ALTO HOSPICIO</t>
  </si>
  <si>
    <t>REPOSICION AREAS DAÑADAS CENTRO CULTURAL, ALTO HOSPICIO</t>
  </si>
  <si>
    <t xml:space="preserve">REPOSICION SEDE SOCIAL PARA LA LOCALIDAD DE POROMA, COMUNA DE HUARA </t>
  </si>
  <si>
    <t>RESTAURACION 2 MONUMENTOS NACIONALES DE PISAGUA</t>
  </si>
  <si>
    <t>CONSERVACION CUARTEL BARROS ARANA, PDI IQUIQUE</t>
  </si>
  <si>
    <t>RESTAURACION VIVIENDA ZONA TIPICA DE BAQUEDANO, EN ANIBAL PINTO DEL 770 AL 792, IQUIQUE</t>
  </si>
  <si>
    <t>REPOSICION INFRAESTRUCTURA DEPORTIVA Y SOCIAL COMPLEJO HERNAN VILLANUEVA, IQUQUE}</t>
  </si>
  <si>
    <t>DIAGNOSTICO PROVISION ACS JARDINES INFANTILES ADMINISTRADOS POR JUNJI, REGION</t>
  </si>
  <si>
    <t>DIAGNOSTICO PROVISION ACS CENTROS SALUD Y EDUCACION PUBLICA RURAL, TARAPACA</t>
  </si>
  <si>
    <t>DIAGNOSTICO BIODEVERSIDAD COSTERA DE TARAPACA</t>
  </si>
  <si>
    <t>ACTUALIZACION PLAN REGULADOR COMUNAL DE ALTO HOSPICIO</t>
  </si>
  <si>
    <t>DIAGNOSTICO Y CATASTRO DE LA PROPIEDAD REGULAR E IRREGULAR DEL SUBTERRITORIO DE</t>
  </si>
  <si>
    <t>CONSTRUCCION PLAZA ESMERALDA, COMUNA DE PICA</t>
  </si>
  <si>
    <t>CONSTRUCCION MUROS DE CONTENCION SECTORES CAMPING, TRONCALES Y ALTO CAMIÑA, CAMIÑA</t>
  </si>
  <si>
    <t>REPOSICION SEDE SOCIAL LOCALIDAD DE PACHICA</t>
  </si>
  <si>
    <t>NORMALIZACION REDES DE AGUA POTABLE, SECTOR ELENA CAFFARENA - IQUIQUE</t>
  </si>
  <si>
    <t>CONSERVACION EDIFICIO INTENDENCIA REGIONAL DE TARAPACÁ Y GOBERNACION PROVINCIAL DE IQUIQUE</t>
  </si>
  <si>
    <t>DIAGNOSTICO DE SOLUCIONES DE ELECTRIFICACION PARA HUARA, COLCHANE, PICA Y POZO ALMONTE</t>
  </si>
  <si>
    <t>CONSTRUCCION RED DE PUNTOS LIMPIOS REGION DE TARAPACA</t>
  </si>
  <si>
    <t>REPOSICION EDIFICIO JUNAEB REGIONAL TARAPACA. IQUIQUE</t>
  </si>
  <si>
    <t>CONSERVACION EDIF. INTENDENCIA REGIONAL Y GOB. REGIONAL DE TARAPACA</t>
  </si>
  <si>
    <t>Tipo A=Arrastre , N= Nuevo</t>
  </si>
  <si>
    <t>CONSTRUCCION OBRAS DE VIALIDAD CONEXIÓN TOPATER-EJE BALMACEDA CALAMA</t>
  </si>
  <si>
    <t xml:space="preserve">ANTOFAGASTA </t>
  </si>
  <si>
    <t>CALAMA</t>
  </si>
  <si>
    <t>MEJORAMIENTO AV. EJERCITO ENTRE H. AVILA Y RUTA 28, ANTOFAGASTA</t>
  </si>
  <si>
    <t>ANTOFAGASTA</t>
  </si>
  <si>
    <t>NORMALIZACION HOSPITAL 21 DE MAYO DE TALTAL (PREFACTIBILIDAD)</t>
  </si>
  <si>
    <t>Prefactibilidad</t>
  </si>
  <si>
    <t>TALTAL</t>
  </si>
  <si>
    <t>NORMALIZACIÓN DEL HOSPITAL DE MEJILLONES (PREFACTIBILIDAD)</t>
  </si>
  <si>
    <t>MEJILLONES</t>
  </si>
  <si>
    <t>REPOSICION DIAMANTE DE BEISBOL TOCOPILLA</t>
  </si>
  <si>
    <t>TOCOPILLA</t>
  </si>
  <si>
    <t>CONSTRUCCION CUARTEL DE BOMBEROS Y AREAS VERDES ARTURO PEREZ</t>
  </si>
  <si>
    <t>REPOSICIÓN VIVERO MUNICIPAL, ANTOFAGASTA</t>
  </si>
  <si>
    <t>REPOSICION JARDIN INFANTIL DE TOCONAO COMUNA S.P.A.</t>
  </si>
  <si>
    <t>SAN PEDRO DE ATACAMA</t>
  </si>
  <si>
    <t>REPOSICION POSTA RURAL PEINE COMUNA DE SAN PEDRO DE ATACAMA</t>
  </si>
  <si>
    <t>REPOSICION POSTA TOCONAO, COMUNA SAN PEDRO DE ATACAMA</t>
  </si>
  <si>
    <t>CONSTRUCCION PARQUE COMUNITARIO RENE SCHNEIDER</t>
  </si>
  <si>
    <t>CONSTRUCCIÓN COMPLEJO DEPORTIVO ESCOLAR CORVALLIS</t>
  </si>
  <si>
    <t>CONSTRUCCION COMPLEJO DEPORTIVO ESCOLAR MUNICIPAL</t>
  </si>
  <si>
    <t>CONSTRUCCION MEMORIAL TOPATER CALAMA</t>
  </si>
  <si>
    <t>CONSTRUCCION CUARTEL PREFECTURA PROVINCIAL TOCOPILLA - PDI</t>
  </si>
  <si>
    <t>MEJORAMIENTO PLAZA DE ARMAS DE MARIA ELENA</t>
  </si>
  <si>
    <t>MARIA ELENA</t>
  </si>
  <si>
    <t>CONSTRUCCION CUARTEL DE BOMBEROS Y EQUIP. ANEXOS, LAS PALMERAS</t>
  </si>
  <si>
    <t>REPOSICION JARDIN INFANTIL COMUNA MARIA ELENA</t>
  </si>
  <si>
    <t>AMPLIACION CEMENTERIO GENERAL DE ANTOFAGASTA</t>
  </si>
  <si>
    <t xml:space="preserve">CONSTRUCCION RELLENO SANITARIO, COMUNA DE SIERRA GORDA </t>
  </si>
  <si>
    <t>SIERRA GORDA</t>
  </si>
  <si>
    <t>RESTAURACION TEATRO PEDRO DE LA BARRA, ANTOFAGASTA</t>
  </si>
  <si>
    <t>RESTAURACION MUSEO MUNICIPAL DE MEJILLONES</t>
  </si>
  <si>
    <t>MEJORAMIENTO DE LAS DEPENDENCIAS DE LA ASOCIACION DE MUNICPALIDADES</t>
  </si>
  <si>
    <t>AMPLIACION Y RELOCALIZACION PARVULO ESCUELA E-26 SAN PEDRO DE ATACAMA</t>
  </si>
  <si>
    <t>REPOSICION AVDA. TENIENTE MERINO DE CHORRILLOS A TENIENTE URIBE, TOCOPILLA</t>
  </si>
  <si>
    <t>CONSTRUCCION PASEO PEATONAL INDEPENDENCIA CALAMA</t>
  </si>
  <si>
    <t>CONSTRUCCION CONSULTORIO GENERAL RURAL. DE SIERRA GORDA</t>
  </si>
  <si>
    <t>CONSTRUCCION DISPOSITIVO DE SALUD SAN PEDRO DE ATACAMA</t>
  </si>
  <si>
    <t>NORMALIZACION CENTRO ONCOLOGICO AMBULATORIO DE ANTOFAGASTA (COA)</t>
  </si>
  <si>
    <t xml:space="preserve">CONSTRUCCION BODEGA FARMACIA CENTRO ATENCION DEL NORTE </t>
  </si>
  <si>
    <t>CONSTRUCCION CUBIERTAS LIVIANAS EN MULTICANCHAS, CALAMA</t>
  </si>
  <si>
    <t>CONSTRUCCION CENTRO DE SALUD, REHABILITACIÓN DROGAS CALAMA (DISEÑO)</t>
  </si>
  <si>
    <t>AMPLIACION RED DE AGUA POTABLE LA CHIMBA ALTA, ANTOFAGASTA</t>
  </si>
  <si>
    <t>CONSTRUCCION UNIDAD DE APOYO DIAGNOSTICO MEDICINA NUCLEAR EN COA</t>
  </si>
  <si>
    <t>CONSTRUCCION PLAZAS BARRIO DIEGO PORTALES PROGAMA QUIERO MI BARRIO</t>
  </si>
  <si>
    <t>CONSERVACION SOMBREADEROS PLAZAS CALAMA</t>
  </si>
  <si>
    <t>REPOSICION UNIDAD DE SALUD MENTAL DEL HOSPITAL DE TALTAL</t>
  </si>
  <si>
    <t>CONSTRUCCION NUEVO CEMENTERIO MUNICIPAL, CALAMA</t>
  </si>
  <si>
    <t>ACTUALIZACION PLAN DE DESARROLLO COMUNAL COMUNA DE TOCOPILLA</t>
  </si>
  <si>
    <t>REPOSICION POSTA RURAL CALETA PAPOSO</t>
  </si>
  <si>
    <t>REPOSICION GIMNASIO OHIGGINS COMUNA DE TOCOPILLA</t>
  </si>
  <si>
    <t xml:space="preserve">HABILITACION INMUEBLES MONUMENTOS NACIONALES (TEATRO Y EX FFCC) COMUNA DE TATAL </t>
  </si>
  <si>
    <t>AMPLIACION AVDA. P.AGUIRRE CERDA TRAMO LOS TAMARUGOS-ROTONDA, ANTOFAGASTA</t>
  </si>
  <si>
    <t>RESTAURACION BASILICA CORAZON DE MARIA DE ANTOFAGASTA</t>
  </si>
  <si>
    <t>REPOSICION HOSPEDERIA HOGAR DE CRISTO CALAMA</t>
  </si>
  <si>
    <t>CONSTRUCCION OBRAS DE MITIGACION SECTOR VILLA CHICA ANTOFAGASTA</t>
  </si>
  <si>
    <t>CONSTRUCCION HANGAR BRIGADA AEROPOLICIAL ANTOFAGASTA</t>
  </si>
  <si>
    <t>CONSTRUCCION VIAS ALUVIONALES CALLES O'HIGGINS Y COLON, TOCOPILLA</t>
  </si>
  <si>
    <t>CONSERVACION CAMINO BASICO POR CONSERVACION, RUTA B-898, KM 24,640 AL KM 42,379, REG AFTA</t>
  </si>
  <si>
    <t>CONSERVACION CAMINO BASICO POR CONSERVACION, RUTA B-161</t>
  </si>
  <si>
    <t>REPOSICION CUARTA COMPAÑÍA DE BOMBEROS CALAMA DISEÑO</t>
  </si>
  <si>
    <t>CONSERVACION CAMINO BASICO RUTA1, S: PAPOSO-CALETA EL COBRE, TALTAL</t>
  </si>
  <si>
    <t>ADQUISICION LETREROS DE MENSAJERIA VARIABLE PARA EL CENTRO DE CONTROL DE TRANSITO ANTOFAGASTA</t>
  </si>
  <si>
    <t>CONSERVACION CARPETA PASTO SINTETICO ESTADIO BELMOR ROJAS TALTAL</t>
  </si>
  <si>
    <t>REPOSICION RED ELECTRICA LOCALIDAD DE QUILLAGUA</t>
  </si>
  <si>
    <t>MEJORAMIENTO CALLE 1 ALTOS LA CHIMBA, ANTOFAGASTA</t>
  </si>
  <si>
    <t>REPOSICION CALLE JAIME GUZMAN, LOCALIDAD DE BAQUEDANO</t>
  </si>
  <si>
    <t>ANALISIS ZONIFICACION AREAS EXPUESTAS A PELIGROS DE REMOSION DE MASA</t>
  </si>
  <si>
    <t>CONSERVACION VIALIDAD CALLES LUIS CRUZ MARTINEZ Y LOS LEONES, ANTOFAGASTA</t>
  </si>
  <si>
    <t>REPOSICION Y RELOCALIZACION COMPLEJO EDUCATIVO, LOCALIDAD SIERRA GORDA</t>
  </si>
  <si>
    <t>ACTUALIZACION PLAN DE DESARROLLO COMUNAL COMUNA MEJILLONES</t>
  </si>
  <si>
    <t>CONSERVACION CAMINO BASICO RUTA B-245. KM 90,800 AL KM 113,100</t>
  </si>
  <si>
    <t>CONSERVACION CANCHA DE FUTBOL Y MULTICANCHAS PARQUE LOS PINARES</t>
  </si>
  <si>
    <t>REPOSICION MUSEO ARQUEOLÓGICO GUSTAVO LE PAIGE SAN PEDRO DE ATACAMA</t>
  </si>
  <si>
    <t>CONSERVACION MONUMENTO NACIONAL CASA ABAROA DE ANTOFAGASTA</t>
  </si>
  <si>
    <t>CONSERVACION CAMINO BÁSICO, RUTA B-245, KM 0,750 AL KM.22,100, SAN PEDRO DE ATACAMA</t>
  </si>
  <si>
    <t>Construcción Estadio Municipal de Huasco</t>
  </si>
  <si>
    <t>EJECUCION</t>
  </si>
  <si>
    <t>ATACAMA</t>
  </si>
  <si>
    <t>HUASCO</t>
  </si>
  <si>
    <t>Reposición Infraestructura Portuaria Caleta Chañaral de Aceituno, Freirina</t>
  </si>
  <si>
    <t>DISEÑO</t>
  </si>
  <si>
    <t>FREIRINA</t>
  </si>
  <si>
    <t>Reposición Hospital Comunitario de Huasco</t>
  </si>
  <si>
    <t>Reposición Cesfam Bernardo Mellibovsky</t>
  </si>
  <si>
    <t>COPIAPO</t>
  </si>
  <si>
    <t>Construcción Subcomisaría Pedro León Gallo, Copiapó</t>
  </si>
  <si>
    <t>Reposición Hospital Comunitario Diego de Almagro</t>
  </si>
  <si>
    <t>DIEGO DE ALMAGRO</t>
  </si>
  <si>
    <t>Reposición Paseo Arturo Prat, Chañaral</t>
  </si>
  <si>
    <t>CHAÑARAL</t>
  </si>
  <si>
    <t>Mejoramiento Borde Costero Playa Brava y del Jefe, Caldera</t>
  </si>
  <si>
    <t>CALDERA</t>
  </si>
  <si>
    <t>Construcción Pista de Atletismo Copiapó</t>
  </si>
  <si>
    <t>Mejoramiento Borde Costero Huasco</t>
  </si>
  <si>
    <t>Reposición Escuela F-35 Fundición Paipote, Copiapó</t>
  </si>
  <si>
    <t>Reposición Edificio Consistorial Tierra Amarilla</t>
  </si>
  <si>
    <t>TIERRA AMARILLA</t>
  </si>
  <si>
    <t>Reposición Subcomisaría Huasco (M), Comuna de Huasco</t>
  </si>
  <si>
    <t>Construcción Parque Recreativo Huasco Bajo, Huasco</t>
  </si>
  <si>
    <t>Reposición Escalinatas Altiplano Norte, II Etapa, Vallenar</t>
  </si>
  <si>
    <t>VALLENAR</t>
  </si>
  <si>
    <t>Mejoramiento Sist. Radiocomunicación Parques Nacionales Atacama</t>
  </si>
  <si>
    <t>INTERCOMUNAL</t>
  </si>
  <si>
    <t>Construcción Piscina Temperada de la Comuna de Copiapó</t>
  </si>
  <si>
    <t>Construcción Nuevo Cementerio Municipal, Vallenar</t>
  </si>
  <si>
    <t>Construcción Polideportivo El Tránsito Alto del Carmen</t>
  </si>
  <si>
    <t>ALTO DEL CARMEN</t>
  </si>
  <si>
    <t>Construcción Casetas Sanit y Sist. Alcant La Arena, Comuna de Huasco</t>
  </si>
  <si>
    <t>Restauración Villa Viña de Cristo, Copiapó</t>
  </si>
  <si>
    <t>Construcción Polideportivo, Comuna de Tierra Amarilla</t>
  </si>
  <si>
    <t>Construcción Soluciones Sanitaria Localidad de Cachiyuyo, Vallenar</t>
  </si>
  <si>
    <t>Construcción Soluciones Sanitarias Localidad de Incahuasi, Vallenar</t>
  </si>
  <si>
    <t>Mejoramiento Plaza Manutara, Sector Aeropuerto, Chañaral</t>
  </si>
  <si>
    <t>Ampliación y Adecuaciones Biblioteca Municipal de Caldera</t>
  </si>
  <si>
    <t>Conservación Ruta Costera C-10, Sector: Caldera - Barranquilla</t>
  </si>
  <si>
    <t>Conservación Caminos Básicos Región de Atacama 2019-2020, Provincia de Chañaral</t>
  </si>
  <si>
    <t>Conservación Caminos Básicos Región de Atacama 2019-2020</t>
  </si>
  <si>
    <t>Conservación de Caminos Básicos, 2016 - 2018, Provincia de Chañaral</t>
  </si>
  <si>
    <t>PROVINCIA CHAÑARAL</t>
  </si>
  <si>
    <t>Conservación de Caminos Básicos, 2016 - 2019, Provincia de Copiapó</t>
  </si>
  <si>
    <t>PROVINCIA COPIAPO</t>
  </si>
  <si>
    <t>Conservación de Caminos Básicos, 2016 - 2019, Provincia de Huasco</t>
  </si>
  <si>
    <t>PROVINCIA HUASCO</t>
  </si>
  <si>
    <t>Construcción Museo Regional de Atacama, Copiapó</t>
  </si>
  <si>
    <t>Mejoramiento Eje Cívico Río de Janeiro, Freirina</t>
  </si>
  <si>
    <t>Construcción Parque Río de Oro, Población Canto de Agua, Huasco</t>
  </si>
  <si>
    <t>Construcción Soluciones Sanit y Obras Complementarias Carrizal Bajo</t>
  </si>
  <si>
    <t>Reposición Infraestructura de Semáforos Copiapó</t>
  </si>
  <si>
    <t>Mejoramiento Cancha de Fútbol Chanchoquin Grande Alto del Carmen</t>
  </si>
  <si>
    <t>Mejoramiento Cancha de Fútbol, La Pampa, Alto del Carmen</t>
  </si>
  <si>
    <t>Mejoramiento Plaza Aeropuerto, Chañaral</t>
  </si>
  <si>
    <t>Normalización Posta Rural Localidad Carrizalillo, Freirina</t>
  </si>
  <si>
    <t>Construcción Electrificación Llanos del Lagarto Comuna de Huasco</t>
  </si>
  <si>
    <t>Reposición Biblioteca Pública, Chañaral</t>
  </si>
  <si>
    <t>Reparación Estadio Techado Orlando Guaita, Copiapó</t>
  </si>
  <si>
    <t>Conservación Centro Cultural Copiapó</t>
  </si>
  <si>
    <t>Reposición Pav. Pob. José Miguel Carrera, Diego de Almagro</t>
  </si>
  <si>
    <t>Reposición Alumbrado Comuna de Diego de Almagro</t>
  </si>
  <si>
    <t>Reposición Cierre Perimetral Estadio Eladio Rojas Tierra Amarilla</t>
  </si>
  <si>
    <t>Construcción Muros de Contención, Area Comercial Calle Pedro Luján, El Salado, Chañaral</t>
  </si>
  <si>
    <t xml:space="preserve">Reposición Plaza Ignacio Carrera Pinto </t>
  </si>
  <si>
    <t xml:space="preserve">Construcción Segunda Compañía de Bomberos de Caldera  </t>
  </si>
  <si>
    <t>Construcción Centro de Almacenaje y Emergencias, Alto Del Carmen</t>
  </si>
  <si>
    <t>Reposición Capilla y Comedor Social San Lorenzo, El Salado, Chañaral</t>
  </si>
  <si>
    <t>Instalación Semáforos en Intersección Jorge Rivera Con Dagoberto Godoy,Aeropuerto, Chañaral</t>
  </si>
  <si>
    <t>Reposición Parque Recreativo y Cultural Rancho Atacama, Comuna de Freirina, Etapa I</t>
  </si>
  <si>
    <t>Mejoramiento Parque El Pretil I Etapa, Copiapó</t>
  </si>
  <si>
    <t>Reposición Sede Social José Miguel Carrera, Diego de Almagro</t>
  </si>
  <si>
    <t>Reposición Sede Social Villa Potrerillos, Diego de Almagro</t>
  </si>
  <si>
    <t>Ampliación Red de Agua Potable Huasco Bajo Sur, Huasco</t>
  </si>
  <si>
    <t>Reposición Sede Vecinal José Santos Ossa, Comuna de Freirina</t>
  </si>
  <si>
    <t>Reposición Carpeta de Fútbol Estadio Huasco Bajo Sur</t>
  </si>
  <si>
    <t>Reposición Plaza María Cangana, Diego de Almagro</t>
  </si>
  <si>
    <t>Reposición Pavimentos Calle Lastaria, Diego de Almagro</t>
  </si>
  <si>
    <t>Construción Cancha de Fútbol y Camarines, Las Tablas, Freirina</t>
  </si>
  <si>
    <t>Construcción Relleno Sanitario de Diego de Almagro</t>
  </si>
  <si>
    <t>Reposición Plaza Nueva Esperanza Pob. Portal del Inca, Diego de Almagro</t>
  </si>
  <si>
    <t>Mejoramiento Puente Amolanas En Ruta C-447, Comuna De Tierra Amarilla 4</t>
  </si>
  <si>
    <t>Mejoramiento Puente Tirado, Localidad De Pabellón, Comuna De Tierra Amarilla</t>
  </si>
  <si>
    <t>Construcción Puente y Accesos, Localidad de Los Loros, Comuna de Freirina</t>
  </si>
  <si>
    <t>Construcción Espacio Público Mirador Cerro La Cruz, Estación Paipote Copiapó</t>
  </si>
  <si>
    <t>Mejoramiento Taludes Avenida Los Canales, Vallenar</t>
  </si>
  <si>
    <t>Reposición Skate Park Paseo Ribereño, vallenar</t>
  </si>
  <si>
    <t>Construcción Plaza Corazón, Chañaral</t>
  </si>
  <si>
    <t>Conservación Escuelas y Liceos Copiapó</t>
  </si>
  <si>
    <t>Conservación Escuelas y Liceos Provincia del Huasco</t>
  </si>
  <si>
    <t>Construcción Centro Oncológico de la Región de Atacama</t>
  </si>
  <si>
    <t>Conservación Calles y Vías II Etapa, Copiapó</t>
  </si>
  <si>
    <t>Conservación Oficina Copiapó y Dirección Regional del Registro Civil de Atacama</t>
  </si>
  <si>
    <t>20169586-0</t>
  </si>
  <si>
    <t>CONSTRUCCION EDIFICIO CONSISTORIAL DE COQUIMBO</t>
  </si>
  <si>
    <t>COQUIMBO</t>
  </si>
  <si>
    <t>01</t>
  </si>
  <si>
    <t>30123628-0</t>
  </si>
  <si>
    <t>MEJORAMIENTO CALLE EL ESFUERZO DE PICHIDANGUI, COMUNA DE LOS VILOS</t>
  </si>
  <si>
    <t>LOS VILOS</t>
  </si>
  <si>
    <t>30134340-0</t>
  </si>
  <si>
    <t>CONSTRUCCIÓN  PARQUE URBANO SECTOR EL BOSQUE, LOS VILOS</t>
  </si>
  <si>
    <t>40002659-0</t>
  </si>
  <si>
    <t>HABILITACIÓN UNIDAD DE MEDICINA HIPERBÁRICA, HOSPITAL DE COQUIMBO</t>
  </si>
  <si>
    <t>Ejecucion</t>
  </si>
  <si>
    <t>30460171-0</t>
  </si>
  <si>
    <t>REPOSICIÓN PLAZA DE ACCESO, LOS VILOS</t>
  </si>
  <si>
    <t>30483947-0</t>
  </si>
  <si>
    <t>MEJORAMIENTO PLAZA SERGIO SILVA, LOS VILOS</t>
  </si>
  <si>
    <t>05</t>
  </si>
  <si>
    <t>30070093-0</t>
  </si>
  <si>
    <t>NORMALIZACIÓN HOSPITAL DR HUMBERTO ELORZA CORTÉS, ILLAPEL</t>
  </si>
  <si>
    <t>ILLAPEL</t>
  </si>
  <si>
    <t>40003818-0</t>
  </si>
  <si>
    <t>RESTAURACIÓN IGLESIA DE SOTAQUÍ, COMUNA DE OVALLE</t>
  </si>
  <si>
    <t>OVALLE</t>
  </si>
  <si>
    <t>30124513-0</t>
  </si>
  <si>
    <t>AMPLIACIÓN EDIFICIO CONSISTORIAL, ANDACOLLO</t>
  </si>
  <si>
    <t>ANDACOLLO</t>
  </si>
  <si>
    <t>30085388-0</t>
  </si>
  <si>
    <t>REPOSICIÓN TENENCIA PAIHUANO COMUNA PAIHUANO</t>
  </si>
  <si>
    <t>PAIHUANO</t>
  </si>
  <si>
    <t>30097621-0</t>
  </si>
  <si>
    <t>HABILITACIÓN CASA DE LA MEMORIA COMUNA DE COQUIMBO</t>
  </si>
  <si>
    <t>40006352-0</t>
  </si>
  <si>
    <t>REPOSICIÓN CENTRO COMUNITARIO DE REHABILITACIÓN, COMUNA DE MONTE PATRIA</t>
  </si>
  <si>
    <t>MONTE PATRIA</t>
  </si>
  <si>
    <t>30001032-0</t>
  </si>
  <si>
    <t>REPOSICIÓN CONSULTORIO GENERAL URBANO DE SAN JUAN</t>
  </si>
  <si>
    <t>30066098-0</t>
  </si>
  <si>
    <t>CONSTRUCCIÓN CESFAM II EN SECTOR TIERRAS BLANCAS, COQUIMBO</t>
  </si>
  <si>
    <t>30045318-0</t>
  </si>
  <si>
    <t>CONSTRUCCIÓN III CESFAM URBANO OVALLE</t>
  </si>
  <si>
    <t>30098093-0</t>
  </si>
  <si>
    <t>CONSTRUCCIÓN INFR.PESQUERA CALETA PUERTO MANSO, CANELA</t>
  </si>
  <si>
    <t>CANELA</t>
  </si>
  <si>
    <t>30044384-0</t>
  </si>
  <si>
    <t>REPOSICIÓN CES FAMILIAR, RÍO HURTADO</t>
  </si>
  <si>
    <t>RÍO HURTADO</t>
  </si>
  <si>
    <t>30076274-0</t>
  </si>
  <si>
    <t>RESTAURACIÓN CASA GABRIELA MISTRAL EN LAS COMPAÑÍAS, LA SERENA</t>
  </si>
  <si>
    <t>LA SERENA</t>
  </si>
  <si>
    <t>40011860-0</t>
  </si>
  <si>
    <t>CONSTRUCCIÓN ESTADIO EL PUEBLO DE CHAÑARAL ALTO, MONTE PATRIA</t>
  </si>
  <si>
    <t>40007901-0</t>
  </si>
  <si>
    <t>MEJORAMIENTO ESTADIO MUNICIPAL DE PAIHUANO</t>
  </si>
  <si>
    <t>30109140-0</t>
  </si>
  <si>
    <t>AMPLIACIÓN SERVICIO MÉDICO LEGAL DE LA SERENA</t>
  </si>
  <si>
    <t>30481995-0</t>
  </si>
  <si>
    <t>RESTAURACIÓN MONUMENTO HISTÓRICO CASA PIÑERA, LA SERENA</t>
  </si>
  <si>
    <t>30131804-0</t>
  </si>
  <si>
    <t>CONSTRUCCIÓN PASEO MIRADOR LARRAÍN ALCALDE, COMUNA DE LA SERENA</t>
  </si>
  <si>
    <t>30108069-0</t>
  </si>
  <si>
    <t>CONSTRUCCIÓN COMPLEJO DEPORTIVO Y OBRAS COMPLEMENTARIAS - VEGAS SUR</t>
  </si>
  <si>
    <t>30100263-0</t>
  </si>
  <si>
    <t>REPOSICIÓN CUARTEL BICRIM COQUIMBO</t>
  </si>
  <si>
    <t>30109787-0</t>
  </si>
  <si>
    <t>REPÓSICIÓN CUARTEL DE BOMBEROS DE CERRILLOS DE TAMAYA, OVALLE</t>
  </si>
  <si>
    <t>30486418-0</t>
  </si>
  <si>
    <t>REPOSICIÓN INSTITUTO DE REHABILITACIÓN, TELETÓN, DE COQUIMBO</t>
  </si>
  <si>
    <t>30064663-0</t>
  </si>
  <si>
    <t>MEJORAMIENTO EDIFICIO CONSISTORIAL, OVALLE</t>
  </si>
  <si>
    <t>30100599-0</t>
  </si>
  <si>
    <t>REPOSICIÓN HOGAR MASCULINO, PUNITAQUI</t>
  </si>
  <si>
    <t>PUNITAQUI</t>
  </si>
  <si>
    <t>30484157-0</t>
  </si>
  <si>
    <t>MEJORAMIENTO ESPACIO PÚBLICO SECTOR ALTO ILLAPEL, COMUNA DE ILLAPEL</t>
  </si>
  <si>
    <t>30484216-0</t>
  </si>
  <si>
    <t>CONSERVACIÓN PAVIMENTOS AÑO 2017, REGIÓN DE COQUIMBO</t>
  </si>
  <si>
    <t>30409422-0</t>
  </si>
  <si>
    <t>CONSTRUCCIÓN CUBIERTA AREA DE EJERCICIOS Y EQUIPAMIENTO PARA RECREACIÓN COLEGIO PICHASCA</t>
  </si>
  <si>
    <t>40003225-0</t>
  </si>
  <si>
    <t>MEJORAMIENTO CAMINO ILLAPEL - CUZ CUZ, COMUNA DE ILLAPEL</t>
  </si>
  <si>
    <t>30431172-0</t>
  </si>
  <si>
    <t>CONSTRUCCIÓN URBANIZACIÓN BÁSICA LOCALIDAD DE ALTOVALSOL, COMUNA DE LA SERENA</t>
  </si>
  <si>
    <t>30484211-0</t>
  </si>
  <si>
    <t>REPOSICIÓN CUARTEL 1° COMPAÑÍA DE BOMBEROS, SINDEMPART, COQUIMBO</t>
  </si>
  <si>
    <t>30109832-0</t>
  </si>
  <si>
    <t>REPOSICIÓN COLEGIO YUNGAY DE EDUCACIÓN ESPECIAL, OVALLE</t>
  </si>
  <si>
    <t>30073178-0</t>
  </si>
  <si>
    <t>CONSTRUCCIÓN EDIFICIO CONSISTORIAL MUNICIPALIDAD DE LOS VILOS</t>
  </si>
  <si>
    <t>30484182-0</t>
  </si>
  <si>
    <t>CONSTRUCCIÓN CUARTEL DE BOMBEROS CUARTA COMPAÑÍA, OVALLE</t>
  </si>
  <si>
    <t>30293822-0</t>
  </si>
  <si>
    <t>REPOSICIÓN ESTADIO MUNICIPAL DE COMBARBNALÁ</t>
  </si>
  <si>
    <t>COMBARBALÁ</t>
  </si>
  <si>
    <t>30176022-0</t>
  </si>
  <si>
    <t>REPOSICIÓN POSTA DE SALUD RURAL CALETA LOS HORNOS, LA HIGUERA</t>
  </si>
  <si>
    <t>LA HIGUERA</t>
  </si>
  <si>
    <t>30369072-0</t>
  </si>
  <si>
    <t>REPOSICIÓN POSTA DE SALUD PISCO ELQUI, PAIHUANO</t>
  </si>
  <si>
    <t>40013536-0</t>
  </si>
  <si>
    <t>CONSTRUCCIÓN CENTRO DE ESTIMULACIÓN TEMPRANA PARA NIÑOS CON SINDROME DE DOWN, LA SERENA</t>
  </si>
  <si>
    <t>40007564-0</t>
  </si>
  <si>
    <t>CONSERVACIÓN CBC RUTA D-510, SECTOR HUAYANAY - EL TANGUE, COMUNA DE COQUIMBO</t>
  </si>
  <si>
    <t>40007666-0</t>
  </si>
  <si>
    <t>CONSERVACIÓN CBC RUTA D-540, S.PUNILLA - FRAY JORGE, COMUNA DE OVALLE, REGIÓN DE COQUIMBO</t>
  </si>
  <si>
    <t>30477535-0</t>
  </si>
  <si>
    <t>CONSTRUCCIÓN CANCHA SINTÉTICA COMPLEJO DEPORTIVO LAS ROSAS, COQIMBO</t>
  </si>
  <si>
    <t>30037147-0</t>
  </si>
  <si>
    <t>MEJORAMIENTO CALLE CAUPOLICÁN, SECTOR CENTRO CÍVICO, PUNITAQUI</t>
  </si>
  <si>
    <t>30483251-0</t>
  </si>
  <si>
    <t>HABILITACIÓN CENTRO DE EXTENSIÓN CULTURAL PARA EL PATRIMONIO, COMUNA DE LA SERENA</t>
  </si>
  <si>
    <t>30081585-0</t>
  </si>
  <si>
    <t>REPOSICIÓN RETÉN DE CARABINEROS CHAÑARAL ALTO, MONTE PATRIA.</t>
  </si>
  <si>
    <t>40006947-0</t>
  </si>
  <si>
    <t>CONSTRUCCIÓN POLIDEPORTIVO CIUDAD DE MONTE PATRIA, MONTE PATRIA</t>
  </si>
  <si>
    <t>40006948-0</t>
  </si>
  <si>
    <t>CONSTRUCCIÓN ESTRUCTURA TECHADA VARIOS ESTABLECIMIENTOS EDUCACIONALES, MONTE PATRIA</t>
  </si>
  <si>
    <t>30150676-0</t>
  </si>
  <si>
    <t>MEJORAMIENTO COMPLEJO DEPORTIVO DE PICHASCA, RIO HURTADO</t>
  </si>
  <si>
    <t>RIO HURTADO</t>
  </si>
  <si>
    <t>30473496-0</t>
  </si>
  <si>
    <t>MEJORAMIENTO MULTICANCHA FUNDINA, RÍO HURTADO</t>
  </si>
  <si>
    <t>30109398-0</t>
  </si>
  <si>
    <t>REPOSICIÓN PLAZA VILLA LOS LAGOS LOCALIDAD LAS RAMADAS PUNITAQUI</t>
  </si>
  <si>
    <t>30149176-0</t>
  </si>
  <si>
    <t>REPOSICIÓN RESIDENCIA DISCAPACIDAD SENAME COQUIMBO</t>
  </si>
  <si>
    <t>30086926-0</t>
  </si>
  <si>
    <t>CONSTRUCCIÓN ESTADIO MUNICIPAL DE CANELA</t>
  </si>
  <si>
    <t>30139823-0</t>
  </si>
  <si>
    <t>REPOSICIÓN POSTA DE SALUD RURAL CUNCUMEN, COMUNA DE SALAMANCA</t>
  </si>
  <si>
    <t>SALAMANCA</t>
  </si>
  <si>
    <t>30275183-0</t>
  </si>
  <si>
    <t>CONSTRUCCIÓN PASEO PEATONAL QUEBRADA EL CONSUELO, COMUNA DE SALMANCA</t>
  </si>
  <si>
    <t>30479844-0</t>
  </si>
  <si>
    <t>REPOSICIÓN POSTA DE TAHUINCO, COMUNA DE SALAMANCA</t>
  </si>
  <si>
    <t>40010119-0</t>
  </si>
  <si>
    <t>CONSTRUCCIÓN CENTRO DE DIALISIS LOS VILOS</t>
  </si>
  <si>
    <t>30106198-0</t>
  </si>
  <si>
    <t>CONSTRUCCIÓN VÍAS DE EVACUACIÓN ZONA COSTERA LA SERENA COQUIMBO</t>
  </si>
  <si>
    <t>40009903-0</t>
  </si>
  <si>
    <t>CONSERVACIÓN CBC RUTA D-190, S. CRUCE RUTA 5 - CHUNGUNGO, TRAMO 1, COMUNA LA HIGUERA</t>
  </si>
  <si>
    <t>30375950-0</t>
  </si>
  <si>
    <t>REPOSICIÓN CUARTEL BICRIM OVALLE</t>
  </si>
  <si>
    <t>OVALLLE</t>
  </si>
  <si>
    <t>30139872-0</t>
  </si>
  <si>
    <t>REPOSICIÓN POSTA SALUD RURAL DE LLIMPO, COMUNA DE SALAMANCA</t>
  </si>
  <si>
    <t>30109834-0</t>
  </si>
  <si>
    <t>REPOSICIÓN ESCUELA BÁSICA EL CRISOL, OVALLE</t>
  </si>
  <si>
    <t>40003078-0</t>
  </si>
  <si>
    <t>CONSTRUCCIÓN MACRO DEPÓSITO ARQUEOLÓGICO REGIONAL, REGIÓN DE COQUIMBO</t>
  </si>
  <si>
    <t>30139673-0</t>
  </si>
  <si>
    <t>MEJORAMIENTO CALLE MUNDO NUEVO, COMUNA DE SALAMANCA</t>
  </si>
  <si>
    <t>30124206-0</t>
  </si>
  <si>
    <t>CONSTRUCCIÓN TECHADO MULTICANCHA COLEGIO NUESTRA SEÑORA DEL ROSARIO, ANDACOLLO</t>
  </si>
  <si>
    <t>30100544-0</t>
  </si>
  <si>
    <t>CONSTRUCCIÓN ELECTRIFICACIÓN RURAL, VALLE DE CAMISAS, SALAMANCA</t>
  </si>
  <si>
    <t>30077750-0</t>
  </si>
  <si>
    <t>CONSTRUCCIÓN CASA DE ACOGIDA DE COMBARBALÁ - COMBARBALÁ</t>
  </si>
  <si>
    <t>COMBARBALA</t>
  </si>
  <si>
    <t>30098095-0</t>
  </si>
  <si>
    <t>CONSTRUCCIÓN INFR.PESQUERA CALETA  HUENTELAUQUEN, CANELA</t>
  </si>
  <si>
    <t>04</t>
  </si>
  <si>
    <t>40000508-0</t>
  </si>
  <si>
    <t>DIAGNÓSTICO TRANSPORTE PÚBLICO CONURBACIÓN COQUIMBO-LA SERENA</t>
  </si>
  <si>
    <t>COQUIMBO-LA SERENA</t>
  </si>
  <si>
    <t>30485976-0</t>
  </si>
  <si>
    <t>CONSTRUCCIÓN INTERCONEXIÓN VIAL RUTA 41 CH - BORDE COSTERO.PROV.ELQUI</t>
  </si>
  <si>
    <t>PROV.ELQUI</t>
  </si>
  <si>
    <t>40015360-0</t>
  </si>
  <si>
    <t>REPOSICIÓN JARDÍN NFANTIL MI PEQUEÑO TESORO ILLAPEL, COMUNA DE ILLAPEL</t>
  </si>
  <si>
    <t>40016415-0</t>
  </si>
  <si>
    <t>REPOSICIÓN POSTA DE SALUD RURAL HUINTIL, COMUNA DE ILLAPEL</t>
  </si>
  <si>
    <t>30078529-0</t>
  </si>
  <si>
    <t>CONSTRUCCIÓN CASA DE LA CULTURA, LOS VILOS</t>
  </si>
  <si>
    <t>30484185-0</t>
  </si>
  <si>
    <t>CONSTRUCCIÓN P.T.A.S Y RED DE ALCANTARILLADO DE CAREN, COMUNA DE MONTE PATRIA</t>
  </si>
  <si>
    <t>Factibilidad</t>
  </si>
  <si>
    <t>30484187-0</t>
  </si>
  <si>
    <t>CONSTRUCCIÓN P.T.A.S.Y RED ALCANTARILLADO DE RAPEL, COMUNA MONTE PATRIA</t>
  </si>
  <si>
    <t>30484184-0</t>
  </si>
  <si>
    <t>CONSTRUCCIÓN P.T.A.S.Y RED ALCANTARILLADO EL TOMÉ, COMUNA MONTE PATRIA</t>
  </si>
  <si>
    <t>30150774-0</t>
  </si>
  <si>
    <t>CONSTRUCCIÓN ELECTRIFICACIÓN LOCALIDAD RURAL LA CORTADERA, ANDACOLLO</t>
  </si>
  <si>
    <t>30124440-0</t>
  </si>
  <si>
    <t>AMPLIACIÓN PASEO PEATONAL CALLE J.T. URMENETA, ANDACOLLO</t>
  </si>
  <si>
    <t>10</t>
  </si>
  <si>
    <t>40014111-0</t>
  </si>
  <si>
    <t>REPOSICIÓN SERVICIO DE ESTERILIZACIÓN HOSPITAL SAN PABLO DE COQUIMBO</t>
  </si>
  <si>
    <t>30100596-0</t>
  </si>
  <si>
    <t>CONSTRUCCIÓN SISTEMA DE ELECTRIF.RURAL AJIAL DE QUILES PUNITAQUI</t>
  </si>
  <si>
    <t>30010979-0</t>
  </si>
  <si>
    <t>CONSTRUCCIÓN RED ELÉCTRICA DE CENTINELA ll - CARRIZAL, COMBARBALÁ</t>
  </si>
  <si>
    <t>20169732-0</t>
  </si>
  <si>
    <t>CONSTRUCCIÓN ELECTRIFICACIÓN RURAL LAS CAÑAS, CANELA</t>
  </si>
  <si>
    <t>30064400-0</t>
  </si>
  <si>
    <t>CONSTRUCCIÓN ELECTRIFICACIÓN RURAL HUINCHIGUALLEGO, CANELA</t>
  </si>
  <si>
    <t>40016397-0</t>
  </si>
  <si>
    <t>CONSTRUCCIÓN OBRAS DE URBANIZACIÓN, CHAÑARAL DE CARÉN, MONTE PATRIA</t>
  </si>
  <si>
    <t>40016396-0</t>
  </si>
  <si>
    <t>CONSTRUCCIÓN OBRAS DE URBANIZACIÓN, LOCALIDAD LOS MORALES, MONTE PATRIA</t>
  </si>
  <si>
    <t>30484167-0</t>
  </si>
  <si>
    <t>CONSTRUCCIÓN PARQUE URBANO DEL ENCUENTRO COMUNITARIO, PUNITAQUI</t>
  </si>
  <si>
    <t>40012802-0</t>
  </si>
  <si>
    <t>CONSTRUCCIÓN TECHADOS VARIOS ESTABLECIMIENTOS EDUCACIONALES, COMUNA DE PUNITAQUI</t>
  </si>
  <si>
    <t>30465392-0</t>
  </si>
  <si>
    <t>CONSERVACIÓN CAMINO BÁSICO RUTA D-457, SAMO ALTO-ANDACOLLO,TR-ELQUI</t>
  </si>
  <si>
    <t>PROVINCIA DE ELQUI</t>
  </si>
  <si>
    <t>30457897-0</t>
  </si>
  <si>
    <t>MEJORAMENTO COMPLEJO DEPORTIVO JUAN SOLDADO, COMUNA DE LA SERENA</t>
  </si>
  <si>
    <t>30124186-0</t>
  </si>
  <si>
    <t>MEJORAMIENTO CANCHA DE FUTBOL DE SERÓN, RÍO HURTADO</t>
  </si>
  <si>
    <t>30150673-0</t>
  </si>
  <si>
    <t>MEJORAMIENTO CANCHA DE FUTBOL DE HURTADO</t>
  </si>
  <si>
    <t>30393924-0</t>
  </si>
  <si>
    <t>MEJORAMIENTO PLAZA DE ARMAS DE PICHASCA, COMUNA DE RÍO HURTADO</t>
  </si>
  <si>
    <t>40009212-0</t>
  </si>
  <si>
    <t>HABILITACIÓN SALA PARA RESONADOR MAGNÉTICO Y ADECUACIONES EN U IMAGENOLOGÍA.H. COQUIMBO</t>
  </si>
  <si>
    <t>11</t>
  </si>
  <si>
    <t>30147622-0</t>
  </si>
  <si>
    <t>MEJORAMIENTO ESPACIO PÚBLICO AVENIDA BELTRÁN AMENÁBAR , ANDACOLLO</t>
  </si>
  <si>
    <t>40018067-0</t>
  </si>
  <si>
    <t>CONSERVACIÓN CABAÑA PDI JUNTAS DEL TORO</t>
  </si>
  <si>
    <t>40003156-0</t>
  </si>
  <si>
    <t>CONSTRUCCIÓN PLAZA DE ABASTOS VILLA LAMBERT, SECTOR LAS COMPAÑÍAS, LA SERENA</t>
  </si>
  <si>
    <t>30100126-0</t>
  </si>
  <si>
    <t>CONSTRUCCIÓN CESFAM SAN ISIDRO- CALINGASTA,VICUÑA</t>
  </si>
  <si>
    <t>VICUÑA</t>
  </si>
  <si>
    <t>24</t>
  </si>
  <si>
    <t>30130485-0</t>
  </si>
  <si>
    <t>MEJORAMIENTO ESPACIOS PUBLICOS SECTOR HUAMPULLA</t>
  </si>
  <si>
    <t>GOBIERNO REGIONAL DE VALPARAISO</t>
  </si>
  <si>
    <t>Gasto Acumulado a Junio</t>
  </si>
  <si>
    <t>CONSTRUCCION SUBCOMISARÍA EL BELLOTO, COMUNA DE QUILPUÉ</t>
  </si>
  <si>
    <t>VALPARAISO</t>
  </si>
  <si>
    <t>QUILPUÉ</t>
  </si>
  <si>
    <t>REPOSICION PAVIM. CIRCUITO DE SAN JOSE A AMUNATEGUI, RECREO, VIÑA</t>
  </si>
  <si>
    <t>VIÑA DEL MAR</t>
  </si>
  <si>
    <t>CONSTRUCCION CENTRO DE SALUD RURAL SECTOR OCOA, HIJUELAS</t>
  </si>
  <si>
    <t>HIJUELAS</t>
  </si>
  <si>
    <t>CONSTRUCCION CENTRO DE PRODUCTOS TIPICOS, HIJUELAS</t>
  </si>
  <si>
    <t>ACTUALIZACION PLAN DE REGULADOR COMUNAL DE PAPUDO</t>
  </si>
  <si>
    <t>PAPUDO</t>
  </si>
  <si>
    <t xml:space="preserve">CONSERVACION CESFAM EDUARDO FREI, COMUNA VILLA ALEMANA </t>
  </si>
  <si>
    <t>VILLA ALEMANA</t>
  </si>
  <si>
    <t>MEJORAMIENTO PLAZA DE ARMAS, COMUNA DE PETORCA</t>
  </si>
  <si>
    <t>PETORCA</t>
  </si>
  <si>
    <t>CONSTRUCCION BY PASS RUTA E-85, TRAMO URBANO CUIDAD DE LOS ANDES (PREFACTIBILIDAD)</t>
  </si>
  <si>
    <t>PREFACTIBILIDAD</t>
  </si>
  <si>
    <t>MEJORAMIENTO AV.ARTURO PHILLIPS - GRAN AV. DEL MAR, SANTO DOMINGO</t>
  </si>
  <si>
    <t>SANTO DOMINGO</t>
  </si>
  <si>
    <t>REPOSICION CUARTEL DE INVESTIGACIÓN CRIMINAL LIMACHE (DISEÑO)</t>
  </si>
  <si>
    <t xml:space="preserve">DISEÑO </t>
  </si>
  <si>
    <t>LIMACHE</t>
  </si>
  <si>
    <t>CONSERVACION CONSERVACIÓN VIAL CALLES DE PLAYA ANCHA, ETAPA 2, VALPARAÍSO</t>
  </si>
  <si>
    <t>REPOSICION CUARTEL 5ª CIA DE BOMBEROS CURIMON, SAN FELIPE</t>
  </si>
  <si>
    <t>SAN FELIPE</t>
  </si>
  <si>
    <t>CONSTRUCCION CENTRO COMUNITARIO ADULTO MAYOR ALGARROBO</t>
  </si>
  <si>
    <t>ALGARROBO</t>
  </si>
  <si>
    <t>CONSERVACION ESCUELA JOHN KENNEDY, VIÑA DEL MAR</t>
  </si>
  <si>
    <t>REPOSICION SEDE SOCIAL U.V. N°88, VIÑA DEL MAR</t>
  </si>
  <si>
    <t>CONSERVACION BAÑOS Y DUCHAS ESCUELA E-124, VIÑA DEL MAR</t>
  </si>
  <si>
    <t>REPOSICION DE PAVIMENTACIÓN AVENIDA CARLOS ALESSANDRI, COMUNA DE ALGARROBO</t>
  </si>
  <si>
    <t xml:space="preserve">MEJORAMIENTO PAVIMENTACION AVDA LAS SALINAS DE PULLALLY, ETAPA 1, COMUNA DE PAPUDO </t>
  </si>
  <si>
    <t>CONSTRUCCION SANEAMIENTO SANITARIO CAMPAMENTO MANUEL BUSTOS ETAPA 1A, VIÑA DEL MAR</t>
  </si>
  <si>
    <t>CONSTRUCCION MURO DE CONTENCIÓN EN CALLE LAS HERAS, VIÑA DEL MAR</t>
  </si>
  <si>
    <t>MEJORAMIENTO PAVIMENTO AVENIDA GENERAL BULNES REA¿ACA VIÑA DEL MAR</t>
  </si>
  <si>
    <t>REPOSICION PAVIMENTO CALLE VICUÑA MACKENNA, ZAPALLAR</t>
  </si>
  <si>
    <t>ZAPALLAR</t>
  </si>
  <si>
    <t xml:space="preserve">CONSTRUCCION CENTRO COMUNITARIO UNION COMUNAL ADULTO MAYOR, COMUNA DE CABILDO </t>
  </si>
  <si>
    <t>CABILDO</t>
  </si>
  <si>
    <t>REPOSICION PAVIMENTO CALLE ARTURO PRAT, ZAPALLAR</t>
  </si>
  <si>
    <t xml:space="preserve">MEJORAMIENTO BORDE COSTERO PASEO DEL MAR, SANTO DOMINGO (DISEÑO) </t>
  </si>
  <si>
    <t>CONSTRUCCION PARADEROS RURALES COMUNA DE CABILDO</t>
  </si>
  <si>
    <t>MEJORAMIENTO PAVIMENTACION DE CALLE DE LAS ROCAS, COMUNA DE SANTO DOMINGO</t>
  </si>
  <si>
    <t>DIAGNOSTICO PLAN GESTIÓN RESERVA BIOSFERA LA CAMPANA-PEÑUELAS,R. VALPARAISO</t>
  </si>
  <si>
    <t>AMPLIACION RED AGUA POTABE CALLE CUATRO ESQUINAS, HIJUELAS</t>
  </si>
  <si>
    <t xml:space="preserve">REPOSICION PRIMERA COMPAÑÍA DE BOMBEROS, COMUNA DE ALGARROBO </t>
  </si>
  <si>
    <t>DIAGNOSTICO PLAN DE MANEJO DEL HUMEDAL RIO MAIPO, COMUNA DE SANTO DOMINGO</t>
  </si>
  <si>
    <t xml:space="preserve">REPOSICION ESCUELA LIMACHITO F-377, COMUNA DE LIMACHE </t>
  </si>
  <si>
    <t>CONSERVACION VIAL Y REPARACIÓN ESP. PÚBLICOS AV. MATTA ETAPA 1 VALPO</t>
  </si>
  <si>
    <t>CONSTRUCCION ALCANTARILLADO DE AGUAS SERVIDAS LA TROYA, SAN FELIPE</t>
  </si>
  <si>
    <t xml:space="preserve">CONSTRUCCION ALCANTARILLADO NUEVO RENACER, VALLE DEL REAL LOS ANDES </t>
  </si>
  <si>
    <t>LOS ANDES</t>
  </si>
  <si>
    <t>REPOSICION ESTADIO CENTENARIO COMUNA DE LOS ANDES</t>
  </si>
  <si>
    <t xml:space="preserve">REPOSICION PAVIMENTO TRASLAVIÑA ORIENTAL Y ETCHEVERS, VIÑA DEL MAR </t>
  </si>
  <si>
    <t>REPOSICION CUARTEL TERCERA COMPAÑIA DE BOMBEROS DE LIMACHE</t>
  </si>
  <si>
    <t xml:space="preserve">MEJORAMIENTO PAVIMENTO CALLE EL MOLINO, COMUNA SAN ESTEBAN </t>
  </si>
  <si>
    <t>SAN ESTEBAN</t>
  </si>
  <si>
    <t xml:space="preserve">REPOSICION PAVIMENTOS CALLE BAQUEDANO, COMUNA DE LIMACHE </t>
  </si>
  <si>
    <t>MEJORAMIENTO CIRCUITO DE CALLES VILLA EL SOL Y LA CONCEPCION, CATEMU</t>
  </si>
  <si>
    <t>CATEMU</t>
  </si>
  <si>
    <t>MEJORAMIENTO ALUMBRADO PÚBLICO RURAL PUTAENDO</t>
  </si>
  <si>
    <t>PUTAENDO</t>
  </si>
  <si>
    <t>REPOSICION CUARTEL DE BOMBEROS 2° COMPAÑIA LOS ANDES</t>
  </si>
  <si>
    <t>MEJORAMIENTO PAVIMENTACIÓN AV. EL PERAL, COMUNA EL TABO</t>
  </si>
  <si>
    <t>EL TABO</t>
  </si>
  <si>
    <t>CONSERVACION EDIFICIO ESCUELA DE DERECHO UNIVERSIDAD DE VALPARAÍSO</t>
  </si>
  <si>
    <t>VALPARAÍSO</t>
  </si>
  <si>
    <t>CONSTRUCCION CENTRO PLANETARIO COMUNA DE CALLE LARGA</t>
  </si>
  <si>
    <t>CALLE LARGA</t>
  </si>
  <si>
    <t>CONSTRUCCION SISTEMA ALCANTARILLADO SECTOR EL SAUCE LOS ANDES</t>
  </si>
  <si>
    <t>CONSERVACION COMPLEJO DEPORTIVO JUAN VERA VELASQUEZ, COMUNA DE SANTO DOMINGO</t>
  </si>
  <si>
    <t>REPOSICION LUMINARIAS PUBLICAS DE LA COMUNA DE NOGALES</t>
  </si>
  <si>
    <t>NOGALES</t>
  </si>
  <si>
    <t>AMPLIACION SERVICIO DE AGUA POTABLE RURAL HUALCAPO LAS PALMAS, HIJUELAS</t>
  </si>
  <si>
    <t>MEJORAMIENTO CALLE AVIADOR ACEVEDO, BELLOTO. QUILPUÉ</t>
  </si>
  <si>
    <t>QUILPUE</t>
  </si>
  <si>
    <t>CONSTRUCCION SEDE JUNTA VECINAL NUEVA RPC Y OBRAS C. CONCON</t>
  </si>
  <si>
    <t>CONCON</t>
  </si>
  <si>
    <t>CONSTRUCCION ALCANTARILLADO Y P.E.A.S. SECTOR CALLE ANCHA COMUNA DE SANTA MARIA</t>
  </si>
  <si>
    <t>SANTA MARIA</t>
  </si>
  <si>
    <t>MEJORAMIENTO CIRCUITO CALLE PEDRO MONTT, WENCESLAO VIDAL Y ALBERTO NAVARRO. QUILPUÉ</t>
  </si>
  <si>
    <t>CONSTRUCCION CUARTEL PRIMERA COMPAÑIA DE BOMBEROS DE EL QUISCO</t>
  </si>
  <si>
    <t>EL QUISCO</t>
  </si>
  <si>
    <t>CONSTRUCCION TALLER MONTAJE INDUSTRIAL LICEO SAN ESTEBAN</t>
  </si>
  <si>
    <t>REPOSICION SEDE ADMINISTRATIVA PARQUE NACIONAL LA CAMPANA OLMUE</t>
  </si>
  <si>
    <t>MEJORAMIENTO CALLE PABLO RAMIREZ. QUILPUÉ</t>
  </si>
  <si>
    <t>CONSTRUCCION PAVIMENTACIÓN Y AGUAS LLUVIAS CONEXIÓN QUEBRADA LAS CASAS, COMUNA DE ALGARROBO</t>
  </si>
  <si>
    <t>CONSTRUCCIÓN REDES DE ALCANTARILLADO SECTOR EL PIMIENTO, CALLE LARGA</t>
  </si>
  <si>
    <t>MEJORAMIENTO PAVIMENTACION AVENIDA COSTANERA, SECTOR SAN SEBASTIAN, COMUNA DE CARTAGENA</t>
  </si>
  <si>
    <t>CARTAGENA</t>
  </si>
  <si>
    <t>ACTUALIZACION PLAN DE DESARROLLO COMUNA COMUNA LLAY- LLAY</t>
  </si>
  <si>
    <t>LLAY LLAY</t>
  </si>
  <si>
    <t xml:space="preserve">NORMALIZACION CUARTEL PRIMERA COMPAÑÍA. DE BOMBEROS, LLAY - LLAY </t>
  </si>
  <si>
    <t>NORMALIZACION LICEO POLITÉCNICO COMUNA LLAY LLAY</t>
  </si>
  <si>
    <t>CONSTRUCCION REDES DE ALCANTARILLADO CURIMÓN CENTRO, SAN FELIPE</t>
  </si>
  <si>
    <t>MEJORAMIENTO SEDE SOCIAL JJ.VV POBLACION MORANDE, LLAY-LLAY</t>
  </si>
  <si>
    <t>AMPLIACION ALUMBRADO PUBLICO VARIOS SECTORES RURALES COMUNA DE SAN FELIPE</t>
  </si>
  <si>
    <t>MEJORAMIENTO PAVIMENTACIÓN AVENIDA ALGARROBO, COMUNA DE ALGARROBO</t>
  </si>
  <si>
    <t>DIAGNOSTICO PLAN DE DESARROLLO TURISTICO PROVINCIA MARGA MARGA</t>
  </si>
  <si>
    <t>ACTUALIZACION PLAN REGULADOR COMUNAL, COMUNA LA LIGUA</t>
  </si>
  <si>
    <t>LA LIGUA</t>
  </si>
  <si>
    <t>MEJORAMIENTO ALUMBRADO PUBLICO URBANO PUTAENDO</t>
  </si>
  <si>
    <t>CONSTRUCCION RETÉN PLAYA ANCHA, VALPARAISO</t>
  </si>
  <si>
    <t>CONSTRUCCION EXTENSIÓN RED ALCANTARILLADO CRUCE SAN JUAN, SAN ANTON.</t>
  </si>
  <si>
    <t>SAN ANTONIO</t>
  </si>
  <si>
    <t>CONSTRUCCION CENTRO INTERDISCIPLINARIO DE NEUROCIENCIA, VALPARAISO</t>
  </si>
  <si>
    <t>DIFUSION Y DESARROLLO DE ESCUELAS DEPORTIVAS PARA NIÁ¿OS Y ADOLESCENTES DE VILLA ALEMANA</t>
  </si>
  <si>
    <t>CONSTRUCCION PARQUE DEPORTIVO VELODOROMO REGIONAL VILLA ALEMANA (DISEÑO)</t>
  </si>
  <si>
    <t>CONSTRUCCION RED ALCANTARILLADO CALLE BULNES, OLMUÉ</t>
  </si>
  <si>
    <t>OLMUÉ</t>
  </si>
  <si>
    <t>CONSTRUCCION CENTRO CULTURAL COMUNA DE CONCON</t>
  </si>
  <si>
    <t>CONCÓN</t>
  </si>
  <si>
    <t xml:space="preserve">CONSTRUCCION MURO DE CONTENCIÓN CALLE LOS LIRIOS, VIÑA DEL MAR </t>
  </si>
  <si>
    <t>REPOSICION CUARTEL CUERPO BOMBEROS DE RINCONADA (DISEÑO)</t>
  </si>
  <si>
    <t>RINCONADA</t>
  </si>
  <si>
    <t>AMPLIACION RED DE ALCANTARILLADO VALLE LOS OLMOS, PETORCA (DISEÑO)</t>
  </si>
  <si>
    <t>REPOSICION CUARTEL 8 CÍA. BOMBEROS, VIÑA DEL MAR</t>
  </si>
  <si>
    <t>CONSTRUCCION RED DE ALCANTARILLADO CALLE PORTALES, OLMUE</t>
  </si>
  <si>
    <t>CONSTRUCCION RED DE ALCANTARILLADO SECTOR LO SALAS ALTO, OLMUE</t>
  </si>
  <si>
    <t>MEJORAMIENTO EJE CINCO ORIENTE-QUILLOTA, VIÑA DEL MAR (PREFACTIBILIDAD)</t>
  </si>
  <si>
    <t>CONSTRUCCION MURO DE CONTENCIÓN ESQUINA CALLE UNO - LIBERTAD, VIÑA DEL MAR</t>
  </si>
  <si>
    <t>MEJORAMIENTO ESPACIO PUBLICO BOULEVARD AVENIDA JOSÉ TOMAS URMENETA (DISEÑO)</t>
  </si>
  <si>
    <t>MEJORAMIENTO CALLE CUARTEL, COMUNA DE PETORCA</t>
  </si>
  <si>
    <t>CONSTRUCCION RED ALCANTARILLADO SECTOR CAI CAI ALTO, OLMUE</t>
  </si>
  <si>
    <t>REPOSICION CESFAM VALLE LOS LIBERTADORES, PUTAENDO (DISEÑO)</t>
  </si>
  <si>
    <t>CONSTRUCCION SISTEMA DE AGUA POTABLE RURAL CAMINO VIEJO LO CAMPO, (DISEÑO)</t>
  </si>
  <si>
    <t>PANQUEHUE</t>
  </si>
  <si>
    <t>CONSTRUCCION SUBCOMISARIA FORESTAL ALTO, COMUNA DE VIÑA DEL MAR (DISEÑO)</t>
  </si>
  <si>
    <t>CONSTRUCCION ALCANTARILLADO SECTOR GRANALLAS, PUTAENDO (DISEÑO)</t>
  </si>
  <si>
    <t>CONSTRUCCION PLAZA ALTOS DEL BOSQUE, COMUNA VIÑA DEL MAR (DISEÑO)</t>
  </si>
  <si>
    <t xml:space="preserve">REPOSICION DE SISTEMA DE REDES ELECTRICAS SASIPA SECTOR VAITEA - ISLA DE </t>
  </si>
  <si>
    <t>ISLA DE PASCUA</t>
  </si>
  <si>
    <t>CONSTRUCCION SISTEMA ALCANTARILLADO SECTORES VILCUYA-BOCATOMA, LOS ANDES (DISEÑO)</t>
  </si>
  <si>
    <t>CONSTRUCCION SISTEMA ALCANTARILLADO EL ALGARROBO TERRAPLEN LOS ANDES</t>
  </si>
  <si>
    <t xml:space="preserve">CONSTRUCCION SISTEMA ALCANTARILLADO PARTICULAR VILLA ACONCAGUA LOS ANDES </t>
  </si>
  <si>
    <t xml:space="preserve">CONSTRUCCION SISTEMA ALCANTARILLADO PARTICULAR LOS PEUMOS LOS ANDES </t>
  </si>
  <si>
    <t>MEJORAMIENTO PAVIMENTO EJE VIAL AVDA. ALESSANDRI - AVDA. STA. TERESA COMUNA DE SAN ESTEBAN (DISEÑO)</t>
  </si>
  <si>
    <t>ACTUALIZACION PLADECO COMUNA DE OLMUE</t>
  </si>
  <si>
    <t>MEJORAMIENTO CALLE CONSTITUCION, COMUNA DE QUILPUE</t>
  </si>
  <si>
    <t>CONSTRUCCION EXTENSION REDES ALCANTARILLADO Y AGUA POTABLE, CALLE LOS ARRAYANES, V ALEMANA (DISEÑO)</t>
  </si>
  <si>
    <t>CONSTRUCCION ALCANTARILLADO Y AGUA POTABLE, CALLE LOS EUCALIPTUS, VILLA ALEMANA</t>
  </si>
  <si>
    <t>MEJORAMIENTO PAVIMENTO CALLE HUANHUALI ENTRE CALLE NIEBLA Y TRONCAL SUR, VILLA ALEMANA (DISEÑO)</t>
  </si>
  <si>
    <t xml:space="preserve">REPOSICION DE LA 1RA COMPAÑÍA DE BOMBEROS DE VILLA ALEMANA </t>
  </si>
  <si>
    <t>ACTUALIZACION PLAN DE DESARROLLO COMUNAL LA CALERA 2021-2024</t>
  </si>
  <si>
    <t>LA CALERA</t>
  </si>
  <si>
    <t>ANALISIS PLAN DE DESARROLLO TURISTICO COMUNA DE LA CALERA</t>
  </si>
  <si>
    <t>NORMALIZACION ESCUELA BASICA LA VIÑA, CABILDO (DISEÑO)</t>
  </si>
  <si>
    <t>REPOSICION LUMINARIAS EN QUINQUIMO, PLACILLA Y LA CHIMBA, COMUNA DE LA LIGUA</t>
  </si>
  <si>
    <t>CONSTRUCCION ALCANTARILLADO Y AGUA POTABLE SECTOR LAS CATITAS, COMUNA PUCHUNCAVI</t>
  </si>
  <si>
    <t>PUCHUNCAVÍ</t>
  </si>
  <si>
    <t>MEJORAMIENTO PAVIMENTACIÓN Y AGUAS LLUVIAS ISLA TEJA; CONDELL; SANTA.FILOMENA, QUINTERO</t>
  </si>
  <si>
    <t>QUINTERO</t>
  </si>
  <si>
    <t>CONSERVACION REPARACIONES DE EMERGENCIA ETAPA 3, VARIOS CERROS, VALPARAISO</t>
  </si>
  <si>
    <t>CONSERVACION CESFAM QUEBRADA VERDE PLAYA ANCHA VALPARAISO</t>
  </si>
  <si>
    <t xml:space="preserve">MEJORAMIENTO PAVIMENTACIÓN AVENIDA PRINCIPAL, SECTOR LAGUNA VERDE, COMUNA DE VALPARAISO </t>
  </si>
  <si>
    <t>REPOSICION PAVIMENTACION CALLE INGENIERO HYATT, CERRO CORDILLERA VALPARAISO</t>
  </si>
  <si>
    <t>CONSTRUCCION ARCHIVO REGIONAL DE VALPARAISO (DISEÑO)</t>
  </si>
  <si>
    <t>ACTUALIZACION PLADETUR Y DEFINICION ZOIT COMUNA DE VIÑA DEL MAR</t>
  </si>
  <si>
    <t xml:space="preserve">CONSTRUCCION CUARTEL USAR FT-1 CUERPO DE BOMBEROS DE VIÑA DEL MAR </t>
  </si>
  <si>
    <t>MEJORAMIENTO PASEO CALLE VALPARAISO PONIENTE DE VIÑA DEL MAR</t>
  </si>
  <si>
    <t xml:space="preserve">REPOSICION CIRCUITO CALLE LOS AROMOS  - EL BOLDO VIÑA DE MAR </t>
  </si>
  <si>
    <t>CONSTRUCCION SISTEMA DE AGUA POTABLE RURAL ARTURO PRAT, PANQUEHUE (DISEÑO)</t>
  </si>
  <si>
    <t>RESTAURACION IGLESIA, CONVENTO Y MUSEO COLONIAL SAN FRANCISCO DE CURIMON, SAN FELIPE (DISEÑO)</t>
  </si>
  <si>
    <t>REPOSICION AVDA. YUNGAY Y CALLE ARTEMON CIFUENTES, SAN FELIPE</t>
  </si>
  <si>
    <t>CONSTRUCCION SISTEMA DE ILUMINACION RECINTO CD BOCA JUNIORS, COMUNA DE SANTA MARIA</t>
  </si>
  <si>
    <t xml:space="preserve">CONSTRUCCION SISTEMA DE ILUMINACION RECINTO CD ALIANZA CATOLICA, COMUNA DE SANTA MARIA </t>
  </si>
  <si>
    <t>ACTUALIZACION PLADECO 2021 2025 COMUNA DE PUTAENDO</t>
  </si>
  <si>
    <t>CONSTRUCCION PARQUE URBANO SECTOR EL LITRE , COMUNA DE ALGARROBO</t>
  </si>
  <si>
    <t>MEJORAMIENTO PAVIMENTACION AVENIDA DE LA PLAZA, COMUNA DE CARTAGENA</t>
  </si>
  <si>
    <t>CONSTRUCCION ALCANTAR Y AA.PP LOS PERALES LAURO BARROS SAN ANTONIO</t>
  </si>
  <si>
    <t>MEJORAMIENTO INTEGRAL AERÓDROMO RODELILLO REGION DE VALPARAISO (DISEÑO)</t>
  </si>
  <si>
    <t xml:space="preserve">CONSTRUCCION SISTEMA DE ALCANTARILLADO SECTOR RIECILLO LOS ANDES </t>
  </si>
  <si>
    <t xml:space="preserve">CONSTRUCCION SISTEMA DE ALCANTARILLADO PARTICULAR LAS VIZCACHAS II LOS ANDES </t>
  </si>
  <si>
    <t>INSTALACION DE SISTEMA DE AGUA POTABLE RURAL VILLA DISPUTADA, COMUNA DE NOGALES</t>
  </si>
  <si>
    <t>CONSTRUCCION EXTENSION DE REDES AGUA POTABLE Y ALCANTARILLADO LA LAGUNA, COMUNA DE ZAPALLAR</t>
  </si>
  <si>
    <t>CONSTRUCCION SISTEMA ALCANTARILLADO EL ALGARROBO TERRAPLEN LOS ANDES (DISEÑO)</t>
  </si>
  <si>
    <t>CONSTRUCCION ESTACION DE TRANSFERENCIA DE RESIDUOS SOLIDOS COMUNA DE CABILDO (DISEÑO)</t>
  </si>
  <si>
    <t>CONSTRUCCION SISTEMA ALCANTARILLADO SECTOR GUZMANES, PUTAENDO (DISEÑO)</t>
  </si>
  <si>
    <t>CONSTRUCCION RED DE ALCANTARILLADO PASAJE ARANCIBIA, OLMUE</t>
  </si>
  <si>
    <t>CONSERVACION VIAL Y REPARACIÓN ESP. PÚBLICOS AV. MATTA ETAPA 2 VALPO</t>
  </si>
  <si>
    <t>REPOSICION OFICINA REGISTRO CIVIL DE QUIPUÉ</t>
  </si>
  <si>
    <t>CONSTRUCCION RED DE ALCANTARILLADO DEL SECTOR PLACILLA/LA CHIMBA, COMUNA DE LA LIGUA (DISEÑO)</t>
  </si>
  <si>
    <t>CONSTRUCCION ALCANTARILLADO Y AGUA POTABLE CHINCOLCO CENTRO, PETORCA (DISEÑO)</t>
  </si>
  <si>
    <t xml:space="preserve">DIAGNOSTICO PLAN MARCO DE DESARROLLO TERRITORIAL VALLES DE CABILDO Y PETORCA </t>
  </si>
  <si>
    <t>CONSTRUCCION CENTRO ARTÍSTICO CULTURAL Y PATRIMONIAL PUTAENDO (DISEÑO)</t>
  </si>
  <si>
    <t>CONSTRUCCION GIMNASIO COMUNAL PANQUEHUE (DISEÑO)</t>
  </si>
  <si>
    <t>RESTAURACION SEGUNDO TRAMO CALLE COMERCIO PUTAENDO (DISEÑO)</t>
  </si>
  <si>
    <t>CONSTRUCCION SISTEMA DE ALCANTARILLADO PARTICULAR LAS VIZCACHAS II LOS ANDES (DISEÑO)</t>
  </si>
  <si>
    <t>MEJORAMIENTO INFRAESTRUCTURA DEPORTIVA CLUB NEW CRUSADERS VALPARAISO (DISEÑO)</t>
  </si>
  <si>
    <t>MEJORAMIENTO SISTEMA DE AGUA POTABLE RURAL PALOMAR INTERIOR, PANQUEHUE (DISEÑO)</t>
  </si>
  <si>
    <t>REPOSICION SISTEMA DE AGUA POTABLE RURAL POBLACION BULNES, PANQUEHUE (DISEÑO)</t>
  </si>
  <si>
    <t>MEJORAMIENTO SISTEMA DE AGUA POTABLE RURAL VILLA LO CAMPO, PANQUEHUE (DISEÑO)</t>
  </si>
  <si>
    <t>MEJORAMIENTO SISTEMA DE AGUA POTABLE RURAL POBLACION 9 DE OCTUBRE, PANQUEHUE (DISEÑO)</t>
  </si>
  <si>
    <t>RESTAURACION CAPILLA LO VICUÑA, COMUNA DE PUTAENDO.</t>
  </si>
  <si>
    <t>CONSTRUCCION COMPLEJO DE PISCINAS MUNICIPALES VILLA OLIMPICA, QUILPUÉ</t>
  </si>
  <si>
    <t>REPOSICION ESTADIO MUNICIPAL DE MIRAFLORES, VIÑA DEL MAR</t>
  </si>
  <si>
    <t>HABILITACION MUSEO UNIVERSITARIO DEL GRABADO, VALPARAÍSO</t>
  </si>
  <si>
    <t>CONSTRUCCION ALCANTARILLADO Y AGUA POTABLE VARIOS SECTORES, PETORCA</t>
  </si>
  <si>
    <t>MEJORAMIENTO ESPACIO PUBLICO AVENIDA BRASIL, COMUNA DE VALPARAISO (DISEÑO)</t>
  </si>
  <si>
    <t>MEJORAMIENTO  ,ESPACIOS PÚBLICOS II ETAPA CENTRO NOGALES</t>
  </si>
  <si>
    <t>CONSERVACION Y REPARACION EDIFICIO ESMERALDA VALPARAISO</t>
  </si>
  <si>
    <t>MEJORAMIENTO SISTEMA DE AGUA POTABLE RURAL LOS LIBERTADORES, PANQUEHUE (DISEÑO)</t>
  </si>
  <si>
    <t>CONSTRUCCION DE POLIDEPORTIVO LIMACHE (DISEÑO)</t>
  </si>
  <si>
    <t>MEJORAMIENTO CALLE MADRID, BELLOTO SUR. QUILPUE</t>
  </si>
  <si>
    <t>CONSTRUCCION PAVIMENTO CALLE CARCEL PARQUE CULTURAL VALPO</t>
  </si>
  <si>
    <t>MEJORAMIENTO PLAZA LAS MARAVILLAS, VIÑA DEL MAR (DISEÑO)</t>
  </si>
  <si>
    <t>CONSTRUCCION MURO DE CONTENCIÓN EN CALLE DARWIN, VIÑA DEL MAR</t>
  </si>
  <si>
    <t>CONSTRUCCION TUNEL LA GRUPA 2 PROV. PETORCA (DISEÑO)</t>
  </si>
  <si>
    <t>NORMALIZACION CONEXIÓN SCAT SAN ANTONIO</t>
  </si>
  <si>
    <t>CONSTRUCCION PLANTA DE GENERACIÓN FOTOVOLTAICA PARA SECTOR VAI A REPA, RAPA NUI</t>
  </si>
  <si>
    <t>MEJORAMIENTO PAVIMENTACIÓN CALLE PERFECTO DE LA FUENTE, RINCONADA</t>
  </si>
  <si>
    <t>REPOSICION CENTRO DE FORMACIÓN ACADÉMICA PERFECTO DE LA FUENTE, RINCONADA (DISEÑO)</t>
  </si>
  <si>
    <t>CONSTRUCCION EXTENSIÓN REDES PÚBLICAS DE ALCANTARILLADO Y EEAS, VILLA RINCONADA, RINCONADA</t>
  </si>
  <si>
    <t>MEJORAMIENTO CALLE COOPERACIÓN (FLAMARIÓN - SAN FRANCISCO DE ASÍS). QUILPUÉ</t>
  </si>
  <si>
    <t>14-28-48-49-56</t>
  </si>
  <si>
    <t>MEJORAMIENTO CIRCUITO CALLES DEL NOGAL, EL LITRE Y DEL PLATERO, POB. ESPERANZA. QUILPUE</t>
  </si>
  <si>
    <t xml:space="preserve">MEJORAMIENTO Y HABILITACIÓN CALLE EL OCASO, BELLOTO SUR. QUILPUÉ </t>
  </si>
  <si>
    <t>14-28-33-48-49</t>
  </si>
  <si>
    <t>REPOSICION PAVIMENTOS CALLE CONDELL, COMUNA DE LIMACHE</t>
  </si>
  <si>
    <t>MEJORAMIENTO PAVIMENTO CALLE NUEVA HIPÓDROMO, VILLA ALEMANA (DISEÑO)</t>
  </si>
  <si>
    <t xml:space="preserve">NORMALIZACION ESCUELA BASICA VALLE DE ARTIFICIO, CABILDO. (DISEÑO) </t>
  </si>
  <si>
    <t>REPOSICION DE LUMINARIAS PUBLICAS SECTOR VALLE HERMOSO, COMUNA DE LA LIGUA</t>
  </si>
  <si>
    <t>REPOSICION LUMINARIAS PUBLICAS VIAS COLECTORAS, COMUNA DE QUILLOTA</t>
  </si>
  <si>
    <t>QUILLOTA</t>
  </si>
  <si>
    <t>CONSTRUCCION CENTRO INTEGRAL DE VALORIZACIÓN DE RSD, COMUNA DE NOGALES (DISEÑO)</t>
  </si>
  <si>
    <t>14-35</t>
  </si>
  <si>
    <t>CONSTRUCCION ALCANTARILLADO PUBLICO SECTOR SAN CARLOS, COMUNA DE NOGALES</t>
  </si>
  <si>
    <t xml:space="preserve">MEJORAMIENTO PAVIMENTACION CIRCUITO LINCOLN, ARGENTINA, F. EDMANS Y STO DOMIGO, EL TABO </t>
  </si>
  <si>
    <t>ACTUALIZACION PLAN REGULADOR, COMUNA DE PUCHUNCAVI</t>
  </si>
  <si>
    <t>MEJORAMIENTO PAVIMENTACION AVENIDA PEDRO AGUIRRE CERDA, COMUNA DE CARTAGENA</t>
  </si>
  <si>
    <t>14-38-48</t>
  </si>
  <si>
    <t>MEJORAMIENTO CALLES BALMACEDA, J.J. DEL CANTO E IRARRAZABAL, CATEMU</t>
  </si>
  <si>
    <t>14-32-38-48</t>
  </si>
  <si>
    <t>CONSTRUCCION PAVIMENTO CALLE SEPTIMO DE LINEA, CATEMU</t>
  </si>
  <si>
    <t>MEJORAMIENTO PAVIMENTO Y ATRAVIESOS CALLE I.CARRERA PINTO, LLAY -LLAY</t>
  </si>
  <si>
    <t>REPOSICION RECINTO CENTRO COMUNITARIO ESCUADRA II, COMUNA DE SAN FELIPE.</t>
  </si>
  <si>
    <t>REPOSICION SEDE COMUNITARIA EL TAMBO, COMUNA SAN FELIPE</t>
  </si>
  <si>
    <t>REPOSICION PAVIMENTO CALLE BELISARIO MONTENEGRO, SAN FELIPE (DISEÑO)</t>
  </si>
  <si>
    <t xml:space="preserve">REPOSICION MUTICANCHA ESCUELA BUCALEMU, SAN FELIPE </t>
  </si>
  <si>
    <t>MEJORAMIENTO RECINTO CLUB DEPORTIVO LOS HUSARES, COMUNA DE SANTA MARIA</t>
  </si>
  <si>
    <t>CONSTRUCCION POLIDEPORTIVO MUNICIPAL DE CASABLANCA</t>
  </si>
  <si>
    <t>CASABLANCA</t>
  </si>
  <si>
    <t>14-23-54</t>
  </si>
  <si>
    <t>CONSTRUCCION PAVIMENTACIÓN CALLE SALAS, QUINTERO</t>
  </si>
  <si>
    <t>CONSTRUCCION PAVIMENTACIÓN CALLE JOSE BRITO, QUINTERO</t>
  </si>
  <si>
    <t>CONSTRUCCION SEDE SOCIAL UV 10 ROCUANT, VALPARAISO</t>
  </si>
  <si>
    <t>REPOSICION CUARTEL DUODECIMA COMPAÑÍA DE BOMBEROS VALPARAISO</t>
  </si>
  <si>
    <t>14-49</t>
  </si>
  <si>
    <t>CONSTRUCCION CENTRO OPERATIVO DE VEHÍCULOS DE EMERGENCIA DE INCENDIOS FORESTALES, VALPARAÍSO (DISEÑO)</t>
  </si>
  <si>
    <t>MEJORAMIENTO PAVIMENTACION CIRCUITO LOMAS LATORRE - ACHUPALLAS VIÑA DEL</t>
  </si>
  <si>
    <t>CONSTRUCCION SEDE SOCIAL ASOCIACIÓN DE FÚTBOL GÓMEZ CARREÑO, VIÑA DEL MAR.</t>
  </si>
  <si>
    <t xml:space="preserve">REPOSICION CUARTEL DE BOMBEROS 10 COMPAÑIA, MIRAFLORES DE VIÑA DEL MAR </t>
  </si>
  <si>
    <t>REPOSICION TENENCIA REÑACA, COMUNA DE VIÑA DEL MAR (DISEÑO)</t>
  </si>
  <si>
    <t>REPOSICION CESFAM DE PUCHUNCAVI</t>
  </si>
  <si>
    <t>MEJORAMIENTO PAVIMENTO CIRCUITO LOS ROMEROS COMUNA DE CONCÓN</t>
  </si>
  <si>
    <t xml:space="preserve">CONSTRUCCION PLANTA DE COMPOSTAJE, CASABLANCA </t>
  </si>
  <si>
    <t>CONSTRUCCION SISTEMA DE ALCANTARILLADO SECTOR RIECILLO LOS ANDES (DISEÑO)</t>
  </si>
  <si>
    <t>HABILITACION CASA MUSEO Y CULTURA GABRIELA MISTRAL, LOS ANDES (DISEÑO)</t>
  </si>
  <si>
    <t>15-49</t>
  </si>
  <si>
    <t>RESTAURACION DEL EDIFICIO PONTIFICIA UNIVERSIDAD CATOLICA DE VALPARAISO</t>
  </si>
  <si>
    <t>HABILITACION IMAGENOLOGIA COMPLEJA HOSPITAL EDUARDO PEREIRA, VALPO</t>
  </si>
  <si>
    <t>ANALISIS DIAGNOSTICO ESTRUCTURAL PUENTES VIÑA DEL MAR</t>
  </si>
  <si>
    <t>MEJORAMIENTO PAVIMENTO CALLE SEXTA ENTRE LIMA Y OCTAVA, VILLA ALEMANA</t>
  </si>
  <si>
    <t>CONSTRUCCION ALCANTARILLADO Y AGUA POT.,LA GRUTA, PETORCA</t>
  </si>
  <si>
    <t>CONSTRUCCION PARQUE MIRAVALLE VILLA ALEMANA (DISEÑO)</t>
  </si>
  <si>
    <t>REPOSICION CUARTEL PREFECTURA PROVINCIAL LOS ANDES</t>
  </si>
  <si>
    <t>CONSTRUCCION SISTEMA ALCANTARILLADO RURAL LO CAMPO PANQUEHUE (DISEÑO)</t>
  </si>
  <si>
    <t>RESTAURACION IGLESIA Y CONVENTO SAN FRANCISCO DEL BARÓN, VALPARAÍSO</t>
  </si>
  <si>
    <t xml:space="preserve">CONSTRUCCION CENTRO INTEGRAL DEL ADULTO MAYOR, QUILPUÉ </t>
  </si>
  <si>
    <t>REPOSICION ACELERADOR LINEAL Y BUNKER HCVB</t>
  </si>
  <si>
    <t>MEJORAMIENTO PAVIMENTACIÓN A.V. ERRAZURIZ, COMUNA EL TABO</t>
  </si>
  <si>
    <t>MEJORAMIENTO PAVIMENTACIÓN CIRCUITO VIAL AERÓDROMO, COMUNA DE SANTO DOMINGO</t>
  </si>
  <si>
    <t>MEJORAMIENTO MIRADOR O´HIGGINS, COMUNA DE VALPARAÍSO (DISEÑO)</t>
  </si>
  <si>
    <t>CONSTRUCCION CENTRO COMUNITARIO AGRUPACION JJ.VV. SAN PEDRO. QUILLOTA</t>
  </si>
  <si>
    <t xml:space="preserve">CONSTRUCCCION DE RED DE ALCANTARILLADO Y AGUA POTABLE CALLE SANTA ANA, VILLA ALEMANA  </t>
  </si>
  <si>
    <t xml:space="preserve">CONSTRUCCION RECINTO COMUNITARIO LOS CIPRESES VILLA ALEMANA </t>
  </si>
  <si>
    <t>REPOSICION PAVIMENTO CALLE GERMAN RIESCO, ZAPALLAR</t>
  </si>
  <si>
    <t>CONSTRUCCION ALCANTARILLADO SECTOR LAS PARCELAS - CALLE YUNGAY, COMUNA CARTAGENA</t>
  </si>
  <si>
    <t>CONSTRUCCION ALCANTARILLADO Y AGUA POTABLE SECTOR EL MÉDANO, COMUNA PUCHUNCAVÍ</t>
  </si>
  <si>
    <t xml:space="preserve">CONSTRUCCION RED AGUA POTABLE CALLEJÓN LOS JIMENEZ SAN ESTEBAN </t>
  </si>
  <si>
    <t>HABILITACION CENTRO CULTURAL LA CALERA</t>
  </si>
  <si>
    <t>CONSTRUCCION MUROS DE CONTENCIÓN AV. LOS CARRERA. QUILPUÉ.</t>
  </si>
  <si>
    <t>ACTUALIZACION PLAN REGULADOR COMUNAL, VILLA ALEMANA</t>
  </si>
  <si>
    <t>MEJORAMIENTO PAVIMENTACIÓN CALLE ENRIQUE LAGOS, COMUNA EL TABO</t>
  </si>
  <si>
    <t>REPOSICION CESFAM CURIMON, SAN FELIPE (DISEÑO)</t>
  </si>
  <si>
    <t>28-54</t>
  </si>
  <si>
    <t>REPOSICION ESTADIO MUNICIPAL EL TABO</t>
  </si>
  <si>
    <t xml:space="preserve">CONSTRUCCION CENTRO COMUNITARIO, VILLA EL MIRADOR, QUILPUE  </t>
  </si>
  <si>
    <t>ACTUALIZACION PLAN DE DESARROLLO COMUNAL SAN ESTEBAN</t>
  </si>
  <si>
    <t>REPOSICION PAVIMENTO CALLE PETORQUITA, COMUNA DE HIJUELAS</t>
  </si>
  <si>
    <t xml:space="preserve">CONSTRUCCION CUARTEL DE BOMBEROS 3a COMPAÑÍA, EL RETIRO, QUILPUE. </t>
  </si>
  <si>
    <t>MEJORAMIENTO PUENTE COPIAPO, COMUNA DE HIJUELAS (DISEÑO)</t>
  </si>
  <si>
    <t>MEJORAMIENTO PAVIMENTO Y ATRAVIESOS AV. FERROCARRIL, LLAY-LLAY</t>
  </si>
  <si>
    <t>REPOSICION ESTADIO FISCAL COMUNA PUTAENDO (DISEÑO)</t>
  </si>
  <si>
    <t>CONSTRUCCION MULTICANCHA VILLA PEDRO DE VALDIVIA, COMUNA DE SAN FELIPE</t>
  </si>
  <si>
    <t>REPOSICION SEDE COMUNITARIA VILLA CORDILLERA, COMUNA DE SAN FELIPE</t>
  </si>
  <si>
    <t>REPOSICION LUMINARIAS PÚBLICAS DIVERSOS SECTORES COMUNA DE ALGARROBO</t>
  </si>
  <si>
    <t>REPOSICION CUARTEL 6° COMPAÑÍA DE BOMBEROS DE PANQUEHUE</t>
  </si>
  <si>
    <t>CONSTRUCCION RECINTO COMUNITARIO ASOCIACION DE FUTBOL UNION PEÑA BLANCA, VILLA ALEMANA</t>
  </si>
  <si>
    <t>REPOSICION BIBLIOTECA MUNICIPAL N° 126 DE SAN FELIPE</t>
  </si>
  <si>
    <t>MEJORAMIENTO MIRADORES Y VEREDAS CALLE DINAMARCA, VALPARAISO (DISEÑO)</t>
  </si>
  <si>
    <t>REPOSICION INSTALACIONES DEPORTIVAS PARQUE VISTA AL MAR, COMUNA CONCON</t>
  </si>
  <si>
    <t>CONSTRUCCION COMPLEJO DEPORTIVO MUNICIPAL, COMUNA DE LA CRUZ</t>
  </si>
  <si>
    <t>LA CRUZ</t>
  </si>
  <si>
    <t>REPOSICION PAVIMENTOS LOS PENSAMIENTOS (QUEBR. EXISTENTE-LAGO VILLARICA, REÑACA ALTO, VIÑA</t>
  </si>
  <si>
    <t>REPOSICION PAVIMENTOS CALLE INDEPENDENCIA, COMUNA DE LIMACHE</t>
  </si>
  <si>
    <t>CONSTRUCCION SEDE VECINAL MARIA LUISA BOMBAL, VIÑA DEL MAR</t>
  </si>
  <si>
    <t>MEJORAMIENTO TEATRO MUNICIPAL, LLAY-LLAY</t>
  </si>
  <si>
    <t>REPOSICION CENTRO DEPORTIVO FORTIN FERROVIARIO, COMUNA DE LLAY-LLAY</t>
  </si>
  <si>
    <t>MEJORAMIENTO PAVIMENTACION AVENIDA PEÑABLANCA, COMUNA DE ALGARROBO (DISEÑO)</t>
  </si>
  <si>
    <t>MEJORAMIENTO CALLE SAN FRANCISCO DE ASÍS (ORTIZ VEGA - SOLIDARIDAD). QUILPUÉ</t>
  </si>
  <si>
    <t xml:space="preserve">QUILPUE </t>
  </si>
  <si>
    <t>MEJORAMIENTO PAVIMENTACION AVENIDA SANTA TERESITA, COMUNA DE ALGARROBO (DISEÑO)</t>
  </si>
  <si>
    <t>MEJORAMIENTO CIRCUITO AV. COSTANERA Y CALLE VICENTE PEREZ ROSALES, COMUNA DE ALGARROBO</t>
  </si>
  <si>
    <t>MEJORAMIENTO ESPACIO PUBLICO LONGITUDINAL AVENIDA CURAUMA, VALPARAISO (DISEÑO)</t>
  </si>
  <si>
    <t>MEJORAMIENTO PAVIMENTACIÓN CALLE LA MUNICIPALIDAD COMUNA DE ALGARROBO</t>
  </si>
  <si>
    <t>REPOSICION PAVIMENTO CALLE ANTONIO VARAS, LLAY-LLAY</t>
  </si>
  <si>
    <t>CONSTRUCCION EXTENSIÓN RED ALCANTARILLADO SECTOR EL CANELO, COMUNA DE ALGARROBO</t>
  </si>
  <si>
    <t>MEJORAMIENTO PAVIMENTACIÓN CALLE BERLIN, COMUNA DE CARTAGENA</t>
  </si>
  <si>
    <t>REPOSICION ACERAS CALLE ARLEGUI PONIENTE COMUNA DE VIÑA DEL MAR</t>
  </si>
  <si>
    <t>CONSTRUCCION MURO DE CONTENCIÓN EN CALLE PADRE HURTADO, VIÑA DEL MAR</t>
  </si>
  <si>
    <t>ACTUALIZACION PLADECO 2021-2026 COMUNA DE CARTAGENA</t>
  </si>
  <si>
    <t>ACTUALIZACION PLAN REGULADOR COMUNA DE OLMUE</t>
  </si>
  <si>
    <t>ACTUALIZACION PLAN REGULADOR COMUNAL, COMUNA EL TABO</t>
  </si>
  <si>
    <t>CONSERVACION PAVIMENTOS EN CALLES Y PASAJES DAMERO CENTRAL COMUNA SAN ESTEBAN</t>
  </si>
  <si>
    <t>CONSERVACION VIAL CALLES DE PLAYA ANCHA, ETAPA 1, VALPARAÍSO</t>
  </si>
  <si>
    <t>CONSERVACION INTEGRAL PISCINA MUNICIPAL, CALLE LARGA</t>
  </si>
  <si>
    <t>CONSERVACION JARDIN INFANTIL-SALA CUNA CONCONCITO Y PUENTE COLMO</t>
  </si>
  <si>
    <t>ACTUALIZACION Y DESARROLLO PLAN REGULADOR COMUNAL DE LLAY-LLAY</t>
  </si>
  <si>
    <t>REPOSICION GIMNASIO MUNICIPAL LA CALERA (DISEÑO)</t>
  </si>
  <si>
    <t>33-48</t>
  </si>
  <si>
    <t>REPOSICION PARQUE DEPORTIVO Y RECREATIVO DEL PACÍFICO SAN ANTONIO (DISEÑO)</t>
  </si>
  <si>
    <t xml:space="preserve">CONSTRUCCION SISTEMA ALCANTARILLADO SECTOR GUZMANES, PUTAENDO </t>
  </si>
  <si>
    <t xml:space="preserve">NORMALIZACION ESCUELA RAMON BARROS LUCO, VALPARAISO </t>
  </si>
  <si>
    <t>ANALISIS DESARROLLO ECONÓMICO, COMUNA DE SAN ANTONIO</t>
  </si>
  <si>
    <t>DIAGNOSTICO DEFICIT SANEAMIENTO COMUNAL ZAPALLAR</t>
  </si>
  <si>
    <t>DIAGNOSTICO PLAN DESARROLLO TURISTICO COMUNA PUTAENDO</t>
  </si>
  <si>
    <t>ACTUALIZACION PLAN REGULADOR DE LA COMUNA DE ALGARROBO</t>
  </si>
  <si>
    <t>ACTUALIZACION PLAN DE DESARROLLO COMUNAL QUILLOTA</t>
  </si>
  <si>
    <t>CONSTRUCCION PUENTE LOS CASTAÑOS, ESTERO MARGA MARGA, VIÑA DEL MAR</t>
  </si>
  <si>
    <t>CONSTRUCCION SAR SEGISMUNDO ITURRA, SAN FELIPE (DISEÑO)</t>
  </si>
  <si>
    <t>REPOSICION OFICINA PROVINCIAL CONAF ISLA DE PASCUA</t>
  </si>
  <si>
    <t>MEJORAMIENTO PAVIMENTACIÓN Y AGUAS LLUVIAS CALLE DAGOBERTO GODOY, QUINTERO</t>
  </si>
  <si>
    <t>REPOSICION CESFAM EL TABO</t>
  </si>
  <si>
    <t xml:space="preserve">CONSTRUCCION CIERRE VERTEDERO MUNICIPAL, PUCHUNCAVI </t>
  </si>
  <si>
    <t>CONSTRUCCION COLECTORES AGUAS LLUVIAS, CALLE ARTURO PRAT, LOS ANDES</t>
  </si>
  <si>
    <t>CONSTRUCCION SEDE ADULTO MAYOR - DISCAPACIDAD Y OBRAS COMPLEMEN CONCÓN</t>
  </si>
  <si>
    <t>CONSTRUCCION SEDE SOCIAL PARA LA JUVENTUD Y OBRAS COMPL. CONCON</t>
  </si>
  <si>
    <t>MEJORAMIENTO RECINTO DEPORTIVO LA FEBRE , HIJUELAS</t>
  </si>
  <si>
    <t>REPOSICION DE LUMINARIAS CON EXTENSION DE A.P. CALLE ESMERALDA, COMUNA DE LA LIGUA</t>
  </si>
  <si>
    <t>REPOSICION DE LUMINARIAS PÚBLICAS SECTOR COSTERO LOS MOLLES, COMUNA DE LA LIGUA</t>
  </si>
  <si>
    <t>NORMALIZACION HOSPITAL EDUARDO PEREIRA, VALPARAISO (PREFACTIBILIDAD)</t>
  </si>
  <si>
    <t>AMPLIACION SEDE SOCIAL ALTOS DEL BOSQUE UV N°164, VIÑA DEL MAR.</t>
  </si>
  <si>
    <t>CONSTRUCCION CENTRO COMUNITARIO CASA LÓPEZ, CABILDO</t>
  </si>
  <si>
    <t>REPOSICION CLUB SOCIAL Y DEPORTIVO ESPAÑOL, COMUNA SAN ANTONIO</t>
  </si>
  <si>
    <t>AMPLIACION ALUMBRADO PÚBLICO DIVERSOS CAMINOS PÚBLICOS, PUCHUNCAVÍ</t>
  </si>
  <si>
    <t>MEJORAMIENTO PAVIMENTO SALVADOR VERGARA, ENTRE O HIGGINS Y FRESIA, REÑACA, VIÑA DEL MAR</t>
  </si>
  <si>
    <t>CONSERVACION CIERRE PERIMETRAL Y CIERRE OLIMPICO COMPLEJO DEPORTIVO MUNICIPAL  PUCHUNCAVI</t>
  </si>
  <si>
    <t>MEJORAMIENTO INTEGRAL CLUB DEPORTIVO DEFENSOR CRISTO REY SAN ANTONIO</t>
  </si>
  <si>
    <t>REPOSICION CUARTEL BICRIM PDI, VILLA ALEMANA (DISEÑO)</t>
  </si>
  <si>
    <t>MEJORAMIENTO PAVIMENTO CIRCUITO CIRCUNVALACION SAN IGNACIO-CALLE SAN IGNACIO, LLAY - LLAY</t>
  </si>
  <si>
    <t>MEJORAMIENTO PLANTA DE TRATAMIENTO SECTOR RIO BLANCO LOS ANDES</t>
  </si>
  <si>
    <t>ACTUALIZACION PLAN REGULADOR COMUNAL DE PUTAENDO</t>
  </si>
  <si>
    <t>CONSTRUCCION SISTEMA DE ALCANTARILLADO QUEBRADA HERRERA, PUTAENDO (DISEÑO)</t>
  </si>
  <si>
    <t>CONSTRUCCION ALCANTARILLADO SECTOR RINCONADA DE SILVA, PUTAENDO (DISEÑO)</t>
  </si>
  <si>
    <t>CONSTRUCCION DE APR DE MOSTAZAL, COMUNA SANTO DOMINGO (PREFACTIBILIDAD)</t>
  </si>
  <si>
    <t>CONSTRUCCION POLIDEPORTIVO CENTRO ELIGE VIVIR SANO, COMUNA DE LOS ANDES</t>
  </si>
  <si>
    <t>CONSTRUCCION POLIDEPORTIVO CENTRO ELIGE VIVIR SANO, COMUNA DE QUINTERO</t>
  </si>
  <si>
    <t>MEJORAMIENTO PAVIMENTO CIRCUITO AVDA 12 DE FEBRERO, CALLE DUCO, CALLE DARDIGNAC, SAN FELIPE (DISEÑO)</t>
  </si>
  <si>
    <t>MEJORAMIENTO AVENIDA ALESSANDRI, PUTAENDO</t>
  </si>
  <si>
    <t>REPOSICION CUARTEL SEXTA COMPAÑÍA BOMBEROS CONCÓN (DISEÑO)</t>
  </si>
  <si>
    <t>31-02</t>
  </si>
  <si>
    <t>MEJORAMIENTO INTEGRAL INTERCONEXION VIAL AV. EASTMAN (OLMUE-LIMACHE), PREFACTIBILIDAD</t>
  </si>
  <si>
    <t>CONSTRUCCION MERCADO MUNICIPAL ARAUCO</t>
  </si>
  <si>
    <t>EJECUCIÓN</t>
  </si>
  <si>
    <t>BIOBIO</t>
  </si>
  <si>
    <t>ARAUCO</t>
  </si>
  <si>
    <t>MEJORAMIENTO ESTADIO PROVINCIAL DE ATLETISMO, COMUNA DE LEBU</t>
  </si>
  <si>
    <t>LEBU</t>
  </si>
  <si>
    <t>REPOSICION PUENTE DUQUECO, PROVINCIA DE BIOBIO</t>
  </si>
  <si>
    <t>INTERPROVINCIAL</t>
  </si>
  <si>
    <t>REPOSICION CESFAM YUMBEL ESTACION</t>
  </si>
  <si>
    <t>YUMBEL</t>
  </si>
  <si>
    <t xml:space="preserve">REPOSICION CENTRO DE SALUD FAMILIAR Y SAR D. TRUJILLO SAN CARLOS </t>
  </si>
  <si>
    <t>ITERPROVINCIAL</t>
  </si>
  <si>
    <t>MEJORAMIENTO AVENIDA COLIUMO, COMUNA DE TOME</t>
  </si>
  <si>
    <t>TOME</t>
  </si>
  <si>
    <t>HABILITACION CENTRO DE DIALISIS HOSPITAL CURANILAHUE</t>
  </si>
  <si>
    <t>CURANILAHUE</t>
  </si>
  <si>
    <t>CONSTRUCCION SERVICIO MEDICO LEGAL DE CAÑETE</t>
  </si>
  <si>
    <t>CAÑETE</t>
  </si>
  <si>
    <t>REPOSICION LABORATORIO HOSPITAL DE BULNES</t>
  </si>
  <si>
    <t>BULNES</t>
  </si>
  <si>
    <t>CONSTRUCCION APR SAN ANTONIO, SANTA BARBARA</t>
  </si>
  <si>
    <t>SANTA BARBARA</t>
  </si>
  <si>
    <t>REPOSICION TEATRO MUNICIPAL COMUNA DE SANTA JUANA</t>
  </si>
  <si>
    <t>SANTA JUANA</t>
  </si>
  <si>
    <t>REPOSICION EDIFICIO CONSISTORIAL COMUNA DE TUCAPEL</t>
  </si>
  <si>
    <t>TUCAPEL</t>
  </si>
  <si>
    <t>REPOSICION ACERAS HUERTOS FAMILIARES SAN PEDRO DE LA PAZ</t>
  </si>
  <si>
    <t>SAN PEDRO E LA PAZ</t>
  </si>
  <si>
    <t>CONSTRUCCION COSTANERA QUILQUE ORIENTE, LOS ANGELES</t>
  </si>
  <si>
    <t>LOS ANGELES</t>
  </si>
  <si>
    <t>REPOSICION CONSULTORIO GENERAL RURAL PUEBLO SECO, SAN IGNACIO</t>
  </si>
  <si>
    <t>SAN IGNACIO</t>
  </si>
  <si>
    <t>REPOSICION ESCUELA MAPUDUNGUN G-857, SAN RAMON TIRUA</t>
  </si>
  <si>
    <t>TIRUA</t>
  </si>
  <si>
    <t>RESTAURACION Y HABILITACIÓN EX DEPORTIVO Y CINE BELLAVISTA DE TOMÉ</t>
  </si>
  <si>
    <t>CONSTRUCCION POLIDEPORTIVO, CAÑETE</t>
  </si>
  <si>
    <t>REPOSICION LICEO FRESIA MULLER, LEBU</t>
  </si>
  <si>
    <t>CONSTRUCCION CICLOVIA CARAMPANGUE-LA MESETA, COMUNA DE ARAUCO</t>
  </si>
  <si>
    <t>CONSTRUCCION PASEO COSTANERA SUR LAGUNA SEÑORAZA, LAJA</t>
  </si>
  <si>
    <t>LAJA</t>
  </si>
  <si>
    <t>CONSTRUCCION VEREDAS URBANAS, COMUNAS ASOCIACION PUNILLA</t>
  </si>
  <si>
    <t>MEJORAMIENTO DIVERSAS CALLES SECTOR URBANO CHARRUA, CABRERO</t>
  </si>
  <si>
    <t>CABRERO</t>
  </si>
  <si>
    <t>DIAGNOSTICO PLAN MAESTRO AGUAS LLUVIAS CUATRO COMUNAS PROV. ARAUCO</t>
  </si>
  <si>
    <t>CONSTRUCCION CENTRO DE INNOVACIÓN UNIVERSIDAD DEL BÍO-BÍO</t>
  </si>
  <si>
    <t>CONSTRUCCION CENTRO POLIDEPORTIVO DEL BIOBIO</t>
  </si>
  <si>
    <t>MEJORAMIENTO ESPACIO PUBLICO CALLE CHIGUAY, CHIGUAYANTE</t>
  </si>
  <si>
    <t>CHIGUAYANTE</t>
  </si>
  <si>
    <t>MEJORAMIENTO CANCHA CAUPOLICÁN 1, CHIGUAYANTE</t>
  </si>
  <si>
    <t>CONSERVACION CAMINO BASICO RUTA O-350,COMUNA DE TOME,PROV.CONCEPCION</t>
  </si>
  <si>
    <t>CONCEPCIONJ</t>
  </si>
  <si>
    <t>CONSERVACION CAMINOS BÁSICOS RUTAS P-520, P-550 Y OTRA, PROV. ARAUCO</t>
  </si>
  <si>
    <t>CONSERVACION CAMINO BASICO A CURAPAILLACO,RUTA S/R,KM 5.0 A KM 10.17</t>
  </si>
  <si>
    <t>CONSERVACION CAMINOS BASICOS RUTAS N-545 N-595 N-666 PROV. ÑUBLE</t>
  </si>
  <si>
    <t>INTERPTOVINCIAL</t>
  </si>
  <si>
    <t>REPOSICION EDIFICIO CONSISTORIAL SAN PEDRO DE LA PAZ</t>
  </si>
  <si>
    <t>MEJORAMIENTO AVENIDA LIBERTAD, COMUNA DE CHILLAN</t>
  </si>
  <si>
    <t>CHILLAN</t>
  </si>
  <si>
    <t xml:space="preserve">REPOSICION CON RELOCALIZACIÓN Y EQUIPAMIENTO CUARTEL PDI LOTA </t>
  </si>
  <si>
    <t>LOTA</t>
  </si>
  <si>
    <t>CONSTRUCCION MERCADO MUNICIPAL DE SANTA BARBARA</t>
  </si>
  <si>
    <t>CONSERVACION ESTADIO MUNICIPAL COMPLEJO DEPORTIVO, CABRERO</t>
  </si>
  <si>
    <t>MEJORAMIENTO PLAZA VICTORIA SECTOR CANDELARIA SAN PEDRO DE LA PAZ</t>
  </si>
  <si>
    <t>MEJORAMIENTO ACERAS SECTOR PONIENTE CASCO CENTRAL DE HUALQUI</t>
  </si>
  <si>
    <t>HUALQUI</t>
  </si>
  <si>
    <t>CONSTRUCCION SUBCOMISARÍA NONGUÉN, COMUNA DE CONCEPCIÓN</t>
  </si>
  <si>
    <t>HABILITACION CASA PRAIS PROVINCIA DE ARAUCO</t>
  </si>
  <si>
    <t xml:space="preserve">CONSERVACION CAMINO BASICO RUTA Q-105 CRUCE 177-SANTA CLARA-CRUCE Q-119, LOS ANGELES </t>
  </si>
  <si>
    <t>CONSTRUCCION CUARTEL TERCERA COMPAÑÍA DE BOMBEROS, SECTOR ALTOS DEL LAJA</t>
  </si>
  <si>
    <t>REPOSICION ESTADIO MUNICIPAL DE CONTULMO</t>
  </si>
  <si>
    <t>CONTULMO</t>
  </si>
  <si>
    <t>CONSTRUCCION DE ACERAS E ILUMINACIÓN Y ACCESO EN AV. LOS RIOS, LAJA</t>
  </si>
  <si>
    <t>CONSTRUCCION SUBCOMISARÍA SOBERANÍA, COMUNA DE TALCAHUANO</t>
  </si>
  <si>
    <t>TALCAHUANO</t>
  </si>
  <si>
    <t>REPOSICION EDIFICIO CONSISTORIAL DE HUALPEN</t>
  </si>
  <si>
    <t>HUALPEN</t>
  </si>
  <si>
    <t>RESTAURACION Y PUESTA EN VALOR FUERTE DE SANTA JUANA DE GUADALCAZAR</t>
  </si>
  <si>
    <t>CONSTRUCCION AUDITORIO CENTRO CULTURAL DE HUALPEN</t>
  </si>
  <si>
    <t>MEJORAMIENTO TEATRO MUNICIPAL DE TUCAPEL</t>
  </si>
  <si>
    <t>REPOSICION BIBLIOTECA MUNICIPAL CABRERO</t>
  </si>
  <si>
    <t>MEJORAMIENTO RUTA Q-30, LA MONA-ALAMO HUACHO, LOS ANGELES</t>
  </si>
  <si>
    <t>AMPLIACION CONEXIÓN VIAL CONCEPCIÓN-CHIGUAYANTE, ETAPA 2</t>
  </si>
  <si>
    <t>32.02</t>
  </si>
  <si>
    <t>MEJORAMIENTO RUTAS Q-75 - MULCHEN - QUILACO</t>
  </si>
  <si>
    <t>QUILACO</t>
  </si>
  <si>
    <t>HABILITACION CIRCUNVALACION ORIENTE DE CHILLAN</t>
  </si>
  <si>
    <t>CONSTRUCCION PUENTE EN RIO BIOBIO, SECTOR: CHIGUAYANTE-LAJA VIII REG</t>
  </si>
  <si>
    <t>INTERREGIONAL</t>
  </si>
  <si>
    <t>RESTAURACION TEATRO LICEO ENRIQUE MOLINA, CONCEPCIÓN</t>
  </si>
  <si>
    <t>REPOSICION OFICINA REGISTRO CIVIL DE SANTA FE, LOS ÁNGELES</t>
  </si>
  <si>
    <t>REPOSICION CESFAM ELEUTERIO RAMIREZ CURANILAHUE</t>
  </si>
  <si>
    <t>CONSTRUCCION COMPLEJO DEPORTIVO, CHIGUAYANTE</t>
  </si>
  <si>
    <t>REPOSICION Y EQUIPAMIENTO SERVICIO MÉDICO LEGAL DE CHILLÁN</t>
  </si>
  <si>
    <t>CONSTRUCCION PARQUE URBANO ESCOCIA ENTRE BUCAREST Y GENOVA, HUALPEN</t>
  </si>
  <si>
    <t>MEJORAMIENTO ACCESO NORTE, COMUNA DE MULCHEN</t>
  </si>
  <si>
    <t>MULCHEN</t>
  </si>
  <si>
    <t>MEJORAMIENTO ESTADIO MUNICIPAL CURANILAHUE</t>
  </si>
  <si>
    <t>MEJORAMIENTO Y CONSTRUCCION EJE CIVICO CURANILAHUE</t>
  </si>
  <si>
    <t>REPOSICION ACERAS E ILUMINACION CALLE CHACABUCO, CONCEPCION</t>
  </si>
  <si>
    <t>CONTROL HIDATIDOSIS OVINA MEDIANTE VACUNACION, ALTO BIO BIO</t>
  </si>
  <si>
    <t>ALTO BIOBIO</t>
  </si>
  <si>
    <t>MEJORAMIENTO ACCES. UNIVERSAL Y ACERAS CENTRO NORPONIENTE,CONCEPCIÓN</t>
  </si>
  <si>
    <t>REPOSICION PARCIAL INSTITUTO INDUSTRIAL SUPERIOR DE CHILLAN</t>
  </si>
  <si>
    <t>ANALISIS DESARROLLO DE SISTEMA DE ALERTA DE CRECIDAS RÍO BIOBÍO</t>
  </si>
  <si>
    <t>ACTUALIZACION PLAN DESARROLLO COMUNAL, CHILLAN VIEJO</t>
  </si>
  <si>
    <t>CHILLAN VIEJO</t>
  </si>
  <si>
    <t>ACTUALIZACION PLAN DE DESARROLLO COMUNAL CORONEL 2018 2022</t>
  </si>
  <si>
    <t>CORONEL</t>
  </si>
  <si>
    <t>REPOSICION POSTA DE SALUD RURAL EL DURAZNO, LOS ANGELES</t>
  </si>
  <si>
    <t>CONSERVACION ACERAS SECTOR URBANO, COMUNA DE CABRERO</t>
  </si>
  <si>
    <t>MEJORAMIENTO GESTION DE TRANSITO RUTA 160, SECTOR MICHAIHUE-EL ROSARIO, SAN PEDRO DE LA PAZ</t>
  </si>
  <si>
    <t>SAN PADRO DE LA PAZ</t>
  </si>
  <si>
    <t>ACTUALIZACION PLAN DESARROLLO COMUNAL, SAN ROSENDO</t>
  </si>
  <si>
    <t>SAN ROSENDO</t>
  </si>
  <si>
    <t>SANEAMIENTO TITULOS DE DERECHOS DE AGUA COMUNA DE CAÑETE</t>
  </si>
  <si>
    <t>SANEAMIENTO TITULOS DERECHOS DE AGUA COMUNA DE LEBU</t>
  </si>
  <si>
    <t>REPOSICION CENTRO DE SALUD FAMILIAR LARAQUETE, COMUNA DE ARAUCO</t>
  </si>
  <si>
    <t>CONSTRUCCION PARQUE CIENTÍFICO TECNOLÓGICO REGION DEL BÍO BÍO</t>
  </si>
  <si>
    <t>iNTERPROVINCIAL</t>
  </si>
  <si>
    <t>REPOSICION COMPLEJO POLICIAL PDI CONCEPCIÓN</t>
  </si>
  <si>
    <t>REPOSICION ESTADIO MUNICIPAL DE SAN GREGORIO, COMUNA DE ÑIQUEN</t>
  </si>
  <si>
    <t>ÑIQUEN</t>
  </si>
  <si>
    <t>CONSTRUCCION SISTEMA FOTOVOLTAICOS INDIVIDUALES COMUNA DE CURANILAHUE</t>
  </si>
  <si>
    <t>REPOSICION EDIFICIO CONSISTORIAL COMUNA DE YUMBEL</t>
  </si>
  <si>
    <t>CONSTRUCCION CORREDOR TRANSP. PUBLICO COLON: PERALES - ALESSANDRI</t>
  </si>
  <si>
    <t>CONSTRUCCION APR INDIV. LA CALLE, ATEUCO, SAN ONOFRE Y OTROS,HUALQUI</t>
  </si>
  <si>
    <t>CONSTRUCCION GIMNASIO MUNICIPAL DE YUNGAY</t>
  </si>
  <si>
    <t>YUNGAY</t>
  </si>
  <si>
    <t>RESTAURACION Y PUESTA EN VALOR CAPILLA SAN SEBASTIÁN DE LOS ÁNGELES</t>
  </si>
  <si>
    <t>RESTAURACION CASONA EYHERAMENDY DE LOS ÁLAMOS</t>
  </si>
  <si>
    <t>LOS ALAMOS</t>
  </si>
  <si>
    <t>HABILITACION CENTRO CULTURAL LOS ÁNGELES</t>
  </si>
  <si>
    <t>CONSTRUCCION PARQUE URBANO FINLANDIA, ENTRE AVDA COSTANERA Y GENOVA</t>
  </si>
  <si>
    <t>NORMALIZACION Y CONEXIÓN SEMÁFOROS AL SCAT GRAN CONCEPCIÓN 1 ETAPA</t>
  </si>
  <si>
    <t>CONCEPCION</t>
  </si>
  <si>
    <t>REPOSICION CON RELOCALIZACION GIMNASIO MUNICIPAL DE YUMBEL, YUMBEL</t>
  </si>
  <si>
    <t>REPOSICION BASE BRIGADA INCENDIOS FORESTALES DUQUECO - LOS ANGELES</t>
  </si>
  <si>
    <t>REPOSICION ALUMBRADO PUBLICO DIVERSOS SECTORES, ARAUCO.</t>
  </si>
  <si>
    <t>MEJORAMIENTO PAVIMENTOS POBLACION LIBERTAD, II ETAPA, TALCAHUANO</t>
  </si>
  <si>
    <t>REPOSICION CESFAM OHIGGINS DE CONCEPCION</t>
  </si>
  <si>
    <t>MEJORAMIENTO CANCHA DE FUTBOL ÑIPAS, COMUNA DE RANQUIL</t>
  </si>
  <si>
    <t>RANQUIL</t>
  </si>
  <si>
    <t>CONSTRUCCION POLIDEPORTIVO PUEBLO SECO, COMUNA DE SAN IGNACIO</t>
  </si>
  <si>
    <t>REPOSICION FERIA TECHADA, COMUNA DE LEBU</t>
  </si>
  <si>
    <t>CONSTRUCCION SIST SANEAMIENTO SANITARIO ANTIHUALA Y OTROS,LOS ALAMOS</t>
  </si>
  <si>
    <t>REPOSICION DECIMA COMPAÑÍA DE BOMBEROS, CONCEPCION</t>
  </si>
  <si>
    <t>NORMALIZACION SANEAMIENTO SANITARIO SECTOR LA PAZ-FLORIDA</t>
  </si>
  <si>
    <t>FLORIDA</t>
  </si>
  <si>
    <t>CONSTRUCCION PLAZA DE ARMAS PUEBLO SECO COMUNA DE SAN IGNACIO</t>
  </si>
  <si>
    <t xml:space="preserve">CONSTRUCCION ESTADIO COMUNA DE LOS ÁNGELES </t>
  </si>
  <si>
    <t>AMPLIACION REDES A.P Y A. SERVIDAS SECTOR EL BAJO, CHILLAN VIEJO</t>
  </si>
  <si>
    <t>MEJORAMIENTO CEMENTERIO MUNICIPAL, CORONEL</t>
  </si>
  <si>
    <t>REPOSICION CUARTEL SEGUNDA COMPAÑIA DE BOMBEROS COIGUE COMUNA DE NEGRETE</t>
  </si>
  <si>
    <t>NEGRETE</t>
  </si>
  <si>
    <t>CONSTRUCCION TEATRO REGIONAL DEL BIOBIO</t>
  </si>
  <si>
    <t>CONSTRUCCION EDIFICIO COALIVI, CONCEPCIÓN</t>
  </si>
  <si>
    <t>CONSTRUCCION CRUCE FERROVIARIO DESNIVELADO SANTA SOFIA - CHIGUAYANTE</t>
  </si>
  <si>
    <t>CONSTRUCCION CENTRO CULTURAL, COMUNA DE CONTULMO</t>
  </si>
  <si>
    <t>REPOSICION BASE BRIGADA INCENDIOS FORESTALES TRANCALCO - LEBU</t>
  </si>
  <si>
    <t>CONSERVACION CAMINOS VECINALES QUIEBRAFRENOS, LAJA-PIRDT</t>
  </si>
  <si>
    <t>CONSTRUCCION Y EQUIPAMIENTO CUARTEL PDI CORONEL</t>
  </si>
  <si>
    <t>CONSTRUCCION ESPACIO PÚBLICO URBANO LA CORUÑA, HUALPÉN</t>
  </si>
  <si>
    <t>REPOSICION Y AMPLIACION PLAZA DE ARMAS DE NEGRETE</t>
  </si>
  <si>
    <t>REPOSICION Y REUBICACION CUARTEL BOMBEROS 2DA COMPAÑÍA CABRERO</t>
  </si>
  <si>
    <t>CONSERVACION MURO PERIMETRAL DEL CENTRO DE CUMPLIMIENTO PENITENCIARIO CORONEL</t>
  </si>
  <si>
    <t>REPOSICION Y MEJORAMIENTO HOGAR DE ANCIANOS SAN FRANCISCO DE A, LEBU</t>
  </si>
  <si>
    <t>ACTUALIZACION PLAN REGULADOR COMUNA SAN ROSENDO</t>
  </si>
  <si>
    <t>MEJORAMIENTO Y HERMOSEAMIENTO CALLE WALKER MARTINEZ HUEPIL, TUCAPEL</t>
  </si>
  <si>
    <t>ACTUALIZACION PLAN REGULADOR COMUNAL DE MULCHÉN</t>
  </si>
  <si>
    <t>CONSTRUCCION AREA VERDE LAGUNILLAS NORTE, CORONEL</t>
  </si>
  <si>
    <t>EXPLORACION DE LA CAPACIDAD DE EXPLOTACIÓN AGUAS SUBTERRÁNEAS EN SECTOR PRODUCTIVO BIOBÍO</t>
  </si>
  <si>
    <t>REPOSICION CUARTEL CUERPO DE BOMBEROS MULCHÉN</t>
  </si>
  <si>
    <t>REPOSICION CUARTEL QUINTA COMPAÑÍA DE BOMBEROS, TOMÉ</t>
  </si>
  <si>
    <t>CONSTRUCCION CENTRO CULTURAL CURANILAHUE</t>
  </si>
  <si>
    <t>MEJORAMIENTO ESPACIO PUBLICO CERRO AMARILLO, HUALPEN</t>
  </si>
  <si>
    <t>CONSTRUCCION PMB SECTOR TRES ESQUINAS COMUNA DE BULNES</t>
  </si>
  <si>
    <t>CONSTRUCCION CENTRO BIOTECNOLOGIA DE ALIMENTOS U.DEL BIO-BIO CHILLAN</t>
  </si>
  <si>
    <t>CONSTRUCCION ALCANTARILLADO Y URBANIZACION DE QUIDICO, TIRUA</t>
  </si>
  <si>
    <t>ACTUALIZACION PLAN REGULADOR COMUNA DE LEBU</t>
  </si>
  <si>
    <t>CONSTRUCCION PISCINA MUNICIPAL DE FLORIDA</t>
  </si>
  <si>
    <t>AMPLIACION RED DE GASES CLINICOS Y ELECTRICAS MONOBLOCK HGGB</t>
  </si>
  <si>
    <t>AMPLIACION POTENCIA ELECTRICA SUBESTACION TPC -MNB, HGGB</t>
  </si>
  <si>
    <t>CONSTRUCCION PARQUE CULTURAL MAPUCHE CERRO COLO COLO</t>
  </si>
  <si>
    <t>MEJORAMIENTO INTEGRAL AERODROMO LAS MISIONES DE CAÑETE</t>
  </si>
  <si>
    <t>MEJORAMIENTO AREAS VERDES, CHILLAN VIEJO</t>
  </si>
  <si>
    <t>REPOSICION CENTRO COMUNITARIO ESPACIO HIGUERAS, TALCAHUANO</t>
  </si>
  <si>
    <t>SANEAMIENTO TITULOS DE DERECHOS DE AGUA COMUNA DE ARAUCO</t>
  </si>
  <si>
    <t>REPOSICION LICEO JOSÉ DE LA CRUZ MIRANDA, CAÑETE</t>
  </si>
  <si>
    <t>CONSTRUCCION PARQUE URBANO PRICE, HUALPEN</t>
  </si>
  <si>
    <t>REPOSICION CON RELOCALIZACIÓN Y EQUIP. PREFECTURA PDI ARAUCO</t>
  </si>
  <si>
    <t>REPOSICION ESCUELA G 666 ESCUADRON, CORONEL</t>
  </si>
  <si>
    <t>REPOSICION CUARTEL DE BOMBEROS PEHUEN, LEBU</t>
  </si>
  <si>
    <t>REPOSICION Y EQUIPAMIENTO CUARTEL PDI CHIGUAYANTE</t>
  </si>
  <si>
    <t>SIGFE</t>
  </si>
  <si>
    <t>Monto Modificado 2022</t>
  </si>
  <si>
    <t>Monto Modificado 2023</t>
  </si>
  <si>
    <t>Monto Modificado 2024</t>
  </si>
  <si>
    <t>CONSTRUCCION SISTEMA AGUA POTABLE RURAL LLAGUEY QUIFO, SAAVEDRA</t>
  </si>
  <si>
    <t>La Araucanía</t>
  </si>
  <si>
    <t>Saavedra</t>
  </si>
  <si>
    <t>20116678</t>
  </si>
  <si>
    <t>INSTALACION SISTEMA AGUA POTABLE RURAL COLICO, CARAHUE</t>
  </si>
  <si>
    <t>LA ARAUCANÍA</t>
  </si>
  <si>
    <t>CARAHUE</t>
  </si>
  <si>
    <t>REPOSICION EDIFICIO CONSISTORIAL, CUNCO</t>
  </si>
  <si>
    <t>CUNCO</t>
  </si>
  <si>
    <t>REPOSICION EDIFICIIO CONSISTORIAL COMUNA DE TOLTEN</t>
  </si>
  <si>
    <t>TOLTEN</t>
  </si>
  <si>
    <t>INSTALACION SISTEMA AGUA POTABLE RURAL QUINTRILPE, VILCUN</t>
  </si>
  <si>
    <t>Vilcún</t>
  </si>
  <si>
    <t>INSTALACION SISTEMA AGUA POTABLE RURAL STA CELIA, CAMARONES Y EL MANZANO, CARAHUE</t>
  </si>
  <si>
    <t>Carahue</t>
  </si>
  <si>
    <t>REPOSICION BIBLIOTECA MUNICIPAL TEODORO SCHMIDT</t>
  </si>
  <si>
    <t>T. SCHMIDT</t>
  </si>
  <si>
    <t>INSTALACION SERVICIO AGUA POTABLE CATRIRREHUE, SAAVEDRA</t>
  </si>
  <si>
    <t>INSTALACION SISTEMA AGUA POTABLE RURAL CHIVILCOYAN, IMPERIAL</t>
  </si>
  <si>
    <t>Imperial</t>
  </si>
  <si>
    <t>INSTALACION SISTEMA AGUA POTABLE DALCAHUE, CUNCO</t>
  </si>
  <si>
    <t>Cunco</t>
  </si>
  <si>
    <t>REPOSICION PLAZA ARTURO PRAT de PUERTO SAAVEDRA, COMUNA DE SAAVEDRA</t>
  </si>
  <si>
    <t>SAAVEDRA</t>
  </si>
  <si>
    <t>INSTALACION SISTEMA AGUA POTABLE RURAL LEFUN, VILLARRICA</t>
  </si>
  <si>
    <t>Villarrica</t>
  </si>
  <si>
    <t>REPOSICION CONSULTORIO GENERAL URBANO VILLARRICA Y ADECUACIÓN CESFAM</t>
  </si>
  <si>
    <t>VILLARRICA</t>
  </si>
  <si>
    <t>30038126</t>
  </si>
  <si>
    <t>INSTALACION SISTEMA AGUA POTABLE RURAL CAIVICO, VILCUN</t>
  </si>
  <si>
    <t>VILCUN</t>
  </si>
  <si>
    <t>MEJORAMIENTO CAMINO CUDICO-PINO HUACHO, VILLARRICA</t>
  </si>
  <si>
    <t>30044404</t>
  </si>
  <si>
    <t>INSTALACION AGUA POTABLE RURAL STA. JUANA LOS ACACIOS, GORBEA</t>
  </si>
  <si>
    <t>GORBEA</t>
  </si>
  <si>
    <t>REPOSICION EDIFICIO CONSISTORIAL DE LONQUIMAY</t>
  </si>
  <si>
    <t>LONQUIMAY</t>
  </si>
  <si>
    <t>INSTALACION SISTEMA AGUA POTABLE MITRAUQUEN (ALTA Y BAJO), LONQUIMAY</t>
  </si>
  <si>
    <t>Lonquimay</t>
  </si>
  <si>
    <t>30045422</t>
  </si>
  <si>
    <t>INSTALACION SISTEMA AGUA POTABLE RURAL CHACAICO.ANGOL</t>
  </si>
  <si>
    <t>ANGOL</t>
  </si>
  <si>
    <t>INSTALACION SISTEMA DE APR DE PAILACOYAN, RUCATARO Y COYANCO, CARAHUE</t>
  </si>
  <si>
    <t>INSTALACION A.P.R.CHAPO,ROBLE RICON,CHACAY(BAJO Y ALTO), CARAHUE</t>
  </si>
  <si>
    <t>INSTALACION SISTEMA AGUA POTABLE PAILLAO MAPU TROMEMALLIN, TEMUCO</t>
  </si>
  <si>
    <t>Temuco</t>
  </si>
  <si>
    <t>INSTALACION A.P.R. QUILLEM BAJO, ALTO Y QUEBRADA MOLINO, CARAHUE</t>
  </si>
  <si>
    <t>CONSTRUCCION CENTRO DE SALUD RURAL PUERTO DOMINGUEZ - SAAVEDRA</t>
  </si>
  <si>
    <t>MEJORAMIENTO AV. PINTO ENTRE C. TUCAPEL Y AV. CAUPOLICAN, TEMUCO</t>
  </si>
  <si>
    <t>TEMUCO</t>
  </si>
  <si>
    <t>MEJORAMIENTO AV BALMACEDA ENTRE PEDRO DE VALDIVIA/BULNES-LONCOCHE</t>
  </si>
  <si>
    <t>LONCOCHE</t>
  </si>
  <si>
    <t>INSTALACION SISTEMA AGUA POTABLE RURAL DEHUEPILLE, PADRE LAS CASAS</t>
  </si>
  <si>
    <t>P. Las Casas</t>
  </si>
  <si>
    <t>INSTALACION SISTEMA AGUA POTABLE RURAL CENTRAL ALHUECO, LAUTARO</t>
  </si>
  <si>
    <t>Lautaro</t>
  </si>
  <si>
    <t>REPOSICION BIBLIOTECA PUBLICA, CURARREHUE</t>
  </si>
  <si>
    <t>CURARREHUE</t>
  </si>
  <si>
    <t>REPOSICION PARCIAL EDIFICIO CONSISTORIAL, ANGOL</t>
  </si>
  <si>
    <t>REPOSICION POSTA SALUD RURAL PICHIPELLAHUEN - LUMACO</t>
  </si>
  <si>
    <t>LUMACO</t>
  </si>
  <si>
    <t>REPOSICION PARCIAL LICEO DOMINGO SANTA MARIA, RENAICO</t>
  </si>
  <si>
    <t>RENAICO</t>
  </si>
  <si>
    <t>REPOSICION CUARTEL PRIMERA COMPAÑÍA DE BOMBEROS, MELIPEUCO</t>
  </si>
  <si>
    <t>MELIPEUCO</t>
  </si>
  <si>
    <t>INSTALACION SISTEMA AGUA POTABLE QUEUPUE, COIHUE Y LLANCAN, T. SCHMIDT</t>
  </si>
  <si>
    <t>T.Schmidt</t>
  </si>
  <si>
    <t>NORMALIZACION HOSPITAL COMUNITARIO Y FAM DR. EDUARDO GONZALEZ G. CUNCO</t>
  </si>
  <si>
    <t>NORMALIZACION HOSPITAL COMUNITARIO Y FAMILIAR VILCUN</t>
  </si>
  <si>
    <t>CONSTRUCCION HOGAR DE ANCIANOS, VICTORIA</t>
  </si>
  <si>
    <t>VICTORIA</t>
  </si>
  <si>
    <t>INSTALACION SISTEMA AGUA POTABLE RURAL LLIU LLIU 7MA. FAJA, LONCOCHE</t>
  </si>
  <si>
    <t>Loncoche</t>
  </si>
  <si>
    <t>INSTALACION SISTEMA AGUA POTABLE RURAL EL ESCORIAL, MELIPEUCO</t>
  </si>
  <si>
    <t>Melipeuco</t>
  </si>
  <si>
    <t>INSTALACION SISTEMA AGUA POTABLE JOSE MIGUEL CARRERA, COLLIPULLI</t>
  </si>
  <si>
    <t>Collipulli</t>
  </si>
  <si>
    <t>MEJORAMIENTO AVENIDA BERNARDO O" HIGGINS CIUDAD DE LAUTARO</t>
  </si>
  <si>
    <t>LAUTARO</t>
  </si>
  <si>
    <t>INSTALACION SISTEMA AGUA POTABLE DOLLINCO ALHUECO, LAUTARO</t>
  </si>
  <si>
    <t>30080600</t>
  </si>
  <si>
    <t>MEJORAMIENTO RUTA S-422 PTO.SAAVEDRA - EL ALMA - EL TEMO, SAAVEDRA</t>
  </si>
  <si>
    <t>CONSTRUCCION ESCUELA ESPECIAL TULIO MORA - PUREN</t>
  </si>
  <si>
    <t>PUREN</t>
  </si>
  <si>
    <t>REPOSICION LICEO CIENCIAS Y HUMANIDADES PITRUFQUEN</t>
  </si>
  <si>
    <t>PITRUFQUEN</t>
  </si>
  <si>
    <t>MEJORAMIENTO RUTAS S-464 Y S-488; ALMAGRO - BARROS ARANA</t>
  </si>
  <si>
    <t>CAUTIN</t>
  </si>
  <si>
    <t>INSTALACION SISTEMA AGUA POTABLE RURAL LLANGUI, SAAVEDRA</t>
  </si>
  <si>
    <t>INSTALACION SISTEMA AGUA POTABLE DOLLINCO LLARQUENCO, SAAVEDRA</t>
  </si>
  <si>
    <t>INSTALACION SISTEMA AGUA POTABLE RURAL ALMA CUDILEUFU, SAAVEDRA</t>
  </si>
  <si>
    <t>INSTALACION SISTEMA AGUA POTABLE MILLAHUECO ROLONCHE, SAAVEDRA</t>
  </si>
  <si>
    <t>NORMALIZACION CESFAM CONSULTORIO GENERAL DE TROVOLHUE</t>
  </si>
  <si>
    <t>30084956</t>
  </si>
  <si>
    <t>INSTALACION AGUA POTABLE CALLE DEL MEDIO SECTOR LOS TEMOS, LAUTARO</t>
  </si>
  <si>
    <t>RESTAURACION TEATRO MUNICIPAL DE COLLIPULLI</t>
  </si>
  <si>
    <t>COLLIPULLI</t>
  </si>
  <si>
    <t>INSTALACION SISTEMA AGUA POTABLE RURAL, SECTOR ALTO Y BAJO LONCOYAMO, CARAHUE</t>
  </si>
  <si>
    <t>MEJORAMIENTO BIBLIOTECA PUBLICA MUNICIPAL LAUTARO</t>
  </si>
  <si>
    <t>INSTALACION AGUA POTABLE CINCO LAURELES, TROMEN BAJO Y ALTO, TEMUCO</t>
  </si>
  <si>
    <t>CONSTRUCCION CENTRO DE SALUD FAMILIAR - PUCON</t>
  </si>
  <si>
    <t>PUCON</t>
  </si>
  <si>
    <t>REPOSICION CALLE TACNA ENTRE LATORRE Y SGTO. ALDEA - VICTORIA</t>
  </si>
  <si>
    <t>CONSTRUCCION SISTEMA DE AGUA POTABLE RURAL PEHUENCO, VICTORIA</t>
  </si>
  <si>
    <t>Victoria</t>
  </si>
  <si>
    <t>MEJORAMIENTO AV. P. DE VALDIVIA ENTRE AV. EL ORBITAL Y PRIETO NORTE</t>
  </si>
  <si>
    <t>30096015</t>
  </si>
  <si>
    <t>CONSTRUCCION SISTEMA AGUA POTABLE CUDICO ALTO Y BAJO, VILLARRICA</t>
  </si>
  <si>
    <t>30096109</t>
  </si>
  <si>
    <t>MEJORAMIENTO RUTA S-222 HUALACURA LOS BOLDOS</t>
  </si>
  <si>
    <t>IMPERIAL</t>
  </si>
  <si>
    <t>CONSTRUCCION SISTEMA AGUA POTABLE LLIULLIUCURA, LAUTARO</t>
  </si>
  <si>
    <t>RESTAURACION TEATRO MUNICIPAL DE RENAICO</t>
  </si>
  <si>
    <t xml:space="preserve">REPOSICION POSTA SALUD RURAL DEL SECTOR DE RULO, NUEVA IMPERIAL </t>
  </si>
  <si>
    <t>NUEVA IMPERIAL</t>
  </si>
  <si>
    <t>CONSTRUCCION SISTEMA AGUA POTABLE RURAL EL SOL Y GUACOLDA, PERQUENCO</t>
  </si>
  <si>
    <t>Perquenco</t>
  </si>
  <si>
    <t>30099207</t>
  </si>
  <si>
    <t>MEJORAMIENTO RUTA S-689 SEXTA FAJA, GORBEA</t>
  </si>
  <si>
    <t>CONSTRUCCION SISTEMA AGUA POTABLE RURAL PIEDRA ALTA, SAAVEDRA</t>
  </si>
  <si>
    <t>CONSTRUCCION SISTEMA AGUA POTABLE RURAL PUAUCHO, SAVEDRA</t>
  </si>
  <si>
    <t>CONSTRUCCION SISTEMA AGUA POTABLE CUNCO CHICO, PADRE LAS CASAS</t>
  </si>
  <si>
    <t>30102693</t>
  </si>
  <si>
    <t>CONSTRUCCION SISTEMA AGUA POTABLE RURAL YAUYAGUEN, P. LAS CASAS</t>
  </si>
  <si>
    <t>PADRE LAS CASAS</t>
  </si>
  <si>
    <t>HABILITACION ESTADIO MUNICIPAL DE PUREN</t>
  </si>
  <si>
    <t>CONSTRUCCION SISTEMA AGUA POTABLE MONOPAINE CHAPOD, PADRE LAS CASAS</t>
  </si>
  <si>
    <t>TRANSFERENCIA PRODUCCION OVINA PARA 120 AGRICULTORES, P. LAS CASAS</t>
  </si>
  <si>
    <t>CONSTRUCCION SISTEMA AGUA POTABLE MOLONHUE ALTO Y BAJO, T. SCHMIDT</t>
  </si>
  <si>
    <t>NORMALIZACION POSTA SALUD RURAL COYANCAHUIN - PUREN</t>
  </si>
  <si>
    <t>REPOSICION ESTADIO DE TROVOLHUE, CARAHUE</t>
  </si>
  <si>
    <t>REPOSICION POSTA SALUD RURAL TEMULEMU - TRAIGUEN</t>
  </si>
  <si>
    <t>TRAIGUEN</t>
  </si>
  <si>
    <t>NORMALIZACION POSTA SALUD RURAL LA HERRADURA - LUMACO</t>
  </si>
  <si>
    <t>AMPLIACION RED AGUAS SERVIDAS LABRANZA CENTRO, TEMUCO</t>
  </si>
  <si>
    <t>CONSTRUCCION MERCADO INTERCULTURAL WE MONGEN NUEVA IMPERIAL</t>
  </si>
  <si>
    <t>30113074</t>
  </si>
  <si>
    <t>MEJORAMIENTO CALLE UNION NORTE ENTRE R. ORTEGA Y T. DE MOLINA -TEMUCO</t>
  </si>
  <si>
    <t>REPOSICION LICEO ATENEA, CUNCO</t>
  </si>
  <si>
    <t>CONSERVACION INFRAESTRUCTURA HOSPITAL PUREN</t>
  </si>
  <si>
    <t>MEJORAMIENTO AV. LUIS DURAND ENTRE AV. ANDES - EL CARMEN, TEMUCO</t>
  </si>
  <si>
    <t>REPOSICION ESCUELA ESPECIAL ÑIELOL DE TEMUCO</t>
  </si>
  <si>
    <t>30122283</t>
  </si>
  <si>
    <t>MEJORAMIENTO CAMINO MAQUEHUE - ZANJA, PADRE LAS CASAS</t>
  </si>
  <si>
    <t>P. LAS CASAS</t>
  </si>
  <si>
    <t>AMPLIACION SISTEMA APR HUALLEPENCO A QUINTRILEO Y OTROS, PERQUENCO</t>
  </si>
  <si>
    <t>CONSTRUCCION POSTA SALUD RURAL HUALLEN MAPU, LONQUIMAY</t>
  </si>
  <si>
    <t>REPOSICION CENTRO SALUD FAMILIAR, VICTORIA</t>
  </si>
  <si>
    <t>REPOSICION POSTA SALUD RURAL QUECHEREGUAS, TRAIGUEN</t>
  </si>
  <si>
    <t>CONSTRUCCION SIS. AGUA POTABLE HUINCACARA SUR VOIPIR SECO, VILLARRICA</t>
  </si>
  <si>
    <t>MEJORAMIENTO INTEGRAL ZONA DE USO PUBLICO PARQUE NAC. VILLARRICA</t>
  </si>
  <si>
    <t>CONSERVACION CAMINO HUAMAQUI LOS CHILCOS, KM 0,0 AL 15,5; CHOL CHOL</t>
  </si>
  <si>
    <t>CHOL CHOL</t>
  </si>
  <si>
    <t>CONSTRUCCION SISTEMA AGUA POTABLE RURAL PICHIQUEPE, PADRE LAS CASAS</t>
  </si>
  <si>
    <t>CONSTRUCCION RED DE COLECTORES DE AGUAS LLUVIA DE FREIRE</t>
  </si>
  <si>
    <t>Freire</t>
  </si>
  <si>
    <t>MEJORAMIENTO BORDE COSTERO, QUEULE, TOLTEN</t>
  </si>
  <si>
    <t>Prefact.</t>
  </si>
  <si>
    <t>MEJORAMIENTO CALLE MOLLULCO, ENTRE CALLE EL BOSQUE Y COMPLEJO DEPORTIVO LABRANZA, TEMUCO.</t>
  </si>
  <si>
    <t>DIAGNOSTICO PMDT MALLECO NORTE</t>
  </si>
  <si>
    <t>MALLECO</t>
  </si>
  <si>
    <t>REPOSICION FERIA ABASTO MUNICIPAL, CURACAUTIN</t>
  </si>
  <si>
    <t>CURACAUTIN</t>
  </si>
  <si>
    <t>REPOSICION IGLESIA SAN JUAN EVANGELISTA, PITRUFQUEN</t>
  </si>
  <si>
    <t>CONSTRUCCION SISTEMA AGUA POTABLE RURAL, ÑANCUL NORTE, VILLARRICA</t>
  </si>
  <si>
    <t>CONSTRUCCION SISTEMA AGUA POTABLE VOIPIR, RAYENCO CALFUTUE, VILLARRICA</t>
  </si>
  <si>
    <t>30177123</t>
  </si>
  <si>
    <t>CONSTRUCCION SISTEMA DE AGUA POTABLE RURAL MOLCO MEDIO, VILLARRICA</t>
  </si>
  <si>
    <t>MEJORAMIENTO CAMINO BASICO INTERMEDIO CAMINO ANTIGUO TRAIGUEN</t>
  </si>
  <si>
    <t>REPOSICION EDIFICIO CONSISTORIAL, COMUNA DE GORBEA</t>
  </si>
  <si>
    <t>CONSTRUCCION CUARTEL DE BOMBEROS BRIGADA DE METRENCO, PLC</t>
  </si>
  <si>
    <t>REPOSICION INTEGRAL ESTADIO MUNICIPAL, COMUNA DE COLLIPULLI</t>
  </si>
  <si>
    <t>REPOSICION POSTA DE SALUD RURAL AÑILCO, VILLARRICA</t>
  </si>
  <si>
    <t>30285772</t>
  </si>
  <si>
    <t>CONSTRUCCION ESPACIO PÚBLICO VILLA EL BOSQUE, PADRE LAS CASAS</t>
  </si>
  <si>
    <t>CONSTRUCCION CUARTEL BRIGADA FUNDO EL CARMEN, TEMUCO.</t>
  </si>
  <si>
    <t>REPOSICION CANCHA DE FUTBOL LICEO PABLO NERUDA, TEMUCO</t>
  </si>
  <si>
    <t>REPOSICION ESCUELA COLLIN ALTO, VILCUN</t>
  </si>
  <si>
    <t>CONSTRUCCION APR FOLILCO, QUETROCO, RUCAHUE, RUCATRARO, HUENTE, FREIRE</t>
  </si>
  <si>
    <t>CONSTRUCCION SISTEMA AGUA POTABLE RURAL ARAUCO, CHUMPULLI, GUIÑIMO, FREIRE</t>
  </si>
  <si>
    <t>REPOSICION CUARTEL DE BOMBEROS QUINTA COMPAÑÍA DE NEHUENTUE</t>
  </si>
  <si>
    <t>REPOSICION GIMNASIO MUNICIPAL, PUCON</t>
  </si>
  <si>
    <t>REPOSICION CESFAM HUEQUEN, ANGOL</t>
  </si>
  <si>
    <t>CONSTRUCCION CUARTEL DE BOMBEROS PRIMERA COMPAÑÍA CARAHUE</t>
  </si>
  <si>
    <t>REPOSICION CECOSF EL RETIRO, ANGOL</t>
  </si>
  <si>
    <t>REPOSICION BALSA NEHUENTUE, RIO IMPERIAL</t>
  </si>
  <si>
    <t>REPOSICION CENTRO SALUD FAMILIAR METODISTA (MILLARAY), TEMUCO</t>
  </si>
  <si>
    <t>INSTALACION SISTEMA APR, LAFKENCHE HUEÑALIHUEN</t>
  </si>
  <si>
    <t>CONSTRUCCION POSTA DE SALUD RURAL GUINDO CHICO, LOS SAUCES</t>
  </si>
  <si>
    <t>LOS SAUCES</t>
  </si>
  <si>
    <t>REPOSICION POSTA DE SALUD RURAL TRINTRE, LOS SAUCES</t>
  </si>
  <si>
    <t>NORMALIZACION URGENCIA HOSPITAL HERNAN HENRIQUEZ ARAVENA, TEMUCO</t>
  </si>
  <si>
    <t>30362077</t>
  </si>
  <si>
    <t>REPOSICION POSTA DE SALUD RURAL MAICA, COLLIPULLI</t>
  </si>
  <si>
    <t>CONSTRUCCION 3° COMPAÑÍA DE BOMBEROS DE PUERTO DOMINGUEZ - SAAVEDRA</t>
  </si>
  <si>
    <t>CONSTRUCCION SISTEMA AGUA POTABLE PUENTE NEGRO, IMPERIAL</t>
  </si>
  <si>
    <t>CONSTRUCCION SIST. AGUA POTABLE BUDI LOS TRONCOS PIDENCO, T. SCHMIDT</t>
  </si>
  <si>
    <t>CONSTRUCCION SISTEMA DE AGUA POTABLE CHESQUE BAJO, VILLARRICA</t>
  </si>
  <si>
    <t>30376489</t>
  </si>
  <si>
    <t>CONSTRUCCION BIBLIOTECA REGIONAL DE LA ARAUCANIA</t>
  </si>
  <si>
    <t>REGION</t>
  </si>
  <si>
    <t>CONSTRUCCION POSTA DE SALUD RURAL VILLA ESPERANZA, COLLIPULLI</t>
  </si>
  <si>
    <t>30378922</t>
  </si>
  <si>
    <t>REPOSICION CENTRO DE SALUD INTERCULTURAL BOROA FILULAWEN, NUEVA IMPERIAL</t>
  </si>
  <si>
    <t>CONSTRUCCION SIST. AGUA POTABLE CHUCAUCO, SANTA PAULA Y NUEVE DE JULIO, FREIRE</t>
  </si>
  <si>
    <t>REPOSICION ESCUELA BASICA LICANCURA, CURARREHUE</t>
  </si>
  <si>
    <t>CONSTRUCCION A.P.R. RUCACURA, PORMA CHAICHAYEN, FILULAFQUEN, T. SCHMIDT</t>
  </si>
  <si>
    <t>REPOSICION CONSULTORIO GENERAL RURAL CHOLCHOL Y ADECUACIÓN A CESFAM, CHOLCHOL</t>
  </si>
  <si>
    <t>MEJORAMIENTO CAMINOS BASICOS INTERMEDIOS PROVINCIA CAUTIN 2016 - 2018</t>
  </si>
  <si>
    <t>REPOSICION ESCUELA MALALCHE BAJO G-383, CHOLCHOL</t>
  </si>
  <si>
    <t>MEJORAMIENTO PLAZA PABLO NERUDA SECT. EL MIRADOR - ANGOL</t>
  </si>
  <si>
    <t>REPOSICION POSTA SALUD RURAL ANIÑIR - TRAIGUEN</t>
  </si>
  <si>
    <t>CONSTRUCCION APR COIHUECO, PELEHUE, PUNTA RIEL, PONHUITO, T. SCHMIDT</t>
  </si>
  <si>
    <t>REPOSICION ESTADIO MUNICIPAL LASTARRIA</t>
  </si>
  <si>
    <t>CONSTRUCCION SISTEMA DE AGUA POTABLE RURAL JUAN COLIPE, TEMUCO</t>
  </si>
  <si>
    <t>INSTALACION SISTEMA AGUA POTABLE RURAL HUECHOPUDO, MITARRUCAHUE, RELUN, VILLARRICA</t>
  </si>
  <si>
    <t>CONSERVACION CC BB CHUCAUCO SCHLEYER - VIDA NUEVA COM VILLARRICA</t>
  </si>
  <si>
    <t>CONSERVACION CAMINO BASICO CUARTA FAJA, GORBEA</t>
  </si>
  <si>
    <t>CONSERVACION CAMINOS ACCESO A COMUNIDADES INDIGENAS CUNCO 2016</t>
  </si>
  <si>
    <t>CONSERVACION CAMINO ACCESO COMUNIDADES INDIGENAS FREIRE 2016</t>
  </si>
  <si>
    <t>FREIRE</t>
  </si>
  <si>
    <t>CONSERVACION CAMINOS, ACCESOS COMUNIDADES INDIGENAS FREIRE 12</t>
  </si>
  <si>
    <t>CONSERVACION CAMINO ACCESO COMUNIDADES INDIGENAS GALVARINO</t>
  </si>
  <si>
    <t>GALVARINO</t>
  </si>
  <si>
    <t>CONSERVACION CAMINO ACCESO COMUNIDADES INDIGENAS CHOL CHOL</t>
  </si>
  <si>
    <t>CONSERVACION CAMINO ACCESO COMUNIDADES INDIGENAS MELIPEUCO</t>
  </si>
  <si>
    <t>CONSERVACION CAMINO ACCESO COMUNIDADES INDIGENAS FREIRE N° 14</t>
  </si>
  <si>
    <t>CONSERVACION CAMINO ACCESO COMUNIDADES INDIGENAS LAUTARO</t>
  </si>
  <si>
    <t>CONSERVACION CAMINO ACCESO COMUNIDADES INDIGENAS CURARREHUE</t>
  </si>
  <si>
    <t>CONSERVACION CAMINO ACCESO COMUNIDADES INDIGENAS PITRUFQUEN</t>
  </si>
  <si>
    <t>CONSERVACION CAMINO ACCESO COMUNIDADES INDIGENAS PUERTO SAAVEDRA</t>
  </si>
  <si>
    <t>CONSERVACION CAMINO ACCESO COMUNIDADES INDIGENAS VILLARRICA</t>
  </si>
  <si>
    <t>CONSTRUCCION CUARTEL TERCERA COMPAÑÍA DE BOMBEROS TIJERAL, RENAICO</t>
  </si>
  <si>
    <t>CONSERVACION CAMINO ACCESO COMUNIDADES INDIGENAS COLLIPULLI</t>
  </si>
  <si>
    <t>REPOSICION POSTA SALUD RURAL TROYO</t>
  </si>
  <si>
    <t>MEJORAMIENTO CBI RUTA S-464 QUEPE-BOROA, FREIRE</t>
  </si>
  <si>
    <t>CONSTRUCCION OBRAS LACUSTRES RIVERA LAGO VILLARRICA</t>
  </si>
  <si>
    <t>CONSERVACION CC.BB LOS GALPONES QUINQUE COMUY, PITRUFQUEN</t>
  </si>
  <si>
    <t>CONSERVACION CAMINOS ACCESO A COMUNIDADES INDIGENAS DE ERCILLA</t>
  </si>
  <si>
    <t>ERCILLA</t>
  </si>
  <si>
    <t>CONSTRUCCION CUARTEL DE BOMBEROS SEGUNDA FAJA, VILLARRICA</t>
  </si>
  <si>
    <t>REPOSICION ESTACIONES COMUNITARIAS DE SALUD RURAL.</t>
  </si>
  <si>
    <t>REPOSICION ESTACIONES COMUNITARIAS DE SALUD RURAL, COLLIPULLI</t>
  </si>
  <si>
    <t>REPOSICION CALZADA AVDA. B. O H"HIGGINS (ENTRE CARRERA-JEQUIER) LAUTARO</t>
  </si>
  <si>
    <t>CONSTRUCCION SISTEMA AGUA POTABLE RURAL LIUMALLA, HUALAPULLI, COLLICO, VILLARRICA</t>
  </si>
  <si>
    <t>RESTAURACION COMPLEJO IGLESIA PERPETUO SOCORRO, TEMUCO</t>
  </si>
  <si>
    <t>REPOSICION INFRAESTRUCTURA PUBLICA Y ADMINISTRATIVA DEL MONUMENTO NATURAL CERRO ÑIELOL</t>
  </si>
  <si>
    <t>REPOSICION ESCUELA F-308 GUACOLDA LAUTARO</t>
  </si>
  <si>
    <t>CONSTRUCCION CIRCUITO LINEAL URBANO (FAJA EFE), ANGOL</t>
  </si>
  <si>
    <t>HABILITACION ANTIGUO HOSPITAL DE ANGOL PARA BIBLIOTECA MUNICIPAL</t>
  </si>
  <si>
    <t>CONSTRUCCION SISTEMA AGUA POTABLE RURAL MELIRREHUE Y LAS 500, GORBEA</t>
  </si>
  <si>
    <t>Gorbea</t>
  </si>
  <si>
    <t>CONSTRUCCION SISTEMA AGUA POTABLE RURAL MONTRE LLANCAMIL, PERQUENCO</t>
  </si>
  <si>
    <t>REPOSICION BANDEJONES AVDA. CARRERA, CURACAUTIN</t>
  </si>
  <si>
    <t>CURACAUTÍN</t>
  </si>
  <si>
    <t>REPOSICION POSTA SALUD RURAL RADALCO, COMUNA DE CURACAUTIN</t>
  </si>
  <si>
    <t>CONSTRUCCION SISTEMA AGUA POTABLE RURAL ROMOPULLI, SAAVEDRA</t>
  </si>
  <si>
    <t>CONSTRUCCION DE PUNTOS LIMPIOS EN LA REGION DE LA ARAUCANIA</t>
  </si>
  <si>
    <t>CONSTRUCCION SISTEMA DE AGUA POTABLE RURAL BOQUIPULLI ALTO Y BAJO, VILLARRICA</t>
  </si>
  <si>
    <t>40000118</t>
  </si>
  <si>
    <t>MEJORAMIENTO CBI EL NARANJO - MALLIN DEL TRAILE, LONQUIMAY.</t>
  </si>
  <si>
    <t>40000938</t>
  </si>
  <si>
    <t>REPOSICION CUARTEL SEGUNDA COMPAÑIA DE BOMBEROS, NUEVA IMPERIAL</t>
  </si>
  <si>
    <t>HABILITACION TERMINAL DE BUSES INTERURBANOS CIUDAD DE CURACAUTIN</t>
  </si>
  <si>
    <t>CONSTRUCCION PARQUE BARRIO MANUEL RODRIGUEZ, CURACAUTIN</t>
  </si>
  <si>
    <t>CONSERVACION CAMINOS SECTOR FIN FIN - ALTO BOROA COMUNA NUEVA IMPERIAL</t>
  </si>
  <si>
    <t>CONSTRUCCION SISTEMA AGUA POTABLE RURAL LA SIERRA, SAAVEDRA</t>
  </si>
  <si>
    <t>CONSTRUCCION GIMNASIO ESCUELA LOS TRIGALES, TEMUCO</t>
  </si>
  <si>
    <t>MEJORAMIENTO GIMNASIO LICEO LOS ANDES, MELIPEUCO</t>
  </si>
  <si>
    <t>REPOSICION CALZADA AV. OHIGGINS, VICTORIA</t>
  </si>
  <si>
    <t>REPOSICION ESCUELA NICOLAS PEREZ, COLLIPULLI</t>
  </si>
  <si>
    <t>40005818</t>
  </si>
  <si>
    <t>MEJORAMIENTO CALLE LAS ROSAS ORIENTE ENTRE HEROES DE LA CONCEPCION Y VIA PAVIMENTADA, ANGOL</t>
  </si>
  <si>
    <t>40005822</t>
  </si>
  <si>
    <t>MEJORAMIENTO INTERSECCIÓN AV. GRAL. BONILLA CON LOS CONFINES, ANGOL</t>
  </si>
  <si>
    <t>40006105</t>
  </si>
  <si>
    <t>ANALISIS DEL ESTUDIO REGIONAL DE LA RED ASISTENCIAL DE SALUD</t>
  </si>
  <si>
    <t>CONSERVACION CAMINO BASICO PATA DE GALLO - TEMUCO 5 MANZANOS, NUEVA IMPERIAL</t>
  </si>
  <si>
    <t>CONSERVACION CAMINO BASICO ALMAGRO PANCUL CARAHUE, COMUNA DE CARAHUE</t>
  </si>
  <si>
    <t>CONSERVACION CAMINO BASICO ACCESO REDUCCION TRARULEMU, ANGOL</t>
  </si>
  <si>
    <t>CONSERVACION CAMINO BASICO ANGOL MANZANAR FUNDO ITRAQUE, ANGOL</t>
  </si>
  <si>
    <t>CONSERVACION CAMINO BASICO PUENTE PEULE - VILLA BOLDOS, TOLTEN</t>
  </si>
  <si>
    <t>CONSERVACION CAMINO MONTEBELLO CHAPO CRUCE OÑOICO, CARAHUE</t>
  </si>
  <si>
    <t>REPOSICION ESCUELA ERICO HORNUNG, COLLIPULLI</t>
  </si>
  <si>
    <t>CONSERVACION CAMINO BASICO LAUREL OÑOICO EL ALMA, SAAVEDRA</t>
  </si>
  <si>
    <t>CONSERVACION CAMINO BASICO CALOF POSTA ESCUELA, COMUNA DE SAAVEDRA</t>
  </si>
  <si>
    <t>CONSERVACION CAMINO BASICO RANCO POSTA ESCUELA COMUNA DE SAAVEDRA</t>
  </si>
  <si>
    <t>CONSERVACION ALUMBRADO PUBLICO COMUNA DE LONCOCHE</t>
  </si>
  <si>
    <t>MEJORAMIENTO CAMINOS BASICOS INTERMEDIOS SUR Y OESTE, REGION DE LA ARAUCANIA</t>
  </si>
  <si>
    <t>MEJORAMIENTO CAMINOS BASICOS INTERMEDIOS NORTE Y ESTE, REGION DE LA ARAUCANIA</t>
  </si>
  <si>
    <t>CONSTRUCCION ELECTRIFICACIÓN RURAL SECTOR RINCONADA, PERQUENCO</t>
  </si>
  <si>
    <t>PERQUENCO</t>
  </si>
  <si>
    <t>CONSTRUCCION ELECTRIFICACION RURAL SECTOR PERQUENCO SUR, PERQUENCO</t>
  </si>
  <si>
    <t xml:space="preserve">CONSTRUCCION ELECTRIFICACIÓN RURAL SECTOR SANTIAGO LINCOÑIR - NECHIFCUE, PADRE LAS CASAS </t>
  </si>
  <si>
    <t>CONSTRUCCION ELECTRIFICACION RURAL SECTOR MILLAHUIN, PADRE LAS CASAS</t>
  </si>
  <si>
    <t>MEJORAMIENTO BANDEJONES AVENIDA SUIZA, SEGUNDA ETAPA, TRAIGUÉN</t>
  </si>
  <si>
    <t>TRAIGUÉN</t>
  </si>
  <si>
    <t>CONSTRUCCION ELECTRIFICACION RURAL SECTOR PAILLAHUE Y OTROS, GALVARINO</t>
  </si>
  <si>
    <t>CONSTRUCCION ELECTRIFICACION RURAL SECTOR SANTA ROSA Y OTROS, LOS SAUCES</t>
  </si>
  <si>
    <t>CONSTRUCCION ELECTRIFICACION RURAL SECTOR SAN RAMON Y OTROS, LOS SAUCES</t>
  </si>
  <si>
    <t>REPOSICION RETEN TROVOLHUE, COMUNA DE CARAHUE</t>
  </si>
  <si>
    <t>MEJORAMIENTO CAMINO BASICO INTERMEDIO CHUFQUEN QUINO R-850</t>
  </si>
  <si>
    <t>CONSTRUCCION ELECTRIFICACION RURAL SECTOR REDUCCION CONTRERAS, MOLCO Y EL TESORO, TRAIGUEN</t>
  </si>
  <si>
    <t>CONSTRUCCION ELECTRIFICACION RURAL SECTOR TROMEN BAJO ROMOPULLI, TEMUCO</t>
  </si>
  <si>
    <t>CONSTRUCCION ELECTRIFICACION RURAL EL CANELO LAUREL HUACHO Y OTROS, P. LAS CASAS</t>
  </si>
  <si>
    <t>40017796</t>
  </si>
  <si>
    <t>MEJORAMIENTO PLAZA LAS RAICES, COMUNA DE CARAHUE</t>
  </si>
  <si>
    <t>CONSTRUCCION ELECTRIFICACION RURAL SECTOR LA FONTANA, RUCAPELLAN Y OTROS, ANGOL</t>
  </si>
  <si>
    <t>CONSTRUCCION ELECTRIFICACION RURAL VARIOS SECTORES SUR PAILAN Y OTROS, PUREN</t>
  </si>
  <si>
    <t>CONSTRUCCION ELECTRIFICACION RURAL SANTA INES TOQUIHUE, VICTORIA</t>
  </si>
  <si>
    <t>CONSTRUCCION GIMNASIO OLIMPICO MUNICIPAL</t>
  </si>
  <si>
    <t>CONSTRUCCION ELECTRIFICACION RURAL SECTOR CERRO EL AGUILA Y OTROS, LOS SAUCES</t>
  </si>
  <si>
    <t>40023596</t>
  </si>
  <si>
    <t>CONSERVACION DE CALZADAS VARIAS CALLES, ANGOL</t>
  </si>
  <si>
    <t>CONSERVACION GIMNASIO MUNICIPAL, CARAHUE</t>
  </si>
  <si>
    <t>JUNIO mensual SIGFE 2021</t>
  </si>
  <si>
    <t>30134836-0</t>
  </si>
  <si>
    <t>REPOSICION ESCUELA RURAL WALTERIO MEYER RUSCA,  AGUA BUENA, OSORNO</t>
  </si>
  <si>
    <t>Los Lagos</t>
  </si>
  <si>
    <t>Osorno</t>
  </si>
  <si>
    <t>30043744-0</t>
  </si>
  <si>
    <t>MEJORAMIENTO AVENIDA REPUBLICA, OSORNO.</t>
  </si>
  <si>
    <t>40004690-0</t>
  </si>
  <si>
    <t>MEJORAMIENTO INSTALACIONES ATLÉTICAS VILLA OLÍMPICA, OSORNO</t>
  </si>
  <si>
    <t>30070862-0</t>
  </si>
  <si>
    <t>REPOSICION LICEO CARMELA CARVAJAL DE PRAT, OSORNO.</t>
  </si>
  <si>
    <t>30088194-0</t>
  </si>
  <si>
    <t>REPOSICION ESCUELAS ANDREW JACKSON Y RÍO NEGRO, COMUNA RÍO NEGRO</t>
  </si>
  <si>
    <t>Río Negro</t>
  </si>
  <si>
    <t>30110580-0</t>
  </si>
  <si>
    <t>REPOSICION LICEO E INTERNADO ANTULAFKEN DE PUAUCHO, SAN JUAN COSTA</t>
  </si>
  <si>
    <t>San Juan de La Costa</t>
  </si>
  <si>
    <t>30341232-0</t>
  </si>
  <si>
    <t>AMPLIACION SERV. APR BAHIA LINAO HACIA HUAPILINAO Y R.NEGRO,ANCUD</t>
  </si>
  <si>
    <t>Ancud</t>
  </si>
  <si>
    <t>30109898-0</t>
  </si>
  <si>
    <t>CONSTRUCCION SISTEMA DE APR SECTOR CAULIN LA CUMBRE, ANCUD</t>
  </si>
  <si>
    <t>20140221-0</t>
  </si>
  <si>
    <t>REPOSICION POSTA DE SALUD RURAL DE LA ISLA CHELÍN, CASTRO</t>
  </si>
  <si>
    <t>Castro</t>
  </si>
  <si>
    <t>30485152-0</t>
  </si>
  <si>
    <t>CONSTRUCCION REDES DE AP Y ALCANT. DIVERSOS SECTORES CIUDAD DALCAHUE</t>
  </si>
  <si>
    <t>Dalcahue</t>
  </si>
  <si>
    <t>30134014-0</t>
  </si>
  <si>
    <t>CONSTRUCCION GIMNASIO TENAUN COMUNA DE DALCAHUE</t>
  </si>
  <si>
    <t>30125850-0</t>
  </si>
  <si>
    <t>CONSTRUCCION MULTICANCHA CERRADA FRANCISCO COLOANE COMUNA DE QUELLON</t>
  </si>
  <si>
    <t>Quellón</t>
  </si>
  <si>
    <t>30476688-0</t>
  </si>
  <si>
    <t>REPOSICION POSTA SALUD RURAL CUCAO, COMUNA CHONCHI</t>
  </si>
  <si>
    <t>Chonchi</t>
  </si>
  <si>
    <t>40009233-0</t>
  </si>
  <si>
    <t>CONSTRUCCION REDES DE AP Y ALC. DE AGUAS SERVIDAS DIVERSOS SECTORES CIUDAD DE ANCUD</t>
  </si>
  <si>
    <t>40005578-0</t>
  </si>
  <si>
    <t>MEJORAMIENTO CALLE TERRAPLEN, PUERTO VARAS</t>
  </si>
  <si>
    <t>Puerto Varas</t>
  </si>
  <si>
    <t>40001254-0</t>
  </si>
  <si>
    <t>MEJORAMIENTO CALLE SAN MARTÍN, PUERTO VARAS</t>
  </si>
  <si>
    <t>30204522-0</t>
  </si>
  <si>
    <t>REPOSICION CUARTEL SEXTA COMPAÑIA DE BOMBEROS, PUERTO VARAS</t>
  </si>
  <si>
    <t>40014647-0</t>
  </si>
  <si>
    <t>MEJORAMIENTO SENDERO SALTOS DEL PETROHUÉ, P. NACIONAL VIC. PEREZ ROSALES, PUERTO VARAS</t>
  </si>
  <si>
    <t>30104476-0</t>
  </si>
  <si>
    <t>CONSTRUCCION CIERRE VERTEDERO MUNICIPAL COMUNA DE PUERTO MONTT</t>
  </si>
  <si>
    <t>Puerto Montt</t>
  </si>
  <si>
    <t>40005337-0</t>
  </si>
  <si>
    <t>REPOSICION POSTA TRAPEN, PUERTO MONTT</t>
  </si>
  <si>
    <t>30080921-0</t>
  </si>
  <si>
    <t>REPOSICION POSTA  RURAL DE PIEDRA  AZUL, PUERTO MONTT</t>
  </si>
  <si>
    <t>30361529-0</t>
  </si>
  <si>
    <t>MEJORAMIENTO SISTEMA APR CAÑITAS-RIO FRIO, LOS MUERMOS</t>
  </si>
  <si>
    <t>Los Muermos</t>
  </si>
  <si>
    <t>30422722-0</t>
  </si>
  <si>
    <t>CONSTRUCCION SERVICIO APR SANTA AMANDA, LOS MUERMOS</t>
  </si>
  <si>
    <t>30463128-0</t>
  </si>
  <si>
    <t>MEJORAMIENTO   INFRAESTRUCTURA PEATONAL CALLE MANUEL MONTT, COMUNA DE LOS MUERMOS</t>
  </si>
  <si>
    <t>30328431-0</t>
  </si>
  <si>
    <t>CONSTRUCCION GIMNASIO MUNICIPAL DE LLANADA GRANDE, COCHAMO</t>
  </si>
  <si>
    <t>40006863-0</t>
  </si>
  <si>
    <t>REPOSICION ESCUELA JUAN SOLER MANFREDINI, COCHAMO</t>
  </si>
  <si>
    <t>Cochamo</t>
  </si>
  <si>
    <t>30326322-0</t>
  </si>
  <si>
    <t>REPOSICION ESCUELA BERNARDO O'HIGGINS, CALBUCO</t>
  </si>
  <si>
    <t>Calbuco</t>
  </si>
  <si>
    <t>30282773-0</t>
  </si>
  <si>
    <t>REPOSICION POSTA DE SALUD RURAL EL TRAIGUEN, FRESIA</t>
  </si>
  <si>
    <t>Fresia</t>
  </si>
  <si>
    <t>40007476-0</t>
  </si>
  <si>
    <t>CONSTRUCCION AGUA POTABLE RURAL COLEGUAL ESPERANZA, COMUNA LLANQUIHUE</t>
  </si>
  <si>
    <t>Llanquihue</t>
  </si>
  <si>
    <t>30103541-0</t>
  </si>
  <si>
    <t>REPOSICION EDIFICIO MUNICIPAL DE CHAITEN</t>
  </si>
  <si>
    <t>Chaiten</t>
  </si>
  <si>
    <t>30072372-0</t>
  </si>
  <si>
    <t>AMPLIACION ESCUELA BÁSICA FUTALEUFÚ PARA ENSEÑANZA MEDIA</t>
  </si>
  <si>
    <t>Futaleufú</t>
  </si>
  <si>
    <t>30086361-0</t>
  </si>
  <si>
    <t>REPOSICION GIMNASIO MUNICIPAL DE FUTALEUFÚ</t>
  </si>
  <si>
    <t>30102779-0</t>
  </si>
  <si>
    <t>CONSTRUCCION TERMINAL DE BUSES COMUNA DE FUTALEUFÚ</t>
  </si>
  <si>
    <t>30311722-0</t>
  </si>
  <si>
    <t>REPOSICION POSTA DE SALUD RURAL AULEN, COMUNA HUALAIHUE.</t>
  </si>
  <si>
    <t>Hualaihue</t>
  </si>
  <si>
    <t>30065600-0</t>
  </si>
  <si>
    <t>CONSTRUCCION SISTEMA AGUA POTABLE RURAL EL MANZANO, HUALAIHUE</t>
  </si>
  <si>
    <t>Perfil</t>
  </si>
  <si>
    <t>30342673-0</t>
  </si>
  <si>
    <t>CONSTRUCCION CAMINO RUTA W-807,SECTOR:PTE.NEGRO-PTE.AQUELLAS,CHAITEN</t>
  </si>
  <si>
    <t>30384677-0</t>
  </si>
  <si>
    <t>MEJORAMIENTO RUTA 235-CH SECTOR V. S. LUCIA-P. RAMIREZ, PROV. PALENA</t>
  </si>
  <si>
    <t>Palena</t>
  </si>
  <si>
    <t>30186523-0</t>
  </si>
  <si>
    <t>CONSTRUCCION CONEXION VIAL ISLA TALCAN ARCH. DESERTORES,CHAITEN</t>
  </si>
  <si>
    <t>30135233-0</t>
  </si>
  <si>
    <t xml:space="preserve">MEJORAMIENTO CIRCUITO PEATONAL HISTÓRICO, COMUNA DE PALENA </t>
  </si>
  <si>
    <t>30072731-0</t>
  </si>
  <si>
    <t>MEJORAMIENTO CALLE  ANTONIO VARAS, PUERTO MONTT</t>
  </si>
  <si>
    <t>30364305-0</t>
  </si>
  <si>
    <t>AMPLIACION Y MEJORAMIENTO INSTITUTO TELETON, PUERTO MONTT</t>
  </si>
  <si>
    <t>30115395-0</t>
  </si>
  <si>
    <t>CONSTRUCCION CUARTEL OCTAVA COMPAÑIA DE BOMBEROS, PUERTO MONTT</t>
  </si>
  <si>
    <t>30429872-0</t>
  </si>
  <si>
    <t>CONSTRUCCION REDES A POTABLE Y ALCANT. V. LOS PINOS ALTOS, P. MONTT</t>
  </si>
  <si>
    <t>30127010-0</t>
  </si>
  <si>
    <t>MEJORAMIENTO CALLE EL TENIENTE, BARRIO INDUSTRIAL DE PUERTO MONTT</t>
  </si>
  <si>
    <t>30125824-0</t>
  </si>
  <si>
    <t>AMPLIACION Y REMODELACION INTEGRAL CONSISTORIAL LOS MUERMOS</t>
  </si>
  <si>
    <t>30088011-0</t>
  </si>
  <si>
    <t>CONSTRUCCION PLANTA DE TRATAMIENTO LOCALIDAD DE PARGA, COMUNA FRESIA</t>
  </si>
  <si>
    <t>30397144-0</t>
  </si>
  <si>
    <t>CONSTRUCCION SISTEMA APR SECTOR LAS CRUCES, COMUNA DE FRESIA</t>
  </si>
  <si>
    <t>40006229-0</t>
  </si>
  <si>
    <t xml:space="preserve">MEJORAMIENTO DIVERSAS CALLES, COMUNA DE FRESIA </t>
  </si>
  <si>
    <t>30134714-0</t>
  </si>
  <si>
    <t>CONSTRUCCION ESTADIO MUNICIPAL ANFUR, COMUNA DE FRESIA</t>
  </si>
  <si>
    <t>30485141-0</t>
  </si>
  <si>
    <t>CONSTRUCCION SISTEMA DE APR  SECT. LOS RADALES, COMUNA FRUTILLAR</t>
  </si>
  <si>
    <t>Frutillar</t>
  </si>
  <si>
    <t>30085259-0</t>
  </si>
  <si>
    <t>REPOSICION ESCUELA ARTURO ALESSANDRI PALMA FRUTILLAR</t>
  </si>
  <si>
    <t>30248522-0</t>
  </si>
  <si>
    <t>CONSTRUCCION ESTADIO MUNICIPAL COMUNA DE COCHAMO</t>
  </si>
  <si>
    <t>30342773-0</t>
  </si>
  <si>
    <t>MEJORAMIENTO RUTA V-69, SECTOR RALUN - COCHAMO, COMUNA COCHAMO</t>
  </si>
  <si>
    <t>30077481-0</t>
  </si>
  <si>
    <t>RESTAURACION IGLESIA N. S. DE LA CANDELARIA DE CARELMAPU, MAULLIN</t>
  </si>
  <si>
    <t>Maullin</t>
  </si>
  <si>
    <t>20086686-0</t>
  </si>
  <si>
    <t>REPOSICION PARCIAL LICEO POLITECNICO ,  CALBUCO</t>
  </si>
  <si>
    <t>30087299-0</t>
  </si>
  <si>
    <t>CONSTRUCCION CEMENTERIO MUNICIPAL DE CALBUCO</t>
  </si>
  <si>
    <t>40010719-0</t>
  </si>
  <si>
    <t>MEJORAMIENTO CALLE   LA QUEBRADA, PUERTO VARAS</t>
  </si>
  <si>
    <t>30091074-0</t>
  </si>
  <si>
    <t>CONSTRUCCION BIBLIOTECA REGIONAL  LOS LAGOS, PUERTO MONTT</t>
  </si>
  <si>
    <t>30093349-0</t>
  </si>
  <si>
    <t>REPOSICIÓN POSTA SALUD RURAL DE MANAO, COMUNA DE ANCUD</t>
  </si>
  <si>
    <t>40011005-0</t>
  </si>
  <si>
    <t>CONSERVACION VEREDAS SECTOR CANITAS Y RIO FRIO</t>
  </si>
  <si>
    <t>30342679-0</t>
  </si>
  <si>
    <t>CONSERVACION PERIÓDICA, CAMINO BÁSICO ROL W-813 Y ROL W-815</t>
  </si>
  <si>
    <t>30487244-0</t>
  </si>
  <si>
    <t>CONSERVACION VEREDAS CALLES DE PALENA</t>
  </si>
  <si>
    <t>30077490-0</t>
  </si>
  <si>
    <t>CONSERVACION CASA PAULY PUERTO MONTT</t>
  </si>
  <si>
    <t>40005278-0</t>
  </si>
  <si>
    <t>CONSERVACION VIAS URBANAS PUERTO VARAS</t>
  </si>
  <si>
    <t>30460140-0</t>
  </si>
  <si>
    <t>CONSERVACION FACHADAS Y CIRCULACIONES CENTRO ADMINISTRATIVO REGIONAL</t>
  </si>
  <si>
    <t>Regional</t>
  </si>
  <si>
    <t>30485368-0</t>
  </si>
  <si>
    <t>REPOSICION CENTRO REHABILITACION  CLUB DE LEONES COMUNA DE ANCUD</t>
  </si>
  <si>
    <t>30381175-0</t>
  </si>
  <si>
    <t>CONSTRUCCION CANCHA Y PISTA ATLETICA CANCHA RAYADA DE CASTRO</t>
  </si>
  <si>
    <t>30076949-0</t>
  </si>
  <si>
    <t>REPOSICION ESCUELA DE LA CULTURA, FRIDOLINA BARRIENTOS, CASTRO</t>
  </si>
  <si>
    <t>40004659-0</t>
  </si>
  <si>
    <t>CONSTRUCCION SISTEMA APR SECTOR BUTALCURA, PRIMERA ETAPA, DALCAHUE</t>
  </si>
  <si>
    <t>40001662-0</t>
  </si>
  <si>
    <t>CONSTRUCCION RECINTO DEPORTIVO SECTOR MOCOPULLI, COMUNA DE DALCAHUE</t>
  </si>
  <si>
    <t>40012136-0</t>
  </si>
  <si>
    <t>HABILITACION  Y SUMINISTRO ENERGÍA ELÉCTRICA SECTOR  KM 26 Y 27, COMUNA DE ANCUD</t>
  </si>
  <si>
    <t>30485255-0</t>
  </si>
  <si>
    <t>HABILITACION SUMINISTRO DE ENERGIA ELECTRICA SECTOR QUEMAS DE CHUYAQUEN, MAULLIN</t>
  </si>
  <si>
    <t>40011698-0</t>
  </si>
  <si>
    <t>HABILITACION SUMINISTRO ENERGIA ELECTRICA VARIOS SECTORES, LOS MUERMOS</t>
  </si>
  <si>
    <t>40012912-0</t>
  </si>
  <si>
    <t>HABILITACION SUMINISTRO ENERGIA ELECTRICA SECTOR EL TIGRE, PALENA</t>
  </si>
  <si>
    <t>30485115-0</t>
  </si>
  <si>
    <t>CONSTRUCCION SERVICIO DE APR SECTOR BALMACEDA-PARAGUAY, FRUTILLAR</t>
  </si>
  <si>
    <t>30257472-0</t>
  </si>
  <si>
    <t>CONSTRUCCION RED DE ALCANTARILLADO Y PLANTA DE TRATAMIENTO SECTOR PICHIL, OSORNO</t>
  </si>
  <si>
    <t>40019022-0</t>
  </si>
  <si>
    <t>REPOSICION VEREDAS POBLACIÓN ANGULO COMUNA OSORNO</t>
  </si>
  <si>
    <t>30463800-0</t>
  </si>
  <si>
    <t>REPOSICION HOSPEDERIA HOGAR DE CRISTO, OSORNO</t>
  </si>
  <si>
    <t>40019026-0</t>
  </si>
  <si>
    <t>REPOSICION DE VEREDAS SECTOR CENTRO NORTE, OSORNO</t>
  </si>
  <si>
    <t>40015396-0</t>
  </si>
  <si>
    <t>REPOSICION JUZGADOS DE POLICÍA LOCAL, OSORNO</t>
  </si>
  <si>
    <t>30405773-0</t>
  </si>
  <si>
    <t>REPOSICION POSTA RURAL LA POZA, COMUNA DE SAN PABLO</t>
  </si>
  <si>
    <t>San Pablo</t>
  </si>
  <si>
    <t>30247072-0</t>
  </si>
  <si>
    <t>MEJORAMIENTO ACCESO NORTE A SAN PABLO</t>
  </si>
  <si>
    <t>30126943-0</t>
  </si>
  <si>
    <t>MEJORAMIENTO HOSPITAL DE RIO NEGRO</t>
  </si>
  <si>
    <t>Rio Negro</t>
  </si>
  <si>
    <t>30397335-0</t>
  </si>
  <si>
    <t>CONSTRUCCION SERVICIO AGUA POTABLE RURAL COLONIA PONCE, PURRANQUE</t>
  </si>
  <si>
    <t>Purranque</t>
  </si>
  <si>
    <t>30134930-0</t>
  </si>
  <si>
    <t>CONSTRUCCION ESTADIO CORTE-ALTO, PURRANQUE</t>
  </si>
  <si>
    <t>30071878-0</t>
  </si>
  <si>
    <t>REPOSICION  CONSULTORIO DE SALUD RURAL BAHIA MANSA</t>
  </si>
  <si>
    <t>San Juan de Costa</t>
  </si>
  <si>
    <t>30478036-0</t>
  </si>
  <si>
    <t>REPOSICION ESCUELA RURAL EL ISLOTE RUPANCO, PUERTO OCTAY</t>
  </si>
  <si>
    <t>Puerto Octay</t>
  </si>
  <si>
    <t>40007052-0</t>
  </si>
  <si>
    <t>REPOSICION CECOSF EL ENCANTO, COMUNA DE PUYEHUE</t>
  </si>
  <si>
    <t>Puyehue</t>
  </si>
  <si>
    <t>30284622-0</t>
  </si>
  <si>
    <t>REPOSICION PLAZA DE ARMAS DE RIO NEGRO</t>
  </si>
  <si>
    <t>40010103-0</t>
  </si>
  <si>
    <t>CONSTRUCCION CECOSF URBANO CHIFIN, COMUNA DE RIO NEGRO</t>
  </si>
  <si>
    <t>40015603-0</t>
  </si>
  <si>
    <t>HABILITACION ESTRUCTURA MODULAR MAQUINA RX CF CARDENAL SAMORE, PUYEHUE</t>
  </si>
  <si>
    <t>30485135-0</t>
  </si>
  <si>
    <t>CONSERVACION VEREDAS CASTRO ALTO, COMUNA DE CASTRO</t>
  </si>
  <si>
    <t>30076663-0</t>
  </si>
  <si>
    <t>CONSERVACION FERIA LILLO  COMUNA CASTRO</t>
  </si>
  <si>
    <t>30480757-0</t>
  </si>
  <si>
    <t>CONSERVACION  GIMNASIO MUNICIPAL COMUNA DE QUEILEN</t>
  </si>
  <si>
    <t>Queilen</t>
  </si>
  <si>
    <t>30165522-0</t>
  </si>
  <si>
    <t>CONSERVACION Y EQUIP. EDIF. CIAS. BOMBEROS 4TA.,5TA Y CUARTEL GRAL.</t>
  </si>
  <si>
    <t>40019354-0</t>
  </si>
  <si>
    <t>CONSERVACION CAMINOS NO ENROLADOS SECTOR  COLONIA PONCE Y OTROS</t>
  </si>
  <si>
    <t>40013401-0</t>
  </si>
  <si>
    <t>CONSERVACION CAMINOS NO ENROLADOS 6 SECTORES RURALES DE LA COMUNA DE PUERTO OCTAY</t>
  </si>
  <si>
    <t>30448275-0</t>
  </si>
  <si>
    <t>CONSERVACION CNOS. VECINALES POR GLOSA 7, ETAPA 1, PROVINCIA OSORNO</t>
  </si>
  <si>
    <t>30133755-0</t>
  </si>
  <si>
    <t>CONSERVACION RED VIAL DE VARIOS CAMINOS PAVIMENTADOS AÑO 2013</t>
  </si>
  <si>
    <t>40022424-0</t>
  </si>
  <si>
    <t>CONSERVACION DIVERSOS CAMINOS DE RIPIO, REGIÓN DE LOS LAGOS, AÑO 2020-2021</t>
  </si>
  <si>
    <t>30077182-0</t>
  </si>
  <si>
    <t>REPOSICION CUARTEL INVESTIGACIONES PUERTO VARAS</t>
  </si>
  <si>
    <t>30135630-0</t>
  </si>
  <si>
    <t>REPOSICION ESCUELA RURAL DE COMPU, COMUNA DE QUELLON</t>
  </si>
  <si>
    <t>Quellon</t>
  </si>
  <si>
    <t>40016735-0</t>
  </si>
  <si>
    <t>RESTAURACION CENTRO CULTURAL SOFÍA HOTT, OSORNO</t>
  </si>
  <si>
    <t>30106468-0</t>
  </si>
  <si>
    <t>REPOSICION ESCUELA RURAL LAGUNITAS COMUNA DE PUERTO MONTT</t>
  </si>
  <si>
    <t>30371674-0</t>
  </si>
  <si>
    <t>REPOSICION TERMINAL PORTUARIO DE CHAITEN</t>
  </si>
  <si>
    <t>30115466-0</t>
  </si>
  <si>
    <t>CONSTRUCCION SISTEMA ALCANT. Y TRATAM. AGUAS SERVIDAS DE LOLCURA, MAULLIN</t>
  </si>
  <si>
    <t>30380331-0</t>
  </si>
  <si>
    <t>CONSTRUCCION  Y HABILITACION CENTRO DE DIALISIS HOSPITAL CALBUCO</t>
  </si>
  <si>
    <t>30289475-0</t>
  </si>
  <si>
    <t>CONSTRUCCION SERVICIO APR SAN CARLOS, LOS MUERMOS</t>
  </si>
  <si>
    <t>30076574-0</t>
  </si>
  <si>
    <t>REPOSICION EDIFICIO CONSISTORIAL, LLANQUIHUE</t>
  </si>
  <si>
    <t>30087497-0</t>
  </si>
  <si>
    <t>REPOSICION CUARTEL  POLICIAL PREFECTURA  PROVINCIAL  OSORNO</t>
  </si>
  <si>
    <t>40003992-0</t>
  </si>
  <si>
    <t>CONSTRUCCION SUMINISTRO E. ELECTRICA FOTOVOLTAICA LOC. DE QUIACA-ISLA LLANCAHUE, HUALAIHUE</t>
  </si>
  <si>
    <t>40019107-0</t>
  </si>
  <si>
    <t>CONSTRUCCION SUM. ENERGIA FOTOVOLTAICA  EL MANSO-L V GORMAZ-L T. TAGUA-LOS GUINDOS, COCHAMO</t>
  </si>
  <si>
    <t>30134013-0</t>
  </si>
  <si>
    <t>REPOSICION ESCUELA TEHUACO - QUETALCO COMUNA DE DALCAHUE</t>
  </si>
  <si>
    <t>30060589-0</t>
  </si>
  <si>
    <t>MEJORAMIENTO HOSPITAL DE CHAITEN.</t>
  </si>
  <si>
    <t>30466394-0</t>
  </si>
  <si>
    <t>CONSTRUCCION SISTEMA AGUA POTABLE RURAL DE TARAHUIN, CHONCHI</t>
  </si>
  <si>
    <t>30484959-0</t>
  </si>
  <si>
    <t>CONSTRUCCION CENTRO DEPORTIVO MUNICIPAL COMUNA DE CHONCHI</t>
  </si>
  <si>
    <t>30126487-0</t>
  </si>
  <si>
    <t>REPOSICION ESCUELA RURAL DE HUILLINCO COMUNA DE CHONCHI</t>
  </si>
  <si>
    <t>30462595-0</t>
  </si>
  <si>
    <t>MEJORAMIENTO AREAS EXTERIORES Y OBRAS COMPLEMENTARIAS CENTRO ADM. REGIONAL, PUERTO MONTT</t>
  </si>
  <si>
    <t>40002877-0</t>
  </si>
  <si>
    <t>MEJORAMIENTO URBANISTICO AVENIDA O´HIGGINS Y AVENIDA SAN MARTIN CASTRO</t>
  </si>
  <si>
    <t>40008282-0</t>
  </si>
  <si>
    <t>REPOSICION SEXTA COMPAÑÍA DE BOMBEROS DE OSORNO</t>
  </si>
  <si>
    <t>40012751-0</t>
  </si>
  <si>
    <t>MEJORAMIENTO ESPACIO PÚBLICO 21 DE MAYO, PURRANQUE</t>
  </si>
  <si>
    <t>40018773-0</t>
  </si>
  <si>
    <t>AMPLIACION SISTEMA AGUA POTABLE RURAL ÑADI PICHIDAMAS, PUYEHUE</t>
  </si>
  <si>
    <t>30280673-0</t>
  </si>
  <si>
    <t>CONSTRUCCION POSTA SALUD RURAL CHAN CHAN, RIO NEGRO</t>
  </si>
  <si>
    <t>30291073-0</t>
  </si>
  <si>
    <t>CONSTRUCCION POSTA DE SALUD RURAL PUCATRIHUE, SAN JUAN DE LA COSTA</t>
  </si>
  <si>
    <t>40015774-0</t>
  </si>
  <si>
    <t>MEJORAMIENTO PAVIMENTO CALLES VILLA SAN ANDRÉS Y LOS TULIPANES, CALBUCO</t>
  </si>
  <si>
    <t>40015770-0</t>
  </si>
  <si>
    <t>MEJORAMIENTO PAVIMENTOS CALLES CARLOS CONDELL, FRAGATA COCHRANE Y LAS VERTIENTES, CALBUCO</t>
  </si>
  <si>
    <t>30479286-0</t>
  </si>
  <si>
    <t>CONSTRUCCION SERVICIO AGUA POTABLE RURAL ISLA QUENU, COMUNA DE CALBUCO.</t>
  </si>
  <si>
    <t>30480526-0</t>
  </si>
  <si>
    <t>CONSTRUCCION SERVICIO AGUA POTABLE RURAL LA CAMPANA, COMUNA DE CALBUCO</t>
  </si>
  <si>
    <t>40015528-0</t>
  </si>
  <si>
    <t>REPOSICION POSTA DE SALUD RURAL LLANADA GRANDE, COMUNA COCHAMO</t>
  </si>
  <si>
    <t>40005745-0</t>
  </si>
  <si>
    <t>REPOSICION CUARTEL PRIMERA COMPAÑÍA DE BOMBEROS DE RIO PUELO, COMUNA DE COCHAMÓ.</t>
  </si>
  <si>
    <t>40021313-0</t>
  </si>
  <si>
    <t>MEJORAMIENTO DIVERSAS CALLES DE FRESIA (EL RINCON-RIO LLICO-TEODORO SCHAFER)</t>
  </si>
  <si>
    <t>30485157-0</t>
  </si>
  <si>
    <t>AMPLIACION SISTEMA APR CASMA HACIA EL ENCANTO Y CALLEJON SIN SALIDA, FRUTILLAR</t>
  </si>
  <si>
    <t>40018868-0</t>
  </si>
  <si>
    <t>REPOSICION CUARTEL GENERAL Y PRIMERA COMPAÑIA DE BOMBEROS LOS MUERMOS</t>
  </si>
  <si>
    <t>40007573-0</t>
  </si>
  <si>
    <t>REPOSICION ESCUELA JOSE ABELARDO NUÑEZ, COMUNA DE MAULLIN</t>
  </si>
  <si>
    <t>30395422-0</t>
  </si>
  <si>
    <t>REPOSICION CANCHA LEPIHUE, COMUNA DE MAULLIN</t>
  </si>
  <si>
    <t>30485331-0</t>
  </si>
  <si>
    <t>MEJORAMIENTO PARQUE CERRO PHILIPPI PUERTO VARAS</t>
  </si>
  <si>
    <t>40005957-0</t>
  </si>
  <si>
    <t>REPOSICION MUSEO MUNICIPAL Y BIBLIOTECA PUBLICA, CASTRO</t>
  </si>
  <si>
    <t>40019386-0</t>
  </si>
  <si>
    <t>REPOSICION E ILUMINACION DE GARITAS EN DIVERSOS SECTORES DE LA COMUNA DE CHONCHI</t>
  </si>
  <si>
    <t>40005352-0</t>
  </si>
  <si>
    <t>REPOSICION POSTA DE SALUD RURAL DE TENAÚN, COMUNA DE DALCAHUE</t>
  </si>
  <si>
    <t>40002386-0</t>
  </si>
  <si>
    <t>MEJORAMIENTO INTEGRAL ESTADIO MUNICIPAL DE QUEILEN</t>
  </si>
  <si>
    <t>30069919-0</t>
  </si>
  <si>
    <t>CONSTRUCCION GIMNASIO ESCUELA ORIENTE DE QUELLÓN</t>
  </si>
  <si>
    <t>40000178-0</t>
  </si>
  <si>
    <t>INSTALACION SISTEMA APR SECTORES CHAILDAD-CHANCO-YATEHUE, QUELLÓN</t>
  </si>
  <si>
    <t>30384235-0</t>
  </si>
  <si>
    <t>CONSTRUCCION CONEXIÓN VIAL SECTOR:PALENA - LAGO PALENA,COMUNA PALENA</t>
  </si>
  <si>
    <t>30270222-0</t>
  </si>
  <si>
    <t>REPOSICION POSTA RURAL DE CORRENTOSO, PUERTO MONTT</t>
  </si>
  <si>
    <t>30080922-0</t>
  </si>
  <si>
    <t>REPOSICION POSTA DE SALUD RURAL DE HUELMO, PUERTO MONTT</t>
  </si>
  <si>
    <t>40012877-0</t>
  </si>
  <si>
    <t>MEJORAMIENTO CALLE ESPAÑA, ENTRE CALLE QUEPE Y AVENIDA JUAN SOLER MANFREDINI, PUERTO MONTT</t>
  </si>
  <si>
    <t>30134234-0</t>
  </si>
  <si>
    <t>CONSTRUCCION GIMNASIO TEN - TEN, COMUNA DE MAULLIN</t>
  </si>
  <si>
    <t>40013905-0</t>
  </si>
  <si>
    <t>MEJORAMIENTO 5 VIAS DE LA CIUDAD DE DALCAHUE</t>
  </si>
  <si>
    <t>40009684-0</t>
  </si>
  <si>
    <t>AMPLIACION DE RED PUBLICA SIST DE AGUA POTABLE Y ALC SECTOR ALCÁZAR COMUNA DE QUELLON</t>
  </si>
  <si>
    <t>30116479-0</t>
  </si>
  <si>
    <t>CONSTRUCCION SISTEMA DE AGUA POTABLE RURAL SECTOR LLAGUEPE, COCHAMO</t>
  </si>
  <si>
    <t>40015801-0</t>
  </si>
  <si>
    <t>REPOSICION ESCUELA RURAL CAPITAN DE BANDADA CARLOS RODRIGUEZ PARIS, LLANADA GRANDE, COCHAMO</t>
  </si>
  <si>
    <t>30135967-0</t>
  </si>
  <si>
    <t>CONSTRUCCION ESTACION DE TRANSFERENCIA LA CAMPANA, CALBUCO</t>
  </si>
  <si>
    <t>30485133-0</t>
  </si>
  <si>
    <t>CONSTRUCCION SISTEMA DE AGUA POTABLE RURAL SECTOR PEDERNAL, FRUTILLAR</t>
  </si>
  <si>
    <t>30485139-0</t>
  </si>
  <si>
    <t>CONSTRUCCION SERVICIO DE APR SECTOR PICHILOPEZ, FRUTILLAR</t>
  </si>
  <si>
    <t>40005289-0</t>
  </si>
  <si>
    <t>MEJORAMIENTO ESPACIO PÚBLICO HUMEDAL EL LOTO, LLANQUIHUE</t>
  </si>
  <si>
    <t>40019095-0</t>
  </si>
  <si>
    <t>CONSERVACION VEREDAS SECTOR CENTRO SUR</t>
  </si>
  <si>
    <t>40019355-0</t>
  </si>
  <si>
    <t>CONSERVACION VEREDAS LOCALIDAD DE CORTE ALTO, COMUNA DE PURRANQUE</t>
  </si>
  <si>
    <t>40014732-0</t>
  </si>
  <si>
    <t>CONSERVACION CAMINOS RURALES Y URBANOS SECTOR TEN TEN Y LA CHACRA PABLO NERUDA</t>
  </si>
  <si>
    <t>40022435-0</t>
  </si>
  <si>
    <t>CONSERVACION PER. CAM. VEC., C. DE CALBUCO, HUALAIHUÉ Y PALENA, REG. DE LOS LAGOS, 2020-2021</t>
  </si>
  <si>
    <t>30359222-0</t>
  </si>
  <si>
    <t>CONSERVACION CAMINOS NO ENROLADOS EN 7 SECTORES DE LA COMUNA DE PUYEHUE</t>
  </si>
  <si>
    <t>40015147-0</t>
  </si>
  <si>
    <t>CONSERVACION ACERAS DIVERSOS SECTORES DE PUERTO VARAS</t>
  </si>
  <si>
    <t>40027009-0</t>
  </si>
  <si>
    <t>CONSERVACION PER. CAM. VEC., C. DE CALBUCO Y MAULLÍN, REG. DE LOS LAGOS, 2020-2021</t>
  </si>
  <si>
    <t>40014315-0</t>
  </si>
  <si>
    <t>CONSERVACION CAMINOS ISLA CAUCAHUE, COMUNA DE QUEMCHI</t>
  </si>
  <si>
    <t>Quemchi</t>
  </si>
  <si>
    <t>40005972-0</t>
  </si>
  <si>
    <t>CONSERVACION CAMINOS NO ENROLADOS 5 SECTORES RURALES DE LA COMUNA DE FRUTILLAR</t>
  </si>
  <si>
    <t>30396424-0</t>
  </si>
  <si>
    <t>CONSERVACION CAMINOS NO ENROLADOS, DIVERSOS SECTORES DE FRESIA</t>
  </si>
  <si>
    <t>40017416-0</t>
  </si>
  <si>
    <t>CONSTRUCCIÓN RED DE AGUA POTABLE Y ALCANTARILLADO CALLE EL CERRO Y PASAJE 1 CAICUMEO</t>
  </si>
  <si>
    <t>30116708-0</t>
  </si>
  <si>
    <t>CONSTRUCCIÓN SISTEMA DE AGUA POTABLE RURAL PUMANZANO</t>
  </si>
  <si>
    <t>40003369-0</t>
  </si>
  <si>
    <t>CONSERVACIÓN CAMINOS RURALES ISLA QUEHUI COMUNA DE CASTRO</t>
  </si>
  <si>
    <t>30080460-0</t>
  </si>
  <si>
    <t>CONSTRUCCIÓN PUENTE EL SARGAZO DE PTO MONTT</t>
  </si>
  <si>
    <t>30453827-0</t>
  </si>
  <si>
    <t>CONSERVACIÓN CNOS VECINALES, GLOSA 7 ETAPA 1, PROVINCIA DE CHILOE</t>
  </si>
  <si>
    <t>30095333-0</t>
  </si>
  <si>
    <t>REPOSICION ESTADIO MUNICIPAL DE CURACO DE VÉLEZ</t>
  </si>
  <si>
    <t>Curaco de Velez</t>
  </si>
  <si>
    <t>30135739-0</t>
  </si>
  <si>
    <t>REPOSICION POSTA DE SALUD RURAL PALQUI, CURACO DE VELEZ</t>
  </si>
  <si>
    <t>30376573-0</t>
  </si>
  <si>
    <t>ACTUALIZACION PLAN MAESTRO AGUAS LLUVIAS OSORNO</t>
  </si>
  <si>
    <t>30376572-0</t>
  </si>
  <si>
    <t>ACTUALIZACION PLAN MAESTRO AGUAS LLUVIAS PUERTO MONTT</t>
  </si>
  <si>
    <t>30083781-0</t>
  </si>
  <si>
    <t>DIAGNOSTICO DEL SISTEMA DE FORTIFICACIONES DE ANCUD</t>
  </si>
  <si>
    <t>40027131-0</t>
  </si>
  <si>
    <t>ANALISIS Y DETERMINACIÓN DE BRECHAS DISPOSICION DE A.P. Y ALC. PROV. OSORNO Y LLANQUIHUE</t>
  </si>
  <si>
    <t>40023990-0</t>
  </si>
  <si>
    <t>DIAGNOSTICO SISTEMA DE TRANSPORTE URBANO CIUDAD DE PUERTO VARAS, ETAPA I</t>
  </si>
  <si>
    <t>30419547-0</t>
  </si>
  <si>
    <t>MEJORAMIENTO INTEGRAL ESCUELA BÁSICA DE DALCAHUE</t>
  </si>
  <si>
    <t>30352430-0</t>
  </si>
  <si>
    <t>CONSTRUCCION PARQUE MUNICIPAL DE FUTALEUFU</t>
  </si>
  <si>
    <t>30488426-0</t>
  </si>
  <si>
    <t>INSTALACION SISTEMA AGUA POTABLE RURAL ISLA LAITEC, QUELLON</t>
  </si>
  <si>
    <t>30465403-0</t>
  </si>
  <si>
    <t>CONSTRUCCION APR SECTORES CUESTA LA VACA Y HUAUTRUNES, LOS MUERMOS</t>
  </si>
  <si>
    <t>40001823-0</t>
  </si>
  <si>
    <t>MEJORAMIENTO AULA PSICOMOTRIZ Y HÁBITOS FÍSICOS ESC. DIFERENCIAL SAN CARLOS, ANCUD</t>
  </si>
  <si>
    <t>40008054-0</t>
  </si>
  <si>
    <t>CONSERVACIÓN DE VEREDAS SECTOR CENTRO DE ACHAO</t>
  </si>
  <si>
    <t>Achao</t>
  </si>
  <si>
    <t>30071598-0</t>
  </si>
  <si>
    <t>REPOSICIÓN POSTA DE SALUD RURAL VOIGUE</t>
  </si>
  <si>
    <t>30103323-0</t>
  </si>
  <si>
    <t>CONSTRUCCION CIERRE EX VERTEDERO MUNICIPAL DE LOS MUERMOS</t>
  </si>
  <si>
    <t>30083335-0</t>
  </si>
  <si>
    <t>NORMALIZACIÓN HOSPITAL DE QUELLON, PROVINCIA DE CHILOE</t>
  </si>
  <si>
    <t>30123182-0</t>
  </si>
  <si>
    <t>CONSTRUCCIÓN PARQUE HOTT DE OSPRNO</t>
  </si>
  <si>
    <t>30402378-0</t>
  </si>
  <si>
    <t>DIAGNOSTICO INFRAESTRUCTURA PSR DE LA RED ASISTENCIAL DE OSORNO</t>
  </si>
  <si>
    <t>30412923-0</t>
  </si>
  <si>
    <t>CONSTRUCCION POSTA DE SALUD RURAL EL PONCHO COMUNA DE PTO OCTAY</t>
  </si>
  <si>
    <t>30171924-0</t>
  </si>
  <si>
    <t>REPOSICION POSTA RURAL COLONIA PONCE, PURRANQUE</t>
  </si>
  <si>
    <t xml:space="preserve"> Purranque</t>
  </si>
  <si>
    <t>30171875-0</t>
  </si>
  <si>
    <t>REPOSICION POSTA DE SALUD RURAL COLIGUAL, PURRANQUE</t>
  </si>
  <si>
    <t>30171923-0</t>
  </si>
  <si>
    <t>REPOSICION POSTA DE SALUD RURAL HUEYUSCA, PURRANQUE</t>
  </si>
  <si>
    <t>30212472-0</t>
  </si>
  <si>
    <t>CONSTRUCCION SERVICIO APR SECTOR RURAL EL MAÑIO, FRESIA</t>
  </si>
  <si>
    <t>30126506-0</t>
  </si>
  <si>
    <t>CONSTRUCCION CUARTEL 2° COMPAÑIA BOMBEROS DE LA COMUNA DE CHONCHI</t>
  </si>
  <si>
    <t>30129912-0</t>
  </si>
  <si>
    <t>CONSTRUCCION CENTRO CIVICO DALCAHUE</t>
  </si>
  <si>
    <t>30078798-0</t>
  </si>
  <si>
    <t>REPOSICION POSTA DE SALUD RURAL DE PIO PIO, COMUNA DE QUEILEN</t>
  </si>
  <si>
    <t>Comuna De Queilen</t>
  </si>
  <si>
    <t>30116040-0</t>
  </si>
  <si>
    <t>REPOSICION BODEGA Y GALPON MUNICIPAL, PALENA</t>
  </si>
  <si>
    <t>30115295-0</t>
  </si>
  <si>
    <t>REPOSICION Y AMPLIACION CUARTEL 1° COMPAÑIA DE BOMBEROS DE PALENA</t>
  </si>
  <si>
    <t>40013068-0</t>
  </si>
  <si>
    <t>REPOSICION POSTA DE SALUD RURAL VILLA CHAULINEC, ISLA CHAULINEC - QUINCHAO</t>
  </si>
  <si>
    <t>Isla Chaulinec - Quinchao</t>
  </si>
  <si>
    <t>40008370-0</t>
  </si>
  <si>
    <t>CONSTRUCCION POSTA DE SALUD RURAL COSTA RIO BLANCO, COMUNA DE RIO NEGRO</t>
  </si>
  <si>
    <t xml:space="preserve"> Rio Negro</t>
  </si>
  <si>
    <t>30472589-0</t>
  </si>
  <si>
    <t>REPOSICION ESCUELA RURAL DE COINCO COMUNA DE QUELLON</t>
  </si>
  <si>
    <t>30102235-0</t>
  </si>
  <si>
    <t>CONSERVACIÓN GIMNASIO FISCAL RIO NEGRO</t>
  </si>
  <si>
    <t>30277425-0</t>
  </si>
  <si>
    <t>CONSERVACIÓN GIMNASIO ESCUELA SEMILLERO DE ROLECHA</t>
  </si>
  <si>
    <t>30064230-0</t>
  </si>
  <si>
    <t>REPOSICION ESTADIO EWALDO KLEIN DE PUERTO VARAS</t>
  </si>
  <si>
    <t>40019001-0</t>
  </si>
  <si>
    <t>CONSTRUCCION RED ALC. Y AGUA POTABLE PJ.ROSARIO Y ERWIN ESCOBAR, POB MOYANO, OSORNO</t>
  </si>
  <si>
    <t>40014444-0</t>
  </si>
  <si>
    <t>CONSERVACION VIAS URBANAS DISTINTOS SECTORES, PUERTO MONTT</t>
  </si>
  <si>
    <t>30183123-0</t>
  </si>
  <si>
    <t>REPOSICION POSTA SALUD RURAL DE NEPUE, ISLA TRANQUI, COMUNA DE QUEILEN</t>
  </si>
  <si>
    <t>20157700-0</t>
  </si>
  <si>
    <t>REPOSICION ESCUELA RURAL DE QUITRIPULLI COMUNA DE CHOCHI</t>
  </si>
  <si>
    <t>40025619-0</t>
  </si>
  <si>
    <t>AMPLIACION RED DE AGUA POTABLE Y ALCANTARILLADO VILLA LOS AROMOS Y RIO PUDETO, ANCUD</t>
  </si>
  <si>
    <t>40012083-0</t>
  </si>
  <si>
    <t>CONSTRUCCION CESFAM NUEVA BRAUNAU, PUERTO VARAS</t>
  </si>
  <si>
    <t>DIAGNOSTICO PLAN MARCO DESARROLLO TERRITORIAL PALENA QUEULAT</t>
  </si>
  <si>
    <t>ESTUDIO</t>
  </si>
  <si>
    <t>AYSEN DEL GENERAL CARLOS IBAÑEZ DEL CAMPO</t>
  </si>
  <si>
    <t>CISNES</t>
  </si>
  <si>
    <t>DIAGNOSTICO -PMDT- LITORAL COMUNA CISNES</t>
  </si>
  <si>
    <t>RESTAURACION MONUMENTO NACIONAL BODEGAS PORTUARIAS, PUERTO IBAÑEZ</t>
  </si>
  <si>
    <t>RIO IBAÑEZ</t>
  </si>
  <si>
    <t>CONSTRUCCION ALCANTARILLADO Y TRATAMIENTOS AGUAS SERVIDAS EN TORTEL</t>
  </si>
  <si>
    <t>TORTEL</t>
  </si>
  <si>
    <t>RESTAURACION MONUMENTO NACIONAL CONSTRUCCIONES SOC. INDUSTRIAL AYSEN</t>
  </si>
  <si>
    <t>COYHAIQUE</t>
  </si>
  <si>
    <t>CONSTRUCCION RELLENO SANITARIO CHILE CHICO</t>
  </si>
  <si>
    <t>CHILE CHICO</t>
  </si>
  <si>
    <t>REPOSICION EDIFICIO CONSISTORIAL DE RIO IBAÑEZ</t>
  </si>
  <si>
    <t>REPOSICION CENTRO REHABILITACIÓN CLUB LEONES</t>
  </si>
  <si>
    <t>CONSTRUCCION CENTRO DE MANEJO RESIDUOS SÓLIDOS ISLA LAS HUICHAS</t>
  </si>
  <si>
    <t>AYSEN</t>
  </si>
  <si>
    <t>REPOSICION GIMNACIO PUERTO AGUIRRE</t>
  </si>
  <si>
    <t>MEJORAMIENTO RUTA 265 SECTOR ACCESOBAHIAJARA - CHILE CHICO</t>
  </si>
  <si>
    <t>MEJORAMIENTO RUTA 7 SUR: SECTOR  CERRO CASTILLO-ALCANTARILLA CASCADA</t>
  </si>
  <si>
    <t>REPOSION POSTA SALUD RURAL DE CALETA ANDRADE, AYSEN</t>
  </si>
  <si>
    <t>CONSTRUC.OBRAS DE CIERRE SITIO DISPOSICION RESIDUOS DE TORTEL</t>
  </si>
  <si>
    <t>CONSTRUCCION OBRAS DE CIERRE PROGRESIVO VERTEDERO DE COCHRANE</t>
  </si>
  <si>
    <t>COCHRANE</t>
  </si>
  <si>
    <t>REPOSICION ESTADIO ATLÉTICO DE COYHAIQUE</t>
  </si>
  <si>
    <t>CONSTRUCCION SOLUCIONES SANITARIAS PUERTO RAÚL MARÍN BALMACEDA</t>
  </si>
  <si>
    <t>REPOSICION PSR BAHIA MURTA, IBAÑEZ</t>
  </si>
  <si>
    <t>REPOSICION POSTA DE SALUD RURAL LA TAPERA, LAGO VERDE</t>
  </si>
  <si>
    <t>LAGO VERDE</t>
  </si>
  <si>
    <t>CONSTRUCCION ENROCADO Y AREAS VERDES COSTANERA CONDELL, PUERTO AYSEN</t>
  </si>
  <si>
    <t>CONSTRUCCION MIRADORES DE LA REGION</t>
  </si>
  <si>
    <t>REPOSICION ESCUELA DIFERENCIAL DESPERTAR, COMUNA DE AYSEN</t>
  </si>
  <si>
    <t xml:space="preserve">REPOSICION PARCIAL ESCUELA VICTOR DOMINGO SILVA, COYHAIQUE </t>
  </si>
  <si>
    <t>CONSTRUCCION CENTRO DE FAENAMIENTO PARA AUTOCONSUMO, VILLA OHIGGINS</t>
  </si>
  <si>
    <t>OHIGGINS</t>
  </si>
  <si>
    <t>REPOSICION PLAZA DEPORTIVA RAÚL BECKER DE PUERTO CISNES</t>
  </si>
  <si>
    <t>HABILITACION UNIDAD DE RESONANCIA MAGNÉTICA HR COYHAIQUE</t>
  </si>
  <si>
    <t>REPOSICION CUARTEL DE BOMBEROS CHILE CHICO</t>
  </si>
  <si>
    <t>MEJORAMIENTO ESTADIO ANFA PUERTO AYSÉN- COMUNA DE AYSÉN</t>
  </si>
  <si>
    <t>MEJORAMIENTO MULTICANCHA CAMILO HENRIQUEZ DE LA JUNTA, CISNES</t>
  </si>
  <si>
    <t>MEJORAMIENTO MULTICANCHA LOS COLONOS, PUERTO CISNES</t>
  </si>
  <si>
    <t>CONSTRUCCION INFRAESTRUCTURA FUNDACIONAL UNIVERSIDAD DE AYSÉN</t>
  </si>
  <si>
    <t>CONSTRUCCION CANCHA CLUB CERRO PORTEÑO</t>
  </si>
  <si>
    <t>MEJORAMIENTO CANCHA CLUB DEPORTIVO EL SALTO, COYHAIQUE</t>
  </si>
  <si>
    <t>CONSTRUCCION SOLUCIONES ELECTRICAS FOTOVOLTAICAS SECTOR VALLELAGUNAS, COMUNA DE AYSEN</t>
  </si>
  <si>
    <t>CONSTRUCCION ELECTRIFICACION RURAL PICAFLOR 2, MAÑIHUALES, COMUNA DE AYSEN</t>
  </si>
  <si>
    <t>CONSTRUCCION EXTENSIÓN RED ELÉCTRICA RURAL SECTOR LAGUNA ESMERALDA</t>
  </si>
  <si>
    <t>PERFIL</t>
  </si>
  <si>
    <t>ACTUALIZACION PLAN MAESTRO DE GESTIÓN DE TRÁNSITO PUERTO AYSEN</t>
  </si>
  <si>
    <t>CONSTRUCION RED DE ALCANTARILLADO Y PLANTA DE TRATAMIENTO DE AGUAS SEREVIDAS LAGO VERDE</t>
  </si>
  <si>
    <t>REPOSICION EDIFICIO CONSISTORIAL MUNICIPALIDAD DE OHIGGINS</t>
  </si>
  <si>
    <t>MEJORAMIENTO RUTA 7 NORTE, SECTOR PANGUE-LAGO RISOPATRÓN-PUYUHUAPI, REGION DE AYSEN</t>
  </si>
  <si>
    <t>CONST.CENTRO ARTESANAL DE COYHAIQUE</t>
  </si>
  <si>
    <t>CONSERVACION SISTEMA DE RECOLECCION Y TRATAMIENTO DE AGUAS SERVIDAS VILA MAÑIHUALES</t>
  </si>
  <si>
    <t>MEJORAMIENTO RUTA 7 NORTE, FIORDO QUEULAT-PTE CHUCAO, COMUNA DE CISNES</t>
  </si>
  <si>
    <t>CONSERVACION VIAS URBANAS CAMINO LAGO ATRAVESADO Y CAMINO LOS ALAMOS CERRO NEGRO</t>
  </si>
  <si>
    <t>CONSERVACION GIMNACIO ESCUELA GABRIELA MISTRAL, PUERTO RIO TRANQUILO</t>
  </si>
  <si>
    <t xml:space="preserve">CONSERVACION ESCUELA AYSEN, PUERTO AYSEN,COMUNA DE AYSEN </t>
  </si>
  <si>
    <t>CONSERVACION CASA DE ACOGIDA PACIENTES TRASLADADOS HOSPITAL DE COYHAIQUE</t>
  </si>
  <si>
    <t>CONSERVACION ESCUELA JOSE ANTOLIN SILVA ORMEÑO DE BALMACEDA</t>
  </si>
  <si>
    <t>CONSERVACIO DIVERSAS VIAS URBANAS DE LA CIUDAD DE COYHAIQUE, SECTOR CENTRO</t>
  </si>
  <si>
    <t>REPOSICION HOSPITAL COCHRANE, XI REGION</t>
  </si>
  <si>
    <t>CONSTRUC.ALCANTARILLADO Y CASETAS SANITARIAS PTO.BERTRAND</t>
  </si>
  <si>
    <t>CONSTRUCCION CENTRO GESTION DE RESIDUOS SOLIDOS COCHRANE-TORTEL</t>
  </si>
  <si>
    <t>REPOSICION POSTA DE SALUD RURAL EL GATO, COYHAIQUE</t>
  </si>
  <si>
    <t>REPOSICION POSTA DE SALUD RURAL CERRO CASTILLO, RIO IBAÑEZ</t>
  </si>
  <si>
    <t>CONSTRUCCION CENTRO DE REHABILITACIÓN VILLA MAÑIHUALES</t>
  </si>
  <si>
    <t>CONSTRUCCION CENTRO DE GESTIÓN DE RES.SOLIDOS, CUENCA GRAL. CARRERA,CHILE CHICO-RÍO IBÁÑEZ</t>
  </si>
  <si>
    <t>AMPLIACION ALCANTARILLADO DE AGUAS SERVIDAS COSTANERA CONDELL, PUERTO AYSEN</t>
  </si>
  <si>
    <t>REPOSICION CUARTEL PRIMERA COMPAÑÍA CUERPO DE BOMBEROS COYHAIQUE</t>
  </si>
  <si>
    <t>CONSTRUCCION ALCANTARILLADO Y A.P, MALLIN GRANDE, COMUNA DE CHILE CHICO</t>
  </si>
  <si>
    <t>DIAGNOSTICO PARA EMPLAZAMIENTO DE OBRAS CIVILES DE RIEGO EN AYSEN</t>
  </si>
  <si>
    <t>CONSTRUCCION INFRAESTRUCTURA CUEVA DE LAS MANOS SECTOR JEINIMENI P. N. PATAGONIA</t>
  </si>
  <si>
    <t>REPOSICION CUARTEL GENERAL Y PRIMERA COMPANIA DE BOMBEROS DE PUERTO CISNES</t>
  </si>
  <si>
    <t>NORMALIZACION HOSPITAL REGIONAL DE COYHAIQUE</t>
  </si>
  <si>
    <t>CONSTRUCCION PILOTO CALEFACCIÓN DISTRITAL EN EL SECTOR ESCUELA AGRÍCOLA DE COYHAIQUE.</t>
  </si>
  <si>
    <t>REPOSICION Y AMPLIACION DE ALUMBRADO PUBLICO LOCALIDADES DE ISLA LAS HUICHAS</t>
  </si>
  <si>
    <t>MEJORAMIENTO CALLE JUAN JOSE LATORRE, PUERTO CHACABUCO</t>
  </si>
  <si>
    <t>CONSTRUCCION SOLUCIONES ELECTRICAS FOTOVOLTAICAS SECTOR EL CEBALLO, FACHINAL Y AVELLANO</t>
  </si>
  <si>
    <t>REPOSICION PUENTE MATRERO PUERTO TRANQUILO, COMUNA DE RÍO IBÁÑEZ</t>
  </si>
  <si>
    <t>MEJORAMIENTO CALLE JOSE SILVA ORMEÑO, COYHAIQUE</t>
  </si>
  <si>
    <t xml:space="preserve">AMPLIACION RED DE SERVICIOS BÁSICOS CALLES PANGAL Y O’HIGGINS DE PUERTO </t>
  </si>
  <si>
    <t>REPOSICION HOGAR DE ANCIANOS PADRE ANTONIO RONCHI, COYHAIQUE</t>
  </si>
  <si>
    <t>REPOSICION ALUMBRADO PUBLICO DE PUERTO PUYUHUAPI, COMUNA DE CISNES</t>
  </si>
  <si>
    <t>CONSTRUCCION INFRAESTRUCTURA DE USO PUBLICO PARQUE NACIONAL QUEULAT- REGION DE AYSEN</t>
  </si>
  <si>
    <t>RESTAURACION MONUMENTO NACIONAL CASONA FUNDACIONAL ALTO RÍO CISNES, COMUNA DE LAGO VERDE</t>
  </si>
  <si>
    <t>CONSERVACION DE CALLES DE RIPIO DE LA COMUNA DE AYSEN (Circ. 23)</t>
  </si>
  <si>
    <t>ACTUALIZACION PLAN REGULADOR COMUNA DE SAN GREGORIO, REGIÓN DE MAGALLANES YANTÁRTICA CHILENA</t>
  </si>
  <si>
    <t>MAGALLANES</t>
  </si>
  <si>
    <t>SAN GREGORIO</t>
  </si>
  <si>
    <t>Arrastre</t>
  </si>
  <si>
    <t>DIAGNOSTICO DISEÑO SENDERO MONTE TARN, UBICADO EN BNP CABO FROWARD.</t>
  </si>
  <si>
    <t>PUNTA ARENAS</t>
  </si>
  <si>
    <t>Nuevo</t>
  </si>
  <si>
    <t>ACTUALIZACION PLADECO COMUNA DE NATALES 2017-2025</t>
  </si>
  <si>
    <t>ÚLTIMA ESPERANZA</t>
  </si>
  <si>
    <t>NATALES</t>
  </si>
  <si>
    <t>ACTUALIZACION PROSECUCIÓN Y TRAMITACIÓN PLAN REGULADOR COMUNA DE PORVENIR</t>
  </si>
  <si>
    <t>TIERRA DEL FUEGO</t>
  </si>
  <si>
    <t>PORVENIR</t>
  </si>
  <si>
    <t>MEJORAMIENTO RUTA COSTERA VILLA UKIKA-AEROPUERTO, PTO. WILLIAMS</t>
  </si>
  <si>
    <t>ANTARTICA CHILENA</t>
  </si>
  <si>
    <t>CABO DE HORNOS</t>
  </si>
  <si>
    <t>CONSTRUCCION INFRAESTRUCTURA PORTUARIA BAHIA FILDES, ANTART CHILENA</t>
  </si>
  <si>
    <t>CONSTRUCCION CENTRO SUBANTÁRTICO CABO DE HORNOS (EJECUCIÓN)</t>
  </si>
  <si>
    <t>AMPLIACION Y REMODELACION SEDE CLUB ESMERALDA, NATALES</t>
  </si>
  <si>
    <t>MEJORAMIENTO ESTANDAR URBANO CALLE 21 DE MAYO (MAGALLANES), P.ARENAS</t>
  </si>
  <si>
    <t>MEJORAMIENTO Y CONSERVACION PLAZA BENJA MUÑOZ GAMERO,PUNTA ARENAS</t>
  </si>
  <si>
    <t>CONSTRUCCION INFRAEST. PORTUARIA MULTIPROPOSITO PUERTO WILLIAMS</t>
  </si>
  <si>
    <t>CONSTRUCCION PISCINA TERAPEUT. CRUZ DEL SUR PORVENIR</t>
  </si>
  <si>
    <t>CONSTRUCCION SEDE SOCIAL JUNTA DE VECINOS LLAU LLAU, PUNTA ARENAS</t>
  </si>
  <si>
    <t>REPOSICION BIBLIOTECA MUNICIPAL N° 114 COMUNA DE PUNTA ARENAS</t>
  </si>
  <si>
    <t>MEJORAMIENTO RUTA Y-65, PORVENIR-MANANTIALES, ETAPA I, T.DEL FUEGO</t>
  </si>
  <si>
    <t>CONSTRUCCION CANCHA DE PASTO SINTÉTICO DE FÚTBOL INFANTIL, NATALES</t>
  </si>
  <si>
    <t>MEJORAMIENTO CALLE LAS HERAS (VERGARA-COSTANERA), PUNTA ARENAS</t>
  </si>
  <si>
    <t>MEJORAMIENTO RUTA DE NAVEGACION CANAL KIRKE, ULTIMA ESPERANZA (DISEÑO)</t>
  </si>
  <si>
    <t>CONSTRUCCION MONUMENTO PILOTO PARDO, PUNTA ARENAS</t>
  </si>
  <si>
    <t>CONSTRUCCION ENERGIZACION RURAL, SECTOR ANDINO, PUNTA ARENAS</t>
  </si>
  <si>
    <t>MEJORAMIENTO Y AMPL. ESC. DIFERENCIAL NICOLAS MLADINIC , NATALES</t>
  </si>
  <si>
    <t>MEJORAMIENTO R. Y-71, PORVENIR-ONAISSIN, TRAMO I, PROV. T. DEL FUEGO</t>
  </si>
  <si>
    <t>CONSTRUCCION CALLE EL OVEJERO, PTA. ARENAS.  (DISEÑO)</t>
  </si>
  <si>
    <t>MEJORAMIENTO CALLE DUBLE ALMEYDA, COMUNA PORVENIR. XII REGIÓN</t>
  </si>
  <si>
    <t>CONSTRUCCIÓN COLECTOR AGUAS LLUVIAS CALLE PILOTO PARDO, NATALES</t>
  </si>
  <si>
    <t>CONSTRUCCION CALLE JOSÉ GONZÁLEZ PUNTA ARENAS</t>
  </si>
  <si>
    <t>CONSTRUCCION CALLE MIRAFLORES, PUNTA ARENAS.  (DISEÑO)</t>
  </si>
  <si>
    <t>CONSTRUCCION SALA CUNA Y JARDÍN INFANTIL PUERTO WILLIAMS</t>
  </si>
  <si>
    <t>MEJORAMIENTO 12 ZONAS DE JUEGOS INFANTILES Y UNA PISTA DE PATINAJE, COMUNA NATALES</t>
  </si>
  <si>
    <t>CONSTRUCCION AVDA. DALCAHUE, PUNTA ARENAS, XII REGION</t>
  </si>
  <si>
    <t>CONSTRUCCION PLAZA TEMATICA DE TRANSITO, NATALES</t>
  </si>
  <si>
    <t>CONSTRUCCION SISTEMA DE AUTOGENERACIÓN EÓLICO DIÉSEL, RÍO VERDE</t>
  </si>
  <si>
    <t>RÍO VERDE</t>
  </si>
  <si>
    <t>AMPLIACION Y REPOSICION PARCIAL ESCUELA J. LADRILLERO, NATALES</t>
  </si>
  <si>
    <t>MEJORAMIENTO VARIAS VIAS SECTOR RÍO DE LA MANO, PUNTA ARENAS.  (DISEÑO)</t>
  </si>
  <si>
    <t>REPOSICION CESFAM THOMAS FENTON, PUNTA ARENAS</t>
  </si>
  <si>
    <t>CONSTRUCCION LOTEOS HABITACIONALES SECTOR ORIENTE NATALES, ETAPAS 2 Y 3.</t>
  </si>
  <si>
    <t>CONSTRUCCION Y AMPLIACIÓN INSTALACIONES CORRAL MUNICIPAL, PUNTA ARENAS</t>
  </si>
  <si>
    <t>CONSTRUCCION MODIFICACIÓN DE CAUCE NATURAL CHORRILLO SIN NOMBRE, PUNTA ARENAS</t>
  </si>
  <si>
    <t>MEJORAMIENTO DIVERSAS VÍAS SECTOR DOMINGO ESPIÑEIRA, PUNTA ARENAS</t>
  </si>
  <si>
    <t>CONSTRUCCION LOMAS DE BAQUEDANO 3ª ETAPA, PORVENIR</t>
  </si>
  <si>
    <t>MEJORAMIENTO CALLE MANUEL MENÉNDEZ, PUNTA ARENAS</t>
  </si>
  <si>
    <t>MEJORAMIENTO CALLE JOSÉ ASENCIO VERA, PUNTA ARENAS</t>
  </si>
  <si>
    <t>MEJORAMIENTO CALLE JOSE DIAZ BARRIA, PUNTA ARENAS</t>
  </si>
  <si>
    <t>CONSTRUCCIÓN RED DE GAS NATURAL, LOTEO VARILLAS, PUNTA ARENAS</t>
  </si>
  <si>
    <t>MEJORAMIENTO DIVERSAS VÍAS SECTOR RÍO DE LA MANO ETAPA II, PUNTA ARENAS</t>
  </si>
  <si>
    <t>MEJORAMIENTO DIVERSAS VÍAS UNIDAD VECINAL MAURICIO BRAUN, PUNTA ARENAS</t>
  </si>
  <si>
    <t>CONSTRUCCION SALA CUNA Y JARDÍN INFANTIL CERRO CASTILLO</t>
  </si>
  <si>
    <t>TORRES DEL PAINE</t>
  </si>
  <si>
    <t>CONSTRUCCION SALUD MENTAL Y GERIATRÍA, COMUNA PUNTA ARENAS</t>
  </si>
  <si>
    <t>REPOSICION RED ALCANTARILLADO Y CONSTRUCCIÓN P.T.A.S., VILLA PUNTA DELGADA</t>
  </si>
  <si>
    <t>CONSTRUCCION SISTEMA DE AGUA POTABLE RURAL LOTEO VRSALOVIC Y OJO BUENO, PUNTA ARENAS</t>
  </si>
  <si>
    <t>HABILITACION residencial para jóvenes, PUNTA ARENAS</t>
  </si>
  <si>
    <t>REPOSICION SISTEMA DE ABASTECIMIENTO AGUA POTABLE RURAL VILLA CAMERON, TIMAUKEL</t>
  </si>
  <si>
    <t>TIMAUKEL</t>
  </si>
  <si>
    <t>REPOSICION DIVERSAS VEREDAS BARRIO SAN MIGUEL Y BARRIO SUR, PUNTA ARENAS</t>
  </si>
  <si>
    <t>CONSTRUCCION RED DE SEMAFOROS Y SINCRONISMOS CIUDAD DE PUNTA ARENAS</t>
  </si>
  <si>
    <t>MEJORAMIENTO DIVERSAS CALLES SECTOR CENTRO-SUR, PUNTA ARENAS</t>
  </si>
  <si>
    <t>CONSTRUCCION URBANIZACION LOTEOS FSEV 2017 SECTOR SUR PUNTA ARENAS</t>
  </si>
  <si>
    <t>REPOSICION VEREDAS UNIDAD VECINAL Nº 28 CERRO DE LA CRUZ PUNTA ARENAS</t>
  </si>
  <si>
    <t>MEJORAMIENTO CALLE ENRIQUE ABELLO, COMUNA PUNTA ARENAS.</t>
  </si>
  <si>
    <t>AMPLIACION Y MEJORAMIENTO GIMNASIO NATALES</t>
  </si>
  <si>
    <t>ACTUALIZACION PLAN DE DESARROLLO COMUNAL DE TORRES DEL PAINE</t>
  </si>
  <si>
    <t>ACTUALIZACION PLAN SECCIONAL SERRANO Y CASTILLO, COMUNA TORRES DEL PAYNE</t>
  </si>
  <si>
    <t>MEJORAMIENTO PLAZOLETAS SECTOR SUR 2 PONIENTE, PUNTA ARENAS</t>
  </si>
  <si>
    <t>CONSTRUCCION SALON DE USOS MULTIPLES J.V.N°18, PTA. ARENAS</t>
  </si>
  <si>
    <t>MEJORAMIENTO AVENIDA ESPAÑA, PUERTO NATALES</t>
  </si>
  <si>
    <t>NORMALIZACION Y MEJOR. INTEGRAL JARDINES INFANTILES INTEGRA REG. MAG</t>
  </si>
  <si>
    <t>RESTAURACION Y NORMALIZACIÓN PRIMERA COMPAÑÍA DE BOMBEROS, PUNTA ARENAS</t>
  </si>
  <si>
    <t>NORMALIZACION CESFAM 18 DE SEPTIEMBRE PUNTA ARENAS</t>
  </si>
  <si>
    <t>CONSTRUCCIÓN RELLENO SANITARIO, NATALES</t>
  </si>
  <si>
    <t>CONSTRUCCION CENTRO ASISTENCIAL DOCENTE E INVESTIGACIÓN UMAG, XII REGIÓN</t>
  </si>
  <si>
    <t>CONSTRUCCION INFRAESTRUCTURA PORTUARIA EN PUERTO TORO,CABO DE HORNOS</t>
  </si>
  <si>
    <t>CONSTRUCCION JUZGADOS DE POLICIA LOCAL, PUNTA ARENAS</t>
  </si>
  <si>
    <t>MEJORAMIENTO Y REPOSICION VEREDAS BARRIO CROATA, PUNTA ARENAS</t>
  </si>
  <si>
    <t>RESTAURACION Y HABILITACIÓN MUSEO M. A. EN PALACIO J. M., P. ARENAS.  (DISEÑO)</t>
  </si>
  <si>
    <t>CONSTRUCCION PASEO URBANO CALLE CAPITÁN GUILLERMO, PUNTA ARENAS</t>
  </si>
  <si>
    <t>MEJORAMIENTO CALLE EUSEBIO PIZARRO, COMUNA PUNTA ARENAS, XII REGIÓN</t>
  </si>
  <si>
    <t>CONSTRUCCIÓN SEDE ASOC. DEP. REGIONAL MAXIBÁSQUETBOL DE MAGALLANES</t>
  </si>
  <si>
    <t>REPOSICION GIMNASIO Y MEJOR. ANEXOS COMPLEJO DEP. 18 SEP. P. ARENAS</t>
  </si>
  <si>
    <t>MEJORAMIENTO INTEGRAL CENTRO COSTUMBRISTA LAGUNA BLANCA</t>
  </si>
  <si>
    <t>LAGUNA BLANCA</t>
  </si>
  <si>
    <t>CONSERVACIÓN ACERAS CALLE CARLOS CONDELL Y OTRAS, NATALES</t>
  </si>
  <si>
    <t>MEJORAMIENTO PLAZOLETA CACIQUE PAPON, PUNTA ARENAS</t>
  </si>
  <si>
    <t>CONSERVACION VÍAS URBANAS XII REGIÓN AÑO 2017-2020</t>
  </si>
  <si>
    <t>MEJORAMIENTO PLAZOLETA AV. BULNES U.V. N°27, PUNTA ARENAS</t>
  </si>
  <si>
    <t>REPOSICION PRIMERA COMPAÑÍA DE BOMBEROS, PUERTO NATALES (DISEÑO)</t>
  </si>
  <si>
    <t>CONSTRUCCION PUENTE RANCAGUA - C. VIDELA, PUNTA ARENAS. XII REGIÓN</t>
  </si>
  <si>
    <t>MEJORAMIENTO PLAZOLETAS SECTOR SUR I, PUNTA ARENAS</t>
  </si>
  <si>
    <t>CONSTRUCCION MACRO INFRAESTRUCTURA URBANA TERRENOS SERVIU 2018, CABO DE HORNOS (PREFACTIBILIDAD</t>
  </si>
  <si>
    <t>REPOSICION VEREDAS POBLACION 18 SEPTIEMBRE, PUNTA ARENAS</t>
  </si>
  <si>
    <t>CONSERVACION SISTEMA DE CALEFACCIÓN Y OTRAS CASA DE LOS INTENDENTES, PUNTA ARENAS</t>
  </si>
  <si>
    <t>CONSTRUCCION ALCANTARILLADO Y TRATAMIENTO AGUAS SERVIDAS VILLA CAMERON, TIMAUKEL</t>
  </si>
  <si>
    <t>CONSTRUCCION RED CONTRAINCENDIO CDP DE PORVENIR</t>
  </si>
  <si>
    <t>MEJORAMIENTO ESTANDAR URBANO AREAS VERDES BARRIO CARDENAL RAUL SILVA HENRIQUEZ, NATALES</t>
  </si>
  <si>
    <t>CONSTRUCCION CENTRO DE GESTIÓN DE RESIDUOS SÓLIDOS, TIERRA DEL FUEGO.  (DISEÑO)</t>
  </si>
  <si>
    <t>CONSTRUCCION CENTRO DE GESTIÓN RESIDUOS SÓLIDOS, MAGALLANES.  (DISEÑO)</t>
  </si>
  <si>
    <t>RESTAURACION Y CONSERVACION INTERIOR PALACIO BRAUN MENENDEZ, P. ARENAS.  (DISEÑO)</t>
  </si>
  <si>
    <t>CONSTRUCCIÓN PISCINA SEMIOLIMPICA TEMPERADA COMUNA PORVENIR. (DISEÑO)</t>
  </si>
  <si>
    <t>CONSTRUCCION SEDE JUNTA DE VECINOS Nº 5 TORRES DEL PAINE P ARENAS</t>
  </si>
  <si>
    <t>AMPLIACION CEMENTERIO MUNICIPAL PABELLON NICHOS 28 CUARTEL 9 SUR P ARENAS</t>
  </si>
  <si>
    <t>HABILITACION CONSTRUCCIÓN ARCHIVO Y BIBLIOTECA REGIONAL PUNTA ARENAS</t>
  </si>
  <si>
    <t>CONSTRUCCION MUROS DE CONT. BERNARDO DE VERA Y PINTADO P. ARENAS</t>
  </si>
  <si>
    <t>CONSTRUCCION SISTEMA DE RECOLECCION DE AGUAS SERVIDAS SECTOR SUR , PUNTA ARENAS</t>
  </si>
  <si>
    <t>CONSTRUCCION PARQUE EOLICO CABO NEGRO</t>
  </si>
  <si>
    <t>CONSTRUCCION CAMINO RIO HOLLEMBERG - RIO PEREZ, ETAPA II, RÍO VERDE,XII REGIÓN</t>
  </si>
  <si>
    <t>MEJORAMIENTO Y REPOSICIÓN ESC. BERNARDO OHIGGINS, PORVENIR DISEÑO</t>
  </si>
  <si>
    <t>REPOSICION SEDE VECINAL Nº 12 MANUEL CHAPARRO PUNTA ARENAS DISEÑO</t>
  </si>
  <si>
    <t>HABILITACION SERVICIOS PÚBLICOS PROVINCIALES EN EX HOSPITAL, PUERTO NATALES</t>
  </si>
  <si>
    <t>CONSTRUCCION LOTEOS HABITACIONALES FSEV 2014, PUNTA ARENAS.  (DISEÑO)</t>
  </si>
  <si>
    <t>CONTROL DE MASCOTAS, FOMENTO TENENCIA RESPONSABLE EN LA COMUNA DE PORVENIR</t>
  </si>
  <si>
    <t>MEJORAMIENTO PLAZA DE ARMAS DE PORVENIR</t>
  </si>
  <si>
    <t>CONSTRUCCIÓN INFRAESTRUCTURA PORTUARIA EN PUERTO TORO, CABO DE HORNOS.(DISEÑO)</t>
  </si>
  <si>
    <t>ANTÁRTICA CHILENA</t>
  </si>
  <si>
    <t>CONSTRUCCION CUARTA ETAPA COSTANERA, PORVENIR</t>
  </si>
  <si>
    <t>MEJORAMIENTO INFRAESTRUCTURA HABITACIONAL DE MONTAÑA EN PNTP</t>
  </si>
  <si>
    <t>ÚLTIMA ESPERANA</t>
  </si>
  <si>
    <t>TORRES DEL PAYNE</t>
  </si>
  <si>
    <t>CONSTRUCCION SISTEMA AGUA POTABLE RURAL LOTEOS SELKNAM Y LOTEO LOS CISNES, PORVENIR</t>
  </si>
  <si>
    <t>CONSTRUCCION GIMNASIO ZAVATTARO, PORVENIR, TIERRA DEL FUEGO</t>
  </si>
  <si>
    <t>REPOSICION CENTRO DE ATENCION PUERTO NATALES</t>
  </si>
  <si>
    <t>CONSTRUCCION CENTRO CULTURAL, PORVENIR</t>
  </si>
  <si>
    <t>AMPLIACION Y MEJORAMIENTO PUEBLO ARTESANAL, NATALES</t>
  </si>
  <si>
    <t>MEJORAMIENTO CALLE EUSEBIO LILLO SUR, COMUNA PUNTA ARENAS</t>
  </si>
  <si>
    <t>CONSTRUCCION URBANIZACION 125 VIVIENDAS LOTEO LAS FLORES, RIO SECO, PUNTA ARENAS</t>
  </si>
  <si>
    <t>CONTROL SOBREPOBLACION CANINA Y EDUCACION TENENCIA RESPONSABLE, PUNTA ARENAS</t>
  </si>
  <si>
    <t>CONSERVACION DE CAUCES RÍO LAS MINAS PUNTA ARENAS</t>
  </si>
  <si>
    <t>MEJORAMIENTO VEREDAS Y SOTERRAMIENTO ELECTRIF. CALLE BORIES,TRAMO COLONSARMIENTO, P.ARENAS</t>
  </si>
  <si>
    <t>MEJORAMIENTO RED CUATRO MIRADORES TURISTICOS PUNTA ARENAS</t>
  </si>
  <si>
    <t xml:space="preserve">MEJORAMIENTO Y AMPLIACION VARADERO CALETA BCO AMARILLO, PTA ARENAS.  </t>
  </si>
  <si>
    <t>DIAGNOSTICO PMDT - COMUNA TORRES DEL PAINE</t>
  </si>
  <si>
    <t>DIAGNOSTICO PMDT SUBTERRITORIO COMUNA DE TIMAUKEL</t>
  </si>
  <si>
    <t>CONSTRUCCION PROYECTO ELECTRICO PERIURBANO PONIENTE SECTOR ANDINO, PUNTA ARENAS</t>
  </si>
  <si>
    <t>CONSTRUCCION ALCANTARILLADO SECTOR PONIENTE DE LAMPA</t>
  </si>
  <si>
    <t>Metropolitana</t>
  </si>
  <si>
    <t>MUNICIPALIDAD DE LAMPA</t>
  </si>
  <si>
    <t>MEJORAMIENTO DE SERVICIO AGUA POTABLE RURAL SAN VICENTE DE NALTAGUA, ISLA DE MAIPO</t>
  </si>
  <si>
    <t>MUNICIPALIDAD DE ISLA DE MAIPO</t>
  </si>
  <si>
    <t>REPOSICIÓN ESCUELA REPÚBLICA MEXICANA 478 PAC</t>
  </si>
  <si>
    <t>MUNICIPALIDAD DE PEDRO A. CERDA</t>
  </si>
  <si>
    <t>CONSTRUCCION URBANIZACIÓN Y LOTEO VILLORRIO HOSPITAL 2000, PAINE</t>
  </si>
  <si>
    <t>MUNICIPALIDAD DE PAINE</t>
  </si>
  <si>
    <t>REPOSICION EDIFICIO CONSISTORIAL DE COMUNA DE EL BOSQUE, ETAPA II</t>
  </si>
  <si>
    <t>MUNICIPALIDAD DE EL BOSQUE</t>
  </si>
  <si>
    <t>CONSTRUCCION CIRCUITO POLIDEPORTIVO URBANO DE CERRILLOS</t>
  </si>
  <si>
    <t>MUNICIPALIDAD DE CERRILLOS</t>
  </si>
  <si>
    <t>AMPLIACION CASA DE LA MUJER EMPRENDEDORA DE HUAMACHUCO RENCA</t>
  </si>
  <si>
    <t>GOBIERNO REGIONAL - REGION METROPOLITANA DE SANTIAGO</t>
  </si>
  <si>
    <t>CONSTRUCCION PARQUE CULTURAL INDÍGENA PUCARA DE CHENA</t>
  </si>
  <si>
    <t>ARQUITECTURA MOP REGION METROPOLITANA DE SANTIAGO</t>
  </si>
  <si>
    <t>AMPLIACION Y REMODELACION CENTRO PENITENCIARIO FEMENINO, SANTIAGO</t>
  </si>
  <si>
    <t>GENDARMERIA REGION METROPOLITANA DE SANTIAGO</t>
  </si>
  <si>
    <t>CONSTRUCCION CENTRO DE SALUD FAMILIAR LA REINA, COLINA</t>
  </si>
  <si>
    <t>MUNICIPALIDAD DE COLINA</t>
  </si>
  <si>
    <t>AMPLIACION DE OFICINA REGISTRO CIVIL DE CERRO NAVIA</t>
  </si>
  <si>
    <t>REGISTRO CIVIL REGION METROPOLITANA DE SANTIAGO</t>
  </si>
  <si>
    <t>CONSERVACION GRADAS REDUCTORAS DE AGUAS</t>
  </si>
  <si>
    <t>MUNICIPALIDAD DE BARNECHEA</t>
  </si>
  <si>
    <t>REPOSICION RELOCALIZACION CESFAM JM BALMACEDA PIRQUE</t>
  </si>
  <si>
    <t>MUNICIPALIDAD DE PIRQUE</t>
  </si>
  <si>
    <t>CONSTRUCCION COMPLEJO DEPORTIVO COMUNA DE PIRQUE</t>
  </si>
  <si>
    <t>CONSTRUCCION PISCINA TEMPERADA COSTANERA SUR CERRO NAVIA</t>
  </si>
  <si>
    <t>MUNICIPALIDAD DE CERRO NAVIA</t>
  </si>
  <si>
    <t>CONSTRUCCION SEGUNDA ETAPA ESTADIO LO PRADO</t>
  </si>
  <si>
    <t>MUNICIPALIDAD DE LO PRADO</t>
  </si>
  <si>
    <t>REPOSICION CUARTEL 2DA. COMPAÑIA DE BOMBEROS DE LA COMUNA DE BUIN</t>
  </si>
  <si>
    <t>MUNICIPALIDAD DE BUIN</t>
  </si>
  <si>
    <t>REPOSICION CENTRO DE SALUD RECOLETA, RECOLETA</t>
  </si>
  <si>
    <t>MUNICIPALIDAD DE RECOLETA</t>
  </si>
  <si>
    <t>REPOSICION EDIFICIO CONSISTORIAL DE SAN JOSÉ DE MAIPO</t>
  </si>
  <si>
    <t>MUNICIPALIDAD DE SAN JOSE DE MAIPO</t>
  </si>
  <si>
    <t>MEJORAMIENTO COMPLEJO DEPORTIVO ESTADIO MUNICIPAL SAN JOSE DE MAIPO</t>
  </si>
  <si>
    <t>REPOSICION CUARTEL PRIMERA COMPAÑÍA DE BOMBEROS DE LA GRANJA</t>
  </si>
  <si>
    <t>MUNICIPALIDAD DE LA GRANJA</t>
  </si>
  <si>
    <t>CONSERVACION VEREDAS PARA DIFERENTES CALLES DE ESTACION CENTRAL</t>
  </si>
  <si>
    <t>MUNICIPALIDAD DE ESTACION CENTRAL</t>
  </si>
  <si>
    <t>MEJORAMIENTO AV. PRESIDENTE SALVADOR ALLENDE, 1A ETAPA, SAN JOAQUÍN</t>
  </si>
  <si>
    <t>MUNICIPALIDAD DE SAN JOAQUIN</t>
  </si>
  <si>
    <t>CONSTRUCCION PISCINA TEMPERADA SEMIOLIMPICA COMUNA DE SAN JOAQUIN</t>
  </si>
  <si>
    <t>RESTAURACION MONUMENTO HISTÓRICO IGLESIA LA VIÑITA, RECOLETA</t>
  </si>
  <si>
    <t>CONSTRUCCION CENTRO INTEGRAL DE SALUD SUR COMUNA DE SANTIAGO</t>
  </si>
  <si>
    <t>MUNICIPALIDAD DE SANTIAGO</t>
  </si>
  <si>
    <t>MEJORAMIENTO DE ACERAS PEATONALES Y ESPACIOS PUBLICOS DE LA CISTERNA</t>
  </si>
  <si>
    <t>MUNICIPALIDAD DE LA CISTERNA</t>
  </si>
  <si>
    <t>CONSTRUCCION COLECTOR AGUAS LLUVIAS AV.SANTA RAQUEL, LA FLORIDA</t>
  </si>
  <si>
    <t>MUNICIPALIDAD DE LA FLORIDA</t>
  </si>
  <si>
    <t>CONSERVACION VIAL AVENIDAS PRINCIPALES DE LAMPA ETAPA 2: SECTOR SUR</t>
  </si>
  <si>
    <t>CONSTRUCCION COMPLEJO POLICIA DE INVESTIGACIONES OCCIDENTE, PUDAHUEL</t>
  </si>
  <si>
    <t>POLICIA DE INVESTIGACIONES DE CHILE</t>
  </si>
  <si>
    <t>CONSERVACION OFICINA REGISTRO CIVIL DE LA PINTANA</t>
  </si>
  <si>
    <t>CONSTRUCCION RED SECUNDARIA ALCANTARILLADO PUBLICO, ISLA DE MAIPO</t>
  </si>
  <si>
    <t>CONSERVACION DE ACERAS CALLE MANUEL RODRIGUEZ, COMUNA DE TALAGANTE</t>
  </si>
  <si>
    <t>MUNICIPALIDAD DE TALAGANTE</t>
  </si>
  <si>
    <t>REPOSICION CANCHAS BERNARDO OHIGGINS Y ESPARTA, QUINTA NORMAL</t>
  </si>
  <si>
    <t>MUNICIPALIDAD DE QUINTA NORMAL</t>
  </si>
  <si>
    <t>REPOSICION Y MEJORAMIENTO DE VEREDAS EN SAN MIGUEL</t>
  </si>
  <si>
    <t>MUNICIPALIDAD DE SAN MIGUEL</t>
  </si>
  <si>
    <t>MEJORAMIENTO VEREDAS SECTOR SOL DE SEPTIEMBRE LAMPA</t>
  </si>
  <si>
    <t>CONSTRUCCION CENTRO CULTURAL DE BUIN SEGUNDA ETAPA</t>
  </si>
  <si>
    <t>CONSTRUCCION CESFAM ORIENTE, COMUNA DE TALAGANTE</t>
  </si>
  <si>
    <t>CONSTRUCCION CESFAM MALLOCO, COMUNA DE PENAFLOR</t>
  </si>
  <si>
    <t>MUNICIPALIDAD DE PEÑAFLOR</t>
  </si>
  <si>
    <t>MEJORAMIENTO ESPACIOS PUBLICOS 09 NODOS,COMUNA DE LA FLORIDA</t>
  </si>
  <si>
    <t>MEJORAMIENTO PARQUE COLON 2°ETAPA, COMUNA SAN BERNARDO</t>
  </si>
  <si>
    <t>MUNICIPALIDAD DE SAN BERNARDO</t>
  </si>
  <si>
    <t>REPOSICION Y CONSTRUCCION DE VEREDAS SECTOR 1, SAN MIGUEL</t>
  </si>
  <si>
    <t>MEJORAMIENTO PLAZA TOCORNAL DE TALAGANTE</t>
  </si>
  <si>
    <t xml:space="preserve"> 
CONSTRUCCION RED DE AGUA POTABLE PARA LOTEO LOS ARENEROS DE BUIN</t>
  </si>
  <si>
    <t>RESTAURACION CASA COLORADA 2DA ETAPA COMUNA DE SANTIAGO</t>
  </si>
  <si>
    <t>CAPACITACION EN EMPRENDIMIENTO INDÍGENA MAPUCHE, COMUNA EL BOSQUE</t>
  </si>
  <si>
    <t>CONSERVACION DE CALZADAS U.V. B2 Y B4, COMUNA DE LO BARNECHEA</t>
  </si>
  <si>
    <t>CONSERVACION DE VEREDAS UV 6, 12, 13 Y 14, RECOLETA</t>
  </si>
  <si>
    <t>MEJORAMIENTO CALZADA Y VEREDAS AV. ESMERALDA, COMUNA DE COLINA</t>
  </si>
  <si>
    <t>CONSERVACION VIAL AV. INM. CONCEPCIÓN, COMUNA DE COLINA</t>
  </si>
  <si>
    <t>REPOSICION ESPACIO PUBLICOS PLAZA HALLEY, MACUL</t>
  </si>
  <si>
    <t>SEREMI VIVIENDA REGION METROPOLITANA DE SANTIAGO</t>
  </si>
  <si>
    <t>REPOSICION BANDEJÓN AV. ALMTE. LATORRE, PLAZA RECREATIVA SAN RAMÓN</t>
  </si>
  <si>
    <t>MEJORAMIENTO RECORRIDO PATRIMONIAL PEDRO FONTOVA, CONCHALI</t>
  </si>
  <si>
    <t>MUNICIPALIDAD DE CONCHALI</t>
  </si>
  <si>
    <t>CONSTRUCCION RED Y EMPALMES AGUA POTABLE SECTOR SAN MIGUEL, PAINE</t>
  </si>
  <si>
    <t>MEJORAMIENTO PISTA ATLÉTICA ESTADIO LUCAS PACHECO. TALAGANTE.</t>
  </si>
  <si>
    <t>CONSERVACION CORPORACION CONIN REGION METROPOLITANA</t>
  </si>
  <si>
    <t>MUNICIPALIDAD DE PROVIDENCIA</t>
  </si>
  <si>
    <t>CONSERVACION VEREDAS DIVERSOS SECTORES, COMUNA DE LA FLORIDA</t>
  </si>
  <si>
    <t>CONSERVACIÓN VEREDAS EN DIVERSOS SECTORES DE LA COMUNA DE MACUL</t>
  </si>
  <si>
    <t>MUNICIPALIDAD DE MACUL</t>
  </si>
  <si>
    <t>MEJORAMIENTO PLATABANDA AVENIDA LA BANDERA SAN RAMÓN</t>
  </si>
  <si>
    <t>MUNICIPALIDAD DE SAN RAMON</t>
  </si>
  <si>
    <t>CONSTRUCCION CENTRO CULTURAL DE HUECHURABA</t>
  </si>
  <si>
    <t>MUNICIPALIDAD DE HUECHURABA</t>
  </si>
  <si>
    <t>RESTAURACION TEMPLO VOTIVO MAIPU</t>
  </si>
  <si>
    <t>DIRECCION DE ARQUITECTURA MOP</t>
  </si>
  <si>
    <t>CONSTRUCCION CUARTEL POLICIAL PDI, HUECHURABA</t>
  </si>
  <si>
    <t>CONSTRUCCION PLAZA LIBERTAD COMUNA DE MELIPILLA</t>
  </si>
  <si>
    <t>MUNICIPALIDAD DE MELIPILLA</t>
  </si>
  <si>
    <t>MEJORAMIENTO COMPLEJO DEPORTIVO VILLA LO ARRIETA, PEÑALOLÉN</t>
  </si>
  <si>
    <t>MUNICIPALIDAD DE PEÑALOLEN</t>
  </si>
  <si>
    <t>CONSERVACION CALZADAS Y VEREDAS DE LO PRADO, 2° ETAPA, LO PRADO</t>
  </si>
  <si>
    <t>MEJORAMIENTO BALNEARIO MUNICIPAL PARQUE TEGUALDA II ETAPA TALAGANTE</t>
  </si>
  <si>
    <t>CONSTRUCCION COMPLEJO DEPORTIVO SAN GREGORIO ETAPA 1, COMUNA DE LA GRANJA</t>
  </si>
  <si>
    <t xml:space="preserve">CONSTRUCCION PARQUE MARATHON COMUNA DE MACUL </t>
  </si>
  <si>
    <t>MEJORAMIENTO CANCHAS DE FÚTBOL COMPLEJO DEPORTIVO, LA CISTERNA</t>
  </si>
  <si>
    <t>CONSERVACION VEREDAS DIVERSOS SECTORES COMUNA INDEPENDENCIA ETAPA 2</t>
  </si>
  <si>
    <t>MUNICIPALIDAD DE INDEPENDENCIA</t>
  </si>
  <si>
    <t>CONSTRUCCION CICLOVIA RUTA INFANCIA DESDE LA GRANJA A RECOLETA</t>
  </si>
  <si>
    <t>CONSTRUCCION PAVIMENTACIÓN DIVERSAS VÍAS SECTOR LA MANANA. PEÑAFLOR</t>
  </si>
  <si>
    <t>REPOSICION BIBLIOTECA 415 LA FAENA, COMUNA DE PEÑALOLEN</t>
  </si>
  <si>
    <t>CONSERVACION VEREDAS POBLACIÓN BUZETA U.V. N°10, COMUNA DE CERRILLOS</t>
  </si>
  <si>
    <t>MEJORAMIENTO ACERAS AV. ALCALDE LUIS ARAYA CERECEDA, PEÑAFLOR</t>
  </si>
  <si>
    <t>CONSTRUCCION CENTRO DEL FOLCLORE CHILENO, PEÑALOLEN</t>
  </si>
  <si>
    <t>MEJORAMIENTO EJE MANUEL RODRIGUEZ - CORTES ISLA CENTRO.ISLA DE MAIPO</t>
  </si>
  <si>
    <t>MEJORAMIENTO EJE LO GUERRA, ISLA CENTRO, ISLA DE MAIPO</t>
  </si>
  <si>
    <t>REPOSICION Y RELOCALIZACION CENTRO DE LA DISCAPACIDAD DE MAIPÚ</t>
  </si>
  <si>
    <t>MUNICIPALIDAD DE MAIPU</t>
  </si>
  <si>
    <t>MEJORAMIENTO MULTICANCHAS DIVERSOS SECTORES COMUNA DE MACUL</t>
  </si>
  <si>
    <t>CONSTRUCCION PASEO PEATONAL LINDEROS, COMUNA DE BUIN</t>
  </si>
  <si>
    <t>REPOSICION DE ESTADIO LA MONTURA, COMUNA DE SAN MIGUEL</t>
  </si>
  <si>
    <t>MEJORAMIENTO DE PLAZAS DE CONCHALI, I ETAPA</t>
  </si>
  <si>
    <t>CONSERVACION AREAS VERDES PASAJE QUILLAGUA COMUNA DE SAN JOAQUIN</t>
  </si>
  <si>
    <t>CONSERVACION DE VEREDAS POBLACIÓN GERMAN RIESCO COMUNA SAN JOAQUIN</t>
  </si>
  <si>
    <t xml:space="preserve">CONSERVACION DE VEREDAS DE  CONCHALÍ, III ETAPA </t>
  </si>
  <si>
    <t>AMPLIACION SISTEMA DE ALCANTARILLADO PATAGÜILLA INTERIOR, CURACAVI</t>
  </si>
  <si>
    <t>MUNICIPALIDAD DE CURACAVI</t>
  </si>
  <si>
    <t>MEJORAMIENTO Y AMPLIACIÓN PARQUE METROPOLITANO CERRO CHENA, ETAPA 1</t>
  </si>
  <si>
    <t>MEJORAMIENTO BANDEJON SANTA ROSA CENTRO, LA PINTANA</t>
  </si>
  <si>
    <t>MUNICIPALIDAD DE LA PINTANA</t>
  </si>
  <si>
    <t>CONSERVACION ESCUELA SAN GABRIEL, comuna de SAN JOSÉ DE MAIPO</t>
  </si>
  <si>
    <t>CONSERVACION INFRAESTRUCTURA ESCUELA JULIETA BECERRA, SAN JOSÉ DE MAIPO</t>
  </si>
  <si>
    <t>CONSTRUCCION RED DE CICLOVIAS EJES MALLOQUITO-LOS ROSALES-BILBAO, PEÑAFLOR</t>
  </si>
  <si>
    <t>CONSERVACION DE VEREDAS II ETAPA COMUNA DE PEÑALOLEN</t>
  </si>
  <si>
    <t>CONSERVACION ESCUELA D139 ARAUCARIAS DE CHILE, CONCHALI</t>
  </si>
  <si>
    <t>CONSERVACION VEREDAS UNIDADES VECINALES 14 Y 25, COMUNA DE LA FLORIDA</t>
  </si>
  <si>
    <t>CONSERVACION VEREDAS POB J.E BELLO S Y J GOULART COMUNA SAN JOAQUIN</t>
  </si>
  <si>
    <t>CONSERVACION DE VEREDAS QUINTA NORMAL, ETAPA VI</t>
  </si>
  <si>
    <t>CONSERVACION DE SEIS MULTICANCHAS, COMUNA DE RECOLETA</t>
  </si>
  <si>
    <t>REPOSICION CUARTEL DE BOMBEROS DE HUERTOS FAMILIARES, TIL TIL</t>
  </si>
  <si>
    <t>MUNICIPALIDAD DE TIL TIL</t>
  </si>
  <si>
    <t>CONSTRUCCION RED AGUA POTABLE CAMINO LOS PAJARITOS, PAINE</t>
  </si>
  <si>
    <t>MEJORAMIENTO RECINTOS DEPORTIVOS DIVERSOS SECTORES COMUNA DE TIL TIL</t>
  </si>
  <si>
    <t>MEJORAMIENTO DE ACERAS DE DISTINTAS CALLES DE PADRE HURTADO</t>
  </si>
  <si>
    <t>MUNICIPALIDAD DE PADRE HURTADO</t>
  </si>
  <si>
    <t>CONSERVACION DE VEREDAS UNIDAD VECINAL 1 PUDAHUEL</t>
  </si>
  <si>
    <t>MUNICIPALIDAD DE PUDAHUEL</t>
  </si>
  <si>
    <t>CONSERVACION DE VEREDAS UNIDAD VECINAL 2 PUDAHUEL</t>
  </si>
  <si>
    <t>CONSERVACION DE VEREDAS UNIDADES VECINALES 14 Y 17 PUDAHUEL</t>
  </si>
  <si>
    <t>CONSERVACION DE VEREDAS UNIDAD VECINAL 19 PUDAHUEL</t>
  </si>
  <si>
    <t>REPOSICION BIBLIOTECA 416, COMUNA DE PEÑALOLEN</t>
  </si>
  <si>
    <t>MEJORAMIENTO PARQUE MONUMENTO MANUEL RODRÍGUEZ, TILTIL</t>
  </si>
  <si>
    <t>REPOSICION ESCUELA REINO DE NORUEGA, QUINTA NORMAL</t>
  </si>
  <si>
    <t>RESTAURACION Y MUSEOGRAFIA LONDRES 38, CASA DE LA MEMORIA, SANTIAGO</t>
  </si>
  <si>
    <t>CONSTRUCCION COMPLEJO DEPORTIVO, COMUNA DE LO BARNECHEA</t>
  </si>
  <si>
    <t>CONSTRUCCION ESPACIO MUJER, COMUNA DE CONCHALI</t>
  </si>
  <si>
    <t>REPOSICION DE ACERAS ETAPA IV, COMUNA DE SAN JOAQUIN</t>
  </si>
  <si>
    <t>CONSERVACION VEREDAS DIVERSOS SECTORES DE LA COMUNA DE COLINA</t>
  </si>
  <si>
    <t>CONSERVACION CALZADA AVDA EL BOSQUE COMUNA DE PROVIDENCIA</t>
  </si>
  <si>
    <t>CONSERVACION CALZADA AVDA ELIODORO YAÑEZ COMUNA DE PROVIDENCIA</t>
  </si>
  <si>
    <t>CONSERVACION CALZADA AVDA RANCAGUA COMUNA DE PROVIDENCIA</t>
  </si>
  <si>
    <t>CONSERVACION CALZADA AVDA LOS CONQUISTADORES COMUNA DE PROVIDENCIA</t>
  </si>
  <si>
    <t>CONSTRUCCION DE UNA RED DE PUNTOS LIMPIOS EN LA RM</t>
  </si>
  <si>
    <t>SEREMI DE MEDIO AMBIENTE REGION METROPOLITANA DE SANTIAGO</t>
  </si>
  <si>
    <t>REPOSICION CANCHA DE FÚTBOL Nº2 ESTADIO MUNICIPAL, SAN BERNARDO</t>
  </si>
  <si>
    <t>MEJORAMIENTO SERVICIO DE URGENCIA HOSPITAL SAN LUIS, COMUNA BUIN</t>
  </si>
  <si>
    <t>SERVICIO SALUD METROP. SUR</t>
  </si>
  <si>
    <t>CONSERVACION DE CALZADA ETAPA III, COMUNA DE LO ESPEJO</t>
  </si>
  <si>
    <t>MUNICIPALIDAD DE LO ESPEJO</t>
  </si>
  <si>
    <t>NORMALIZACION ESTADIO ZAMBRANO ETAPA I, COMUNA DE LO PRADO</t>
  </si>
  <si>
    <t>CONSERVACION VEREDAS UNIDADES VECINALES 7 Y 10, COMUNA DE HUECHURABA</t>
  </si>
  <si>
    <t>CONSERVACION DE VEREDAS ETAPA III, COMUNA DE LA GRANJA</t>
  </si>
  <si>
    <t>REPOSICION DE PLAZAS EN DIVERSOS SECTORES, COMUNA DE MARÍA PINTO</t>
  </si>
  <si>
    <t>MUNICIPALIDAD DE MARIA PINTO</t>
  </si>
  <si>
    <t>CONSERVACION DE VEREDAS U.V. 3A, 3B, 16 Y 17, COMUNA DE LA CISTERNA</t>
  </si>
  <si>
    <t>CONSERVACION DE VEREDAS LO VALLEDOR, COMUNA DE LO ESPEJO</t>
  </si>
  <si>
    <t>CONSERVACION VEREDAS CERRO NAVIA ETAPA 1</t>
  </si>
  <si>
    <t>CONSERVACION PARQUES URBANOS COMUNA DE LO ESPEJO</t>
  </si>
  <si>
    <t>AMPLIACION DE RECINTO DEPORTIVO LAS REJAS, COMUNA DE ESTACION CENTRAL</t>
  </si>
  <si>
    <t>REPOSICION PAVIMENTOS CASCO HISTORICO UV 10-11 Y 12, HUECHURABA</t>
  </si>
  <si>
    <t>CONSTRUCCION PARQUE MUNICIPAL COMUNA DE MARÍA PINTO</t>
  </si>
  <si>
    <t>CONSTRUCCION SISTEMA CAMARAS TELEVIGILANCIA QUINTA NORMAL</t>
  </si>
  <si>
    <t>REPOSICION CON RELOCALIZACIÓN CUARTEL 2° COMPAÑÍA DE BOMBEROS, SAN PEDRO</t>
  </si>
  <si>
    <t>MUNICIPALIDAD DE SAN PEDRO</t>
  </si>
  <si>
    <t>CONSERVACION VEREDAS U.V . Nº27, CERRILLOS</t>
  </si>
  <si>
    <t>REPOSICION SEÑALETICA VIAL Y PEATONAL, COMUNA DE QUINTA NORMAL</t>
  </si>
  <si>
    <t>CONSTRUCCION RED AGUA POTABLE CAMINO LO INFANTE SAN BERNARDO</t>
  </si>
  <si>
    <t>REPOSICION ACERAS Y ESPACIO PUBLICO EJE SUR-PONIENTE AV. ARRIETA, PEÑALOLEN</t>
  </si>
  <si>
    <t>MEJORAMIENTO ACERAS PUEBLO HISTORICO DE MAIPO, COMUNA DE BUIN</t>
  </si>
  <si>
    <t>REPOSICION CON RELOCALIZACION BRIGADA DE INVESTIGACION CRIMINAL PDI, SAN RAMON</t>
  </si>
  <si>
    <t>REPOSICION CON RELOCALIZACIÓN CESFAM BAEZA GOÑI COMUNA DE SAN JOAQUIN</t>
  </si>
  <si>
    <t>CONSERVACION PLAZAS Y MIRADORES, CERROS DE RENCA</t>
  </si>
  <si>
    <t>MUNICIPALIDAD DE RENCA</t>
  </si>
  <si>
    <t>MEJORAMIENTO PLAZA PEDRO AGUIRRE CERDA UNIDAD VECINAL Nº10, COMUNA CERRILLOS</t>
  </si>
  <si>
    <t>MEJORAMIENTO PLAZA GABRIELA MISTRAL UNIDAD VECINAL Nº31, CERRILLOS</t>
  </si>
  <si>
    <t>MEJORAMIENTO ESPACIO PUBLICO, PARQUE CAMPUS, COMUNA MACUL</t>
  </si>
  <si>
    <t>CONSERVACION 22 MULTICANCHAS DIVERSOS SECTORES DE LA COMUNA DE MAIPÚ</t>
  </si>
  <si>
    <t>CONSTRUCCION DE ESPACIO PUBLICO CALLE 2 PONIENTE, U.V. 1, COMUNA MACUL</t>
  </si>
  <si>
    <t>CONSERVACION VEREDAS U. VECINAL Nº26 VILLA MEXICO, COMUNA DE CERRILLOS</t>
  </si>
  <si>
    <t>CONSERVACION DE CALZADA DE AVENIDA MACUL, COMUNA DE MACUL</t>
  </si>
  <si>
    <t>CONSERVACION DE VEREDAS UV 24, 25, 34, 35, 50 y 51 SAN BERNARDO</t>
  </si>
  <si>
    <t>MEJORAMIENTO DE VEREDAS SECTOR NORORIENTE DE SAN BERNARDO</t>
  </si>
  <si>
    <t>MEJORAMIENTO VEREDAS Y AREAS VERDES BANDEJON CENTRAL AV. BERNARDO O`HIGGINS, COMUNA TALAGANTE</t>
  </si>
  <si>
    <t>REPOSICION DE LAS PLAZAS UV N°24-14 Y 7 COMUNA PAC</t>
  </si>
  <si>
    <t>CONSERVACION GIMNASIO MUNICIPAL DE LO ESPEJO, COMUNA DE LO ESPEJO</t>
  </si>
  <si>
    <t>CONSERVACION VEREDAS SANTA ANITA Y JOSE MARÍA CARO ETAPA II COMUNA DE LO ESPEJO</t>
  </si>
  <si>
    <t>REPOSICION VEREDAS E INSTALACION DE ILUMINACION PEATONAL DIVERSOS SECTORES, LA PINTANA</t>
  </si>
  <si>
    <t>CONSTRUCCION V CESFAM COMUNA DE RENCA</t>
  </si>
  <si>
    <t>CONSERVACION VEREDAS SECTOR PLADECO N°4, COMUNA EL BOSQUE</t>
  </si>
  <si>
    <t>FORESTACION Y RECUPERACIÓN ARBOLADO URBANO, LA REINA</t>
  </si>
  <si>
    <t>MUNICIPALIDAD DE LA REINA</t>
  </si>
  <si>
    <t>CONSTRUCCION PLAZA CIVICA COMUNA P.A.C</t>
  </si>
  <si>
    <t>CONSERVACION CESFAM Rosita Renard Comuna de Ñuñoa</t>
  </si>
  <si>
    <t>MUNICIPALIDAD DE ÑUÑOA</t>
  </si>
  <si>
    <t>CONSERVACION DE RECINTOS DEPORTIVOS EN LA REGIÓN METROPOLITANA ETAPA 2</t>
  </si>
  <si>
    <t>CONSERVACION VEREDAS UV 10, 13,14, 14B,33,34 Y 39, RENCA</t>
  </si>
  <si>
    <t>CONSERVACION DIVERSAS CALZADAS Y VEREDAS, COMUNA DE LO PRADO</t>
  </si>
  <si>
    <t>CONSERVACION TEATRO MUNICIPAL COMUNA DE MAIPU</t>
  </si>
  <si>
    <t>MEJORAMIENTO SISTEMA DE TELEVIGILANCIA COMUNA DE SAN JOAQUIN</t>
  </si>
  <si>
    <t>CONSERVACION VEREDAS DIVERSAS POBLACIONES COMUNA DE MELIPILLA</t>
  </si>
  <si>
    <t>MEJORAMIENTO CALLE PUANGUE SUR, SEGUNDA ETAPA, CURACAVÍ</t>
  </si>
  <si>
    <t>MEJORAMIENTO VÍAS LOCALES CONJUNTO HABITACIONAL AIRES DEL MAIPO, ISLA DE MAIPO</t>
  </si>
  <si>
    <t>CONTROL PREVENCIÓN Y REUBICACIÓN DE CANINOS CALLEJEROS EN LA RMS</t>
  </si>
  <si>
    <t>CONSERVACION DE VEREDAS SECTOR PLADECO N° 3, EL BOSQUE 2017</t>
  </si>
  <si>
    <t>CONSERVACION CUARTEL GRUPOS MICROTRAFICO CERO REGION METROPOLITANA - PDI</t>
  </si>
  <si>
    <t>MEJORAMIENTO CALLE CANCHA DE CARRERAS, COMUNA DE ALHUE</t>
  </si>
  <si>
    <t>MUNICIPALIDAD DE ALHUE</t>
  </si>
  <si>
    <t>MEJORAMIENTO PAVIMENTACIÓN CALLE MANUEL RODRIGUEZ, COMUNA DE TIL TIL</t>
  </si>
  <si>
    <t>CONSERVACION VEREDAS BARRIOS BLANQUEADO Y LAUTARO COMUNA DE LO PRADO</t>
  </si>
  <si>
    <t>CONSERVACION PROYECTO DE CONSERVACIÓN DE VEREDAS, U. V. 19,20 Y 23,COMUNA LA FLORIDA</t>
  </si>
  <si>
    <t>CONSTRUCCION CICLOVÍA CAMINO EL TORO, RUTA G-760, COMUNA DE CURACAVÍ</t>
  </si>
  <si>
    <t>CONSTRUCCION CICLOVÍA SANTA INÉS, RUTA G-200, COMUNA DE CURACAVÍ</t>
  </si>
  <si>
    <t>CONSTRUCCION CICLOVÍA RUTA LA CHIMBA, COMUNAS RENCA, INDEPENDENCIA Y RECOLETA</t>
  </si>
  <si>
    <t>REPOSICION ESTADIO MUNICIPAL DE SAN PEDRO</t>
  </si>
  <si>
    <t>CONSERVACION VEREDAS UNIDAD VECINAL Nº28 Y VILLA SANTA ADELA, COMUNA DE CERRILLOS</t>
  </si>
  <si>
    <t>MEJORAMIENTO PLAZAS COMUNALES PARA LA INCLUSIÓN - LA REINA</t>
  </si>
  <si>
    <t>CONSERVACION DE VEREDAS AGRUPACIÓN VECINAL 9, U. VECINAL 6 Y 7, COMUNA DE SANTIAGO</t>
  </si>
  <si>
    <t>REPOSICION CESFAM PABLO DE ROKHA, LA PINTANA</t>
  </si>
  <si>
    <t>CONSERVACION PUENTE LOS CARROS, COMUNA DE SANTIAGO</t>
  </si>
  <si>
    <t>CONSERVACION VEREDAS CERRO NAVIA ETAPA 2</t>
  </si>
  <si>
    <t>MEJORAMIENTO ESTADIO MUNICIPAL ROBERTO BRAVO SANTIBAÑEZ, MELIPILLA</t>
  </si>
  <si>
    <t>CONSERVACION CALZADAS AGRUPACIÓN VECINAL N°9, COMUNA DE SANTIAGO</t>
  </si>
  <si>
    <t>MEJORAMIENTO Y AMPLIACIÓN SISTEMA ALUMBRADO PUBLICO DE ESTACIÓN CENTRAL</t>
  </si>
  <si>
    <t>CONSERVACION VIAL DE LA ZONA 5, SECTOR SUR PONIENTE DE LA COMUNA DE SAN BERNARDO</t>
  </si>
  <si>
    <t>REPOSICION DE CUARTEL DE BOMBEROS CON RELOCALIZACION DE LA 1ª CIA DE MELIPILLA</t>
  </si>
  <si>
    <t>CONSERVACION VEREDAS POBLACION JARDIN LO PRADO</t>
  </si>
  <si>
    <t>CONSERVACION DE MULTICANCHAS EN COMUNA DE LO BARNECHEA</t>
  </si>
  <si>
    <t>CONSERVACION DE VEREDAS POBLACIONES SANTA OLGA Y CLARA ESTRELLA COMUNA DE LO ESPEJO</t>
  </si>
  <si>
    <t>CONSTRUCCION POLIDEPORTIVO, COMUNA DE LA PINTANA</t>
  </si>
  <si>
    <t>REPOSICION DE PAVIMENTOS CALLE COLON NORTE, SAN BERNARDO</t>
  </si>
  <si>
    <t>REPOSICION PLAZA EL PINAR, BARRIO EL PINAR, COMUNA DE SAN JOAQUIN</t>
  </si>
  <si>
    <t>CONSERVACION DE VEREDAS DE CONCHALÍ, ETAPA IV</t>
  </si>
  <si>
    <t>REPOSICION CON RELOCALIZACION DEL CONSULTORIO OSSANDON COMUNA DE LA REINA</t>
  </si>
  <si>
    <t>CONSERVACION EDIFICIO GOBIERNO REGIONAL REGION METROPOLITANA</t>
  </si>
  <si>
    <t>HABILITACION PASEO URBANO FLUVIAL LECHO RIO MAPOCHO, COMUNA DE SANTIAGO Y PROVIDENCIA</t>
  </si>
  <si>
    <t>MEJORAMIENTO Y AMPLIACIÓN DEL SISTEMA DE ALUMBRADO PÚBLICO COMUNA DE SAN MIGUEL</t>
  </si>
  <si>
    <t>MEJORAMIENTO Y AMPLIACIÓN PARQUE LO ERRAZURIZ, ESTACION CENTRAL</t>
  </si>
  <si>
    <t>CONSERVACION PISCINA TEMPERADA LICEO NÂ°1 JAVIERA CARRERA, COMUNA DE SANTIAGO</t>
  </si>
  <si>
    <t>CONSERVACION LICEO MIGUEL LUIS AMUNATEGUI, COMUNA DE SANTIAGO</t>
  </si>
  <si>
    <t>MEJORAMIENTO SISTEMA DE SEÑALETICA VIAL Y PEATONAL , COMUNA DE LO ESPEJO</t>
  </si>
  <si>
    <t>CONSERVACION ESCUELA PEDRO MARIN ALEMANY COMUNA DE MELIPILLA</t>
  </si>
  <si>
    <t>CONSERVACION LICEO EL BOLLENAR COMUNA DE MELIPILLA</t>
  </si>
  <si>
    <t>CONSERVACION CUBIERTA ESCUELA GUSTAVO LE PAIGE, RENCA</t>
  </si>
  <si>
    <t>CONSERVACION ESCUELA ESPECIAL ANNE SULLIVAN, COMUNA DE EL BOSQUE</t>
  </si>
  <si>
    <t>CONSERVACION ESCUELA GRAL. BERNARDO O’HIGGINS COMUNA DE MAIPU</t>
  </si>
  <si>
    <t>CONSERVACION ESCUELA SAN JUAN, COMUNA DE PIRQUE</t>
  </si>
  <si>
    <t>CONSERVACION ESCUELA TERRITORIO ANTARTICO DE SAN MIGUEL</t>
  </si>
  <si>
    <t>CONSERVACION ESCUELA SANTA FE DE SAN MIGUEL</t>
  </si>
  <si>
    <t>CONSERVACION INFRAESTRUCTURA ESCUELA BÁSICA ESPAÑA., SAN BERNARDO</t>
  </si>
  <si>
    <t>CONSERVACION INFRAESTRUCTURA EDUCACIONAL LICEO TECNICO PROFESIONAL, COMUNA BUIN</t>
  </si>
  <si>
    <t>CONSERVACION INFRAESTRUCTURA ESCUELA GENERAL RENE SCHNEIDER CHEREAU, SAN BERNARDO</t>
  </si>
  <si>
    <t>CONSERVACION LICEO REPÚBLICA DE ITALIA. COMUNA DE ISLA DE MAIPO</t>
  </si>
  <si>
    <t>CONSERVACION DEL LICEO ANDRES BELLO , COMUNA DE LA FLORIDA</t>
  </si>
  <si>
    <t>CONSERVACION ESCUELA BASICA PLATON, QUINTA NORMAL</t>
  </si>
  <si>
    <t>CONSERVACION DE INFRAESTRUCTURA ESCUELA VALLE DE PUANGUE,CURACAVI</t>
  </si>
  <si>
    <t>CONSERVACION ESCUELA MANUEL RODRIGUEZ. COMUNA DE TALAGANTE.</t>
  </si>
  <si>
    <t>CONSERVACION ESCUELA BASICA CHOROMBO ALTO F-732, COMUNA DE MARIA PINTO</t>
  </si>
  <si>
    <t>CONSERVACION ESCUELA BASICA SANTA EMILIA G737, COMUNA DE MARIA PINTO</t>
  </si>
  <si>
    <t>CONSTRUCCION NUEVA RED DE ALCANTARILLADO Y PTAS PARA POLPAICO, TIL TIL</t>
  </si>
  <si>
    <t>AMPLIACION RED DE ALCANTARILLADO Y CONSTRUCCIÓN NUEVA PTAS PARA RUNGUE, TIL TIL</t>
  </si>
  <si>
    <t>CONSTRUCCION RED DE ALCANTARILLADO Y PTAS PARA HUERTOS FAMILIARES Y SANTA MATILDE, TIL TIL</t>
  </si>
  <si>
    <t>CONSTRUCCION RED DE ALCANTARILLADO Y PTAS PARA MONTENEGRO, TIL TIL</t>
  </si>
  <si>
    <t>CONSTRUCCION FERIA MUNICIPAL DE PRODUCTORES LOCALES, COMUNA DE PIRQUE</t>
  </si>
  <si>
    <t>CONSERVACION DE LICEO PAUL HARRIS, COMUNA DE PADRE HURTADO</t>
  </si>
  <si>
    <t>CONSERVACION ESCUELA LA ESPERANZA, COMUNA DE PADRE HURTADO</t>
  </si>
  <si>
    <t>CONSERVACION CUBIERTAS INTERNADO NACIONAL BARROS ARANA, COMUNA DE SANTIAGO</t>
  </si>
  <si>
    <t>CONSERVACION VEREDAS DIVERSOS SECTORES ETAPA III, COMUNA DE INDEPENDENCIA</t>
  </si>
  <si>
    <t>CONSERVACION VEREDAS VILLA EL DIAMANTE, COMUNA DE BUIN</t>
  </si>
  <si>
    <t>REPOSICION ACERAS ETAPA VI COMUNA DE SAN JOAQUIN</t>
  </si>
  <si>
    <t>CONSERVACION PAVIMENTO DE CALZADAS AV. QUILIN, COMUNA MACUL</t>
  </si>
  <si>
    <t>NORMALIZACION CANCHA SANTA LUISA, COMUNA DE MARIA PINTO</t>
  </si>
  <si>
    <t>CONSTRUCCION CUARTEL DE BOMBEROS SEGUNDA COMPAÑIA DE LA COMUNA DE TALAGANTE</t>
  </si>
  <si>
    <t>MEJORAMIENTO BARRIO COMERCIAL PATRONATO, ETAPA I COMUNA DE RECOLETA</t>
  </si>
  <si>
    <t>CONSTRUCCION RED DE AGUA POTABLE SECTOR EL COPIHUE, CALERA DE TANGO</t>
  </si>
  <si>
    <t>MUNICIPALIDAD DE CALERA DE TANGO</t>
  </si>
  <si>
    <t>CONSERVACION DE 02 CANCHAS DE FÚTBOL Y 03 CANCHAS DE FUTBOLITO, COMUNA DE ESTACIÓN CENTRAL</t>
  </si>
  <si>
    <t>CONSERVACION ESCUELA LOS COPIHUES, FUNDACION COANIL, REGION METROPOLITANA</t>
  </si>
  <si>
    <t>AMPLIACION SISTEMA DE ALUMBRADO PÚBLICO PEATONAL DE DIVERSAS VÍAS, COMUNA DE LA FLORIDA</t>
  </si>
  <si>
    <t>CONSTRUCCION PLANTA TRATAMIENTO AGUAS SERVIDAS Y RED DE ALCANTARILLADO EL HUINGÁN, COMUNA DE PIRQUE</t>
  </si>
  <si>
    <t>CONSERVACION CALZADA AV. VICUÑA MACKENNA ENTRE P.CORREA Y CANAL CASTILLO. COMUNA DE PEÑAFLOR</t>
  </si>
  <si>
    <t>REPOSICION E INSTALACIÓN DE LUMINARIAS PÚBLICAS. COMUNA DE TALAGANTE.</t>
  </si>
  <si>
    <t>MEJORAMIENTO SEÑALETICA Y DEMARCACION DE SEGURIDAD VIAL Y PEATONAL, COMUNA DE SAN JOAQUIN</t>
  </si>
  <si>
    <t>AMPLIACION SISTEMA DE ALUMBRADO PÚBLICO, COMUNA EL MONTE</t>
  </si>
  <si>
    <t>MUNICIPALIDAD DE EL MONTE</t>
  </si>
  <si>
    <t>CONSERVACION DE VEREDAS EN LAS U.V 1-B, 2-B, 3-B, 5-B,10-B, 11-B, COMUNA EL BOSQUE</t>
  </si>
  <si>
    <t>CONSERVACION DE CALLE LOS PRADOS.COMUNA DE PADRE HURTADO</t>
  </si>
  <si>
    <t>MEJORAMIENTO DE VEREDAS Y ESPACIO PUBLICO CRUCE CHOROMBO ALTO, COMUNA DE MARIA PINTO</t>
  </si>
  <si>
    <t>MEJORAMIENTO DE VEREDAS Y ESPACIO PUBLICO CRUCE EL REDIL, COMUNA DE MARIA PINTO</t>
  </si>
  <si>
    <t>CONSERVACION DE ACERAS PEATONALES DIVERSAS UNIDADES VECINALES, LA CISTERNA</t>
  </si>
  <si>
    <t>CONSERVACION CALZADAS AGRUPACIÓN VECINAL N°2, COMUNA DE SANTIAGO</t>
  </si>
  <si>
    <t>CONSERVACION VEREDAS AV9 UV0, UV2, UV4 Y AV10 UV14, COMUNA DE SANTIAGO</t>
  </si>
  <si>
    <t>CONSTRUCCION PARQUE COMUNAL PAINE</t>
  </si>
  <si>
    <t>REPOSICION E INSTALACIÓN DE LUMINARIAS PUBLICAS. COMUNA DE ISLA DE MAIPO</t>
  </si>
  <si>
    <t>CONSTRUCCION CESFAM COMUNA DE INDEPENDENCIA</t>
  </si>
  <si>
    <t>CONSERVACION PAVIMENTOS PASAJES Y CALZADAS EN DIVERSOS SECTORES. COMUNA DE PUENTE ALTO.</t>
  </si>
  <si>
    <t>MUNICIPALIDAD DE PUENTE ALTO</t>
  </si>
  <si>
    <t>MEJORAMIENTO SISTEMA LUMINARIAS PÚBLICAS COMUNA DE PEDRO AGUIRRE CERDA</t>
  </si>
  <si>
    <t>MEJORAMIENTO SISTEMA DE LUMINARIAS PUBLICAS COMUNA DE PADRE HURTADO</t>
  </si>
  <si>
    <t>CONSERVACION AREA DE MOVIMIENTO AERÓDROMO EULOGIO SÁNCHEZ - COMUNA DE LA REINA</t>
  </si>
  <si>
    <t>DIRECCION DE AEROPUERTOS</t>
  </si>
  <si>
    <t>REPOSICION Y RELOCALIZACIÓN CESFAM ISLA DE MAIPO</t>
  </si>
  <si>
    <t>MEJORAMIENTO CANCHAS DE FUTBOL LIGA DEPORTIVA LIDEINSENOBA, COMUNA DE CERRO NAVIA</t>
  </si>
  <si>
    <t>CONSERVACION DE VEREDAS DE LA COMUNA DE CONCHALI, V ETAPA</t>
  </si>
  <si>
    <t>CONSERVACION DE VEREDAS EN DIVERSOS TRAMOS DE LA COMUNA DE SAN RAMON</t>
  </si>
  <si>
    <t>CONSERVACION DE MULTICANCHAS DIVERSOS SECTORES DE LA COMUNA DE SAN RAMÓN</t>
  </si>
  <si>
    <t>CONSERVACION DE VEREDAS QUINTA NORMAL, ETAPA VII</t>
  </si>
  <si>
    <t>CONSERVACION RECINTOS DEPORTIVOS DE LA REGIÓN METROPOLITANA DE SANTIAGO, ETAPA3</t>
  </si>
  <si>
    <t>CONSERVACION DE EMERGENCIA DE ASFALTO EN CASCO HISTÒRICO, HUECHURABA</t>
  </si>
  <si>
    <t>CONSERVACION INFRAESTRUCTURA DIVERSOS SEMAFOROS, LA CISTERNA</t>
  </si>
  <si>
    <t>CONSERVACION DE REFUGIOS PEATONALES, COMUNA DE ÑUÑOA</t>
  </si>
  <si>
    <t>CONSERVACION DEL SISTEMA DE CALEFACCION CAMARINES ESTADIO DAVILA COMUNA PEDRO AGUIRRE CERDA</t>
  </si>
  <si>
    <t>CONSERVACION PINTURA EDIFICIO CONSISTORIAL Y PERÍMETRO CASA DE LA CULTURA, COMUNA DE ÑUÑOA</t>
  </si>
  <si>
    <t>CONSERVACION CANCHA FUTBOL CLUB DEPORTIVO LOS PERALES, COMUNA DE ALHUÉ</t>
  </si>
  <si>
    <t>CONSERVACION SEDE DEPORTIVA SAN ALFONSO, COMUNA DE ALHUÉ</t>
  </si>
  <si>
    <t>CONSERVACION ESCUELA RURAL G-122 BARRANCAS DE PICHI COMUNA DE ALHUE</t>
  </si>
  <si>
    <t>CONSERVACION ESCUELA G-497 HACIENDA ALHUÉ, COMUNA DE ALHUÉ.</t>
  </si>
  <si>
    <t>CONSERVACION ESCUELA RURAL G-123 SAN ALFONSO COMUNA DE ALHUE</t>
  </si>
  <si>
    <t>MEJORAMIENTO CUARTEL DE BOMBEROS. 21° COMPAÑIA, BOMBEROS RENCA</t>
  </si>
  <si>
    <t>CONSERVACION VEREDAS SECTOR NORTE, COMUNA CURACAVÍ</t>
  </si>
  <si>
    <t>CONSERVACION SEDE DEPORTIVA EL RESTO, COMUNA DE ALHUÉ</t>
  </si>
  <si>
    <t>CONSTRUCCION ALCANTARILLADO Y PLANTA DE TRATAMIENTO PARA VILLA LORETO, TALAGANTE.</t>
  </si>
  <si>
    <t>MEJORAMIENTO DEL ESPACIO PUBLICO PARQUE CASTILLO URIZAR, COMUNA DE MACUL</t>
  </si>
  <si>
    <t>CONSTRUCCION PARQUE CERRO LA BALLENA COMUNA DE PUENTE ALTO</t>
  </si>
  <si>
    <t>MEJORAMIENTO PLAZA GUARELLO, SAN BERNARDO</t>
  </si>
  <si>
    <t>CONSERVACION DE VEREDAS JOSE MARIA CARO Y VILLA SUR COMUNA DE LO ESPEJO</t>
  </si>
  <si>
    <t>MEJORAMIENTO CANCHAS DE FÚTBOL ASOCIACIÓN HISTÓRICA DE FÚTBOL DE RENCA</t>
  </si>
  <si>
    <t>CONSTRUCCION CENTRO INTEGRAL PARA EL ADULTO MAYOR,CURACAVI</t>
  </si>
  <si>
    <t>CONSTRUCCION HOGAR SANTA CLARA EN COMUNA DE SANTIAGO</t>
  </si>
  <si>
    <t>CONSERVACION DE CALZADAS ZONA 3, SECTOR CENTRO DE LA COMUNA DE SAN BERNARDO</t>
  </si>
  <si>
    <t>CONSTRUCCION CICLOVIA RUTA G -76, SECTOR EL AJIAL, COMUNA DE CURACAVÍ</t>
  </si>
  <si>
    <t>AMPLIACION INSTITUTO DE REHABILITACIÓN TELETON DE LA RM</t>
  </si>
  <si>
    <t>AMPLIACION RED DE AGUA POTABLE, SECTOR POMAIRITO, COMUNA EL MONTE</t>
  </si>
  <si>
    <t>REPOSICION PARCIAL BODEGA MUNICIPAL COMUNA DE MAIPU</t>
  </si>
  <si>
    <t>REPOSICION DE ACERAS ETAPA V, COMUNA DE SAN JOAQUIN</t>
  </si>
  <si>
    <t>MEJORAMIENTO COMPLEJO DEPORTIVO CANCHA 4 LO HERMIDA, PEÑALOLEN</t>
  </si>
  <si>
    <t>MEJORAMIENTO AVENIDA LA MONTAÑA, COMUNA DE LAMPA</t>
  </si>
  <si>
    <t>CONSERVACION DE VEREDAS EN LAS U.V 10, 11, 12-C, 19-B DE LA COMUNA DE EL BOSQUE</t>
  </si>
  <si>
    <t>MEJORAMIENTO ESPACIO PUBLICO Y ACEQUIAS DEL CASCO HISTORICO DE BUIN</t>
  </si>
  <si>
    <t>REPOSICION SEÑALETICAS Y DEMARCACIÓN VIAL, COMUNA DE PUENTE ALTO.</t>
  </si>
  <si>
    <t>CONSTRUCCION RED DE ALC. Y PTAS - SECTORES LAS MERCEDES, EL ROSARIO Y EL REDIL, MARIA</t>
  </si>
  <si>
    <t>CONSTRUCCION POLIDEPORTIVO CENTRO ELIGE VIVIR SANO, COMUNA DE BUIN</t>
  </si>
  <si>
    <t>Buin</t>
  </si>
  <si>
    <t>CONSTRUCCION SEDE FUNDACION DEPORTISTAS POR UN SUEÑO, COMUNA DE LA FLORIDA</t>
  </si>
  <si>
    <t>La Florida</t>
  </si>
  <si>
    <t>REPOSICION VEREDAS E INSTALACION DE ILUMINACION PEATONAL, ETAPA II, LA PINTANA</t>
  </si>
  <si>
    <t>CONSERVACION DE LAS CALLES DOÑIHUE E ISMAEL TOCORNAL DE LA COMUNA DE SAN RAMON</t>
  </si>
  <si>
    <t>HABILITACION TERRENO PARA URBANIZACION CAMPAMENTO JP II LO BARNECHEA</t>
  </si>
  <si>
    <t>CONSERVACION DE VEREDAS U. VECINAL Nº 33 SECTOR 1, COMUNA DE CERRILLOS</t>
  </si>
  <si>
    <t>CONSERVACION LICEO POLIVALENTE DOCTOR LUIS VARGAS SALCEDO, COMUNA DE CERRILLOS</t>
  </si>
  <si>
    <t>CONSERVACION ESCUELA BÁSICA ANGELMÓ. COMUNA DE QUINTA NORMAL</t>
  </si>
  <si>
    <t>CONSERVACION ESCUELA BÁSICA GRENOBLE. COMUNA DE QUINTA NORMAL</t>
  </si>
  <si>
    <t>CONSERVACION ESCUELA BÁSICA INGLATERRA. COMUNA DE QUINTA NORMAL</t>
  </si>
  <si>
    <t>CONSERVACION ESCUELA BÁSICA CALICANTO. COMUNA DE QUINTA NORMAL</t>
  </si>
  <si>
    <t>CONSERVACION LICEO TALAGANTE. COMUNA DE TALAGANTE.</t>
  </si>
  <si>
    <t>CONSERVACION ESCUELA PINO VIEJO COMUNA DE TALAGANTE</t>
  </si>
  <si>
    <t>CONSERVACION ESCUELA EL ROTO CHILENO COMUNA DE TALAGANTE</t>
  </si>
  <si>
    <t>REPOSICION SEDE SOCIAL LOS CLAVELES III, COMUNA DE MAIPU</t>
  </si>
  <si>
    <t>MEJORAMIENTO SISTEMA DE ILUMINACIÓN DE CANCHA PRINCIPAL ESTADIO DE MALLOCO. PEÑAFLOR</t>
  </si>
  <si>
    <t>DIAGNOSTICO PLAN MAESTRO DE AGUAS LLUVIAS CIUDAD DE LA UNION Y RIO BUENO</t>
  </si>
  <si>
    <t>LOS RÍOS</t>
  </si>
  <si>
    <t>DIAGNOSTICO CONDICIONES NATURALES EN BORDES COSTEROS DE MAR Y RIOS, REGION DE LOS RIOS</t>
  </si>
  <si>
    <t>MEJORAMIENTO CALETA DE PESCADORES LOS MOLINOS COMUNA DE VALDIVIA</t>
  </si>
  <si>
    <t>VALDIVIA</t>
  </si>
  <si>
    <t>CONSTRUCCION ALCANTARILLADO DE ANTILHUE, LOS LAGOS</t>
  </si>
  <si>
    <t>LOS LAGOS</t>
  </si>
  <si>
    <t>REPOSICION ESCUELA FUSIONADA LOS LAGOS</t>
  </si>
  <si>
    <t>CONSTRUCCION CANCHA SINTETICA ESTADIO MUNICIPAL DE LANCO</t>
  </si>
  <si>
    <t>LANCO</t>
  </si>
  <si>
    <t>MEJORAMIENTO GIMNASIO LICEO POLITECNICO PESQUERO DE MEHUIN, MARIQUINA</t>
  </si>
  <si>
    <t>MARIQUINA</t>
  </si>
  <si>
    <t>REPOSICION TENECIA DE CARABINEROS SAN JOSE DE LA MARIQUINA</t>
  </si>
  <si>
    <t>REPOSICION ESCUELA JOSE ARNOLDO BILBAO P. DE PELCHUQUIN, MARIQUINA</t>
  </si>
  <si>
    <t>CONSTRUCCION INFRAESTRUCTURA SANITARIA, PANGUIPULLI ALTO</t>
  </si>
  <si>
    <t>PANGUIPULLI</t>
  </si>
  <si>
    <t>CONSTRUCCION GIMNASIO COMUNITARIO NELTUME, COMUNA DE PANGUIPULLI</t>
  </si>
  <si>
    <t>CONSTRUCCION SEDE SOCIAL INDIGENA COMUNA DE LA UNION</t>
  </si>
  <si>
    <t>LA UNION</t>
  </si>
  <si>
    <t>MEJORAMIENTO AVENIDA ECUADOR Y BALMACEDA - VALDIVIA</t>
  </si>
  <si>
    <t>CONSTRUCCION ESTADIO MUNICIPAL DE SANTA FILOMENA, PAILLACO</t>
  </si>
  <si>
    <t>PAILLACO</t>
  </si>
  <si>
    <t>MEJORAMIENTO CALLE MANUEL VARAS, MARIQUINA</t>
  </si>
  <si>
    <t>CONSTRUCCION GIMNASIO LOCALIDAD DE RIÑINAHUE COMUNA DE LAGO RANCO</t>
  </si>
  <si>
    <t>LAGO RANCO</t>
  </si>
  <si>
    <t>REPOSICION MUSEO TRINGLO COMUNA DE LAGO RANCO</t>
  </si>
  <si>
    <t>MEJORAMIENTO CALLE EL MOLINO, COMUNA DE LAGO RANCO</t>
  </si>
  <si>
    <t>CONSTRUCCION POSTA PUQUIÑE, COMUNA DE LANCO</t>
  </si>
  <si>
    <t>REPOSICION POSTA DE SALUD RURAL DE RUPUMEICA BAJO, LAGO RANCO</t>
  </si>
  <si>
    <t>REPOSICION POSTA DE ALEPUE, COMUNA DE MARIQUINA</t>
  </si>
  <si>
    <t>CONSERVACION CBC RUTA 203 CH PUERTO PIREHUEICO - PASO HUAHUM</t>
  </si>
  <si>
    <t>REPOSICION MURO Y FUERTE DE CORRAL</t>
  </si>
  <si>
    <t>CORRAL</t>
  </si>
  <si>
    <t>HABILITACION ESTACION COLLILELFU, LOS LAGOS</t>
  </si>
  <si>
    <t>MEJORAMIENTO CALLE LAS ROSAS DE MALALHUE, LANCO</t>
  </si>
  <si>
    <t>REPOSICION EDIFICIO CONSISTORIAL DE LANCO</t>
  </si>
  <si>
    <t>MEJORAMIENTO Y AMPLIACION SISTEMA DE APR PUERTO NUEVO, LA UNION</t>
  </si>
  <si>
    <t>MEJORAMIENTO CALLE LOS CIPRESES FUTRONO</t>
  </si>
  <si>
    <t>FUTRONO</t>
  </si>
  <si>
    <t>REPOSICION CALLE COMERCIO RIO BUENO</t>
  </si>
  <si>
    <t>RIO BUENO</t>
  </si>
  <si>
    <t>REPOSICION CALLE PEDRO LAGOS, COMUNA DE RIO BUENO</t>
  </si>
  <si>
    <t>REPOSICION PLAZA BERNARDO O´HIGGINS COMUNA DE LAGO RANCO</t>
  </si>
  <si>
    <t>REPOSICION HOSPITAL DE RIO BUENO</t>
  </si>
  <si>
    <t>REPOSICION PABELLON PREBASICA ESCUELA PROYECTO DE FUTURO, PAILLACO</t>
  </si>
  <si>
    <t>REPOSICION BIBLIOTECA MUNICIPAL DE MAFIL</t>
  </si>
  <si>
    <t>MAFIL</t>
  </si>
  <si>
    <t>CONSTRUCCION SERVICIO APR FOLLECO, LA UNION</t>
  </si>
  <si>
    <t>CONSTRUCCION TERMINAL DE BUSES DE LAGO RANCO</t>
  </si>
  <si>
    <t>CONSTRUCCION TERMINAL DE BUSES, COMUNA DE FUTRONO</t>
  </si>
  <si>
    <t>CONSTRUCCION EMBARCADERO PISHUINCO, COMUNA DE VALDIVIA</t>
  </si>
  <si>
    <t>CONSTRUCCION EMBARCADEROS MENORES DE ISLA DEL REY COMUNA DE CORRAL</t>
  </si>
  <si>
    <t>REPOSICION POSTA RURAL RIÑIHUE, LOS LAGOS</t>
  </si>
  <si>
    <t>REPOSICION DE POSTA SALUD RURAL ISLA DEL REY</t>
  </si>
  <si>
    <t>CONSTRUCCION POSTA DE SALUD RURRAL CHAIHUIN</t>
  </si>
  <si>
    <t>RESTAURACION Y AMPLIACION DEL MUSEO DE ARTE CONTEMPORANEO VALDIVIA</t>
  </si>
  <si>
    <t>RESTAURACION ADQUISICION CASTILLO DE SAN LUIS DE ALBA, MARIQUINA</t>
  </si>
  <si>
    <t>RESTAURACION Y MUSEOGRAFIA CASA ANWANDTER VALDIVIA</t>
  </si>
  <si>
    <t>RESTAURACION Y PUESTA EN VALOR TORREONES DE FORTIFICACION VALDIVIA</t>
  </si>
  <si>
    <t>CONSTRUCCION SERVICIO DE APR DE LOS PELLINES, VALDIVIA</t>
  </si>
  <si>
    <t>CONSTRUCCION FERIA COSTUMBRISTA, COMUNA DE LAGO RANCO</t>
  </si>
  <si>
    <t>MEJORAMIENTO AV. BALMACEDA, ENTRE CALLES CHORRILLOS Y FRAY BENITO DELGADO, RIO BUENO</t>
  </si>
  <si>
    <t>CONSTRUCCION CENTRO RECREATIVO PARA EL ADULTO MAYOR, VALDIVIA</t>
  </si>
  <si>
    <t>REPOSICION POSTA ISLA HUAPI COMUNA FUTRONO</t>
  </si>
  <si>
    <t>REPOSICION CUARTEL DE BOMBEROS DE CURRIÑE COMUNA DE FUTRONO</t>
  </si>
  <si>
    <t>CONSTRUCCION ESTADIO NIEBLA, VALDIVIA</t>
  </si>
  <si>
    <t>CONSTRUCCION POLIDEPORTIVO, PAILLACO</t>
  </si>
  <si>
    <t>NORMALIZACION SISTEMA TRATAMIENTO AGUAS SERVIDAS DE MALALHUE, LANCO</t>
  </si>
  <si>
    <t>REPOSICION ESTADIO MUNICIPAL LOS AROMOS, MAFIL</t>
  </si>
  <si>
    <t>MEJORAMIENTO CANCHA DE FUTBOL COMPLEJO BICENTENARIO, RIO BUENO</t>
  </si>
  <si>
    <t>CONSTRUCCION SISTEMA AUTOGENERACION ELECTRICO, QUITAQUI, VALDIVIA</t>
  </si>
  <si>
    <t>AMPLIACION Y MEJORAMIENTO SAPR DE PICHIRROPULLI, COMUNA DE PAILLACO</t>
  </si>
  <si>
    <t>REPOSICION EDIFICIO CONSISTORIAL MUNICIPALIDAD DE MARIQUINA</t>
  </si>
  <si>
    <t>CONSTRUCCION PLANTA REGIONAL DE RECICLAJE, LOS RIOS</t>
  </si>
  <si>
    <t>MEJORAMIENTO PLAZA PEDRO DE VALDIVIA Y PLAZA CHILE, VALDIVIA</t>
  </si>
  <si>
    <t>CONSTRUCCION CENTRO INFORMACION AMBIENTAL Y CULTURAL CONAF, PUNUCAPA VALDIVIA</t>
  </si>
  <si>
    <t>CONSTRUCCION SANEAMIENTO SANITARIO DOMICILIARIO DE DIVERSOS SECTORES DE LA CIUDAD DE VALDIVIA</t>
  </si>
  <si>
    <t>CONSERVACION EDIFICACION PUBLICA - HOSPITAL DE PAILLACO</t>
  </si>
  <si>
    <t>AMPLIACION CEMENTERIO MUNICIPAL, PAILLACO</t>
  </si>
  <si>
    <t>REPOSICION COLEGIO JOSE MANUEL BALMACEDA</t>
  </si>
  <si>
    <t>CONSERVACION GIMNASIO FISCAL, COMUNA DE LA UNION</t>
  </si>
  <si>
    <t>HABILITACION CASA DUHALDE PARA CENTRO CULTURAL COMUNA DE LA UNION</t>
  </si>
  <si>
    <t>INSTALACION DEL SERVICIO DE APR EN CALCURRUPE ALTO, COMUNA DE LAGO RANCO</t>
  </si>
  <si>
    <t>CONSTRUCCIÓN POSTA RURAL EL LLOLLY, PAILLACO</t>
  </si>
  <si>
    <t>CONSTRUCCION CESFAN LAUTARO CARO RIOS, PAILLACO</t>
  </si>
  <si>
    <t>REPOSICION POSTA SALUD RURRAL PUNUCAPA</t>
  </si>
  <si>
    <t>CONSERVACION VIAS URBANAS REGION DE LOS RIOS_AÑO 2020</t>
  </si>
  <si>
    <t>PREVENCION Y ATENCION A MUJERES VICTIMAS DE VIOLENCIA, LOS LAGOS</t>
  </si>
  <si>
    <t>RESTAURACION Y PUESTA EN VALOR TEATRO GALIA DE LANCO</t>
  </si>
  <si>
    <t>MEJORAMIENTO PAVIMENTACION AVENIDA COSTANERA, PANGUIPULLI</t>
  </si>
  <si>
    <t>CONSTRUCCION INFRAESTRUCTURA SANITARIA CAUPOLICAN ALTO, LA UNION</t>
  </si>
  <si>
    <t>CONSTRUCCION INFRAESTRUCTURA SANITARIA RIÑINAHUE - LAGO RANCO</t>
  </si>
  <si>
    <t>CONSTRUCCION CIRCUNVALACION VALDIVIA Y PTE. STA. ELVIRA</t>
  </si>
  <si>
    <t>CONSTRUCCION FERIA CENTRAL DE VALDIVA</t>
  </si>
  <si>
    <t>MEJORAMIENTO CANCHA SINTETICA Y ESTADIO ANFA, COMUNA DE MARIQUINA</t>
  </si>
  <si>
    <t>CONSTRUCION TERMINAL DE BUSES SAN JOSE DE MARIQUINA</t>
  </si>
  <si>
    <t>REPOSICION BIBLIOTECA MUNICIPAL SAN JOSE, COMUNA DE MARIQUINA</t>
  </si>
  <si>
    <t>CONSTRUCCION INFRAESTRUCTURA SANITARIA NELTUME, PANGUIPULLI</t>
  </si>
  <si>
    <t>CONSTRUCCION CENTRO DE FERIAS PANGUIPULLI</t>
  </si>
  <si>
    <t>CONSTRUCCION ESTADIO CONDOR PANGUIPULLI</t>
  </si>
  <si>
    <t>REPOSICION GIMNACIO LICEO VICENTE PEREZ ROSALES, RIO BUENO</t>
  </si>
  <si>
    <t>REPOSICION POSTA DE SALUD RURAL LOS ESTEROS, LA UNIÓN</t>
  </si>
  <si>
    <t>REPOSICION CESFAM NIEBLA, VALDIVIA</t>
  </si>
  <si>
    <t>CONSTRUCCION CENTRO ATENCION ESPECIALIDADES, HOSPITAL DE LA UNION</t>
  </si>
  <si>
    <t>ANALISIS IMPLEMENTACION DE UNA PLATAFORMA LOGISTICA EN LA CIUDAD DE VALDIVIA</t>
  </si>
  <si>
    <t>ANALISIS PELIGROSO DE REMOCION EN MASA, REGION  DE LOS RIOS</t>
  </si>
  <si>
    <t>MEJORAMIENTO CALLE LAS ZINNIAS-VALDIVIA</t>
  </si>
  <si>
    <t>CONSTRUCCION ELECTRIFICACION FOTOVOLTAICA LUMACO, CANCAGUAL, TRES CHIFLONES Y CADILLAL</t>
  </si>
  <si>
    <t>INSTALACION SISTEMA SOLAR AGUA CALIENTE SANITARIA INTERNADO LICEO RURAL LLIFEN, FUTRONO</t>
  </si>
  <si>
    <t>CONSTRUCCION SANEAMIENTO SANITARIO SECTOR IGNAO, LAGO RANCO</t>
  </si>
  <si>
    <t>REPOSICION BRIGADA INCENDIOS FORESTALES SAN JOSE DE LA MARIQUINA</t>
  </si>
  <si>
    <t>CONSTRUCCION TORRE DE DETECCION - VIVIENDA DE TORREONES, LA UNION</t>
  </si>
  <si>
    <t>MEJORAMIENTO CANCHA SINTETICA Y ESTADIO DE CIRUELOS, COMUNA MARIQUINA</t>
  </si>
  <si>
    <t>CONSTRUCCION ALCANTARILLADO Y P.T.A.S DE MEHUIN - MARIQUINA</t>
  </si>
  <si>
    <t>REPOSICION PRIMERA CIA. DE BOMBEROS DE CRUCERO COMUNA DE RIO BUENO</t>
  </si>
  <si>
    <t>CONSTRUCCION INFRAESTRUCTURA SANITARIA DE PTO. NUEVO, LA UNION</t>
  </si>
  <si>
    <t>CONSTRUCCION INFRAESTRUCTURA SANITARIA LOCALIDAD DE VIVANCO, RIO BUENO</t>
  </si>
  <si>
    <t>REPOSICION CUARTEL DE BOMBEROS MALALHUE</t>
  </si>
  <si>
    <t>MEJORAMIENTO RECINTO DEPORTIVO ESTADIO MANTILHUE, COMUNA DE RIO BUENO</t>
  </si>
  <si>
    <t>REPOSICION PUESTA EN VALOR CENTRO CULTURAL CASA FURNIEL RIO BUENO</t>
  </si>
  <si>
    <t>REPOSICION CUARTEL SEGUNDA COMPAÑÍA DE BOMBEROS DE RIO BUENO</t>
  </si>
  <si>
    <t>CONSERVACION RED VIAL BASICA CBC RUTA T-390 MULPUN</t>
  </si>
  <si>
    <t>CONSERVACION CBC RUTA T-455 LONCOPAN BAJO LONCOPAN ALTO, COMUNA DE FUTRONO</t>
  </si>
  <si>
    <t>CONSTRUCCION INFRAESTRUCTURA SANITARIA SECTORES IÑAQUI-HUILLON, MAFIL</t>
  </si>
  <si>
    <t>CONSTRUCCION INFRAESTRUCCTURA SANITARIA ESTACION MARIQUINA</t>
  </si>
  <si>
    <t>MEJORAMIENTO ESTABILIZACION TALUD CALLE BEAUCHEF ENTRE AV PRAT Y PUENTE CONTRA</t>
  </si>
  <si>
    <t>CONSTRUCCIÓN RELLENO SANITARIO, REGIÓN DE LOS RÍOS</t>
  </si>
  <si>
    <t>HABILITACION SUMINISTRO ENERGIA ELECTRICA SECTOR HUERQUEHUE V Y OTROS, PANGUIPULLI</t>
  </si>
  <si>
    <t>PREVENCION Y ATENCION A MUJERES VICTIMAS DE VIOLENCIA, MARIQUINA</t>
  </si>
  <si>
    <t>HABILITACION SUMINISTRO ENERGIA ELECTRICA SECTOR COIHUECO II Y OTROS, PANGUIPULLI</t>
  </si>
  <si>
    <t>HABILITACION SUMINISTRO ENERGIA ELECTRICA SECTOR COÑARIPE II Y OTROS, PANGUIPULLI</t>
  </si>
  <si>
    <t>HABILITACION SUMINISTRO ENERGIA ELECTRICA RIÑINAHUE 6, LAGO RANCO</t>
  </si>
  <si>
    <t>HABILITACION SUMINISTRO ENERGIA ELECTRICA MANTILHUE Y OTROS ETAPA II, COMUNA DE RIO BUENO</t>
  </si>
  <si>
    <t>REPOSICION CUARTEL DE BOMBEROS 2DA COMPAÑÍA, COMUNA DE VALDIVIA</t>
  </si>
  <si>
    <t>CONSTRUCCION PUENTE LAS ACACIAS Y VIAS DE EMPALME, ARICA.</t>
  </si>
  <si>
    <t xml:space="preserve">EJECUCIÓN </t>
  </si>
  <si>
    <t>Arica y parinacota</t>
  </si>
  <si>
    <t>Arica</t>
  </si>
  <si>
    <t xml:space="preserve">CONSTRUCCIÓN CENTRO DE SALUD FAMILIAR SECTOR SUR, COMUNA ARICA </t>
  </si>
  <si>
    <t xml:space="preserve">RESTAURACIÓN Y HABILIATACIÓN BIBLIOTECA REGIONAL EX FFCC ARICA LA PAZ </t>
  </si>
  <si>
    <t>CONSERVACIÓN DE INSTALACIONES SANITARIAS DEL COMPLEJO PENITENCIARIO DE ARICA</t>
  </si>
  <si>
    <t>NORMALIZACIÓN DE INFRAESTRUCTURA LICEO OCTAVIO PALMA PEREZ, ARICA</t>
  </si>
  <si>
    <t>CONSTRUCCION COMPLEJO DEPORTIVO CARDENAL SILVA HENRIQUEZ, ARICA</t>
  </si>
  <si>
    <t>CONSTRUCCION DE CUATRO SEDES SOCIALES EN LA COMUNA DE ARICA</t>
  </si>
  <si>
    <t>CONSTRUCCION PLAZA SEGURA POCONCHILE URBANO,ARICA</t>
  </si>
  <si>
    <t>CONSTRUCCION PARQUE PUERTA NORTE DE CHILE ARICA</t>
  </si>
  <si>
    <t>CONSTRUCCIÓN SISTEMA TRATAMIENTO AGUAS SERVIDAS STA. ROSA POCONCHILE</t>
  </si>
  <si>
    <t xml:space="preserve">CONSTRUCCIÓN RELLENO SANITARIO COMUNA DE ARICA </t>
  </si>
  <si>
    <t>CONSTRUCCIÓN PLAZA INTEGRADA LLACOLEN ,ARICA</t>
  </si>
  <si>
    <t xml:space="preserve">CONSTRUCCIÓN PLAZA INTEGRADA SANTIAGO ARATA, ARICA </t>
  </si>
  <si>
    <t>MEJORAMIENTO BORDE COSTERO PLAYA ARENILLAS NEGRAS ARICA</t>
  </si>
  <si>
    <t>CONSERVACION DE VIAS  2014- 2018 - ARICA</t>
  </si>
  <si>
    <t>CONSTRUCCIÓN SOL AP LOCALIDADES SUBTERRITORIO CAMARONES 1</t>
  </si>
  <si>
    <t xml:space="preserve">FACTIBILIDAD </t>
  </si>
  <si>
    <t>Camarones</t>
  </si>
  <si>
    <t>DIAGNOSTICO ESTRUCTURAL Y GEOTECNICO VIVIENDAS GUAÑACAGUA II, ARICA</t>
  </si>
  <si>
    <t xml:space="preserve">CONSTRUCCIÓN DE VENUSTERIOS PARA UNIDADES PENALES COM. PENINT. ARICA </t>
  </si>
  <si>
    <t xml:space="preserve">MEJORAMIENTO DE SERVICIOS ESTUDIANTES UNIVERSITARIOS REGION DE ARICA Y PARINACOTA </t>
  </si>
  <si>
    <t>MEJORAMIENTO PARQUE CENTENARIO ETAPA 2 -SKATE PARK, ARICA</t>
  </si>
  <si>
    <t xml:space="preserve">CONSTRUCCIÓN ESPACIO PÚBLICO, MIRAMAR SUR II, ARICA </t>
  </si>
  <si>
    <t>CONSERVACION DE ACERAS, SECTOR CENTRO DE LA CIUDAD DE ARICA</t>
  </si>
  <si>
    <t>EJECUCION CIRC. 33</t>
  </si>
  <si>
    <t>MEJORAMIENTO EE.PP LOS INDUSTRIALES I , ARICA</t>
  </si>
  <si>
    <t xml:space="preserve">MEJORAMIENTO PARQUE HEROES DE LA CONCEPCIÓN POBL. EDUARDO FREI ARICA </t>
  </si>
  <si>
    <t>REPOSICIÓN SEDE SOCIAL LOS INDUSTRIALES III, ARICA</t>
  </si>
  <si>
    <t>CONSTRUCIÓN ELECTRIFICACIÓN VALLE DE VITOR, COMUNA DE ARICA</t>
  </si>
  <si>
    <t>MEJORAMIENTO CANCHA DEPORTIVA de ESCUELA D-91 CENTENARIO, ARICA</t>
  </si>
  <si>
    <t xml:space="preserve">CONSERVACIÓN CENTRO CERRADO DE ARICA,  SENAME </t>
  </si>
  <si>
    <t xml:space="preserve">CONSTRUCCIÓN CENTRO DE ATENCIÓN A DISCAPACITADOS UMPADE ARICA </t>
  </si>
  <si>
    <t>CONSTRUCCIÓN MUSEO ANTROPOLOGICO SAN MIGUEL DE AZAPA REG A Y P</t>
  </si>
  <si>
    <t>CONSTRUCCION PARQUE PUNTA NORTE SEGUNDA ETAPA LOTE 8 ARICA</t>
  </si>
  <si>
    <t>CONSTRUCCION CENTRO DE LAS CULTURAS Y LAS ARTES DE ARICA</t>
  </si>
  <si>
    <t xml:space="preserve">MEJORAMIENTO CALLE BOLOGNESI (EL MORRO 7 DE JUNIO) ARICA </t>
  </si>
  <si>
    <t xml:space="preserve">EJECUCÓN </t>
  </si>
  <si>
    <t xml:space="preserve">REPOSICIÓN TOTAL DEL JARDIN INFANTIL CON SALAS CUNA PIOLIN </t>
  </si>
  <si>
    <t xml:space="preserve">MEJORAMIENTO CALLE EL MORRO, ARICA </t>
  </si>
  <si>
    <t xml:space="preserve">AMPLIACIÓN Y MEJORAMIENTO INSTITUTO TELETÓN </t>
  </si>
  <si>
    <t>CONSTRUCCIÓN EEPP PLAZA LAS TERRAZAS ARICA</t>
  </si>
  <si>
    <t>REPOSICIÓN TOTAL JARDIN INFANTIL Y SALAS CUNA CAPERUCITA</t>
  </si>
  <si>
    <t xml:space="preserve">CONSTRUCCIÓN COMPLEJO DEPORTIVO COMUNAL DE PUTRE, ETAPA I </t>
  </si>
  <si>
    <t>Putre</t>
  </si>
  <si>
    <t>DIAGNOSTICO ESTADO CONSERVACION PAVIMENTOS ARICA</t>
  </si>
  <si>
    <t>CONSERVACION CAMINO BASICO RUTAS PROVINCIA DE PARINACOTA</t>
  </si>
  <si>
    <t>EJECUCIÓN      CIRC. 33</t>
  </si>
  <si>
    <t>Parinacota</t>
  </si>
  <si>
    <t>CONSTRUCCION PASEO PEATONAL CAMINO TROPERO MARKAPATA, PUTRE</t>
  </si>
  <si>
    <t>NORMALIZACION ESCUELA IGNACIO CARRERA PINTO G-27</t>
  </si>
  <si>
    <t>CONSTRUCCION PLAZA CULTURA CHINCHORRO LOCALIDAD DE CUYA</t>
  </si>
  <si>
    <t>CONSERVACION DE RIVERAS CAUCES NATURALES VARIOS SECTORES DE LA REGION DE ARICA Y PARINACOTA</t>
  </si>
  <si>
    <t>DIAGNOSTICO DEL PATRIMONIO CULTURAL DE ARICA Y PATRIMONIO - PLAN DE ORDENAMIENTO PATRIMONIAL</t>
  </si>
  <si>
    <t>MEJORAMIENTO BORDE COSTERO BALNEARIO CHINCHORRO</t>
  </si>
  <si>
    <t>CONSTRUCCION CENTRO DE DIAGNOSTICO TERAPEUTICO REGION DE ARICA Y PARINACOTA</t>
  </si>
  <si>
    <t>CONSTRUCCION JARDIN INFANTIL CON SALAS CUNA EL ALTO, ARICA</t>
  </si>
  <si>
    <t>EJECUCCION</t>
  </si>
  <si>
    <t>NORMALIZACION Y MEJORAMIENTO DE LA ESCUELA D-16 SUBTTE LUIS CRUZ MARTINEZ, ARICA</t>
  </si>
  <si>
    <t>CONSTRUCCION CENTRO DE RECICLAJE Y PUNTOS LIMPIOS DEL COMPLEJO PENITENCIARIO DE ARICA</t>
  </si>
  <si>
    <t>CONSERVACION CUARTEL ANGAMOS ARICA PDI</t>
  </si>
  <si>
    <t>CONSTRUCCION PLAZA TAMBO QUEMADO PANAMERICANA SUR, ARICA</t>
  </si>
  <si>
    <t>MEJORAMIENTO ESPACIOS PUBLICOS POBLACION RADIO EL MORRO, ARICA</t>
  </si>
  <si>
    <t>MEJORAMIENTO EEPP SECTOR PUNTA NORTE, 6 VILLAS (LOS ANDES-VILLARRICA-ZAPIGA-LINDEROS), ARICA</t>
  </si>
  <si>
    <t>MEJORAMIENTO ESPACIO PUBLICOS, POBLACION TUCAPEL, ARICA</t>
  </si>
  <si>
    <t>MEJORAMIENTO ESPACIOS PUBLICOS POBLACION EMPART, COMUNA DE ARICA</t>
  </si>
  <si>
    <t>RESTAURACION MONUMENTO NACIONAL EX ISLA DEL ALACRAN, ARICA</t>
  </si>
  <si>
    <t>REPOSICION RETEN CARABINEROS CHILCAYA (F)</t>
  </si>
  <si>
    <t>CONSERVACION DE RIBERAS CAUCES NATURALES VARIOS SECTORES REG A Y P</t>
  </si>
  <si>
    <t>EJECUCCION CIRC. 33</t>
  </si>
  <si>
    <t>RESTAURACION PUESTA VALOR SITIOS ARQUEOLOGICO PUKARA DE COPAQUILLA</t>
  </si>
  <si>
    <t>10-6-212</t>
  </si>
  <si>
    <t>CONSTRUCCION OBRAS DE RELOCALIZACION CALETA PESQUERA</t>
  </si>
  <si>
    <t>RESTAURACION IGLESIA SAGRADO CORAZON ARICA</t>
  </si>
  <si>
    <t>CONSTRUCCION PLAZA FUERTE BULNES, POBL. RAUL SILVA HENRIQUEZ, ARICA</t>
  </si>
  <si>
    <t>31-01</t>
  </si>
  <si>
    <t>ACTUALIZACION PLAN REGULADOR COMUNA DE QUIRIHUE</t>
  </si>
  <si>
    <t>Ñuble</t>
  </si>
  <si>
    <t>Quirihue</t>
  </si>
  <si>
    <t>149.114</t>
  </si>
  <si>
    <t>ACTUALIZACION PLAN DE DESARROLLO COMUNAL COMUNA DE NINHUE</t>
  </si>
  <si>
    <t>Ninhue</t>
  </si>
  <si>
    <t>31.945</t>
  </si>
  <si>
    <t>CONSTRUCCION HOGAR DE ANCIANOS COMUNA DE SAN IGNACIO</t>
  </si>
  <si>
    <t>San Ignacio</t>
  </si>
  <si>
    <t>43.950</t>
  </si>
  <si>
    <t>REPOSICION GIMNASIO MUNICIPAL DE COIHUECO</t>
  </si>
  <si>
    <t>Coihueco</t>
  </si>
  <si>
    <t>2.504.025</t>
  </si>
  <si>
    <t>REPOSICIÓN CENTRO DE SALUD FAMILIAR SAN FABIÁN DE ALICO</t>
  </si>
  <si>
    <t xml:space="preserve">San Fabián </t>
  </si>
  <si>
    <t>199.807</t>
  </si>
  <si>
    <t xml:space="preserve">CONSTRUCCIÓN CUARTEL DE BOMBEROS, COMUNA DE SAN NICOLÁS </t>
  </si>
  <si>
    <t>San Nicolás</t>
  </si>
  <si>
    <t>1.064.303</t>
  </si>
  <si>
    <t>CONSTRUCCION POLIDEPORTIVO MUNICIPAL SAN CARLOS</t>
  </si>
  <si>
    <t>Carlos</t>
  </si>
  <si>
    <t>2.599.119</t>
  </si>
  <si>
    <t>REPOSICION PISTA BMX QUILAMAPU, CHILLÁN</t>
  </si>
  <si>
    <t>Chillán</t>
  </si>
  <si>
    <t>1.141.064</t>
  </si>
  <si>
    <t>HABILITACION PLAZA Y FERIA LIBRE EMILIO BASTIAS, SAN CARLOS</t>
  </si>
  <si>
    <t>San Carlos</t>
  </si>
  <si>
    <t>1.958.473</t>
  </si>
  <si>
    <t>MEJORAMIENTO PARQUE SARITA GAJARDO, CHILLÁN</t>
  </si>
  <si>
    <t>128.290</t>
  </si>
  <si>
    <t>MEJORAMIENTO PLANTA DE TRATAMIENTO AGUAS SERVIDAS SAN NICOLAS</t>
  </si>
  <si>
    <t>San Nicolas</t>
  </si>
  <si>
    <t>1.647.015</t>
  </si>
  <si>
    <t>CONSTRUCCION PUENTE Y CALZADA PONIENTE EN AV. BRASIL, CHILLAN</t>
  </si>
  <si>
    <t>58.236</t>
  </si>
  <si>
    <t>REPOSICION DE CENTRO DE SALUD FAMILIAR (CESFAM) DE SAN GREGORIO, COMUNA ÑIQUEN</t>
  </si>
  <si>
    <t>Ñiquen</t>
  </si>
  <si>
    <t>238.524</t>
  </si>
  <si>
    <t>MEJORAMIENTO CAMINOS BÁSICOS INTERMEDIOS CONEXIÓN RUTA N-335, N-447 A N-31, ÑUBLE</t>
  </si>
  <si>
    <t>Intercomunal</t>
  </si>
  <si>
    <t>1.025.997</t>
  </si>
  <si>
    <t>MEJORAMIENTO CAMINO BÃSICO INTERMEDIO RUTA N-773 DEL KM 0.3 AL KM 23.4, ÑUBLE</t>
  </si>
  <si>
    <t>1.333.795</t>
  </si>
  <si>
    <t>CONSTRUCCION CENDYR NAUTICO, QUILLÓN</t>
  </si>
  <si>
    <t>Quillón</t>
  </si>
  <si>
    <t>874.126</t>
  </si>
  <si>
    <t>MEJORAMIENTO CANCHA DE FUTBOL Y GRADERIAS ESTADIO MUNICIPAL DE PORTEZUELO</t>
  </si>
  <si>
    <t>Portezuelo</t>
  </si>
  <si>
    <t>378.451</t>
  </si>
  <si>
    <t>REPOSICION CUARTEL DE 2º COMPAÑIA DE BOMBEROS DE PINTO</t>
  </si>
  <si>
    <t>Pinto</t>
  </si>
  <si>
    <t>400.670</t>
  </si>
  <si>
    <t>REPOSICION CENTRO DE SALUD FAMILIAR, COMUNA DE PINTO</t>
  </si>
  <si>
    <t>73.066</t>
  </si>
  <si>
    <t>REPOSICIÓN COMPLEJO REGIÓN POLICIAL DE ÑUBLE - PDI</t>
  </si>
  <si>
    <t>595.657</t>
  </si>
  <si>
    <t>CONSTRUCCION ESPACIOS PÚBLICOS INCLUSIVOS EN AVENIDA NUESTRA SEÑORA DEL ROSARIO, NINHUE</t>
  </si>
  <si>
    <t>985.660</t>
  </si>
  <si>
    <t>MEJORAMIENTO CALLE SAN IGNACIO, COMUNA DE CHILLÁN</t>
  </si>
  <si>
    <t>332.758</t>
  </si>
  <si>
    <t>CONSERVACION CAMINO A LAS MARIPOSAS</t>
  </si>
  <si>
    <t>Mariposas</t>
  </si>
  <si>
    <t>1.645.695</t>
  </si>
  <si>
    <t>CONSERVACION PAVIMENTO AV. SEPULVEDA BUSTOS, CHILLAN</t>
  </si>
  <si>
    <t>1.798.286</t>
  </si>
  <si>
    <t>CONSERVACION CAMINO BÁSICO SAN CARLOS – TRAPICHE - CRUCE N-730-M (POCILLAS)</t>
  </si>
  <si>
    <t>842.895</t>
  </si>
  <si>
    <t>REPOSICION TENENCIA DE CARABINEROS PINTO</t>
  </si>
  <si>
    <t>834.043</t>
  </si>
  <si>
    <t>REPOSICION RETEN DE CARABINEROS CATO, COMUNA DE COIHUECO</t>
  </si>
  <si>
    <t>921.182</t>
  </si>
  <si>
    <t>REPOSICION SUBCOMISARÍA HUAMBALÍ</t>
  </si>
  <si>
    <t>2.587.156</t>
  </si>
  <si>
    <t>MEJORAMIENTO DIVERSAS CALLES VILLA PRIMAVERA I Y II, PUEBLO SECO, COMUNA DE SAN IGNACIO</t>
  </si>
  <si>
    <t>1.021.971</t>
  </si>
  <si>
    <t>ACTUALIZACION PLAN DE DESARROLLO DE TURISMO, SAN FABIAN</t>
  </si>
  <si>
    <t>31005</t>
  </si>
  <si>
    <t>02</t>
  </si>
  <si>
    <t>ACTUALIZACION PLAN REGULADOR DE LA COMUNA DE YUNGAY</t>
  </si>
  <si>
    <t>Yungay</t>
  </si>
  <si>
    <t>193.815</t>
  </si>
  <si>
    <t>ACTUALIZACION ESTUDIO ELABORACIÓN PLADETUR COMUNA DE PINTO</t>
  </si>
  <si>
    <t>57.464</t>
  </si>
  <si>
    <t>ANALISIS PLAN DE DESARROLLO TURISTICO COMUNA DE NINHUE</t>
  </si>
  <si>
    <t>22.705</t>
  </si>
  <si>
    <t>ANALISIS Y CARACTERIZACIÓN DEL ACUIFERO DE LA CUENCA DEL RIO ITATA</t>
  </si>
  <si>
    <t>2.167.314</t>
  </si>
  <si>
    <t>ANALISIS Y DESARROLLO DEL PLAN MAESTRO DE GESTION DE TTO EN EL SECTOR ORIENTE DE CHILLÁN</t>
  </si>
  <si>
    <t>157.362</t>
  </si>
  <si>
    <t>DIAGNOSTICO PLAN MAESTRO DE ÁREAS VERDES Y ARBORIZACIÓN, COMUNA DE CHILLÁN</t>
  </si>
  <si>
    <t>110.991</t>
  </si>
  <si>
    <t>DIAGNOSTICO DISEÑO DE LA ARQUITECTURA DE LAS TIC PARA RED DE SALUD ÑUBLE</t>
  </si>
  <si>
    <t>87.704</t>
  </si>
  <si>
    <t>REPOSICION CESFAM FEDERICO PUGA BORNE, CHILLAN VIEJO</t>
  </si>
  <si>
    <t>Chillán Viejo</t>
  </si>
  <si>
    <t>4.785.125</t>
  </si>
  <si>
    <t>REPOSICION CON RELOCALIZACION CESFAM DE SANTA CLARA, BULNES</t>
  </si>
  <si>
    <t>Bulnes</t>
  </si>
  <si>
    <t>85.275</t>
  </si>
  <si>
    <t>MEJORAMIENTO ACERAS SECTOR CENTRO, CHILLAN</t>
  </si>
  <si>
    <t xml:space="preserve">Chillán </t>
  </si>
  <si>
    <t>4.048.037</t>
  </si>
  <si>
    <t xml:space="preserve"> 30318924 </t>
  </si>
  <si>
    <t>MEJORAMIENTO ACERAS AV. OHIGGINS COMUNA SAN NICOLAS</t>
  </si>
  <si>
    <t>1.140.912</t>
  </si>
  <si>
    <t>REPOSICION LICEO A-17 COMUNA DE YUNGAY</t>
  </si>
  <si>
    <t xml:space="preserve"> Yungay</t>
  </si>
  <si>
    <t>198.744</t>
  </si>
  <si>
    <t>MEJORAMIENTO APR CAPILLA COX, CHILLAN</t>
  </si>
  <si>
    <t>42.291</t>
  </si>
  <si>
    <t>CONSTRUCCION APERTURA Y PAVIMENTACIÓN CALLE SCHLEYER, CHILLÁN</t>
  </si>
  <si>
    <t>538.957</t>
  </si>
  <si>
    <t>REPOSICION CESFAM COMUNA DE PORTEZUELO</t>
  </si>
  <si>
    <t>246.041</t>
  </si>
  <si>
    <t>NORMALIZACION ELECTRIFICACIÓN DOMIC. DIVERSOS SECTORES SAN CARLOS</t>
  </si>
  <si>
    <t>49.586</t>
  </si>
  <si>
    <t> MEJORAMIENTO ESPACIO PUBLICO, BANDEJON CENTRAL AVENIDA COLLIN, CHILLAN</t>
  </si>
  <si>
    <t>710.334</t>
  </si>
  <si>
    <t>MEJORAMIENTO CANCHA 16 DE JULIO SECTOR SANTA ELVIRA, EL CARMEN</t>
  </si>
  <si>
    <t>El Carmen</t>
  </si>
  <si>
    <t>394.910</t>
  </si>
  <si>
    <t>CONSTRUCCION LABORATORIO REGIONAL SAG REGIÓN DE ÑUBLE</t>
  </si>
  <si>
    <t>79.831</t>
  </si>
  <si>
    <t>CONSTRUCCION CENTRO COMUNITARIO DOÑA ROSA, CHILLAN</t>
  </si>
  <si>
    <t>Chillan</t>
  </si>
  <si>
    <t>61.350</t>
  </si>
  <si>
    <t>CONSERVACION CAMINO BÁSICO CRUCE RUTA 5 (SAN GREGORIO) – ÑIQUEN - CRUCE - M-750 (SAN PEDRO)</t>
  </si>
  <si>
    <t>1.066.796</t>
  </si>
  <si>
    <t>CONSERVACION CAMINO BÁSICO CRUCE N-643 (TRES ESQUINAS) - LOS MARCOS - CRUCE N-773 (LOS TILOS)</t>
  </si>
  <si>
    <t>1.276.066</t>
  </si>
  <si>
    <t>CONSTRUCCION PARQUE INTERCOMUNAL ULTRAESTACIÓN, CHILLÁN</t>
  </si>
  <si>
    <t>3.139.889</t>
  </si>
  <si>
    <t>CONSTRUCCION CEMENTERIO MUNICIPAL DE COIHUECO</t>
  </si>
  <si>
    <t>75.966</t>
  </si>
  <si>
    <t>MEJORAMIENTO Y AMPLIACIÓN APR RINCONADA DE CATO, CHILLÁN</t>
  </si>
  <si>
    <t>48.403</t>
  </si>
  <si>
    <t>HABILITACION CENTRO PENITENCIARIO FEMENINO DE BULNES</t>
  </si>
  <si>
    <t>1.440.986</t>
  </si>
  <si>
    <t>CONSERVACION UNIDAD DE EMERGENCIA DEL HCHM</t>
  </si>
  <si>
    <t>465.184</t>
  </si>
  <si>
    <t>CONSERVACION RUTA N-684, CRUCE RUTA 5 (LOS COLIHUES)- PELEHUITO</t>
  </si>
  <si>
    <t>501.799</t>
  </si>
  <si>
    <t>CONSERVACION RUTA N-884, CRUCE RUTA 5 (SANTA CLARA) -PUENTE PAL PAL- BALSA CERRO NEGRO</t>
  </si>
  <si>
    <t>918.029</t>
  </si>
  <si>
    <t>CONSERVACION RUTA N-70-M CAUQUENES – TORRECILLAS – SAN CARLOS, COMUNA DE SAN CARLOS</t>
  </si>
  <si>
    <t>1.676.113</t>
  </si>
  <si>
    <t> 40014260</t>
  </si>
  <si>
    <t>CONSTRUCCION PUENTE SARGENTO ALDEA, COMUNA DE COIHUECO</t>
  </si>
  <si>
    <t>188.835</t>
  </si>
  <si>
    <t>40019524</t>
  </si>
  <si>
    <t>CONSTRUCCION INFRAESTRUCTURA BRIGADA HELITRANSPORTADA, AERÓDROMO
BERNARDO O´HIGGINS, CHILLÁN</t>
  </si>
  <si>
    <t>CONSTRUCCION VEREDAS URBANAS DIVERSOS SECTORES, COMUNAS ASOCIACION PUNILLA</t>
  </si>
  <si>
    <t>Provincial</t>
  </si>
  <si>
    <t>REPOSICION OFICINA REGISTRO CIVIL DE SAN NICOLAS</t>
  </si>
  <si>
    <t>Nicolas</t>
  </si>
  <si>
    <t>REPOSICION REGISTRO CIVIL DE SAN FABIÁN</t>
  </si>
  <si>
    <t>Saldo Proximos Años Resolución</t>
  </si>
  <si>
    <t>ACTUALIZACION PLAN REGULADOR COMUNAL DE SAN FERNANDO</t>
  </si>
  <si>
    <t>SAN FERNANDO</t>
  </si>
  <si>
    <t>ACTUALIZACION PLAN REGULADOR INTERCOMUNAL RIO CLARO</t>
  </si>
  <si>
    <t>REPOSICION GIMNASIO MUNICIPAL, SAN VICENTE DE TAGUA TAGUA</t>
  </si>
  <si>
    <t>SAN VICENTE</t>
  </si>
  <si>
    <t>REPOSICIÓN CUARTEL 5ª CÍA DE BOMBEROS DE CUNACO, NANCAGUA</t>
  </si>
  <si>
    <t>NANCAGUA</t>
  </si>
  <si>
    <t>CONSTRUCCION HOGAR DE ANCIANOS COMUNA DE PICHILEMU</t>
  </si>
  <si>
    <t>PICHILEMU</t>
  </si>
  <si>
    <t>MEJORAMIENTO PISTA ATLÉTICA COMUNA SAN FERNANDO</t>
  </si>
  <si>
    <t>MEJORAMIENTO INSTALACIONES MEDIALUNA RANCAGUA</t>
  </si>
  <si>
    <t>RANCAGUA</t>
  </si>
  <si>
    <t xml:space="preserve">REPOSICION CUARTEL DE BOMBEROS DE PLACILLA </t>
  </si>
  <si>
    <t>PLACILLA</t>
  </si>
  <si>
    <t>CONSTRUCCIÓN APERTURA CALLE LA VICTORIA, COMUNA DE RANCAGUA</t>
  </si>
  <si>
    <t>REPOSICION CUARTEL 1CIA Y CUERPO DE BOMBEROS COINCO</t>
  </si>
  <si>
    <t>COINCO</t>
  </si>
  <si>
    <t xml:space="preserve"> </t>
  </si>
  <si>
    <t>REPOSICION CUARTEL 3ERA COMPAÑÍA DE BOMBEROS DE APALTA, SANTA CRUZ</t>
  </si>
  <si>
    <t>SANTA CRUZ</t>
  </si>
  <si>
    <t>MEJORAMIENTO SISTEMA APR CASAS DE PEUCO MOSTAZAL</t>
  </si>
  <si>
    <t>MOSTAZAL</t>
  </si>
  <si>
    <t>MEJORAMIENTO SISTEMA APR NILAHUE ALTO DE LOLOL</t>
  </si>
  <si>
    <t>LOLOL</t>
  </si>
  <si>
    <t>CONSTRUCCION CIERRE VERTEDERO SECTOR PUEBLO DE INDIOS, SAN VICENTE</t>
  </si>
  <si>
    <t>CONSTRUCCION BASE RESPUESTA RAPIDA CONAF (PLAN REGIONAL) MOSTAZAL</t>
  </si>
  <si>
    <t>CONSTRUCCION BASE RESPUESTA RAPIDA CONAF (PLAN REGIONAL) COLTAUCO</t>
  </si>
  <si>
    <t>COLTAUCO</t>
  </si>
  <si>
    <t>MEJORAMIENTO SISTEMA APR CRUZ DE CHILLEHUE, COINCO</t>
  </si>
  <si>
    <t>REPOSICIÓN EDIFICIO DIRECCIÓN SERVICIO SALUD SEXTA REGIÓN</t>
  </si>
  <si>
    <t>CONSTRUCCION BASE RESPUESTA RAPIDA CONAF (PLAN REGIONAL) SANTA CRUZ</t>
  </si>
  <si>
    <t>CONSERVACION VÍAS URBANAS PROCESO 2016 (EJECUCION 2019), VI REGION</t>
  </si>
  <si>
    <t>MEJORAMIENTO DE ACERAS CASCO HISTÓRICO URBANO, COMUNA DE MACHALI</t>
  </si>
  <si>
    <t>MACHALI</t>
  </si>
  <si>
    <t>MEJORAMIENTO SISTEMA APR SAN PEDRO LA PUNTILLA MALLOA</t>
  </si>
  <si>
    <t>MALLOA</t>
  </si>
  <si>
    <t>CONSTRUCCIÓN TÚNEL INTERNACIONAL PASO LAS LEÑAS</t>
  </si>
  <si>
    <t>FACTIBILIDAD</t>
  </si>
  <si>
    <t>CONSERVACION DE CAMINOS BASICOS GLOSA 6 GRUPO 7, PROVINCIA DE COLCHAGUA</t>
  </si>
  <si>
    <t>COLCHAGUA</t>
  </si>
  <si>
    <t>REPOSICION CUARTEL PRIMERA COMPAÑÍA DE BOMBEROS DE PAREDONES</t>
  </si>
  <si>
    <t>PAREDONES</t>
  </si>
  <si>
    <t>CONSTRUCCION SEGUNDA COMPAÑÍA DE BOMBEROS POBLACION PERALILLO</t>
  </si>
  <si>
    <t>PERALILLO</t>
  </si>
  <si>
    <t>REPOSICION ALUMBRADO PUBLICO COMUNA LA ESTRELLA</t>
  </si>
  <si>
    <t>LA ESTRELLA</t>
  </si>
  <si>
    <t>CONSTRUCCION BASE TACTICA PARA EMERGENCIA REGIONALES (CONAF) PUMANQUE</t>
  </si>
  <si>
    <t>PUMANQUE</t>
  </si>
  <si>
    <t>REPOSICION LICEO SAN JOSE DEL CARMEN PALMILLA</t>
  </si>
  <si>
    <t>PALMILLA</t>
  </si>
  <si>
    <t>MEJORAMIENTO LUMINARIAS DEL ALUMBRADO PÚBLICO DEL SECTOR NORTE, CH Y CENTRO PONIENTE DE RANCAGUA</t>
  </si>
  <si>
    <t>MEJORAMIENTO INTERCONEXION VIAL EJE M.E.BALAGUER-REPUBLICA-MACHALI</t>
  </si>
  <si>
    <t>MEJORAMIENTO PLAZA DE ARMAS DE PEUMO, PEUMO</t>
  </si>
  <si>
    <t>PEUMO</t>
  </si>
  <si>
    <t>MEJORAMIENTO ESPACIO PUBLICO PATRIMONIAL AV. 18 SEPTIEMBRE, CHEPICA</t>
  </si>
  <si>
    <t>CHEPICA</t>
  </si>
  <si>
    <t>REPOSICIÓN DEL CUARTEL DEL GOPE O'HIGGINS</t>
  </si>
  <si>
    <t>OLIVAR</t>
  </si>
  <si>
    <t>MEJORAMIENTO ACERAS CALLE HERMANOS CARRERA COMUNA DE LITUECHE</t>
  </si>
  <si>
    <t>LITUECHE</t>
  </si>
  <si>
    <t>CONSTRUCCION VIA PEATONAL VALDIVIA Y PLAZOLETA M.RODRÍGUEZ, SN. FDO</t>
  </si>
  <si>
    <t xml:space="preserve">MEJORAMIENTO PARQUE CAMPESINO LOLOL </t>
  </si>
  <si>
    <t>RESTAURACION CENTRO CULTURAL, EX ESTACION DE FFCC, PEUMO</t>
  </si>
  <si>
    <t>REPOSICIÓN ESCUELA UNIÓN MUJERES AMERICANAS BUCALEMU</t>
  </si>
  <si>
    <t>CONSERVACIÓN INFRAESTRUCTURA HOSPITAL DE COINCO</t>
  </si>
  <si>
    <t>NORMALIZACIÓN E INTEGRACIÓN DE SEMÁFOROS SCAT RANCAGUA V ETAPA</t>
  </si>
  <si>
    <t>RESTAURACION CENTRO CULTURAL CASA HODKINSON GRANEROS</t>
  </si>
  <si>
    <t>GRANEROS</t>
  </si>
  <si>
    <t>CONSERVACION CAMINOS BASICOS GRUPO 20, PALMILLA Y CHÉPICA</t>
  </si>
  <si>
    <t>PALMILLA Y CHEPICA</t>
  </si>
  <si>
    <t>CONSTRUCCION PLAZA CONJUNTO LOS MERCEDARIOS, CHIMBARONGO</t>
  </si>
  <si>
    <t>CHIMBARONGO</t>
  </si>
  <si>
    <t>MEJORAMIENTO ESPACIOS PÚBLICOS AV. LA COMPAÑIA ENTRE RUTA H-10 Y ESTERO BENITO, GRANEROS</t>
  </si>
  <si>
    <t>REPOSICION CENTRO DE SALUD FAMILIAR URBANO CHEPICA</t>
  </si>
  <si>
    <t>MEJORAMIENTO PARQUE CERRO EL MANZANO DE LA COMUNA DE QUINTA DE TILCOCO</t>
  </si>
  <si>
    <t>QUINTA DE TILCOCO</t>
  </si>
  <si>
    <t>REPOSICION POSTA RURAL DE CORCOLÉN COMUNA DE MALLOA</t>
  </si>
  <si>
    <t>CONSTRUCCION FACULTAD DE INGENIERÍA UNIVERSIDAD REGIONAL DE O'HIGGINS, CAMPUS RENGO</t>
  </si>
  <si>
    <t>RENGO</t>
  </si>
  <si>
    <t>MEJORAMIENTO AVENIDA DOCTOR MOORE COMUNA DE PAREDONES</t>
  </si>
  <si>
    <t>CONSTRUCCION BASE RESPUESTA RAPIDA CONAF (PLAN REGIONAL) LAS CABRAS</t>
  </si>
  <si>
    <t>LAS CABRAS</t>
  </si>
  <si>
    <t>RESTAURACION IGLESIA NUESTRA SEÑORA DE LA MERCED, COMUNA CODEGUA</t>
  </si>
  <si>
    <t>CODEGUA</t>
  </si>
  <si>
    <t>RESTAURACION PARROQUIA DE SAN NICODEMO DE COINCO</t>
  </si>
  <si>
    <t>REPOSICIÓN LICEO MUNICIPAL - PICHILEMU</t>
  </si>
  <si>
    <t>REPOSICIÓN LICEO CLAUDIO ARRAU LEÓN, DOÑIHUE</t>
  </si>
  <si>
    <t>DOÑIHUE</t>
  </si>
  <si>
    <t>CONSERVACION DE CAMINOS BASICOS GRUPO 29, VARIAS COMUNAS, PROVINCIA DE CARDENAL CARO</t>
  </si>
  <si>
    <t>CARDENAL CARO</t>
  </si>
  <si>
    <t>REPOSICION ESCUELA BASICA DE PORTEZUELO, LARMAHUE, PICHIDEGUA</t>
  </si>
  <si>
    <t>PICHIDEGUA</t>
  </si>
  <si>
    <t>REPOSICION Y AMPLIACION ESCUELA ROMILIO ARELLANO LAS CABRAS</t>
  </si>
  <si>
    <t>CONSERVACIÓN DE CAMINOS BÁSICOS GRUPO 27, VARIAS COMUNAS, PROVINCIA DE CACHAPOAL</t>
  </si>
  <si>
    <t>CACHAPOAL</t>
  </si>
  <si>
    <t>CONSERVACIÓN DE CAMINOS BÁSICOS GRUPO 28, VARIAS COMUNAS, PROVINCIA DE COLCHAGUA</t>
  </si>
  <si>
    <t>CONSERVACION DE CAMINOS BASICOS GLOSA 6 GRUPO 2, VARIAS COMUNAS DE CACHAPOAL</t>
  </si>
  <si>
    <t>CONSERVACION DE CAMINOS BASICOS GLOSA 6 GRUPO 4, VARIAS COMUNAS PROVINCIA DE CARDENAL CARO</t>
  </si>
  <si>
    <t>REPOSICIÓN CUARTEL DE BOMBEROS, 2DA COMPAÑÍA DE ALCONES, MARCHIGUE</t>
  </si>
  <si>
    <t>MARCHIGUE</t>
  </si>
  <si>
    <t>CONSERVACION DE CAMINOS BASICOS GLOSA 6 GRUPO 3, VARIAS COMUNAS PROVINCIA DE COLCHAGUA</t>
  </si>
  <si>
    <t>REPOSICION CESFAM COMUNA PERALILLO</t>
  </si>
  <si>
    <t>REPOSICION CUARTEL CUERPO DE BOMBEROS DE LAS ESTRELLA</t>
  </si>
  <si>
    <t>CONSERVACION DE CAMINOS BASICOS GLOSA 6 GRUPO 5, PROVINCIA CACHAPOAL</t>
  </si>
  <si>
    <t>MEJORAMIENTO Y AMPLIACIÓN SISTEMA APR MEMBRILLO LOS TRICAHUES, LOLOL</t>
  </si>
  <si>
    <t>REPOSICION CON RELOCALIZACIÓN 5TA. COMISARÍA PEUMO</t>
  </si>
  <si>
    <t>NORMALIZACÓN 1ERA COMPAÑÍA BOMBEROS, SAN VICENTE DE TAGUA TAGUA</t>
  </si>
  <si>
    <t>MEJORAMIENTO AVDA ALONSO DE ERCILLA, COMUNA DE RENGO</t>
  </si>
  <si>
    <t>MEJORAMIENTO PAVIMENTOS VARIAS CALLES COMUNA DE PEUMO</t>
  </si>
  <si>
    <t>CONSTRUCCION OFICINA CONJUNTA SERVICIOS DEL TRABAJO EN PICHILEMU</t>
  </si>
  <si>
    <t>MEJORAMIENTO VEREDAS AVENIDA ARTURO PRAT MARCHIGUE</t>
  </si>
  <si>
    <t>ADQUISICIÓN CUARTEL 3era.CIA. CUERPO DE BOMBEROS, NAVIDAD PUPUYA</t>
  </si>
  <si>
    <t>NAVIDAD</t>
  </si>
  <si>
    <t>MEJORAMIENTO PAVIMENTO AVENIDA OHIGGINS, CODEGUA</t>
  </si>
  <si>
    <t>REPOSICIÓN OFICINA REGISTRO CIVIL COMUNA DE LAS CABRAS</t>
  </si>
  <si>
    <t>INSTALACION SEMAFOROS PEATONALES SAN FERNANDO</t>
  </si>
  <si>
    <t>REPOSICION DEL ALUMBRADO PUBLICO RURAL, COMUNA DE MARCHIGUE</t>
  </si>
  <si>
    <t>REPOSICIÒN 8VA COMPAÑÍA DE BOMBEROS, RANCAGUA</t>
  </si>
  <si>
    <t>REPOSICION Y RELOCALIZACION DEL CUARTEL 3ª CIA DE BOMBEROS DE MACHALI</t>
  </si>
  <si>
    <t>CONSERVACION VÍAS URBANAS PROCESO 2017 (EJECUCIÓN 2021)</t>
  </si>
  <si>
    <t>MEJORAMIENTO PAVIMENTO CALLE ESTANCILLA, COMUNA DE CODEGUA</t>
  </si>
  <si>
    <t>CONSTRUCCIÓN PISCINA CENTRO ELIGE VIVIR SANO, COMUNA RANCAGUA</t>
  </si>
  <si>
    <t>CONSTRUCCIÓN POLIDEPORTIVO CENTRO ELIGE VIVIR SANO, COMUNA SANTA CRUZ</t>
  </si>
  <si>
    <t>NORMALIZACION HOSPITAL REGIONAL RANCAGUA</t>
  </si>
  <si>
    <t>CONSTRUCCION CRUCE BAJO NIVEL AV. REPUBLICA DE CHILE - LINEA FERREA</t>
  </si>
  <si>
    <t>MEJORAMIENTO PLAZA DE ARMAS Y ENTORNO COINCO</t>
  </si>
  <si>
    <t xml:space="preserve">NORMALIZACIÓN DE SEMAFOROS REGION DE OHIGGINS IV ETAPA SAN VICENTE </t>
  </si>
  <si>
    <t>MEJORAMIENTO GESTIÓN VIAL Y PEATONAL RENGO</t>
  </si>
  <si>
    <t>REPOSICION ESPACIO PUBLICO DE ZONA DE CONSERVACION HISTORICA, COMUNA DE PUMANQUE</t>
  </si>
  <si>
    <t>MEJORAMIENTO CENTRO CÍVICO COMUNA SANTA CRUZ</t>
  </si>
  <si>
    <t>AMPLIACION RUTA H-27 CARRETERA EL COBRE , RANCAGUA MACHALI</t>
  </si>
  <si>
    <t>RANCAGUA-MACHALI</t>
  </si>
  <si>
    <t>MEJORAMIENTO CALLE RANCAGUA SAN FERNANDO</t>
  </si>
  <si>
    <t>CONSTRUCCION PASEO MIRADOR DEL PACIFICO SECTOR LA BOCA, NAVIDAD</t>
  </si>
  <si>
    <t>CONSERVACION DEFENSAS FLUVIALES RÍO TINGUIRIRICA AÑO 2020, VI REGION FNDR</t>
  </si>
  <si>
    <t>VARIAS</t>
  </si>
  <si>
    <t>MEJORAMIENTO CALLES Y PASAJE VILLA CONVENTO VIEJO, COMUNA DE CHIMBARONGO</t>
  </si>
  <si>
    <t>NORMALIZACION HOSPITAL SAN VICENTE</t>
  </si>
  <si>
    <t>MEJORAMIENTO PARQUE URBANO DE RAPEL, COMUNA DE NAVIDAD</t>
  </si>
  <si>
    <t>MEJORAMIENTO GIMNASIO MUNICIPAL RANQUILHUE -COMUNA PUMANQUE</t>
  </si>
  <si>
    <t>CONSTRUCCION CUARTEL BOMBEROS SEGUNDA COMPAÑÍA CHIMBARONGO</t>
  </si>
  <si>
    <t>REPOSICION TENENCIA DE CARABINEROS PERALILLO, COMUNA DE PERALILLO</t>
  </si>
  <si>
    <t>CONSERVACION CUARTEL POLICIAL RENGO</t>
  </si>
  <si>
    <t>OFERTA Y DEMANDA DE PASAJEROS PARA SERVICIOS FERROVIARIOS REGIONALES</t>
  </si>
  <si>
    <t>DIAGNOSTICO RECARGA DE ACUÍFEROS GESTIONADA, REGIÓN DE O’HIGGINS</t>
  </si>
  <si>
    <t>REPOSICION DE ALUMBRADO PUBLICO INTERIOR, COMUNA DE PICHILEMU</t>
  </si>
  <si>
    <t>CONSERVACION OFICINAS SAG, O'HIGGINS</t>
  </si>
  <si>
    <t>ANALISIS Y DESARRO DEL PLAN MAEST DE GESTIÓN DE TTO. SAN JAVIER</t>
  </si>
  <si>
    <t>SAN JAVIER</t>
  </si>
  <si>
    <t>MEJORAMIENTO PAR VIAL 1 ORIENTE - 2 PONIENTE Y RED CENTRO EN TALCA</t>
  </si>
  <si>
    <t>TALCA</t>
  </si>
  <si>
    <t>REPOSICION C.G.R YERBAS BUENAS.</t>
  </si>
  <si>
    <t>YERBAS BUENAS</t>
  </si>
  <si>
    <t>HABILITACION TEATRO MUNICIPAL CAUQUENES</t>
  </si>
  <si>
    <t>CAUQUENES</t>
  </si>
  <si>
    <t>MEJORAMIENTO EJE MAIPU , J. ESPINOZA Y CARMEN DE LINARES</t>
  </si>
  <si>
    <t>LINARES</t>
  </si>
  <si>
    <t>RESTAURACION PARROQUIA SAN IGNACIO EMPEDRADO</t>
  </si>
  <si>
    <t>EMPEDRADO</t>
  </si>
  <si>
    <t>REPOSICION Y EQUIPAMIENTO SERVICIO MEDICO LEGAL TALCA</t>
  </si>
  <si>
    <t>PROV. TALCA</t>
  </si>
  <si>
    <t xml:space="preserve">                                 </t>
  </si>
  <si>
    <t>MEJORAMIENTO EJES AV.LIRCAY / 9 NORTE TALCA</t>
  </si>
  <si>
    <t>REPOSICION DIRECCION REGIONAL DEL IND REGION MAULE</t>
  </si>
  <si>
    <t xml:space="preserve">CONSTRUCCION CENTRO CULTURAL Y SOCIAL DEPORTISTA MAYOR </t>
  </si>
  <si>
    <t>MEJORAMIENTO INTEGRAL DE ACERAS SECTOR 1, TALCA</t>
  </si>
  <si>
    <t>MEJORAMIENTO INTEGRAL DE ACERAS SECTOR 9, TALCA</t>
  </si>
  <si>
    <t>RESTAURACION ESCUELA PRESIDENTE JOSÉ MANUEL BALMACEDA CURICO</t>
  </si>
  <si>
    <t>CURICO</t>
  </si>
  <si>
    <t>RESTAURACION Y PUESTA EN VALOR VILLA CULTURAL HUILQUILEMU. TALCA</t>
  </si>
  <si>
    <t>RESTAURACION Y PUESTA EN VALOR INTENDENCIA REGIONAL DEL MAULE-TALCA</t>
  </si>
  <si>
    <t>MEJORAMIENTO GIMNASIO MUNICIPAL, EMPEDRADO</t>
  </si>
  <si>
    <t>REPOSICION TEATRO MUNICIPAL,CONSTITUCION</t>
  </si>
  <si>
    <t>CONSTITUCION</t>
  </si>
  <si>
    <t>30-06-202</t>
  </si>
  <si>
    <t>CONSTRUCCION PISCINA TEMPERADA DE TALCA</t>
  </si>
  <si>
    <t>CONSTRUCCION POLIDEPORTIVO PARA LA COMUNA DE TENO</t>
  </si>
  <si>
    <t>TENO</t>
  </si>
  <si>
    <t>CONSTRUCCION ESTACIÓN TRANSFERENCIA RESIDUOS SÓLIDOS,CONSTITUCION.</t>
  </si>
  <si>
    <t>REPARACION MAYOR SANTUARIO EL CARMEN CURICO</t>
  </si>
  <si>
    <t>REPOSICION Y AMPLIACION HOGAR DE ANCIANOS SAN CAMILO, LINARES</t>
  </si>
  <si>
    <t>CONSTRUCCION CAMPAMENTOS INVERNALES DE VIALIDAD PASO PEHUENCHE</t>
  </si>
  <si>
    <t>CONSTRUCCION POLIDEPORTIVO COMUNA YERBAS BUENAS</t>
  </si>
  <si>
    <t>RESTAURACION Y PUESTA EN VALOR LICEO VIEJO DE TENO</t>
  </si>
  <si>
    <t>REPOSICION CONSULTORIO RURAL DE PENCAHUE</t>
  </si>
  <si>
    <t>PENCAHUE</t>
  </si>
  <si>
    <t>MEJORAMIENTO MANUEL RODRÍGUEZ Y CALLE EL BOSQUE, LINARES</t>
  </si>
  <si>
    <t>MEJORAMIENTO EJE AVENIDA DIEGO PORTALES 2° ETAPA, CURICO</t>
  </si>
  <si>
    <t>MEJORAMIENTO Y AMPLIACIÓN SERVICIO APR LA CHIRIPA, COLBUN</t>
  </si>
  <si>
    <t>COLBUN</t>
  </si>
  <si>
    <t>MEJORAMIENTO ACCESIBILIDAD SECTOR CAMINO A ZAPALLAR, CURICO</t>
  </si>
  <si>
    <t>NORMALIZACION CON EQUIPAMIENTO ESCUELA CARLOS SALINAS LAGOS, TALCA</t>
  </si>
  <si>
    <t>NORMALIZACION CON EQUIP ESC. JOSE MANUEL BALMACEDA Y FERNÁNDEZ, TALCA</t>
  </si>
  <si>
    <t>CONSTRUCCION SISTEMA APR EL PEÑASCO-LLEPO, LINARES</t>
  </si>
  <si>
    <t>REPOSICION ALUMBRADO PUBLICO, COMUNA VICHUQUEN</t>
  </si>
  <si>
    <t>VICHUQUEN</t>
  </si>
  <si>
    <t>31-06-2021</t>
  </si>
  <si>
    <t>CONSTRUCCION CIERRE VERTEDERO MUNICIPAL COMUNA DE RIO CLARO</t>
  </si>
  <si>
    <t>RIO CLARO</t>
  </si>
  <si>
    <t>CONSERVACION EDIFICIO SECREDUC REGIÓN DEL MAULE</t>
  </si>
  <si>
    <t>RESTAURACION MERCADO CENTRAL MUNICIPAL DE TALCA</t>
  </si>
  <si>
    <t>CONSTRUCCION CENTRO DE SALUD FAMILIAR MOLINA</t>
  </si>
  <si>
    <t>MOLINA</t>
  </si>
  <si>
    <t>AMPLIACION Y NORMALIZACION  CEMENTERIO MUNICIPAL COLIN,  MAULE</t>
  </si>
  <si>
    <t>MAULE</t>
  </si>
  <si>
    <t>CONSTRUCCION POSTA DE SALUD RURAL SEMILLERO, COMUNA DE YERBAS BUENAS</t>
  </si>
  <si>
    <t>CONSTRUCCION POSTA DE SALUD RURAL PALMA ROSA, COMUNA DE PARRAL</t>
  </si>
  <si>
    <t>PARRAL</t>
  </si>
  <si>
    <t>REPOSICION CON RELOCALIZACION PSR SAN ALEJO, COMUNA DE PARRAL</t>
  </si>
  <si>
    <t>REPOSICION CON AMPLIACIÓN LICEO ENTRE RIOS, SAN CLEMENTE</t>
  </si>
  <si>
    <t>SAN CLEMENTE</t>
  </si>
  <si>
    <t>CONSTRUCCION SISTEMA DE EVAC, DE A.LL. COLECTOR CHOAPA-LOA, CURICÓ</t>
  </si>
  <si>
    <t>CONSTRUCCION PASO BAJO NIVEL 6 SUR Y OBRAS COMPL PAR VIAL TALCA</t>
  </si>
  <si>
    <t>CONSTRUCCION ESTADIO PAHUIL COMUNA DE CHANCO</t>
  </si>
  <si>
    <t>CHANCO</t>
  </si>
  <si>
    <t>REPOSICION ALUMBRADO PUBLICO COMUNA DE PARRAL</t>
  </si>
  <si>
    <t>CONSERVACION CCBB RUTAS L-409 y L-335, COMUNAS DE LINARES Y COLBUN</t>
  </si>
  <si>
    <t>PROV. LINARES</t>
  </si>
  <si>
    <t>CONSERVACION CCBB RUTA J-680, TRAMO KM. 16,0 AL KM. 21,1, COMUNA DE RAUCO</t>
  </si>
  <si>
    <t>RAUCO</t>
  </si>
  <si>
    <t>MEJORAMIENTO PLAZA POBLACION ARRAU MENDEZ, PARRAL</t>
  </si>
  <si>
    <t>CONSERVACION DE VÍAS URBANAS, VARIOS SECTORES COMUNA DE LICANTEN</t>
  </si>
  <si>
    <t>LICANTEN</t>
  </si>
  <si>
    <t>CONSERVACION DE VÍAS URBANAS, VARIOS SECTORES COMUNA CURICO, LINEA 1</t>
  </si>
  <si>
    <t>CONSERVACION DE VÍAS URBANAS, VARIOS SECTORES COMUNA DE MOLINA</t>
  </si>
  <si>
    <t>CONSERVACION DE VIAS URBANAS, VARIOS SECTORES COMUNA TALCA, LINEA 1</t>
  </si>
  <si>
    <t>CONSERVACION DE VÍAS URBANAS, VARIOS SECTORES COMUNA DE RÍO CLARO</t>
  </si>
  <si>
    <t>CONSERVACION DE VIAS URBANAS, COMITE ABATE MOLINA Nº 14, COMUNA DE TALCA</t>
  </si>
  <si>
    <t>MEJORAMIENTO ACCESO NORTE Y CENTRO, SAN CLEMENTE</t>
  </si>
  <si>
    <t>MEJORAMIENTO PAVIMENTO CALZADA CALLE CIRO BOETTO, LICANTÉN</t>
  </si>
  <si>
    <t>17-06-202</t>
  </si>
  <si>
    <t>REPOSICION COMPLEJO POLICIAL PDI CURICO</t>
  </si>
  <si>
    <t>CONSTRUCCION PAVIMENTOS EN VILLA SAN DOMINGO DE SAN MANUEL</t>
  </si>
  <si>
    <t>CONSERVACION CCBB RUTAS K-420, K-540, SK-279 Y K-260, COMUNA DE PENCAHUE</t>
  </si>
  <si>
    <t>CONSERVACION RUTA L-621, TRAMO KM. 0.0 AL KM. 9.45, COMUNA DE RETIRO</t>
  </si>
  <si>
    <t>RETIRO</t>
  </si>
  <si>
    <t>CONSTRUCCION DE CALZADAS Y ACERAS  EN NIRIVILO URBANO, COMUNA DE SAN JAVIER</t>
  </si>
  <si>
    <t>MEJORAMIENTO BANDEJÓN CENTRAL AVENIDA  LEÓN BUSTOS, LINARES</t>
  </si>
  <si>
    <t>CONSTRUCCION Y HABILITACIÓN  SALA CUNA Y JARDÍN INFANTIL LOS CHIQUITINES, TALCA.</t>
  </si>
  <si>
    <t>CONSERVACION CCBB RUTAS J-546, SR019 Y J-699, COMUNA DE CURICO</t>
  </si>
  <si>
    <t>CONSERVACION CCBB RUTA L-830, TRAMO KM. 0,0 AL KM. 11,244, COMUNA DE PARRAL</t>
  </si>
  <si>
    <t>REPOSICION CUARTEL 7º COMPAÑIA DE BOMBEROS DE TALCA</t>
  </si>
  <si>
    <t>CONSERVACION CCBB RUTAS K-579 Y K-551, COMUNA DE SAN CLEMENTE</t>
  </si>
  <si>
    <t>CONSTRUCCION SISTEMA ALUMBRADO PÚBLICO VARIOS SECTORES, SAN CLEMENTE</t>
  </si>
  <si>
    <t>CONSERVACION RUTA SK-475, MAITENES INTERIOR, COMUNA DE RIO CLARO</t>
  </si>
  <si>
    <t>AMPLIACION CENTRO DE REINSERCIÓN SOCIAL DE  TALCA</t>
  </si>
  <si>
    <t>CONSERVACION RUTA L-810, TRAMO KM. 9.70 AL KM. 19.40, COMUNA DE PARRAL</t>
  </si>
  <si>
    <t>CONSERVACION RUTA L-870, TRAMO KM. 0.00 AL KM. 5.50, COMUNA DE PARRAL</t>
  </si>
  <si>
    <t>MEJORAMIENTO CALLE SILVESTRE URIZAR, SAN CLEMENTE</t>
  </si>
  <si>
    <t>CONSERVACION DIVERSOS CALLEJONES DE LA COMUNA DE COLBUN</t>
  </si>
  <si>
    <t>CONSERVACION UNIDAD ONCOLOGÍA AMBULATORIA HOSPITAL REGIONAL DE TALCA, SSMAULE</t>
  </si>
  <si>
    <t>CONSTRUCCION PAVIMENTOS VILLA SAN LUIS DE ALQUIHUE, COMUNA DE SAN JAVIER</t>
  </si>
  <si>
    <t>MEJORAMIENTO BANDEJON 30 ORIENTE ENTRE CALLES 4 Y 8 SUR, TALCA.</t>
  </si>
  <si>
    <t>CONSTRUCCION SEDE ORGANIZACIONES COMUNITARIAS DE PENCAHUE</t>
  </si>
  <si>
    <t>CONSERVACION PAVIMENTO CALZADAS Y VEREDAS SECTOR RODOVIARIO, TALCA</t>
  </si>
  <si>
    <t>MEJORAMIENTO CALLE N°14, PELLUHUE</t>
  </si>
  <si>
    <t>PELLUHUE</t>
  </si>
  <si>
    <t>MEJORAMIENTO CALLE DE SERVICIO COSTANERA DE PELLUHUE</t>
  </si>
  <si>
    <t>CONSERVACION ESTADIO FISCAL MANUEL MOYA MEDEL, CAUQUENES</t>
  </si>
  <si>
    <t>CONSTRUCCION MUELLE CANOTAJE CONSTITUCION</t>
  </si>
  <si>
    <t>CONSERVACION DE VÍAS URBANAS, SECTOR ABATE MOLINA, COMUNA DE TALCA</t>
  </si>
  <si>
    <t>CONSERVACION CALLEJONES SECTOR NORTE DE LA COMUNA DE COLBÚN</t>
  </si>
  <si>
    <t>MEJORAMIENTO CBI RUTA J-850, SECTOR VILLA LOS CULENES, KM. 0,0 AL 0,547; COMUNA DE VICHUQUEN</t>
  </si>
  <si>
    <t>CONSERVACION DE VÍAS URBANAS, SECTOR SUR ORIENTE, COMUNA DE  TALCA</t>
  </si>
  <si>
    <t>CONSERVACION DE VÍAS URBANAS, SECTOR SUR PONIENTE, COMUNA DE  TALCA</t>
  </si>
  <si>
    <t>MEJORAMIENTO RUTA J-25, SECTOR EL MANZANO, TRAMO KM. 18,77 AL KM. 23,77; PROVINCIA DE CURICO</t>
  </si>
  <si>
    <t>MEJORAMIENTO INTEGRAL DE ACERAS SECTOR 12-A, TALCA</t>
  </si>
  <si>
    <t>RESTAURACION TEMPLO CENTENARIO CORAZÓN DE MARÍA DE LINARES</t>
  </si>
  <si>
    <t>CONSTRUCCION PISCINA TEMPERADA, SAN CLEMENTE</t>
  </si>
  <si>
    <t>CONSTRUCCION SOLUCIONES SANITARIAS SECTOR CATILLO, PARRAL</t>
  </si>
  <si>
    <t>CONSTRUCCION PARQUE URBANO B. OHIGGINS RETIRO</t>
  </si>
  <si>
    <t>REPOSICION CON RELOCALIZACIÓN TENENCIA SARMIENTO, COMUNA CURICÓ</t>
  </si>
  <si>
    <t>CONSTRUCCION CUARTEL SEGUNDA COMPAÑIA DE BOMBEROS CONSTITUCION</t>
  </si>
  <si>
    <t>RESTAURACION PARROQUIA SAN LUIS DE GONZAGA DE SAUZAL</t>
  </si>
  <si>
    <t>MEJORAMIENTO INTEGRAL DE ACERAS SECTOR 12-B, TALCA</t>
  </si>
  <si>
    <t>CONSTRUCCION CENTRO COMUNITARIO UNION COMUNAL ADULTO MAYOR, MAULE</t>
  </si>
  <si>
    <t>AMPLIACION Y NORMALIZACION ESTADIO LA GRANJA, CURICÓ</t>
  </si>
  <si>
    <t>CONSERVACION DE VIAS URBANAS, VARIOS SECTORES COMUNA DE CHANCO, LINEA 2</t>
  </si>
  <si>
    <t>CONSERVACION CALLEJONES STA ISABEL, LOS ROBLES Y AJIAL MANZANO, RETIRO</t>
  </si>
  <si>
    <t>CONSERVACION DE VIAS URBANAS, VARIOS SECTORES, COMUNA DE SAN JAVIER</t>
  </si>
  <si>
    <t>CONSERVACION DE ViAS URBANAS, VARIOS SECTORES COMUNA SAGRADA FAMILIA</t>
  </si>
  <si>
    <t>SAGRADA FAMILIA</t>
  </si>
  <si>
    <t>ANALISIS OFERTA Y DEMANDA DE PASAJEROS PARA SERVICIOS FERROVIARIOS REGIONALES ZONA CENTRO</t>
  </si>
  <si>
    <t>DEL MAULE</t>
  </si>
  <si>
    <t>N° Resolución
003</t>
  </si>
  <si>
    <t>Fecha Resolución     21 01 2021</t>
  </si>
  <si>
    <t>Fecha de Toma de Razón            25 01 2021</t>
  </si>
  <si>
    <t>N° Resolución
009</t>
  </si>
  <si>
    <t>Fecha Resolución     17 02 2021</t>
  </si>
  <si>
    <t>Fecha de Toma de Razón       22 02 2021</t>
  </si>
  <si>
    <t>N° Resolución
013</t>
  </si>
  <si>
    <t>Fecha Resolución     22 03 2021</t>
  </si>
  <si>
    <t>Fecha de Toma de Razón            26 03 2021</t>
  </si>
  <si>
    <t>N° Resolución
011</t>
  </si>
  <si>
    <t>Fecha Resolución 15 03 2021</t>
  </si>
  <si>
    <t>Fecha de Toma de Razón 22 03 2021</t>
  </si>
  <si>
    <t>N° Resolución
014</t>
  </si>
  <si>
    <t>Fecha Resolución 24 03 2021</t>
  </si>
  <si>
    <t>Fecha de Toma de Razón 31 03 2021</t>
  </si>
  <si>
    <t>N° Resolución
018</t>
  </si>
  <si>
    <t>Fecha Resolución   22 04 2021</t>
  </si>
  <si>
    <t>Fecha de Toma de Razón   28 04 2021</t>
  </si>
  <si>
    <t>N° Resolución
023</t>
  </si>
  <si>
    <t>Fecha Resolución  05 05 2021</t>
  </si>
  <si>
    <t>Fecha de Toma de Razón  10 05 2021</t>
  </si>
  <si>
    <t>N° Resolución
025</t>
  </si>
  <si>
    <t>Fecha Resolución   13 05 2021</t>
  </si>
  <si>
    <t>Fecha de Toma de Razón  19 05 2021</t>
  </si>
  <si>
    <t>N° Resolución
026</t>
  </si>
  <si>
    <t>Fecha Resolución   28 05 2021</t>
  </si>
  <si>
    <t>Fecha de Toma de Razón   07 06 2021</t>
  </si>
  <si>
    <t>N° Resolución
028</t>
  </si>
  <si>
    <t>Fecha Resolución   16 06 2021</t>
  </si>
  <si>
    <t xml:space="preserve">Fecha de Toma de Razón   </t>
  </si>
  <si>
    <t>N° Resolución
17</t>
  </si>
  <si>
    <t>Fecha Resolución   15 04/2021</t>
  </si>
  <si>
    <t>Fecha de Toma de Razón    26 04 2021</t>
  </si>
  <si>
    <t>N° Resolución
 27</t>
  </si>
  <si>
    <t>Fecha Resolución   03 06 2021</t>
  </si>
  <si>
    <t>Fecha de Toma de Razón   08 06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</si>
</sst>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3" formatCode="_-* #,##0.00_-;\-* #,##0.00_-;_-* &quot;-&quot;??_-;_-@_-"/>
    <numFmt numFmtId="164" formatCode="_ * #,##0_ ;_ * \-#,##0_ ;_ * &quot;-&quot;_ ;_ @_ "/>
    <numFmt numFmtId="165" formatCode="_-* #,##0_-;\-* #,##0_-;_-* &quot;-&quot;??_-;_-@_-"/>
    <numFmt numFmtId="166" formatCode="0.00_)"/>
    <numFmt numFmtId="167" formatCode="0_)"/>
    <numFmt numFmtId="168" formatCode="dd/mm/yyyy;@"/>
    <numFmt numFmtId="169" formatCode="#,##0;\(#,##0\)"/>
    <numFmt numFmtId="170" formatCode="#,##0_ ;\-#,##0\ "/>
    <numFmt numFmtId="171" formatCode="#,##0_ ;[Red]\-#,##0\ "/>
    <numFmt numFmtId="172" formatCode="dd\-mm\-yyyy;@"/>
    <numFmt numFmtId="173" formatCode="_-* #,##0.00\ _€_-;\-* #,##0.00\ _€_-;_-* &quot;-&quot;??\ _€_-;_-@_-"/>
    <numFmt numFmtId="174" formatCode="_-* #,##0\ _€_-;\-* #,##0\ _€_-;_-* &quot;-&quot;??\ _€_-;_-@_-"/>
    <numFmt numFmtId="175" formatCode="_(* #,##0_);_(* \(#,##0\);_(* &quot;-&quot;??_);_(@_)"/>
  </numFmts>
  <fonts count="4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8"/>
      <color rgb="FF000000"/>
      <name val="Calibri"/>
      <family val="2"/>
    </font>
    <font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rgb="FF000000"/>
      <name val="Calibri"/>
      <family val="2"/>
    </font>
    <font>
      <sz val="8"/>
      <name val="Calibri"/>
      <family val="2"/>
      <scheme val="minor"/>
    </font>
    <font>
      <sz val="8"/>
      <name val="Arial"/>
      <family val="2"/>
    </font>
    <font>
      <b/>
      <sz val="11"/>
      <color rgb="FF9C6500"/>
      <name val="Calibri"/>
      <family val="2"/>
      <scheme val="minor"/>
    </font>
    <font>
      <b/>
      <sz val="11"/>
      <color rgb="FF000000"/>
      <name val="Calibri"/>
      <family val="2"/>
    </font>
    <font>
      <sz val="9"/>
      <name val="Calibri"/>
      <family val="2"/>
      <scheme val="minor"/>
    </font>
    <font>
      <sz val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rgb="FF3F3F76"/>
      <name val="Calibri"/>
      <family val="2"/>
      <scheme val="minor"/>
    </font>
    <font>
      <b/>
      <sz val="8"/>
      <name val="Calibri"/>
      <family val="2"/>
    </font>
    <font>
      <sz val="8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</font>
    <font>
      <sz val="12"/>
      <color rgb="FF3F3F76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000000"/>
      <name val="Calibri"/>
      <family val="2"/>
    </font>
    <font>
      <sz val="9"/>
      <color theme="1"/>
      <name val="Calibri"/>
      <family val="2"/>
    </font>
    <font>
      <sz val="9"/>
      <color rgb="FF000000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9"/>
      <color rgb="FF9C6500"/>
      <name val="Calibri"/>
      <family val="2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</font>
    <font>
      <b/>
      <sz val="8"/>
      <color theme="1"/>
      <name val="Calibri"/>
      <family val="2"/>
    </font>
    <font>
      <b/>
      <sz val="8"/>
      <color rgb="FF000000"/>
      <name val="Calibri"/>
      <family val="2"/>
      <scheme val="minor"/>
    </font>
    <font>
      <b/>
      <sz val="8"/>
      <color rgb="FF9C6500"/>
      <name val="Calibri"/>
      <family val="2"/>
      <scheme val="minor"/>
    </font>
    <font>
      <sz val="9"/>
      <name val="Arial"/>
      <family val="2"/>
    </font>
    <font>
      <b/>
      <sz val="9"/>
      <color rgb="FF9C650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4"/>
      <color theme="1"/>
      <name val="Calibri"/>
      <family val="2"/>
      <scheme val="minor"/>
    </font>
    <font>
      <sz val="8"/>
      <color theme="1" tint="4.9989318521683403E-2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Arial Narrow"/>
      <family val="2"/>
    </font>
  </fonts>
  <fills count="11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C99"/>
      </patternFill>
    </fill>
    <fill>
      <patternFill patternType="solid">
        <fgColor rgb="FFFFFF00"/>
        <bgColor indexed="64"/>
      </patternFill>
    </fill>
    <fill>
      <patternFill patternType="solid">
        <fgColor rgb="FFFFFFFF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/>
      <right style="thin">
        <color indexed="64"/>
      </right>
      <top style="thin">
        <color rgb="FF999999"/>
      </top>
      <bottom/>
      <diagonal/>
    </border>
    <border>
      <left style="thin">
        <color indexed="64"/>
      </left>
      <right style="thin">
        <color indexed="64"/>
      </right>
      <top style="thin">
        <color rgb="FF999999"/>
      </top>
      <bottom/>
      <diagonal/>
    </border>
    <border>
      <left style="thin">
        <color indexed="64"/>
      </left>
      <right style="thin">
        <color indexed="64"/>
      </right>
      <top style="thin">
        <color rgb="FF999999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0" fontId="2" fillId="2" borderId="0" applyNumberFormat="0" applyBorder="0" applyAlignment="0" applyProtection="0"/>
    <xf numFmtId="0" fontId="1" fillId="3" borderId="0" applyNumberFormat="0" applyBorder="0" applyAlignment="0" applyProtection="0"/>
    <xf numFmtId="43" fontId="1" fillId="0" borderId="0" applyFont="0" applyFill="0" applyBorder="0" applyAlignment="0" applyProtection="0"/>
    <xf numFmtId="166" fontId="16" fillId="0" borderId="0"/>
    <xf numFmtId="0" fontId="17" fillId="0" borderId="0"/>
    <xf numFmtId="0" fontId="18" fillId="0" borderId="0"/>
    <xf numFmtId="164" fontId="1" fillId="0" borderId="0" applyFont="0" applyFill="0" applyBorder="0" applyAlignment="0" applyProtection="0"/>
    <xf numFmtId="0" fontId="19" fillId="8" borderId="6" applyNumberFormat="0" applyAlignment="0" applyProtection="0"/>
    <xf numFmtId="0" fontId="17" fillId="0" borderId="0"/>
    <xf numFmtId="0" fontId="17" fillId="0" borderId="0"/>
    <xf numFmtId="173" fontId="1" fillId="0" borderId="0" applyFont="0" applyFill="0" applyBorder="0" applyAlignment="0" applyProtection="0"/>
  </cellStyleXfs>
  <cellXfs count="793">
    <xf numFmtId="0" fontId="0" fillId="0" borderId="0" xfId="0"/>
    <xf numFmtId="3" fontId="5" fillId="0" borderId="0" xfId="0" applyNumberFormat="1" applyFont="1" applyAlignment="1">
      <alignment horizontal="center" vertical="center" wrapText="1"/>
    </xf>
    <xf numFmtId="1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wrapText="1"/>
    </xf>
    <xf numFmtId="3" fontId="5" fillId="0" borderId="0" xfId="0" applyNumberFormat="1" applyFont="1" applyAlignment="1">
      <alignment horizontal="left" vertical="top" wrapText="1"/>
    </xf>
    <xf numFmtId="1" fontId="5" fillId="0" borderId="0" xfId="0" applyNumberFormat="1" applyFont="1" applyAlignment="1">
      <alignment horizontal="left" vertical="top" wrapText="1"/>
    </xf>
    <xf numFmtId="3" fontId="5" fillId="0" borderId="0" xfId="0" applyNumberFormat="1" applyFont="1" applyAlignment="1">
      <alignment wrapText="1"/>
    </xf>
    <xf numFmtId="1" fontId="5" fillId="0" borderId="0" xfId="0" applyNumberFormat="1" applyFont="1" applyAlignment="1">
      <alignment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3" fontId="8" fillId="0" borderId="3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0" fontId="5" fillId="0" borderId="0" xfId="0" applyFont="1" applyAlignment="1">
      <alignment vertical="center" wrapText="1"/>
    </xf>
    <xf numFmtId="0" fontId="11" fillId="5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3" fontId="11" fillId="0" borderId="3" xfId="0" applyNumberFormat="1" applyFont="1" applyBorder="1" applyAlignment="1">
      <alignment vertical="center" wrapText="1"/>
    </xf>
    <xf numFmtId="1" fontId="5" fillId="0" borderId="3" xfId="0" applyNumberFormat="1" applyFont="1" applyBorder="1" applyAlignment="1">
      <alignment horizontal="center" vertical="center" wrapText="1"/>
    </xf>
    <xf numFmtId="3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3" fontId="7" fillId="0" borderId="3" xfId="0" applyNumberFormat="1" applyFont="1" applyBorder="1" applyAlignment="1">
      <alignment vertical="center"/>
    </xf>
    <xf numFmtId="14" fontId="5" fillId="0" borderId="3" xfId="0" applyNumberFormat="1" applyFont="1" applyBorder="1" applyAlignment="1">
      <alignment horizontal="center" vertical="center" wrapText="1"/>
    </xf>
    <xf numFmtId="3" fontId="13" fillId="2" borderId="3" xfId="1" applyNumberFormat="1" applyFont="1" applyBorder="1" applyAlignment="1">
      <alignment vertical="center"/>
    </xf>
    <xf numFmtId="14" fontId="5" fillId="0" borderId="3" xfId="0" applyNumberFormat="1" applyFont="1" applyBorder="1" applyAlignment="1">
      <alignment horizontal="left" vertical="center" wrapText="1"/>
    </xf>
    <xf numFmtId="3" fontId="4" fillId="0" borderId="3" xfId="0" applyNumberFormat="1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/>
    </xf>
    <xf numFmtId="0" fontId="1" fillId="3" borderId="3" xfId="2" applyBorder="1" applyAlignment="1">
      <alignment horizontal="center" vertical="center" wrapText="1"/>
    </xf>
    <xf numFmtId="0" fontId="0" fillId="3" borderId="3" xfId="2" applyFont="1" applyBorder="1" applyAlignment="1">
      <alignment horizontal="center" vertical="center" wrapText="1"/>
    </xf>
    <xf numFmtId="0" fontId="3" fillId="3" borderId="3" xfId="2" applyFont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1" fontId="7" fillId="6" borderId="3" xfId="0" applyNumberFormat="1" applyFont="1" applyFill="1" applyBorder="1" applyAlignment="1">
      <alignment horizontal="center" vertical="center" wrapText="1"/>
    </xf>
    <xf numFmtId="0" fontId="7" fillId="7" borderId="3" xfId="0" applyFont="1" applyFill="1" applyBorder="1" applyAlignment="1">
      <alignment horizontal="center" vertical="center" wrapText="1"/>
    </xf>
    <xf numFmtId="3" fontId="7" fillId="7" borderId="3" xfId="0" applyNumberFormat="1" applyFont="1" applyFill="1" applyBorder="1" applyAlignment="1">
      <alignment horizontal="center" vertical="center" wrapText="1"/>
    </xf>
    <xf numFmtId="0" fontId="14" fillId="7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1" fontId="11" fillId="0" borderId="3" xfId="4" applyNumberFormat="1" applyFont="1" applyBorder="1" applyAlignment="1">
      <alignment horizontal="center" vertical="center"/>
    </xf>
    <xf numFmtId="166" fontId="11" fillId="0" borderId="3" xfId="4" applyFont="1" applyBorder="1" applyAlignment="1">
      <alignment horizontal="left" vertical="center" wrapText="1"/>
    </xf>
    <xf numFmtId="0" fontId="11" fillId="0" borderId="3" xfId="0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/>
    </xf>
    <xf numFmtId="165" fontId="11" fillId="5" borderId="3" xfId="3" applyNumberFormat="1" applyFont="1" applyFill="1" applyBorder="1" applyAlignment="1">
      <alignment horizontal="left" vertical="center" wrapText="1" indent="3"/>
    </xf>
    <xf numFmtId="3" fontId="4" fillId="0" borderId="3" xfId="0" applyNumberFormat="1" applyFont="1" applyBorder="1" applyAlignment="1">
      <alignment horizontal="right" vertical="center"/>
    </xf>
    <xf numFmtId="3" fontId="9" fillId="0" borderId="3" xfId="0" applyNumberFormat="1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2" fillId="0" borderId="3" xfId="0" applyFont="1" applyBorder="1" applyAlignment="1">
      <alignment horizontal="center" vertical="center"/>
    </xf>
    <xf numFmtId="0" fontId="13" fillId="2" borderId="3" xfId="1" applyFont="1" applyBorder="1" applyAlignment="1">
      <alignment horizontal="center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3" fontId="11" fillId="0" borderId="3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165" fontId="5" fillId="0" borderId="0" xfId="3" applyNumberFormat="1" applyFont="1" applyAlignment="1">
      <alignment wrapText="1"/>
    </xf>
    <xf numFmtId="165" fontId="5" fillId="0" borderId="0" xfId="0" applyNumberFormat="1" applyFont="1" applyAlignment="1">
      <alignment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0" fontId="4" fillId="5" borderId="0" xfId="0" applyFont="1" applyFill="1" applyAlignment="1" applyProtection="1">
      <alignment horizontal="center" vertical="center" wrapText="1"/>
      <protection locked="0"/>
    </xf>
    <xf numFmtId="0" fontId="5" fillId="5" borderId="0" xfId="0" applyFont="1" applyFill="1" applyAlignment="1" applyProtection="1">
      <alignment horizontal="center" vertical="center" wrapText="1"/>
      <protection locked="0"/>
    </xf>
    <xf numFmtId="3" fontId="5" fillId="5" borderId="0" xfId="0" applyNumberFormat="1" applyFont="1" applyFill="1" applyAlignment="1" applyProtection="1">
      <alignment horizontal="center" vertical="center" wrapText="1"/>
      <protection locked="0"/>
    </xf>
    <xf numFmtId="1" fontId="5" fillId="5" borderId="0" xfId="0" applyNumberFormat="1" applyFont="1" applyFill="1" applyAlignment="1" applyProtection="1">
      <alignment horizontal="center" vertical="center" wrapText="1"/>
      <protection locked="0"/>
    </xf>
    <xf numFmtId="0" fontId="5" fillId="5" borderId="0" xfId="0" applyFont="1" applyFill="1" applyAlignment="1" applyProtection="1">
      <alignment wrapText="1"/>
      <protection locked="0"/>
    </xf>
    <xf numFmtId="0" fontId="5" fillId="5" borderId="0" xfId="0" applyFont="1" applyFill="1" applyAlignment="1" applyProtection="1">
      <alignment horizontal="left" vertical="top" wrapText="1"/>
      <protection locked="0"/>
    </xf>
    <xf numFmtId="3" fontId="5" fillId="5" borderId="0" xfId="0" applyNumberFormat="1" applyFont="1" applyFill="1" applyAlignment="1" applyProtection="1">
      <alignment horizontal="left" vertical="top" wrapText="1"/>
      <protection locked="0"/>
    </xf>
    <xf numFmtId="1" fontId="5" fillId="5" borderId="0" xfId="0" applyNumberFormat="1" applyFont="1" applyFill="1" applyAlignment="1" applyProtection="1">
      <alignment horizontal="left" vertical="top" wrapText="1"/>
      <protection locked="0"/>
    </xf>
    <xf numFmtId="0" fontId="6" fillId="5" borderId="0" xfId="0" applyFont="1" applyFill="1" applyAlignment="1" applyProtection="1">
      <alignment horizontal="center" vertical="center" wrapText="1"/>
      <protection locked="0"/>
    </xf>
    <xf numFmtId="3" fontId="5" fillId="5" borderId="0" xfId="0" applyNumberFormat="1" applyFont="1" applyFill="1" applyAlignment="1" applyProtection="1">
      <alignment wrapText="1"/>
      <protection locked="0"/>
    </xf>
    <xf numFmtId="1" fontId="5" fillId="5" borderId="0" xfId="0" applyNumberFormat="1" applyFont="1" applyFill="1" applyAlignment="1" applyProtection="1">
      <alignment wrapText="1"/>
      <protection locked="0"/>
    </xf>
    <xf numFmtId="0" fontId="7" fillId="5" borderId="0" xfId="0" applyFont="1" applyFill="1" applyBorder="1" applyAlignment="1" applyProtection="1">
      <alignment horizontal="center" vertical="center" wrapText="1"/>
      <protection locked="0"/>
    </xf>
    <xf numFmtId="0" fontId="8" fillId="5" borderId="0" xfId="0" applyFont="1" applyFill="1" applyBorder="1" applyAlignment="1" applyProtection="1">
      <alignment horizontal="center" vertical="center" wrapText="1"/>
      <protection locked="0"/>
    </xf>
    <xf numFmtId="3" fontId="6" fillId="5" borderId="0" xfId="0" applyNumberFormat="1" applyFont="1" applyFill="1" applyAlignment="1" applyProtection="1">
      <alignment horizontal="center" vertical="center" wrapText="1"/>
      <protection locked="0"/>
    </xf>
    <xf numFmtId="0" fontId="5" fillId="5" borderId="0" xfId="0" applyFont="1" applyFill="1" applyAlignment="1" applyProtection="1">
      <alignment horizontal="center" wrapText="1"/>
      <protection locked="0"/>
    </xf>
    <xf numFmtId="0" fontId="8" fillId="5" borderId="0" xfId="0" applyFont="1" applyFill="1" applyAlignment="1" applyProtection="1">
      <alignment wrapText="1"/>
      <protection locked="0"/>
    </xf>
    <xf numFmtId="0" fontId="8" fillId="5" borderId="0" xfId="0" applyFont="1" applyFill="1" applyAlignment="1" applyProtection="1">
      <alignment horizontal="center" wrapText="1"/>
      <protection locked="0"/>
    </xf>
    <xf numFmtId="0" fontId="3" fillId="7" borderId="11" xfId="0" applyFont="1" applyFill="1" applyBorder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 wrapText="1"/>
    </xf>
    <xf numFmtId="0" fontId="20" fillId="4" borderId="12" xfId="0" applyFont="1" applyFill="1" applyBorder="1" applyAlignment="1">
      <alignment horizontal="center" vertical="center" wrapText="1"/>
    </xf>
    <xf numFmtId="0" fontId="7" fillId="6" borderId="12" xfId="0" applyFont="1" applyFill="1" applyBorder="1" applyAlignment="1">
      <alignment horizontal="center" vertical="center" wrapText="1"/>
    </xf>
    <xf numFmtId="1" fontId="7" fillId="6" borderId="12" xfId="0" applyNumberFormat="1" applyFont="1" applyFill="1" applyBorder="1" applyAlignment="1">
      <alignment horizontal="center" vertical="center" wrapText="1"/>
    </xf>
    <xf numFmtId="0" fontId="7" fillId="7" borderId="12" xfId="0" applyFont="1" applyFill="1" applyBorder="1" applyAlignment="1">
      <alignment horizontal="center" vertical="center" wrapText="1"/>
    </xf>
    <xf numFmtId="3" fontId="7" fillId="7" borderId="12" xfId="0" applyNumberFormat="1" applyFont="1" applyFill="1" applyBorder="1" applyAlignment="1">
      <alignment horizontal="center" vertical="center" wrapText="1"/>
    </xf>
    <xf numFmtId="0" fontId="14" fillId="7" borderId="12" xfId="0" applyFont="1" applyFill="1" applyBorder="1" applyAlignment="1">
      <alignment horizontal="center" vertical="center" wrapText="1"/>
    </xf>
    <xf numFmtId="0" fontId="5" fillId="5" borderId="0" xfId="0" applyFont="1" applyFill="1" applyAlignment="1" applyProtection="1">
      <alignment vertical="center" wrapText="1"/>
      <protection locked="0"/>
    </xf>
    <xf numFmtId="0" fontId="10" fillId="5" borderId="13" xfId="0" applyFont="1" applyFill="1" applyBorder="1" applyAlignment="1" applyProtection="1">
      <alignment horizontal="center" vertical="center"/>
      <protection locked="0"/>
    </xf>
    <xf numFmtId="0" fontId="11" fillId="5" borderId="3" xfId="0" applyFont="1" applyFill="1" applyBorder="1" applyAlignment="1" applyProtection="1">
      <alignment horizontal="center" vertical="center"/>
      <protection locked="0"/>
    </xf>
    <xf numFmtId="0" fontId="12" fillId="5" borderId="3" xfId="0" applyFont="1" applyFill="1" applyBorder="1" applyAlignment="1" applyProtection="1">
      <alignment vertical="center" wrapText="1"/>
      <protection locked="0"/>
    </xf>
    <xf numFmtId="0" fontId="5" fillId="5" borderId="3" xfId="0" applyFont="1" applyFill="1" applyBorder="1" applyAlignment="1" applyProtection="1">
      <alignment horizontal="left" vertical="center" wrapText="1"/>
      <protection locked="0"/>
    </xf>
    <xf numFmtId="49" fontId="12" fillId="5" borderId="3" xfId="0" applyNumberFormat="1" applyFont="1" applyFill="1" applyBorder="1" applyAlignment="1" applyProtection="1">
      <alignment horizontal="center" vertical="center"/>
      <protection locked="0"/>
    </xf>
    <xf numFmtId="3" fontId="11" fillId="5" borderId="3" xfId="0" applyNumberFormat="1" applyFont="1" applyFill="1" applyBorder="1" applyAlignment="1" applyProtection="1">
      <alignment vertical="center" wrapText="1"/>
      <protection locked="0"/>
    </xf>
    <xf numFmtId="3" fontId="4" fillId="5" borderId="3" xfId="0" applyNumberFormat="1" applyFont="1" applyFill="1" applyBorder="1" applyAlignment="1" applyProtection="1">
      <alignment vertical="center" wrapText="1"/>
      <protection locked="0"/>
    </xf>
    <xf numFmtId="1" fontId="5" fillId="5" borderId="3" xfId="0" applyNumberFormat="1" applyFont="1" applyFill="1" applyBorder="1" applyAlignment="1" applyProtection="1">
      <alignment horizontal="center" vertical="center" wrapText="1"/>
      <protection locked="0"/>
    </xf>
    <xf numFmtId="14" fontId="5" fillId="5" borderId="3" xfId="0" applyNumberFormat="1" applyFont="1" applyFill="1" applyBorder="1" applyAlignment="1" applyProtection="1">
      <alignment horizontal="center" vertical="center" wrapText="1"/>
      <protection locked="0"/>
    </xf>
    <xf numFmtId="14" fontId="5" fillId="5" borderId="3" xfId="0" applyNumberFormat="1" applyFont="1" applyFill="1" applyBorder="1" applyAlignment="1" applyProtection="1">
      <alignment horizontal="left" vertical="center" wrapText="1"/>
      <protection locked="0"/>
    </xf>
    <xf numFmtId="3" fontId="5" fillId="5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5" borderId="3" xfId="0" applyFont="1" applyFill="1" applyBorder="1" applyAlignment="1" applyProtection="1">
      <alignment horizontal="center" vertical="center" wrapText="1"/>
      <protection locked="0"/>
    </xf>
    <xf numFmtId="3" fontId="7" fillId="5" borderId="3" xfId="0" applyNumberFormat="1" applyFont="1" applyFill="1" applyBorder="1" applyAlignment="1" applyProtection="1">
      <alignment vertical="center"/>
      <protection locked="0"/>
    </xf>
    <xf numFmtId="3" fontId="4" fillId="5" borderId="3" xfId="0" applyNumberFormat="1" applyFont="1" applyFill="1" applyBorder="1" applyAlignment="1" applyProtection="1">
      <alignment horizontal="right" vertical="center"/>
      <protection locked="0"/>
    </xf>
    <xf numFmtId="0" fontId="5" fillId="5" borderId="14" xfId="0" applyFont="1" applyFill="1" applyBorder="1" applyAlignment="1" applyProtection="1">
      <alignment horizontal="left" vertical="center" wrapText="1"/>
      <protection locked="0"/>
    </xf>
    <xf numFmtId="0" fontId="10" fillId="5" borderId="13" xfId="0" quotePrefix="1" applyFont="1" applyFill="1" applyBorder="1" applyAlignment="1" applyProtection="1">
      <alignment horizontal="center" vertical="center"/>
      <protection locked="0"/>
    </xf>
    <xf numFmtId="3" fontId="19" fillId="8" borderId="6" xfId="8" applyNumberFormat="1" applyAlignment="1">
      <alignment vertical="center"/>
    </xf>
    <xf numFmtId="0" fontId="5" fillId="5" borderId="15" xfId="0" applyFont="1" applyFill="1" applyBorder="1" applyAlignment="1" applyProtection="1">
      <alignment horizontal="center" wrapText="1"/>
      <protection locked="0"/>
    </xf>
    <xf numFmtId="0" fontId="5" fillId="5" borderId="0" xfId="0" applyFont="1" applyFill="1" applyBorder="1" applyAlignment="1" applyProtection="1">
      <alignment horizontal="center" wrapText="1"/>
      <protection locked="0"/>
    </xf>
    <xf numFmtId="164" fontId="5" fillId="5" borderId="0" xfId="7" applyFont="1" applyFill="1" applyAlignment="1" applyProtection="1">
      <alignment wrapText="1"/>
      <protection locked="0"/>
    </xf>
    <xf numFmtId="164" fontId="5" fillId="5" borderId="0" xfId="7" applyNumberFormat="1" applyFont="1" applyFill="1" applyAlignment="1" applyProtection="1">
      <alignment wrapText="1"/>
      <protection locked="0"/>
    </xf>
    <xf numFmtId="0" fontId="21" fillId="5" borderId="0" xfId="0" applyFont="1" applyFill="1" applyAlignment="1" applyProtection="1">
      <alignment horizontal="left" vertical="top" wrapText="1"/>
      <protection locked="0"/>
    </xf>
    <xf numFmtId="3" fontId="21" fillId="5" borderId="0" xfId="0" applyNumberFormat="1" applyFont="1" applyFill="1" applyAlignment="1" applyProtection="1">
      <alignment horizontal="left" vertical="top" wrapText="1"/>
      <protection locked="0"/>
    </xf>
    <xf numFmtId="0" fontId="5" fillId="5" borderId="0" xfId="0" applyFont="1" applyFill="1" applyAlignment="1" applyProtection="1">
      <alignment horizontal="left" wrapText="1"/>
      <protection locked="0"/>
    </xf>
    <xf numFmtId="3" fontId="5" fillId="5" borderId="0" xfId="0" applyNumberFormat="1" applyFont="1" applyFill="1" applyAlignment="1" applyProtection="1">
      <alignment horizontal="left" wrapText="1"/>
      <protection locked="0"/>
    </xf>
    <xf numFmtId="1" fontId="5" fillId="5" borderId="0" xfId="0" applyNumberFormat="1" applyFont="1" applyFill="1" applyAlignment="1" applyProtection="1">
      <alignment horizontal="left" wrapText="1"/>
      <protection locked="0"/>
    </xf>
    <xf numFmtId="165" fontId="5" fillId="5" borderId="0" xfId="3" applyNumberFormat="1" applyFont="1" applyFill="1" applyAlignment="1" applyProtection="1">
      <alignment wrapText="1"/>
      <protection locked="0"/>
    </xf>
    <xf numFmtId="168" fontId="5" fillId="0" borderId="0" xfId="0" applyNumberFormat="1" applyFont="1" applyAlignment="1">
      <alignment horizontal="right" wrapText="1"/>
    </xf>
    <xf numFmtId="0" fontId="7" fillId="5" borderId="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" fillId="3" borderId="12" xfId="2" applyBorder="1" applyAlignment="1">
      <alignment horizontal="center" vertical="center" wrapText="1"/>
    </xf>
    <xf numFmtId="0" fontId="1" fillId="3" borderId="12" xfId="2" applyFont="1" applyBorder="1" applyAlignment="1">
      <alignment horizontal="center" vertical="center" wrapText="1"/>
    </xf>
    <xf numFmtId="0" fontId="3" fillId="3" borderId="12" xfId="2" applyFont="1" applyBorder="1" applyAlignment="1">
      <alignment horizontal="center" vertical="center" wrapText="1"/>
    </xf>
    <xf numFmtId="168" fontId="7" fillId="7" borderId="12" xfId="0" applyNumberFormat="1" applyFont="1" applyFill="1" applyBorder="1" applyAlignment="1">
      <alignment horizontal="center" vertical="center" wrapText="1"/>
    </xf>
    <xf numFmtId="3" fontId="11" fillId="5" borderId="3" xfId="0" applyNumberFormat="1" applyFont="1" applyFill="1" applyBorder="1" applyAlignment="1">
      <alignment vertical="center" wrapText="1"/>
    </xf>
    <xf numFmtId="1" fontId="5" fillId="5" borderId="3" xfId="0" applyNumberFormat="1" applyFont="1" applyFill="1" applyBorder="1" applyAlignment="1">
      <alignment horizontal="center" vertical="center" wrapText="1"/>
    </xf>
    <xf numFmtId="14" fontId="5" fillId="5" borderId="3" xfId="0" applyNumberFormat="1" applyFont="1" applyFill="1" applyBorder="1" applyAlignment="1">
      <alignment horizontal="center" vertical="center" wrapText="1"/>
    </xf>
    <xf numFmtId="14" fontId="5" fillId="5" borderId="3" xfId="0" applyNumberFormat="1" applyFont="1" applyFill="1" applyBorder="1" applyAlignment="1">
      <alignment horizontal="left" vertical="center" wrapText="1"/>
    </xf>
    <xf numFmtId="3" fontId="5" fillId="5" borderId="3" xfId="0" applyNumberFormat="1" applyFont="1" applyFill="1" applyBorder="1" applyAlignment="1">
      <alignment horizontal="center" vertical="center" wrapText="1"/>
    </xf>
    <xf numFmtId="168" fontId="5" fillId="5" borderId="0" xfId="0" applyNumberFormat="1" applyFont="1" applyFill="1" applyAlignment="1">
      <alignment horizontal="right" vertical="center" wrapText="1"/>
    </xf>
    <xf numFmtId="3" fontId="5" fillId="5" borderId="0" xfId="0" applyNumberFormat="1" applyFont="1" applyFill="1" applyAlignment="1">
      <alignment horizontal="center" vertical="center" wrapText="1"/>
    </xf>
    <xf numFmtId="0" fontId="5" fillId="5" borderId="0" xfId="0" applyFont="1" applyFill="1" applyAlignment="1">
      <alignment horizontal="center" vertical="center" wrapText="1"/>
    </xf>
    <xf numFmtId="1" fontId="5" fillId="5" borderId="0" xfId="0" applyNumberFormat="1" applyFont="1" applyFill="1" applyAlignment="1">
      <alignment horizontal="center" vertical="center" wrapText="1"/>
    </xf>
    <xf numFmtId="0" fontId="5" fillId="5" borderId="0" xfId="0" applyFont="1" applyFill="1" applyAlignment="1">
      <alignment wrapText="1"/>
    </xf>
    <xf numFmtId="168" fontId="5" fillId="5" borderId="0" xfId="0" applyNumberFormat="1" applyFont="1" applyFill="1" applyAlignment="1">
      <alignment horizontal="right" vertical="top" wrapText="1"/>
    </xf>
    <xf numFmtId="3" fontId="5" fillId="5" borderId="0" xfId="0" applyNumberFormat="1" applyFont="1" applyFill="1" applyAlignment="1">
      <alignment horizontal="left" vertical="top" wrapText="1"/>
    </xf>
    <xf numFmtId="0" fontId="5" fillId="5" borderId="0" xfId="0" applyFont="1" applyFill="1" applyAlignment="1">
      <alignment horizontal="left" vertical="top" wrapText="1"/>
    </xf>
    <xf numFmtId="1" fontId="5" fillId="5" borderId="0" xfId="0" applyNumberFormat="1" applyFont="1" applyFill="1" applyAlignment="1">
      <alignment horizontal="left" vertical="top" wrapText="1"/>
    </xf>
    <xf numFmtId="168" fontId="5" fillId="5" borderId="0" xfId="0" applyNumberFormat="1" applyFont="1" applyFill="1" applyAlignment="1">
      <alignment horizontal="right" wrapText="1"/>
    </xf>
    <xf numFmtId="3" fontId="5" fillId="5" borderId="0" xfId="0" applyNumberFormat="1" applyFont="1" applyFill="1" applyAlignment="1">
      <alignment wrapText="1"/>
    </xf>
    <xf numFmtId="1" fontId="5" fillId="5" borderId="0" xfId="0" applyNumberFormat="1" applyFont="1" applyFill="1" applyAlignment="1">
      <alignment wrapText="1"/>
    </xf>
    <xf numFmtId="0" fontId="6" fillId="5" borderId="0" xfId="0" applyFont="1" applyFill="1" applyAlignment="1">
      <alignment horizontal="center" vertical="center" wrapText="1"/>
    </xf>
    <xf numFmtId="3" fontId="8" fillId="5" borderId="3" xfId="0" applyNumberFormat="1" applyFont="1" applyFill="1" applyBorder="1" applyAlignment="1">
      <alignment horizontal="center" vertical="center" wrapText="1"/>
    </xf>
    <xf numFmtId="0" fontId="8" fillId="5" borderId="0" xfId="0" applyFont="1" applyFill="1" applyBorder="1" applyAlignment="1">
      <alignment horizontal="center" vertical="center" wrapText="1"/>
    </xf>
    <xf numFmtId="0" fontId="5" fillId="5" borderId="0" xfId="0" applyFont="1" applyFill="1" applyAlignment="1">
      <alignment horizontal="center" wrapText="1"/>
    </xf>
    <xf numFmtId="0" fontId="8" fillId="5" borderId="0" xfId="0" applyFont="1" applyFill="1" applyAlignment="1">
      <alignment wrapText="1"/>
    </xf>
    <xf numFmtId="0" fontId="8" fillId="5" borderId="0" xfId="0" applyFont="1" applyFill="1" applyAlignment="1">
      <alignment horizontal="center" wrapText="1"/>
    </xf>
    <xf numFmtId="0" fontId="5" fillId="5" borderId="0" xfId="0" applyFont="1" applyFill="1" applyAlignment="1">
      <alignment vertical="center" wrapText="1"/>
    </xf>
    <xf numFmtId="0" fontId="10" fillId="5" borderId="13" xfId="0" applyFont="1" applyFill="1" applyBorder="1" applyAlignment="1">
      <alignment horizontal="center" vertical="center"/>
    </xf>
    <xf numFmtId="0" fontId="12" fillId="5" borderId="3" xfId="0" applyFont="1" applyFill="1" applyBorder="1" applyAlignment="1">
      <alignment vertical="center" wrapText="1"/>
    </xf>
    <xf numFmtId="0" fontId="5" fillId="5" borderId="3" xfId="0" applyFont="1" applyFill="1" applyBorder="1" applyAlignment="1">
      <alignment horizontal="left" vertical="center" wrapText="1"/>
    </xf>
    <xf numFmtId="3" fontId="4" fillId="5" borderId="3" xfId="0" applyNumberFormat="1" applyFont="1" applyFill="1" applyBorder="1" applyAlignment="1">
      <alignment vertical="center" wrapText="1"/>
    </xf>
    <xf numFmtId="0" fontId="5" fillId="5" borderId="3" xfId="0" applyFont="1" applyFill="1" applyBorder="1" applyAlignment="1">
      <alignment horizontal="center" vertical="center" wrapText="1"/>
    </xf>
    <xf numFmtId="3" fontId="7" fillId="5" borderId="3" xfId="0" applyNumberFormat="1" applyFont="1" applyFill="1" applyBorder="1" applyAlignment="1">
      <alignment vertical="center"/>
    </xf>
    <xf numFmtId="3" fontId="4" fillId="5" borderId="3" xfId="0" applyNumberFormat="1" applyFont="1" applyFill="1" applyBorder="1" applyAlignment="1">
      <alignment horizontal="right" vertical="center"/>
    </xf>
    <xf numFmtId="3" fontId="5" fillId="5" borderId="0" xfId="0" applyNumberFormat="1" applyFont="1" applyFill="1" applyAlignment="1">
      <alignment vertical="center" wrapText="1"/>
    </xf>
    <xf numFmtId="3" fontId="11" fillId="5" borderId="0" xfId="0" applyNumberFormat="1" applyFont="1" applyFill="1" applyBorder="1" applyAlignment="1">
      <alignment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12" fillId="5" borderId="3" xfId="0" applyFont="1" applyFill="1" applyBorder="1" applyAlignment="1">
      <alignment horizontal="center" vertical="center"/>
    </xf>
    <xf numFmtId="0" fontId="5" fillId="5" borderId="0" xfId="0" applyFont="1" applyFill="1" applyBorder="1" applyAlignment="1">
      <alignment horizontal="center" wrapText="1"/>
    </xf>
    <xf numFmtId="3" fontId="5" fillId="5" borderId="0" xfId="0" applyNumberFormat="1" applyFont="1" applyFill="1" applyAlignment="1">
      <alignment horizontal="left" wrapText="1"/>
    </xf>
    <xf numFmtId="0" fontId="5" fillId="5" borderId="0" xfId="0" applyFont="1" applyFill="1" applyAlignment="1">
      <alignment horizontal="left" wrapText="1"/>
    </xf>
    <xf numFmtId="1" fontId="5" fillId="5" borderId="0" xfId="0" applyNumberFormat="1" applyFont="1" applyFill="1" applyAlignment="1">
      <alignment horizontal="left" wrapText="1"/>
    </xf>
    <xf numFmtId="3" fontId="7" fillId="4" borderId="12" xfId="0" applyNumberFormat="1" applyFont="1" applyFill="1" applyBorder="1" applyAlignment="1">
      <alignment horizontal="center" vertical="center" wrapText="1"/>
    </xf>
    <xf numFmtId="0" fontId="0" fillId="3" borderId="1" xfId="2" applyFont="1" applyBorder="1" applyAlignment="1">
      <alignment horizontal="center" vertical="center" wrapText="1"/>
    </xf>
    <xf numFmtId="0" fontId="0" fillId="3" borderId="12" xfId="2" applyFont="1" applyBorder="1" applyAlignment="1">
      <alignment horizontal="center" vertical="center" wrapText="1"/>
    </xf>
    <xf numFmtId="3" fontId="13" fillId="2" borderId="11" xfId="1" applyNumberFormat="1" applyFont="1" applyBorder="1" applyAlignment="1">
      <alignment horizontal="center" wrapText="1"/>
    </xf>
    <xf numFmtId="3" fontId="6" fillId="5" borderId="0" xfId="0" applyNumberFormat="1" applyFont="1" applyFill="1" applyAlignment="1">
      <alignment horizontal="center" vertical="center" wrapText="1"/>
    </xf>
    <xf numFmtId="165" fontId="5" fillId="5" borderId="0" xfId="3" applyNumberFormat="1" applyFont="1" applyFill="1" applyAlignment="1">
      <alignment wrapText="1"/>
    </xf>
    <xf numFmtId="3" fontId="5" fillId="5" borderId="0" xfId="0" applyNumberFormat="1" applyFont="1" applyFill="1" applyAlignment="1">
      <alignment horizontal="right" vertical="center" wrapText="1"/>
    </xf>
    <xf numFmtId="1" fontId="5" fillId="5" borderId="0" xfId="0" applyNumberFormat="1" applyFont="1" applyFill="1" applyAlignment="1">
      <alignment horizontal="right" vertical="center" wrapText="1"/>
    </xf>
    <xf numFmtId="0" fontId="5" fillId="5" borderId="0" xfId="0" applyFont="1" applyFill="1" applyAlignment="1">
      <alignment horizontal="right" vertical="center" wrapText="1"/>
    </xf>
    <xf numFmtId="0" fontId="5" fillId="5" borderId="0" xfId="0" applyFont="1" applyFill="1" applyAlignment="1">
      <alignment horizontal="right" wrapText="1"/>
    </xf>
    <xf numFmtId="3" fontId="5" fillId="5" borderId="0" xfId="0" applyNumberFormat="1" applyFont="1" applyFill="1" applyAlignment="1">
      <alignment horizontal="right" vertical="top" wrapText="1"/>
    </xf>
    <xf numFmtId="1" fontId="5" fillId="5" borderId="0" xfId="0" applyNumberFormat="1" applyFont="1" applyFill="1" applyAlignment="1">
      <alignment horizontal="right" vertical="top" wrapText="1"/>
    </xf>
    <xf numFmtId="0" fontId="5" fillId="5" borderId="0" xfId="0" applyFont="1" applyFill="1" applyAlignment="1">
      <alignment horizontal="right" vertical="top" wrapText="1"/>
    </xf>
    <xf numFmtId="3" fontId="5" fillId="5" borderId="0" xfId="0" applyNumberFormat="1" applyFont="1" applyFill="1" applyAlignment="1">
      <alignment horizontal="right" wrapText="1"/>
    </xf>
    <xf numFmtId="1" fontId="5" fillId="5" borderId="0" xfId="0" applyNumberFormat="1" applyFont="1" applyFill="1" applyAlignment="1">
      <alignment horizontal="right" wrapText="1"/>
    </xf>
    <xf numFmtId="3" fontId="6" fillId="5" borderId="0" xfId="0" applyNumberFormat="1" applyFont="1" applyFill="1" applyAlignment="1">
      <alignment horizontal="right" vertical="center" wrapText="1"/>
    </xf>
    <xf numFmtId="0" fontId="6" fillId="5" borderId="0" xfId="0" applyFont="1" applyFill="1" applyAlignment="1">
      <alignment horizontal="right" vertical="center" wrapText="1"/>
    </xf>
    <xf numFmtId="168" fontId="6" fillId="5" borderId="0" xfId="0" applyNumberFormat="1" applyFont="1" applyFill="1" applyAlignment="1">
      <alignment horizontal="right" vertical="center" wrapText="1"/>
    </xf>
    <xf numFmtId="0" fontId="10" fillId="5" borderId="0" xfId="0" applyFont="1" applyFill="1" applyBorder="1" applyAlignment="1">
      <alignment horizontal="center" vertical="center"/>
    </xf>
    <xf numFmtId="3" fontId="7" fillId="6" borderId="12" xfId="0" applyNumberFormat="1" applyFont="1" applyFill="1" applyBorder="1" applyAlignment="1">
      <alignment horizontal="center" vertical="center" wrapText="1"/>
    </xf>
    <xf numFmtId="168" fontId="7" fillId="6" borderId="12" xfId="0" applyNumberFormat="1" applyFont="1" applyFill="1" applyBorder="1" applyAlignment="1">
      <alignment horizontal="center" vertical="center" wrapText="1"/>
    </xf>
    <xf numFmtId="17" fontId="11" fillId="5" borderId="0" xfId="0" applyNumberFormat="1" applyFont="1" applyFill="1" applyAlignment="1">
      <alignment vertical="center" wrapText="1"/>
    </xf>
    <xf numFmtId="0" fontId="23" fillId="5" borderId="13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left" vertical="center" wrapText="1"/>
    </xf>
    <xf numFmtId="170" fontId="11" fillId="5" borderId="3" xfId="7" applyNumberFormat="1" applyFont="1" applyFill="1" applyBorder="1" applyAlignment="1">
      <alignment horizontal="center" vertical="center"/>
    </xf>
    <xf numFmtId="164" fontId="11" fillId="5" borderId="3" xfId="7" applyFont="1" applyFill="1" applyBorder="1" applyAlignment="1">
      <alignment horizontal="center" vertical="center"/>
    </xf>
    <xf numFmtId="3" fontId="11" fillId="5" borderId="3" xfId="7" applyNumberFormat="1" applyFont="1" applyFill="1" applyBorder="1" applyAlignment="1">
      <alignment horizontal="right" vertical="center"/>
    </xf>
    <xf numFmtId="164" fontId="11" fillId="5" borderId="3" xfId="7" applyFont="1" applyFill="1" applyBorder="1" applyAlignment="1">
      <alignment horizontal="right" vertical="center"/>
    </xf>
    <xf numFmtId="168" fontId="11" fillId="5" borderId="3" xfId="7" applyNumberFormat="1" applyFont="1" applyFill="1" applyBorder="1" applyAlignment="1">
      <alignment horizontal="right" vertical="center"/>
    </xf>
    <xf numFmtId="14" fontId="11" fillId="5" borderId="3" xfId="7" applyNumberFormat="1" applyFont="1" applyFill="1" applyBorder="1" applyAlignment="1">
      <alignment horizontal="right" vertical="center"/>
    </xf>
    <xf numFmtId="3" fontId="11" fillId="5" borderId="3" xfId="7" applyNumberFormat="1" applyFont="1" applyFill="1" applyBorder="1" applyAlignment="1">
      <alignment horizontal="center" vertical="center"/>
    </xf>
    <xf numFmtId="0" fontId="11" fillId="5" borderId="0" xfId="0" applyFont="1" applyFill="1" applyAlignment="1">
      <alignment vertical="center" wrapText="1"/>
    </xf>
    <xf numFmtId="164" fontId="19" fillId="8" borderId="6" xfId="8" applyNumberFormat="1" applyAlignment="1">
      <alignment horizontal="center" vertical="center"/>
    </xf>
    <xf numFmtId="164" fontId="19" fillId="8" borderId="6" xfId="8" applyNumberFormat="1" applyAlignment="1">
      <alignment horizontal="right" vertical="center"/>
    </xf>
    <xf numFmtId="168" fontId="19" fillId="8" borderId="6" xfId="8" applyNumberFormat="1" applyAlignment="1">
      <alignment horizontal="right" vertical="center"/>
    </xf>
    <xf numFmtId="3" fontId="19" fillId="8" borderId="6" xfId="8" applyNumberFormat="1" applyAlignment="1">
      <alignment horizontal="center" vertical="center"/>
    </xf>
    <xf numFmtId="164" fontId="5" fillId="5" borderId="0" xfId="0" applyNumberFormat="1" applyFont="1" applyFill="1" applyAlignment="1">
      <alignment horizontal="right" wrapText="1"/>
    </xf>
    <xf numFmtId="3" fontId="5" fillId="0" borderId="0" xfId="0" applyNumberFormat="1" applyFont="1" applyAlignment="1">
      <alignment horizontal="right" wrapText="1"/>
    </xf>
    <xf numFmtId="164" fontId="5" fillId="5" borderId="0" xfId="0" applyNumberFormat="1" applyFont="1" applyFill="1" applyAlignment="1">
      <alignment wrapText="1"/>
    </xf>
    <xf numFmtId="3" fontId="11" fillId="5" borderId="0" xfId="0" applyNumberFormat="1" applyFont="1" applyFill="1" applyAlignment="1">
      <alignment horizontal="right" wrapText="1"/>
    </xf>
    <xf numFmtId="1" fontId="5" fillId="0" borderId="0" xfId="0" applyNumberFormat="1" applyFont="1" applyAlignment="1">
      <alignment horizontal="right" wrapText="1"/>
    </xf>
    <xf numFmtId="0" fontId="5" fillId="0" borderId="0" xfId="0" applyFont="1" applyAlignment="1">
      <alignment horizontal="right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0" fontId="5" fillId="5" borderId="0" xfId="0" applyFont="1" applyFill="1" applyAlignment="1">
      <alignment horizontal="left" vertical="top" wrapText="1"/>
    </xf>
    <xf numFmtId="0" fontId="0" fillId="5" borderId="0" xfId="0" applyFill="1"/>
    <xf numFmtId="1" fontId="11" fillId="0" borderId="3" xfId="4" applyNumberFormat="1" applyFont="1" applyBorder="1" applyAlignment="1">
      <alignment horizontal="center" vertical="center" wrapText="1"/>
    </xf>
    <xf numFmtId="167" fontId="11" fillId="0" borderId="3" xfId="4" applyNumberFormat="1" applyFont="1" applyBorder="1" applyAlignment="1">
      <alignment horizontal="center" vertical="center" wrapText="1"/>
    </xf>
    <xf numFmtId="167" fontId="11" fillId="0" borderId="3" xfId="4" applyNumberFormat="1" applyFont="1" applyBorder="1" applyAlignment="1">
      <alignment horizontal="center" vertical="center"/>
    </xf>
    <xf numFmtId="166" fontId="11" fillId="0" borderId="3" xfId="4" applyFont="1" applyBorder="1" applyAlignment="1">
      <alignment horizontal="left" vertical="center"/>
    </xf>
    <xf numFmtId="166" fontId="11" fillId="0" borderId="3" xfId="4" applyFont="1" applyBorder="1" applyAlignment="1">
      <alignment horizontal="left" wrapText="1"/>
    </xf>
    <xf numFmtId="0" fontId="7" fillId="5" borderId="1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1" fontId="7" fillId="5" borderId="3" xfId="0" applyNumberFormat="1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/>
    </xf>
    <xf numFmtId="0" fontId="10" fillId="5" borderId="3" xfId="0" applyFont="1" applyFill="1" applyBorder="1" applyAlignment="1" applyProtection="1">
      <alignment horizontal="center" vertical="center"/>
      <protection locked="0"/>
    </xf>
    <xf numFmtId="0" fontId="5" fillId="5" borderId="0" xfId="0" applyFont="1" applyFill="1" applyAlignment="1" applyProtection="1">
      <alignment vertical="center"/>
      <protection locked="0"/>
    </xf>
    <xf numFmtId="1" fontId="10" fillId="5" borderId="3" xfId="0" applyNumberFormat="1" applyFont="1" applyFill="1" applyBorder="1" applyAlignment="1" applyProtection="1">
      <alignment horizontal="center" vertical="center"/>
      <protection locked="0"/>
    </xf>
    <xf numFmtId="3" fontId="13" fillId="5" borderId="3" xfId="1" applyNumberFormat="1" applyFont="1" applyFill="1" applyBorder="1" applyAlignment="1">
      <alignment vertical="center"/>
    </xf>
    <xf numFmtId="0" fontId="26" fillId="0" borderId="0" xfId="0" applyFont="1" applyAlignment="1">
      <alignment horizontal="center" vertical="center" wrapText="1"/>
    </xf>
    <xf numFmtId="3" fontId="26" fillId="0" borderId="0" xfId="0" applyNumberFormat="1" applyFont="1" applyAlignment="1">
      <alignment horizontal="center" vertical="center" wrapText="1"/>
    </xf>
    <xf numFmtId="14" fontId="26" fillId="0" borderId="0" xfId="0" applyNumberFormat="1" applyFont="1" applyAlignment="1">
      <alignment horizontal="center" vertical="center" wrapText="1"/>
    </xf>
    <xf numFmtId="1" fontId="26" fillId="0" borderId="0" xfId="0" applyNumberFormat="1" applyFont="1" applyAlignment="1">
      <alignment horizontal="center" vertical="center" wrapText="1"/>
    </xf>
    <xf numFmtId="0" fontId="26" fillId="0" borderId="0" xfId="0" applyFont="1" applyAlignment="1">
      <alignment wrapText="1"/>
    </xf>
    <xf numFmtId="0" fontId="26" fillId="0" borderId="0" xfId="0" applyFont="1" applyAlignment="1">
      <alignment horizontal="left" vertical="top" wrapText="1"/>
    </xf>
    <xf numFmtId="3" fontId="26" fillId="0" borderId="0" xfId="0" applyNumberFormat="1" applyFont="1" applyAlignment="1">
      <alignment horizontal="left" vertical="top" wrapText="1"/>
    </xf>
    <xf numFmtId="14" fontId="26" fillId="0" borderId="0" xfId="0" applyNumberFormat="1" applyFont="1" applyAlignment="1">
      <alignment horizontal="left" vertical="top" wrapText="1"/>
    </xf>
    <xf numFmtId="1" fontId="26" fillId="0" borderId="0" xfId="0" applyNumberFormat="1" applyFont="1" applyAlignment="1">
      <alignment horizontal="left" vertical="top" wrapText="1"/>
    </xf>
    <xf numFmtId="3" fontId="26" fillId="0" borderId="0" xfId="0" applyNumberFormat="1" applyFont="1" applyAlignment="1">
      <alignment wrapText="1"/>
    </xf>
    <xf numFmtId="14" fontId="26" fillId="0" borderId="0" xfId="0" applyNumberFormat="1" applyFont="1" applyAlignment="1">
      <alignment wrapText="1"/>
    </xf>
    <xf numFmtId="1" fontId="26" fillId="0" borderId="0" xfId="0" applyNumberFormat="1" applyFont="1" applyAlignment="1">
      <alignment wrapText="1"/>
    </xf>
    <xf numFmtId="0" fontId="28" fillId="4" borderId="1" xfId="0" applyFont="1" applyFill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28" fillId="4" borderId="3" xfId="0" applyFont="1" applyFill="1" applyBorder="1" applyAlignment="1">
      <alignment horizontal="center" vertical="center" wrapText="1"/>
    </xf>
    <xf numFmtId="0" fontId="28" fillId="5" borderId="0" xfId="0" applyFont="1" applyFill="1" applyBorder="1" applyAlignment="1">
      <alignment horizontal="center" vertical="center" wrapText="1"/>
    </xf>
    <xf numFmtId="3" fontId="26" fillId="0" borderId="3" xfId="0" applyNumberFormat="1" applyFont="1" applyBorder="1" applyAlignment="1">
      <alignment horizontal="center" vertical="center" wrapText="1"/>
    </xf>
    <xf numFmtId="0" fontId="26" fillId="0" borderId="0" xfId="0" applyFont="1" applyAlignment="1">
      <alignment horizontal="center" wrapText="1"/>
    </xf>
    <xf numFmtId="165" fontId="26" fillId="0" borderId="0" xfId="3" applyNumberFormat="1" applyFont="1" applyAlignment="1">
      <alignment wrapText="1"/>
    </xf>
    <xf numFmtId="0" fontId="28" fillId="4" borderId="13" xfId="0" applyFont="1" applyFill="1" applyBorder="1" applyAlignment="1">
      <alignment horizontal="center" vertical="center"/>
    </xf>
    <xf numFmtId="0" fontId="28" fillId="4" borderId="3" xfId="0" applyFont="1" applyFill="1" applyBorder="1" applyAlignment="1">
      <alignment horizontal="center" vertical="center"/>
    </xf>
    <xf numFmtId="0" fontId="28" fillId="4" borderId="14" xfId="0" applyFont="1" applyFill="1" applyBorder="1" applyAlignment="1">
      <alignment horizontal="center" vertical="center" wrapText="1"/>
    </xf>
    <xf numFmtId="165" fontId="28" fillId="4" borderId="12" xfId="3" applyNumberFormat="1" applyFont="1" applyFill="1" applyBorder="1" applyAlignment="1">
      <alignment horizontal="center" vertical="center" wrapText="1"/>
    </xf>
    <xf numFmtId="0" fontId="26" fillId="3" borderId="3" xfId="2" applyFont="1" applyBorder="1" applyAlignment="1">
      <alignment horizontal="center" vertical="center" wrapText="1"/>
    </xf>
    <xf numFmtId="0" fontId="27" fillId="3" borderId="3" xfId="2" applyFont="1" applyBorder="1" applyAlignment="1">
      <alignment horizontal="center" vertical="center" wrapText="1"/>
    </xf>
    <xf numFmtId="0" fontId="28" fillId="6" borderId="3" xfId="0" applyFont="1" applyFill="1" applyBorder="1" applyAlignment="1">
      <alignment horizontal="center" vertical="center" wrapText="1"/>
    </xf>
    <xf numFmtId="1" fontId="28" fillId="6" borderId="3" xfId="0" applyNumberFormat="1" applyFont="1" applyFill="1" applyBorder="1" applyAlignment="1">
      <alignment horizontal="center" vertical="center" wrapText="1"/>
    </xf>
    <xf numFmtId="14" fontId="28" fillId="6" borderId="3" xfId="0" applyNumberFormat="1" applyFont="1" applyFill="1" applyBorder="1" applyAlignment="1">
      <alignment horizontal="center" vertical="center" wrapText="1"/>
    </xf>
    <xf numFmtId="0" fontId="28" fillId="7" borderId="3" xfId="0" applyFont="1" applyFill="1" applyBorder="1" applyAlignment="1">
      <alignment horizontal="center" vertical="center" wrapText="1"/>
    </xf>
    <xf numFmtId="3" fontId="28" fillId="7" borderId="3" xfId="0" applyNumberFormat="1" applyFont="1" applyFill="1" applyBorder="1" applyAlignment="1">
      <alignment horizontal="center" vertical="center" wrapText="1"/>
    </xf>
    <xf numFmtId="14" fontId="28" fillId="7" borderId="3" xfId="0" applyNumberFormat="1" applyFont="1" applyFill="1" applyBorder="1" applyAlignment="1">
      <alignment horizontal="center" vertical="center" wrapText="1"/>
    </xf>
    <xf numFmtId="0" fontId="26" fillId="0" borderId="0" xfId="0" applyFont="1" applyAlignment="1">
      <alignment vertical="center" wrapText="1"/>
    </xf>
    <xf numFmtId="0" fontId="30" fillId="0" borderId="13" xfId="0" applyFont="1" applyFill="1" applyBorder="1" applyAlignment="1">
      <alignment horizontal="center" vertical="center"/>
    </xf>
    <xf numFmtId="0" fontId="31" fillId="0" borderId="3" xfId="0" applyNumberFormat="1" applyFont="1" applyFill="1" applyBorder="1" applyAlignment="1">
      <alignment horizontal="center" vertical="center"/>
    </xf>
    <xf numFmtId="0" fontId="29" fillId="0" borderId="3" xfId="0" applyFont="1" applyFill="1" applyBorder="1" applyAlignment="1">
      <alignment wrapText="1"/>
    </xf>
    <xf numFmtId="0" fontId="31" fillId="0" borderId="3" xfId="0" applyFont="1" applyFill="1" applyBorder="1" applyAlignment="1">
      <alignment horizontal="left" vertical="center" wrapText="1"/>
    </xf>
    <xf numFmtId="0" fontId="29" fillId="0" borderId="3" xfId="0" applyFont="1" applyFill="1" applyBorder="1" applyAlignment="1">
      <alignment horizontal="left" vertical="center" wrapText="1"/>
    </xf>
    <xf numFmtId="0" fontId="29" fillId="0" borderId="14" xfId="0" applyFont="1" applyFill="1" applyBorder="1" applyAlignment="1">
      <alignment horizontal="left" vertical="center" wrapText="1"/>
    </xf>
    <xf numFmtId="49" fontId="31" fillId="0" borderId="3" xfId="0" applyNumberFormat="1" applyFont="1" applyFill="1" applyBorder="1" applyAlignment="1">
      <alignment horizontal="center" vertical="center"/>
    </xf>
    <xf numFmtId="165" fontId="31" fillId="0" borderId="3" xfId="3" applyNumberFormat="1" applyFont="1" applyFill="1" applyBorder="1" applyAlignment="1">
      <alignment horizontal="center" vertical="center"/>
    </xf>
    <xf numFmtId="165" fontId="15" fillId="0" borderId="3" xfId="3" applyNumberFormat="1" applyFont="1" applyFill="1" applyBorder="1" applyAlignment="1">
      <alignment horizontal="right" vertical="center" wrapText="1"/>
    </xf>
    <xf numFmtId="3" fontId="31" fillId="0" borderId="3" xfId="0" applyNumberFormat="1" applyFont="1" applyBorder="1" applyAlignment="1">
      <alignment vertical="center" wrapText="1"/>
    </xf>
    <xf numFmtId="3" fontId="32" fillId="0" borderId="3" xfId="0" applyNumberFormat="1" applyFont="1" applyFill="1" applyBorder="1" applyAlignment="1">
      <alignment vertical="center" wrapText="1"/>
    </xf>
    <xf numFmtId="14" fontId="29" fillId="0" borderId="3" xfId="0" applyNumberFormat="1" applyFont="1" applyBorder="1" applyAlignment="1">
      <alignment horizontal="right" vertical="center" wrapText="1"/>
    </xf>
    <xf numFmtId="0" fontId="29" fillId="0" borderId="3" xfId="0" applyFont="1" applyBorder="1" applyAlignment="1">
      <alignment horizontal="center" vertical="center" wrapText="1"/>
    </xf>
    <xf numFmtId="14" fontId="29" fillId="0" borderId="3" xfId="0" applyNumberFormat="1" applyFont="1" applyBorder="1" applyAlignment="1">
      <alignment horizontal="left" vertical="center" wrapText="1"/>
    </xf>
    <xf numFmtId="1" fontId="29" fillId="0" borderId="3" xfId="0" applyNumberFormat="1" applyFont="1" applyBorder="1" applyAlignment="1">
      <alignment horizontal="center" vertical="center" wrapText="1"/>
    </xf>
    <xf numFmtId="3" fontId="29" fillId="0" borderId="3" xfId="0" applyNumberFormat="1" applyFont="1" applyBorder="1" applyAlignment="1">
      <alignment horizontal="center" vertical="center" wrapText="1"/>
    </xf>
    <xf numFmtId="14" fontId="29" fillId="0" borderId="3" xfId="0" applyNumberFormat="1" applyFont="1" applyBorder="1" applyAlignment="1">
      <alignment horizontal="center" vertical="center" wrapText="1"/>
    </xf>
    <xf numFmtId="3" fontId="32" fillId="0" borderId="3" xfId="0" applyNumberFormat="1" applyFont="1" applyFill="1" applyBorder="1" applyAlignment="1">
      <alignment horizontal="right" vertical="center"/>
    </xf>
    <xf numFmtId="0" fontId="26" fillId="0" borderId="0" xfId="0" applyFont="1" applyFill="1" applyAlignment="1">
      <alignment vertical="center" wrapText="1"/>
    </xf>
    <xf numFmtId="0" fontId="30" fillId="0" borderId="17" xfId="0" applyFont="1" applyBorder="1" applyAlignment="1">
      <alignment horizontal="center" vertical="center"/>
    </xf>
    <xf numFmtId="165" fontId="31" fillId="0" borderId="2" xfId="3" applyNumberFormat="1" applyFont="1" applyFill="1" applyBorder="1" applyAlignment="1">
      <alignment horizontal="center" vertical="center"/>
    </xf>
    <xf numFmtId="165" fontId="31" fillId="0" borderId="2" xfId="3" applyNumberFormat="1" applyFont="1" applyFill="1" applyBorder="1" applyAlignment="1">
      <alignment vertical="center" wrapText="1"/>
    </xf>
    <xf numFmtId="3" fontId="28" fillId="0" borderId="3" xfId="0" applyNumberFormat="1" applyFont="1" applyBorder="1" applyAlignment="1">
      <alignment vertical="center"/>
    </xf>
    <xf numFmtId="0" fontId="30" fillId="0" borderId="13" xfId="0" applyFont="1" applyBorder="1" applyAlignment="1">
      <alignment horizontal="center" vertical="center"/>
    </xf>
    <xf numFmtId="0" fontId="31" fillId="5" borderId="3" xfId="0" applyFont="1" applyFill="1" applyBorder="1" applyAlignment="1">
      <alignment horizontal="center" vertical="center"/>
    </xf>
    <xf numFmtId="0" fontId="31" fillId="0" borderId="3" xfId="0" applyFont="1" applyFill="1" applyBorder="1" applyAlignment="1">
      <alignment vertical="center" wrapText="1"/>
    </xf>
    <xf numFmtId="0" fontId="29" fillId="0" borderId="3" xfId="0" applyFont="1" applyBorder="1" applyAlignment="1">
      <alignment horizontal="left" vertical="center" wrapText="1"/>
    </xf>
    <xf numFmtId="0" fontId="29" fillId="0" borderId="14" xfId="0" applyFont="1" applyBorder="1" applyAlignment="1">
      <alignment horizontal="left" vertical="center" wrapText="1"/>
    </xf>
    <xf numFmtId="0" fontId="31" fillId="0" borderId="3" xfId="0" applyFont="1" applyFill="1" applyBorder="1" applyAlignment="1">
      <alignment horizontal="center" vertical="center"/>
    </xf>
    <xf numFmtId="165" fontId="33" fillId="2" borderId="3" xfId="3" applyNumberFormat="1" applyFont="1" applyFill="1" applyBorder="1" applyAlignment="1">
      <alignment vertical="center"/>
    </xf>
    <xf numFmtId="3" fontId="33" fillId="2" borderId="3" xfId="1" applyNumberFormat="1" applyFont="1" applyBorder="1" applyAlignment="1">
      <alignment vertical="center"/>
    </xf>
    <xf numFmtId="14" fontId="33" fillId="2" borderId="3" xfId="1" applyNumberFormat="1" applyFont="1" applyBorder="1" applyAlignment="1">
      <alignment vertical="center"/>
    </xf>
    <xf numFmtId="0" fontId="26" fillId="5" borderId="0" xfId="0" applyFont="1" applyFill="1" applyAlignment="1">
      <alignment wrapText="1"/>
    </xf>
    <xf numFmtId="0" fontId="26" fillId="5" borderId="0" xfId="0" applyFont="1" applyFill="1" applyAlignment="1">
      <alignment vertical="center" wrapText="1"/>
    </xf>
    <xf numFmtId="0" fontId="26" fillId="5" borderId="0" xfId="0" applyFont="1" applyFill="1" applyAlignment="1">
      <alignment horizontal="left" vertical="top" wrapText="1"/>
    </xf>
    <xf numFmtId="3" fontId="26" fillId="5" borderId="0" xfId="0" applyNumberFormat="1" applyFont="1" applyFill="1" applyAlignment="1">
      <alignment horizontal="left" vertical="top" wrapText="1"/>
    </xf>
    <xf numFmtId="14" fontId="26" fillId="5" borderId="0" xfId="0" applyNumberFormat="1" applyFont="1" applyFill="1" applyAlignment="1">
      <alignment horizontal="left" vertical="top" wrapText="1"/>
    </xf>
    <xf numFmtId="1" fontId="26" fillId="5" borderId="0" xfId="0" applyNumberFormat="1" applyFont="1" applyFill="1" applyAlignment="1">
      <alignment horizontal="left" vertical="top" wrapText="1"/>
    </xf>
    <xf numFmtId="3" fontId="26" fillId="5" borderId="0" xfId="0" applyNumberFormat="1" applyFont="1" applyFill="1" applyAlignment="1">
      <alignment wrapText="1"/>
    </xf>
    <xf numFmtId="14" fontId="26" fillId="5" borderId="0" xfId="0" applyNumberFormat="1" applyFont="1" applyFill="1" applyAlignment="1">
      <alignment wrapText="1"/>
    </xf>
    <xf numFmtId="1" fontId="26" fillId="5" borderId="0" xfId="0" applyNumberFormat="1" applyFont="1" applyFill="1" applyAlignment="1">
      <alignment wrapText="1"/>
    </xf>
    <xf numFmtId="0" fontId="26" fillId="5" borderId="0" xfId="0" applyFont="1" applyFill="1" applyAlignment="1">
      <alignment horizontal="center" vertical="center" wrapText="1"/>
    </xf>
    <xf numFmtId="165" fontId="26" fillId="5" borderId="0" xfId="3" applyNumberFormat="1" applyFont="1" applyFill="1" applyAlignment="1">
      <alignment horizontal="center" vertical="center" wrapText="1"/>
    </xf>
    <xf numFmtId="14" fontId="26" fillId="5" borderId="0" xfId="0" applyNumberFormat="1" applyFont="1" applyFill="1" applyAlignment="1">
      <alignment horizontal="center" vertical="center" wrapText="1"/>
    </xf>
    <xf numFmtId="0" fontId="26" fillId="5" borderId="0" xfId="0" applyFont="1" applyFill="1" applyAlignment="1">
      <alignment horizontal="center" wrapText="1"/>
    </xf>
    <xf numFmtId="165" fontId="26" fillId="5" borderId="0" xfId="3" applyNumberFormat="1" applyFont="1" applyFill="1" applyAlignment="1">
      <alignment wrapText="1"/>
    </xf>
    <xf numFmtId="0" fontId="26" fillId="5" borderId="0" xfId="0" applyFont="1" applyFill="1" applyBorder="1" applyAlignment="1">
      <alignment horizontal="center" vertical="center" wrapText="1"/>
    </xf>
    <xf numFmtId="0" fontId="29" fillId="5" borderId="0" xfId="0" applyFont="1" applyFill="1" applyAlignment="1">
      <alignment vertical="center" wrapText="1"/>
    </xf>
    <xf numFmtId="0" fontId="29" fillId="5" borderId="0" xfId="0" applyFont="1" applyFill="1" applyAlignment="1">
      <alignment wrapText="1"/>
    </xf>
    <xf numFmtId="0" fontId="10" fillId="0" borderId="13" xfId="0" applyFont="1" applyBorder="1" applyAlignment="1">
      <alignment horizontal="center" vertical="center"/>
    </xf>
    <xf numFmtId="49" fontId="12" fillId="0" borderId="3" xfId="0" applyNumberFormat="1" applyFont="1" applyFill="1" applyBorder="1" applyAlignment="1">
      <alignment horizontal="center" vertical="center"/>
    </xf>
    <xf numFmtId="3" fontId="4" fillId="0" borderId="3" xfId="0" applyNumberFormat="1" applyFont="1" applyFill="1" applyBorder="1" applyAlignment="1">
      <alignment vertical="center" wrapText="1"/>
    </xf>
    <xf numFmtId="3" fontId="4" fillId="0" borderId="3" xfId="0" applyNumberFormat="1" applyFont="1" applyFill="1" applyBorder="1" applyAlignment="1">
      <alignment horizontal="right" vertical="center" wrapText="1"/>
    </xf>
    <xf numFmtId="3" fontId="4" fillId="0" borderId="3" xfId="0" applyNumberFormat="1" applyFont="1" applyFill="1" applyBorder="1" applyAlignment="1">
      <alignment horizontal="right" vertical="center"/>
    </xf>
    <xf numFmtId="0" fontId="10" fillId="0" borderId="17" xfId="0" applyFont="1" applyBorder="1" applyAlignment="1">
      <alignment horizontal="center" vertical="center"/>
    </xf>
    <xf numFmtId="3" fontId="9" fillId="0" borderId="3" xfId="0" applyNumberFormat="1" applyFont="1" applyFill="1" applyBorder="1" applyAlignment="1">
      <alignment vertical="center" wrapText="1"/>
    </xf>
    <xf numFmtId="3" fontId="5" fillId="0" borderId="3" xfId="0" applyNumberFormat="1" applyFont="1" applyFill="1" applyBorder="1" applyAlignment="1">
      <alignment horizontal="center" vertical="center" wrapText="1"/>
    </xf>
    <xf numFmtId="14" fontId="5" fillId="0" borderId="3" xfId="0" applyNumberFormat="1" applyFont="1" applyFill="1" applyBorder="1" applyAlignment="1">
      <alignment horizontal="center" vertical="center" wrapText="1"/>
    </xf>
    <xf numFmtId="14" fontId="5" fillId="0" borderId="3" xfId="0" applyNumberFormat="1" applyFont="1" applyFill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14" fontId="5" fillId="0" borderId="3" xfId="0" applyNumberFormat="1" applyFont="1" applyBorder="1" applyAlignment="1">
      <alignment vertical="center" wrapText="1"/>
    </xf>
    <xf numFmtId="3" fontId="4" fillId="0" borderId="3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0" fillId="0" borderId="13" xfId="0" applyFont="1" applyBorder="1" applyAlignment="1">
      <alignment horizontal="left" vertical="center"/>
    </xf>
    <xf numFmtId="0" fontId="11" fillId="0" borderId="3" xfId="0" applyFont="1" applyFill="1" applyBorder="1" applyAlignment="1">
      <alignment horizontal="center" vertical="center"/>
    </xf>
    <xf numFmtId="3" fontId="4" fillId="0" borderId="19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left" wrapText="1"/>
    </xf>
    <xf numFmtId="0" fontId="12" fillId="0" borderId="10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34" fillId="0" borderId="20" xfId="0" applyFont="1" applyBorder="1" applyAlignment="1">
      <alignment horizontal="center" vertical="center"/>
    </xf>
    <xf numFmtId="0" fontId="34" fillId="0" borderId="21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/>
    </xf>
    <xf numFmtId="0" fontId="11" fillId="0" borderId="0" xfId="0" applyFont="1" applyFill="1" applyBorder="1"/>
    <xf numFmtId="0" fontId="5" fillId="0" borderId="5" xfId="0" applyFont="1" applyFill="1" applyBorder="1"/>
    <xf numFmtId="0" fontId="11" fillId="0" borderId="5" xfId="0" applyFont="1" applyFill="1" applyBorder="1"/>
    <xf numFmtId="49" fontId="11" fillId="0" borderId="19" xfId="0" applyNumberFormat="1" applyFont="1" applyFill="1" applyBorder="1" applyAlignment="1">
      <alignment horizontal="center" vertical="center"/>
    </xf>
    <xf numFmtId="3" fontId="11" fillId="0" borderId="0" xfId="0" applyNumberFormat="1" applyFont="1" applyFill="1" applyBorder="1" applyAlignment="1">
      <alignment horizontal="center"/>
    </xf>
    <xf numFmtId="3" fontId="11" fillId="0" borderId="19" xfId="0" applyNumberFormat="1" applyFont="1" applyFill="1" applyBorder="1" applyAlignment="1">
      <alignment horizontal="center" vertical="center" wrapText="1"/>
    </xf>
    <xf numFmtId="3" fontId="11" fillId="0" borderId="19" xfId="0" applyNumberFormat="1" applyFont="1" applyFill="1" applyBorder="1" applyAlignment="1">
      <alignment vertical="center" wrapText="1"/>
    </xf>
    <xf numFmtId="3" fontId="11" fillId="0" borderId="5" xfId="0" applyNumberFormat="1" applyFont="1" applyFill="1" applyBorder="1" applyAlignment="1">
      <alignment horizontal="center"/>
    </xf>
    <xf numFmtId="1" fontId="5" fillId="0" borderId="3" xfId="0" applyNumberFormat="1" applyFont="1" applyFill="1" applyBorder="1" applyAlignment="1">
      <alignment horizontal="center" vertical="center" wrapText="1"/>
    </xf>
    <xf numFmtId="3" fontId="5" fillId="0" borderId="3" xfId="0" applyNumberFormat="1" applyFont="1" applyFill="1" applyBorder="1" applyAlignment="1">
      <alignment horizontal="left" vertical="center" wrapText="1"/>
    </xf>
    <xf numFmtId="3" fontId="34" fillId="0" borderId="3" xfId="0" applyNumberFormat="1" applyFont="1" applyFill="1" applyBorder="1" applyAlignment="1">
      <alignment vertical="center"/>
    </xf>
    <xf numFmtId="3" fontId="11" fillId="0" borderId="3" xfId="0" applyNumberFormat="1" applyFont="1" applyFill="1" applyBorder="1" applyAlignment="1">
      <alignment horizontal="right" vertical="center"/>
    </xf>
    <xf numFmtId="0" fontId="11" fillId="0" borderId="3" xfId="0" applyFont="1" applyFill="1" applyBorder="1" applyAlignment="1">
      <alignment horizontal="center"/>
    </xf>
    <xf numFmtId="0" fontId="11" fillId="0" borderId="3" xfId="0" applyFont="1" applyFill="1" applyBorder="1"/>
    <xf numFmtId="0" fontId="11" fillId="0" borderId="3" xfId="0" applyFont="1" applyFill="1" applyBorder="1" applyAlignment="1">
      <alignment vertical="center" wrapText="1"/>
    </xf>
    <xf numFmtId="0" fontId="5" fillId="0" borderId="3" xfId="0" applyFont="1" applyFill="1" applyBorder="1"/>
    <xf numFmtId="49" fontId="11" fillId="0" borderId="3" xfId="0" applyNumberFormat="1" applyFont="1" applyFill="1" applyBorder="1" applyAlignment="1">
      <alignment horizontal="center" vertical="center"/>
    </xf>
    <xf numFmtId="3" fontId="11" fillId="0" borderId="3" xfId="0" applyNumberFormat="1" applyFont="1" applyFill="1" applyBorder="1" applyAlignment="1">
      <alignment horizontal="center"/>
    </xf>
    <xf numFmtId="3" fontId="11" fillId="0" borderId="3" xfId="0" applyNumberFormat="1" applyFont="1" applyFill="1" applyBorder="1" applyAlignment="1">
      <alignment horizontal="center" vertical="center" wrapText="1"/>
    </xf>
    <xf numFmtId="171" fontId="11" fillId="0" borderId="3" xfId="0" applyNumberFormat="1" applyFont="1" applyFill="1" applyBorder="1" applyAlignment="1" applyProtection="1">
      <alignment horizontal="center"/>
      <protection locked="0"/>
    </xf>
    <xf numFmtId="0" fontId="34" fillId="0" borderId="13" xfId="0" applyFont="1" applyBorder="1" applyAlignment="1">
      <alignment horizontal="center" vertical="center"/>
    </xf>
    <xf numFmtId="0" fontId="34" fillId="0" borderId="17" xfId="0" applyFont="1" applyBorder="1" applyAlignment="1">
      <alignment horizontal="center" vertical="center"/>
    </xf>
    <xf numFmtId="1" fontId="11" fillId="0" borderId="14" xfId="0" applyNumberFormat="1" applyFont="1" applyFill="1" applyBorder="1" applyAlignment="1">
      <alignment horizontal="center"/>
    </xf>
    <xf numFmtId="0" fontId="11" fillId="0" borderId="5" xfId="0" applyFont="1" applyFill="1" applyBorder="1" applyAlignment="1">
      <alignment horizontal="left"/>
    </xf>
    <xf numFmtId="0" fontId="5" fillId="0" borderId="5" xfId="0" applyFont="1" applyBorder="1"/>
    <xf numFmtId="3" fontId="11" fillId="0" borderId="19" xfId="0" applyNumberFormat="1" applyFont="1" applyBorder="1" applyAlignment="1">
      <alignment horizontal="center" vertical="center" wrapText="1"/>
    </xf>
    <xf numFmtId="3" fontId="34" fillId="0" borderId="3" xfId="0" applyNumberFormat="1" applyFont="1" applyBorder="1" applyAlignment="1">
      <alignment vertical="center"/>
    </xf>
    <xf numFmtId="1" fontId="11" fillId="0" borderId="3" xfId="0" applyNumberFormat="1" applyFont="1" applyFill="1" applyBorder="1" applyAlignment="1">
      <alignment horizontal="center"/>
    </xf>
    <xf numFmtId="0" fontId="11" fillId="0" borderId="10" xfId="0" applyFont="1" applyFill="1" applyBorder="1"/>
    <xf numFmtId="0" fontId="11" fillId="0" borderId="3" xfId="0" applyFont="1" applyFill="1" applyBorder="1" applyAlignment="1">
      <alignment horizontal="left"/>
    </xf>
    <xf numFmtId="0" fontId="5" fillId="0" borderId="3" xfId="0" applyFont="1" applyBorder="1"/>
    <xf numFmtId="3" fontId="11" fillId="0" borderId="3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" fontId="11" fillId="0" borderId="5" xfId="0" applyNumberFormat="1" applyFont="1" applyFill="1" applyBorder="1" applyAlignment="1">
      <alignment horizontal="center"/>
    </xf>
    <xf numFmtId="49" fontId="11" fillId="0" borderId="5" xfId="0" applyNumberFormat="1" applyFont="1" applyFill="1" applyBorder="1" applyAlignment="1">
      <alignment horizontal="left"/>
    </xf>
    <xf numFmtId="171" fontId="11" fillId="0" borderId="5" xfId="0" applyNumberFormat="1" applyFont="1" applyFill="1" applyBorder="1" applyAlignment="1">
      <alignment horizontal="center"/>
    </xf>
    <xf numFmtId="49" fontId="11" fillId="0" borderId="3" xfId="0" applyNumberFormat="1" applyFont="1" applyFill="1" applyBorder="1" applyAlignment="1">
      <alignment horizontal="left"/>
    </xf>
    <xf numFmtId="171" fontId="11" fillId="0" borderId="3" xfId="0" applyNumberFormat="1" applyFont="1" applyFill="1" applyBorder="1" applyAlignment="1">
      <alignment horizontal="center"/>
    </xf>
    <xf numFmtId="1" fontId="11" fillId="0" borderId="19" xfId="0" applyNumberFormat="1" applyFont="1" applyFill="1" applyBorder="1" applyAlignment="1">
      <alignment horizontal="center"/>
    </xf>
    <xf numFmtId="0" fontId="11" fillId="0" borderId="19" xfId="0" applyFont="1" applyFill="1" applyBorder="1" applyAlignment="1">
      <alignment horizontal="left"/>
    </xf>
    <xf numFmtId="0" fontId="5" fillId="0" borderId="19" xfId="0" applyFont="1" applyBorder="1"/>
    <xf numFmtId="171" fontId="11" fillId="0" borderId="5" xfId="0" applyNumberFormat="1" applyFont="1" applyFill="1" applyBorder="1" applyAlignment="1" applyProtection="1">
      <alignment horizontal="center"/>
      <protection locked="0"/>
    </xf>
    <xf numFmtId="1" fontId="11" fillId="5" borderId="3" xfId="0" applyNumberFormat="1" applyFont="1" applyFill="1" applyBorder="1" applyAlignment="1">
      <alignment horizontal="center" vertical="center"/>
    </xf>
    <xf numFmtId="0" fontId="34" fillId="0" borderId="4" xfId="0" applyFont="1" applyBorder="1" applyAlignment="1">
      <alignment horizontal="center" vertical="center"/>
    </xf>
    <xf numFmtId="1" fontId="11" fillId="0" borderId="3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left"/>
    </xf>
    <xf numFmtId="3" fontId="11" fillId="0" borderId="3" xfId="0" applyNumberFormat="1" applyFont="1" applyBorder="1" applyAlignment="1">
      <alignment vertical="center"/>
    </xf>
    <xf numFmtId="0" fontId="11" fillId="0" borderId="15" xfId="0" applyFont="1" applyFill="1" applyBorder="1"/>
    <xf numFmtId="49" fontId="11" fillId="0" borderId="14" xfId="0" applyNumberFormat="1" applyFont="1" applyFill="1" applyBorder="1" applyAlignment="1">
      <alignment horizontal="left"/>
    </xf>
    <xf numFmtId="49" fontId="11" fillId="0" borderId="14" xfId="0" applyNumberFormat="1" applyFont="1" applyFill="1" applyBorder="1" applyAlignment="1">
      <alignment horizontal="center" vertical="center"/>
    </xf>
    <xf numFmtId="3" fontId="11" fillId="0" borderId="11" xfId="0" applyNumberFormat="1" applyFont="1" applyFill="1" applyBorder="1" applyAlignment="1">
      <alignment horizontal="center"/>
    </xf>
    <xf numFmtId="49" fontId="11" fillId="0" borderId="5" xfId="0" applyNumberFormat="1" applyFont="1" applyFill="1" applyBorder="1" applyAlignment="1">
      <alignment horizontal="center" vertical="center"/>
    </xf>
    <xf numFmtId="1" fontId="34" fillId="0" borderId="3" xfId="0" applyNumberFormat="1" applyFont="1" applyFill="1" applyBorder="1" applyAlignment="1">
      <alignment horizontal="center" vertical="center"/>
    </xf>
    <xf numFmtId="0" fontId="34" fillId="0" borderId="10" xfId="0" applyFont="1" applyFill="1" applyBorder="1" applyAlignment="1">
      <alignment vertical="center"/>
    </xf>
    <xf numFmtId="171" fontId="11" fillId="0" borderId="11" xfId="0" applyNumberFormat="1" applyFont="1" applyFill="1" applyBorder="1" applyAlignment="1">
      <alignment horizontal="center"/>
    </xf>
    <xf numFmtId="1" fontId="34" fillId="0" borderId="5" xfId="0" applyNumberFormat="1" applyFont="1" applyFill="1" applyBorder="1" applyAlignment="1">
      <alignment horizontal="center" vertical="center"/>
    </xf>
    <xf numFmtId="0" fontId="34" fillId="0" borderId="0" xfId="0" applyFont="1" applyFill="1" applyBorder="1" applyAlignment="1">
      <alignment vertical="center"/>
    </xf>
    <xf numFmtId="171" fontId="11" fillId="0" borderId="0" xfId="0" applyNumberFormat="1" applyFont="1" applyFill="1" applyBorder="1" applyAlignment="1">
      <alignment horizontal="center"/>
    </xf>
    <xf numFmtId="1" fontId="11" fillId="0" borderId="5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left"/>
      <protection locked="0"/>
    </xf>
    <xf numFmtId="0" fontId="11" fillId="0" borderId="5" xfId="0" applyFont="1" applyFill="1" applyBorder="1" applyAlignment="1" applyProtection="1">
      <alignment horizontal="left" vertical="center"/>
      <protection locked="0"/>
    </xf>
    <xf numFmtId="3" fontId="11" fillId="0" borderId="0" xfId="0" applyNumberFormat="1" applyFont="1" applyFill="1" applyBorder="1" applyAlignment="1" applyProtection="1">
      <alignment horizontal="center"/>
      <protection locked="0"/>
    </xf>
    <xf numFmtId="0" fontId="11" fillId="5" borderId="10" xfId="0" applyFont="1" applyFill="1" applyBorder="1"/>
    <xf numFmtId="0" fontId="34" fillId="0" borderId="22" xfId="0" applyFont="1" applyBorder="1" applyAlignment="1">
      <alignment horizontal="center" vertical="center"/>
    </xf>
    <xf numFmtId="1" fontId="11" fillId="0" borderId="3" xfId="0" applyNumberFormat="1" applyFont="1" applyFill="1" applyBorder="1" applyAlignment="1" applyProtection="1">
      <alignment horizontal="center"/>
      <protection locked="0"/>
    </xf>
    <xf numFmtId="0" fontId="11" fillId="0" borderId="10" xfId="0" applyFont="1" applyFill="1" applyBorder="1" applyAlignment="1" applyProtection="1">
      <alignment horizontal="left"/>
      <protection locked="0"/>
    </xf>
    <xf numFmtId="0" fontId="11" fillId="0" borderId="3" xfId="0" applyFont="1" applyFill="1" applyBorder="1" applyAlignment="1" applyProtection="1">
      <alignment horizontal="left" vertical="center"/>
      <protection locked="0"/>
    </xf>
    <xf numFmtId="3" fontId="11" fillId="0" borderId="11" xfId="0" applyNumberFormat="1" applyFont="1" applyFill="1" applyBorder="1" applyAlignment="1" applyProtection="1">
      <alignment horizontal="center"/>
      <protection locked="0"/>
    </xf>
    <xf numFmtId="3" fontId="21" fillId="0" borderId="3" xfId="0" applyNumberFormat="1" applyFont="1" applyFill="1" applyBorder="1" applyAlignment="1">
      <alignment vertical="center" wrapText="1"/>
    </xf>
    <xf numFmtId="0" fontId="34" fillId="0" borderId="20" xfId="0" applyFont="1" applyFill="1" applyBorder="1" applyAlignment="1">
      <alignment horizontal="center" vertical="center"/>
    </xf>
    <xf numFmtId="0" fontId="11" fillId="0" borderId="5" xfId="0" applyFont="1" applyFill="1" applyBorder="1" applyAlignment="1" applyProtection="1">
      <alignment horizontal="left"/>
      <protection locked="0"/>
    </xf>
    <xf numFmtId="0" fontId="11" fillId="0" borderId="19" xfId="0" applyNumberFormat="1" applyFont="1" applyFill="1" applyBorder="1" applyAlignment="1">
      <alignment horizontal="center" vertical="center" wrapText="1"/>
    </xf>
    <xf numFmtId="0" fontId="11" fillId="0" borderId="19" xfId="0" applyNumberFormat="1" applyFont="1" applyFill="1" applyBorder="1" applyAlignment="1">
      <alignment horizontal="left" vertical="center" wrapText="1"/>
    </xf>
    <xf numFmtId="49" fontId="11" fillId="0" borderId="0" xfId="0" applyNumberFormat="1" applyFont="1" applyFill="1" applyBorder="1" applyAlignment="1">
      <alignment horizontal="left"/>
    </xf>
    <xf numFmtId="3" fontId="5" fillId="0" borderId="3" xfId="0" applyNumberFormat="1" applyFont="1" applyFill="1" applyBorder="1" applyAlignment="1">
      <alignment horizontal="right" vertical="center" wrapText="1"/>
    </xf>
    <xf numFmtId="49" fontId="11" fillId="0" borderId="4" xfId="0" applyNumberFormat="1" applyFont="1" applyFill="1" applyBorder="1" applyAlignment="1">
      <alignment horizontal="left"/>
    </xf>
    <xf numFmtId="3" fontId="5" fillId="0" borderId="3" xfId="0" applyNumberFormat="1" applyFont="1" applyBorder="1" applyAlignment="1">
      <alignment horizontal="right" vertical="center" wrapText="1"/>
    </xf>
    <xf numFmtId="0" fontId="5" fillId="0" borderId="19" xfId="0" applyFont="1" applyFill="1" applyBorder="1"/>
    <xf numFmtId="0" fontId="5" fillId="0" borderId="14" xfId="0" applyFont="1" applyFill="1" applyBorder="1"/>
    <xf numFmtId="0" fontId="11" fillId="0" borderId="4" xfId="0" applyFont="1" applyFill="1" applyBorder="1"/>
    <xf numFmtId="0" fontId="10" fillId="0" borderId="20" xfId="0" applyFont="1" applyBorder="1" applyAlignment="1">
      <alignment horizontal="center" vertical="center"/>
    </xf>
    <xf numFmtId="3" fontId="8" fillId="5" borderId="0" xfId="0" applyNumberFormat="1" applyFont="1" applyFill="1" applyBorder="1" applyAlignment="1">
      <alignment horizontal="center" vertical="center" wrapText="1"/>
    </xf>
    <xf numFmtId="3" fontId="11" fillId="5" borderId="3" xfId="0" applyNumberFormat="1" applyFont="1" applyFill="1" applyBorder="1" applyAlignment="1">
      <alignment horizontal="center" vertical="center"/>
    </xf>
    <xf numFmtId="0" fontId="10" fillId="5" borderId="17" xfId="0" applyFont="1" applyFill="1" applyBorder="1" applyAlignment="1">
      <alignment horizontal="center" vertical="center"/>
    </xf>
    <xf numFmtId="3" fontId="11" fillId="5" borderId="3" xfId="0" applyNumberFormat="1" applyFont="1" applyFill="1" applyBorder="1" applyAlignment="1">
      <alignment horizontal="right" vertical="center"/>
    </xf>
    <xf numFmtId="3" fontId="13" fillId="2" borderId="17" xfId="1" applyNumberFormat="1" applyFont="1" applyBorder="1" applyAlignment="1">
      <alignment vertical="center"/>
    </xf>
    <xf numFmtId="0" fontId="5" fillId="5" borderId="0" xfId="0" applyFont="1" applyFill="1" applyBorder="1" applyAlignment="1">
      <alignment wrapText="1"/>
    </xf>
    <xf numFmtId="3" fontId="4" fillId="5" borderId="0" xfId="0" applyNumberFormat="1" applyFont="1" applyFill="1" applyBorder="1" applyAlignment="1">
      <alignment vertical="center" wrapText="1"/>
    </xf>
    <xf numFmtId="0" fontId="34" fillId="0" borderId="19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vertical="center" wrapText="1"/>
    </xf>
    <xf numFmtId="3" fontId="11" fillId="0" borderId="5" xfId="0" applyNumberFormat="1" applyFont="1" applyFill="1" applyBorder="1" applyAlignment="1">
      <alignment vertical="center" wrapText="1"/>
    </xf>
    <xf numFmtId="1" fontId="5" fillId="0" borderId="19" xfId="0" applyNumberFormat="1" applyFont="1" applyFill="1" applyBorder="1" applyAlignment="1">
      <alignment horizontal="center" vertical="center" wrapText="1"/>
    </xf>
    <xf numFmtId="14" fontId="5" fillId="0" borderId="19" xfId="0" applyNumberFormat="1" applyFont="1" applyFill="1" applyBorder="1" applyAlignment="1">
      <alignment horizontal="center" vertical="center" wrapText="1"/>
    </xf>
    <xf numFmtId="3" fontId="5" fillId="0" borderId="19" xfId="0" applyNumberFormat="1" applyFont="1" applyFill="1" applyBorder="1" applyAlignment="1">
      <alignment horizontal="center" vertical="center" wrapText="1"/>
    </xf>
    <xf numFmtId="14" fontId="5" fillId="0" borderId="19" xfId="0" applyNumberFormat="1" applyFont="1" applyFill="1" applyBorder="1" applyAlignment="1">
      <alignment horizontal="left" vertical="center" wrapText="1"/>
    </xf>
    <xf numFmtId="3" fontId="5" fillId="0" borderId="19" xfId="0" applyNumberFormat="1" applyFont="1" applyFill="1" applyBorder="1" applyAlignment="1">
      <alignment horizontal="left" vertical="center" wrapText="1"/>
    </xf>
    <xf numFmtId="3" fontId="34" fillId="0" borderId="19" xfId="0" applyNumberFormat="1" applyFont="1" applyFill="1" applyBorder="1" applyAlignment="1">
      <alignment vertical="center"/>
    </xf>
    <xf numFmtId="3" fontId="11" fillId="0" borderId="19" xfId="0" applyNumberFormat="1" applyFont="1" applyFill="1" applyBorder="1" applyAlignment="1">
      <alignment horizontal="right" vertical="center"/>
    </xf>
    <xf numFmtId="0" fontId="20" fillId="4" borderId="3" xfId="0" applyFont="1" applyFill="1" applyBorder="1" applyAlignment="1">
      <alignment horizontal="center" vertical="center" wrapText="1"/>
    </xf>
    <xf numFmtId="0" fontId="1" fillId="4" borderId="3" xfId="2" applyFill="1" applyBorder="1" applyAlignment="1">
      <alignment horizontal="center" vertical="center" wrapText="1"/>
    </xf>
    <xf numFmtId="166" fontId="11" fillId="0" borderId="4" xfId="4" applyFont="1" applyBorder="1" applyAlignment="1">
      <alignment horizontal="left" vertical="center"/>
    </xf>
    <xf numFmtId="166" fontId="12" fillId="0" borderId="5" xfId="4" applyFont="1" applyBorder="1" applyAlignment="1">
      <alignment horizontal="left" vertical="center"/>
    </xf>
    <xf numFmtId="1" fontId="11" fillId="0" borderId="5" xfId="4" applyNumberFormat="1" applyFont="1" applyBorder="1" applyAlignment="1">
      <alignment horizontal="center" vertical="center"/>
    </xf>
    <xf numFmtId="166" fontId="11" fillId="0" borderId="5" xfId="4" applyFont="1" applyBorder="1" applyAlignment="1">
      <alignment horizontal="left" wrapText="1"/>
    </xf>
    <xf numFmtId="0" fontId="23" fillId="5" borderId="3" xfId="0" applyFont="1" applyFill="1" applyBorder="1" applyAlignment="1" applyProtection="1">
      <alignment horizontal="center" vertical="center"/>
      <protection locked="0"/>
    </xf>
    <xf numFmtId="0" fontId="23" fillId="5" borderId="3" xfId="0" applyFont="1" applyFill="1" applyBorder="1" applyAlignment="1" applyProtection="1">
      <alignment vertical="center" wrapText="1"/>
      <protection locked="0"/>
    </xf>
    <xf numFmtId="0" fontId="35" fillId="5" borderId="3" xfId="0" applyFont="1" applyFill="1" applyBorder="1" applyAlignment="1" applyProtection="1">
      <alignment horizontal="left" vertical="center" wrapText="1"/>
      <protection locked="0"/>
    </xf>
    <xf numFmtId="49" fontId="23" fillId="5" borderId="3" xfId="0" applyNumberFormat="1" applyFont="1" applyFill="1" applyBorder="1" applyAlignment="1" applyProtection="1">
      <alignment horizontal="center" vertical="center"/>
      <protection locked="0"/>
    </xf>
    <xf numFmtId="3" fontId="23" fillId="5" borderId="3" xfId="0" applyNumberFormat="1" applyFont="1" applyFill="1" applyBorder="1" applyAlignment="1" applyProtection="1">
      <alignment vertical="center" wrapText="1"/>
      <protection locked="0"/>
    </xf>
    <xf numFmtId="3" fontId="20" fillId="5" borderId="3" xfId="0" applyNumberFormat="1" applyFont="1" applyFill="1" applyBorder="1" applyAlignment="1" applyProtection="1">
      <alignment vertical="center" wrapText="1"/>
      <protection locked="0"/>
    </xf>
    <xf numFmtId="1" fontId="35" fillId="5" borderId="3" xfId="0" applyNumberFormat="1" applyFont="1" applyFill="1" applyBorder="1" applyAlignment="1" applyProtection="1">
      <alignment horizontal="center" vertical="center" wrapText="1"/>
      <protection locked="0"/>
    </xf>
    <xf numFmtId="14" fontId="35" fillId="5" borderId="3" xfId="0" applyNumberFormat="1" applyFont="1" applyFill="1" applyBorder="1" applyAlignment="1" applyProtection="1">
      <alignment horizontal="center" vertical="center" wrapText="1"/>
      <protection locked="0"/>
    </xf>
    <xf numFmtId="14" fontId="35" fillId="5" borderId="3" xfId="0" applyNumberFormat="1" applyFont="1" applyFill="1" applyBorder="1" applyAlignment="1" applyProtection="1">
      <alignment horizontal="left" vertical="center" wrapText="1"/>
      <protection locked="0"/>
    </xf>
    <xf numFmtId="3" fontId="35" fillId="5" borderId="3" xfId="0" applyNumberFormat="1" applyFont="1" applyFill="1" applyBorder="1" applyAlignment="1" applyProtection="1">
      <alignment horizontal="center" vertical="center" wrapText="1"/>
      <protection locked="0"/>
    </xf>
    <xf numFmtId="0" fontId="35" fillId="5" borderId="3" xfId="0" applyFont="1" applyFill="1" applyBorder="1" applyAlignment="1" applyProtection="1">
      <alignment horizontal="center" vertical="center" wrapText="1"/>
      <protection locked="0"/>
    </xf>
    <xf numFmtId="3" fontId="20" fillId="5" borderId="3" xfId="0" applyNumberFormat="1" applyFont="1" applyFill="1" applyBorder="1" applyAlignment="1" applyProtection="1">
      <alignment horizontal="right" vertical="center"/>
      <protection locked="0"/>
    </xf>
    <xf numFmtId="3" fontId="20" fillId="5" borderId="0" xfId="0" applyNumberFormat="1" applyFont="1" applyFill="1" applyBorder="1" applyAlignment="1" applyProtection="1">
      <alignment vertical="center" wrapText="1"/>
      <protection locked="0"/>
    </xf>
    <xf numFmtId="3" fontId="36" fillId="5" borderId="3" xfId="0" applyNumberFormat="1" applyFont="1" applyFill="1" applyBorder="1" applyAlignment="1" applyProtection="1">
      <alignment vertical="center" wrapText="1"/>
      <protection locked="0"/>
    </xf>
    <xf numFmtId="0" fontId="35" fillId="5" borderId="14" xfId="0" applyFont="1" applyFill="1" applyBorder="1" applyAlignment="1" applyProtection="1">
      <alignment horizontal="left" vertical="center" wrapText="1"/>
      <protection locked="0"/>
    </xf>
    <xf numFmtId="0" fontId="23" fillId="5" borderId="3" xfId="0" applyFont="1" applyFill="1" applyBorder="1" applyAlignment="1">
      <alignment horizontal="center" vertical="center"/>
    </xf>
    <xf numFmtId="0" fontId="23" fillId="5" borderId="3" xfId="0" applyFont="1" applyFill="1" applyBorder="1" applyAlignment="1">
      <alignment vertical="center" wrapText="1"/>
    </xf>
    <xf numFmtId="0" fontId="35" fillId="5" borderId="3" xfId="0" applyFont="1" applyFill="1" applyBorder="1" applyAlignment="1">
      <alignment horizontal="left" vertical="center" wrapText="1"/>
    </xf>
    <xf numFmtId="49" fontId="23" fillId="5" borderId="3" xfId="0" applyNumberFormat="1" applyFont="1" applyFill="1" applyBorder="1" applyAlignment="1">
      <alignment horizontal="center" vertical="center"/>
    </xf>
    <xf numFmtId="3" fontId="23" fillId="5" borderId="3" xfId="0" applyNumberFormat="1" applyFont="1" applyFill="1" applyBorder="1" applyAlignment="1">
      <alignment vertical="center" wrapText="1"/>
    </xf>
    <xf numFmtId="3" fontId="20" fillId="5" borderId="3" xfId="0" applyNumberFormat="1" applyFont="1" applyFill="1" applyBorder="1" applyAlignment="1">
      <alignment vertical="center" wrapText="1"/>
    </xf>
    <xf numFmtId="1" fontId="35" fillId="5" borderId="3" xfId="0" applyNumberFormat="1" applyFont="1" applyFill="1" applyBorder="1" applyAlignment="1">
      <alignment horizontal="center" vertical="center" wrapText="1"/>
    </xf>
    <xf numFmtId="14" fontId="35" fillId="5" borderId="3" xfId="0" applyNumberFormat="1" applyFont="1" applyFill="1" applyBorder="1" applyAlignment="1">
      <alignment horizontal="center" vertical="center" wrapText="1"/>
    </xf>
    <xf numFmtId="14" fontId="35" fillId="5" borderId="3" xfId="0" applyNumberFormat="1" applyFont="1" applyFill="1" applyBorder="1" applyAlignment="1">
      <alignment horizontal="left" vertical="center" wrapText="1"/>
    </xf>
    <xf numFmtId="3" fontId="35" fillId="5" borderId="3" xfId="0" applyNumberFormat="1" applyFont="1" applyFill="1" applyBorder="1" applyAlignment="1">
      <alignment horizontal="center" vertical="center" wrapText="1"/>
    </xf>
    <xf numFmtId="0" fontId="35" fillId="5" borderId="3" xfId="0" applyFont="1" applyFill="1" applyBorder="1" applyAlignment="1">
      <alignment horizontal="center" vertical="center" wrapText="1"/>
    </xf>
    <xf numFmtId="3" fontId="20" fillId="5" borderId="3" xfId="0" applyNumberFormat="1" applyFont="1" applyFill="1" applyBorder="1" applyAlignment="1">
      <alignment horizontal="right" vertical="center"/>
    </xf>
    <xf numFmtId="3" fontId="23" fillId="5" borderId="0" xfId="0" applyNumberFormat="1" applyFont="1" applyFill="1" applyBorder="1" applyAlignment="1">
      <alignment vertical="center" wrapText="1"/>
    </xf>
    <xf numFmtId="0" fontId="35" fillId="5" borderId="14" xfId="0" applyFont="1" applyFill="1" applyBorder="1" applyAlignment="1">
      <alignment horizontal="left" vertical="center" wrapText="1"/>
    </xf>
    <xf numFmtId="3" fontId="35" fillId="5" borderId="3" xfId="0" applyNumberFormat="1" applyFont="1" applyFill="1" applyBorder="1" applyAlignment="1">
      <alignment vertical="center" wrapText="1"/>
    </xf>
    <xf numFmtId="168" fontId="23" fillId="5" borderId="3" xfId="0" applyNumberFormat="1" applyFont="1" applyFill="1" applyBorder="1" applyAlignment="1">
      <alignment horizontal="right" vertical="center" wrapText="1"/>
    </xf>
    <xf numFmtId="3" fontId="23" fillId="5" borderId="3" xfId="0" applyNumberFormat="1" applyFont="1" applyFill="1" applyBorder="1" applyAlignment="1">
      <alignment horizontal="center" vertical="center"/>
    </xf>
    <xf numFmtId="49" fontId="35" fillId="5" borderId="3" xfId="0" applyNumberFormat="1" applyFont="1" applyFill="1" applyBorder="1" applyAlignment="1">
      <alignment horizontal="center" vertical="center" wrapText="1"/>
    </xf>
    <xf numFmtId="3" fontId="36" fillId="5" borderId="0" xfId="0" applyNumberFormat="1" applyFont="1" applyFill="1" applyAlignment="1">
      <alignment vertical="center" wrapText="1"/>
    </xf>
    <xf numFmtId="0" fontId="35" fillId="5" borderId="3" xfId="0" applyFont="1" applyFill="1" applyBorder="1" applyAlignment="1">
      <alignment vertical="center" wrapText="1"/>
    </xf>
    <xf numFmtId="0" fontId="35" fillId="5" borderId="0" xfId="0" applyFont="1" applyFill="1" applyAlignment="1">
      <alignment vertical="center" wrapText="1"/>
    </xf>
    <xf numFmtId="3" fontId="20" fillId="5" borderId="3" xfId="0" applyNumberFormat="1" applyFont="1" applyFill="1" applyBorder="1" applyAlignment="1">
      <alignment horizontal="center" vertical="center"/>
    </xf>
    <xf numFmtId="169" fontId="23" fillId="5" borderId="3" xfId="0" applyNumberFormat="1" applyFont="1" applyFill="1" applyBorder="1" applyAlignment="1" applyProtection="1">
      <alignment horizontal="right" vertical="center" wrapText="1"/>
    </xf>
    <xf numFmtId="0" fontId="23" fillId="5" borderId="3" xfId="0" applyFont="1" applyFill="1" applyBorder="1" applyAlignment="1">
      <alignment horizontal="left" vertical="center" wrapText="1"/>
    </xf>
    <xf numFmtId="170" fontId="23" fillId="5" borderId="3" xfId="7" applyNumberFormat="1" applyFont="1" applyFill="1" applyBorder="1" applyAlignment="1">
      <alignment horizontal="center" vertical="center"/>
    </xf>
    <xf numFmtId="164" fontId="23" fillId="5" borderId="3" xfId="7" applyFont="1" applyFill="1" applyBorder="1" applyAlignment="1">
      <alignment horizontal="center" vertical="center"/>
    </xf>
    <xf numFmtId="3" fontId="23" fillId="5" borderId="3" xfId="7" applyNumberFormat="1" applyFont="1" applyFill="1" applyBorder="1" applyAlignment="1">
      <alignment horizontal="right" vertical="center"/>
    </xf>
    <xf numFmtId="164" fontId="23" fillId="5" borderId="3" xfId="7" applyFont="1" applyFill="1" applyBorder="1" applyAlignment="1">
      <alignment horizontal="right" vertical="center"/>
    </xf>
    <xf numFmtId="168" fontId="23" fillId="5" borderId="3" xfId="7" applyNumberFormat="1" applyFont="1" applyFill="1" applyBorder="1" applyAlignment="1">
      <alignment horizontal="right" vertical="center"/>
    </xf>
    <xf numFmtId="14" fontId="23" fillId="5" borderId="3" xfId="7" applyNumberFormat="1" applyFont="1" applyFill="1" applyBorder="1" applyAlignment="1">
      <alignment horizontal="right" vertical="center"/>
    </xf>
    <xf numFmtId="3" fontId="23" fillId="5" borderId="3" xfId="7" applyNumberFormat="1" applyFont="1" applyFill="1" applyBorder="1" applyAlignment="1">
      <alignment horizontal="center" vertical="center"/>
    </xf>
    <xf numFmtId="3" fontId="23" fillId="5" borderId="3" xfId="0" applyNumberFormat="1" applyFont="1" applyFill="1" applyBorder="1" applyAlignment="1">
      <alignment horizontal="right" vertical="center" wrapText="1"/>
    </xf>
    <xf numFmtId="0" fontId="23" fillId="5" borderId="3" xfId="0" applyFont="1" applyFill="1" applyBorder="1" applyAlignment="1">
      <alignment horizontal="right" vertical="center" wrapText="1"/>
    </xf>
    <xf numFmtId="0" fontId="23" fillId="5" borderId="0" xfId="0" applyFont="1" applyFill="1" applyAlignment="1">
      <alignment vertical="center" wrapText="1"/>
    </xf>
    <xf numFmtId="1" fontId="23" fillId="5" borderId="3" xfId="4" applyNumberFormat="1" applyFont="1" applyFill="1" applyBorder="1" applyAlignment="1">
      <alignment horizontal="center" vertical="center" wrapText="1"/>
    </xf>
    <xf numFmtId="166" fontId="23" fillId="5" borderId="3" xfId="4" applyFont="1" applyFill="1" applyBorder="1" applyAlignment="1">
      <alignment horizontal="left" vertical="center" wrapText="1"/>
    </xf>
    <xf numFmtId="0" fontId="23" fillId="5" borderId="3" xfId="0" applyFont="1" applyFill="1" applyBorder="1" applyAlignment="1">
      <alignment horizontal="center" vertical="center" wrapText="1"/>
    </xf>
    <xf numFmtId="165" fontId="23" fillId="5" borderId="3" xfId="3" applyNumberFormat="1" applyFont="1" applyFill="1" applyBorder="1" applyAlignment="1">
      <alignment horizontal="left" vertical="center" wrapText="1" indent="3"/>
    </xf>
    <xf numFmtId="3" fontId="36" fillId="5" borderId="3" xfId="0" applyNumberFormat="1" applyFont="1" applyFill="1" applyBorder="1" applyAlignment="1">
      <alignment vertical="center" wrapText="1"/>
    </xf>
    <xf numFmtId="167" fontId="23" fillId="5" borderId="3" xfId="4" applyNumberFormat="1" applyFont="1" applyFill="1" applyBorder="1" applyAlignment="1">
      <alignment horizontal="center" vertical="center" wrapText="1"/>
    </xf>
    <xf numFmtId="1" fontId="23" fillId="5" borderId="3" xfId="4" applyNumberFormat="1" applyFont="1" applyFill="1" applyBorder="1" applyAlignment="1">
      <alignment horizontal="center" vertical="center"/>
    </xf>
    <xf numFmtId="167" fontId="23" fillId="5" borderId="3" xfId="4" applyNumberFormat="1" applyFont="1" applyFill="1" applyBorder="1" applyAlignment="1">
      <alignment horizontal="center" vertical="center"/>
    </xf>
    <xf numFmtId="166" fontId="23" fillId="5" borderId="3" xfId="4" applyFont="1" applyFill="1" applyBorder="1" applyAlignment="1">
      <alignment horizontal="left" vertical="center"/>
    </xf>
    <xf numFmtId="166" fontId="23" fillId="5" borderId="3" xfId="4" applyFont="1" applyFill="1" applyBorder="1" applyAlignment="1">
      <alignment horizontal="left" wrapText="1"/>
    </xf>
    <xf numFmtId="1" fontId="23" fillId="5" borderId="3" xfId="4" applyNumberFormat="1" applyFont="1" applyFill="1" applyBorder="1" applyAlignment="1" applyProtection="1">
      <alignment horizontal="center" vertical="center"/>
      <protection locked="0"/>
    </xf>
    <xf numFmtId="0" fontId="23" fillId="5" borderId="3" xfId="9" applyFont="1" applyFill="1" applyBorder="1" applyAlignment="1">
      <alignment horizontal="left" vertical="center" wrapText="1"/>
    </xf>
    <xf numFmtId="166" fontId="23" fillId="5" borderId="4" xfId="4" applyFont="1" applyFill="1" applyBorder="1" applyAlignment="1" applyProtection="1">
      <alignment horizontal="left" vertical="center"/>
      <protection locked="0"/>
    </xf>
    <xf numFmtId="3" fontId="23" fillId="5" borderId="3" xfId="0" applyNumberFormat="1" applyFont="1" applyFill="1" applyBorder="1" applyAlignment="1" applyProtection="1">
      <alignment vertical="center"/>
      <protection locked="0"/>
    </xf>
    <xf numFmtId="3" fontId="20" fillId="5" borderId="3" xfId="0" applyNumberFormat="1" applyFont="1" applyFill="1" applyBorder="1" applyAlignment="1" applyProtection="1">
      <alignment vertical="center"/>
      <protection locked="0"/>
    </xf>
    <xf numFmtId="1" fontId="35" fillId="5" borderId="3" xfId="0" applyNumberFormat="1" applyFont="1" applyFill="1" applyBorder="1" applyAlignment="1" applyProtection="1">
      <alignment horizontal="center" vertical="center"/>
      <protection locked="0"/>
    </xf>
    <xf numFmtId="14" fontId="35" fillId="5" borderId="3" xfId="0" applyNumberFormat="1" applyFont="1" applyFill="1" applyBorder="1" applyAlignment="1" applyProtection="1">
      <alignment horizontal="center" vertical="center"/>
      <protection locked="0"/>
    </xf>
    <xf numFmtId="0" fontId="35" fillId="5" borderId="3" xfId="0" applyFont="1" applyFill="1" applyBorder="1" applyAlignment="1" applyProtection="1">
      <alignment horizontal="center" vertical="center"/>
      <protection locked="0"/>
    </xf>
    <xf numFmtId="14" fontId="35" fillId="5" borderId="3" xfId="0" applyNumberFormat="1" applyFont="1" applyFill="1" applyBorder="1" applyAlignment="1" applyProtection="1">
      <alignment horizontal="left" vertical="center"/>
      <protection locked="0"/>
    </xf>
    <xf numFmtId="166" fontId="23" fillId="5" borderId="3" xfId="4" applyFont="1" applyFill="1" applyBorder="1" applyAlignment="1" applyProtection="1">
      <alignment horizontal="left" vertical="center"/>
      <protection locked="0"/>
    </xf>
    <xf numFmtId="3" fontId="35" fillId="5" borderId="3" xfId="0" applyNumberFormat="1" applyFont="1" applyFill="1" applyBorder="1" applyAlignment="1" applyProtection="1">
      <alignment horizontal="center" vertical="center"/>
      <protection locked="0"/>
    </xf>
    <xf numFmtId="0" fontId="35" fillId="5" borderId="3" xfId="0" applyFont="1" applyFill="1" applyBorder="1" applyAlignment="1" applyProtection="1">
      <alignment horizontal="left" vertical="center"/>
      <protection locked="0"/>
    </xf>
    <xf numFmtId="1" fontId="23" fillId="5" borderId="5" xfId="4" applyNumberFormat="1" applyFont="1" applyFill="1" applyBorder="1" applyAlignment="1" applyProtection="1">
      <alignment horizontal="center" vertical="center"/>
      <protection locked="0"/>
    </xf>
    <xf numFmtId="0" fontId="23" fillId="5" borderId="3" xfId="9" applyFont="1" applyFill="1" applyBorder="1" applyAlignment="1">
      <alignment horizontal="center" vertical="center"/>
    </xf>
    <xf numFmtId="1" fontId="23" fillId="5" borderId="3" xfId="0" applyNumberFormat="1" applyFont="1" applyFill="1" applyBorder="1" applyAlignment="1" applyProtection="1">
      <alignment horizontal="center" vertical="center"/>
      <protection locked="0"/>
    </xf>
    <xf numFmtId="0" fontId="23" fillId="5" borderId="3" xfId="0" applyFont="1" applyFill="1" applyBorder="1" applyAlignment="1" applyProtection="1">
      <alignment vertical="center"/>
      <protection locked="0"/>
    </xf>
    <xf numFmtId="0" fontId="34" fillId="0" borderId="13" xfId="0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wrapText="1"/>
    </xf>
    <xf numFmtId="0" fontId="11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left" vertical="center" wrapText="1"/>
    </xf>
    <xf numFmtId="165" fontId="11" fillId="0" borderId="3" xfId="3" applyNumberFormat="1" applyFont="1" applyFill="1" applyBorder="1" applyAlignment="1">
      <alignment horizontal="center" vertical="center"/>
    </xf>
    <xf numFmtId="165" fontId="11" fillId="0" borderId="3" xfId="3" applyNumberFormat="1" applyFont="1" applyFill="1" applyBorder="1" applyAlignment="1">
      <alignment vertical="center" wrapText="1"/>
    </xf>
    <xf numFmtId="165" fontId="11" fillId="0" borderId="4" xfId="3" applyNumberFormat="1" applyFont="1" applyFill="1" applyBorder="1" applyAlignment="1">
      <alignment horizontal="center" vertical="center"/>
    </xf>
    <xf numFmtId="165" fontId="11" fillId="0" borderId="3" xfId="3" applyNumberFormat="1" applyFont="1" applyFill="1" applyBorder="1" applyAlignment="1">
      <alignment horizontal="right" vertical="center"/>
    </xf>
    <xf numFmtId="165" fontId="11" fillId="0" borderId="3" xfId="3" applyNumberFormat="1" applyFont="1" applyFill="1" applyBorder="1" applyAlignment="1">
      <alignment horizontal="right" vertical="center" wrapText="1"/>
    </xf>
    <xf numFmtId="14" fontId="5" fillId="0" borderId="3" xfId="0" applyNumberFormat="1" applyFont="1" applyBorder="1" applyAlignment="1">
      <alignment horizontal="right" vertical="center" wrapText="1"/>
    </xf>
    <xf numFmtId="3" fontId="37" fillId="0" borderId="12" xfId="0" applyNumberFormat="1" applyFont="1" applyBorder="1" applyAlignment="1">
      <alignment vertical="center"/>
    </xf>
    <xf numFmtId="3" fontId="4" fillId="0" borderId="12" xfId="0" applyNumberFormat="1" applyFont="1" applyFill="1" applyBorder="1" applyAlignment="1">
      <alignment horizontal="right" vertical="center"/>
    </xf>
    <xf numFmtId="0" fontId="34" fillId="0" borderId="3" xfId="0" applyFont="1" applyBorder="1" applyAlignment="1">
      <alignment horizontal="center" vertical="center"/>
    </xf>
    <xf numFmtId="49" fontId="11" fillId="0" borderId="12" xfId="0" applyNumberFormat="1" applyFont="1" applyFill="1" applyBorder="1" applyAlignment="1">
      <alignment horizontal="center" vertical="center"/>
    </xf>
    <xf numFmtId="165" fontId="11" fillId="0" borderId="12" xfId="3" applyNumberFormat="1" applyFont="1" applyFill="1" applyBorder="1" applyAlignment="1">
      <alignment horizontal="center" vertical="center"/>
    </xf>
    <xf numFmtId="165" fontId="11" fillId="0" borderId="12" xfId="3" applyNumberFormat="1" applyFont="1" applyFill="1" applyBorder="1" applyAlignment="1">
      <alignment vertical="center" wrapText="1"/>
    </xf>
    <xf numFmtId="165" fontId="11" fillId="0" borderId="16" xfId="3" applyNumberFormat="1" applyFont="1" applyFill="1" applyBorder="1" applyAlignment="1">
      <alignment horizontal="center" vertical="center"/>
    </xf>
    <xf numFmtId="3" fontId="4" fillId="0" borderId="0" xfId="0" applyNumberFormat="1" applyFont="1" applyFill="1" applyBorder="1" applyAlignment="1">
      <alignment vertical="center" wrapText="1"/>
    </xf>
    <xf numFmtId="0" fontId="34" fillId="0" borderId="3" xfId="0" applyFont="1" applyFill="1" applyBorder="1" applyAlignment="1">
      <alignment horizontal="center" vertical="center"/>
    </xf>
    <xf numFmtId="14" fontId="5" fillId="0" borderId="3" xfId="0" applyNumberFormat="1" applyFont="1" applyFill="1" applyBorder="1" applyAlignment="1">
      <alignment horizontal="right" vertical="center" wrapText="1"/>
    </xf>
    <xf numFmtId="14" fontId="4" fillId="0" borderId="3" xfId="0" applyNumberFormat="1" applyFont="1" applyFill="1" applyBorder="1" applyAlignment="1">
      <alignment vertical="center" wrapText="1"/>
    </xf>
    <xf numFmtId="0" fontId="35" fillId="0" borderId="3" xfId="0" applyFont="1" applyBorder="1" applyAlignment="1">
      <alignment horizontal="left" vertical="center" wrapText="1"/>
    </xf>
    <xf numFmtId="49" fontId="23" fillId="0" borderId="3" xfId="0" applyNumberFormat="1" applyFont="1" applyFill="1" applyBorder="1" applyAlignment="1">
      <alignment horizontal="center" vertical="center"/>
    </xf>
    <xf numFmtId="3" fontId="23" fillId="0" borderId="3" xfId="0" applyNumberFormat="1" applyFont="1" applyBorder="1" applyAlignment="1">
      <alignment vertical="center" wrapText="1"/>
    </xf>
    <xf numFmtId="3" fontId="35" fillId="0" borderId="0" xfId="0" applyNumberFormat="1" applyFont="1"/>
    <xf numFmtId="3" fontId="35" fillId="5" borderId="3" xfId="0" applyNumberFormat="1" applyFont="1" applyFill="1" applyBorder="1"/>
    <xf numFmtId="3" fontId="35" fillId="0" borderId="3" xfId="0" applyNumberFormat="1" applyFont="1" applyBorder="1"/>
    <xf numFmtId="3" fontId="20" fillId="0" borderId="3" xfId="0" applyNumberFormat="1" applyFont="1" applyFill="1" applyBorder="1" applyAlignment="1">
      <alignment vertical="center" wrapText="1"/>
    </xf>
    <xf numFmtId="0" fontId="35" fillId="0" borderId="3" xfId="0" applyFont="1" applyBorder="1" applyAlignment="1">
      <alignment horizontal="center" vertical="center" wrapText="1"/>
    </xf>
    <xf numFmtId="14" fontId="35" fillId="0" borderId="4" xfId="0" applyNumberFormat="1" applyFont="1" applyBorder="1" applyAlignment="1">
      <alignment horizontal="left" vertical="center" wrapText="1"/>
    </xf>
    <xf numFmtId="14" fontId="35" fillId="0" borderId="3" xfId="0" applyNumberFormat="1" applyFont="1" applyBorder="1" applyAlignment="1">
      <alignment horizontal="left" vertical="center" wrapText="1"/>
    </xf>
    <xf numFmtId="3" fontId="20" fillId="0" borderId="3" xfId="0" applyNumberFormat="1" applyFont="1" applyFill="1" applyBorder="1" applyAlignment="1">
      <alignment horizontal="right" vertical="center" wrapText="1"/>
    </xf>
    <xf numFmtId="3" fontId="35" fillId="0" borderId="3" xfId="0" applyNumberFormat="1" applyFont="1" applyBorder="1" applyAlignment="1">
      <alignment horizontal="center" vertical="center" wrapText="1"/>
    </xf>
    <xf numFmtId="14" fontId="35" fillId="0" borderId="3" xfId="0" applyNumberFormat="1" applyFont="1" applyBorder="1" applyAlignment="1">
      <alignment horizontal="center" vertical="center" wrapText="1"/>
    </xf>
    <xf numFmtId="3" fontId="20" fillId="0" borderId="3" xfId="0" applyNumberFormat="1" applyFont="1" applyFill="1" applyBorder="1" applyAlignment="1">
      <alignment horizontal="right" vertical="center"/>
    </xf>
    <xf numFmtId="3" fontId="23" fillId="0" borderId="4" xfId="0" applyNumberFormat="1" applyFont="1" applyBorder="1" applyAlignment="1">
      <alignment vertical="center" wrapText="1"/>
    </xf>
    <xf numFmtId="3" fontId="35" fillId="0" borderId="4" xfId="0" applyNumberFormat="1" applyFont="1" applyBorder="1"/>
    <xf numFmtId="3" fontId="36" fillId="0" borderId="3" xfId="0" applyNumberFormat="1" applyFont="1" applyFill="1" applyBorder="1" applyAlignment="1">
      <alignment vertical="center" wrapText="1"/>
    </xf>
    <xf numFmtId="3" fontId="35" fillId="0" borderId="3" xfId="0" applyNumberFormat="1" applyFont="1" applyFill="1" applyBorder="1" applyAlignment="1">
      <alignment horizontal="center" vertical="center" wrapText="1"/>
    </xf>
    <xf numFmtId="14" fontId="35" fillId="0" borderId="3" xfId="0" applyNumberFormat="1" applyFont="1" applyFill="1" applyBorder="1" applyAlignment="1">
      <alignment horizontal="center" vertical="center" wrapText="1"/>
    </xf>
    <xf numFmtId="14" fontId="35" fillId="0" borderId="3" xfId="0" applyNumberFormat="1" applyFont="1" applyFill="1" applyBorder="1" applyAlignment="1">
      <alignment horizontal="left" vertical="center" wrapText="1"/>
    </xf>
    <xf numFmtId="0" fontId="35" fillId="0" borderId="14" xfId="0" applyFont="1" applyBorder="1" applyAlignment="1">
      <alignment horizontal="left" vertical="center" wrapText="1"/>
    </xf>
    <xf numFmtId="0" fontId="35" fillId="0" borderId="3" xfId="0" applyFont="1" applyBorder="1" applyAlignment="1">
      <alignment vertical="center" wrapText="1"/>
    </xf>
    <xf numFmtId="14" fontId="35" fillId="0" borderId="3" xfId="0" applyNumberFormat="1" applyFont="1" applyBorder="1" applyAlignment="1">
      <alignment vertical="center" wrapText="1"/>
    </xf>
    <xf numFmtId="14" fontId="36" fillId="0" borderId="3" xfId="0" applyNumberFormat="1" applyFont="1" applyBorder="1" applyAlignment="1">
      <alignment horizontal="right" vertical="center" wrapText="1"/>
    </xf>
    <xf numFmtId="1" fontId="36" fillId="0" borderId="3" xfId="0" applyNumberFormat="1" applyFont="1" applyBorder="1" applyAlignment="1">
      <alignment horizontal="right" vertical="center" wrapText="1"/>
    </xf>
    <xf numFmtId="1" fontId="35" fillId="0" borderId="3" xfId="0" applyNumberFormat="1" applyFont="1" applyBorder="1" applyAlignment="1">
      <alignment horizontal="center" vertical="center" wrapText="1"/>
    </xf>
    <xf numFmtId="0" fontId="35" fillId="5" borderId="3" xfId="0" applyFont="1" applyFill="1" applyBorder="1" applyAlignment="1">
      <alignment horizontal="center" vertical="center"/>
    </xf>
    <xf numFmtId="1" fontId="35" fillId="0" borderId="3" xfId="0" applyNumberFormat="1" applyFont="1" applyBorder="1" applyAlignment="1">
      <alignment horizontal="left" vertical="center" wrapText="1"/>
    </xf>
    <xf numFmtId="3" fontId="20" fillId="0" borderId="3" xfId="0" applyNumberFormat="1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/>
    </xf>
    <xf numFmtId="0" fontId="23" fillId="0" borderId="3" xfId="5" applyFont="1" applyFill="1" applyBorder="1" applyAlignment="1">
      <alignment horizontal="center" vertical="center"/>
    </xf>
    <xf numFmtId="0" fontId="23" fillId="0" borderId="3" xfId="5" applyFont="1" applyFill="1" applyBorder="1" applyAlignment="1">
      <alignment vertical="center"/>
    </xf>
    <xf numFmtId="0" fontId="23" fillId="5" borderId="3" xfId="5" applyFont="1" applyFill="1" applyBorder="1" applyAlignment="1">
      <alignment horizontal="center" vertical="center"/>
    </xf>
    <xf numFmtId="0" fontId="23" fillId="5" borderId="3" xfId="5" applyFont="1" applyFill="1" applyBorder="1" applyAlignment="1">
      <alignment vertical="center"/>
    </xf>
    <xf numFmtId="3" fontId="23" fillId="5" borderId="4" xfId="0" applyNumberFormat="1" applyFont="1" applyFill="1" applyBorder="1" applyAlignment="1">
      <alignment vertical="center" wrapText="1"/>
    </xf>
    <xf numFmtId="0" fontId="36" fillId="0" borderId="3" xfId="0" applyFont="1" applyBorder="1" applyAlignment="1">
      <alignment vertical="center" wrapText="1"/>
    </xf>
    <xf numFmtId="0" fontId="23" fillId="0" borderId="3" xfId="0" applyFont="1" applyFill="1" applyBorder="1" applyAlignment="1">
      <alignment vertical="center"/>
    </xf>
    <xf numFmtId="0" fontId="23" fillId="0" borderId="18" xfId="5" applyFont="1" applyFill="1" applyBorder="1" applyAlignment="1">
      <alignment horizontal="center" vertical="center"/>
    </xf>
    <xf numFmtId="0" fontId="23" fillId="0" borderId="3" xfId="6" applyFont="1" applyFill="1" applyBorder="1" applyAlignment="1">
      <alignment vertical="center"/>
    </xf>
    <xf numFmtId="3" fontId="23" fillId="0" borderId="3" xfId="6" applyNumberFormat="1" applyFont="1" applyFill="1" applyBorder="1" applyAlignment="1">
      <alignment vertical="center"/>
    </xf>
    <xf numFmtId="3" fontId="20" fillId="0" borderId="19" xfId="0" applyNumberFormat="1" applyFont="1" applyFill="1" applyBorder="1" applyAlignment="1">
      <alignment vertical="center" wrapText="1"/>
    </xf>
    <xf numFmtId="0" fontId="11" fillId="0" borderId="10" xfId="0" applyFont="1" applyFill="1" applyBorder="1" applyAlignment="1">
      <alignment vertical="center" wrapText="1"/>
    </xf>
    <xf numFmtId="3" fontId="11" fillId="0" borderId="0" xfId="0" applyNumberFormat="1" applyFont="1"/>
    <xf numFmtId="3" fontId="23" fillId="9" borderId="3" xfId="0" applyNumberFormat="1" applyFont="1" applyFill="1" applyBorder="1" applyAlignment="1">
      <alignment vertical="center" wrapText="1"/>
    </xf>
    <xf numFmtId="0" fontId="23" fillId="0" borderId="3" xfId="0" applyFont="1" applyFill="1" applyBorder="1" applyAlignment="1">
      <alignment vertical="center" wrapText="1"/>
    </xf>
    <xf numFmtId="0" fontId="11" fillId="5" borderId="10" xfId="0" applyFont="1" applyFill="1" applyBorder="1" applyAlignment="1">
      <alignment horizontal="center" vertical="center"/>
    </xf>
    <xf numFmtId="172" fontId="5" fillId="5" borderId="0" xfId="0" applyNumberFormat="1" applyFont="1" applyFill="1" applyAlignment="1">
      <alignment horizontal="center" vertical="center" wrapText="1"/>
    </xf>
    <xf numFmtId="172" fontId="5" fillId="5" borderId="0" xfId="0" applyNumberFormat="1" applyFont="1" applyFill="1" applyAlignment="1">
      <alignment wrapText="1"/>
    </xf>
    <xf numFmtId="0" fontId="5" fillId="5" borderId="0" xfId="0" applyFont="1" applyFill="1" applyBorder="1" applyAlignment="1">
      <alignment horizontal="center" vertical="center" wrapText="1"/>
    </xf>
    <xf numFmtId="172" fontId="5" fillId="5" borderId="0" xfId="0" applyNumberFormat="1" applyFont="1" applyFill="1" applyAlignment="1">
      <alignment horizontal="left" vertical="top" wrapText="1"/>
    </xf>
    <xf numFmtId="0" fontId="9" fillId="5" borderId="0" xfId="0" applyFont="1" applyFill="1" applyBorder="1" applyAlignment="1">
      <alignment vertical="center" wrapText="1"/>
    </xf>
    <xf numFmtId="3" fontId="12" fillId="5" borderId="3" xfId="0" applyNumberFormat="1" applyFont="1" applyFill="1" applyBorder="1" applyAlignment="1">
      <alignment vertical="center" wrapText="1"/>
    </xf>
    <xf numFmtId="172" fontId="12" fillId="5" borderId="3" xfId="0" applyNumberFormat="1" applyFont="1" applyFill="1" applyBorder="1" applyAlignment="1">
      <alignment vertical="center" wrapText="1"/>
    </xf>
    <xf numFmtId="14" fontId="12" fillId="5" borderId="3" xfId="0" applyNumberFormat="1" applyFont="1" applyFill="1" applyBorder="1" applyAlignment="1">
      <alignment vertical="center" wrapText="1"/>
    </xf>
    <xf numFmtId="172" fontId="23" fillId="5" borderId="3" xfId="0" applyNumberFormat="1" applyFont="1" applyFill="1" applyBorder="1" applyAlignment="1">
      <alignment vertical="center" wrapText="1"/>
    </xf>
    <xf numFmtId="14" fontId="23" fillId="5" borderId="3" xfId="0" applyNumberFormat="1" applyFont="1" applyFill="1" applyBorder="1" applyAlignment="1">
      <alignment vertical="center" wrapText="1"/>
    </xf>
    <xf numFmtId="3" fontId="9" fillId="0" borderId="0" xfId="0" applyNumberFormat="1" applyFont="1" applyFill="1" applyAlignment="1">
      <alignment vertical="center" wrapText="1"/>
    </xf>
    <xf numFmtId="1" fontId="35" fillId="0" borderId="3" xfId="0" applyNumberFormat="1" applyFont="1" applyFill="1" applyBorder="1" applyAlignment="1">
      <alignment horizontal="center" vertical="center" wrapText="1"/>
    </xf>
    <xf numFmtId="3" fontId="23" fillId="0" borderId="3" xfId="0" applyNumberFormat="1" applyFont="1" applyFill="1" applyBorder="1" applyAlignment="1">
      <alignment vertical="center" wrapText="1"/>
    </xf>
    <xf numFmtId="0" fontId="7" fillId="5" borderId="12" xfId="0" applyFont="1" applyFill="1" applyBorder="1" applyAlignment="1">
      <alignment horizontal="center" vertical="center"/>
    </xf>
    <xf numFmtId="0" fontId="7" fillId="5" borderId="12" xfId="0" applyFont="1" applyFill="1" applyBorder="1" applyAlignment="1">
      <alignment horizontal="center" vertical="center" wrapText="1"/>
    </xf>
    <xf numFmtId="3" fontId="7" fillId="5" borderId="12" xfId="0" applyNumberFormat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/>
    </xf>
    <xf numFmtId="0" fontId="23" fillId="5" borderId="3" xfId="0" applyFont="1" applyFill="1" applyBorder="1" applyAlignment="1">
      <alignment horizontal="justify" vertical="justify" wrapText="1"/>
    </xf>
    <xf numFmtId="0" fontId="23" fillId="5" borderId="14" xfId="0" applyFont="1" applyFill="1" applyBorder="1" applyAlignment="1">
      <alignment horizontal="center"/>
    </xf>
    <xf numFmtId="0" fontId="5" fillId="5" borderId="12" xfId="2" applyFont="1" applyFill="1" applyBorder="1" applyAlignment="1">
      <alignment horizontal="center" vertical="center" wrapText="1"/>
    </xf>
    <xf numFmtId="0" fontId="5" fillId="5" borderId="16" xfId="2" applyFont="1" applyFill="1" applyBorder="1" applyAlignment="1">
      <alignment horizontal="center" vertical="center" wrapText="1"/>
    </xf>
    <xf numFmtId="0" fontId="5" fillId="5" borderId="3" xfId="2" applyFont="1" applyFill="1" applyBorder="1" applyAlignment="1">
      <alignment horizontal="center" vertical="center" wrapText="1"/>
    </xf>
    <xf numFmtId="0" fontId="9" fillId="5" borderId="3" xfId="2" applyFont="1" applyFill="1" applyBorder="1" applyAlignment="1">
      <alignment horizontal="center" vertical="center" wrapText="1"/>
    </xf>
    <xf numFmtId="172" fontId="7" fillId="5" borderId="3" xfId="0" applyNumberFormat="1" applyFont="1" applyFill="1" applyBorder="1" applyAlignment="1">
      <alignment horizontal="center" vertical="center" wrapText="1"/>
    </xf>
    <xf numFmtId="172" fontId="7" fillId="5" borderId="12" xfId="0" applyNumberFormat="1" applyFont="1" applyFill="1" applyBorder="1" applyAlignment="1">
      <alignment horizontal="center" vertical="center" wrapText="1"/>
    </xf>
    <xf numFmtId="172" fontId="5" fillId="5" borderId="3" xfId="0" applyNumberFormat="1" applyFont="1" applyFill="1" applyBorder="1" applyAlignment="1">
      <alignment horizontal="left" vertical="center" wrapText="1"/>
    </xf>
    <xf numFmtId="0" fontId="10" fillId="5" borderId="23" xfId="0" applyFont="1" applyFill="1" applyBorder="1" applyAlignment="1">
      <alignment horizontal="center" vertical="center"/>
    </xf>
    <xf numFmtId="0" fontId="12" fillId="5" borderId="10" xfId="0" applyFont="1" applyFill="1" applyBorder="1" applyAlignment="1">
      <alignment vertical="center" wrapText="1"/>
    </xf>
    <xf numFmtId="0" fontId="5" fillId="5" borderId="10" xfId="0" applyFont="1" applyFill="1" applyBorder="1" applyAlignment="1">
      <alignment horizontal="left" vertical="center" wrapText="1"/>
    </xf>
    <xf numFmtId="0" fontId="5" fillId="5" borderId="15" xfId="0" applyFont="1" applyFill="1" applyBorder="1" applyAlignment="1">
      <alignment horizontal="left" vertical="center" wrapText="1"/>
    </xf>
    <xf numFmtId="0" fontId="12" fillId="5" borderId="11" xfId="0" applyFont="1" applyFill="1" applyBorder="1" applyAlignment="1">
      <alignment horizontal="center" vertical="center"/>
    </xf>
    <xf numFmtId="172" fontId="5" fillId="5" borderId="3" xfId="0" applyNumberFormat="1" applyFont="1" applyFill="1" applyBorder="1" applyAlignment="1">
      <alignment horizontal="center" vertical="center" wrapText="1"/>
    </xf>
    <xf numFmtId="0" fontId="38" fillId="5" borderId="11" xfId="1" applyFont="1" applyFill="1" applyBorder="1" applyAlignment="1">
      <alignment horizontal="center" wrapText="1"/>
    </xf>
    <xf numFmtId="3" fontId="38" fillId="5" borderId="3" xfId="1" applyNumberFormat="1" applyFont="1" applyFill="1" applyBorder="1" applyAlignment="1">
      <alignment vertical="center"/>
    </xf>
    <xf numFmtId="172" fontId="38" fillId="5" borderId="3" xfId="1" applyNumberFormat="1" applyFont="1" applyFill="1" applyBorder="1" applyAlignment="1">
      <alignment vertical="center"/>
    </xf>
    <xf numFmtId="1" fontId="12" fillId="0" borderId="3" xfId="0" applyNumberFormat="1" applyFont="1" applyFill="1" applyBorder="1" applyAlignment="1">
      <alignment horizontal="center" vertical="center"/>
    </xf>
    <xf numFmtId="174" fontId="13" fillId="2" borderId="3" xfId="11" applyNumberFormat="1" applyFont="1" applyFill="1" applyBorder="1" applyAlignment="1">
      <alignment vertical="center"/>
    </xf>
    <xf numFmtId="0" fontId="23" fillId="5" borderId="3" xfId="0" applyFont="1" applyFill="1" applyBorder="1" applyAlignment="1">
      <alignment horizontal="left" vertical="center"/>
    </xf>
    <xf numFmtId="2" fontId="23" fillId="5" borderId="3" xfId="0" applyNumberFormat="1" applyFont="1" applyFill="1" applyBorder="1" applyAlignment="1">
      <alignment horizontal="center" vertical="center"/>
    </xf>
    <xf numFmtId="165" fontId="23" fillId="5" borderId="3" xfId="3" applyNumberFormat="1" applyFont="1" applyFill="1" applyBorder="1" applyAlignment="1">
      <alignment horizontal="center" vertical="center"/>
    </xf>
    <xf numFmtId="165" fontId="23" fillId="5" borderId="3" xfId="3" applyNumberFormat="1" applyFont="1" applyFill="1" applyBorder="1" applyAlignment="1">
      <alignment vertical="center" wrapText="1"/>
    </xf>
    <xf numFmtId="3" fontId="35" fillId="5" borderId="0" xfId="0" applyNumberFormat="1" applyFont="1" applyFill="1" applyAlignment="1">
      <alignment vertical="center" wrapText="1"/>
    </xf>
    <xf numFmtId="165" fontId="23" fillId="5" borderId="3" xfId="3" applyNumberFormat="1" applyFont="1" applyFill="1" applyBorder="1" applyAlignment="1">
      <alignment horizontal="center" vertical="center" wrapText="1"/>
    </xf>
    <xf numFmtId="0" fontId="35" fillId="5" borderId="14" xfId="0" applyFont="1" applyFill="1" applyBorder="1" applyAlignment="1">
      <alignment horizontal="center" vertical="center" wrapText="1"/>
    </xf>
    <xf numFmtId="175" fontId="39" fillId="0" borderId="3" xfId="3" applyNumberFormat="1" applyFont="1" applyFill="1" applyBorder="1"/>
    <xf numFmtId="175" fontId="12" fillId="0" borderId="3" xfId="3" applyNumberFormat="1" applyFont="1" applyFill="1" applyBorder="1"/>
    <xf numFmtId="3" fontId="8" fillId="0" borderId="11" xfId="0" applyNumberFormat="1" applyFont="1" applyBorder="1" applyAlignment="1">
      <alignment horizontal="center" vertical="center" wrapText="1"/>
    </xf>
    <xf numFmtId="0" fontId="1" fillId="3" borderId="1" xfId="2" applyBorder="1" applyAlignment="1">
      <alignment horizontal="center" vertical="center" wrapText="1"/>
    </xf>
    <xf numFmtId="0" fontId="3" fillId="3" borderId="1" xfId="2" applyFont="1" applyBorder="1" applyAlignment="1">
      <alignment horizontal="center" vertical="center" wrapText="1"/>
    </xf>
    <xf numFmtId="3" fontId="7" fillId="6" borderId="1" xfId="0" applyNumberFormat="1" applyFont="1" applyFill="1" applyBorder="1" applyAlignment="1">
      <alignment horizontal="right" vertical="center" wrapText="1"/>
    </xf>
    <xf numFmtId="0" fontId="7" fillId="7" borderId="1" xfId="0" applyFont="1" applyFill="1" applyBorder="1" applyAlignment="1">
      <alignment horizontal="center" vertical="center" wrapText="1"/>
    </xf>
    <xf numFmtId="49" fontId="34" fillId="5" borderId="2" xfId="0" applyNumberFormat="1" applyFont="1" applyFill="1" applyBorder="1" applyAlignment="1">
      <alignment horizontal="center" vertical="center" wrapText="1"/>
    </xf>
    <xf numFmtId="49" fontId="5" fillId="5" borderId="24" xfId="0" applyNumberFormat="1" applyFont="1" applyFill="1" applyBorder="1" applyAlignment="1">
      <alignment horizontal="center" vertical="center" wrapText="1"/>
    </xf>
    <xf numFmtId="0" fontId="34" fillId="5" borderId="2" xfId="0" applyFont="1" applyFill="1" applyBorder="1" applyAlignment="1">
      <alignment horizontal="left" vertical="center" wrapText="1"/>
    </xf>
    <xf numFmtId="3" fontId="11" fillId="0" borderId="3" xfId="0" applyNumberFormat="1" applyFont="1" applyBorder="1" applyAlignment="1">
      <alignment horizontal="right" vertical="center" wrapText="1"/>
    </xf>
    <xf numFmtId="3" fontId="34" fillId="5" borderId="3" xfId="0" applyNumberFormat="1" applyFont="1" applyFill="1" applyBorder="1" applyAlignment="1">
      <alignment horizontal="right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171" fontId="11" fillId="0" borderId="3" xfId="0" applyNumberFormat="1" applyFont="1" applyBorder="1" applyAlignment="1">
      <alignment horizontal="right" vertical="center" wrapText="1"/>
    </xf>
    <xf numFmtId="3" fontId="11" fillId="0" borderId="3" xfId="0" applyNumberFormat="1" applyFont="1" applyFill="1" applyBorder="1" applyAlignment="1">
      <alignment horizontal="right" vertical="center" wrapText="1"/>
    </xf>
    <xf numFmtId="3" fontId="37" fillId="0" borderId="3" xfId="0" applyNumberFormat="1" applyFont="1" applyBorder="1" applyAlignment="1">
      <alignment vertical="center"/>
    </xf>
    <xf numFmtId="3" fontId="11" fillId="10" borderId="3" xfId="0" applyNumberFormat="1" applyFont="1" applyFill="1" applyBorder="1" applyAlignment="1">
      <alignment horizontal="right" vertical="center" wrapText="1"/>
    </xf>
    <xf numFmtId="171" fontId="11" fillId="0" borderId="25" xfId="0" applyNumberFormat="1" applyFont="1" applyBorder="1" applyAlignment="1">
      <alignment horizontal="right" vertical="center" wrapText="1"/>
    </xf>
    <xf numFmtId="49" fontId="5" fillId="0" borderId="14" xfId="0" applyNumberFormat="1" applyFont="1" applyBorder="1" applyAlignment="1">
      <alignment horizontal="center" vertical="center"/>
    </xf>
    <xf numFmtId="3" fontId="5" fillId="0" borderId="0" xfId="0" applyNumberFormat="1" applyFont="1" applyFill="1" applyAlignment="1">
      <alignment horizontal="right" vertical="center" wrapText="1"/>
    </xf>
    <xf numFmtId="49" fontId="5" fillId="0" borderId="26" xfId="0" applyNumberFormat="1" applyFont="1" applyBorder="1" applyAlignment="1">
      <alignment horizontal="center" vertical="center"/>
    </xf>
    <xf numFmtId="3" fontId="21" fillId="0" borderId="3" xfId="0" applyNumberFormat="1" applyFont="1" applyFill="1" applyBorder="1" applyAlignment="1">
      <alignment horizontal="right" vertical="center" wrapText="1"/>
    </xf>
    <xf numFmtId="171" fontId="5" fillId="0" borderId="25" xfId="0" applyNumberFormat="1" applyFont="1" applyBorder="1" applyAlignment="1">
      <alignment horizontal="right" vertical="center" wrapText="1"/>
    </xf>
    <xf numFmtId="49" fontId="5" fillId="0" borderId="27" xfId="0" applyNumberFormat="1" applyFont="1" applyBorder="1" applyAlignment="1">
      <alignment horizontal="center" vertical="center"/>
    </xf>
    <xf numFmtId="1" fontId="5" fillId="0" borderId="14" xfId="0" applyNumberFormat="1" applyFont="1" applyBorder="1" applyAlignment="1">
      <alignment horizontal="center" vertical="center" wrapText="1"/>
    </xf>
    <xf numFmtId="14" fontId="5" fillId="0" borderId="14" xfId="0" applyNumberFormat="1" applyFont="1" applyFill="1" applyBorder="1" applyAlignment="1">
      <alignment horizontal="center" vertical="center" wrapText="1"/>
    </xf>
    <xf numFmtId="14" fontId="5" fillId="0" borderId="14" xfId="0" applyNumberFormat="1" applyFont="1" applyFill="1" applyBorder="1" applyAlignment="1">
      <alignment horizontal="left" vertical="center" wrapText="1"/>
    </xf>
    <xf numFmtId="49" fontId="34" fillId="0" borderId="13" xfId="0" applyNumberFormat="1" applyFont="1" applyBorder="1" applyAlignment="1">
      <alignment horizontal="center" vertical="center"/>
    </xf>
    <xf numFmtId="1" fontId="5" fillId="0" borderId="19" xfId="0" applyNumberFormat="1" applyFont="1" applyBorder="1" applyAlignment="1">
      <alignment horizontal="center" vertical="center" wrapText="1"/>
    </xf>
    <xf numFmtId="171" fontId="11" fillId="0" borderId="3" xfId="0" applyNumberFormat="1" applyFont="1" applyFill="1" applyBorder="1" applyAlignment="1">
      <alignment horizontal="right" vertical="center" wrapText="1"/>
    </xf>
    <xf numFmtId="0" fontId="5" fillId="0" borderId="24" xfId="0" applyFont="1" applyBorder="1" applyAlignment="1">
      <alignment horizontal="center" vertical="center" wrapText="1"/>
    </xf>
    <xf numFmtId="3" fontId="40" fillId="2" borderId="11" xfId="1" applyNumberFormat="1" applyFont="1" applyBorder="1" applyAlignment="1">
      <alignment horizontal="center" wrapText="1"/>
    </xf>
    <xf numFmtId="3" fontId="40" fillId="2" borderId="3" xfId="1" applyNumberFormat="1" applyFont="1" applyBorder="1" applyAlignment="1">
      <alignment vertical="center"/>
    </xf>
    <xf numFmtId="3" fontId="40" fillId="2" borderId="3" xfId="1" applyNumberFormat="1" applyFont="1" applyBorder="1" applyAlignment="1">
      <alignment horizontal="right" vertical="center"/>
    </xf>
    <xf numFmtId="0" fontId="6" fillId="5" borderId="0" xfId="0" applyFont="1" applyFill="1" applyAlignment="1">
      <alignment horizontal="left" vertical="center" wrapText="1"/>
    </xf>
    <xf numFmtId="0" fontId="7" fillId="6" borderId="1" xfId="0" applyFont="1" applyFill="1" applyBorder="1" applyAlignment="1">
      <alignment horizontal="center" vertical="center" wrapText="1"/>
    </xf>
    <xf numFmtId="3" fontId="7" fillId="7" borderId="1" xfId="0" applyNumberFormat="1" applyFont="1" applyFill="1" applyBorder="1" applyAlignment="1">
      <alignment horizontal="center" vertical="center" wrapText="1"/>
    </xf>
    <xf numFmtId="3" fontId="20" fillId="0" borderId="3" xfId="0" applyNumberFormat="1" applyFont="1" applyBorder="1" applyAlignment="1">
      <alignment vertical="center" wrapText="1"/>
    </xf>
    <xf numFmtId="0" fontId="43" fillId="5" borderId="0" xfId="0" applyFont="1" applyFill="1" applyAlignment="1">
      <alignment vertical="center"/>
    </xf>
    <xf numFmtId="3" fontId="7" fillId="4" borderId="2" xfId="0" applyNumberFormat="1" applyFont="1" applyFill="1" applyBorder="1" applyAlignment="1">
      <alignment horizontal="center" vertical="center" wrapText="1"/>
    </xf>
    <xf numFmtId="3" fontId="8" fillId="0" borderId="0" xfId="0" applyNumberFormat="1" applyFont="1" applyAlignment="1">
      <alignment horizontal="center" wrapText="1"/>
    </xf>
    <xf numFmtId="3" fontId="7" fillId="4" borderId="12" xfId="0" applyNumberFormat="1" applyFont="1" applyFill="1" applyBorder="1" applyAlignment="1">
      <alignment horizontal="center" vertical="center"/>
    </xf>
    <xf numFmtId="3" fontId="1" fillId="3" borderId="12" xfId="2" applyNumberFormat="1" applyBorder="1" applyAlignment="1">
      <alignment horizontal="center" vertical="center" wrapText="1"/>
    </xf>
    <xf numFmtId="3" fontId="0" fillId="3" borderId="12" xfId="2" applyNumberFormat="1" applyFont="1" applyBorder="1" applyAlignment="1">
      <alignment horizontal="center" vertical="center" wrapText="1"/>
    </xf>
    <xf numFmtId="3" fontId="3" fillId="3" borderId="12" xfId="2" applyNumberFormat="1" applyFont="1" applyBorder="1" applyAlignment="1">
      <alignment horizontal="center" vertical="center" wrapText="1"/>
    </xf>
    <xf numFmtId="3" fontId="14" fillId="7" borderId="12" xfId="0" applyNumberFormat="1" applyFont="1" applyFill="1" applyBorder="1" applyAlignment="1">
      <alignment horizontal="center" vertical="center" wrapText="1"/>
    </xf>
    <xf numFmtId="0" fontId="11" fillId="5" borderId="3" xfId="0" applyNumberFormat="1" applyFont="1" applyFill="1" applyBorder="1" applyAlignment="1">
      <alignment horizontal="center" vertical="center"/>
    </xf>
    <xf numFmtId="3" fontId="5" fillId="0" borderId="0" xfId="0" applyNumberFormat="1" applyFont="1" applyAlignment="1">
      <alignment horizontal="center" wrapText="1"/>
    </xf>
    <xf numFmtId="0" fontId="6" fillId="5" borderId="0" xfId="0" applyFont="1" applyFill="1" applyAlignment="1">
      <alignment vertical="center" wrapText="1"/>
    </xf>
    <xf numFmtId="3" fontId="6" fillId="5" borderId="0" xfId="0" applyNumberFormat="1" applyFont="1" applyFill="1" applyAlignment="1">
      <alignment vertical="center" wrapText="1"/>
    </xf>
    <xf numFmtId="49" fontId="11" fillId="5" borderId="3" xfId="0" applyNumberFormat="1" applyFont="1" applyFill="1" applyBorder="1" applyAlignment="1">
      <alignment horizontal="center" vertical="center"/>
    </xf>
    <xf numFmtId="0" fontId="34" fillId="5" borderId="13" xfId="0" applyFont="1" applyFill="1" applyBorder="1" applyAlignment="1">
      <alignment horizontal="center" vertical="center"/>
    </xf>
    <xf numFmtId="16" fontId="34" fillId="5" borderId="13" xfId="0" applyNumberFormat="1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vertical="center" wrapText="1"/>
    </xf>
    <xf numFmtId="3" fontId="37" fillId="5" borderId="3" xfId="0" applyNumberFormat="1" applyFont="1" applyFill="1" applyBorder="1" applyAlignment="1">
      <alignment vertical="center"/>
    </xf>
    <xf numFmtId="169" fontId="44" fillId="5" borderId="0" xfId="0" applyNumberFormat="1" applyFont="1" applyFill="1" applyAlignment="1" applyProtection="1">
      <alignment horizontal="right" vertical="center" wrapText="1"/>
    </xf>
    <xf numFmtId="3" fontId="5" fillId="5" borderId="0" xfId="0" applyNumberFormat="1" applyFont="1" applyFill="1" applyAlignment="1">
      <alignment horizontal="center" wrapText="1"/>
    </xf>
    <xf numFmtId="0" fontId="11" fillId="5" borderId="3" xfId="0" applyFont="1" applyFill="1" applyBorder="1" applyAlignment="1">
      <alignment horizontal="left" vertical="justify"/>
    </xf>
    <xf numFmtId="1" fontId="5" fillId="5" borderId="0" xfId="0" applyNumberFormat="1" applyFont="1" applyFill="1" applyAlignment="1">
      <alignment horizontal="center" wrapText="1"/>
    </xf>
    <xf numFmtId="1" fontId="23" fillId="5" borderId="3" xfId="0" applyNumberFormat="1" applyFont="1" applyFill="1" applyBorder="1" applyAlignment="1">
      <alignment horizontal="center" vertical="center" wrapText="1"/>
    </xf>
    <xf numFmtId="14" fontId="23" fillId="5" borderId="3" xfId="0" applyNumberFormat="1" applyFont="1" applyFill="1" applyBorder="1" applyAlignment="1">
      <alignment horizontal="center" vertical="center" wrapText="1"/>
    </xf>
    <xf numFmtId="14" fontId="23" fillId="5" borderId="3" xfId="0" applyNumberFormat="1" applyFont="1" applyFill="1" applyBorder="1" applyAlignment="1">
      <alignment horizontal="left" vertical="center" wrapText="1"/>
    </xf>
    <xf numFmtId="3" fontId="20" fillId="5" borderId="3" xfId="0" applyNumberFormat="1" applyFont="1" applyFill="1" applyBorder="1" applyAlignment="1">
      <alignment vertical="center"/>
    </xf>
    <xf numFmtId="0" fontId="46" fillId="5" borderId="0" xfId="0" applyFont="1" applyFill="1"/>
    <xf numFmtId="3" fontId="11" fillId="5" borderId="3" xfId="0" applyNumberFormat="1" applyFont="1" applyFill="1" applyBorder="1" applyAlignment="1">
      <alignment horizontal="center" vertical="center" wrapText="1"/>
    </xf>
    <xf numFmtId="14" fontId="11" fillId="5" borderId="3" xfId="0" applyNumberFormat="1" applyFont="1" applyFill="1" applyBorder="1" applyAlignment="1">
      <alignment horizontal="center" vertical="center" wrapText="1"/>
    </xf>
    <xf numFmtId="14" fontId="11" fillId="5" borderId="3" xfId="0" applyNumberFormat="1" applyFont="1" applyFill="1" applyBorder="1" applyAlignment="1">
      <alignment horizontal="left" vertical="center" wrapText="1"/>
    </xf>
    <xf numFmtId="0" fontId="10" fillId="5" borderId="19" xfId="0" applyFont="1" applyFill="1" applyBorder="1" applyAlignment="1">
      <alignment horizontal="center" vertical="center"/>
    </xf>
    <xf numFmtId="1" fontId="11" fillId="5" borderId="19" xfId="0" applyNumberFormat="1" applyFont="1" applyFill="1" applyBorder="1" applyAlignment="1">
      <alignment horizontal="center" vertical="center"/>
    </xf>
    <xf numFmtId="0" fontId="12" fillId="5" borderId="19" xfId="0" applyFont="1" applyFill="1" applyBorder="1" applyAlignment="1">
      <alignment vertical="center" wrapText="1"/>
    </xf>
    <xf numFmtId="1" fontId="12" fillId="5" borderId="19" xfId="0" applyNumberFormat="1" applyFont="1" applyFill="1" applyBorder="1" applyAlignment="1">
      <alignment vertical="center" wrapText="1"/>
    </xf>
    <xf numFmtId="0" fontId="5" fillId="5" borderId="19" xfId="0" applyFont="1" applyFill="1" applyBorder="1" applyAlignment="1">
      <alignment horizontal="left" vertical="center" wrapText="1"/>
    </xf>
    <xf numFmtId="3" fontId="11" fillId="5" borderId="19" xfId="0" applyNumberFormat="1" applyFont="1" applyFill="1" applyBorder="1" applyAlignment="1">
      <alignment vertical="center" wrapText="1"/>
    </xf>
    <xf numFmtId="1" fontId="5" fillId="5" borderId="19" xfId="0" applyNumberFormat="1" applyFont="1" applyFill="1" applyBorder="1" applyAlignment="1">
      <alignment horizontal="center" vertical="center" wrapText="1"/>
    </xf>
    <xf numFmtId="14" fontId="5" fillId="5" borderId="19" xfId="0" applyNumberFormat="1" applyFont="1" applyFill="1" applyBorder="1" applyAlignment="1">
      <alignment horizontal="center" vertical="center" wrapText="1"/>
    </xf>
    <xf numFmtId="14" fontId="5" fillId="5" borderId="19" xfId="0" applyNumberFormat="1" applyFont="1" applyFill="1" applyBorder="1" applyAlignment="1">
      <alignment horizontal="left" vertical="center" wrapText="1"/>
    </xf>
    <xf numFmtId="3" fontId="5" fillId="5" borderId="19" xfId="0" applyNumberFormat="1" applyFont="1" applyFill="1" applyBorder="1" applyAlignment="1">
      <alignment horizontal="center" vertical="center" wrapText="1"/>
    </xf>
    <xf numFmtId="1" fontId="12" fillId="5" borderId="3" xfId="0" applyNumberFormat="1" applyFont="1" applyFill="1" applyBorder="1" applyAlignment="1">
      <alignment vertical="center" wrapText="1"/>
    </xf>
    <xf numFmtId="3" fontId="5" fillId="5" borderId="3" xfId="0" applyNumberFormat="1" applyFont="1" applyFill="1" applyBorder="1" applyAlignment="1">
      <alignment vertical="center" wrapText="1"/>
    </xf>
    <xf numFmtId="16" fontId="5" fillId="5" borderId="3" xfId="0" applyNumberFormat="1" applyFont="1" applyFill="1" applyBorder="1" applyAlignment="1">
      <alignment horizontal="center" vertical="center" wrapText="1"/>
    </xf>
    <xf numFmtId="0" fontId="47" fillId="5" borderId="3" xfId="10" applyFont="1" applyFill="1" applyBorder="1" applyAlignment="1">
      <alignment horizontal="center" vertical="center" wrapText="1"/>
    </xf>
    <xf numFmtId="1" fontId="47" fillId="5" borderId="3" xfId="10" applyNumberFormat="1" applyFont="1" applyFill="1" applyBorder="1" applyAlignment="1">
      <alignment horizontal="center" vertical="center"/>
    </xf>
    <xf numFmtId="1" fontId="47" fillId="5" borderId="3" xfId="10" applyNumberFormat="1" applyFont="1" applyFill="1" applyBorder="1" applyAlignment="1">
      <alignment horizontal="center" vertical="center" wrapText="1"/>
    </xf>
    <xf numFmtId="0" fontId="7" fillId="7" borderId="19" xfId="0" applyFont="1" applyFill="1" applyBorder="1" applyAlignment="1">
      <alignment horizontal="center" vertical="center" wrapText="1"/>
    </xf>
    <xf numFmtId="3" fontId="7" fillId="7" borderId="19" xfId="0" applyNumberFormat="1" applyFont="1" applyFill="1" applyBorder="1" applyAlignment="1">
      <alignment horizontal="center" vertical="center" wrapText="1"/>
    </xf>
    <xf numFmtId="0" fontId="14" fillId="7" borderId="19" xfId="0" applyFont="1" applyFill="1" applyBorder="1" applyAlignment="1">
      <alignment horizontal="center" vertical="center" wrapText="1"/>
    </xf>
    <xf numFmtId="0" fontId="5" fillId="5" borderId="0" xfId="0" applyFont="1" applyFill="1" applyBorder="1" applyAlignment="1">
      <alignment vertical="center" wrapText="1"/>
    </xf>
    <xf numFmtId="3" fontId="10" fillId="5" borderId="19" xfId="0" applyNumberFormat="1" applyFont="1" applyFill="1" applyBorder="1" applyAlignment="1">
      <alignment vertical="center"/>
    </xf>
    <xf numFmtId="3" fontId="11" fillId="5" borderId="19" xfId="0" applyNumberFormat="1" applyFont="1" applyFill="1" applyBorder="1" applyAlignment="1">
      <alignment horizontal="right" vertical="center"/>
    </xf>
    <xf numFmtId="3" fontId="10" fillId="5" borderId="3" xfId="0" applyNumberFormat="1" applyFont="1" applyFill="1" applyBorder="1" applyAlignment="1">
      <alignment vertical="center"/>
    </xf>
    <xf numFmtId="1" fontId="12" fillId="0" borderId="3" xfId="0" applyNumberFormat="1" applyFont="1" applyFill="1" applyBorder="1" applyAlignment="1">
      <alignment vertical="center" wrapText="1"/>
    </xf>
    <xf numFmtId="3" fontId="10" fillId="0" borderId="3" xfId="0" applyNumberFormat="1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3" fontId="13" fillId="2" borderId="19" xfId="1" applyNumberFormat="1" applyFont="1" applyBorder="1" applyAlignment="1">
      <alignment vertical="center"/>
    </xf>
    <xf numFmtId="0" fontId="5" fillId="5" borderId="15" xfId="0" applyFont="1" applyFill="1" applyBorder="1" applyAlignment="1">
      <alignment vertical="center" wrapText="1"/>
    </xf>
    <xf numFmtId="3" fontId="5" fillId="5" borderId="15" xfId="0" applyNumberFormat="1" applyFont="1" applyFill="1" applyBorder="1" applyAlignment="1">
      <alignment wrapText="1"/>
    </xf>
    <xf numFmtId="10" fontId="5" fillId="5" borderId="0" xfId="0" applyNumberFormat="1" applyFont="1" applyFill="1" applyAlignment="1">
      <alignment wrapText="1"/>
    </xf>
    <xf numFmtId="0" fontId="21" fillId="5" borderId="0" xfId="0" applyFont="1" applyFill="1" applyAlignment="1">
      <alignment vertical="top" wrapText="1"/>
    </xf>
    <xf numFmtId="0" fontId="21" fillId="5" borderId="0" xfId="0" applyFont="1" applyFill="1" applyBorder="1" applyAlignment="1">
      <alignment vertical="top" wrapText="1"/>
    </xf>
    <xf numFmtId="3" fontId="21" fillId="5" borderId="0" xfId="0" applyNumberFormat="1" applyFont="1" applyFill="1" applyBorder="1" applyAlignment="1">
      <alignment vertical="top" wrapText="1"/>
    </xf>
    <xf numFmtId="0" fontId="3" fillId="7" borderId="3" xfId="0" applyFont="1" applyFill="1" applyBorder="1" applyAlignment="1">
      <alignment horizontal="center" vertical="center" wrapText="1"/>
    </xf>
    <xf numFmtId="0" fontId="13" fillId="2" borderId="3" xfId="1" applyFont="1" applyBorder="1" applyAlignment="1">
      <alignment horizontal="center" wrapText="1"/>
    </xf>
    <xf numFmtId="0" fontId="24" fillId="8" borderId="6" xfId="8" applyFont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9" fillId="7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9" fillId="8" borderId="6" xfId="8" applyAlignment="1">
      <alignment horizontal="center" wrapText="1"/>
    </xf>
    <xf numFmtId="0" fontId="19" fillId="8" borderId="7" xfId="8" applyBorder="1" applyAlignment="1" applyProtection="1">
      <alignment horizontal="center" vertical="center" wrapText="1"/>
      <protection locked="0"/>
    </xf>
    <xf numFmtId="0" fontId="19" fillId="8" borderId="8" xfId="8" applyBorder="1" applyAlignment="1" applyProtection="1">
      <alignment horizontal="center" vertical="center" wrapText="1"/>
      <protection locked="0"/>
    </xf>
    <xf numFmtId="0" fontId="19" fillId="8" borderId="9" xfId="8" applyBorder="1" applyAlignment="1" applyProtection="1">
      <alignment horizontal="center" vertical="center" wrapText="1"/>
      <protection locked="0"/>
    </xf>
    <xf numFmtId="0" fontId="9" fillId="6" borderId="4" xfId="0" applyFont="1" applyFill="1" applyBorder="1" applyAlignment="1">
      <alignment horizontal="center" vertical="center" wrapText="1"/>
    </xf>
    <xf numFmtId="0" fontId="3" fillId="6" borderId="10" xfId="0" applyFont="1" applyFill="1" applyBorder="1" applyAlignment="1">
      <alignment horizontal="center" vertical="center" wrapText="1"/>
    </xf>
    <xf numFmtId="0" fontId="3" fillId="6" borderId="11" xfId="0" applyFont="1" applyFill="1" applyBorder="1" applyAlignment="1">
      <alignment horizontal="center" vertical="center" wrapText="1"/>
    </xf>
    <xf numFmtId="0" fontId="9" fillId="7" borderId="4" xfId="0" applyFont="1" applyFill="1" applyBorder="1" applyAlignment="1">
      <alignment horizontal="center" vertical="center" wrapText="1"/>
    </xf>
    <xf numFmtId="0" fontId="3" fillId="7" borderId="10" xfId="0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 vertical="center" wrapText="1"/>
    </xf>
    <xf numFmtId="0" fontId="5" fillId="5" borderId="0" xfId="0" applyFont="1" applyFill="1" applyAlignment="1">
      <alignment horizontal="left" vertical="top" wrapText="1"/>
    </xf>
    <xf numFmtId="0" fontId="4" fillId="5" borderId="0" xfId="0" applyFont="1" applyFill="1" applyAlignment="1">
      <alignment horizontal="center" vertical="center" wrapText="1"/>
    </xf>
    <xf numFmtId="0" fontId="5" fillId="5" borderId="0" xfId="0" applyFont="1" applyFill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0" fontId="13" fillId="2" borderId="4" xfId="1" applyFont="1" applyBorder="1" applyAlignment="1">
      <alignment horizontal="center" wrapText="1"/>
    </xf>
    <xf numFmtId="0" fontId="13" fillId="2" borderId="10" xfId="1" applyFont="1" applyBorder="1" applyAlignment="1">
      <alignment horizontal="center" wrapText="1"/>
    </xf>
    <xf numFmtId="0" fontId="13" fillId="2" borderId="11" xfId="1" applyFont="1" applyBorder="1" applyAlignment="1">
      <alignment horizontal="center" wrapText="1"/>
    </xf>
    <xf numFmtId="0" fontId="5" fillId="5" borderId="15" xfId="0" applyFont="1" applyFill="1" applyBorder="1" applyAlignment="1">
      <alignment horizontal="center" wrapText="1"/>
    </xf>
    <xf numFmtId="0" fontId="21" fillId="5" borderId="0" xfId="0" applyFont="1" applyFill="1" applyAlignment="1">
      <alignment horizontal="left" vertical="top" wrapText="1"/>
    </xf>
    <xf numFmtId="0" fontId="19" fillId="8" borderId="6" xfId="8" applyAlignment="1">
      <alignment horizontal="center" vertical="center" wrapText="1"/>
    </xf>
    <xf numFmtId="0" fontId="22" fillId="2" borderId="4" xfId="1" applyFont="1" applyBorder="1" applyAlignment="1">
      <alignment horizontal="center" vertical="center" wrapText="1"/>
    </xf>
    <xf numFmtId="0" fontId="22" fillId="2" borderId="10" xfId="1" applyFont="1" applyBorder="1" applyAlignment="1">
      <alignment horizontal="center" vertical="center" wrapText="1"/>
    </xf>
    <xf numFmtId="0" fontId="22" fillId="2" borderId="11" xfId="1" applyFont="1" applyBorder="1" applyAlignment="1">
      <alignment horizontal="center" vertical="center" wrapText="1"/>
    </xf>
    <xf numFmtId="0" fontId="45" fillId="7" borderId="3" xfId="0" applyFont="1" applyFill="1" applyBorder="1" applyAlignment="1">
      <alignment horizontal="center" vertical="center" wrapText="1"/>
    </xf>
    <xf numFmtId="0" fontId="45" fillId="5" borderId="3" xfId="0" applyFont="1" applyFill="1" applyBorder="1" applyAlignment="1">
      <alignment horizontal="center" vertical="center" wrapText="1"/>
    </xf>
    <xf numFmtId="3" fontId="3" fillId="7" borderId="3" xfId="0" applyNumberFormat="1" applyFont="1" applyFill="1" applyBorder="1" applyAlignment="1">
      <alignment horizontal="center" vertical="center" wrapText="1"/>
    </xf>
    <xf numFmtId="0" fontId="27" fillId="7" borderId="3" xfId="0" applyFont="1" applyFill="1" applyBorder="1" applyAlignment="1">
      <alignment horizontal="center" vertical="center" wrapText="1"/>
    </xf>
    <xf numFmtId="0" fontId="33" fillId="2" borderId="4" xfId="1" applyFont="1" applyBorder="1" applyAlignment="1">
      <alignment horizontal="center" wrapText="1"/>
    </xf>
    <xf numFmtId="0" fontId="33" fillId="2" borderId="10" xfId="1" applyFont="1" applyBorder="1" applyAlignment="1">
      <alignment horizontal="center" wrapText="1"/>
    </xf>
    <xf numFmtId="0" fontId="33" fillId="2" borderId="11" xfId="1" applyFont="1" applyBorder="1" applyAlignment="1">
      <alignment horizontal="center" wrapText="1"/>
    </xf>
    <xf numFmtId="165" fontId="19" fillId="8" borderId="6" xfId="8" applyNumberFormat="1" applyAlignment="1">
      <alignment horizontal="center" vertical="center" wrapText="1"/>
    </xf>
    <xf numFmtId="14" fontId="19" fillId="8" borderId="6" xfId="8" applyNumberFormat="1" applyAlignment="1">
      <alignment horizontal="center" vertical="center" wrapText="1"/>
    </xf>
    <xf numFmtId="0" fontId="27" fillId="6" borderId="4" xfId="0" applyFont="1" applyFill="1" applyBorder="1" applyAlignment="1">
      <alignment horizontal="center" vertical="center" wrapText="1"/>
    </xf>
    <xf numFmtId="0" fontId="27" fillId="6" borderId="10" xfId="0" applyFont="1" applyFill="1" applyBorder="1" applyAlignment="1">
      <alignment horizontal="center" vertical="center" wrapText="1"/>
    </xf>
    <xf numFmtId="14" fontId="27" fillId="6" borderId="10" xfId="0" applyNumberFormat="1" applyFont="1" applyFill="1" applyBorder="1" applyAlignment="1">
      <alignment horizontal="center" vertical="center" wrapText="1"/>
    </xf>
    <xf numFmtId="0" fontId="27" fillId="6" borderId="11" xfId="0" applyFont="1" applyFill="1" applyBorder="1" applyAlignment="1">
      <alignment horizontal="center" vertical="center" wrapText="1"/>
    </xf>
    <xf numFmtId="0" fontId="27" fillId="7" borderId="4" xfId="0" applyFont="1" applyFill="1" applyBorder="1" applyAlignment="1">
      <alignment horizontal="center" vertical="center" wrapText="1"/>
    </xf>
    <xf numFmtId="0" fontId="27" fillId="7" borderId="10" xfId="0" applyFont="1" applyFill="1" applyBorder="1" applyAlignment="1">
      <alignment horizontal="center" vertical="center" wrapText="1"/>
    </xf>
    <xf numFmtId="0" fontId="27" fillId="7" borderId="11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left" vertical="top" wrapText="1"/>
    </xf>
    <xf numFmtId="0" fontId="25" fillId="0" borderId="0" xfId="0" applyFont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3" fillId="6" borderId="15" xfId="0" applyFont="1" applyFill="1" applyBorder="1" applyAlignment="1">
      <alignment horizontal="center" vertical="center" wrapText="1"/>
    </xf>
    <xf numFmtId="0" fontId="13" fillId="2" borderId="17" xfId="1" applyFont="1" applyBorder="1" applyAlignment="1">
      <alignment horizontal="center" wrapText="1"/>
    </xf>
    <xf numFmtId="0" fontId="13" fillId="2" borderId="23" xfId="1" applyFont="1" applyBorder="1" applyAlignment="1">
      <alignment horizontal="center" wrapText="1"/>
    </xf>
    <xf numFmtId="0" fontId="13" fillId="2" borderId="28" xfId="1" applyFont="1" applyBorder="1" applyAlignment="1">
      <alignment horizontal="center" wrapText="1"/>
    </xf>
    <xf numFmtId="0" fontId="38" fillId="5" borderId="4" xfId="1" applyFont="1" applyFill="1" applyBorder="1" applyAlignment="1">
      <alignment horizontal="center" wrapText="1"/>
    </xf>
    <xf numFmtId="0" fontId="38" fillId="5" borderId="10" xfId="1" applyFont="1" applyFill="1" applyBorder="1" applyAlignment="1">
      <alignment horizontal="center" wrapText="1"/>
    </xf>
    <xf numFmtId="0" fontId="38" fillId="5" borderId="11" xfId="1" applyFont="1" applyFill="1" applyBorder="1" applyAlignment="1">
      <alignment horizont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11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19" fillId="5" borderId="6" xfId="8" applyFill="1" applyAlignment="1">
      <alignment horizontal="center" vertical="center" wrapText="1"/>
    </xf>
    <xf numFmtId="0" fontId="13" fillId="5" borderId="4" xfId="1" applyFont="1" applyFill="1" applyBorder="1" applyAlignment="1">
      <alignment horizontal="center" wrapText="1"/>
    </xf>
    <xf numFmtId="0" fontId="13" fillId="5" borderId="10" xfId="1" applyFont="1" applyFill="1" applyBorder="1" applyAlignment="1">
      <alignment horizontal="center" wrapText="1"/>
    </xf>
    <xf numFmtId="0" fontId="13" fillId="5" borderId="11" xfId="1" applyFont="1" applyFill="1" applyBorder="1" applyAlignment="1">
      <alignment horizontal="center" wrapText="1"/>
    </xf>
    <xf numFmtId="0" fontId="40" fillId="2" borderId="4" xfId="1" applyFont="1" applyBorder="1" applyAlignment="1">
      <alignment horizontal="center" wrapText="1"/>
    </xf>
    <xf numFmtId="0" fontId="40" fillId="2" borderId="10" xfId="1" applyFont="1" applyBorder="1" applyAlignment="1">
      <alignment horizontal="center" wrapText="1"/>
    </xf>
    <xf numFmtId="0" fontId="40" fillId="2" borderId="11" xfId="1" applyFont="1" applyBorder="1" applyAlignment="1">
      <alignment horizontal="center" wrapText="1"/>
    </xf>
  </cellXfs>
  <cellStyles count="12">
    <cellStyle name="40% - Énfasis2" xfId="2" builtinId="35"/>
    <cellStyle name="Entrada" xfId="8" builtinId="20"/>
    <cellStyle name="Millares" xfId="3" builtinId="3"/>
    <cellStyle name="Millares [0] 2" xfId="7"/>
    <cellStyle name="Millares 2" xfId="11"/>
    <cellStyle name="Neutral" xfId="1" builtinId="28"/>
    <cellStyle name="Normal" xfId="0" builtinId="0"/>
    <cellStyle name="Normal 2" xfId="9"/>
    <cellStyle name="Normal 2 2" xfId="10"/>
    <cellStyle name="Normal 2 4" xfId="6"/>
    <cellStyle name="Normal 3" xfId="5"/>
    <cellStyle name="Normal_Asignac_presup_2002" xfId="4"/>
  </cellStyles>
  <dxfs count="17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Libro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5">
          <cell r="G5">
            <v>30464945</v>
          </cell>
          <cell r="H5" t="str">
            <v>A</v>
          </cell>
        </row>
        <row r="6">
          <cell r="G6">
            <v>30444822</v>
          </cell>
          <cell r="H6" t="str">
            <v>A</v>
          </cell>
        </row>
        <row r="7">
          <cell r="G7">
            <v>20039270</v>
          </cell>
          <cell r="H7" t="str">
            <v>A</v>
          </cell>
        </row>
        <row r="8">
          <cell r="G8">
            <v>30102811</v>
          </cell>
          <cell r="H8" t="str">
            <v>A</v>
          </cell>
        </row>
        <row r="9">
          <cell r="G9">
            <v>30132855</v>
          </cell>
          <cell r="H9" t="str">
            <v>A</v>
          </cell>
        </row>
        <row r="10">
          <cell r="G10">
            <v>30134987</v>
          </cell>
          <cell r="H10" t="str">
            <v>A</v>
          </cell>
        </row>
        <row r="11">
          <cell r="G11">
            <v>30129952</v>
          </cell>
          <cell r="H11" t="str">
            <v>A</v>
          </cell>
        </row>
        <row r="12">
          <cell r="G12">
            <v>30480266</v>
          </cell>
          <cell r="H12" t="str">
            <v>A</v>
          </cell>
        </row>
        <row r="13">
          <cell r="G13">
            <v>30453472</v>
          </cell>
          <cell r="H13" t="str">
            <v>A</v>
          </cell>
        </row>
        <row r="14">
          <cell r="G14">
            <v>40000834</v>
          </cell>
          <cell r="H14" t="str">
            <v>A</v>
          </cell>
        </row>
        <row r="15">
          <cell r="G15">
            <v>40001982</v>
          </cell>
          <cell r="H15" t="str">
            <v>A</v>
          </cell>
        </row>
        <row r="16">
          <cell r="G16">
            <v>30244322</v>
          </cell>
          <cell r="H16" t="str">
            <v>A</v>
          </cell>
        </row>
        <row r="17">
          <cell r="G17">
            <v>40000335</v>
          </cell>
          <cell r="H17" t="str">
            <v>A</v>
          </cell>
        </row>
        <row r="18">
          <cell r="G18">
            <v>30134815</v>
          </cell>
          <cell r="H18" t="str">
            <v>A</v>
          </cell>
        </row>
        <row r="19">
          <cell r="G19">
            <v>40000111</v>
          </cell>
          <cell r="H19" t="str">
            <v>A</v>
          </cell>
        </row>
        <row r="20">
          <cell r="G20">
            <v>30473436</v>
          </cell>
          <cell r="H20" t="str">
            <v>A</v>
          </cell>
        </row>
        <row r="21">
          <cell r="G21">
            <v>30484334</v>
          </cell>
          <cell r="H21" t="str">
            <v>A</v>
          </cell>
        </row>
        <row r="22">
          <cell r="G22">
            <v>30477089</v>
          </cell>
          <cell r="H22" t="str">
            <v>A</v>
          </cell>
        </row>
        <row r="23">
          <cell r="G23">
            <v>40009356</v>
          </cell>
          <cell r="H23" t="str">
            <v>A</v>
          </cell>
        </row>
        <row r="24">
          <cell r="G24">
            <v>40006121</v>
          </cell>
          <cell r="H24" t="str">
            <v>A</v>
          </cell>
        </row>
        <row r="25">
          <cell r="G25">
            <v>40008126</v>
          </cell>
          <cell r="H25" t="str">
            <v>A</v>
          </cell>
        </row>
        <row r="26">
          <cell r="G26">
            <v>40008092</v>
          </cell>
          <cell r="H26" t="str">
            <v>A</v>
          </cell>
        </row>
        <row r="27">
          <cell r="G27">
            <v>30291122</v>
          </cell>
          <cell r="H27" t="str">
            <v>A</v>
          </cell>
        </row>
        <row r="28">
          <cell r="G28">
            <v>40008090</v>
          </cell>
          <cell r="H28" t="str">
            <v>A</v>
          </cell>
        </row>
        <row r="29">
          <cell r="G29">
            <v>30285272</v>
          </cell>
          <cell r="H29" t="str">
            <v>A</v>
          </cell>
        </row>
        <row r="30">
          <cell r="G30">
            <v>40008952</v>
          </cell>
          <cell r="H30" t="str">
            <v>N</v>
          </cell>
        </row>
        <row r="31">
          <cell r="G31">
            <v>40002873</v>
          </cell>
          <cell r="H31" t="str">
            <v>N</v>
          </cell>
        </row>
        <row r="32">
          <cell r="G32">
            <v>40013035</v>
          </cell>
          <cell r="H32" t="str">
            <v>A</v>
          </cell>
        </row>
        <row r="33">
          <cell r="G33">
            <v>40015828</v>
          </cell>
          <cell r="H33" t="str">
            <v>A</v>
          </cell>
        </row>
        <row r="34">
          <cell r="G34">
            <v>40009610</v>
          </cell>
          <cell r="H34" t="str">
            <v>A</v>
          </cell>
        </row>
        <row r="35">
          <cell r="G35">
            <v>40016456</v>
          </cell>
          <cell r="H35" t="str">
            <v>N</v>
          </cell>
        </row>
        <row r="36">
          <cell r="G36">
            <v>30409472</v>
          </cell>
          <cell r="H36" t="str">
            <v>A</v>
          </cell>
        </row>
        <row r="37">
          <cell r="G37">
            <v>30467193</v>
          </cell>
          <cell r="H37" t="str">
            <v>A</v>
          </cell>
        </row>
        <row r="38">
          <cell r="G38">
            <v>30482595</v>
          </cell>
          <cell r="H38" t="str">
            <v>A</v>
          </cell>
        </row>
        <row r="39">
          <cell r="G39">
            <v>30405274</v>
          </cell>
          <cell r="H39" t="str">
            <v>A</v>
          </cell>
        </row>
        <row r="40">
          <cell r="G40">
            <v>40002424</v>
          </cell>
          <cell r="H40" t="str">
            <v>A</v>
          </cell>
        </row>
        <row r="41">
          <cell r="G41">
            <v>40004162</v>
          </cell>
          <cell r="H41" t="str">
            <v>A</v>
          </cell>
        </row>
        <row r="42">
          <cell r="G42">
            <v>40000095</v>
          </cell>
          <cell r="H42" t="str">
            <v>A</v>
          </cell>
        </row>
        <row r="43">
          <cell r="G43">
            <v>40003136</v>
          </cell>
          <cell r="H43" t="str">
            <v>A</v>
          </cell>
        </row>
        <row r="44">
          <cell r="G44">
            <v>40011327</v>
          </cell>
          <cell r="H44" t="str">
            <v>A</v>
          </cell>
        </row>
        <row r="45">
          <cell r="G45">
            <v>40005398</v>
          </cell>
          <cell r="H45" t="str">
            <v>A</v>
          </cell>
        </row>
        <row r="46">
          <cell r="G46">
            <v>30485847</v>
          </cell>
          <cell r="H46" t="str">
            <v>A</v>
          </cell>
        </row>
        <row r="47">
          <cell r="G47">
            <v>30184622</v>
          </cell>
          <cell r="H47" t="str">
            <v>A</v>
          </cell>
        </row>
        <row r="48">
          <cell r="G48">
            <v>30482139</v>
          </cell>
          <cell r="H48" t="str">
            <v>A</v>
          </cell>
        </row>
        <row r="49">
          <cell r="G49">
            <v>30103817</v>
          </cell>
          <cell r="H49" t="str">
            <v>A</v>
          </cell>
        </row>
        <row r="50">
          <cell r="G50">
            <v>30485565</v>
          </cell>
          <cell r="H50" t="str">
            <v>A</v>
          </cell>
        </row>
        <row r="51">
          <cell r="G51">
            <v>30200172</v>
          </cell>
          <cell r="H51" t="str">
            <v>A</v>
          </cell>
        </row>
        <row r="52">
          <cell r="G52">
            <v>40001489</v>
          </cell>
          <cell r="H52" t="str">
            <v>A</v>
          </cell>
        </row>
        <row r="53">
          <cell r="G53">
            <v>40007619</v>
          </cell>
          <cell r="H53" t="str">
            <v>A</v>
          </cell>
        </row>
        <row r="54">
          <cell r="G54">
            <v>40017976</v>
          </cell>
          <cell r="H54" t="str">
            <v>A</v>
          </cell>
        </row>
        <row r="55">
          <cell r="G55">
            <v>40000378</v>
          </cell>
          <cell r="H55" t="str">
            <v>A</v>
          </cell>
        </row>
        <row r="56">
          <cell r="G56">
            <v>30388223</v>
          </cell>
          <cell r="H56" t="str">
            <v>A</v>
          </cell>
        </row>
        <row r="57">
          <cell r="G57">
            <v>40001444</v>
          </cell>
          <cell r="H57" t="str">
            <v>A</v>
          </cell>
        </row>
        <row r="58">
          <cell r="G58">
            <v>30486584</v>
          </cell>
          <cell r="H58" t="str">
            <v>A</v>
          </cell>
        </row>
        <row r="59">
          <cell r="G59">
            <v>30436672</v>
          </cell>
          <cell r="H59" t="str">
            <v>A</v>
          </cell>
        </row>
        <row r="60">
          <cell r="G60">
            <v>30347022</v>
          </cell>
          <cell r="H60" t="str">
            <v>A</v>
          </cell>
        </row>
        <row r="61">
          <cell r="G61">
            <v>30124753</v>
          </cell>
          <cell r="H61" t="str">
            <v>A</v>
          </cell>
        </row>
        <row r="62">
          <cell r="G62">
            <v>30477693</v>
          </cell>
          <cell r="H62" t="str">
            <v>A</v>
          </cell>
        </row>
        <row r="63">
          <cell r="G63">
            <v>40002892</v>
          </cell>
          <cell r="H63" t="str">
            <v>A</v>
          </cell>
        </row>
        <row r="64">
          <cell r="G64">
            <v>30086944</v>
          </cell>
          <cell r="H64" t="str">
            <v>A</v>
          </cell>
        </row>
        <row r="65">
          <cell r="G65">
            <v>40007750</v>
          </cell>
          <cell r="H65" t="str">
            <v>A</v>
          </cell>
        </row>
        <row r="66">
          <cell r="G66">
            <v>40005147</v>
          </cell>
          <cell r="H66" t="str">
            <v>A</v>
          </cell>
        </row>
        <row r="67">
          <cell r="G67">
            <v>40011201</v>
          </cell>
          <cell r="H67" t="str">
            <v>A</v>
          </cell>
        </row>
        <row r="68">
          <cell r="G68">
            <v>40006613</v>
          </cell>
          <cell r="H68" t="str">
            <v>A</v>
          </cell>
        </row>
        <row r="69">
          <cell r="G69">
            <v>30240624</v>
          </cell>
          <cell r="H69" t="str">
            <v>A</v>
          </cell>
        </row>
        <row r="70">
          <cell r="G70">
            <v>40010609</v>
          </cell>
          <cell r="H70" t="str">
            <v>N</v>
          </cell>
        </row>
        <row r="71">
          <cell r="G71">
            <v>40002856</v>
          </cell>
          <cell r="H71" t="str">
            <v>N</v>
          </cell>
        </row>
        <row r="72">
          <cell r="G72">
            <v>40006021</v>
          </cell>
          <cell r="H72" t="str">
            <v>N</v>
          </cell>
        </row>
        <row r="73">
          <cell r="G73">
            <v>30130360</v>
          </cell>
          <cell r="H73" t="str">
            <v>A</v>
          </cell>
        </row>
        <row r="74">
          <cell r="G74">
            <v>30317322</v>
          </cell>
          <cell r="H74" t="str">
            <v>A</v>
          </cell>
        </row>
        <row r="75">
          <cell r="G75">
            <v>30465933</v>
          </cell>
          <cell r="H75" t="str">
            <v>A</v>
          </cell>
        </row>
        <row r="76">
          <cell r="G76">
            <v>30465049</v>
          </cell>
          <cell r="H76" t="str">
            <v>A</v>
          </cell>
        </row>
        <row r="77">
          <cell r="G77">
            <v>30103864</v>
          </cell>
          <cell r="H77" t="str">
            <v>A</v>
          </cell>
        </row>
        <row r="78">
          <cell r="G78">
            <v>30078248</v>
          </cell>
          <cell r="H78" t="str">
            <v>A</v>
          </cell>
        </row>
        <row r="79">
          <cell r="G79">
            <v>40001122</v>
          </cell>
          <cell r="H79" t="str">
            <v>A</v>
          </cell>
        </row>
        <row r="80">
          <cell r="G80">
            <v>30484096</v>
          </cell>
          <cell r="H80" t="str">
            <v>A</v>
          </cell>
        </row>
        <row r="81">
          <cell r="G81">
            <v>40009852</v>
          </cell>
          <cell r="H81" t="str">
            <v>A</v>
          </cell>
        </row>
        <row r="82">
          <cell r="G82">
            <v>30459960</v>
          </cell>
          <cell r="H82" t="str">
            <v>A</v>
          </cell>
        </row>
        <row r="83">
          <cell r="G83">
            <v>40005875</v>
          </cell>
          <cell r="H83" t="str">
            <v>A</v>
          </cell>
        </row>
        <row r="84">
          <cell r="G84">
            <v>30444424</v>
          </cell>
          <cell r="H84" t="str">
            <v>A</v>
          </cell>
        </row>
        <row r="85">
          <cell r="G85">
            <v>40005869</v>
          </cell>
          <cell r="H85" t="str">
            <v>A</v>
          </cell>
        </row>
        <row r="86">
          <cell r="G86">
            <v>30482540</v>
          </cell>
          <cell r="H86" t="str">
            <v>A</v>
          </cell>
        </row>
        <row r="87">
          <cell r="G87">
            <v>40010661</v>
          </cell>
          <cell r="H87" t="str">
            <v>A</v>
          </cell>
        </row>
        <row r="88">
          <cell r="G88">
            <v>40008168</v>
          </cell>
          <cell r="H88" t="str">
            <v>A</v>
          </cell>
        </row>
        <row r="89">
          <cell r="G89">
            <v>30133162</v>
          </cell>
          <cell r="H89" t="str">
            <v>A</v>
          </cell>
        </row>
        <row r="90">
          <cell r="G90">
            <v>40005872</v>
          </cell>
          <cell r="H90" t="str">
            <v>A</v>
          </cell>
        </row>
        <row r="91">
          <cell r="G91">
            <v>30125456</v>
          </cell>
          <cell r="H91" t="str">
            <v>A</v>
          </cell>
        </row>
        <row r="92">
          <cell r="G92">
            <v>30438672</v>
          </cell>
          <cell r="H92" t="str">
            <v>A</v>
          </cell>
        </row>
        <row r="93">
          <cell r="G93">
            <v>40008163</v>
          </cell>
          <cell r="H93" t="str">
            <v>A</v>
          </cell>
        </row>
        <row r="94">
          <cell r="G94">
            <v>30446772</v>
          </cell>
          <cell r="H94" t="str">
            <v>A</v>
          </cell>
        </row>
        <row r="95">
          <cell r="G95">
            <v>40002933</v>
          </cell>
          <cell r="H95" t="str">
            <v>A</v>
          </cell>
        </row>
        <row r="96">
          <cell r="G96">
            <v>40000019</v>
          </cell>
          <cell r="H96" t="str">
            <v>A</v>
          </cell>
        </row>
        <row r="97">
          <cell r="G97">
            <v>30137138</v>
          </cell>
          <cell r="H97" t="str">
            <v>A</v>
          </cell>
        </row>
        <row r="98">
          <cell r="G98">
            <v>30381122</v>
          </cell>
          <cell r="H98" t="str">
            <v>A</v>
          </cell>
        </row>
        <row r="99">
          <cell r="G99">
            <v>40014969</v>
          </cell>
          <cell r="H99" t="str">
            <v>N</v>
          </cell>
        </row>
        <row r="100">
          <cell r="G100">
            <v>40017092</v>
          </cell>
          <cell r="H100" t="str">
            <v>N</v>
          </cell>
        </row>
        <row r="101">
          <cell r="G101">
            <v>30484277</v>
          </cell>
          <cell r="H101" t="str">
            <v>N</v>
          </cell>
        </row>
        <row r="102">
          <cell r="G102">
            <v>30482162</v>
          </cell>
          <cell r="H102" t="str">
            <v>N</v>
          </cell>
        </row>
        <row r="103">
          <cell r="G103">
            <v>30476440</v>
          </cell>
          <cell r="H103" t="str">
            <v>N</v>
          </cell>
        </row>
        <row r="104">
          <cell r="G104">
            <v>40019993</v>
          </cell>
          <cell r="H104" t="str">
            <v>N</v>
          </cell>
        </row>
        <row r="105">
          <cell r="G105">
            <v>40024349</v>
          </cell>
          <cell r="H105" t="str">
            <v>N</v>
          </cell>
        </row>
        <row r="106">
          <cell r="G106">
            <v>40009328</v>
          </cell>
          <cell r="H106" t="str">
            <v>N</v>
          </cell>
        </row>
        <row r="107">
          <cell r="G107">
            <v>40025097</v>
          </cell>
          <cell r="H107" t="str">
            <v>N</v>
          </cell>
        </row>
        <row r="108">
          <cell r="G108">
            <v>40019627</v>
          </cell>
          <cell r="H108" t="str">
            <v>N</v>
          </cell>
        </row>
        <row r="109">
          <cell r="G109">
            <v>40009196</v>
          </cell>
          <cell r="H109" t="str">
            <v>N</v>
          </cell>
        </row>
        <row r="110">
          <cell r="G110">
            <v>30480150</v>
          </cell>
          <cell r="H110" t="str">
            <v>N</v>
          </cell>
        </row>
        <row r="111">
          <cell r="G111">
            <v>40015277</v>
          </cell>
          <cell r="H111" t="str">
            <v>N</v>
          </cell>
        </row>
        <row r="112">
          <cell r="G112">
            <v>40015269</v>
          </cell>
          <cell r="H112" t="str">
            <v>N</v>
          </cell>
        </row>
        <row r="113">
          <cell r="G113">
            <v>40001686</v>
          </cell>
          <cell r="H113" t="str">
            <v>N</v>
          </cell>
        </row>
        <row r="114">
          <cell r="G114">
            <v>40008485</v>
          </cell>
          <cell r="H114" t="str">
            <v>N</v>
          </cell>
        </row>
        <row r="115">
          <cell r="G115">
            <v>40014202</v>
          </cell>
          <cell r="H115" t="str">
            <v>N</v>
          </cell>
        </row>
        <row r="116">
          <cell r="G116">
            <v>40016795</v>
          </cell>
          <cell r="H116" t="str">
            <v>N</v>
          </cell>
        </row>
        <row r="117">
          <cell r="G117">
            <v>40026474</v>
          </cell>
          <cell r="H117" t="str">
            <v>N</v>
          </cell>
        </row>
        <row r="118">
          <cell r="G118">
            <v>40026019</v>
          </cell>
          <cell r="H118" t="str">
            <v>N</v>
          </cell>
        </row>
        <row r="119">
          <cell r="G119">
            <v>40020848</v>
          </cell>
          <cell r="H119" t="str">
            <v>N</v>
          </cell>
        </row>
        <row r="120">
          <cell r="G120">
            <v>40009258</v>
          </cell>
          <cell r="H120" t="str">
            <v>N</v>
          </cell>
        </row>
        <row r="121">
          <cell r="G121">
            <v>40018853</v>
          </cell>
          <cell r="H121" t="str">
            <v>N</v>
          </cell>
        </row>
        <row r="122">
          <cell r="G122">
            <v>40006811</v>
          </cell>
          <cell r="H122" t="str">
            <v>N</v>
          </cell>
        </row>
        <row r="123">
          <cell r="G123">
            <v>40016324</v>
          </cell>
          <cell r="H123" t="str">
            <v>N</v>
          </cell>
        </row>
        <row r="124">
          <cell r="G124">
            <v>30465434</v>
          </cell>
          <cell r="H124" t="str">
            <v>N</v>
          </cell>
        </row>
        <row r="125">
          <cell r="G125">
            <v>40016707</v>
          </cell>
          <cell r="H125" t="str">
            <v>N</v>
          </cell>
        </row>
        <row r="126">
          <cell r="G126">
            <v>40016947</v>
          </cell>
          <cell r="H126" t="str">
            <v>N</v>
          </cell>
        </row>
        <row r="127">
          <cell r="G127">
            <v>40020856</v>
          </cell>
          <cell r="H127" t="str">
            <v>N</v>
          </cell>
        </row>
        <row r="128">
          <cell r="G128">
            <v>30459154</v>
          </cell>
          <cell r="H128" t="str">
            <v>N</v>
          </cell>
        </row>
        <row r="129">
          <cell r="G129">
            <v>40018735</v>
          </cell>
          <cell r="H129" t="str">
            <v>N</v>
          </cell>
        </row>
        <row r="130">
          <cell r="G130">
            <v>40019434</v>
          </cell>
          <cell r="H130" t="str">
            <v>N</v>
          </cell>
        </row>
        <row r="131">
          <cell r="G131">
            <v>40017055</v>
          </cell>
          <cell r="H131" t="str">
            <v>N</v>
          </cell>
        </row>
        <row r="132">
          <cell r="G132">
            <v>40010504</v>
          </cell>
          <cell r="H132" t="str">
            <v>N</v>
          </cell>
        </row>
        <row r="133">
          <cell r="G133">
            <v>40017812</v>
          </cell>
          <cell r="H133" t="str">
            <v>N</v>
          </cell>
        </row>
        <row r="134">
          <cell r="G134">
            <v>30118479</v>
          </cell>
          <cell r="H134" t="str">
            <v>N</v>
          </cell>
        </row>
        <row r="135">
          <cell r="G135">
            <v>30482567</v>
          </cell>
          <cell r="H135" t="str">
            <v>N</v>
          </cell>
        </row>
        <row r="136">
          <cell r="G136">
            <v>30459937</v>
          </cell>
          <cell r="H136" t="str">
            <v>N</v>
          </cell>
        </row>
        <row r="137">
          <cell r="G137">
            <v>40000301</v>
          </cell>
          <cell r="H137" t="str">
            <v>N</v>
          </cell>
        </row>
        <row r="138">
          <cell r="G138">
            <v>40016754</v>
          </cell>
          <cell r="H138" t="str">
            <v>N</v>
          </cell>
        </row>
        <row r="139">
          <cell r="G139">
            <v>40027511</v>
          </cell>
          <cell r="H139" t="str">
            <v>N</v>
          </cell>
        </row>
        <row r="140">
          <cell r="G140">
            <v>30484277</v>
          </cell>
          <cell r="H140" t="str">
            <v>N</v>
          </cell>
        </row>
        <row r="141">
          <cell r="G141">
            <v>30483438</v>
          </cell>
          <cell r="H141" t="str">
            <v>A</v>
          </cell>
        </row>
        <row r="142">
          <cell r="G142">
            <v>30137113</v>
          </cell>
          <cell r="H142" t="str">
            <v>A</v>
          </cell>
        </row>
        <row r="143">
          <cell r="G143">
            <v>40008164</v>
          </cell>
          <cell r="H143" t="str">
            <v>A</v>
          </cell>
        </row>
        <row r="144">
          <cell r="G144">
            <v>30486478</v>
          </cell>
          <cell r="H144" t="str">
            <v>N</v>
          </cell>
        </row>
        <row r="145">
          <cell r="G145">
            <v>40004699</v>
          </cell>
          <cell r="H145" t="str">
            <v>N</v>
          </cell>
        </row>
        <row r="146">
          <cell r="G146">
            <v>40011611</v>
          </cell>
          <cell r="H146" t="str">
            <v>N</v>
          </cell>
        </row>
        <row r="147">
          <cell r="G147">
            <v>40008006</v>
          </cell>
          <cell r="H147" t="str">
            <v>N</v>
          </cell>
        </row>
        <row r="148">
          <cell r="G148">
            <v>40015002</v>
          </cell>
          <cell r="H148" t="str">
            <v>N</v>
          </cell>
        </row>
        <row r="149">
          <cell r="G149">
            <v>30347822</v>
          </cell>
          <cell r="H149" t="str">
            <v>A</v>
          </cell>
        </row>
        <row r="150">
          <cell r="G150">
            <v>40000533</v>
          </cell>
          <cell r="H150" t="str">
            <v>A</v>
          </cell>
        </row>
        <row r="151">
          <cell r="G151">
            <v>30465839</v>
          </cell>
          <cell r="H151" t="str">
            <v>A</v>
          </cell>
        </row>
        <row r="152">
          <cell r="G152">
            <v>40000301</v>
          </cell>
          <cell r="H152" t="str">
            <v>A</v>
          </cell>
        </row>
        <row r="153">
          <cell r="G153">
            <v>30314472</v>
          </cell>
          <cell r="H153" t="str">
            <v>A</v>
          </cell>
        </row>
        <row r="154">
          <cell r="G154">
            <v>40003274</v>
          </cell>
          <cell r="H154" t="str">
            <v>A</v>
          </cell>
        </row>
        <row r="155">
          <cell r="G155">
            <v>40004673</v>
          </cell>
          <cell r="H155" t="str">
            <v>A</v>
          </cell>
        </row>
        <row r="156">
          <cell r="G156">
            <v>40003945</v>
          </cell>
          <cell r="H156" t="str">
            <v>A</v>
          </cell>
        </row>
        <row r="157">
          <cell r="G157">
            <v>40002634</v>
          </cell>
          <cell r="H157" t="str">
            <v>A</v>
          </cell>
        </row>
        <row r="158">
          <cell r="G158">
            <v>30078622</v>
          </cell>
          <cell r="H158" t="str">
            <v>A</v>
          </cell>
        </row>
        <row r="159">
          <cell r="G159">
            <v>30379328</v>
          </cell>
          <cell r="H159" t="str">
            <v>A</v>
          </cell>
        </row>
        <row r="160">
          <cell r="G160">
            <v>30470587</v>
          </cell>
          <cell r="H160" t="str">
            <v>N</v>
          </cell>
        </row>
        <row r="161">
          <cell r="G161">
            <v>30105536</v>
          </cell>
          <cell r="H161" t="str">
            <v>A</v>
          </cell>
        </row>
        <row r="162">
          <cell r="G162">
            <v>30132830</v>
          </cell>
          <cell r="H162" t="str">
            <v>A</v>
          </cell>
        </row>
        <row r="163">
          <cell r="G163">
            <v>30443027</v>
          </cell>
          <cell r="H163" t="str">
            <v>A</v>
          </cell>
        </row>
        <row r="164">
          <cell r="G164">
            <v>30452522</v>
          </cell>
          <cell r="H164" t="str">
            <v>A</v>
          </cell>
        </row>
        <row r="165">
          <cell r="G165">
            <v>40003446</v>
          </cell>
          <cell r="H165" t="str">
            <v>N</v>
          </cell>
        </row>
        <row r="166">
          <cell r="G166">
            <v>40004286</v>
          </cell>
          <cell r="H166" t="str">
            <v>A</v>
          </cell>
        </row>
        <row r="167">
          <cell r="G167">
            <v>30470837</v>
          </cell>
          <cell r="H167" t="str">
            <v>A</v>
          </cell>
        </row>
        <row r="168">
          <cell r="G168">
            <v>30477886</v>
          </cell>
          <cell r="H168" t="str">
            <v>A</v>
          </cell>
        </row>
        <row r="169">
          <cell r="G169">
            <v>30128029</v>
          </cell>
          <cell r="H169" t="str">
            <v>N</v>
          </cell>
        </row>
        <row r="170">
          <cell r="G170">
            <v>30369025</v>
          </cell>
          <cell r="H170" t="str">
            <v>N</v>
          </cell>
        </row>
        <row r="171">
          <cell r="G171">
            <v>40005874</v>
          </cell>
          <cell r="H171" t="str">
            <v>N</v>
          </cell>
        </row>
        <row r="172">
          <cell r="G172">
            <v>30469338</v>
          </cell>
          <cell r="H172" t="str">
            <v>A</v>
          </cell>
        </row>
        <row r="173">
          <cell r="G173">
            <v>40007482</v>
          </cell>
          <cell r="H173" t="str">
            <v>N</v>
          </cell>
        </row>
        <row r="174">
          <cell r="G174">
            <v>40009201</v>
          </cell>
          <cell r="H174" t="str">
            <v>N</v>
          </cell>
        </row>
        <row r="175">
          <cell r="G175">
            <v>40002493</v>
          </cell>
          <cell r="H175" t="str">
            <v>N</v>
          </cell>
        </row>
        <row r="176">
          <cell r="G176">
            <v>30484208</v>
          </cell>
          <cell r="H176" t="str">
            <v>N</v>
          </cell>
        </row>
        <row r="177">
          <cell r="G177">
            <v>40010390</v>
          </cell>
          <cell r="H177" t="str">
            <v>N</v>
          </cell>
        </row>
        <row r="178">
          <cell r="G178">
            <v>40004207</v>
          </cell>
          <cell r="H178" t="str">
            <v>N</v>
          </cell>
        </row>
        <row r="179">
          <cell r="G179">
            <v>40007565</v>
          </cell>
          <cell r="H179" t="str">
            <v>N</v>
          </cell>
        </row>
        <row r="180">
          <cell r="G180">
            <v>40001631</v>
          </cell>
          <cell r="H180" t="str">
            <v>N</v>
          </cell>
        </row>
        <row r="181">
          <cell r="G181">
            <v>40013139</v>
          </cell>
          <cell r="H181" t="str">
            <v>N</v>
          </cell>
        </row>
        <row r="182">
          <cell r="G182">
            <v>40015729</v>
          </cell>
          <cell r="H182" t="str">
            <v>N</v>
          </cell>
        </row>
        <row r="183">
          <cell r="G183">
            <v>40001590</v>
          </cell>
          <cell r="H183" t="str">
            <v>N</v>
          </cell>
        </row>
        <row r="184">
          <cell r="G184">
            <v>40008583</v>
          </cell>
          <cell r="H184" t="str">
            <v>N</v>
          </cell>
        </row>
        <row r="185">
          <cell r="G185">
            <v>40009784</v>
          </cell>
          <cell r="H185" t="str">
            <v>N</v>
          </cell>
        </row>
        <row r="186">
          <cell r="G186">
            <v>40015930</v>
          </cell>
          <cell r="H186" t="str">
            <v>N</v>
          </cell>
        </row>
        <row r="187">
          <cell r="G187">
            <v>30485268</v>
          </cell>
          <cell r="H187" t="str">
            <v>N</v>
          </cell>
        </row>
        <row r="188">
          <cell r="G188">
            <v>40003755</v>
          </cell>
          <cell r="H188" t="str">
            <v>N</v>
          </cell>
        </row>
        <row r="189">
          <cell r="G189">
            <v>30439724</v>
          </cell>
          <cell r="H189" t="str">
            <v>A</v>
          </cell>
        </row>
        <row r="190">
          <cell r="G190">
            <v>40012167</v>
          </cell>
          <cell r="H190" t="str">
            <v>N</v>
          </cell>
        </row>
        <row r="191">
          <cell r="G191">
            <v>30384174</v>
          </cell>
          <cell r="H191" t="str">
            <v>N</v>
          </cell>
        </row>
        <row r="192">
          <cell r="G192">
            <v>30060848</v>
          </cell>
          <cell r="H192" t="str">
            <v>N</v>
          </cell>
        </row>
        <row r="193">
          <cell r="G193">
            <v>30436326</v>
          </cell>
          <cell r="H193" t="str">
            <v>N</v>
          </cell>
        </row>
        <row r="194">
          <cell r="G194">
            <v>40005658</v>
          </cell>
          <cell r="H194" t="str">
            <v>N</v>
          </cell>
        </row>
        <row r="195">
          <cell r="G195">
            <v>30486351</v>
          </cell>
          <cell r="H195" t="str">
            <v>N</v>
          </cell>
        </row>
        <row r="196">
          <cell r="G196">
            <v>30488890</v>
          </cell>
          <cell r="H196" t="str">
            <v>N</v>
          </cell>
        </row>
        <row r="197">
          <cell r="G197">
            <v>30469634</v>
          </cell>
          <cell r="H197" t="str">
            <v>N</v>
          </cell>
        </row>
        <row r="198">
          <cell r="G198">
            <v>30487016</v>
          </cell>
          <cell r="H198" t="str">
            <v>N</v>
          </cell>
        </row>
        <row r="199">
          <cell r="G199">
            <v>40010901</v>
          </cell>
          <cell r="H199" t="str">
            <v>N</v>
          </cell>
        </row>
        <row r="200">
          <cell r="G200">
            <v>40006048</v>
          </cell>
          <cell r="H200" t="str">
            <v>N</v>
          </cell>
        </row>
        <row r="201">
          <cell r="G201">
            <v>40016451</v>
          </cell>
          <cell r="H201" t="str">
            <v>N</v>
          </cell>
        </row>
        <row r="202">
          <cell r="G202">
            <v>30452980</v>
          </cell>
          <cell r="H202" t="str">
            <v>N</v>
          </cell>
        </row>
        <row r="203">
          <cell r="G203">
            <v>30464322</v>
          </cell>
          <cell r="H203" t="str">
            <v>N</v>
          </cell>
        </row>
        <row r="204">
          <cell r="G204">
            <v>40017347</v>
          </cell>
          <cell r="H204" t="str">
            <v>N</v>
          </cell>
        </row>
        <row r="205">
          <cell r="G205">
            <v>40009387</v>
          </cell>
          <cell r="H205" t="str">
            <v>N</v>
          </cell>
        </row>
        <row r="206">
          <cell r="G206">
            <v>30476439</v>
          </cell>
          <cell r="H206" t="str">
            <v>N</v>
          </cell>
        </row>
        <row r="207">
          <cell r="G207">
            <v>40002098</v>
          </cell>
          <cell r="H207" t="str">
            <v>N</v>
          </cell>
        </row>
        <row r="208">
          <cell r="G208">
            <v>40017201</v>
          </cell>
          <cell r="H208" t="str">
            <v>N</v>
          </cell>
        </row>
        <row r="209">
          <cell r="G209">
            <v>30085253</v>
          </cell>
          <cell r="H209" t="str">
            <v>A</v>
          </cell>
        </row>
        <row r="210">
          <cell r="G210">
            <v>40008132</v>
          </cell>
          <cell r="H210" t="str">
            <v>N</v>
          </cell>
        </row>
        <row r="211">
          <cell r="G211">
            <v>30176826</v>
          </cell>
          <cell r="H211" t="str">
            <v>N</v>
          </cell>
        </row>
        <row r="212">
          <cell r="G212">
            <v>30459937</v>
          </cell>
          <cell r="H212" t="str">
            <v>A</v>
          </cell>
        </row>
        <row r="213">
          <cell r="G213">
            <v>40007895</v>
          </cell>
          <cell r="H213" t="str">
            <v>N</v>
          </cell>
        </row>
        <row r="214">
          <cell r="G214">
            <v>40012274</v>
          </cell>
          <cell r="H214" t="str">
            <v>N</v>
          </cell>
        </row>
        <row r="215">
          <cell r="H215" t="str">
            <v>A</v>
          </cell>
        </row>
        <row r="216">
          <cell r="G216">
            <v>30480199</v>
          </cell>
          <cell r="H216" t="str">
            <v>A</v>
          </cell>
        </row>
        <row r="217">
          <cell r="G217">
            <v>40003787</v>
          </cell>
          <cell r="H217" t="str">
            <v>N</v>
          </cell>
        </row>
        <row r="218">
          <cell r="G218">
            <v>30475089</v>
          </cell>
          <cell r="H218" t="str">
            <v>A</v>
          </cell>
        </row>
        <row r="219">
          <cell r="G219">
            <v>30129298</v>
          </cell>
          <cell r="H219" t="str">
            <v>A</v>
          </cell>
        </row>
        <row r="220">
          <cell r="G220">
            <v>30485513</v>
          </cell>
          <cell r="H220" t="str">
            <v>A</v>
          </cell>
        </row>
        <row r="221">
          <cell r="G221">
            <v>30091326</v>
          </cell>
          <cell r="H221" t="str">
            <v>N</v>
          </cell>
        </row>
        <row r="222">
          <cell r="G222">
            <v>30416872</v>
          </cell>
          <cell r="H222" t="str">
            <v>N</v>
          </cell>
        </row>
        <row r="223">
          <cell r="G223">
            <v>30459830</v>
          </cell>
          <cell r="H223" t="str">
            <v>N</v>
          </cell>
        </row>
        <row r="224">
          <cell r="G224">
            <v>30397336</v>
          </cell>
          <cell r="H224" t="str">
            <v>N</v>
          </cell>
        </row>
        <row r="225">
          <cell r="G225">
            <v>40015725</v>
          </cell>
          <cell r="H225" t="str">
            <v>N</v>
          </cell>
        </row>
        <row r="226">
          <cell r="G226">
            <v>30482140</v>
          </cell>
          <cell r="H226" t="str">
            <v>N</v>
          </cell>
        </row>
        <row r="227">
          <cell r="G227">
            <v>40005962</v>
          </cell>
          <cell r="H227" t="str">
            <v>N</v>
          </cell>
        </row>
        <row r="228">
          <cell r="G228">
            <v>30398026</v>
          </cell>
          <cell r="H228" t="str">
            <v>A</v>
          </cell>
        </row>
        <row r="229">
          <cell r="G229">
            <v>30459096</v>
          </cell>
          <cell r="H229" t="str">
            <v>N</v>
          </cell>
        </row>
        <row r="230">
          <cell r="G230">
            <v>40008791</v>
          </cell>
          <cell r="H230" t="str">
            <v>N</v>
          </cell>
        </row>
        <row r="231">
          <cell r="G231">
            <v>30481728</v>
          </cell>
          <cell r="H231" t="str">
            <v>N</v>
          </cell>
        </row>
        <row r="232">
          <cell r="G232">
            <v>40007797</v>
          </cell>
          <cell r="H232" t="str">
            <v>N</v>
          </cell>
        </row>
        <row r="233">
          <cell r="G233">
            <v>40017130</v>
          </cell>
          <cell r="H233" t="str">
            <v>N</v>
          </cell>
        </row>
        <row r="234">
          <cell r="G234">
            <v>40014055</v>
          </cell>
          <cell r="H234" t="str">
            <v>N</v>
          </cell>
        </row>
        <row r="235">
          <cell r="G235">
            <v>30459759</v>
          </cell>
          <cell r="H235" t="str">
            <v>N</v>
          </cell>
        </row>
        <row r="236">
          <cell r="G236">
            <v>30439372</v>
          </cell>
          <cell r="H236" t="str">
            <v>N</v>
          </cell>
        </row>
        <row r="237">
          <cell r="G237">
            <v>30454127</v>
          </cell>
          <cell r="H237" t="str">
            <v>N</v>
          </cell>
        </row>
        <row r="238">
          <cell r="G238">
            <v>30349031</v>
          </cell>
          <cell r="H238" t="str">
            <v>N</v>
          </cell>
        </row>
        <row r="239">
          <cell r="G239">
            <v>30420432</v>
          </cell>
          <cell r="H239" t="str">
            <v>A</v>
          </cell>
        </row>
        <row r="240">
          <cell r="G240">
            <v>30071172</v>
          </cell>
          <cell r="H240" t="str">
            <v>A</v>
          </cell>
        </row>
        <row r="241">
          <cell r="G241">
            <v>30114635</v>
          </cell>
          <cell r="H241" t="str">
            <v>A</v>
          </cell>
        </row>
        <row r="242">
          <cell r="G242">
            <v>30406023</v>
          </cell>
          <cell r="H242" t="str">
            <v>N</v>
          </cell>
        </row>
        <row r="243">
          <cell r="G243">
            <v>40019005</v>
          </cell>
          <cell r="H243" t="str">
            <v>N</v>
          </cell>
        </row>
        <row r="244">
          <cell r="G244">
            <v>40019807</v>
          </cell>
          <cell r="H244" t="str">
            <v>N</v>
          </cell>
        </row>
        <row r="245">
          <cell r="G245">
            <v>40021193</v>
          </cell>
          <cell r="H245" t="str">
            <v>N</v>
          </cell>
        </row>
        <row r="246">
          <cell r="G246">
            <v>40025047</v>
          </cell>
          <cell r="H246" t="str">
            <v>N</v>
          </cell>
        </row>
        <row r="247">
          <cell r="G247">
            <v>30121859</v>
          </cell>
          <cell r="H247" t="str">
            <v>N</v>
          </cell>
        </row>
        <row r="248">
          <cell r="G248">
            <v>30403874</v>
          </cell>
          <cell r="H248" t="str">
            <v>N</v>
          </cell>
        </row>
        <row r="249">
          <cell r="G249">
            <v>30482607</v>
          </cell>
          <cell r="H249" t="str">
            <v>N</v>
          </cell>
        </row>
        <row r="250">
          <cell r="G250">
            <v>30483094</v>
          </cell>
          <cell r="H250" t="str">
            <v>N</v>
          </cell>
        </row>
        <row r="251">
          <cell r="G251">
            <v>40001069</v>
          </cell>
          <cell r="H251" t="str">
            <v>N</v>
          </cell>
        </row>
        <row r="252">
          <cell r="G252">
            <v>40001870</v>
          </cell>
          <cell r="H252" t="str">
            <v>N</v>
          </cell>
        </row>
        <row r="253">
          <cell r="G253">
            <v>40002915</v>
          </cell>
          <cell r="H253" t="str">
            <v>N</v>
          </cell>
        </row>
        <row r="254">
          <cell r="G254">
            <v>40003441</v>
          </cell>
          <cell r="H254" t="str">
            <v>N</v>
          </cell>
        </row>
        <row r="255">
          <cell r="G255">
            <v>40004657</v>
          </cell>
          <cell r="H255" t="str">
            <v>N</v>
          </cell>
        </row>
        <row r="256">
          <cell r="G256">
            <v>40009482</v>
          </cell>
          <cell r="H256" t="str">
            <v>N</v>
          </cell>
        </row>
        <row r="257">
          <cell r="G257">
            <v>40009866</v>
          </cell>
          <cell r="H257" t="str">
            <v>N</v>
          </cell>
        </row>
        <row r="258">
          <cell r="G258">
            <v>40012279</v>
          </cell>
          <cell r="H258" t="str">
            <v>N</v>
          </cell>
        </row>
        <row r="259">
          <cell r="G259">
            <v>40013141</v>
          </cell>
          <cell r="H259" t="str">
            <v>N</v>
          </cell>
        </row>
        <row r="260">
          <cell r="G260">
            <v>40014085</v>
          </cell>
          <cell r="H260" t="str">
            <v>N</v>
          </cell>
        </row>
        <row r="261">
          <cell r="G261">
            <v>40014807</v>
          </cell>
          <cell r="H261" t="str">
            <v>N</v>
          </cell>
        </row>
        <row r="262">
          <cell r="G262">
            <v>40014812</v>
          </cell>
          <cell r="H262" t="str">
            <v>N</v>
          </cell>
        </row>
        <row r="263">
          <cell r="G263">
            <v>40015265</v>
          </cell>
          <cell r="H263" t="str">
            <v>N</v>
          </cell>
        </row>
        <row r="264">
          <cell r="G264">
            <v>40017777</v>
          </cell>
          <cell r="H264" t="str">
            <v>N</v>
          </cell>
        </row>
        <row r="265">
          <cell r="G265">
            <v>40017781</v>
          </cell>
          <cell r="H265" t="str">
            <v>N</v>
          </cell>
        </row>
        <row r="266">
          <cell r="G266">
            <v>40020833</v>
          </cell>
          <cell r="H266" t="str">
            <v>N</v>
          </cell>
        </row>
        <row r="267">
          <cell r="G267">
            <v>40021586</v>
          </cell>
          <cell r="H267" t="str">
            <v>N</v>
          </cell>
        </row>
        <row r="268">
          <cell r="G268">
            <v>40022716</v>
          </cell>
          <cell r="H268" t="str">
            <v>N</v>
          </cell>
        </row>
        <row r="269">
          <cell r="G269">
            <v>40022954</v>
          </cell>
          <cell r="H269" t="str">
            <v>N</v>
          </cell>
        </row>
        <row r="270">
          <cell r="G270">
            <v>40024013</v>
          </cell>
          <cell r="H270" t="str">
            <v>N</v>
          </cell>
        </row>
        <row r="271">
          <cell r="G271">
            <v>40025804</v>
          </cell>
          <cell r="H271" t="str">
            <v>N</v>
          </cell>
        </row>
        <row r="272">
          <cell r="G272">
            <v>40026255</v>
          </cell>
          <cell r="H272" t="str">
            <v>N</v>
          </cell>
        </row>
        <row r="273">
          <cell r="G273">
            <v>40028023</v>
          </cell>
          <cell r="H273" t="str">
            <v>N</v>
          </cell>
        </row>
        <row r="274">
          <cell r="G274">
            <v>40027329</v>
          </cell>
          <cell r="H274" t="str">
            <v>N</v>
          </cell>
        </row>
        <row r="275">
          <cell r="G275">
            <v>40022472</v>
          </cell>
          <cell r="H275" t="str">
            <v>N</v>
          </cell>
        </row>
        <row r="276">
          <cell r="G276">
            <v>40011488</v>
          </cell>
          <cell r="H276" t="str">
            <v>N</v>
          </cell>
        </row>
        <row r="277">
          <cell r="G277">
            <v>40019613</v>
          </cell>
          <cell r="H277" t="str">
            <v>N</v>
          </cell>
        </row>
        <row r="278">
          <cell r="G278">
            <v>40001842</v>
          </cell>
          <cell r="H278" t="str">
            <v>N</v>
          </cell>
        </row>
        <row r="279">
          <cell r="G279">
            <v>30485699</v>
          </cell>
          <cell r="H279" t="str">
            <v>N</v>
          </cell>
        </row>
        <row r="280">
          <cell r="G280">
            <v>30441774</v>
          </cell>
          <cell r="H280" t="str">
            <v>N</v>
          </cell>
        </row>
        <row r="281">
          <cell r="G281">
            <v>40020052</v>
          </cell>
          <cell r="H281" t="str">
            <v>N</v>
          </cell>
        </row>
        <row r="282">
          <cell r="G282">
            <v>40007778</v>
          </cell>
          <cell r="H282" t="str">
            <v>N</v>
          </cell>
        </row>
        <row r="283">
          <cell r="G283">
            <v>30078506</v>
          </cell>
          <cell r="H283" t="str">
            <v>A</v>
          </cell>
        </row>
        <row r="284">
          <cell r="G284">
            <v>30137113</v>
          </cell>
          <cell r="H284" t="str">
            <v>N</v>
          </cell>
        </row>
        <row r="285">
          <cell r="G285">
            <v>30136961</v>
          </cell>
          <cell r="H285" t="str">
            <v>A</v>
          </cell>
        </row>
        <row r="286">
          <cell r="G286">
            <v>30465048</v>
          </cell>
          <cell r="H286" t="str">
            <v>A</v>
          </cell>
        </row>
        <row r="287">
          <cell r="G287">
            <v>30458866</v>
          </cell>
          <cell r="H287" t="str">
            <v>A</v>
          </cell>
        </row>
        <row r="288">
          <cell r="G288">
            <v>30273122</v>
          </cell>
          <cell r="H288" t="str">
            <v>A</v>
          </cell>
        </row>
        <row r="289">
          <cell r="G289">
            <v>40003284</v>
          </cell>
          <cell r="H289" t="str">
            <v>A</v>
          </cell>
        </row>
        <row r="290">
          <cell r="G290">
            <v>30104012</v>
          </cell>
          <cell r="H290" t="str">
            <v>A</v>
          </cell>
        </row>
        <row r="291">
          <cell r="G291">
            <v>40000595</v>
          </cell>
          <cell r="H291" t="str">
            <v>A</v>
          </cell>
        </row>
        <row r="292">
          <cell r="G292">
            <v>30469836</v>
          </cell>
          <cell r="H292" t="str">
            <v>A</v>
          </cell>
        </row>
        <row r="293">
          <cell r="G293">
            <v>30128325</v>
          </cell>
          <cell r="H293" t="str">
            <v>A</v>
          </cell>
        </row>
        <row r="294">
          <cell r="G294">
            <v>30443973</v>
          </cell>
          <cell r="H294" t="str">
            <v>A</v>
          </cell>
        </row>
        <row r="295">
          <cell r="G295">
            <v>40000975</v>
          </cell>
          <cell r="H295" t="str">
            <v>A</v>
          </cell>
        </row>
        <row r="296">
          <cell r="G296">
            <v>30387723</v>
          </cell>
          <cell r="H296" t="str">
            <v>A</v>
          </cell>
        </row>
        <row r="297">
          <cell r="G297">
            <v>30408824</v>
          </cell>
          <cell r="H297" t="str">
            <v>A</v>
          </cell>
        </row>
        <row r="298">
          <cell r="G298">
            <v>30485939</v>
          </cell>
          <cell r="H298" t="str">
            <v>A</v>
          </cell>
        </row>
        <row r="299">
          <cell r="G299">
            <v>30404676</v>
          </cell>
          <cell r="H299" t="str">
            <v>A</v>
          </cell>
        </row>
        <row r="300">
          <cell r="G300">
            <v>30486848</v>
          </cell>
          <cell r="H300" t="str">
            <v>A</v>
          </cell>
        </row>
        <row r="301">
          <cell r="G301">
            <v>30486910</v>
          </cell>
          <cell r="H301" t="str">
            <v>A</v>
          </cell>
        </row>
        <row r="302">
          <cell r="G302">
            <v>30425222</v>
          </cell>
          <cell r="H302" t="str">
            <v>A</v>
          </cell>
        </row>
        <row r="303">
          <cell r="G303">
            <v>30472092</v>
          </cell>
          <cell r="H303" t="str">
            <v>A</v>
          </cell>
        </row>
        <row r="304">
          <cell r="G304">
            <v>30261122</v>
          </cell>
          <cell r="H304" t="str">
            <v>A</v>
          </cell>
        </row>
        <row r="305">
          <cell r="G305">
            <v>30485993</v>
          </cell>
          <cell r="H305" t="str">
            <v>A</v>
          </cell>
        </row>
        <row r="306">
          <cell r="G306">
            <v>30183822</v>
          </cell>
          <cell r="H306" t="str">
            <v>N</v>
          </cell>
        </row>
        <row r="307">
          <cell r="G307">
            <v>30487902</v>
          </cell>
          <cell r="H307" t="str">
            <v>N</v>
          </cell>
        </row>
        <row r="308">
          <cell r="G308">
            <v>40004178</v>
          </cell>
          <cell r="H308" t="str">
            <v>N</v>
          </cell>
        </row>
        <row r="309">
          <cell r="G309">
            <v>40007873</v>
          </cell>
          <cell r="H309" t="str">
            <v>N</v>
          </cell>
        </row>
        <row r="310">
          <cell r="G310">
            <v>30316825</v>
          </cell>
          <cell r="H310" t="str">
            <v>A</v>
          </cell>
        </row>
        <row r="311">
          <cell r="G311">
            <v>40005507</v>
          </cell>
          <cell r="H311" t="str">
            <v>N</v>
          </cell>
        </row>
        <row r="312">
          <cell r="G312">
            <v>40002001</v>
          </cell>
          <cell r="H312" t="str">
            <v>A</v>
          </cell>
        </row>
        <row r="313">
          <cell r="G313">
            <v>30469942</v>
          </cell>
          <cell r="H313" t="str">
            <v>A</v>
          </cell>
        </row>
        <row r="314">
          <cell r="G314">
            <v>30137010</v>
          </cell>
          <cell r="H314" t="str">
            <v>A</v>
          </cell>
        </row>
        <row r="315">
          <cell r="G315">
            <v>30198972</v>
          </cell>
          <cell r="H315" t="str">
            <v>A</v>
          </cell>
        </row>
        <row r="316">
          <cell r="G316">
            <v>30457722</v>
          </cell>
          <cell r="H316" t="str">
            <v>A</v>
          </cell>
        </row>
        <row r="317">
          <cell r="G317">
            <v>30104269</v>
          </cell>
          <cell r="H317" t="str">
            <v>A</v>
          </cell>
        </row>
        <row r="318">
          <cell r="G318">
            <v>40024102</v>
          </cell>
          <cell r="H318" t="str">
            <v>N</v>
          </cell>
        </row>
        <row r="319">
          <cell r="G319">
            <v>40024079</v>
          </cell>
          <cell r="H319" t="str">
            <v>N</v>
          </cell>
        </row>
        <row r="320">
          <cell r="G320">
            <v>30359925</v>
          </cell>
          <cell r="H320" t="str">
            <v>A</v>
          </cell>
        </row>
        <row r="321">
          <cell r="G321">
            <v>40003050</v>
          </cell>
          <cell r="H321" t="str">
            <v>A</v>
          </cell>
        </row>
        <row r="322">
          <cell r="G322">
            <v>30194922</v>
          </cell>
          <cell r="H322" t="str">
            <v>A</v>
          </cell>
        </row>
        <row r="323">
          <cell r="G323">
            <v>30134190</v>
          </cell>
          <cell r="H323" t="str">
            <v>A</v>
          </cell>
        </row>
        <row r="324">
          <cell r="G324">
            <v>30467188</v>
          </cell>
          <cell r="H324" t="str">
            <v>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BK103"/>
  <sheetViews>
    <sheetView showGridLines="0" topLeftCell="X66" zoomScaleNormal="100" workbookViewId="0">
      <selection activeCell="C18" sqref="C18"/>
    </sheetView>
  </sheetViews>
  <sheetFormatPr baseColWidth="10" defaultRowHeight="11.25" x14ac:dyDescent="0.2"/>
  <cols>
    <col min="1" max="1" width="5" style="3" customWidth="1"/>
    <col min="2" max="2" width="10.140625" style="12" customWidth="1"/>
    <col min="3" max="3" width="9.85546875" style="3" customWidth="1"/>
    <col min="4" max="4" width="11.42578125" style="12" customWidth="1"/>
    <col min="5" max="5" width="40" style="3" customWidth="1"/>
    <col min="6" max="6" width="13.140625" style="3" customWidth="1"/>
    <col min="7" max="7" width="11.28515625" style="3" customWidth="1"/>
    <col min="8" max="8" width="18.85546875" style="3" customWidth="1"/>
    <col min="9" max="9" width="13.140625" style="3" customWidth="1"/>
    <col min="10" max="10" width="9.7109375" style="3" customWidth="1"/>
    <col min="11" max="13" width="12" style="3" customWidth="1"/>
    <col min="14" max="14" width="12.140625" style="3" customWidth="1"/>
    <col min="15" max="24" width="12" style="3" customWidth="1"/>
    <col min="25" max="25" width="13.42578125" style="3" customWidth="1"/>
    <col min="26" max="26" width="10.140625" style="3" customWidth="1"/>
    <col min="27" max="27" width="10.140625" style="7" customWidth="1"/>
    <col min="28" max="30" width="10.140625" style="3" customWidth="1"/>
    <col min="31" max="31" width="10.140625" style="6" customWidth="1"/>
    <col min="32" max="34" width="10.140625" style="3" customWidth="1"/>
    <col min="35" max="35" width="10.140625" style="7" customWidth="1"/>
    <col min="36" max="38" width="10.140625" style="3" customWidth="1"/>
    <col min="39" max="39" width="10.140625" style="7" customWidth="1"/>
    <col min="40" max="42" width="10.140625" style="3" customWidth="1"/>
    <col min="43" max="43" width="10.140625" style="7" customWidth="1"/>
    <col min="44" max="61" width="10.140625" style="3" customWidth="1"/>
    <col min="62" max="16384" width="11.42578125" style="3"/>
  </cols>
  <sheetData>
    <row r="1" spans="2:63" hidden="1" x14ac:dyDescent="0.2">
      <c r="B1" s="730"/>
      <c r="C1" s="730"/>
      <c r="D1" s="731"/>
      <c r="E1" s="731"/>
      <c r="F1" s="731"/>
      <c r="G1" s="731"/>
      <c r="H1" s="731"/>
      <c r="I1" s="731"/>
      <c r="J1" s="731"/>
      <c r="K1" s="731"/>
      <c r="L1" s="731"/>
      <c r="M1" s="731"/>
      <c r="N1" s="731"/>
      <c r="O1" s="731"/>
      <c r="P1" s="731"/>
      <c r="Q1" s="731"/>
      <c r="R1" s="731"/>
      <c r="S1" s="731"/>
      <c r="T1" s="731"/>
      <c r="U1" s="731"/>
      <c r="V1" s="731"/>
      <c r="W1" s="731"/>
      <c r="X1" s="731"/>
      <c r="Y1" s="731"/>
      <c r="Z1" s="731"/>
      <c r="AA1" s="731"/>
      <c r="AB1" s="731"/>
      <c r="AC1" s="731"/>
      <c r="AD1" s="29"/>
      <c r="AE1" s="1"/>
      <c r="AF1" s="29"/>
      <c r="AG1" s="29"/>
      <c r="AH1" s="29"/>
      <c r="AI1" s="2"/>
      <c r="AJ1" s="29"/>
      <c r="AK1" s="29"/>
      <c r="AL1" s="29"/>
      <c r="AM1" s="2"/>
      <c r="AN1" s="29"/>
      <c r="AO1" s="29"/>
      <c r="AP1" s="29"/>
      <c r="AQ1" s="2"/>
      <c r="AR1" s="29"/>
      <c r="AS1" s="29"/>
      <c r="AT1" s="54"/>
      <c r="AU1" s="54"/>
      <c r="AV1" s="54"/>
      <c r="AW1" s="54"/>
      <c r="AX1" s="54"/>
      <c r="AY1" s="54"/>
      <c r="AZ1" s="54"/>
      <c r="BA1" s="54"/>
      <c r="BB1" s="56"/>
      <c r="BC1" s="56"/>
      <c r="BD1" s="56"/>
      <c r="BE1" s="56"/>
      <c r="BF1" s="56"/>
      <c r="BG1" s="56"/>
      <c r="BH1" s="56"/>
      <c r="BI1" s="56"/>
    </row>
    <row r="2" spans="2:63" hidden="1" x14ac:dyDescent="0.2">
      <c r="B2" s="731"/>
      <c r="C2" s="731"/>
      <c r="D2" s="731"/>
      <c r="E2" s="731"/>
      <c r="F2" s="731"/>
      <c r="G2" s="731"/>
      <c r="H2" s="731"/>
      <c r="I2" s="731"/>
      <c r="J2" s="731"/>
      <c r="K2" s="731"/>
      <c r="L2" s="731"/>
      <c r="M2" s="731"/>
      <c r="N2" s="731"/>
      <c r="O2" s="731"/>
      <c r="P2" s="731"/>
      <c r="Q2" s="731"/>
      <c r="R2" s="731"/>
      <c r="S2" s="731"/>
      <c r="T2" s="731"/>
      <c r="U2" s="731"/>
      <c r="V2" s="731"/>
      <c r="W2" s="731"/>
      <c r="X2" s="731"/>
      <c r="Y2" s="731"/>
      <c r="Z2" s="731"/>
      <c r="AA2" s="731"/>
      <c r="AB2" s="731"/>
      <c r="AC2" s="731"/>
      <c r="AD2" s="29"/>
      <c r="AE2" s="1"/>
      <c r="AF2" s="29"/>
      <c r="AG2" s="29"/>
      <c r="AH2" s="29"/>
      <c r="AI2" s="2"/>
      <c r="AJ2" s="29"/>
      <c r="AK2" s="29"/>
      <c r="AL2" s="29"/>
      <c r="AM2" s="2"/>
      <c r="AN2" s="29"/>
      <c r="AO2" s="29"/>
      <c r="AP2" s="29"/>
      <c r="AQ2" s="2"/>
      <c r="AR2" s="29"/>
      <c r="AS2" s="29"/>
      <c r="AT2" s="54"/>
      <c r="AU2" s="54"/>
      <c r="AV2" s="54"/>
      <c r="AW2" s="54"/>
      <c r="AX2" s="54"/>
      <c r="AY2" s="54"/>
      <c r="AZ2" s="54"/>
      <c r="BA2" s="54"/>
      <c r="BB2" s="56"/>
      <c r="BC2" s="56"/>
      <c r="BD2" s="56"/>
      <c r="BE2" s="56"/>
      <c r="BF2" s="56"/>
      <c r="BG2" s="56"/>
      <c r="BH2" s="56"/>
      <c r="BI2" s="56"/>
    </row>
    <row r="3" spans="2:63" ht="12.75" hidden="1" customHeight="1" x14ac:dyDescent="0.2">
      <c r="B3" s="729"/>
      <c r="C3" s="729"/>
      <c r="D3" s="729"/>
      <c r="E3" s="729"/>
      <c r="F3" s="729"/>
      <c r="G3" s="729"/>
      <c r="H3" s="729"/>
      <c r="I3" s="729"/>
      <c r="J3" s="729"/>
      <c r="K3" s="729"/>
      <c r="L3" s="729"/>
      <c r="M3" s="729"/>
      <c r="N3" s="729"/>
      <c r="O3" s="729"/>
      <c r="P3" s="729"/>
      <c r="Q3" s="729"/>
      <c r="R3" s="729"/>
      <c r="S3" s="729"/>
      <c r="T3" s="729"/>
      <c r="U3" s="729"/>
      <c r="V3" s="729"/>
      <c r="W3" s="729"/>
      <c r="X3" s="729"/>
      <c r="Y3" s="729"/>
      <c r="Z3" s="729"/>
      <c r="AA3" s="729"/>
      <c r="AB3" s="729"/>
      <c r="AC3" s="729"/>
      <c r="AD3" s="28"/>
      <c r="AE3" s="4"/>
      <c r="AF3" s="28"/>
      <c r="AG3" s="28"/>
      <c r="AH3" s="28"/>
      <c r="AI3" s="5"/>
      <c r="AJ3" s="28"/>
      <c r="AK3" s="28"/>
      <c r="AL3" s="28"/>
      <c r="AM3" s="5"/>
      <c r="AN3" s="28"/>
      <c r="AO3" s="28"/>
      <c r="AP3" s="28"/>
      <c r="AQ3" s="5"/>
      <c r="AR3" s="28"/>
      <c r="AS3" s="28"/>
      <c r="AT3" s="53"/>
      <c r="AU3" s="53"/>
      <c r="AV3" s="53"/>
      <c r="AW3" s="53"/>
      <c r="AX3" s="53"/>
      <c r="AY3" s="53"/>
      <c r="AZ3" s="53"/>
      <c r="BA3" s="53"/>
      <c r="BB3" s="55"/>
      <c r="BC3" s="55"/>
      <c r="BD3" s="55"/>
      <c r="BE3" s="55"/>
      <c r="BF3" s="55"/>
      <c r="BG3" s="55"/>
      <c r="BH3" s="55"/>
      <c r="BI3" s="55"/>
    </row>
    <row r="4" spans="2:63" ht="21.75" hidden="1" customHeight="1" x14ac:dyDescent="0.2">
      <c r="B4" s="729"/>
      <c r="C4" s="729"/>
      <c r="D4" s="729"/>
      <c r="E4" s="729"/>
      <c r="F4" s="729"/>
      <c r="G4" s="729"/>
      <c r="H4" s="729"/>
      <c r="I4" s="729"/>
      <c r="J4" s="729"/>
      <c r="K4" s="729"/>
      <c r="L4" s="729"/>
      <c r="M4" s="729"/>
      <c r="N4" s="729"/>
      <c r="O4" s="729"/>
      <c r="P4" s="729"/>
      <c r="Q4" s="729"/>
      <c r="R4" s="729"/>
      <c r="S4" s="729"/>
      <c r="T4" s="729"/>
      <c r="U4" s="729"/>
      <c r="V4" s="729"/>
      <c r="W4" s="729"/>
      <c r="X4" s="729"/>
      <c r="Y4" s="729"/>
      <c r="Z4" s="729"/>
      <c r="AA4" s="729"/>
      <c r="AB4" s="729"/>
      <c r="AC4" s="729"/>
      <c r="AD4" s="28"/>
      <c r="AE4" s="4"/>
      <c r="AF4" s="28"/>
      <c r="AG4" s="28"/>
      <c r="AH4" s="28"/>
      <c r="AI4" s="5"/>
      <c r="AJ4" s="28"/>
      <c r="AK4" s="28"/>
      <c r="AL4" s="28"/>
      <c r="AM4" s="5"/>
      <c r="AN4" s="28"/>
      <c r="AO4" s="28"/>
      <c r="AP4" s="28"/>
      <c r="AQ4" s="5"/>
      <c r="AR4" s="28"/>
      <c r="AS4" s="28"/>
      <c r="AT4" s="53"/>
      <c r="AU4" s="53"/>
      <c r="AV4" s="53"/>
      <c r="AW4" s="53"/>
      <c r="AX4" s="53"/>
      <c r="AY4" s="53"/>
      <c r="AZ4" s="53"/>
      <c r="BA4" s="53"/>
      <c r="BB4" s="55"/>
      <c r="BC4" s="55"/>
      <c r="BD4" s="55"/>
      <c r="BE4" s="55"/>
      <c r="BF4" s="55"/>
      <c r="BG4" s="55"/>
      <c r="BH4" s="55"/>
      <c r="BI4" s="55"/>
    </row>
    <row r="5" spans="2:63" ht="11.25" hidden="1" customHeight="1" x14ac:dyDescent="0.2">
      <c r="B5" s="729"/>
      <c r="C5" s="729"/>
      <c r="D5" s="729"/>
      <c r="E5" s="729"/>
      <c r="F5" s="729"/>
      <c r="G5" s="729"/>
      <c r="H5" s="729"/>
      <c r="I5" s="729"/>
      <c r="J5" s="729"/>
      <c r="K5" s="729"/>
      <c r="L5" s="729"/>
      <c r="M5" s="729"/>
      <c r="N5" s="729"/>
      <c r="O5" s="729"/>
      <c r="P5" s="729"/>
      <c r="Q5" s="729"/>
      <c r="R5" s="729"/>
      <c r="S5" s="729"/>
      <c r="T5" s="729"/>
      <c r="U5" s="729"/>
      <c r="V5" s="729"/>
      <c r="W5" s="729"/>
      <c r="X5" s="729"/>
      <c r="Y5" s="729"/>
      <c r="Z5" s="729"/>
      <c r="AA5" s="729"/>
      <c r="AB5" s="729"/>
      <c r="AC5" s="729"/>
      <c r="AD5" s="28"/>
      <c r="AE5" s="4"/>
      <c r="AF5" s="28"/>
      <c r="AG5" s="28"/>
      <c r="AH5" s="28"/>
      <c r="AI5" s="5"/>
      <c r="AJ5" s="28"/>
      <c r="AK5" s="28"/>
      <c r="AL5" s="28"/>
      <c r="AM5" s="5"/>
      <c r="AN5" s="28"/>
      <c r="AO5" s="28"/>
      <c r="AP5" s="28"/>
      <c r="AQ5" s="5"/>
      <c r="AR5" s="28"/>
      <c r="AS5" s="28"/>
      <c r="AT5" s="53"/>
      <c r="AU5" s="53"/>
      <c r="AV5" s="53"/>
      <c r="AW5" s="53"/>
      <c r="AX5" s="53"/>
      <c r="AY5" s="53"/>
      <c r="AZ5" s="53"/>
      <c r="BA5" s="53"/>
      <c r="BB5" s="55"/>
      <c r="BC5" s="55"/>
      <c r="BD5" s="55"/>
      <c r="BE5" s="55"/>
      <c r="BF5" s="55"/>
      <c r="BG5" s="55"/>
      <c r="BH5" s="55"/>
      <c r="BI5" s="55"/>
    </row>
    <row r="6" spans="2:63" ht="15" hidden="1" customHeight="1" x14ac:dyDescent="0.2">
      <c r="B6" s="729"/>
      <c r="C6" s="729"/>
      <c r="D6" s="729"/>
      <c r="E6" s="729"/>
      <c r="F6" s="729"/>
      <c r="G6" s="729"/>
      <c r="H6" s="729"/>
      <c r="I6" s="729"/>
      <c r="J6" s="729"/>
      <c r="K6" s="729"/>
      <c r="L6" s="729"/>
      <c r="M6" s="729"/>
      <c r="N6" s="729"/>
      <c r="O6" s="729"/>
      <c r="P6" s="729"/>
      <c r="Q6" s="729"/>
      <c r="R6" s="729"/>
      <c r="S6" s="729"/>
      <c r="T6" s="729"/>
      <c r="U6" s="729"/>
      <c r="V6" s="729"/>
      <c r="W6" s="729"/>
      <c r="X6" s="729"/>
      <c r="Y6" s="729"/>
      <c r="Z6" s="729"/>
      <c r="AA6" s="729"/>
      <c r="AB6" s="729"/>
      <c r="AC6" s="729"/>
      <c r="AD6" s="28"/>
      <c r="AE6" s="4"/>
      <c r="AF6" s="28"/>
      <c r="AG6" s="28"/>
      <c r="AH6" s="28"/>
      <c r="AI6" s="5"/>
      <c r="AJ6" s="28"/>
      <c r="AK6" s="28"/>
      <c r="AL6" s="28"/>
      <c r="AM6" s="5"/>
      <c r="AN6" s="28"/>
      <c r="AO6" s="28"/>
      <c r="AP6" s="28"/>
      <c r="AQ6" s="5"/>
      <c r="AR6" s="28"/>
      <c r="AS6" s="28"/>
      <c r="AT6" s="53"/>
      <c r="AU6" s="53"/>
      <c r="AV6" s="53"/>
      <c r="AW6" s="53"/>
      <c r="AX6" s="53"/>
      <c r="AY6" s="53"/>
      <c r="AZ6" s="53"/>
      <c r="BA6" s="53"/>
      <c r="BB6" s="55"/>
      <c r="BC6" s="55"/>
      <c r="BD6" s="55"/>
      <c r="BE6" s="55"/>
      <c r="BF6" s="55"/>
      <c r="BG6" s="55"/>
      <c r="BH6" s="55"/>
      <c r="BI6" s="55"/>
    </row>
    <row r="7" spans="2:63" ht="21" hidden="1" customHeight="1" x14ac:dyDescent="0.2">
      <c r="B7" s="729"/>
      <c r="C7" s="729"/>
      <c r="D7" s="729"/>
      <c r="E7" s="729"/>
      <c r="F7" s="729"/>
      <c r="G7" s="729"/>
      <c r="H7" s="729"/>
      <c r="I7" s="729"/>
      <c r="J7" s="729"/>
      <c r="K7" s="729"/>
      <c r="L7" s="729"/>
      <c r="M7" s="729"/>
      <c r="N7" s="729"/>
      <c r="O7" s="729"/>
      <c r="P7" s="729"/>
      <c r="Q7" s="729"/>
      <c r="R7" s="729"/>
      <c r="S7" s="729"/>
      <c r="T7" s="729"/>
      <c r="U7" s="729"/>
      <c r="V7" s="729"/>
      <c r="W7" s="729"/>
      <c r="X7" s="729"/>
      <c r="Y7" s="729"/>
      <c r="Z7" s="729"/>
      <c r="AA7" s="729"/>
      <c r="AB7" s="729"/>
      <c r="AC7" s="729"/>
      <c r="AD7" s="28"/>
      <c r="AE7" s="4"/>
      <c r="AF7" s="28"/>
      <c r="AG7" s="28"/>
      <c r="AH7" s="28"/>
      <c r="AI7" s="5"/>
      <c r="AJ7" s="28"/>
      <c r="AK7" s="28"/>
      <c r="AL7" s="28"/>
      <c r="AM7" s="5"/>
      <c r="AN7" s="28"/>
      <c r="AO7" s="28"/>
      <c r="AP7" s="28"/>
      <c r="AQ7" s="5"/>
      <c r="AR7" s="28"/>
      <c r="AS7" s="28"/>
      <c r="AT7" s="53"/>
      <c r="AU7" s="53"/>
      <c r="AV7" s="53"/>
      <c r="AW7" s="53"/>
      <c r="AX7" s="53"/>
      <c r="AY7" s="53"/>
      <c r="AZ7" s="53"/>
      <c r="BA7" s="53"/>
      <c r="BB7" s="55"/>
      <c r="BC7" s="55"/>
      <c r="BD7" s="55"/>
      <c r="BE7" s="55"/>
      <c r="BF7" s="55"/>
      <c r="BG7" s="55"/>
      <c r="BH7" s="55"/>
      <c r="BI7" s="55"/>
    </row>
    <row r="8" spans="2:63" ht="16.5" hidden="1" customHeight="1" x14ac:dyDescent="0.2">
      <c r="B8" s="729"/>
      <c r="C8" s="729"/>
      <c r="D8" s="729"/>
      <c r="E8" s="729"/>
      <c r="F8" s="729"/>
      <c r="G8" s="729"/>
      <c r="H8" s="729"/>
      <c r="I8" s="729"/>
      <c r="J8" s="729"/>
      <c r="K8" s="729"/>
      <c r="L8" s="729"/>
      <c r="M8" s="729"/>
      <c r="N8" s="729"/>
      <c r="O8" s="729"/>
      <c r="P8" s="729"/>
      <c r="Q8" s="729"/>
      <c r="R8" s="729"/>
      <c r="S8" s="729"/>
      <c r="T8" s="729"/>
      <c r="U8" s="729"/>
      <c r="V8" s="729"/>
      <c r="W8" s="729"/>
      <c r="X8" s="729"/>
      <c r="Y8" s="729"/>
      <c r="Z8" s="729"/>
      <c r="AA8" s="729"/>
      <c r="AB8" s="729"/>
      <c r="AC8" s="729"/>
      <c r="AD8" s="28"/>
      <c r="AE8" s="4"/>
      <c r="AF8" s="28"/>
      <c r="AG8" s="28"/>
      <c r="AH8" s="28"/>
      <c r="AI8" s="5"/>
      <c r="AJ8" s="28"/>
      <c r="AK8" s="28"/>
      <c r="AL8" s="28"/>
      <c r="AM8" s="5"/>
      <c r="AN8" s="28"/>
      <c r="AO8" s="28"/>
      <c r="AP8" s="28"/>
      <c r="AQ8" s="5"/>
      <c r="AR8" s="28"/>
      <c r="AS8" s="28"/>
      <c r="AT8" s="53"/>
      <c r="AU8" s="53"/>
      <c r="AV8" s="53"/>
      <c r="AW8" s="53"/>
      <c r="AX8" s="53"/>
      <c r="AY8" s="53"/>
      <c r="AZ8" s="53"/>
      <c r="BA8" s="53"/>
      <c r="BB8" s="55"/>
      <c r="BC8" s="55"/>
      <c r="BD8" s="55"/>
      <c r="BE8" s="55"/>
      <c r="BF8" s="55"/>
      <c r="BG8" s="55"/>
      <c r="BH8" s="55"/>
      <c r="BI8" s="55"/>
    </row>
    <row r="9" spans="2:63" ht="18.75" customHeight="1" x14ac:dyDescent="0.2">
      <c r="B9" s="725" t="s">
        <v>0</v>
      </c>
      <c r="C9" s="725"/>
      <c r="D9" s="725"/>
      <c r="E9" s="725"/>
      <c r="F9" s="725"/>
      <c r="G9" s="725"/>
      <c r="H9" s="725"/>
      <c r="I9" s="725"/>
      <c r="J9" s="725"/>
      <c r="K9" s="725"/>
      <c r="L9" s="725"/>
      <c r="M9" s="725"/>
      <c r="N9" s="725"/>
      <c r="O9" s="725"/>
      <c r="P9" s="725"/>
      <c r="Q9" s="725"/>
      <c r="R9" s="725"/>
      <c r="S9" s="725"/>
      <c r="T9" s="725"/>
      <c r="U9" s="725"/>
      <c r="V9" s="725"/>
      <c r="W9" s="725"/>
      <c r="X9" s="725"/>
      <c r="Y9" s="725"/>
      <c r="Z9" s="725"/>
      <c r="AA9" s="725"/>
      <c r="AB9" s="725"/>
      <c r="AC9" s="725"/>
      <c r="AD9" s="28"/>
      <c r="AE9" s="4"/>
      <c r="AF9" s="28"/>
      <c r="AG9" s="28"/>
      <c r="AH9" s="28"/>
      <c r="AI9" s="5"/>
      <c r="AJ9" s="28"/>
      <c r="AK9" s="28"/>
      <c r="AL9" s="28"/>
      <c r="AM9" s="5"/>
      <c r="AN9" s="28"/>
      <c r="AO9" s="28"/>
      <c r="AP9" s="28"/>
      <c r="AQ9" s="5"/>
      <c r="AR9" s="28"/>
      <c r="AS9" s="28"/>
      <c r="AT9" s="53"/>
      <c r="AU9" s="53"/>
      <c r="AV9" s="53"/>
      <c r="AW9" s="53"/>
      <c r="AX9" s="53"/>
      <c r="AY9" s="53"/>
      <c r="AZ9" s="53"/>
      <c r="BA9" s="53"/>
      <c r="BB9" s="55"/>
      <c r="BC9" s="55"/>
      <c r="BD9" s="55"/>
      <c r="BE9" s="55"/>
      <c r="BF9" s="55"/>
      <c r="BG9" s="55"/>
      <c r="BH9" s="55"/>
      <c r="BI9" s="55"/>
    </row>
    <row r="10" spans="2:63" x14ac:dyDescent="0.2">
      <c r="B10" s="725"/>
      <c r="C10" s="725"/>
      <c r="D10" s="725"/>
      <c r="E10" s="725"/>
      <c r="F10" s="725"/>
      <c r="G10" s="725"/>
      <c r="H10" s="725"/>
      <c r="I10" s="725"/>
      <c r="J10" s="725"/>
      <c r="K10" s="725"/>
      <c r="L10" s="725"/>
      <c r="M10" s="725"/>
      <c r="N10" s="725"/>
      <c r="O10" s="725"/>
      <c r="P10" s="725"/>
      <c r="Q10" s="725"/>
      <c r="R10" s="725"/>
      <c r="S10" s="725"/>
      <c r="T10" s="725"/>
      <c r="U10" s="725"/>
      <c r="V10" s="725"/>
      <c r="W10" s="725"/>
      <c r="X10" s="725"/>
      <c r="Y10" s="725"/>
      <c r="Z10" s="725"/>
      <c r="AA10" s="725"/>
      <c r="AB10" s="725"/>
      <c r="AC10" s="725"/>
    </row>
    <row r="11" spans="2:63" ht="18.75" x14ac:dyDescent="0.2"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</row>
    <row r="12" spans="2:63" ht="22.5" x14ac:dyDescent="0.2">
      <c r="B12" s="8" t="s">
        <v>1</v>
      </c>
      <c r="C12" s="8" t="s">
        <v>2</v>
      </c>
      <c r="D12" s="9" t="s">
        <v>3</v>
      </c>
      <c r="E12" s="10" t="s">
        <v>4</v>
      </c>
      <c r="F12" s="30"/>
      <c r="G12" s="27"/>
      <c r="H12" s="27"/>
      <c r="I12" s="30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</row>
    <row r="13" spans="2:63" ht="18.75" x14ac:dyDescent="0.2">
      <c r="B13" s="11">
        <v>26230500</v>
      </c>
      <c r="C13" s="11">
        <v>19545282</v>
      </c>
      <c r="D13" s="11">
        <v>23488744</v>
      </c>
      <c r="E13" s="11">
        <f>+Y86</f>
        <v>2100893</v>
      </c>
      <c r="F13" s="31"/>
      <c r="G13" s="27"/>
      <c r="H13" s="27"/>
      <c r="I13" s="31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</row>
    <row r="14" spans="2:63" ht="15" customHeight="1" x14ac:dyDescent="0.2">
      <c r="C14" s="13"/>
      <c r="D14" s="14"/>
      <c r="E14" s="13"/>
      <c r="F14" s="13"/>
      <c r="I14" s="13"/>
      <c r="Z14" s="726" t="s">
        <v>5</v>
      </c>
      <c r="AA14" s="727"/>
      <c r="AB14" s="727"/>
      <c r="AC14" s="727"/>
      <c r="AD14" s="728" t="s">
        <v>6</v>
      </c>
      <c r="AE14" s="723"/>
      <c r="AF14" s="723"/>
      <c r="AG14" s="723"/>
      <c r="AH14" s="728" t="s">
        <v>6</v>
      </c>
      <c r="AI14" s="723"/>
      <c r="AJ14" s="723"/>
      <c r="AK14" s="723"/>
      <c r="AL14" s="728" t="s">
        <v>6</v>
      </c>
      <c r="AM14" s="723"/>
      <c r="AN14" s="723"/>
      <c r="AO14" s="723"/>
      <c r="AP14" s="728" t="s">
        <v>6</v>
      </c>
      <c r="AQ14" s="723"/>
      <c r="AR14" s="723"/>
      <c r="AS14" s="723"/>
      <c r="AT14" s="728" t="s">
        <v>6</v>
      </c>
      <c r="AU14" s="723"/>
      <c r="AV14" s="723"/>
      <c r="AW14" s="723"/>
      <c r="AX14" s="728" t="s">
        <v>6</v>
      </c>
      <c r="AY14" s="723"/>
      <c r="AZ14" s="723"/>
      <c r="BA14" s="723"/>
      <c r="BB14" s="728" t="s">
        <v>6</v>
      </c>
      <c r="BC14" s="723"/>
      <c r="BD14" s="723"/>
      <c r="BE14" s="723"/>
      <c r="BF14" s="728" t="s">
        <v>6</v>
      </c>
      <c r="BG14" s="723"/>
      <c r="BH14" s="723"/>
      <c r="BI14" s="723"/>
      <c r="BJ14" s="723" t="s">
        <v>7</v>
      </c>
      <c r="BK14" s="723"/>
    </row>
    <row r="15" spans="2:63" s="15" customFormat="1" ht="55.5" customHeight="1" x14ac:dyDescent="0.25">
      <c r="B15" s="32" t="s">
        <v>8</v>
      </c>
      <c r="C15" s="32" t="s">
        <v>9</v>
      </c>
      <c r="D15" s="32" t="s">
        <v>10</v>
      </c>
      <c r="E15" s="10" t="s">
        <v>11</v>
      </c>
      <c r="F15" s="10" t="s">
        <v>12</v>
      </c>
      <c r="G15" s="10" t="s">
        <v>13</v>
      </c>
      <c r="H15" s="10" t="s">
        <v>14</v>
      </c>
      <c r="I15" s="10" t="s">
        <v>12</v>
      </c>
      <c r="J15" s="10" t="s">
        <v>15</v>
      </c>
      <c r="K15" s="10" t="s">
        <v>16</v>
      </c>
      <c r="L15" s="10" t="s">
        <v>17</v>
      </c>
      <c r="M15" s="33" t="s">
        <v>18</v>
      </c>
      <c r="N15" s="33" t="s">
        <v>19</v>
      </c>
      <c r="O15" s="33" t="s">
        <v>20</v>
      </c>
      <c r="P15" s="33" t="s">
        <v>21</v>
      </c>
      <c r="Q15" s="33" t="s">
        <v>22</v>
      </c>
      <c r="R15" s="34" t="s">
        <v>23</v>
      </c>
      <c r="S15" s="34" t="s">
        <v>24</v>
      </c>
      <c r="T15" s="34" t="s">
        <v>25</v>
      </c>
      <c r="U15" s="34" t="s">
        <v>26</v>
      </c>
      <c r="V15" s="34" t="s">
        <v>27</v>
      </c>
      <c r="W15" s="34" t="s">
        <v>28</v>
      </c>
      <c r="X15" s="34" t="s">
        <v>29</v>
      </c>
      <c r="Y15" s="35" t="s">
        <v>30</v>
      </c>
      <c r="Z15" s="36" t="s">
        <v>31</v>
      </c>
      <c r="AA15" s="37" t="s">
        <v>32</v>
      </c>
      <c r="AB15" s="36" t="s">
        <v>33</v>
      </c>
      <c r="AC15" s="36" t="s">
        <v>34</v>
      </c>
      <c r="AD15" s="38" t="s">
        <v>35</v>
      </c>
      <c r="AE15" s="39" t="s">
        <v>32</v>
      </c>
      <c r="AF15" s="38" t="s">
        <v>33</v>
      </c>
      <c r="AG15" s="38" t="s">
        <v>34</v>
      </c>
      <c r="AH15" s="38" t="s">
        <v>35</v>
      </c>
      <c r="AI15" s="39" t="s">
        <v>32</v>
      </c>
      <c r="AJ15" s="38" t="s">
        <v>33</v>
      </c>
      <c r="AK15" s="38" t="s">
        <v>34</v>
      </c>
      <c r="AL15" s="38" t="s">
        <v>35</v>
      </c>
      <c r="AM15" s="39" t="s">
        <v>32</v>
      </c>
      <c r="AN15" s="38" t="s">
        <v>33</v>
      </c>
      <c r="AO15" s="38" t="s">
        <v>34</v>
      </c>
      <c r="AP15" s="38" t="s">
        <v>35</v>
      </c>
      <c r="AQ15" s="39" t="s">
        <v>32</v>
      </c>
      <c r="AR15" s="38" t="s">
        <v>33</v>
      </c>
      <c r="AS15" s="38" t="s">
        <v>34</v>
      </c>
      <c r="AT15" s="38" t="s">
        <v>35</v>
      </c>
      <c r="AU15" s="39" t="s">
        <v>32</v>
      </c>
      <c r="AV15" s="38" t="s">
        <v>33</v>
      </c>
      <c r="AW15" s="38" t="s">
        <v>34</v>
      </c>
      <c r="AX15" s="38" t="s">
        <v>35</v>
      </c>
      <c r="AY15" s="39" t="s">
        <v>32</v>
      </c>
      <c r="AZ15" s="38" t="s">
        <v>33</v>
      </c>
      <c r="BA15" s="38" t="s">
        <v>34</v>
      </c>
      <c r="BB15" s="38" t="s">
        <v>35</v>
      </c>
      <c r="BC15" s="39" t="s">
        <v>32</v>
      </c>
      <c r="BD15" s="38" t="s">
        <v>33</v>
      </c>
      <c r="BE15" s="38" t="s">
        <v>34</v>
      </c>
      <c r="BF15" s="38" t="s">
        <v>35</v>
      </c>
      <c r="BG15" s="39" t="s">
        <v>32</v>
      </c>
      <c r="BH15" s="38" t="s">
        <v>33</v>
      </c>
      <c r="BI15" s="38" t="s">
        <v>34</v>
      </c>
      <c r="BJ15" s="40" t="s">
        <v>36</v>
      </c>
      <c r="BK15" s="40" t="s">
        <v>37</v>
      </c>
    </row>
    <row r="16" spans="2:63" s="15" customFormat="1" ht="22.5" customHeight="1" x14ac:dyDescent="0.25">
      <c r="B16" s="41">
        <v>1</v>
      </c>
      <c r="C16" s="41" t="s">
        <v>40</v>
      </c>
      <c r="D16" s="42">
        <v>30077611</v>
      </c>
      <c r="E16" s="43" t="s">
        <v>47</v>
      </c>
      <c r="F16" s="44" t="s">
        <v>45</v>
      </c>
      <c r="G16" s="21" t="s">
        <v>48</v>
      </c>
      <c r="H16" s="17" t="s">
        <v>49</v>
      </c>
      <c r="I16" s="45" t="s">
        <v>42</v>
      </c>
      <c r="J16" s="18">
        <v>744539</v>
      </c>
      <c r="K16" s="18">
        <v>436816</v>
      </c>
      <c r="L16" s="18">
        <v>0</v>
      </c>
      <c r="M16" s="18">
        <v>0</v>
      </c>
      <c r="N16" s="18">
        <v>0</v>
      </c>
      <c r="O16" s="18">
        <v>0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8">
        <v>0</v>
      </c>
      <c r="X16" s="18">
        <v>0</v>
      </c>
      <c r="Y16" s="26">
        <f>SUM(M16:X16)</f>
        <v>0</v>
      </c>
      <c r="Z16" s="26">
        <v>36000</v>
      </c>
      <c r="AA16" s="19">
        <v>5</v>
      </c>
      <c r="AB16" s="23">
        <v>44229</v>
      </c>
      <c r="AC16" s="23">
        <v>44246</v>
      </c>
      <c r="AD16" s="26">
        <v>159951</v>
      </c>
      <c r="AE16" s="20">
        <v>19</v>
      </c>
      <c r="AF16" s="23">
        <v>44274</v>
      </c>
      <c r="AG16" s="23">
        <v>44298</v>
      </c>
      <c r="AH16" s="26"/>
      <c r="AI16" s="19"/>
      <c r="AJ16" s="21"/>
      <c r="AK16" s="25"/>
      <c r="AL16" s="26"/>
      <c r="AM16" s="19"/>
      <c r="AN16" s="21"/>
      <c r="AO16" s="25"/>
      <c r="AP16" s="26"/>
      <c r="AQ16" s="19"/>
      <c r="AR16" s="21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2">
        <f>+Z16+AD16+AH16+AL16+AP16+AT16+AX16+BB16+BF16</f>
        <v>195951</v>
      </c>
      <c r="BK16" s="47">
        <f t="shared" ref="BK16:BK80" si="0">+BJ16-Y16</f>
        <v>195951</v>
      </c>
    </row>
    <row r="17" spans="2:63" s="15" customFormat="1" ht="22.5" x14ac:dyDescent="0.25">
      <c r="B17" s="41">
        <v>2</v>
      </c>
      <c r="C17" s="41" t="s">
        <v>40</v>
      </c>
      <c r="D17" s="42">
        <v>40007344</v>
      </c>
      <c r="E17" s="43" t="s">
        <v>50</v>
      </c>
      <c r="F17" s="44" t="s">
        <v>45</v>
      </c>
      <c r="G17" s="21" t="s">
        <v>48</v>
      </c>
      <c r="H17" s="17" t="s">
        <v>44</v>
      </c>
      <c r="I17" s="45" t="s">
        <v>43</v>
      </c>
      <c r="J17" s="18">
        <v>158749</v>
      </c>
      <c r="K17" s="18">
        <v>67491</v>
      </c>
      <c r="L17" s="18">
        <v>0</v>
      </c>
      <c r="M17" s="18">
        <v>0</v>
      </c>
      <c r="N17" s="18">
        <v>0</v>
      </c>
      <c r="O17" s="18">
        <v>0</v>
      </c>
      <c r="P17" s="57">
        <v>42190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8">
        <v>0</v>
      </c>
      <c r="X17" s="18">
        <v>0</v>
      </c>
      <c r="Y17" s="26">
        <f t="shared" ref="Y17:Y85" si="1">SUM(M17:X17)</f>
        <v>42190</v>
      </c>
      <c r="Z17" s="26">
        <v>40930</v>
      </c>
      <c r="AA17" s="19">
        <v>5</v>
      </c>
      <c r="AB17" s="23">
        <v>44229</v>
      </c>
      <c r="AC17" s="23">
        <v>44246</v>
      </c>
      <c r="AD17" s="26">
        <v>22656</v>
      </c>
      <c r="AE17" s="20">
        <v>19</v>
      </c>
      <c r="AF17" s="23">
        <v>44274</v>
      </c>
      <c r="AG17" s="23">
        <v>44298</v>
      </c>
      <c r="AH17" s="26"/>
      <c r="AI17" s="19"/>
      <c r="AJ17" s="21"/>
      <c r="AK17" s="25"/>
      <c r="AL17" s="26"/>
      <c r="AM17" s="19"/>
      <c r="AN17" s="21"/>
      <c r="AO17" s="25"/>
      <c r="AP17" s="26"/>
      <c r="AQ17" s="19"/>
      <c r="AR17" s="21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2">
        <f t="shared" ref="BJ17:BJ80" si="2">+Z17+AD17+AH17+AL17+AP17+AT17+AX17+BB17+BF17</f>
        <v>63586</v>
      </c>
      <c r="BK17" s="47">
        <f t="shared" si="0"/>
        <v>21396</v>
      </c>
    </row>
    <row r="18" spans="2:63" s="15" customFormat="1" ht="22.5" x14ac:dyDescent="0.25">
      <c r="B18" s="41">
        <v>3</v>
      </c>
      <c r="C18" s="41" t="s">
        <v>38</v>
      </c>
      <c r="D18" s="211">
        <v>30440181</v>
      </c>
      <c r="E18" s="43" t="s">
        <v>51</v>
      </c>
      <c r="F18" s="44" t="s">
        <v>45</v>
      </c>
      <c r="G18" s="21" t="s">
        <v>48</v>
      </c>
      <c r="H18" s="17" t="s">
        <v>52</v>
      </c>
      <c r="I18" s="45" t="s">
        <v>42</v>
      </c>
      <c r="J18" s="18">
        <v>6637574</v>
      </c>
      <c r="K18" s="18">
        <v>6440789</v>
      </c>
      <c r="L18" s="18">
        <v>0</v>
      </c>
      <c r="M18" s="18">
        <v>0</v>
      </c>
      <c r="N18" s="18">
        <v>0</v>
      </c>
      <c r="O18" s="46">
        <v>1505</v>
      </c>
      <c r="P18" s="57">
        <v>7161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8">
        <v>0</v>
      </c>
      <c r="X18" s="18">
        <v>0</v>
      </c>
      <c r="Y18" s="26">
        <f t="shared" si="1"/>
        <v>8666</v>
      </c>
      <c r="Z18" s="26">
        <v>173918</v>
      </c>
      <c r="AA18" s="19">
        <v>5</v>
      </c>
      <c r="AB18" s="23">
        <v>44229</v>
      </c>
      <c r="AC18" s="23">
        <v>44246</v>
      </c>
      <c r="AD18" s="48"/>
      <c r="AE18" s="20"/>
      <c r="AF18" s="23"/>
      <c r="AG18" s="23"/>
      <c r="AH18" s="48"/>
      <c r="AI18" s="19"/>
      <c r="AJ18" s="23"/>
      <c r="AK18" s="25"/>
      <c r="AL18" s="48"/>
      <c r="AM18" s="19"/>
      <c r="AN18" s="23"/>
      <c r="AO18" s="25"/>
      <c r="AP18" s="48"/>
      <c r="AQ18" s="19"/>
      <c r="AR18" s="23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2">
        <f t="shared" si="2"/>
        <v>173918</v>
      </c>
      <c r="BK18" s="47">
        <f t="shared" si="0"/>
        <v>165252</v>
      </c>
    </row>
    <row r="19" spans="2:63" s="15" customFormat="1" ht="22.5" x14ac:dyDescent="0.25">
      <c r="B19" s="41">
        <v>4</v>
      </c>
      <c r="C19" s="41" t="s">
        <v>38</v>
      </c>
      <c r="D19" s="211">
        <v>30463053</v>
      </c>
      <c r="E19" s="43" t="s">
        <v>53</v>
      </c>
      <c r="F19" s="44" t="s">
        <v>45</v>
      </c>
      <c r="G19" s="21" t="s">
        <v>48</v>
      </c>
      <c r="H19" s="17" t="s">
        <v>49</v>
      </c>
      <c r="I19" s="45" t="s">
        <v>42</v>
      </c>
      <c r="J19" s="18">
        <v>3439969</v>
      </c>
      <c r="K19" s="18">
        <v>3152218</v>
      </c>
      <c r="L19" s="18">
        <v>0</v>
      </c>
      <c r="M19" s="18">
        <v>0</v>
      </c>
      <c r="N19" s="46">
        <v>8222</v>
      </c>
      <c r="O19" s="46">
        <v>2000</v>
      </c>
      <c r="P19" s="57">
        <v>12719</v>
      </c>
      <c r="Q19" s="18">
        <v>15466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8">
        <v>0</v>
      </c>
      <c r="X19" s="18">
        <v>0</v>
      </c>
      <c r="Y19" s="26">
        <f t="shared" si="1"/>
        <v>38407</v>
      </c>
      <c r="Z19" s="26">
        <v>273850</v>
      </c>
      <c r="AA19" s="19">
        <v>5</v>
      </c>
      <c r="AB19" s="23">
        <v>44229</v>
      </c>
      <c r="AC19" s="23">
        <v>44246</v>
      </c>
      <c r="AD19" s="26">
        <v>489</v>
      </c>
      <c r="AE19" s="19">
        <v>37</v>
      </c>
      <c r="AF19" s="23">
        <v>44344</v>
      </c>
      <c r="AG19" s="23">
        <v>44354</v>
      </c>
      <c r="AH19" s="18"/>
      <c r="AI19" s="19"/>
      <c r="AJ19" s="23"/>
      <c r="AK19" s="25"/>
      <c r="AL19" s="18"/>
      <c r="AM19" s="19"/>
      <c r="AN19" s="23"/>
      <c r="AO19" s="25"/>
      <c r="AP19" s="18"/>
      <c r="AQ19" s="19"/>
      <c r="AR19" s="23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25"/>
      <c r="BJ19" s="22">
        <f t="shared" si="2"/>
        <v>274339</v>
      </c>
      <c r="BK19" s="47">
        <f t="shared" si="0"/>
        <v>235932</v>
      </c>
    </row>
    <row r="20" spans="2:63" s="15" customFormat="1" ht="22.5" x14ac:dyDescent="0.25">
      <c r="B20" s="41">
        <v>5</v>
      </c>
      <c r="C20" s="41" t="s">
        <v>38</v>
      </c>
      <c r="D20" s="211">
        <v>30096888</v>
      </c>
      <c r="E20" s="43" t="s">
        <v>54</v>
      </c>
      <c r="F20" s="44" t="s">
        <v>45</v>
      </c>
      <c r="G20" s="21" t="s">
        <v>48</v>
      </c>
      <c r="H20" s="17" t="s">
        <v>55</v>
      </c>
      <c r="I20" s="45" t="s">
        <v>42</v>
      </c>
      <c r="J20" s="18">
        <v>5533765</v>
      </c>
      <c r="K20" s="18">
        <v>4598333</v>
      </c>
      <c r="L20" s="18">
        <v>0</v>
      </c>
      <c r="M20" s="18">
        <v>0</v>
      </c>
      <c r="N20" s="46">
        <v>120087</v>
      </c>
      <c r="O20" s="46">
        <v>161897</v>
      </c>
      <c r="P20" s="57">
        <v>67067</v>
      </c>
      <c r="Q20" s="18">
        <v>125914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8">
        <v>0</v>
      </c>
      <c r="X20" s="18">
        <v>0</v>
      </c>
      <c r="Y20" s="26">
        <f t="shared" si="1"/>
        <v>474965</v>
      </c>
      <c r="Z20" s="26">
        <v>491833</v>
      </c>
      <c r="AA20" s="19">
        <v>5</v>
      </c>
      <c r="AB20" s="23">
        <v>44229</v>
      </c>
      <c r="AC20" s="23">
        <v>44246</v>
      </c>
      <c r="AD20" s="26">
        <v>1</v>
      </c>
      <c r="AE20" s="19">
        <v>37</v>
      </c>
      <c r="AF20" s="23">
        <v>44344</v>
      </c>
      <c r="AG20" s="23">
        <v>44354</v>
      </c>
      <c r="AH20" s="18"/>
      <c r="AI20" s="19"/>
      <c r="AJ20" s="23"/>
      <c r="AK20" s="25"/>
      <c r="AL20" s="18"/>
      <c r="AM20" s="19"/>
      <c r="AN20" s="23"/>
      <c r="AO20" s="25"/>
      <c r="AP20" s="18"/>
      <c r="AQ20" s="19"/>
      <c r="AR20" s="23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2">
        <f t="shared" si="2"/>
        <v>491834</v>
      </c>
      <c r="BK20" s="47">
        <f t="shared" si="0"/>
        <v>16869</v>
      </c>
    </row>
    <row r="21" spans="2:63" s="15" customFormat="1" ht="22.5" x14ac:dyDescent="0.25">
      <c r="B21" s="41">
        <v>6</v>
      </c>
      <c r="C21" s="41" t="s">
        <v>38</v>
      </c>
      <c r="D21" s="211">
        <v>30345873</v>
      </c>
      <c r="E21" s="43" t="s">
        <v>56</v>
      </c>
      <c r="F21" s="44" t="s">
        <v>45</v>
      </c>
      <c r="G21" s="21" t="s">
        <v>48</v>
      </c>
      <c r="H21" s="17" t="s">
        <v>49</v>
      </c>
      <c r="I21" s="45" t="s">
        <v>42</v>
      </c>
      <c r="J21" s="18">
        <v>3238007</v>
      </c>
      <c r="K21" s="18">
        <v>3133903</v>
      </c>
      <c r="L21" s="18">
        <v>0</v>
      </c>
      <c r="M21" s="18">
        <v>0</v>
      </c>
      <c r="N21" s="18">
        <v>0</v>
      </c>
      <c r="O21" s="18">
        <v>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8">
        <v>0</v>
      </c>
      <c r="X21" s="18">
        <v>0</v>
      </c>
      <c r="Y21" s="26">
        <f t="shared" si="1"/>
        <v>0</v>
      </c>
      <c r="Z21" s="26">
        <v>101813</v>
      </c>
      <c r="AA21" s="19">
        <v>5</v>
      </c>
      <c r="AB21" s="23">
        <v>44229</v>
      </c>
      <c r="AC21" s="23">
        <v>44246</v>
      </c>
      <c r="AD21" s="26">
        <v>-101812</v>
      </c>
      <c r="AE21" s="20">
        <v>9</v>
      </c>
      <c r="AF21" s="23">
        <v>44238</v>
      </c>
      <c r="AG21" s="23">
        <v>44259</v>
      </c>
      <c r="AH21" s="18"/>
      <c r="AI21" s="19"/>
      <c r="AJ21" s="23"/>
      <c r="AK21" s="25"/>
      <c r="AL21" s="18"/>
      <c r="AM21" s="19"/>
      <c r="AN21" s="23"/>
      <c r="AO21" s="25"/>
      <c r="AP21" s="18"/>
      <c r="AQ21" s="19"/>
      <c r="AR21" s="23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2">
        <f t="shared" si="2"/>
        <v>1</v>
      </c>
      <c r="BK21" s="47">
        <f t="shared" si="0"/>
        <v>1</v>
      </c>
    </row>
    <row r="22" spans="2:63" s="15" customFormat="1" ht="22.5" x14ac:dyDescent="0.25">
      <c r="B22" s="41">
        <v>7</v>
      </c>
      <c r="C22" s="41" t="s">
        <v>38</v>
      </c>
      <c r="D22" s="211">
        <v>30344623</v>
      </c>
      <c r="E22" s="43" t="s">
        <v>57</v>
      </c>
      <c r="F22" s="44" t="s">
        <v>46</v>
      </c>
      <c r="G22" s="21" t="s">
        <v>48</v>
      </c>
      <c r="H22" s="17" t="s">
        <v>55</v>
      </c>
      <c r="I22" s="45" t="s">
        <v>42</v>
      </c>
      <c r="J22" s="18">
        <v>168418</v>
      </c>
      <c r="K22" s="18">
        <v>159529</v>
      </c>
      <c r="L22" s="18">
        <v>0</v>
      </c>
      <c r="M22" s="18">
        <v>0</v>
      </c>
      <c r="N22" s="18">
        <v>0</v>
      </c>
      <c r="O22" s="18">
        <v>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8">
        <v>0</v>
      </c>
      <c r="X22" s="18">
        <v>0</v>
      </c>
      <c r="Y22" s="26">
        <f t="shared" si="1"/>
        <v>0</v>
      </c>
      <c r="Z22" s="26">
        <v>8666</v>
      </c>
      <c r="AA22" s="19">
        <v>5</v>
      </c>
      <c r="AB22" s="23">
        <v>44229</v>
      </c>
      <c r="AC22" s="23">
        <v>44246</v>
      </c>
      <c r="AD22" s="26"/>
      <c r="AE22" s="20"/>
      <c r="AF22" s="21"/>
      <c r="AG22" s="23"/>
      <c r="AH22" s="26"/>
      <c r="AI22" s="19"/>
      <c r="AJ22" s="21"/>
      <c r="AK22" s="25"/>
      <c r="AL22" s="26"/>
      <c r="AM22" s="19"/>
      <c r="AN22" s="21"/>
      <c r="AO22" s="25"/>
      <c r="AP22" s="26"/>
      <c r="AQ22" s="19"/>
      <c r="AR22" s="21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25"/>
      <c r="BH22" s="25"/>
      <c r="BI22" s="25"/>
      <c r="BJ22" s="22">
        <f t="shared" si="2"/>
        <v>8666</v>
      </c>
      <c r="BK22" s="47">
        <f t="shared" si="0"/>
        <v>8666</v>
      </c>
    </row>
    <row r="23" spans="2:63" s="15" customFormat="1" ht="22.5" x14ac:dyDescent="0.25">
      <c r="B23" s="41">
        <v>8</v>
      </c>
      <c r="C23" s="41" t="s">
        <v>38</v>
      </c>
      <c r="D23" s="211">
        <v>30346224</v>
      </c>
      <c r="E23" s="43" t="s">
        <v>58</v>
      </c>
      <c r="F23" s="44" t="s">
        <v>45</v>
      </c>
      <c r="G23" s="21" t="s">
        <v>48</v>
      </c>
      <c r="H23" s="17" t="s">
        <v>49</v>
      </c>
      <c r="I23" s="45" t="s">
        <v>42</v>
      </c>
      <c r="J23" s="18">
        <v>1953574</v>
      </c>
      <c r="K23" s="18">
        <v>1547135</v>
      </c>
      <c r="L23" s="18">
        <v>1</v>
      </c>
      <c r="M23" s="18">
        <v>0</v>
      </c>
      <c r="N23" s="18">
        <v>0</v>
      </c>
      <c r="O23" s="18">
        <v>0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8">
        <v>0</v>
      </c>
      <c r="X23" s="18">
        <v>0</v>
      </c>
      <c r="Y23" s="26">
        <f t="shared" si="1"/>
        <v>0</v>
      </c>
      <c r="Z23" s="26">
        <v>184286</v>
      </c>
      <c r="AA23" s="19">
        <v>5</v>
      </c>
      <c r="AB23" s="23">
        <v>44229</v>
      </c>
      <c r="AC23" s="23">
        <v>44246</v>
      </c>
      <c r="AD23" s="26">
        <v>-100000</v>
      </c>
      <c r="AE23" s="20">
        <v>7</v>
      </c>
      <c r="AF23" s="23">
        <v>44229</v>
      </c>
      <c r="AG23" s="23">
        <v>44250</v>
      </c>
      <c r="AH23" s="26">
        <v>-84284</v>
      </c>
      <c r="AI23" s="20">
        <v>9</v>
      </c>
      <c r="AJ23" s="23">
        <v>44238</v>
      </c>
      <c r="AK23" s="23">
        <v>44259</v>
      </c>
      <c r="AL23" s="26"/>
      <c r="AM23" s="19"/>
      <c r="AN23" s="21"/>
      <c r="AO23" s="25"/>
      <c r="AP23" s="26"/>
      <c r="AQ23" s="19"/>
      <c r="AR23" s="21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2">
        <f t="shared" si="2"/>
        <v>2</v>
      </c>
      <c r="BK23" s="47">
        <f t="shared" si="0"/>
        <v>2</v>
      </c>
    </row>
    <row r="24" spans="2:63" s="15" customFormat="1" ht="23.25" customHeight="1" x14ac:dyDescent="0.25">
      <c r="B24" s="41">
        <v>9</v>
      </c>
      <c r="C24" s="41" t="s">
        <v>38</v>
      </c>
      <c r="D24" s="211">
        <v>30482214</v>
      </c>
      <c r="E24" s="43" t="s">
        <v>59</v>
      </c>
      <c r="F24" s="44" t="s">
        <v>45</v>
      </c>
      <c r="G24" s="21" t="s">
        <v>48</v>
      </c>
      <c r="H24" s="17" t="s">
        <v>49</v>
      </c>
      <c r="I24" s="45" t="s">
        <v>42</v>
      </c>
      <c r="J24" s="18">
        <v>1802544</v>
      </c>
      <c r="K24" s="18">
        <v>1293947</v>
      </c>
      <c r="L24" s="18">
        <v>0</v>
      </c>
      <c r="M24" s="18">
        <v>0</v>
      </c>
      <c r="N24" s="18">
        <v>0</v>
      </c>
      <c r="O24" s="18">
        <v>0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8">
        <v>0</v>
      </c>
      <c r="X24" s="18">
        <v>0</v>
      </c>
      <c r="Y24" s="26">
        <f t="shared" si="1"/>
        <v>0</v>
      </c>
      <c r="Z24" s="26">
        <v>167012</v>
      </c>
      <c r="AA24" s="19">
        <v>5</v>
      </c>
      <c r="AB24" s="23">
        <v>44229</v>
      </c>
      <c r="AC24" s="23">
        <v>44246</v>
      </c>
      <c r="AD24" s="26">
        <v>-167010</v>
      </c>
      <c r="AE24" s="20">
        <v>9</v>
      </c>
      <c r="AF24" s="23">
        <v>44238</v>
      </c>
      <c r="AG24" s="23">
        <v>44259</v>
      </c>
      <c r="AH24" s="26">
        <v>8093</v>
      </c>
      <c r="AI24" s="20">
        <v>37</v>
      </c>
      <c r="AJ24" s="23">
        <v>44238</v>
      </c>
      <c r="AK24" s="23">
        <v>44259</v>
      </c>
      <c r="AL24" s="26">
        <v>16364</v>
      </c>
      <c r="AM24" s="20">
        <v>38</v>
      </c>
      <c r="AN24" s="23">
        <v>44355</v>
      </c>
      <c r="AO24" s="23">
        <v>44363</v>
      </c>
      <c r="AP24" s="26"/>
      <c r="AQ24" s="19"/>
      <c r="AR24" s="21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2">
        <f t="shared" si="2"/>
        <v>24459</v>
      </c>
      <c r="BK24" s="47">
        <f t="shared" si="0"/>
        <v>24459</v>
      </c>
    </row>
    <row r="25" spans="2:63" s="15" customFormat="1" ht="22.5" x14ac:dyDescent="0.25">
      <c r="B25" s="41">
        <v>10</v>
      </c>
      <c r="C25" s="41" t="s">
        <v>38</v>
      </c>
      <c r="D25" s="211">
        <v>30488457</v>
      </c>
      <c r="E25" s="43" t="s">
        <v>60</v>
      </c>
      <c r="F25" s="44" t="s">
        <v>45</v>
      </c>
      <c r="G25" s="21" t="s">
        <v>48</v>
      </c>
      <c r="H25" s="17" t="s">
        <v>49</v>
      </c>
      <c r="I25" s="45" t="s">
        <v>42</v>
      </c>
      <c r="J25" s="18">
        <v>800104</v>
      </c>
      <c r="K25" s="18">
        <v>91158</v>
      </c>
      <c r="L25" s="18">
        <v>3</v>
      </c>
      <c r="M25" s="18">
        <v>0</v>
      </c>
      <c r="N25" s="18">
        <v>0</v>
      </c>
      <c r="O25" s="18">
        <v>0</v>
      </c>
      <c r="P25" s="18">
        <v>0</v>
      </c>
      <c r="Q25" s="18">
        <v>0</v>
      </c>
      <c r="R25" s="18">
        <v>63644</v>
      </c>
      <c r="S25" s="18">
        <v>0</v>
      </c>
      <c r="T25" s="18">
        <v>0</v>
      </c>
      <c r="U25" s="18">
        <v>0</v>
      </c>
      <c r="V25" s="18">
        <v>0</v>
      </c>
      <c r="W25" s="18">
        <v>0</v>
      </c>
      <c r="X25" s="18">
        <v>0</v>
      </c>
      <c r="Y25" s="26">
        <f t="shared" si="1"/>
        <v>63644</v>
      </c>
      <c r="Z25" s="26">
        <v>693906</v>
      </c>
      <c r="AA25" s="19">
        <v>5</v>
      </c>
      <c r="AB25" s="23">
        <v>44229</v>
      </c>
      <c r="AC25" s="23">
        <v>44246</v>
      </c>
      <c r="AD25" s="26">
        <v>-35677</v>
      </c>
      <c r="AE25" s="19">
        <v>41</v>
      </c>
      <c r="AF25" s="23">
        <v>44362</v>
      </c>
      <c r="AG25" s="23">
        <v>44371</v>
      </c>
      <c r="AH25" s="26"/>
      <c r="AI25" s="19"/>
      <c r="AJ25" s="21"/>
      <c r="AK25" s="25"/>
      <c r="AL25" s="26"/>
      <c r="AM25" s="19"/>
      <c r="AN25" s="21"/>
      <c r="AO25" s="25"/>
      <c r="AP25" s="26"/>
      <c r="AQ25" s="19"/>
      <c r="AR25" s="21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  <c r="BF25" s="25"/>
      <c r="BG25" s="25"/>
      <c r="BH25" s="25"/>
      <c r="BI25" s="25"/>
      <c r="BJ25" s="22">
        <f t="shared" si="2"/>
        <v>658229</v>
      </c>
      <c r="BK25" s="47">
        <f t="shared" si="0"/>
        <v>594585</v>
      </c>
    </row>
    <row r="26" spans="2:63" s="15" customFormat="1" ht="22.5" x14ac:dyDescent="0.25">
      <c r="B26" s="41">
        <v>11</v>
      </c>
      <c r="C26" s="41" t="s">
        <v>38</v>
      </c>
      <c r="D26" s="211">
        <v>30121131</v>
      </c>
      <c r="E26" s="43" t="s">
        <v>61</v>
      </c>
      <c r="F26" s="44" t="s">
        <v>46</v>
      </c>
      <c r="G26" s="21" t="s">
        <v>48</v>
      </c>
      <c r="H26" s="17" t="s">
        <v>49</v>
      </c>
      <c r="I26" s="45" t="s">
        <v>42</v>
      </c>
      <c r="J26" s="18">
        <v>160250</v>
      </c>
      <c r="K26" s="18">
        <v>68757</v>
      </c>
      <c r="L26" s="18">
        <v>0</v>
      </c>
      <c r="M26" s="18">
        <v>0</v>
      </c>
      <c r="N26" s="18">
        <v>0</v>
      </c>
      <c r="O26" s="46">
        <v>12240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8">
        <v>0</v>
      </c>
      <c r="X26" s="18">
        <v>0</v>
      </c>
      <c r="Y26" s="26">
        <f t="shared" si="1"/>
        <v>12240</v>
      </c>
      <c r="Z26" s="26">
        <v>89064</v>
      </c>
      <c r="AA26" s="19">
        <v>5</v>
      </c>
      <c r="AB26" s="23">
        <v>44229</v>
      </c>
      <c r="AC26" s="23">
        <v>44246</v>
      </c>
      <c r="AD26" s="26">
        <v>-8009</v>
      </c>
      <c r="AE26" s="19">
        <v>29</v>
      </c>
      <c r="AF26" s="23">
        <v>44316</v>
      </c>
      <c r="AG26" s="23">
        <v>44334</v>
      </c>
      <c r="AH26" s="26">
        <v>-31775</v>
      </c>
      <c r="AI26" s="19">
        <v>33</v>
      </c>
      <c r="AJ26" s="23">
        <v>44330</v>
      </c>
      <c r="AK26" s="23">
        <v>44342</v>
      </c>
      <c r="AL26" s="26"/>
      <c r="AM26" s="19"/>
      <c r="AN26" s="21"/>
      <c r="AO26" s="25"/>
      <c r="AP26" s="26"/>
      <c r="AQ26" s="19"/>
      <c r="AR26" s="21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2">
        <f t="shared" si="2"/>
        <v>49280</v>
      </c>
      <c r="BK26" s="47">
        <f t="shared" si="0"/>
        <v>37040</v>
      </c>
    </row>
    <row r="27" spans="2:63" s="15" customFormat="1" ht="22.5" x14ac:dyDescent="0.25">
      <c r="B27" s="41">
        <v>12</v>
      </c>
      <c r="C27" s="41" t="s">
        <v>38</v>
      </c>
      <c r="D27" s="211">
        <v>30476597</v>
      </c>
      <c r="E27" s="43" t="s">
        <v>62</v>
      </c>
      <c r="F27" s="44" t="s">
        <v>46</v>
      </c>
      <c r="G27" s="21" t="s">
        <v>48</v>
      </c>
      <c r="H27" s="17" t="s">
        <v>44</v>
      </c>
      <c r="I27" s="45" t="s">
        <v>42</v>
      </c>
      <c r="J27" s="18">
        <v>135168</v>
      </c>
      <c r="K27" s="18">
        <v>100403</v>
      </c>
      <c r="L27" s="18">
        <v>0</v>
      </c>
      <c r="M27" s="18">
        <v>0</v>
      </c>
      <c r="N27" s="18">
        <v>0</v>
      </c>
      <c r="O27" s="18">
        <v>0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8">
        <v>0</v>
      </c>
      <c r="X27" s="18">
        <v>0</v>
      </c>
      <c r="Y27" s="26">
        <f t="shared" si="1"/>
        <v>0</v>
      </c>
      <c r="Z27" s="26">
        <v>26472</v>
      </c>
      <c r="AA27" s="19">
        <v>5</v>
      </c>
      <c r="AB27" s="23">
        <v>44229</v>
      </c>
      <c r="AC27" s="23">
        <v>44246</v>
      </c>
      <c r="AD27" s="26">
        <v>-8127</v>
      </c>
      <c r="AE27" s="19">
        <v>33</v>
      </c>
      <c r="AF27" s="23">
        <v>44330</v>
      </c>
      <c r="AG27" s="23">
        <v>44342</v>
      </c>
      <c r="AH27" s="26"/>
      <c r="AI27" s="19"/>
      <c r="AJ27" s="21"/>
      <c r="AK27" s="25"/>
      <c r="AL27" s="26"/>
      <c r="AM27" s="19"/>
      <c r="AN27" s="21"/>
      <c r="AO27" s="25"/>
      <c r="AP27" s="26"/>
      <c r="AQ27" s="19"/>
      <c r="AR27" s="21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  <c r="BF27" s="25"/>
      <c r="BG27" s="25"/>
      <c r="BH27" s="25"/>
      <c r="BI27" s="25"/>
      <c r="BJ27" s="22">
        <f t="shared" si="2"/>
        <v>18345</v>
      </c>
      <c r="BK27" s="47">
        <f t="shared" si="0"/>
        <v>18345</v>
      </c>
    </row>
    <row r="28" spans="2:63" s="15" customFormat="1" ht="23.25" customHeight="1" x14ac:dyDescent="0.25">
      <c r="B28" s="41">
        <v>13</v>
      </c>
      <c r="C28" s="41" t="s">
        <v>38</v>
      </c>
      <c r="D28" s="211">
        <v>30407383</v>
      </c>
      <c r="E28" s="43" t="s">
        <v>63</v>
      </c>
      <c r="F28" s="44" t="s">
        <v>45</v>
      </c>
      <c r="G28" s="21" t="s">
        <v>48</v>
      </c>
      <c r="H28" s="17" t="s">
        <v>44</v>
      </c>
      <c r="I28" s="45" t="s">
        <v>42</v>
      </c>
      <c r="J28" s="18">
        <v>1245553</v>
      </c>
      <c r="K28" s="18">
        <v>280624</v>
      </c>
      <c r="L28" s="18">
        <v>2</v>
      </c>
      <c r="M28" s="18">
        <v>0</v>
      </c>
      <c r="N28" s="46">
        <v>50012</v>
      </c>
      <c r="O28" s="18">
        <v>0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8">
        <v>0</v>
      </c>
      <c r="X28" s="18">
        <v>0</v>
      </c>
      <c r="Y28" s="26">
        <f t="shared" si="1"/>
        <v>50012</v>
      </c>
      <c r="Z28" s="26">
        <v>862079</v>
      </c>
      <c r="AA28" s="19">
        <v>5</v>
      </c>
      <c r="AB28" s="23">
        <v>44229</v>
      </c>
      <c r="AC28" s="23">
        <v>44246</v>
      </c>
      <c r="AD28" s="26">
        <v>-5159</v>
      </c>
      <c r="AE28" s="20">
        <v>13</v>
      </c>
      <c r="AF28" s="23">
        <v>44259</v>
      </c>
      <c r="AG28" s="23">
        <v>44285</v>
      </c>
      <c r="AH28" s="26">
        <v>-332606</v>
      </c>
      <c r="AI28" s="20">
        <v>21</v>
      </c>
      <c r="AJ28" s="23">
        <v>44291</v>
      </c>
      <c r="AK28" s="23">
        <v>44309</v>
      </c>
      <c r="AL28" s="26"/>
      <c r="AM28" s="19"/>
      <c r="AN28" s="21"/>
      <c r="AO28" s="25"/>
      <c r="AP28" s="26"/>
      <c r="AQ28" s="19"/>
      <c r="AR28" s="21"/>
      <c r="AS28" s="25"/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  <c r="BF28" s="25"/>
      <c r="BG28" s="25"/>
      <c r="BH28" s="25"/>
      <c r="BI28" s="25"/>
      <c r="BJ28" s="22">
        <f t="shared" si="2"/>
        <v>524314</v>
      </c>
      <c r="BK28" s="47">
        <f t="shared" si="0"/>
        <v>474302</v>
      </c>
    </row>
    <row r="29" spans="2:63" s="15" customFormat="1" ht="22.5" x14ac:dyDescent="0.25">
      <c r="B29" s="41">
        <v>14</v>
      </c>
      <c r="C29" s="41" t="s">
        <v>38</v>
      </c>
      <c r="D29" s="211">
        <v>40003275</v>
      </c>
      <c r="E29" s="43" t="s">
        <v>64</v>
      </c>
      <c r="F29" s="44" t="s">
        <v>46</v>
      </c>
      <c r="G29" s="21" t="s">
        <v>48</v>
      </c>
      <c r="H29" s="17" t="s">
        <v>44</v>
      </c>
      <c r="I29" s="45" t="s">
        <v>42</v>
      </c>
      <c r="J29" s="18">
        <v>1643583</v>
      </c>
      <c r="K29" s="18">
        <v>1549964</v>
      </c>
      <c r="L29" s="18">
        <v>62</v>
      </c>
      <c r="M29" s="18">
        <v>0</v>
      </c>
      <c r="N29" s="46">
        <v>4000</v>
      </c>
      <c r="O29" s="46">
        <v>2000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8">
        <v>0</v>
      </c>
      <c r="X29" s="18">
        <v>0</v>
      </c>
      <c r="Y29" s="26">
        <f t="shared" si="1"/>
        <v>6000</v>
      </c>
      <c r="Z29" s="26">
        <v>78155</v>
      </c>
      <c r="AA29" s="19">
        <v>5</v>
      </c>
      <c r="AB29" s="23">
        <v>44229</v>
      </c>
      <c r="AC29" s="23">
        <v>44246</v>
      </c>
      <c r="AD29" s="26"/>
      <c r="AE29" s="20"/>
      <c r="AF29" s="21"/>
      <c r="AG29" s="23"/>
      <c r="AH29" s="26"/>
      <c r="AI29" s="19"/>
      <c r="AJ29" s="21"/>
      <c r="AK29" s="25"/>
      <c r="AL29" s="26"/>
      <c r="AM29" s="19"/>
      <c r="AN29" s="21"/>
      <c r="AO29" s="25"/>
      <c r="AP29" s="26"/>
      <c r="AQ29" s="19"/>
      <c r="AR29" s="21"/>
      <c r="AS29" s="25"/>
      <c r="AT29" s="25"/>
      <c r="AU29" s="25"/>
      <c r="AV29" s="25"/>
      <c r="AW29" s="25"/>
      <c r="AX29" s="25"/>
      <c r="AY29" s="25"/>
      <c r="AZ29" s="25"/>
      <c r="BA29" s="25"/>
      <c r="BB29" s="25"/>
      <c r="BC29" s="25"/>
      <c r="BD29" s="25"/>
      <c r="BE29" s="25"/>
      <c r="BF29" s="25"/>
      <c r="BG29" s="25"/>
      <c r="BH29" s="25"/>
      <c r="BI29" s="25"/>
      <c r="BJ29" s="22">
        <f t="shared" si="2"/>
        <v>78155</v>
      </c>
      <c r="BK29" s="47">
        <f t="shared" si="0"/>
        <v>72155</v>
      </c>
    </row>
    <row r="30" spans="2:63" s="15" customFormat="1" ht="22.5" x14ac:dyDescent="0.25">
      <c r="B30" s="41">
        <v>15</v>
      </c>
      <c r="C30" s="41" t="s">
        <v>38</v>
      </c>
      <c r="D30" s="212">
        <v>40003160</v>
      </c>
      <c r="E30" s="43" t="s">
        <v>65</v>
      </c>
      <c r="F30" s="44" t="s">
        <v>46</v>
      </c>
      <c r="G30" s="21" t="s">
        <v>48</v>
      </c>
      <c r="H30" s="17" t="s">
        <v>44</v>
      </c>
      <c r="I30" s="45" t="s">
        <v>42</v>
      </c>
      <c r="J30" s="18">
        <v>448514</v>
      </c>
      <c r="K30" s="18">
        <v>194412</v>
      </c>
      <c r="L30" s="18">
        <v>0</v>
      </c>
      <c r="M30" s="18">
        <v>0</v>
      </c>
      <c r="N30" s="18">
        <v>0</v>
      </c>
      <c r="O30" s="18">
        <v>0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8">
        <v>0</v>
      </c>
      <c r="X30" s="18">
        <v>0</v>
      </c>
      <c r="Y30" s="26">
        <f t="shared" si="1"/>
        <v>0</v>
      </c>
      <c r="Z30" s="26">
        <v>124255</v>
      </c>
      <c r="AA30" s="19">
        <v>5</v>
      </c>
      <c r="AB30" s="23">
        <v>44229</v>
      </c>
      <c r="AC30" s="23">
        <v>44246</v>
      </c>
      <c r="AD30" s="26">
        <v>-41418</v>
      </c>
      <c r="AE30" s="20">
        <v>10</v>
      </c>
      <c r="AF30" s="23">
        <v>44239</v>
      </c>
      <c r="AG30" s="23">
        <v>44259</v>
      </c>
      <c r="AH30" s="26">
        <v>-41419</v>
      </c>
      <c r="AI30" s="20">
        <v>33</v>
      </c>
      <c r="AJ30" s="23">
        <v>44330</v>
      </c>
      <c r="AK30" s="23">
        <v>44342</v>
      </c>
      <c r="AL30" s="26"/>
      <c r="AM30" s="19"/>
      <c r="AN30" s="21"/>
      <c r="AO30" s="25"/>
      <c r="AP30" s="26"/>
      <c r="AQ30" s="19"/>
      <c r="AR30" s="21"/>
      <c r="AS30" s="25"/>
      <c r="AT30" s="25"/>
      <c r="AU30" s="25"/>
      <c r="AV30" s="25"/>
      <c r="AW30" s="25"/>
      <c r="AX30" s="25"/>
      <c r="AY30" s="25"/>
      <c r="AZ30" s="25"/>
      <c r="BA30" s="25"/>
      <c r="BB30" s="25"/>
      <c r="BC30" s="25"/>
      <c r="BD30" s="25"/>
      <c r="BE30" s="25"/>
      <c r="BF30" s="25"/>
      <c r="BG30" s="25"/>
      <c r="BH30" s="25"/>
      <c r="BI30" s="25"/>
      <c r="BJ30" s="22">
        <f t="shared" si="2"/>
        <v>41418</v>
      </c>
      <c r="BK30" s="47">
        <f t="shared" si="0"/>
        <v>41418</v>
      </c>
    </row>
    <row r="31" spans="2:63" s="15" customFormat="1" ht="22.5" x14ac:dyDescent="0.25">
      <c r="B31" s="41">
        <v>16</v>
      </c>
      <c r="C31" s="41" t="s">
        <v>38</v>
      </c>
      <c r="D31" s="211">
        <v>40000942</v>
      </c>
      <c r="E31" s="43" t="s">
        <v>66</v>
      </c>
      <c r="F31" s="44" t="s">
        <v>45</v>
      </c>
      <c r="G31" s="21" t="s">
        <v>48</v>
      </c>
      <c r="H31" s="17" t="s">
        <v>55</v>
      </c>
      <c r="I31" s="45" t="s">
        <v>42</v>
      </c>
      <c r="J31" s="18">
        <v>4031602</v>
      </c>
      <c r="K31" s="18">
        <v>53506</v>
      </c>
      <c r="L31" s="18">
        <v>331298</v>
      </c>
      <c r="M31" s="18">
        <v>0</v>
      </c>
      <c r="N31" s="18">
        <v>0</v>
      </c>
      <c r="O31" s="18">
        <v>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8">
        <v>0</v>
      </c>
      <c r="X31" s="18">
        <v>0</v>
      </c>
      <c r="Y31" s="26">
        <f t="shared" si="1"/>
        <v>0</v>
      </c>
      <c r="Z31" s="26">
        <v>3564105</v>
      </c>
      <c r="AA31" s="19">
        <v>5</v>
      </c>
      <c r="AB31" s="23">
        <v>44229</v>
      </c>
      <c r="AC31" s="23">
        <v>44246</v>
      </c>
      <c r="AD31" s="26">
        <v>-593360</v>
      </c>
      <c r="AE31" s="20">
        <v>7</v>
      </c>
      <c r="AF31" s="23">
        <v>44229</v>
      </c>
      <c r="AG31" s="23">
        <v>44250</v>
      </c>
      <c r="AH31" s="26">
        <v>-246018</v>
      </c>
      <c r="AI31" s="19">
        <v>10</v>
      </c>
      <c r="AJ31" s="23">
        <v>44239</v>
      </c>
      <c r="AK31" s="23">
        <v>44259</v>
      </c>
      <c r="AL31" s="26">
        <v>-70286</v>
      </c>
      <c r="AM31" s="20">
        <v>13</v>
      </c>
      <c r="AN31" s="23">
        <v>44259</v>
      </c>
      <c r="AO31" s="23">
        <v>44285</v>
      </c>
      <c r="AP31" s="26">
        <v>-1031771</v>
      </c>
      <c r="AQ31" s="19">
        <v>19</v>
      </c>
      <c r="AR31" s="23">
        <v>44274</v>
      </c>
      <c r="AS31" s="23">
        <v>44298</v>
      </c>
      <c r="AT31" s="26">
        <v>-368167</v>
      </c>
      <c r="AU31" s="19">
        <v>27</v>
      </c>
      <c r="AV31" s="23">
        <v>44274</v>
      </c>
      <c r="AW31" s="23">
        <v>44298</v>
      </c>
      <c r="AX31" s="26">
        <v>-193731</v>
      </c>
      <c r="AY31" s="19">
        <v>40</v>
      </c>
      <c r="AZ31" s="23">
        <v>44358</v>
      </c>
      <c r="BA31" s="23">
        <v>44371</v>
      </c>
      <c r="BB31" s="25"/>
      <c r="BC31" s="25"/>
      <c r="BD31" s="25"/>
      <c r="BE31" s="25"/>
      <c r="BF31" s="25"/>
      <c r="BG31" s="25"/>
      <c r="BH31" s="25"/>
      <c r="BI31" s="25"/>
      <c r="BJ31" s="22">
        <f t="shared" si="2"/>
        <v>1060772</v>
      </c>
      <c r="BK31" s="47">
        <f t="shared" si="0"/>
        <v>1060772</v>
      </c>
    </row>
    <row r="32" spans="2:63" s="15" customFormat="1" ht="22.5" x14ac:dyDescent="0.25">
      <c r="B32" s="41">
        <v>17</v>
      </c>
      <c r="C32" s="41" t="s">
        <v>38</v>
      </c>
      <c r="D32" s="211">
        <v>30130917</v>
      </c>
      <c r="E32" s="43" t="s">
        <v>67</v>
      </c>
      <c r="F32" s="44" t="s">
        <v>45</v>
      </c>
      <c r="G32" s="21" t="s">
        <v>48</v>
      </c>
      <c r="H32" s="17" t="s">
        <v>49</v>
      </c>
      <c r="I32" s="45" t="s">
        <v>42</v>
      </c>
      <c r="J32" s="18">
        <v>1767375</v>
      </c>
      <c r="K32" s="18">
        <v>41395</v>
      </c>
      <c r="L32" s="18">
        <v>976706</v>
      </c>
      <c r="M32" s="18">
        <v>0</v>
      </c>
      <c r="N32" s="18">
        <v>0</v>
      </c>
      <c r="O32" s="18">
        <v>0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8">
        <v>0</v>
      </c>
      <c r="X32" s="18">
        <v>0</v>
      </c>
      <c r="Y32" s="26">
        <f t="shared" si="1"/>
        <v>0</v>
      </c>
      <c r="Z32" s="26">
        <v>732786</v>
      </c>
      <c r="AA32" s="19">
        <v>5</v>
      </c>
      <c r="AB32" s="23">
        <v>44229</v>
      </c>
      <c r="AC32" s="23">
        <v>44246</v>
      </c>
      <c r="AD32" s="26">
        <v>-5612</v>
      </c>
      <c r="AE32" s="19">
        <v>6</v>
      </c>
      <c r="AF32" s="23">
        <v>44229</v>
      </c>
      <c r="AG32" s="23">
        <v>44250</v>
      </c>
      <c r="AH32" s="26">
        <v>-540437</v>
      </c>
      <c r="AI32" s="20">
        <v>7</v>
      </c>
      <c r="AJ32" s="23">
        <v>44229</v>
      </c>
      <c r="AK32" s="23">
        <v>44250</v>
      </c>
      <c r="AL32" s="26">
        <v>201602</v>
      </c>
      <c r="AM32" s="20">
        <v>37</v>
      </c>
      <c r="AN32" s="23">
        <v>44344</v>
      </c>
      <c r="AO32" s="23">
        <v>44354</v>
      </c>
      <c r="AP32" s="26"/>
      <c r="AQ32" s="19"/>
      <c r="AR32" s="21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  <c r="BF32" s="25"/>
      <c r="BG32" s="25"/>
      <c r="BH32" s="25"/>
      <c r="BI32" s="25"/>
      <c r="BJ32" s="22">
        <f t="shared" si="2"/>
        <v>388339</v>
      </c>
      <c r="BK32" s="47">
        <f t="shared" si="0"/>
        <v>388339</v>
      </c>
    </row>
    <row r="33" spans="2:63" s="15" customFormat="1" x14ac:dyDescent="0.25">
      <c r="B33" s="41">
        <v>18</v>
      </c>
      <c r="C33" s="41" t="s">
        <v>38</v>
      </c>
      <c r="D33" s="211">
        <v>40000964</v>
      </c>
      <c r="E33" s="43" t="s">
        <v>68</v>
      </c>
      <c r="F33" s="44" t="s">
        <v>45</v>
      </c>
      <c r="G33" s="21" t="s">
        <v>48</v>
      </c>
      <c r="H33" s="17" t="s">
        <v>55</v>
      </c>
      <c r="I33" s="45" t="s">
        <v>43</v>
      </c>
      <c r="J33" s="18">
        <v>902226</v>
      </c>
      <c r="K33" s="18">
        <v>0</v>
      </c>
      <c r="L33" s="18">
        <v>450089</v>
      </c>
      <c r="M33" s="18">
        <v>0</v>
      </c>
      <c r="N33" s="18">
        <v>0</v>
      </c>
      <c r="O33" s="18">
        <v>0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8">
        <v>0</v>
      </c>
      <c r="X33" s="18">
        <v>0</v>
      </c>
      <c r="Y33" s="26">
        <f t="shared" si="1"/>
        <v>0</v>
      </c>
      <c r="Z33" s="26">
        <v>238001</v>
      </c>
      <c r="AA33" s="19">
        <v>5</v>
      </c>
      <c r="AB33" s="23">
        <v>44229</v>
      </c>
      <c r="AC33" s="23">
        <v>44246</v>
      </c>
      <c r="AD33" s="26">
        <v>-237999</v>
      </c>
      <c r="AE33" s="19">
        <v>21</v>
      </c>
      <c r="AF33" s="23">
        <v>44291</v>
      </c>
      <c r="AG33" s="23">
        <v>44309</v>
      </c>
      <c r="AH33" s="26"/>
      <c r="AI33" s="19"/>
      <c r="AJ33" s="21"/>
      <c r="AK33" s="25"/>
      <c r="AL33" s="26"/>
      <c r="AM33" s="19"/>
      <c r="AN33" s="21"/>
      <c r="AO33" s="25"/>
      <c r="AP33" s="26"/>
      <c r="AQ33" s="19"/>
      <c r="AR33" s="21"/>
      <c r="AS33" s="25"/>
      <c r="AT33" s="25"/>
      <c r="AU33" s="25"/>
      <c r="AV33" s="25"/>
      <c r="AW33" s="25"/>
      <c r="AX33" s="25"/>
      <c r="AY33" s="25"/>
      <c r="AZ33" s="25"/>
      <c r="BA33" s="25"/>
      <c r="BB33" s="25"/>
      <c r="BC33" s="25"/>
      <c r="BD33" s="25"/>
      <c r="BE33" s="25"/>
      <c r="BF33" s="25"/>
      <c r="BG33" s="25"/>
      <c r="BH33" s="25"/>
      <c r="BI33" s="25"/>
      <c r="BJ33" s="22">
        <f t="shared" si="2"/>
        <v>2</v>
      </c>
      <c r="BK33" s="47">
        <f t="shared" si="0"/>
        <v>2</v>
      </c>
    </row>
    <row r="34" spans="2:63" s="15" customFormat="1" ht="22.5" x14ac:dyDescent="0.25">
      <c r="B34" s="41">
        <v>19</v>
      </c>
      <c r="C34" s="41" t="s">
        <v>38</v>
      </c>
      <c r="D34" s="211">
        <v>30483228</v>
      </c>
      <c r="E34" s="43" t="s">
        <v>69</v>
      </c>
      <c r="F34" s="44" t="s">
        <v>45</v>
      </c>
      <c r="G34" s="21" t="s">
        <v>48</v>
      </c>
      <c r="H34" s="17" t="s">
        <v>70</v>
      </c>
      <c r="I34" s="45" t="s">
        <v>42</v>
      </c>
      <c r="J34" s="18">
        <v>8263699</v>
      </c>
      <c r="K34" s="18">
        <v>8190599</v>
      </c>
      <c r="L34" s="18">
        <v>52794</v>
      </c>
      <c r="M34" s="18">
        <v>0</v>
      </c>
      <c r="N34" s="46">
        <v>3900</v>
      </c>
      <c r="O34" s="46">
        <v>4061</v>
      </c>
      <c r="P34" s="57">
        <v>4061</v>
      </c>
      <c r="Q34" s="18">
        <v>4061</v>
      </c>
      <c r="R34" s="18">
        <v>1950</v>
      </c>
      <c r="S34" s="18">
        <v>0</v>
      </c>
      <c r="T34" s="18">
        <v>0</v>
      </c>
      <c r="U34" s="18">
        <v>0</v>
      </c>
      <c r="V34" s="18">
        <v>0</v>
      </c>
      <c r="W34" s="18">
        <v>0</v>
      </c>
      <c r="X34" s="18">
        <v>0</v>
      </c>
      <c r="Y34" s="26">
        <f t="shared" si="1"/>
        <v>18033</v>
      </c>
      <c r="Z34" s="26">
        <v>58256</v>
      </c>
      <c r="AA34" s="19">
        <v>5</v>
      </c>
      <c r="AB34" s="23">
        <v>44229</v>
      </c>
      <c r="AC34" s="23">
        <v>44246</v>
      </c>
      <c r="AD34" s="26">
        <v>-1978</v>
      </c>
      <c r="AE34" s="19">
        <v>29</v>
      </c>
      <c r="AF34" s="23">
        <v>44316</v>
      </c>
      <c r="AG34" s="23">
        <v>44334</v>
      </c>
      <c r="AH34" s="26"/>
      <c r="AI34" s="19"/>
      <c r="AJ34" s="21"/>
      <c r="AK34" s="25"/>
      <c r="AL34" s="26"/>
      <c r="AM34" s="19"/>
      <c r="AN34" s="21"/>
      <c r="AO34" s="25"/>
      <c r="AP34" s="26"/>
      <c r="AQ34" s="19"/>
      <c r="AR34" s="21"/>
      <c r="AS34" s="25"/>
      <c r="AT34" s="25"/>
      <c r="AU34" s="25"/>
      <c r="AV34" s="25"/>
      <c r="AW34" s="25"/>
      <c r="AX34" s="25"/>
      <c r="AY34" s="25"/>
      <c r="AZ34" s="25"/>
      <c r="BA34" s="25"/>
      <c r="BB34" s="25"/>
      <c r="BC34" s="25"/>
      <c r="BD34" s="25"/>
      <c r="BE34" s="25"/>
      <c r="BF34" s="25"/>
      <c r="BG34" s="25"/>
      <c r="BH34" s="25"/>
      <c r="BI34" s="25"/>
      <c r="BJ34" s="22">
        <f t="shared" si="2"/>
        <v>56278</v>
      </c>
      <c r="BK34" s="47">
        <f t="shared" si="0"/>
        <v>38245</v>
      </c>
    </row>
    <row r="35" spans="2:63" s="15" customFormat="1" x14ac:dyDescent="0.25">
      <c r="B35" s="41">
        <v>20</v>
      </c>
      <c r="C35" s="41" t="s">
        <v>38</v>
      </c>
      <c r="D35" s="211">
        <v>40002657</v>
      </c>
      <c r="E35" s="43" t="s">
        <v>71</v>
      </c>
      <c r="F35" s="44" t="s">
        <v>45</v>
      </c>
      <c r="G35" s="21" t="s">
        <v>48</v>
      </c>
      <c r="H35" s="17" t="s">
        <v>49</v>
      </c>
      <c r="I35" s="45" t="s">
        <v>42</v>
      </c>
      <c r="J35" s="18">
        <v>978801</v>
      </c>
      <c r="K35" s="18">
        <v>438807</v>
      </c>
      <c r="L35" s="18">
        <v>4943</v>
      </c>
      <c r="M35" s="18">
        <v>0</v>
      </c>
      <c r="N35" s="46">
        <v>93132</v>
      </c>
      <c r="O35" s="46">
        <v>89297</v>
      </c>
      <c r="P35" s="57">
        <v>76675</v>
      </c>
      <c r="Q35" s="18">
        <v>293</v>
      </c>
      <c r="R35" s="18">
        <v>92389</v>
      </c>
      <c r="S35" s="18">
        <v>0</v>
      </c>
      <c r="T35" s="18">
        <v>0</v>
      </c>
      <c r="U35" s="18">
        <v>0</v>
      </c>
      <c r="V35" s="18">
        <v>0</v>
      </c>
      <c r="W35" s="18">
        <v>0</v>
      </c>
      <c r="X35" s="18">
        <v>0</v>
      </c>
      <c r="Y35" s="26">
        <f t="shared" si="1"/>
        <v>351786</v>
      </c>
      <c r="Z35" s="26">
        <v>505989</v>
      </c>
      <c r="AA35" s="19">
        <v>5</v>
      </c>
      <c r="AB35" s="23">
        <v>44229</v>
      </c>
      <c r="AC35" s="23">
        <v>44246</v>
      </c>
      <c r="AD35" s="26"/>
      <c r="AE35" s="20"/>
      <c r="AF35" s="21"/>
      <c r="AG35" s="23"/>
      <c r="AH35" s="26"/>
      <c r="AI35" s="19"/>
      <c r="AJ35" s="21"/>
      <c r="AK35" s="25"/>
      <c r="AL35" s="26"/>
      <c r="AM35" s="19"/>
      <c r="AN35" s="21"/>
      <c r="AO35" s="25"/>
      <c r="AP35" s="26"/>
      <c r="AQ35" s="19"/>
      <c r="AR35" s="21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2">
        <f t="shared" si="2"/>
        <v>505989</v>
      </c>
      <c r="BK35" s="47">
        <f t="shared" si="0"/>
        <v>154203</v>
      </c>
    </row>
    <row r="36" spans="2:63" s="15" customFormat="1" ht="22.5" x14ac:dyDescent="0.25">
      <c r="B36" s="41">
        <v>21</v>
      </c>
      <c r="C36" s="41" t="s">
        <v>38</v>
      </c>
      <c r="D36" s="211">
        <v>30110277</v>
      </c>
      <c r="E36" s="43" t="s">
        <v>72</v>
      </c>
      <c r="F36" s="44" t="s">
        <v>45</v>
      </c>
      <c r="G36" s="21" t="s">
        <v>48</v>
      </c>
      <c r="H36" s="17" t="s">
        <v>52</v>
      </c>
      <c r="I36" s="45" t="s">
        <v>42</v>
      </c>
      <c r="J36" s="18">
        <v>1278536</v>
      </c>
      <c r="K36" s="18">
        <v>307636</v>
      </c>
      <c r="L36" s="18">
        <v>0</v>
      </c>
      <c r="M36" s="18">
        <v>0</v>
      </c>
      <c r="N36" s="46">
        <v>116583</v>
      </c>
      <c r="O36" s="46">
        <v>23550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8">
        <v>0</v>
      </c>
      <c r="X36" s="18">
        <v>0</v>
      </c>
      <c r="Y36" s="26">
        <f t="shared" si="1"/>
        <v>140133</v>
      </c>
      <c r="Z36" s="26">
        <v>949536</v>
      </c>
      <c r="AA36" s="19">
        <v>5</v>
      </c>
      <c r="AB36" s="23">
        <v>44229</v>
      </c>
      <c r="AC36" s="23">
        <v>44246</v>
      </c>
      <c r="AD36" s="26">
        <v>-84655</v>
      </c>
      <c r="AE36" s="20">
        <v>13</v>
      </c>
      <c r="AF36" s="23">
        <v>44259</v>
      </c>
      <c r="AG36" s="23">
        <v>44285</v>
      </c>
      <c r="AH36" s="26">
        <v>-26055</v>
      </c>
      <c r="AI36" s="20">
        <v>19</v>
      </c>
      <c r="AJ36" s="23">
        <v>44274</v>
      </c>
      <c r="AK36" s="23">
        <v>44298</v>
      </c>
      <c r="AL36" s="26"/>
      <c r="AM36" s="19"/>
      <c r="AN36" s="21"/>
      <c r="AO36" s="25"/>
      <c r="AP36" s="26"/>
      <c r="AQ36" s="19"/>
      <c r="AR36" s="21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  <c r="BF36" s="25"/>
      <c r="BG36" s="25"/>
      <c r="BH36" s="25"/>
      <c r="BI36" s="25"/>
      <c r="BJ36" s="22">
        <f t="shared" si="2"/>
        <v>838826</v>
      </c>
      <c r="BK36" s="47">
        <f t="shared" si="0"/>
        <v>698693</v>
      </c>
    </row>
    <row r="37" spans="2:63" s="15" customFormat="1" ht="22.5" x14ac:dyDescent="0.25">
      <c r="B37" s="41">
        <v>22</v>
      </c>
      <c r="C37" s="41" t="s">
        <v>38</v>
      </c>
      <c r="D37" s="211">
        <v>30108640</v>
      </c>
      <c r="E37" s="43" t="s">
        <v>73</v>
      </c>
      <c r="F37" s="44" t="s">
        <v>45</v>
      </c>
      <c r="G37" s="21" t="s">
        <v>48</v>
      </c>
      <c r="H37" s="17" t="s">
        <v>74</v>
      </c>
      <c r="I37" s="45" t="s">
        <v>42</v>
      </c>
      <c r="J37" s="18">
        <v>735383</v>
      </c>
      <c r="K37" s="18">
        <v>33637</v>
      </c>
      <c r="L37" s="18">
        <v>2</v>
      </c>
      <c r="M37" s="18">
        <v>0</v>
      </c>
      <c r="N37" s="46">
        <v>56082</v>
      </c>
      <c r="O37" s="46">
        <v>47762</v>
      </c>
      <c r="P37" s="57">
        <v>33472</v>
      </c>
      <c r="Q37" s="18">
        <v>53462</v>
      </c>
      <c r="R37" s="18">
        <v>3467</v>
      </c>
      <c r="S37" s="18">
        <v>0</v>
      </c>
      <c r="T37" s="18">
        <v>0</v>
      </c>
      <c r="U37" s="18">
        <v>0</v>
      </c>
      <c r="V37" s="18">
        <v>0</v>
      </c>
      <c r="W37" s="18">
        <v>0</v>
      </c>
      <c r="X37" s="18">
        <v>0</v>
      </c>
      <c r="Y37" s="26">
        <f t="shared" si="1"/>
        <v>194245</v>
      </c>
      <c r="Z37" s="26">
        <v>701683</v>
      </c>
      <c r="AA37" s="19">
        <v>5</v>
      </c>
      <c r="AB37" s="23">
        <v>44229</v>
      </c>
      <c r="AC37" s="23">
        <v>44246</v>
      </c>
      <c r="AD37" s="26">
        <v>3</v>
      </c>
      <c r="AE37" s="20">
        <v>13</v>
      </c>
      <c r="AF37" s="23">
        <v>44259</v>
      </c>
      <c r="AG37" s="23">
        <v>44285</v>
      </c>
      <c r="AH37" s="26">
        <v>-32356</v>
      </c>
      <c r="AI37" s="20">
        <v>13</v>
      </c>
      <c r="AJ37" s="23">
        <v>44259</v>
      </c>
      <c r="AK37" s="23">
        <v>44285</v>
      </c>
      <c r="AL37" s="26"/>
      <c r="AM37" s="19"/>
      <c r="AN37" s="21"/>
      <c r="AO37" s="25"/>
      <c r="AP37" s="26"/>
      <c r="AQ37" s="19"/>
      <c r="AR37" s="21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  <c r="BF37" s="25"/>
      <c r="BG37" s="25"/>
      <c r="BH37" s="25"/>
      <c r="BI37" s="25"/>
      <c r="BJ37" s="22">
        <f t="shared" si="2"/>
        <v>669330</v>
      </c>
      <c r="BK37" s="47">
        <f t="shared" si="0"/>
        <v>475085</v>
      </c>
    </row>
    <row r="38" spans="2:63" s="15" customFormat="1" ht="22.5" x14ac:dyDescent="0.25">
      <c r="B38" s="41">
        <v>23</v>
      </c>
      <c r="C38" s="41" t="s">
        <v>38</v>
      </c>
      <c r="D38" s="211">
        <v>30369324</v>
      </c>
      <c r="E38" s="43" t="s">
        <v>75</v>
      </c>
      <c r="F38" s="44" t="s">
        <v>45</v>
      </c>
      <c r="G38" s="21" t="s">
        <v>48</v>
      </c>
      <c r="H38" s="17" t="s">
        <v>55</v>
      </c>
      <c r="I38" s="45" t="s">
        <v>42</v>
      </c>
      <c r="J38" s="18">
        <v>1767375</v>
      </c>
      <c r="K38" s="18">
        <v>41395</v>
      </c>
      <c r="L38" s="18">
        <v>976706</v>
      </c>
      <c r="M38" s="18">
        <v>0</v>
      </c>
      <c r="N38" s="46">
        <v>3585</v>
      </c>
      <c r="O38" s="46">
        <v>1793</v>
      </c>
      <c r="P38" s="57">
        <v>1793</v>
      </c>
      <c r="Q38" s="18">
        <v>1793</v>
      </c>
      <c r="R38" s="18">
        <v>1793</v>
      </c>
      <c r="S38" s="18">
        <v>0</v>
      </c>
      <c r="T38" s="18">
        <v>0</v>
      </c>
      <c r="U38" s="18">
        <v>0</v>
      </c>
      <c r="V38" s="18">
        <v>0</v>
      </c>
      <c r="W38" s="18">
        <v>0</v>
      </c>
      <c r="X38" s="18">
        <v>0</v>
      </c>
      <c r="Y38" s="26">
        <f t="shared" si="1"/>
        <v>10757</v>
      </c>
      <c r="Z38" s="26">
        <v>1928131</v>
      </c>
      <c r="AA38" s="19">
        <v>5</v>
      </c>
      <c r="AB38" s="23">
        <v>44229</v>
      </c>
      <c r="AC38" s="23">
        <v>44246</v>
      </c>
      <c r="AD38" s="26">
        <v>-626626</v>
      </c>
      <c r="AE38" s="20">
        <v>7</v>
      </c>
      <c r="AF38" s="23">
        <v>44229</v>
      </c>
      <c r="AG38" s="23">
        <v>44250</v>
      </c>
      <c r="AH38" s="26">
        <v>167168</v>
      </c>
      <c r="AI38" s="20">
        <v>37</v>
      </c>
      <c r="AJ38" s="23">
        <v>44344</v>
      </c>
      <c r="AK38" s="23">
        <v>44354</v>
      </c>
      <c r="AL38" s="26"/>
      <c r="AM38" s="19"/>
      <c r="AN38" s="21"/>
      <c r="AO38" s="25"/>
      <c r="AP38" s="26"/>
      <c r="AQ38" s="19"/>
      <c r="AR38" s="21"/>
      <c r="AS38" s="25"/>
      <c r="AT38" s="25"/>
      <c r="AU38" s="25"/>
      <c r="AV38" s="25"/>
      <c r="AW38" s="25"/>
      <c r="AX38" s="25"/>
      <c r="AY38" s="25"/>
      <c r="AZ38" s="25"/>
      <c r="BA38" s="25"/>
      <c r="BB38" s="25"/>
      <c r="BC38" s="25"/>
      <c r="BD38" s="25"/>
      <c r="BE38" s="25"/>
      <c r="BF38" s="25"/>
      <c r="BG38" s="25"/>
      <c r="BH38" s="25"/>
      <c r="BI38" s="25"/>
      <c r="BJ38" s="22">
        <f t="shared" si="2"/>
        <v>1468673</v>
      </c>
      <c r="BK38" s="47">
        <f t="shared" si="0"/>
        <v>1457916</v>
      </c>
    </row>
    <row r="39" spans="2:63" s="15" customFormat="1" ht="22.5" x14ac:dyDescent="0.25">
      <c r="B39" s="41">
        <v>24</v>
      </c>
      <c r="C39" s="41" t="s">
        <v>38</v>
      </c>
      <c r="D39" s="211">
        <v>40008899</v>
      </c>
      <c r="E39" s="43" t="s">
        <v>76</v>
      </c>
      <c r="F39" s="44" t="s">
        <v>45</v>
      </c>
      <c r="G39" s="21" t="s">
        <v>48</v>
      </c>
      <c r="H39" s="17" t="s">
        <v>55</v>
      </c>
      <c r="I39" s="45" t="s">
        <v>43</v>
      </c>
      <c r="J39" s="18">
        <v>180415</v>
      </c>
      <c r="K39" s="18">
        <v>2045</v>
      </c>
      <c r="L39" s="18">
        <v>0</v>
      </c>
      <c r="M39" s="18">
        <v>0</v>
      </c>
      <c r="N39" s="18">
        <v>0</v>
      </c>
      <c r="O39" s="46">
        <v>3616</v>
      </c>
      <c r="P39" s="57">
        <v>1808</v>
      </c>
      <c r="Q39" s="18">
        <v>1808</v>
      </c>
      <c r="R39" s="18">
        <v>1808</v>
      </c>
      <c r="S39" s="18">
        <v>0</v>
      </c>
      <c r="T39" s="18">
        <v>0</v>
      </c>
      <c r="U39" s="18">
        <v>0</v>
      </c>
      <c r="V39" s="18">
        <v>0</v>
      </c>
      <c r="W39" s="18">
        <v>0</v>
      </c>
      <c r="X39" s="18">
        <v>0</v>
      </c>
      <c r="Y39" s="26">
        <f t="shared" si="1"/>
        <v>9040</v>
      </c>
      <c r="Z39" s="26">
        <v>168027</v>
      </c>
      <c r="AA39" s="19">
        <v>5</v>
      </c>
      <c r="AB39" s="23">
        <v>44229</v>
      </c>
      <c r="AC39" s="23">
        <v>44246</v>
      </c>
      <c r="AD39" s="26">
        <v>-34005</v>
      </c>
      <c r="AE39" s="19">
        <v>19</v>
      </c>
      <c r="AF39" s="23">
        <v>44274</v>
      </c>
      <c r="AG39" s="23">
        <v>44298</v>
      </c>
      <c r="AH39" s="26"/>
      <c r="AI39" s="19"/>
      <c r="AJ39" s="21"/>
      <c r="AK39" s="25"/>
      <c r="AL39" s="26"/>
      <c r="AM39" s="19"/>
      <c r="AN39" s="21"/>
      <c r="AO39" s="25"/>
      <c r="AP39" s="26"/>
      <c r="AQ39" s="19"/>
      <c r="AR39" s="21"/>
      <c r="AS39" s="25"/>
      <c r="AT39" s="25"/>
      <c r="AU39" s="25"/>
      <c r="AV39" s="25"/>
      <c r="AW39" s="25"/>
      <c r="AX39" s="25"/>
      <c r="AY39" s="25"/>
      <c r="AZ39" s="25"/>
      <c r="BA39" s="25"/>
      <c r="BB39" s="25"/>
      <c r="BC39" s="25"/>
      <c r="BD39" s="25"/>
      <c r="BE39" s="25"/>
      <c r="BF39" s="25"/>
      <c r="BG39" s="25"/>
      <c r="BH39" s="25"/>
      <c r="BI39" s="25"/>
      <c r="BJ39" s="22">
        <f t="shared" si="2"/>
        <v>134022</v>
      </c>
      <c r="BK39" s="47">
        <f t="shared" si="0"/>
        <v>124982</v>
      </c>
    </row>
    <row r="40" spans="2:63" s="15" customFormat="1" x14ac:dyDescent="0.25">
      <c r="B40" s="41">
        <v>25</v>
      </c>
      <c r="C40" s="41" t="s">
        <v>38</v>
      </c>
      <c r="D40" s="211">
        <v>40007181</v>
      </c>
      <c r="E40" s="43" t="s">
        <v>77</v>
      </c>
      <c r="F40" s="44" t="s">
        <v>46</v>
      </c>
      <c r="G40" s="21" t="s">
        <v>48</v>
      </c>
      <c r="H40" s="17" t="s">
        <v>44</v>
      </c>
      <c r="I40" s="45" t="s">
        <v>42</v>
      </c>
      <c r="J40" s="18">
        <v>330176</v>
      </c>
      <c r="K40" s="18">
        <v>37772</v>
      </c>
      <c r="L40" s="18">
        <v>129800</v>
      </c>
      <c r="M40" s="18">
        <v>0</v>
      </c>
      <c r="N40" s="18">
        <v>0</v>
      </c>
      <c r="O40" s="18">
        <v>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8">
        <v>0</v>
      </c>
      <c r="X40" s="18">
        <v>0</v>
      </c>
      <c r="Y40" s="26">
        <f t="shared" si="1"/>
        <v>0</v>
      </c>
      <c r="Z40" s="26">
        <v>240000</v>
      </c>
      <c r="AA40" s="19">
        <v>5</v>
      </c>
      <c r="AB40" s="23">
        <v>44229</v>
      </c>
      <c r="AC40" s="23">
        <v>44246</v>
      </c>
      <c r="AD40" s="26">
        <v>-110766</v>
      </c>
      <c r="AE40" s="20">
        <v>7</v>
      </c>
      <c r="AF40" s="23">
        <v>44229</v>
      </c>
      <c r="AG40" s="23">
        <v>44250</v>
      </c>
      <c r="AH40" s="26">
        <v>-34984</v>
      </c>
      <c r="AI40" s="20">
        <v>33</v>
      </c>
      <c r="AJ40" s="23">
        <v>44330</v>
      </c>
      <c r="AK40" s="23">
        <v>44342</v>
      </c>
      <c r="AL40" s="26"/>
      <c r="AM40" s="19"/>
      <c r="AN40" s="21"/>
      <c r="AO40" s="25"/>
      <c r="AP40" s="26"/>
      <c r="AQ40" s="19"/>
      <c r="AR40" s="21"/>
      <c r="AS40" s="25"/>
      <c r="AT40" s="25"/>
      <c r="AU40" s="25"/>
      <c r="AV40" s="25"/>
      <c r="AW40" s="25"/>
      <c r="AX40" s="25"/>
      <c r="AY40" s="25"/>
      <c r="AZ40" s="25"/>
      <c r="BA40" s="25"/>
      <c r="BB40" s="25"/>
      <c r="BC40" s="25"/>
      <c r="BD40" s="25"/>
      <c r="BE40" s="25"/>
      <c r="BF40" s="25"/>
      <c r="BG40" s="25"/>
      <c r="BH40" s="25"/>
      <c r="BI40" s="25"/>
      <c r="BJ40" s="22">
        <f t="shared" si="2"/>
        <v>94250</v>
      </c>
      <c r="BK40" s="47">
        <f t="shared" si="0"/>
        <v>94250</v>
      </c>
    </row>
    <row r="41" spans="2:63" s="15" customFormat="1" ht="24" customHeight="1" x14ac:dyDescent="0.25">
      <c r="B41" s="41">
        <v>26</v>
      </c>
      <c r="C41" s="41" t="s">
        <v>38</v>
      </c>
      <c r="D41" s="211">
        <v>30463225</v>
      </c>
      <c r="E41" s="43" t="s">
        <v>78</v>
      </c>
      <c r="F41" s="44" t="s">
        <v>45</v>
      </c>
      <c r="G41" s="21" t="s">
        <v>48</v>
      </c>
      <c r="H41" s="17" t="s">
        <v>44</v>
      </c>
      <c r="I41" s="45" t="s">
        <v>43</v>
      </c>
      <c r="J41" s="18">
        <v>3158120</v>
      </c>
      <c r="K41" s="18">
        <v>0</v>
      </c>
      <c r="L41" s="18">
        <v>0</v>
      </c>
      <c r="M41" s="18">
        <v>0</v>
      </c>
      <c r="N41" s="18">
        <v>0</v>
      </c>
      <c r="O41" s="18">
        <v>0</v>
      </c>
      <c r="P41" s="18">
        <v>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8">
        <v>0</v>
      </c>
      <c r="X41" s="18">
        <v>0</v>
      </c>
      <c r="Y41" s="26">
        <f t="shared" si="1"/>
        <v>0</v>
      </c>
      <c r="Z41" s="26">
        <v>631868</v>
      </c>
      <c r="AA41" s="19">
        <v>5</v>
      </c>
      <c r="AB41" s="23">
        <v>44229</v>
      </c>
      <c r="AC41" s="23">
        <v>44246</v>
      </c>
      <c r="AD41" s="26">
        <v>2332460</v>
      </c>
      <c r="AE41" s="20">
        <v>7</v>
      </c>
      <c r="AF41" s="23">
        <v>44229</v>
      </c>
      <c r="AG41" s="23">
        <v>44250</v>
      </c>
      <c r="AH41" s="26">
        <v>-406822</v>
      </c>
      <c r="AI41" s="20">
        <v>37</v>
      </c>
      <c r="AJ41" s="23">
        <v>44344</v>
      </c>
      <c r="AK41" s="23">
        <v>44354</v>
      </c>
      <c r="AL41" s="26">
        <v>-1226802</v>
      </c>
      <c r="AM41" s="20">
        <v>38</v>
      </c>
      <c r="AN41" s="23">
        <v>44355</v>
      </c>
      <c r="AO41" s="23">
        <v>44363</v>
      </c>
      <c r="AP41" s="26"/>
      <c r="AQ41" s="19"/>
      <c r="AR41" s="21"/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  <c r="BF41" s="25"/>
      <c r="BG41" s="25"/>
      <c r="BH41" s="25"/>
      <c r="BI41" s="25"/>
      <c r="BJ41" s="22">
        <f t="shared" si="2"/>
        <v>1330704</v>
      </c>
      <c r="BK41" s="47">
        <f t="shared" si="0"/>
        <v>1330704</v>
      </c>
    </row>
    <row r="42" spans="2:63" s="15" customFormat="1" ht="23.25" customHeight="1" x14ac:dyDescent="0.25">
      <c r="B42" s="41">
        <v>27</v>
      </c>
      <c r="C42" s="41" t="s">
        <v>38</v>
      </c>
      <c r="D42" s="211">
        <v>30110133</v>
      </c>
      <c r="E42" s="43" t="s">
        <v>79</v>
      </c>
      <c r="F42" s="44" t="s">
        <v>45</v>
      </c>
      <c r="G42" s="21" t="s">
        <v>48</v>
      </c>
      <c r="H42" s="17" t="s">
        <v>44</v>
      </c>
      <c r="I42" s="45" t="s">
        <v>43</v>
      </c>
      <c r="J42" s="18">
        <v>3585731</v>
      </c>
      <c r="K42" s="18">
        <v>0</v>
      </c>
      <c r="L42" s="18">
        <v>3039299</v>
      </c>
      <c r="M42" s="18">
        <v>0</v>
      </c>
      <c r="N42" s="18">
        <v>0</v>
      </c>
      <c r="O42" s="18">
        <v>0</v>
      </c>
      <c r="P42" s="18">
        <v>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8">
        <v>0</v>
      </c>
      <c r="X42" s="18">
        <v>0</v>
      </c>
      <c r="Y42" s="26">
        <f t="shared" si="1"/>
        <v>0</v>
      </c>
      <c r="Z42" s="26">
        <v>250000</v>
      </c>
      <c r="AA42" s="19">
        <v>5</v>
      </c>
      <c r="AB42" s="23">
        <v>44229</v>
      </c>
      <c r="AC42" s="23">
        <v>44246</v>
      </c>
      <c r="AD42" s="26">
        <v>-249999</v>
      </c>
      <c r="AE42" s="20">
        <v>7</v>
      </c>
      <c r="AF42" s="23">
        <v>44229</v>
      </c>
      <c r="AG42" s="23">
        <v>44250</v>
      </c>
      <c r="AH42" s="26"/>
      <c r="AI42" s="19"/>
      <c r="AJ42" s="21"/>
      <c r="AK42" s="25"/>
      <c r="AL42" s="26"/>
      <c r="AM42" s="19"/>
      <c r="AN42" s="21"/>
      <c r="AO42" s="25"/>
      <c r="AP42" s="26"/>
      <c r="AQ42" s="19"/>
      <c r="AR42" s="21"/>
      <c r="AS42" s="25"/>
      <c r="AT42" s="25"/>
      <c r="AU42" s="25"/>
      <c r="AV42" s="25"/>
      <c r="AW42" s="25"/>
      <c r="AX42" s="25"/>
      <c r="AY42" s="25"/>
      <c r="AZ42" s="25"/>
      <c r="BA42" s="25"/>
      <c r="BB42" s="25"/>
      <c r="BC42" s="25"/>
      <c r="BD42" s="25"/>
      <c r="BE42" s="25"/>
      <c r="BF42" s="25"/>
      <c r="BG42" s="25"/>
      <c r="BH42" s="25"/>
      <c r="BI42" s="25"/>
      <c r="BJ42" s="22">
        <f t="shared" si="2"/>
        <v>1</v>
      </c>
      <c r="BK42" s="47">
        <f t="shared" si="0"/>
        <v>1</v>
      </c>
    </row>
    <row r="43" spans="2:63" s="15" customFormat="1" ht="22.5" x14ac:dyDescent="0.25">
      <c r="B43" s="41">
        <v>28</v>
      </c>
      <c r="C43" s="41" t="s">
        <v>38</v>
      </c>
      <c r="D43" s="211">
        <v>30459123</v>
      </c>
      <c r="E43" s="43" t="s">
        <v>80</v>
      </c>
      <c r="F43" s="44" t="s">
        <v>46</v>
      </c>
      <c r="G43" s="21" t="s">
        <v>48</v>
      </c>
      <c r="H43" s="17" t="s">
        <v>55</v>
      </c>
      <c r="I43" s="45" t="s">
        <v>43</v>
      </c>
      <c r="J43" s="18">
        <v>539089</v>
      </c>
      <c r="K43" s="18">
        <v>0</v>
      </c>
      <c r="L43" s="18">
        <v>0</v>
      </c>
      <c r="M43" s="18">
        <v>0</v>
      </c>
      <c r="N43" s="46">
        <v>3616</v>
      </c>
      <c r="O43" s="46">
        <v>1808</v>
      </c>
      <c r="P43" s="18">
        <v>0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8">
        <v>0</v>
      </c>
      <c r="X43" s="18">
        <v>0</v>
      </c>
      <c r="Y43" s="26">
        <f t="shared" si="1"/>
        <v>5424</v>
      </c>
      <c r="Z43" s="26">
        <v>420345</v>
      </c>
      <c r="AA43" s="19">
        <v>5</v>
      </c>
      <c r="AB43" s="23">
        <v>44229</v>
      </c>
      <c r="AC43" s="23">
        <v>44246</v>
      </c>
      <c r="AD43" s="26"/>
      <c r="AE43" s="20"/>
      <c r="AF43" s="21"/>
      <c r="AG43" s="23"/>
      <c r="AH43" s="26"/>
      <c r="AI43" s="19"/>
      <c r="AJ43" s="21"/>
      <c r="AK43" s="25"/>
      <c r="AL43" s="26"/>
      <c r="AM43" s="19"/>
      <c r="AN43" s="21"/>
      <c r="AO43" s="25"/>
      <c r="AP43" s="26"/>
      <c r="AQ43" s="19"/>
      <c r="AR43" s="21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25"/>
      <c r="BJ43" s="22">
        <f t="shared" si="2"/>
        <v>420345</v>
      </c>
      <c r="BK43" s="47">
        <f t="shared" si="0"/>
        <v>414921</v>
      </c>
    </row>
    <row r="44" spans="2:63" s="15" customFormat="1" ht="23.25" customHeight="1" x14ac:dyDescent="0.25">
      <c r="B44" s="41">
        <v>29</v>
      </c>
      <c r="C44" s="41" t="s">
        <v>38</v>
      </c>
      <c r="D44" s="211">
        <v>30463223</v>
      </c>
      <c r="E44" s="43" t="s">
        <v>81</v>
      </c>
      <c r="F44" s="44" t="s">
        <v>45</v>
      </c>
      <c r="G44" s="21" t="s">
        <v>48</v>
      </c>
      <c r="H44" s="17" t="s">
        <v>44</v>
      </c>
      <c r="I44" s="45" t="s">
        <v>42</v>
      </c>
      <c r="J44" s="18">
        <v>51186410</v>
      </c>
      <c r="K44" s="18">
        <v>1831882</v>
      </c>
      <c r="L44" s="18">
        <v>4</v>
      </c>
      <c r="M44" s="18">
        <v>0</v>
      </c>
      <c r="N44" s="46">
        <v>441098</v>
      </c>
      <c r="O44" s="18">
        <v>0</v>
      </c>
      <c r="P44" s="18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8">
        <v>0</v>
      </c>
      <c r="X44" s="18">
        <v>0</v>
      </c>
      <c r="Y44" s="26">
        <f t="shared" si="1"/>
        <v>441098</v>
      </c>
      <c r="Z44" s="26">
        <v>2513800</v>
      </c>
      <c r="AA44" s="19">
        <v>5</v>
      </c>
      <c r="AB44" s="23">
        <v>44229</v>
      </c>
      <c r="AC44" s="23">
        <v>44246</v>
      </c>
      <c r="AD44" s="26">
        <v>-915456</v>
      </c>
      <c r="AE44" s="20">
        <v>9</v>
      </c>
      <c r="AF44" s="23">
        <v>44238</v>
      </c>
      <c r="AG44" s="23">
        <v>44259</v>
      </c>
      <c r="AH44" s="26">
        <v>-1184544</v>
      </c>
      <c r="AI44" s="20">
        <v>41</v>
      </c>
      <c r="AJ44" s="23">
        <v>44362</v>
      </c>
      <c r="AK44" s="23">
        <v>44371</v>
      </c>
      <c r="AL44" s="26"/>
      <c r="AM44" s="19"/>
      <c r="AN44" s="21"/>
      <c r="AO44" s="25"/>
      <c r="AP44" s="26"/>
      <c r="AQ44" s="19"/>
      <c r="AR44" s="21"/>
      <c r="AS44" s="25"/>
      <c r="AT44" s="25"/>
      <c r="AU44" s="25"/>
      <c r="AV44" s="25"/>
      <c r="AW44" s="25"/>
      <c r="AX44" s="25"/>
      <c r="AY44" s="25"/>
      <c r="AZ44" s="25"/>
      <c r="BA44" s="25"/>
      <c r="BB44" s="25"/>
      <c r="BC44" s="25"/>
      <c r="BD44" s="25"/>
      <c r="BE44" s="25"/>
      <c r="BF44" s="25"/>
      <c r="BG44" s="25"/>
      <c r="BH44" s="25"/>
      <c r="BI44" s="25"/>
      <c r="BJ44" s="22">
        <f t="shared" si="2"/>
        <v>413800</v>
      </c>
      <c r="BK44" s="47">
        <f t="shared" si="0"/>
        <v>-27298</v>
      </c>
    </row>
    <row r="45" spans="2:63" s="15" customFormat="1" ht="22.5" x14ac:dyDescent="0.25">
      <c r="B45" s="41">
        <v>30</v>
      </c>
      <c r="C45" s="41" t="s">
        <v>38</v>
      </c>
      <c r="D45" s="212">
        <v>30108583</v>
      </c>
      <c r="E45" s="43" t="s">
        <v>82</v>
      </c>
      <c r="F45" s="44" t="s">
        <v>45</v>
      </c>
      <c r="G45" s="21" t="s">
        <v>48</v>
      </c>
      <c r="H45" s="17" t="s">
        <v>49</v>
      </c>
      <c r="I45" s="45" t="s">
        <v>43</v>
      </c>
      <c r="J45" s="18">
        <v>2480427</v>
      </c>
      <c r="K45" s="18">
        <v>0</v>
      </c>
      <c r="L45" s="18">
        <v>1969178</v>
      </c>
      <c r="M45" s="18">
        <v>0</v>
      </c>
      <c r="N45" s="18">
        <v>0</v>
      </c>
      <c r="O45" s="18">
        <v>0</v>
      </c>
      <c r="P45" s="18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8">
        <v>0</v>
      </c>
      <c r="X45" s="18">
        <v>0</v>
      </c>
      <c r="Y45" s="26">
        <f t="shared" si="1"/>
        <v>0</v>
      </c>
      <c r="Z45" s="26">
        <v>500000</v>
      </c>
      <c r="AA45" s="19">
        <v>5</v>
      </c>
      <c r="AB45" s="23">
        <v>44229</v>
      </c>
      <c r="AC45" s="23">
        <v>44246</v>
      </c>
      <c r="AD45" s="26">
        <v>-2516</v>
      </c>
      <c r="AE45" s="19">
        <v>33</v>
      </c>
      <c r="AF45" s="23">
        <v>44330</v>
      </c>
      <c r="AG45" s="23">
        <v>44342</v>
      </c>
      <c r="AH45" s="26">
        <v>-52484</v>
      </c>
      <c r="AI45" s="19">
        <v>37</v>
      </c>
      <c r="AJ45" s="23">
        <v>44344</v>
      </c>
      <c r="AK45" s="23">
        <v>44354</v>
      </c>
      <c r="AL45" s="26">
        <v>-97000</v>
      </c>
      <c r="AM45" s="19">
        <v>41</v>
      </c>
      <c r="AN45" s="23">
        <v>44362</v>
      </c>
      <c r="AO45" s="23">
        <v>44371</v>
      </c>
      <c r="AP45" s="26"/>
      <c r="AQ45" s="19"/>
      <c r="AR45" s="21"/>
      <c r="AS45" s="25"/>
      <c r="AT45" s="25"/>
      <c r="AU45" s="25"/>
      <c r="AV45" s="25"/>
      <c r="AW45" s="25"/>
      <c r="AX45" s="25"/>
      <c r="AY45" s="25"/>
      <c r="AZ45" s="25"/>
      <c r="BA45" s="25"/>
      <c r="BB45" s="25"/>
      <c r="BC45" s="25"/>
      <c r="BD45" s="25"/>
      <c r="BE45" s="25"/>
      <c r="BF45" s="25"/>
      <c r="BG45" s="25"/>
      <c r="BH45" s="25"/>
      <c r="BI45" s="25"/>
      <c r="BJ45" s="22">
        <f t="shared" si="2"/>
        <v>348000</v>
      </c>
      <c r="BK45" s="47">
        <f t="shared" si="0"/>
        <v>348000</v>
      </c>
    </row>
    <row r="46" spans="2:63" s="15" customFormat="1" ht="23.25" customHeight="1" x14ac:dyDescent="0.25">
      <c r="B46" s="41">
        <v>31</v>
      </c>
      <c r="C46" s="41" t="s">
        <v>38</v>
      </c>
      <c r="D46" s="211">
        <v>30433377</v>
      </c>
      <c r="E46" s="43" t="s">
        <v>83</v>
      </c>
      <c r="F46" s="44" t="s">
        <v>45</v>
      </c>
      <c r="G46" s="21" t="s">
        <v>48</v>
      </c>
      <c r="H46" s="17" t="s">
        <v>84</v>
      </c>
      <c r="I46" s="45" t="s">
        <v>43</v>
      </c>
      <c r="J46" s="18">
        <v>437437</v>
      </c>
      <c r="K46" s="18">
        <v>0</v>
      </c>
      <c r="L46" s="18">
        <v>0</v>
      </c>
      <c r="M46" s="18">
        <v>0</v>
      </c>
      <c r="N46" s="18">
        <v>0</v>
      </c>
      <c r="O46" s="18">
        <v>0</v>
      </c>
      <c r="P46" s="18">
        <v>0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8">
        <v>0</v>
      </c>
      <c r="X46" s="18">
        <v>0</v>
      </c>
      <c r="Y46" s="26">
        <f t="shared" si="1"/>
        <v>0</v>
      </c>
      <c r="Z46" s="26">
        <v>292155</v>
      </c>
      <c r="AA46" s="19">
        <v>5</v>
      </c>
      <c r="AB46" s="23">
        <v>44229</v>
      </c>
      <c r="AC46" s="23">
        <v>44246</v>
      </c>
      <c r="AD46" s="26">
        <v>-17702</v>
      </c>
      <c r="AE46" s="19">
        <v>30</v>
      </c>
      <c r="AF46" s="23">
        <v>44320</v>
      </c>
      <c r="AG46" s="23">
        <v>44334</v>
      </c>
      <c r="AH46" s="26">
        <v>-7070</v>
      </c>
      <c r="AI46" s="19">
        <v>37</v>
      </c>
      <c r="AJ46" s="23">
        <v>44344</v>
      </c>
      <c r="AK46" s="23">
        <v>44354</v>
      </c>
      <c r="AL46" s="26">
        <v>-53477</v>
      </c>
      <c r="AM46" s="19">
        <v>41</v>
      </c>
      <c r="AN46" s="23">
        <v>44362</v>
      </c>
      <c r="AO46" s="23">
        <v>44371</v>
      </c>
      <c r="AP46" s="26"/>
      <c r="AQ46" s="19"/>
      <c r="AR46" s="21"/>
      <c r="AS46" s="25"/>
      <c r="AT46" s="25"/>
      <c r="AU46" s="25"/>
      <c r="AV46" s="25"/>
      <c r="AW46" s="25"/>
      <c r="AX46" s="25"/>
      <c r="AY46" s="25"/>
      <c r="AZ46" s="25"/>
      <c r="BA46" s="25"/>
      <c r="BB46" s="25"/>
      <c r="BC46" s="25"/>
      <c r="BD46" s="25"/>
      <c r="BE46" s="25"/>
      <c r="BF46" s="25"/>
      <c r="BG46" s="25"/>
      <c r="BH46" s="25"/>
      <c r="BI46" s="25"/>
      <c r="BJ46" s="22">
        <f t="shared" si="2"/>
        <v>213906</v>
      </c>
      <c r="BK46" s="47">
        <f t="shared" si="0"/>
        <v>213906</v>
      </c>
    </row>
    <row r="47" spans="2:63" s="15" customFormat="1" ht="24" customHeight="1" x14ac:dyDescent="0.25">
      <c r="B47" s="41">
        <v>32</v>
      </c>
      <c r="C47" s="41" t="s">
        <v>38</v>
      </c>
      <c r="D47" s="211">
        <v>30417623</v>
      </c>
      <c r="E47" s="43" t="s">
        <v>85</v>
      </c>
      <c r="F47" s="44" t="s">
        <v>45</v>
      </c>
      <c r="G47" s="21" t="s">
        <v>48</v>
      </c>
      <c r="H47" s="17" t="s">
        <v>84</v>
      </c>
      <c r="I47" s="45" t="s">
        <v>43</v>
      </c>
      <c r="J47" s="18">
        <v>437963</v>
      </c>
      <c r="K47" s="18">
        <v>0</v>
      </c>
      <c r="L47" s="18">
        <v>0</v>
      </c>
      <c r="M47" s="18">
        <v>0</v>
      </c>
      <c r="N47" s="18">
        <v>0</v>
      </c>
      <c r="O47" s="18">
        <v>0</v>
      </c>
      <c r="P47" s="18">
        <v>0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8">
        <v>0</v>
      </c>
      <c r="X47" s="18">
        <v>0</v>
      </c>
      <c r="Y47" s="26">
        <f t="shared" si="1"/>
        <v>0</v>
      </c>
      <c r="Z47" s="26">
        <v>218155</v>
      </c>
      <c r="AA47" s="19">
        <v>5</v>
      </c>
      <c r="AB47" s="23">
        <v>44229</v>
      </c>
      <c r="AC47" s="23">
        <v>44246</v>
      </c>
      <c r="AD47" s="26"/>
      <c r="AE47" s="20"/>
      <c r="AF47" s="21"/>
      <c r="AG47" s="23"/>
      <c r="AH47" s="26"/>
      <c r="AI47" s="19"/>
      <c r="AJ47" s="21"/>
      <c r="AK47" s="25"/>
      <c r="AL47" s="26"/>
      <c r="AM47" s="19"/>
      <c r="AN47" s="21"/>
      <c r="AO47" s="25"/>
      <c r="AP47" s="26"/>
      <c r="AQ47" s="19"/>
      <c r="AR47" s="21"/>
      <c r="AS47" s="25"/>
      <c r="AT47" s="25"/>
      <c r="AU47" s="25"/>
      <c r="AV47" s="25"/>
      <c r="AW47" s="25"/>
      <c r="AX47" s="25"/>
      <c r="AY47" s="25"/>
      <c r="AZ47" s="25"/>
      <c r="BA47" s="25"/>
      <c r="BB47" s="25"/>
      <c r="BC47" s="25"/>
      <c r="BD47" s="25"/>
      <c r="BE47" s="25"/>
      <c r="BF47" s="25"/>
      <c r="BG47" s="25"/>
      <c r="BH47" s="25"/>
      <c r="BI47" s="25"/>
      <c r="BJ47" s="22">
        <f t="shared" si="2"/>
        <v>218155</v>
      </c>
      <c r="BK47" s="47">
        <f t="shared" si="0"/>
        <v>218155</v>
      </c>
    </row>
    <row r="48" spans="2:63" s="15" customFormat="1" ht="22.5" x14ac:dyDescent="0.25">
      <c r="B48" s="41">
        <v>33</v>
      </c>
      <c r="C48" s="41" t="s">
        <v>38</v>
      </c>
      <c r="D48" s="212">
        <v>40001352</v>
      </c>
      <c r="E48" s="43" t="s">
        <v>86</v>
      </c>
      <c r="F48" s="44" t="s">
        <v>45</v>
      </c>
      <c r="G48" s="21" t="s">
        <v>48</v>
      </c>
      <c r="H48" s="17" t="s">
        <v>49</v>
      </c>
      <c r="I48" s="45" t="s">
        <v>43</v>
      </c>
      <c r="J48" s="18">
        <v>880308</v>
      </c>
      <c r="K48" s="18">
        <v>0</v>
      </c>
      <c r="L48" s="18">
        <v>1</v>
      </c>
      <c r="M48" s="18">
        <v>0</v>
      </c>
      <c r="N48" s="18">
        <v>0</v>
      </c>
      <c r="O48" s="18">
        <v>0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8">
        <v>0</v>
      </c>
      <c r="X48" s="18">
        <v>0</v>
      </c>
      <c r="Y48" s="26">
        <f t="shared" si="1"/>
        <v>0</v>
      </c>
      <c r="Z48" s="26">
        <v>860935</v>
      </c>
      <c r="AA48" s="19">
        <v>5</v>
      </c>
      <c r="AB48" s="23">
        <v>44229</v>
      </c>
      <c r="AC48" s="23">
        <v>44246</v>
      </c>
      <c r="AD48" s="26">
        <v>-510000</v>
      </c>
      <c r="AE48" s="20">
        <v>7</v>
      </c>
      <c r="AF48" s="23">
        <v>44229</v>
      </c>
      <c r="AG48" s="23">
        <v>44250</v>
      </c>
      <c r="AH48" s="26">
        <v>182653</v>
      </c>
      <c r="AI48" s="20">
        <v>13</v>
      </c>
      <c r="AJ48" s="23">
        <v>44259</v>
      </c>
      <c r="AK48" s="23">
        <v>44285</v>
      </c>
      <c r="AL48" s="26">
        <v>91023</v>
      </c>
      <c r="AM48" s="20">
        <v>37</v>
      </c>
      <c r="AN48" s="23">
        <v>44344</v>
      </c>
      <c r="AO48" s="23">
        <v>44354</v>
      </c>
      <c r="AP48" s="26">
        <v>216281</v>
      </c>
      <c r="AQ48" s="20">
        <v>41</v>
      </c>
      <c r="AR48" s="23">
        <v>44362</v>
      </c>
      <c r="AS48" s="23">
        <v>44371</v>
      </c>
      <c r="AT48" s="25"/>
      <c r="AU48" s="25"/>
      <c r="AV48" s="25"/>
      <c r="AW48" s="25"/>
      <c r="AX48" s="25"/>
      <c r="AY48" s="25"/>
      <c r="AZ48" s="25"/>
      <c r="BA48" s="25"/>
      <c r="BB48" s="25"/>
      <c r="BC48" s="25"/>
      <c r="BD48" s="25"/>
      <c r="BE48" s="25"/>
      <c r="BF48" s="25"/>
      <c r="BG48" s="25"/>
      <c r="BH48" s="25"/>
      <c r="BI48" s="25"/>
      <c r="BJ48" s="22">
        <f t="shared" si="2"/>
        <v>840892</v>
      </c>
      <c r="BK48" s="47">
        <f t="shared" si="0"/>
        <v>840892</v>
      </c>
    </row>
    <row r="49" spans="2:63" s="15" customFormat="1" ht="22.5" x14ac:dyDescent="0.25">
      <c r="B49" s="41">
        <v>34</v>
      </c>
      <c r="C49" s="41" t="s">
        <v>38</v>
      </c>
      <c r="D49" s="211">
        <v>30403324</v>
      </c>
      <c r="E49" s="43" t="s">
        <v>87</v>
      </c>
      <c r="F49" s="44" t="s">
        <v>45</v>
      </c>
      <c r="G49" s="21" t="s">
        <v>48</v>
      </c>
      <c r="H49" s="17" t="s">
        <v>84</v>
      </c>
      <c r="I49" s="45" t="s">
        <v>43</v>
      </c>
      <c r="J49" s="18">
        <v>209329</v>
      </c>
      <c r="K49" s="18">
        <v>1022</v>
      </c>
      <c r="L49" s="18">
        <v>0</v>
      </c>
      <c r="M49" s="18">
        <v>0</v>
      </c>
      <c r="N49" s="18">
        <v>0</v>
      </c>
      <c r="O49" s="18">
        <v>0</v>
      </c>
      <c r="P49" s="18">
        <v>0</v>
      </c>
      <c r="Q49" s="18">
        <v>40074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8">
        <v>0</v>
      </c>
      <c r="X49" s="18">
        <v>0</v>
      </c>
      <c r="Y49" s="26">
        <f t="shared" si="1"/>
        <v>40074</v>
      </c>
      <c r="Z49" s="26">
        <v>202698</v>
      </c>
      <c r="AA49" s="19">
        <v>5</v>
      </c>
      <c r="AB49" s="23">
        <v>44229</v>
      </c>
      <c r="AC49" s="23">
        <v>44246</v>
      </c>
      <c r="AD49" s="26">
        <v>-24397</v>
      </c>
      <c r="AE49" s="19">
        <v>27</v>
      </c>
      <c r="AF49" s="23">
        <v>44305</v>
      </c>
      <c r="AG49" s="23">
        <v>44314</v>
      </c>
      <c r="AH49" s="26"/>
      <c r="AI49" s="19"/>
      <c r="AJ49" s="21"/>
      <c r="AK49" s="25"/>
      <c r="AL49" s="26"/>
      <c r="AM49" s="19"/>
      <c r="AN49" s="21"/>
      <c r="AO49" s="25"/>
      <c r="AP49" s="26"/>
      <c r="AQ49" s="19"/>
      <c r="AR49" s="21"/>
      <c r="AS49" s="25"/>
      <c r="AT49" s="25"/>
      <c r="AU49" s="25"/>
      <c r="AV49" s="25"/>
      <c r="AW49" s="25"/>
      <c r="AX49" s="25"/>
      <c r="AY49" s="25"/>
      <c r="AZ49" s="25"/>
      <c r="BA49" s="25"/>
      <c r="BB49" s="25"/>
      <c r="BC49" s="25"/>
      <c r="BD49" s="25"/>
      <c r="BE49" s="25"/>
      <c r="BF49" s="25"/>
      <c r="BG49" s="25"/>
      <c r="BH49" s="25"/>
      <c r="BI49" s="25"/>
      <c r="BJ49" s="22">
        <f t="shared" si="2"/>
        <v>178301</v>
      </c>
      <c r="BK49" s="47">
        <f t="shared" si="0"/>
        <v>138227</v>
      </c>
    </row>
    <row r="50" spans="2:63" s="15" customFormat="1" ht="22.5" x14ac:dyDescent="0.25">
      <c r="B50" s="41">
        <v>35</v>
      </c>
      <c r="C50" s="41" t="s">
        <v>38</v>
      </c>
      <c r="D50" s="211">
        <v>30102710</v>
      </c>
      <c r="E50" s="43" t="s">
        <v>88</v>
      </c>
      <c r="F50" s="44" t="s">
        <v>45</v>
      </c>
      <c r="G50" s="21" t="s">
        <v>48</v>
      </c>
      <c r="H50" s="17" t="s">
        <v>49</v>
      </c>
      <c r="I50" s="45" t="s">
        <v>42</v>
      </c>
      <c r="J50" s="18">
        <v>2787089</v>
      </c>
      <c r="K50" s="18">
        <v>937873</v>
      </c>
      <c r="L50" s="18">
        <v>215355</v>
      </c>
      <c r="M50" s="18">
        <v>0</v>
      </c>
      <c r="N50" s="18">
        <v>0</v>
      </c>
      <c r="O50" s="18">
        <v>0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8">
        <v>0</v>
      </c>
      <c r="X50" s="18">
        <v>0</v>
      </c>
      <c r="Y50" s="26">
        <f t="shared" si="1"/>
        <v>0</v>
      </c>
      <c r="Z50" s="26">
        <v>552202</v>
      </c>
      <c r="AA50" s="19">
        <v>5</v>
      </c>
      <c r="AB50" s="23">
        <v>44229</v>
      </c>
      <c r="AC50" s="23">
        <v>44246</v>
      </c>
      <c r="AD50" s="26">
        <v>-500999</v>
      </c>
      <c r="AE50" s="20">
        <v>10</v>
      </c>
      <c r="AF50" s="23">
        <v>44239</v>
      </c>
      <c r="AG50" s="23">
        <v>44259</v>
      </c>
      <c r="AH50" s="26">
        <v>17998</v>
      </c>
      <c r="AI50" s="20">
        <v>33</v>
      </c>
      <c r="AJ50" s="23">
        <v>44330</v>
      </c>
      <c r="AK50" s="23">
        <v>44342</v>
      </c>
      <c r="AL50" s="26"/>
      <c r="AM50" s="19"/>
      <c r="AN50" s="21"/>
      <c r="AO50" s="25"/>
      <c r="AP50" s="26"/>
      <c r="AQ50" s="19"/>
      <c r="AR50" s="21"/>
      <c r="AS50" s="25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  <c r="BF50" s="25"/>
      <c r="BG50" s="25"/>
      <c r="BH50" s="25"/>
      <c r="BI50" s="25"/>
      <c r="BJ50" s="22">
        <f t="shared" si="2"/>
        <v>69201</v>
      </c>
      <c r="BK50" s="47">
        <f t="shared" si="0"/>
        <v>69201</v>
      </c>
    </row>
    <row r="51" spans="2:63" s="15" customFormat="1" ht="24" customHeight="1" x14ac:dyDescent="0.25">
      <c r="B51" s="41">
        <v>36</v>
      </c>
      <c r="C51" s="41" t="s">
        <v>41</v>
      </c>
      <c r="D51" s="42">
        <v>30482631</v>
      </c>
      <c r="E51" s="43" t="s">
        <v>89</v>
      </c>
      <c r="F51" s="44" t="s">
        <v>45</v>
      </c>
      <c r="G51" s="21" t="s">
        <v>48</v>
      </c>
      <c r="H51" s="17" t="s">
        <v>55</v>
      </c>
      <c r="I51" s="45" t="s">
        <v>42</v>
      </c>
      <c r="J51" s="18">
        <v>749592</v>
      </c>
      <c r="K51" s="18">
        <v>737422</v>
      </c>
      <c r="L51" s="18">
        <v>0</v>
      </c>
      <c r="M51" s="18">
        <v>0</v>
      </c>
      <c r="N51" s="46">
        <v>2444</v>
      </c>
      <c r="O51" s="18">
        <v>0</v>
      </c>
      <c r="P51" s="57">
        <v>8059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8">
        <v>0</v>
      </c>
      <c r="X51" s="18">
        <v>0</v>
      </c>
      <c r="Y51" s="26">
        <f t="shared" si="1"/>
        <v>10503</v>
      </c>
      <c r="Z51" s="26">
        <v>3666</v>
      </c>
      <c r="AA51" s="19">
        <v>5</v>
      </c>
      <c r="AB51" s="23">
        <v>44229</v>
      </c>
      <c r="AC51" s="23">
        <v>44246</v>
      </c>
      <c r="AD51" s="26">
        <v>6837</v>
      </c>
      <c r="AE51" s="19">
        <v>22</v>
      </c>
      <c r="AF51" s="23">
        <v>44292</v>
      </c>
      <c r="AG51" s="23">
        <v>44309</v>
      </c>
      <c r="AH51" s="26"/>
      <c r="AI51" s="19"/>
      <c r="AJ51" s="21"/>
      <c r="AK51" s="25"/>
      <c r="AL51" s="26"/>
      <c r="AM51" s="19"/>
      <c r="AN51" s="21"/>
      <c r="AO51" s="25"/>
      <c r="AP51" s="26"/>
      <c r="AQ51" s="19"/>
      <c r="AR51" s="21"/>
      <c r="AS51" s="25"/>
      <c r="AT51" s="25"/>
      <c r="AU51" s="25"/>
      <c r="AV51" s="25"/>
      <c r="AW51" s="25"/>
      <c r="AX51" s="25"/>
      <c r="AY51" s="25"/>
      <c r="AZ51" s="25"/>
      <c r="BA51" s="25"/>
      <c r="BB51" s="25"/>
      <c r="BC51" s="25"/>
      <c r="BD51" s="25"/>
      <c r="BE51" s="25"/>
      <c r="BF51" s="25"/>
      <c r="BG51" s="25"/>
      <c r="BH51" s="25"/>
      <c r="BI51" s="25"/>
      <c r="BJ51" s="22">
        <f t="shared" si="2"/>
        <v>10503</v>
      </c>
      <c r="BK51" s="47">
        <f t="shared" si="0"/>
        <v>0</v>
      </c>
    </row>
    <row r="52" spans="2:63" s="15" customFormat="1" ht="24" customHeight="1" x14ac:dyDescent="0.25">
      <c r="B52" s="41">
        <v>37</v>
      </c>
      <c r="C52" s="41" t="s">
        <v>41</v>
      </c>
      <c r="D52" s="42">
        <v>30485762</v>
      </c>
      <c r="E52" s="43" t="s">
        <v>90</v>
      </c>
      <c r="F52" s="44" t="s">
        <v>45</v>
      </c>
      <c r="G52" s="21" t="s">
        <v>48</v>
      </c>
      <c r="H52" s="17" t="s">
        <v>44</v>
      </c>
      <c r="I52" s="45" t="s">
        <v>42</v>
      </c>
      <c r="J52" s="18">
        <v>313368</v>
      </c>
      <c r="K52" s="18">
        <v>261567</v>
      </c>
      <c r="L52" s="18">
        <v>1</v>
      </c>
      <c r="M52" s="18">
        <v>0</v>
      </c>
      <c r="N52" s="46">
        <v>6160</v>
      </c>
      <c r="O52" s="18">
        <v>0</v>
      </c>
      <c r="P52" s="18">
        <v>0</v>
      </c>
      <c r="Q52" s="18">
        <v>0</v>
      </c>
      <c r="R52" s="18">
        <v>140</v>
      </c>
      <c r="S52" s="18">
        <v>0</v>
      </c>
      <c r="T52" s="18">
        <v>0</v>
      </c>
      <c r="U52" s="18">
        <v>0</v>
      </c>
      <c r="V52" s="18">
        <v>0</v>
      </c>
      <c r="W52" s="18">
        <v>0</v>
      </c>
      <c r="X52" s="18">
        <v>0</v>
      </c>
      <c r="Y52" s="26">
        <f t="shared" si="1"/>
        <v>6300</v>
      </c>
      <c r="Z52" s="26">
        <v>25100</v>
      </c>
      <c r="AA52" s="19">
        <v>5</v>
      </c>
      <c r="AB52" s="23">
        <v>44229</v>
      </c>
      <c r="AC52" s="23">
        <v>44246</v>
      </c>
      <c r="AD52" s="26">
        <v>29326</v>
      </c>
      <c r="AE52" s="19">
        <v>19</v>
      </c>
      <c r="AF52" s="23">
        <v>44274</v>
      </c>
      <c r="AG52" s="23">
        <v>44298</v>
      </c>
      <c r="AH52" s="26">
        <v>-6159</v>
      </c>
      <c r="AI52" s="19">
        <v>21</v>
      </c>
      <c r="AJ52" s="23">
        <v>44291</v>
      </c>
      <c r="AK52" s="23">
        <v>44309</v>
      </c>
      <c r="AL52" s="26"/>
      <c r="AM52" s="19"/>
      <c r="AN52" s="21"/>
      <c r="AO52" s="25"/>
      <c r="AP52" s="26"/>
      <c r="AQ52" s="19"/>
      <c r="AR52" s="21"/>
      <c r="AS52" s="25"/>
      <c r="AT52" s="25"/>
      <c r="AU52" s="25"/>
      <c r="AV52" s="25"/>
      <c r="AW52" s="25"/>
      <c r="AX52" s="25"/>
      <c r="AY52" s="25"/>
      <c r="AZ52" s="25"/>
      <c r="BA52" s="25"/>
      <c r="BB52" s="25"/>
      <c r="BC52" s="25"/>
      <c r="BD52" s="25"/>
      <c r="BE52" s="25"/>
      <c r="BF52" s="25"/>
      <c r="BG52" s="25"/>
      <c r="BH52" s="25"/>
      <c r="BI52" s="25"/>
      <c r="BJ52" s="22">
        <f t="shared" si="2"/>
        <v>48267</v>
      </c>
      <c r="BK52" s="47">
        <f t="shared" si="0"/>
        <v>41967</v>
      </c>
    </row>
    <row r="53" spans="2:63" s="15" customFormat="1" ht="22.5" x14ac:dyDescent="0.25">
      <c r="B53" s="41">
        <v>38</v>
      </c>
      <c r="C53" s="41" t="s">
        <v>41</v>
      </c>
      <c r="D53" s="213">
        <v>40005138</v>
      </c>
      <c r="E53" s="43" t="s">
        <v>91</v>
      </c>
      <c r="F53" s="44" t="s">
        <v>45</v>
      </c>
      <c r="G53" s="21" t="s">
        <v>48</v>
      </c>
      <c r="H53" s="17" t="s">
        <v>44</v>
      </c>
      <c r="I53" s="45" t="s">
        <v>42</v>
      </c>
      <c r="J53" s="18">
        <v>441306</v>
      </c>
      <c r="K53" s="18">
        <v>105126</v>
      </c>
      <c r="L53" s="18">
        <v>98761</v>
      </c>
      <c r="M53" s="18">
        <v>0</v>
      </c>
      <c r="N53" s="18">
        <v>0</v>
      </c>
      <c r="O53" s="18">
        <v>0</v>
      </c>
      <c r="P53" s="18">
        <v>0</v>
      </c>
      <c r="Q53" s="18">
        <v>2560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8">
        <v>0</v>
      </c>
      <c r="X53" s="18">
        <v>0</v>
      </c>
      <c r="Y53" s="26">
        <f t="shared" si="1"/>
        <v>2560</v>
      </c>
      <c r="Z53" s="26">
        <v>129500</v>
      </c>
      <c r="AA53" s="19">
        <v>5</v>
      </c>
      <c r="AB53" s="23">
        <v>44229</v>
      </c>
      <c r="AC53" s="23">
        <v>44246</v>
      </c>
      <c r="AD53" s="26"/>
      <c r="AE53" s="20"/>
      <c r="AF53" s="21"/>
      <c r="AG53" s="23"/>
      <c r="AH53" s="26"/>
      <c r="AI53" s="19"/>
      <c r="AJ53" s="21"/>
      <c r="AK53" s="25"/>
      <c r="AL53" s="26"/>
      <c r="AM53" s="19"/>
      <c r="AN53" s="21"/>
      <c r="AO53" s="25"/>
      <c r="AP53" s="26"/>
      <c r="AQ53" s="19"/>
      <c r="AR53" s="21"/>
      <c r="AS53" s="25"/>
      <c r="AT53" s="25"/>
      <c r="AU53" s="25"/>
      <c r="AV53" s="25"/>
      <c r="AW53" s="25"/>
      <c r="AX53" s="25"/>
      <c r="AY53" s="25"/>
      <c r="AZ53" s="25"/>
      <c r="BA53" s="25"/>
      <c r="BB53" s="25"/>
      <c r="BC53" s="25"/>
      <c r="BD53" s="25"/>
      <c r="BE53" s="25"/>
      <c r="BF53" s="25"/>
      <c r="BG53" s="25"/>
      <c r="BH53" s="25"/>
      <c r="BI53" s="25"/>
      <c r="BJ53" s="22">
        <f t="shared" si="2"/>
        <v>129500</v>
      </c>
      <c r="BK53" s="47">
        <f t="shared" si="0"/>
        <v>126940</v>
      </c>
    </row>
    <row r="54" spans="2:63" s="15" customFormat="1" ht="22.5" x14ac:dyDescent="0.25">
      <c r="B54" s="41">
        <v>39</v>
      </c>
      <c r="C54" s="41" t="s">
        <v>41</v>
      </c>
      <c r="D54" s="42">
        <v>40019660</v>
      </c>
      <c r="E54" s="43" t="s">
        <v>92</v>
      </c>
      <c r="F54" s="44" t="s">
        <v>45</v>
      </c>
      <c r="G54" s="21" t="s">
        <v>48</v>
      </c>
      <c r="H54" s="17" t="s">
        <v>44</v>
      </c>
      <c r="I54" s="45" t="s">
        <v>42</v>
      </c>
      <c r="J54" s="18">
        <v>494071</v>
      </c>
      <c r="K54" s="18">
        <v>4601</v>
      </c>
      <c r="L54" s="18">
        <v>280164</v>
      </c>
      <c r="M54" s="18">
        <v>0</v>
      </c>
      <c r="N54" s="46">
        <v>1000</v>
      </c>
      <c r="O54" s="46">
        <v>4000</v>
      </c>
      <c r="P54" s="18">
        <v>0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8">
        <v>0</v>
      </c>
      <c r="X54" s="18">
        <v>0</v>
      </c>
      <c r="Y54" s="26">
        <f t="shared" si="1"/>
        <v>5000</v>
      </c>
      <c r="Z54" s="26">
        <v>127773</v>
      </c>
      <c r="AA54" s="19">
        <v>5</v>
      </c>
      <c r="AB54" s="23">
        <v>44229</v>
      </c>
      <c r="AC54" s="23">
        <v>44246</v>
      </c>
      <c r="AD54" s="26">
        <v>927</v>
      </c>
      <c r="AE54" s="19">
        <v>19</v>
      </c>
      <c r="AF54" s="23">
        <v>44274</v>
      </c>
      <c r="AG54" s="23">
        <v>44298</v>
      </c>
      <c r="AH54" s="26"/>
      <c r="AI54" s="19"/>
      <c r="AJ54" s="21"/>
      <c r="AK54" s="25"/>
      <c r="AL54" s="26"/>
      <c r="AM54" s="19"/>
      <c r="AN54" s="21"/>
      <c r="AO54" s="25"/>
      <c r="AP54" s="26"/>
      <c r="AQ54" s="19"/>
      <c r="AR54" s="21"/>
      <c r="AS54" s="25"/>
      <c r="AT54" s="25"/>
      <c r="AU54" s="25"/>
      <c r="AV54" s="25"/>
      <c r="AW54" s="25"/>
      <c r="AX54" s="25"/>
      <c r="AY54" s="25"/>
      <c r="AZ54" s="25"/>
      <c r="BA54" s="25"/>
      <c r="BB54" s="25"/>
      <c r="BC54" s="25"/>
      <c r="BD54" s="25"/>
      <c r="BE54" s="25"/>
      <c r="BF54" s="25"/>
      <c r="BG54" s="25"/>
      <c r="BH54" s="25"/>
      <c r="BI54" s="25"/>
      <c r="BJ54" s="22">
        <f t="shared" si="2"/>
        <v>128700</v>
      </c>
      <c r="BK54" s="47">
        <f t="shared" si="0"/>
        <v>123700</v>
      </c>
    </row>
    <row r="55" spans="2:63" s="15" customFormat="1" ht="23.25" customHeight="1" x14ac:dyDescent="0.25">
      <c r="B55" s="41">
        <v>40</v>
      </c>
      <c r="C55" s="41" t="s">
        <v>38</v>
      </c>
      <c r="D55" s="42">
        <v>40007766</v>
      </c>
      <c r="E55" s="43" t="s">
        <v>93</v>
      </c>
      <c r="F55" s="44" t="s">
        <v>45</v>
      </c>
      <c r="G55" s="21" t="s">
        <v>48</v>
      </c>
      <c r="H55" s="17" t="s">
        <v>49</v>
      </c>
      <c r="I55" s="45" t="s">
        <v>43</v>
      </c>
      <c r="J55" s="18">
        <v>4217438</v>
      </c>
      <c r="K55" s="18">
        <v>862199</v>
      </c>
      <c r="L55" s="18">
        <v>3355239</v>
      </c>
      <c r="M55" s="18">
        <v>0</v>
      </c>
      <c r="N55" s="46">
        <v>4600</v>
      </c>
      <c r="O55" s="46">
        <v>2300</v>
      </c>
      <c r="P55" s="18">
        <v>0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8">
        <v>0</v>
      </c>
      <c r="X55" s="18">
        <v>0</v>
      </c>
      <c r="Y55" s="26">
        <f t="shared" si="1"/>
        <v>6900</v>
      </c>
      <c r="Z55" s="26">
        <v>26401</v>
      </c>
      <c r="AA55" s="19">
        <v>6</v>
      </c>
      <c r="AB55" s="23">
        <v>44229</v>
      </c>
      <c r="AC55" s="23">
        <v>44250</v>
      </c>
      <c r="AD55" s="26">
        <v>9800</v>
      </c>
      <c r="AE55" s="20">
        <v>13</v>
      </c>
      <c r="AF55" s="23">
        <v>44259</v>
      </c>
      <c r="AG55" s="23">
        <v>44285</v>
      </c>
      <c r="AH55" s="26">
        <v>2</v>
      </c>
      <c r="AI55" s="19">
        <v>18</v>
      </c>
      <c r="AJ55" s="23">
        <v>44273</v>
      </c>
      <c r="AK55" s="23">
        <v>44298</v>
      </c>
      <c r="AL55" s="26"/>
      <c r="AM55" s="19"/>
      <c r="AN55" s="21"/>
      <c r="AO55" s="25"/>
      <c r="AP55" s="26"/>
      <c r="AQ55" s="19"/>
      <c r="AR55" s="21"/>
      <c r="AS55" s="25"/>
      <c r="AT55" s="25"/>
      <c r="AU55" s="25"/>
      <c r="AV55" s="25"/>
      <c r="AW55" s="25"/>
      <c r="AX55" s="25"/>
      <c r="AY55" s="25"/>
      <c r="AZ55" s="25"/>
      <c r="BA55" s="25"/>
      <c r="BB55" s="25"/>
      <c r="BC55" s="25"/>
      <c r="BD55" s="25"/>
      <c r="BE55" s="25"/>
      <c r="BF55" s="25"/>
      <c r="BG55" s="25"/>
      <c r="BH55" s="25"/>
      <c r="BI55" s="25"/>
      <c r="BJ55" s="22">
        <f t="shared" si="2"/>
        <v>36203</v>
      </c>
      <c r="BK55" s="47">
        <f t="shared" si="0"/>
        <v>29303</v>
      </c>
    </row>
    <row r="56" spans="2:63" s="15" customFormat="1" ht="23.25" customHeight="1" x14ac:dyDescent="0.25">
      <c r="B56" s="41">
        <v>41</v>
      </c>
      <c r="C56" s="41" t="s">
        <v>38</v>
      </c>
      <c r="D56" s="42">
        <v>30482839</v>
      </c>
      <c r="E56" s="43" t="s">
        <v>94</v>
      </c>
      <c r="F56" s="44" t="s">
        <v>45</v>
      </c>
      <c r="G56" s="21" t="s">
        <v>48</v>
      </c>
      <c r="H56" s="17" t="s">
        <v>52</v>
      </c>
      <c r="I56" s="45" t="s">
        <v>42</v>
      </c>
      <c r="J56" s="18">
        <v>487958</v>
      </c>
      <c r="K56" s="18">
        <v>21127</v>
      </c>
      <c r="L56" s="18">
        <v>1</v>
      </c>
      <c r="M56" s="18">
        <v>0</v>
      </c>
      <c r="N56" s="18">
        <v>0</v>
      </c>
      <c r="O56" s="18">
        <v>0</v>
      </c>
      <c r="P56" s="18">
        <v>0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8">
        <v>0</v>
      </c>
      <c r="X56" s="18">
        <v>0</v>
      </c>
      <c r="Y56" s="26">
        <f t="shared" si="1"/>
        <v>0</v>
      </c>
      <c r="Z56" s="26">
        <v>446588</v>
      </c>
      <c r="AA56" s="19">
        <v>6</v>
      </c>
      <c r="AB56" s="23">
        <v>44229</v>
      </c>
      <c r="AC56" s="23">
        <v>44250</v>
      </c>
      <c r="AD56" s="26"/>
      <c r="AE56" s="20"/>
      <c r="AF56" s="21"/>
      <c r="AG56" s="23"/>
      <c r="AH56" s="26"/>
      <c r="AI56" s="19"/>
      <c r="AJ56" s="21"/>
      <c r="AK56" s="25"/>
      <c r="AL56" s="26"/>
      <c r="AM56" s="19"/>
      <c r="AN56" s="21"/>
      <c r="AO56" s="25"/>
      <c r="AP56" s="26"/>
      <c r="AQ56" s="19"/>
      <c r="AR56" s="21"/>
      <c r="AS56" s="25"/>
      <c r="AT56" s="25"/>
      <c r="AU56" s="25"/>
      <c r="AV56" s="25"/>
      <c r="AW56" s="25"/>
      <c r="AX56" s="25"/>
      <c r="AY56" s="25"/>
      <c r="AZ56" s="25"/>
      <c r="BA56" s="25"/>
      <c r="BB56" s="25"/>
      <c r="BC56" s="25"/>
      <c r="BD56" s="25"/>
      <c r="BE56" s="25"/>
      <c r="BF56" s="25"/>
      <c r="BG56" s="25"/>
      <c r="BH56" s="25"/>
      <c r="BI56" s="25"/>
      <c r="BJ56" s="22">
        <f t="shared" si="2"/>
        <v>446588</v>
      </c>
      <c r="BK56" s="47">
        <f t="shared" si="0"/>
        <v>446588</v>
      </c>
    </row>
    <row r="57" spans="2:63" s="15" customFormat="1" ht="23.25" customHeight="1" x14ac:dyDescent="0.25">
      <c r="B57" s="41">
        <v>42</v>
      </c>
      <c r="C57" s="41" t="s">
        <v>38</v>
      </c>
      <c r="D57" s="42">
        <v>30480574</v>
      </c>
      <c r="E57" s="43" t="s">
        <v>95</v>
      </c>
      <c r="F57" s="44" t="s">
        <v>45</v>
      </c>
      <c r="G57" s="21" t="s">
        <v>48</v>
      </c>
      <c r="H57" s="17" t="s">
        <v>74</v>
      </c>
      <c r="I57" s="45" t="s">
        <v>42</v>
      </c>
      <c r="J57" s="18">
        <v>359033</v>
      </c>
      <c r="K57" s="18">
        <v>309354</v>
      </c>
      <c r="L57" s="18">
        <v>1</v>
      </c>
      <c r="M57" s="18">
        <v>0</v>
      </c>
      <c r="N57" s="18">
        <v>0</v>
      </c>
      <c r="O57" s="18">
        <v>0</v>
      </c>
      <c r="P57" s="18">
        <v>0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8">
        <v>0</v>
      </c>
      <c r="X57" s="18">
        <v>0</v>
      </c>
      <c r="Y57" s="26">
        <f t="shared" si="1"/>
        <v>0</v>
      </c>
      <c r="Z57" s="26">
        <v>27690</v>
      </c>
      <c r="AA57" s="19">
        <v>6</v>
      </c>
      <c r="AB57" s="23">
        <v>44229</v>
      </c>
      <c r="AC57" s="23">
        <v>44250</v>
      </c>
      <c r="AD57" s="26"/>
      <c r="AE57" s="20"/>
      <c r="AF57" s="21"/>
      <c r="AG57" s="23"/>
      <c r="AH57" s="26"/>
      <c r="AI57" s="19"/>
      <c r="AJ57" s="21"/>
      <c r="AK57" s="25"/>
      <c r="AL57" s="26"/>
      <c r="AM57" s="19"/>
      <c r="AN57" s="21"/>
      <c r="AO57" s="25"/>
      <c r="AP57" s="26"/>
      <c r="AQ57" s="19"/>
      <c r="AR57" s="21"/>
      <c r="AS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2">
        <f t="shared" si="2"/>
        <v>27690</v>
      </c>
      <c r="BK57" s="47">
        <f t="shared" si="0"/>
        <v>27690</v>
      </c>
    </row>
    <row r="58" spans="2:63" s="15" customFormat="1" ht="23.25" customHeight="1" x14ac:dyDescent="0.25">
      <c r="B58" s="41">
        <v>43</v>
      </c>
      <c r="C58" s="41" t="s">
        <v>38</v>
      </c>
      <c r="D58" s="42">
        <v>40017378</v>
      </c>
      <c r="E58" s="43" t="s">
        <v>96</v>
      </c>
      <c r="F58" s="44" t="s">
        <v>45</v>
      </c>
      <c r="G58" s="21" t="s">
        <v>48</v>
      </c>
      <c r="H58" s="17" t="s">
        <v>70</v>
      </c>
      <c r="I58" s="45" t="s">
        <v>42</v>
      </c>
      <c r="J58" s="18">
        <v>3997068</v>
      </c>
      <c r="K58" s="18">
        <v>3697050</v>
      </c>
      <c r="L58" s="18">
        <v>2097</v>
      </c>
      <c r="M58" s="18">
        <v>0</v>
      </c>
      <c r="N58" s="18">
        <v>0</v>
      </c>
      <c r="O58" s="18">
        <v>0</v>
      </c>
      <c r="P58" s="18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8">
        <v>0</v>
      </c>
      <c r="X58" s="18">
        <v>0</v>
      </c>
      <c r="Y58" s="26">
        <f t="shared" si="1"/>
        <v>0</v>
      </c>
      <c r="Z58" s="26">
        <v>291365</v>
      </c>
      <c r="AA58" s="19">
        <v>6</v>
      </c>
      <c r="AB58" s="23">
        <v>44229</v>
      </c>
      <c r="AC58" s="23">
        <v>44250</v>
      </c>
      <c r="AD58" s="26">
        <v>-291364</v>
      </c>
      <c r="AE58" s="19">
        <v>21</v>
      </c>
      <c r="AF58" s="23">
        <v>44291</v>
      </c>
      <c r="AG58" s="23">
        <v>44309</v>
      </c>
      <c r="AH58" s="26"/>
      <c r="AI58" s="19"/>
      <c r="AJ58" s="21"/>
      <c r="AK58" s="25"/>
      <c r="AL58" s="26"/>
      <c r="AM58" s="19"/>
      <c r="AN58" s="21"/>
      <c r="AO58" s="25"/>
      <c r="AP58" s="26"/>
      <c r="AQ58" s="19"/>
      <c r="AR58" s="21"/>
      <c r="AS58" s="25"/>
      <c r="AT58" s="25"/>
      <c r="AU58" s="25"/>
      <c r="AV58" s="25"/>
      <c r="AW58" s="25"/>
      <c r="AX58" s="25"/>
      <c r="AY58" s="25"/>
      <c r="AZ58" s="25"/>
      <c r="BA58" s="25"/>
      <c r="BB58" s="25"/>
      <c r="BC58" s="25"/>
      <c r="BD58" s="25"/>
      <c r="BE58" s="25"/>
      <c r="BF58" s="25"/>
      <c r="BG58" s="25"/>
      <c r="BH58" s="25"/>
      <c r="BI58" s="25"/>
      <c r="BJ58" s="22">
        <f t="shared" si="2"/>
        <v>1</v>
      </c>
      <c r="BK58" s="47">
        <f t="shared" si="0"/>
        <v>1</v>
      </c>
    </row>
    <row r="59" spans="2:63" s="15" customFormat="1" ht="23.25" customHeight="1" x14ac:dyDescent="0.25">
      <c r="B59" s="41">
        <v>44</v>
      </c>
      <c r="C59" s="41" t="s">
        <v>38</v>
      </c>
      <c r="D59" s="42">
        <v>30227573</v>
      </c>
      <c r="E59" s="43" t="s">
        <v>97</v>
      </c>
      <c r="F59" s="44" t="s">
        <v>46</v>
      </c>
      <c r="G59" s="21" t="s">
        <v>48</v>
      </c>
      <c r="H59" s="17" t="s">
        <v>98</v>
      </c>
      <c r="I59" s="45" t="s">
        <v>42</v>
      </c>
      <c r="J59" s="18">
        <v>80777</v>
      </c>
      <c r="K59" s="18">
        <v>44976</v>
      </c>
      <c r="L59" s="18">
        <v>0</v>
      </c>
      <c r="M59" s="18">
        <v>0</v>
      </c>
      <c r="N59" s="18">
        <v>0</v>
      </c>
      <c r="O59" s="18">
        <v>0</v>
      </c>
      <c r="P59" s="18">
        <v>0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8">
        <v>0</v>
      </c>
      <c r="X59" s="18">
        <v>0</v>
      </c>
      <c r="Y59" s="26">
        <f t="shared" si="1"/>
        <v>0</v>
      </c>
      <c r="Z59" s="26">
        <v>35014</v>
      </c>
      <c r="AA59" s="19">
        <v>6</v>
      </c>
      <c r="AB59" s="23">
        <v>44229</v>
      </c>
      <c r="AC59" s="23">
        <v>44250</v>
      </c>
      <c r="AD59" s="26">
        <v>-7014</v>
      </c>
      <c r="AE59" s="19">
        <v>29</v>
      </c>
      <c r="AF59" s="23">
        <v>44316</v>
      </c>
      <c r="AG59" s="23">
        <v>44334</v>
      </c>
      <c r="AH59" s="26"/>
      <c r="AI59" s="19"/>
      <c r="AJ59" s="21"/>
      <c r="AK59" s="25"/>
      <c r="AL59" s="26"/>
      <c r="AM59" s="19"/>
      <c r="AN59" s="21"/>
      <c r="AO59" s="25"/>
      <c r="AP59" s="26"/>
      <c r="AQ59" s="19"/>
      <c r="AR59" s="21"/>
      <c r="AS59" s="25"/>
      <c r="AT59" s="25"/>
      <c r="AU59" s="25"/>
      <c r="AV59" s="25"/>
      <c r="AW59" s="25"/>
      <c r="AX59" s="25"/>
      <c r="AY59" s="25"/>
      <c r="AZ59" s="25"/>
      <c r="BA59" s="25"/>
      <c r="BB59" s="25"/>
      <c r="BC59" s="25"/>
      <c r="BD59" s="25"/>
      <c r="BE59" s="25"/>
      <c r="BF59" s="25"/>
      <c r="BG59" s="25"/>
      <c r="BH59" s="25"/>
      <c r="BI59" s="25"/>
      <c r="BJ59" s="22">
        <f t="shared" si="2"/>
        <v>28000</v>
      </c>
      <c r="BK59" s="47">
        <f t="shared" si="0"/>
        <v>28000</v>
      </c>
    </row>
    <row r="60" spans="2:63" s="15" customFormat="1" ht="23.25" customHeight="1" x14ac:dyDescent="0.25">
      <c r="B60" s="41">
        <v>45</v>
      </c>
      <c r="C60" s="41" t="s">
        <v>38</v>
      </c>
      <c r="D60" s="42">
        <v>40021428</v>
      </c>
      <c r="E60" s="43" t="s">
        <v>99</v>
      </c>
      <c r="F60" s="44" t="s">
        <v>45</v>
      </c>
      <c r="G60" s="21" t="s">
        <v>48</v>
      </c>
      <c r="H60" s="17" t="s">
        <v>49</v>
      </c>
      <c r="I60" s="45" t="s">
        <v>42</v>
      </c>
      <c r="J60" s="18">
        <v>188807</v>
      </c>
      <c r="K60" s="18">
        <v>21472</v>
      </c>
      <c r="L60" s="18">
        <v>10225</v>
      </c>
      <c r="M60" s="18">
        <v>0</v>
      </c>
      <c r="N60" s="46">
        <v>4000</v>
      </c>
      <c r="O60" s="46">
        <v>3000</v>
      </c>
      <c r="P60" s="18">
        <v>0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8">
        <v>0</v>
      </c>
      <c r="X60" s="18">
        <v>0</v>
      </c>
      <c r="Y60" s="26">
        <f t="shared" si="1"/>
        <v>7000</v>
      </c>
      <c r="Z60" s="26">
        <v>8502</v>
      </c>
      <c r="AA60" s="19">
        <v>6</v>
      </c>
      <c r="AB60" s="23">
        <v>44229</v>
      </c>
      <c r="AC60" s="23">
        <v>44250</v>
      </c>
      <c r="AD60" s="26">
        <v>100823</v>
      </c>
      <c r="AE60" s="19">
        <v>33</v>
      </c>
      <c r="AF60" s="23">
        <v>44330</v>
      </c>
      <c r="AG60" s="23">
        <v>44342</v>
      </c>
      <c r="AH60" s="26"/>
      <c r="AI60" s="19"/>
      <c r="AJ60" s="21"/>
      <c r="AK60" s="25"/>
      <c r="AL60" s="26"/>
      <c r="AM60" s="19"/>
      <c r="AN60" s="21"/>
      <c r="AO60" s="25"/>
      <c r="AP60" s="26"/>
      <c r="AQ60" s="19"/>
      <c r="AR60" s="21"/>
      <c r="AS60" s="25"/>
      <c r="AT60" s="25"/>
      <c r="AU60" s="25"/>
      <c r="AV60" s="25"/>
      <c r="AW60" s="25"/>
      <c r="AX60" s="25"/>
      <c r="AY60" s="25"/>
      <c r="AZ60" s="25"/>
      <c r="BA60" s="25"/>
      <c r="BB60" s="25"/>
      <c r="BC60" s="25"/>
      <c r="BD60" s="25"/>
      <c r="BE60" s="25"/>
      <c r="BF60" s="25"/>
      <c r="BG60" s="25"/>
      <c r="BH60" s="25"/>
      <c r="BI60" s="25"/>
      <c r="BJ60" s="22">
        <f t="shared" si="2"/>
        <v>109325</v>
      </c>
      <c r="BK60" s="47">
        <f t="shared" si="0"/>
        <v>102325</v>
      </c>
    </row>
    <row r="61" spans="2:63" s="15" customFormat="1" ht="23.25" customHeight="1" x14ac:dyDescent="0.25">
      <c r="B61" s="41">
        <v>46</v>
      </c>
      <c r="C61" s="41" t="s">
        <v>38</v>
      </c>
      <c r="D61" s="42">
        <v>30080833</v>
      </c>
      <c r="E61" s="43" t="s">
        <v>100</v>
      </c>
      <c r="F61" s="44" t="s">
        <v>45</v>
      </c>
      <c r="G61" s="21" t="s">
        <v>48</v>
      </c>
      <c r="H61" s="17" t="s">
        <v>49</v>
      </c>
      <c r="I61" s="45" t="s">
        <v>42</v>
      </c>
      <c r="J61" s="18">
        <v>34464793</v>
      </c>
      <c r="K61" s="18">
        <v>30787709</v>
      </c>
      <c r="L61" s="18">
        <v>0</v>
      </c>
      <c r="M61" s="18">
        <v>0</v>
      </c>
      <c r="N61" s="46">
        <v>2470</v>
      </c>
      <c r="O61" s="46">
        <v>4940</v>
      </c>
      <c r="P61" s="57">
        <v>2470</v>
      </c>
      <c r="Q61" s="18">
        <v>2470</v>
      </c>
      <c r="R61" s="18">
        <v>2470</v>
      </c>
      <c r="S61" s="18">
        <v>0</v>
      </c>
      <c r="T61" s="18">
        <v>0</v>
      </c>
      <c r="U61" s="18">
        <v>0</v>
      </c>
      <c r="V61" s="18">
        <v>0</v>
      </c>
      <c r="W61" s="18">
        <v>0</v>
      </c>
      <c r="X61" s="18">
        <v>0</v>
      </c>
      <c r="Y61" s="26">
        <f t="shared" si="1"/>
        <v>14820</v>
      </c>
      <c r="Z61" s="26">
        <v>839640</v>
      </c>
      <c r="AA61" s="19">
        <v>6</v>
      </c>
      <c r="AB61" s="23">
        <v>44229</v>
      </c>
      <c r="AC61" s="23">
        <v>44250</v>
      </c>
      <c r="AD61" s="26"/>
      <c r="AE61" s="20"/>
      <c r="AF61" s="21"/>
      <c r="AG61" s="23"/>
      <c r="AH61" s="26"/>
      <c r="AI61" s="19"/>
      <c r="AJ61" s="21"/>
      <c r="AK61" s="25"/>
      <c r="AL61" s="26"/>
      <c r="AM61" s="19"/>
      <c r="AN61" s="21"/>
      <c r="AO61" s="25"/>
      <c r="AP61" s="26"/>
      <c r="AQ61" s="19"/>
      <c r="AR61" s="21"/>
      <c r="AS61" s="25"/>
      <c r="AT61" s="25"/>
      <c r="AU61" s="25"/>
      <c r="AV61" s="25"/>
      <c r="AW61" s="25"/>
      <c r="AX61" s="25"/>
      <c r="AY61" s="25"/>
      <c r="AZ61" s="25"/>
      <c r="BA61" s="25"/>
      <c r="BB61" s="25"/>
      <c r="BC61" s="25"/>
      <c r="BD61" s="25"/>
      <c r="BE61" s="25"/>
      <c r="BF61" s="25"/>
      <c r="BG61" s="25"/>
      <c r="BH61" s="25"/>
      <c r="BI61" s="25"/>
      <c r="BJ61" s="22">
        <f t="shared" si="2"/>
        <v>839640</v>
      </c>
      <c r="BK61" s="47">
        <f t="shared" si="0"/>
        <v>824820</v>
      </c>
    </row>
    <row r="62" spans="2:63" s="15" customFormat="1" ht="23.25" customHeight="1" x14ac:dyDescent="0.25">
      <c r="B62" s="41">
        <v>47</v>
      </c>
      <c r="C62" s="41" t="s">
        <v>38</v>
      </c>
      <c r="D62" s="42">
        <v>30102049</v>
      </c>
      <c r="E62" s="43" t="s">
        <v>101</v>
      </c>
      <c r="F62" s="44" t="s">
        <v>45</v>
      </c>
      <c r="G62" s="21" t="s">
        <v>48</v>
      </c>
      <c r="H62" s="17" t="s">
        <v>55</v>
      </c>
      <c r="I62" s="45" t="s">
        <v>42</v>
      </c>
      <c r="J62" s="18">
        <v>4694880</v>
      </c>
      <c r="K62" s="18">
        <v>3512824</v>
      </c>
      <c r="L62" s="18">
        <v>0</v>
      </c>
      <c r="M62" s="18">
        <v>0</v>
      </c>
      <c r="N62" s="18">
        <v>0</v>
      </c>
      <c r="O62" s="18">
        <v>0</v>
      </c>
      <c r="P62" s="18">
        <v>0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8">
        <v>0</v>
      </c>
      <c r="X62" s="18">
        <v>0</v>
      </c>
      <c r="Y62" s="26">
        <f t="shared" si="1"/>
        <v>0</v>
      </c>
      <c r="Z62" s="26">
        <v>1</v>
      </c>
      <c r="AA62" s="19">
        <v>6</v>
      </c>
      <c r="AB62" s="23">
        <v>44229</v>
      </c>
      <c r="AC62" s="23">
        <v>44250</v>
      </c>
      <c r="AD62" s="26">
        <v>174366</v>
      </c>
      <c r="AE62" s="19">
        <v>40</v>
      </c>
      <c r="AF62" s="23">
        <v>44358</v>
      </c>
      <c r="AG62" s="23">
        <v>44371</v>
      </c>
      <c r="AH62" s="26"/>
      <c r="AI62" s="19"/>
      <c r="AJ62" s="21"/>
      <c r="AK62" s="25"/>
      <c r="AL62" s="26"/>
      <c r="AM62" s="19"/>
      <c r="AN62" s="21"/>
      <c r="AO62" s="25"/>
      <c r="AP62" s="26"/>
      <c r="AQ62" s="19"/>
      <c r="AR62" s="21"/>
      <c r="AS62" s="25"/>
      <c r="AT62" s="25"/>
      <c r="AU62" s="25"/>
      <c r="AV62" s="25"/>
      <c r="AW62" s="25"/>
      <c r="AX62" s="25"/>
      <c r="AY62" s="25"/>
      <c r="AZ62" s="25"/>
      <c r="BA62" s="25"/>
      <c r="BB62" s="25"/>
      <c r="BC62" s="25"/>
      <c r="BD62" s="25"/>
      <c r="BE62" s="25"/>
      <c r="BF62" s="25"/>
      <c r="BG62" s="25"/>
      <c r="BH62" s="25"/>
      <c r="BI62" s="25"/>
      <c r="BJ62" s="22">
        <f t="shared" si="2"/>
        <v>174367</v>
      </c>
      <c r="BK62" s="47">
        <f t="shared" si="0"/>
        <v>174367</v>
      </c>
    </row>
    <row r="63" spans="2:63" s="15" customFormat="1" ht="23.25" customHeight="1" x14ac:dyDescent="0.25">
      <c r="B63" s="41">
        <v>48</v>
      </c>
      <c r="C63" s="41" t="s">
        <v>38</v>
      </c>
      <c r="D63" s="42">
        <v>30485475</v>
      </c>
      <c r="E63" s="43" t="s">
        <v>102</v>
      </c>
      <c r="F63" s="44" t="s">
        <v>45</v>
      </c>
      <c r="G63" s="21" t="s">
        <v>48</v>
      </c>
      <c r="H63" s="17" t="s">
        <v>55</v>
      </c>
      <c r="I63" s="45" t="s">
        <v>43</v>
      </c>
      <c r="J63" s="18">
        <v>173442</v>
      </c>
      <c r="K63" s="18">
        <v>3067</v>
      </c>
      <c r="L63" s="18">
        <v>0</v>
      </c>
      <c r="M63" s="18">
        <v>0</v>
      </c>
      <c r="N63" s="18">
        <v>0</v>
      </c>
      <c r="O63" s="18">
        <v>0</v>
      </c>
      <c r="P63" s="18">
        <v>0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8">
        <v>0</v>
      </c>
      <c r="X63" s="18">
        <v>0</v>
      </c>
      <c r="Y63" s="26">
        <f t="shared" si="1"/>
        <v>0</v>
      </c>
      <c r="Z63" s="26">
        <v>2</v>
      </c>
      <c r="AA63" s="19">
        <v>6</v>
      </c>
      <c r="AB63" s="23">
        <v>44229</v>
      </c>
      <c r="AC63" s="23">
        <v>44250</v>
      </c>
      <c r="AD63" s="26"/>
      <c r="AE63" s="20"/>
      <c r="AF63" s="21"/>
      <c r="AG63" s="23"/>
      <c r="AH63" s="26"/>
      <c r="AI63" s="19"/>
      <c r="AJ63" s="21"/>
      <c r="AK63" s="25"/>
      <c r="AL63" s="26"/>
      <c r="AM63" s="19"/>
      <c r="AN63" s="21"/>
      <c r="AO63" s="25"/>
      <c r="AP63" s="26"/>
      <c r="AQ63" s="19"/>
      <c r="AR63" s="21"/>
      <c r="AS63" s="25"/>
      <c r="AT63" s="25"/>
      <c r="AU63" s="25"/>
      <c r="AV63" s="25"/>
      <c r="AW63" s="25"/>
      <c r="AX63" s="25"/>
      <c r="AY63" s="25"/>
      <c r="AZ63" s="25"/>
      <c r="BA63" s="25"/>
      <c r="BB63" s="25"/>
      <c r="BC63" s="25"/>
      <c r="BD63" s="25"/>
      <c r="BE63" s="25"/>
      <c r="BF63" s="25"/>
      <c r="BG63" s="25"/>
      <c r="BH63" s="25"/>
      <c r="BI63" s="25"/>
      <c r="BJ63" s="22">
        <f t="shared" si="2"/>
        <v>2</v>
      </c>
      <c r="BK63" s="47">
        <f t="shared" si="0"/>
        <v>2</v>
      </c>
    </row>
    <row r="64" spans="2:63" s="15" customFormat="1" ht="22.5" x14ac:dyDescent="0.25">
      <c r="B64" s="41">
        <v>49</v>
      </c>
      <c r="C64" s="41" t="s">
        <v>38</v>
      </c>
      <c r="D64" s="42">
        <v>30391222</v>
      </c>
      <c r="E64" s="43" t="s">
        <v>103</v>
      </c>
      <c r="F64" s="44" t="s">
        <v>45</v>
      </c>
      <c r="G64" s="21" t="s">
        <v>48</v>
      </c>
      <c r="H64" s="17" t="s">
        <v>70</v>
      </c>
      <c r="I64" s="45" t="s">
        <v>42</v>
      </c>
      <c r="J64" s="18">
        <v>358854</v>
      </c>
      <c r="K64" s="18">
        <v>17611</v>
      </c>
      <c r="L64" s="18">
        <v>1</v>
      </c>
      <c r="M64" s="18">
        <v>0</v>
      </c>
      <c r="N64" s="46">
        <v>42852</v>
      </c>
      <c r="O64" s="46">
        <v>10984</v>
      </c>
      <c r="P64" s="57">
        <v>40885</v>
      </c>
      <c r="Q64" s="18">
        <v>1600</v>
      </c>
      <c r="R64" s="18">
        <v>1600</v>
      </c>
      <c r="S64" s="18">
        <v>0</v>
      </c>
      <c r="T64" s="18">
        <v>0</v>
      </c>
      <c r="U64" s="18">
        <v>0</v>
      </c>
      <c r="V64" s="18">
        <v>0</v>
      </c>
      <c r="W64" s="18">
        <v>0</v>
      </c>
      <c r="X64" s="18">
        <v>0</v>
      </c>
      <c r="Y64" s="26">
        <f t="shared" si="1"/>
        <v>97921</v>
      </c>
      <c r="Z64" s="26">
        <v>349132</v>
      </c>
      <c r="AA64" s="19">
        <v>7</v>
      </c>
      <c r="AB64" s="23">
        <v>44229</v>
      </c>
      <c r="AC64" s="23">
        <v>44250</v>
      </c>
      <c r="AD64" s="26"/>
      <c r="AE64" s="20"/>
      <c r="AF64" s="21"/>
      <c r="AG64" s="23"/>
      <c r="AH64" s="26"/>
      <c r="AI64" s="19"/>
      <c r="AJ64" s="21"/>
      <c r="AK64" s="25"/>
      <c r="AL64" s="26"/>
      <c r="AM64" s="19"/>
      <c r="AN64" s="21"/>
      <c r="AO64" s="25"/>
      <c r="AP64" s="26"/>
      <c r="AQ64" s="19"/>
      <c r="AR64" s="21"/>
      <c r="AS64" s="25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2">
        <f t="shared" si="2"/>
        <v>349132</v>
      </c>
      <c r="BK64" s="47">
        <f t="shared" si="0"/>
        <v>251211</v>
      </c>
    </row>
    <row r="65" spans="2:63" s="15" customFormat="1" x14ac:dyDescent="0.25">
      <c r="B65" s="41">
        <v>50</v>
      </c>
      <c r="C65" s="41" t="s">
        <v>38</v>
      </c>
      <c r="D65" s="42">
        <v>30070061</v>
      </c>
      <c r="E65" s="43" t="s">
        <v>104</v>
      </c>
      <c r="F65" s="44" t="s">
        <v>45</v>
      </c>
      <c r="G65" s="21" t="s">
        <v>48</v>
      </c>
      <c r="H65" s="17" t="s">
        <v>70</v>
      </c>
      <c r="I65" s="45" t="s">
        <v>42</v>
      </c>
      <c r="J65" s="18">
        <v>3649103</v>
      </c>
      <c r="K65" s="18">
        <v>23810</v>
      </c>
      <c r="L65" s="18">
        <v>2353140</v>
      </c>
      <c r="M65" s="18">
        <v>0</v>
      </c>
      <c r="N65" s="46">
        <v>9919</v>
      </c>
      <c r="O65" s="18">
        <v>0</v>
      </c>
      <c r="P65" s="57">
        <v>0</v>
      </c>
      <c r="Q65" s="18">
        <v>14878</v>
      </c>
      <c r="R65" s="18">
        <v>14878</v>
      </c>
      <c r="S65" s="18">
        <v>0</v>
      </c>
      <c r="T65" s="18">
        <v>0</v>
      </c>
      <c r="U65" s="18">
        <v>0</v>
      </c>
      <c r="V65" s="18">
        <v>0</v>
      </c>
      <c r="W65" s="18">
        <v>0</v>
      </c>
      <c r="X65" s="18">
        <v>0</v>
      </c>
      <c r="Y65" s="26">
        <f t="shared" si="1"/>
        <v>39675</v>
      </c>
      <c r="Z65" s="26">
        <v>49596</v>
      </c>
      <c r="AA65" s="19">
        <v>7</v>
      </c>
      <c r="AB65" s="23">
        <v>44229</v>
      </c>
      <c r="AC65" s="23">
        <v>44250</v>
      </c>
      <c r="AD65" s="26"/>
      <c r="AE65" s="20"/>
      <c r="AF65" s="21"/>
      <c r="AG65" s="23"/>
      <c r="AH65" s="26"/>
      <c r="AI65" s="19"/>
      <c r="AJ65" s="21"/>
      <c r="AK65" s="25"/>
      <c r="AL65" s="26"/>
      <c r="AM65" s="19"/>
      <c r="AN65" s="21"/>
      <c r="AO65" s="25"/>
      <c r="AP65" s="26"/>
      <c r="AQ65" s="19"/>
      <c r="AR65" s="21"/>
      <c r="AS65" s="25"/>
      <c r="AT65" s="25"/>
      <c r="AU65" s="25"/>
      <c r="AV65" s="25"/>
      <c r="AW65" s="25"/>
      <c r="AX65" s="25"/>
      <c r="AY65" s="25"/>
      <c r="AZ65" s="25"/>
      <c r="BA65" s="25"/>
      <c r="BB65" s="25"/>
      <c r="BC65" s="25"/>
      <c r="BD65" s="25"/>
      <c r="BE65" s="25"/>
      <c r="BF65" s="25"/>
      <c r="BG65" s="25"/>
      <c r="BH65" s="25"/>
      <c r="BI65" s="25"/>
      <c r="BJ65" s="22">
        <f t="shared" si="2"/>
        <v>49596</v>
      </c>
      <c r="BK65" s="47">
        <f t="shared" si="0"/>
        <v>9921</v>
      </c>
    </row>
    <row r="66" spans="2:63" s="15" customFormat="1" ht="24" customHeight="1" x14ac:dyDescent="0.25">
      <c r="B66" s="41">
        <v>51</v>
      </c>
      <c r="C66" s="41" t="s">
        <v>38</v>
      </c>
      <c r="D66" s="42">
        <v>40017726</v>
      </c>
      <c r="E66" s="214" t="s">
        <v>105</v>
      </c>
      <c r="F66" s="44" t="s">
        <v>45</v>
      </c>
      <c r="G66" s="21" t="s">
        <v>48</v>
      </c>
      <c r="H66" s="17" t="s">
        <v>44</v>
      </c>
      <c r="I66" s="45" t="s">
        <v>43</v>
      </c>
      <c r="J66" s="18">
        <v>571713</v>
      </c>
      <c r="K66" s="18">
        <v>0</v>
      </c>
      <c r="L66" s="18">
        <v>514543</v>
      </c>
      <c r="M66" s="18">
        <v>0</v>
      </c>
      <c r="N66" s="18">
        <v>0</v>
      </c>
      <c r="O66" s="18">
        <v>0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8">
        <v>0</v>
      </c>
      <c r="X66" s="18">
        <v>0</v>
      </c>
      <c r="Y66" s="26">
        <f t="shared" si="1"/>
        <v>0</v>
      </c>
      <c r="Z66" s="26">
        <v>2</v>
      </c>
      <c r="AA66" s="19">
        <v>9</v>
      </c>
      <c r="AB66" s="23">
        <v>44238</v>
      </c>
      <c r="AC66" s="23">
        <v>44259</v>
      </c>
      <c r="AD66" s="26"/>
      <c r="AE66" s="20"/>
      <c r="AF66" s="21"/>
      <c r="AG66" s="23"/>
      <c r="AH66" s="26"/>
      <c r="AI66" s="19"/>
      <c r="AJ66" s="21"/>
      <c r="AK66" s="25"/>
      <c r="AL66" s="26"/>
      <c r="AM66" s="19"/>
      <c r="AN66" s="21"/>
      <c r="AO66" s="25"/>
      <c r="AP66" s="26"/>
      <c r="AQ66" s="19"/>
      <c r="AR66" s="21"/>
      <c r="AS66" s="25"/>
      <c r="AT66" s="25"/>
      <c r="AU66" s="25"/>
      <c r="AV66" s="25"/>
      <c r="AW66" s="25"/>
      <c r="AX66" s="25"/>
      <c r="AY66" s="25"/>
      <c r="AZ66" s="25"/>
      <c r="BA66" s="25"/>
      <c r="BB66" s="25"/>
      <c r="BC66" s="25"/>
      <c r="BD66" s="25"/>
      <c r="BE66" s="25"/>
      <c r="BF66" s="25"/>
      <c r="BG66" s="25"/>
      <c r="BH66" s="25"/>
      <c r="BI66" s="25"/>
      <c r="BJ66" s="22">
        <f t="shared" si="2"/>
        <v>2</v>
      </c>
      <c r="BK66" s="47">
        <f t="shared" si="0"/>
        <v>2</v>
      </c>
    </row>
    <row r="67" spans="2:63" s="15" customFormat="1" ht="24" customHeight="1" x14ac:dyDescent="0.25">
      <c r="B67" s="41">
        <v>52</v>
      </c>
      <c r="C67" s="41" t="s">
        <v>38</v>
      </c>
      <c r="D67" s="42">
        <v>40021415</v>
      </c>
      <c r="E67" s="43" t="s">
        <v>106</v>
      </c>
      <c r="F67" s="44" t="s">
        <v>46</v>
      </c>
      <c r="G67" s="21" t="s">
        <v>48</v>
      </c>
      <c r="H67" s="17" t="s">
        <v>49</v>
      </c>
      <c r="I67" s="45" t="s">
        <v>43</v>
      </c>
      <c r="J67" s="18">
        <v>919195</v>
      </c>
      <c r="K67" s="18">
        <v>0</v>
      </c>
      <c r="L67" s="18">
        <v>109674</v>
      </c>
      <c r="M67" s="18">
        <v>0</v>
      </c>
      <c r="N67" s="18">
        <v>0</v>
      </c>
      <c r="O67" s="46">
        <v>3500</v>
      </c>
      <c r="P67" s="18">
        <v>0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8">
        <v>0</v>
      </c>
      <c r="X67" s="18">
        <v>0</v>
      </c>
      <c r="Y67" s="26">
        <f t="shared" si="1"/>
        <v>3500</v>
      </c>
      <c r="Z67" s="26">
        <v>766500</v>
      </c>
      <c r="AA67" s="19">
        <v>10</v>
      </c>
      <c r="AB67" s="23">
        <v>44239</v>
      </c>
      <c r="AC67" s="23">
        <v>44259</v>
      </c>
      <c r="AD67" s="26">
        <v>25000</v>
      </c>
      <c r="AE67" s="19">
        <v>19</v>
      </c>
      <c r="AF67" s="23">
        <v>44274</v>
      </c>
      <c r="AG67" s="23">
        <v>44298</v>
      </c>
      <c r="AH67" s="26"/>
      <c r="AI67" s="19"/>
      <c r="AJ67" s="21"/>
      <c r="AK67" s="25"/>
      <c r="AL67" s="26"/>
      <c r="AM67" s="19"/>
      <c r="AN67" s="21"/>
      <c r="AO67" s="25"/>
      <c r="AP67" s="26"/>
      <c r="AQ67" s="19"/>
      <c r="AR67" s="21"/>
      <c r="AS67" s="25"/>
      <c r="AT67" s="25"/>
      <c r="AU67" s="25"/>
      <c r="AV67" s="25"/>
      <c r="AW67" s="25"/>
      <c r="AX67" s="25"/>
      <c r="AY67" s="25"/>
      <c r="AZ67" s="25"/>
      <c r="BA67" s="25"/>
      <c r="BB67" s="25"/>
      <c r="BC67" s="25"/>
      <c r="BD67" s="25"/>
      <c r="BE67" s="25"/>
      <c r="BF67" s="25"/>
      <c r="BG67" s="25"/>
      <c r="BH67" s="25"/>
      <c r="BI67" s="25"/>
      <c r="BJ67" s="22">
        <f t="shared" si="2"/>
        <v>791500</v>
      </c>
      <c r="BK67" s="47">
        <f t="shared" si="0"/>
        <v>788000</v>
      </c>
    </row>
    <row r="68" spans="2:63" s="15" customFormat="1" ht="24" customHeight="1" x14ac:dyDescent="0.25">
      <c r="B68" s="41">
        <v>53</v>
      </c>
      <c r="C68" s="41" t="s">
        <v>38</v>
      </c>
      <c r="D68" s="42">
        <v>40025087</v>
      </c>
      <c r="E68" s="43" t="s">
        <v>107</v>
      </c>
      <c r="F68" s="44" t="s">
        <v>46</v>
      </c>
      <c r="G68" s="21" t="s">
        <v>48</v>
      </c>
      <c r="H68" s="17" t="s">
        <v>44</v>
      </c>
      <c r="I68" s="45" t="s">
        <v>43</v>
      </c>
      <c r="J68" s="18">
        <v>190623</v>
      </c>
      <c r="K68" s="18">
        <v>0</v>
      </c>
      <c r="L68" s="18">
        <v>0</v>
      </c>
      <c r="M68" s="18">
        <v>0</v>
      </c>
      <c r="N68" s="18">
        <v>0</v>
      </c>
      <c r="O68" s="18">
        <v>0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8">
        <v>0</v>
      </c>
      <c r="X68" s="18">
        <v>0</v>
      </c>
      <c r="Y68" s="26">
        <f t="shared" si="1"/>
        <v>0</v>
      </c>
      <c r="Z68" s="26">
        <v>48481</v>
      </c>
      <c r="AA68" s="19">
        <v>10</v>
      </c>
      <c r="AB68" s="23">
        <v>44239</v>
      </c>
      <c r="AC68" s="23">
        <v>44259</v>
      </c>
      <c r="AD68" s="26"/>
      <c r="AE68" s="20"/>
      <c r="AF68" s="21"/>
      <c r="AG68" s="23"/>
      <c r="AH68" s="26"/>
      <c r="AI68" s="19"/>
      <c r="AJ68" s="21"/>
      <c r="AK68" s="25"/>
      <c r="AL68" s="26"/>
      <c r="AM68" s="19"/>
      <c r="AN68" s="21"/>
      <c r="AO68" s="25"/>
      <c r="AP68" s="26"/>
      <c r="AQ68" s="19"/>
      <c r="AR68" s="21"/>
      <c r="AS68" s="25"/>
      <c r="AT68" s="25"/>
      <c r="AU68" s="25"/>
      <c r="AV68" s="25"/>
      <c r="AW68" s="25"/>
      <c r="AX68" s="25"/>
      <c r="AY68" s="25"/>
      <c r="AZ68" s="25"/>
      <c r="BA68" s="25"/>
      <c r="BB68" s="25"/>
      <c r="BC68" s="25"/>
      <c r="BD68" s="25"/>
      <c r="BE68" s="25"/>
      <c r="BF68" s="25"/>
      <c r="BG68" s="25"/>
      <c r="BH68" s="25"/>
      <c r="BI68" s="25"/>
      <c r="BJ68" s="22">
        <f t="shared" si="2"/>
        <v>48481</v>
      </c>
      <c r="BK68" s="47">
        <f t="shared" si="0"/>
        <v>48481</v>
      </c>
    </row>
    <row r="69" spans="2:63" s="15" customFormat="1" ht="24" customHeight="1" x14ac:dyDescent="0.2">
      <c r="B69" s="41">
        <v>54</v>
      </c>
      <c r="C69" s="41" t="s">
        <v>40</v>
      </c>
      <c r="D69" s="42">
        <v>40010908</v>
      </c>
      <c r="E69" s="215" t="s">
        <v>108</v>
      </c>
      <c r="F69" s="44" t="s">
        <v>45</v>
      </c>
      <c r="G69" s="21" t="s">
        <v>48</v>
      </c>
      <c r="H69" s="17" t="s">
        <v>44</v>
      </c>
      <c r="I69" s="45" t="s">
        <v>43</v>
      </c>
      <c r="J69" s="18">
        <v>16894</v>
      </c>
      <c r="K69" s="18">
        <v>0</v>
      </c>
      <c r="L69" s="18">
        <v>0</v>
      </c>
      <c r="M69" s="18">
        <v>0</v>
      </c>
      <c r="N69" s="18">
        <v>0</v>
      </c>
      <c r="O69" s="18">
        <v>0</v>
      </c>
      <c r="P69" s="18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8">
        <v>0</v>
      </c>
      <c r="X69" s="18">
        <v>0</v>
      </c>
      <c r="Y69" s="26">
        <f t="shared" si="1"/>
        <v>0</v>
      </c>
      <c r="Z69" s="26">
        <v>16104</v>
      </c>
      <c r="AA69" s="19">
        <v>19</v>
      </c>
      <c r="AB69" s="23">
        <v>44274</v>
      </c>
      <c r="AC69" s="23">
        <v>44298</v>
      </c>
      <c r="AD69" s="26"/>
      <c r="AE69" s="20"/>
      <c r="AF69" s="21"/>
      <c r="AG69" s="23"/>
      <c r="AH69" s="26"/>
      <c r="AI69" s="19"/>
      <c r="AJ69" s="21"/>
      <c r="AK69" s="25"/>
      <c r="AL69" s="26"/>
      <c r="AM69" s="19"/>
      <c r="AN69" s="21"/>
      <c r="AO69" s="25"/>
      <c r="AP69" s="26"/>
      <c r="AQ69" s="19"/>
      <c r="AR69" s="21"/>
      <c r="AS69" s="25"/>
      <c r="AT69" s="25"/>
      <c r="AU69" s="25"/>
      <c r="AV69" s="25"/>
      <c r="AW69" s="25"/>
      <c r="AX69" s="25"/>
      <c r="AY69" s="25"/>
      <c r="AZ69" s="25"/>
      <c r="BA69" s="25"/>
      <c r="BB69" s="25"/>
      <c r="BC69" s="25"/>
      <c r="BD69" s="25"/>
      <c r="BE69" s="25"/>
      <c r="BF69" s="25"/>
      <c r="BG69" s="25"/>
      <c r="BH69" s="25"/>
      <c r="BI69" s="25"/>
      <c r="BJ69" s="22">
        <f t="shared" si="2"/>
        <v>16104</v>
      </c>
      <c r="BK69" s="47">
        <f t="shared" si="0"/>
        <v>16104</v>
      </c>
    </row>
    <row r="70" spans="2:63" s="15" customFormat="1" ht="24" customHeight="1" x14ac:dyDescent="0.2">
      <c r="B70" s="41">
        <v>55</v>
      </c>
      <c r="C70" s="41" t="s">
        <v>40</v>
      </c>
      <c r="D70" s="42">
        <v>10018058</v>
      </c>
      <c r="E70" s="215" t="s">
        <v>109</v>
      </c>
      <c r="F70" s="44" t="s">
        <v>45</v>
      </c>
      <c r="G70" s="21" t="s">
        <v>48</v>
      </c>
      <c r="H70" s="17" t="s">
        <v>44</v>
      </c>
      <c r="I70" s="45" t="s">
        <v>43</v>
      </c>
      <c r="J70" s="18">
        <v>54944</v>
      </c>
      <c r="K70" s="18">
        <v>0</v>
      </c>
      <c r="L70" s="18">
        <v>0</v>
      </c>
      <c r="M70" s="18">
        <v>0</v>
      </c>
      <c r="N70" s="18">
        <v>0</v>
      </c>
      <c r="O70" s="18">
        <v>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8">
        <v>0</v>
      </c>
      <c r="X70" s="18">
        <v>0</v>
      </c>
      <c r="Y70" s="26">
        <f t="shared" si="1"/>
        <v>0</v>
      </c>
      <c r="Z70" s="26">
        <v>27997</v>
      </c>
      <c r="AA70" s="19">
        <v>19</v>
      </c>
      <c r="AB70" s="23">
        <v>44274</v>
      </c>
      <c r="AC70" s="23">
        <v>44298</v>
      </c>
      <c r="AD70" s="26"/>
      <c r="AE70" s="20"/>
      <c r="AF70" s="21"/>
      <c r="AG70" s="23"/>
      <c r="AH70" s="26"/>
      <c r="AI70" s="19"/>
      <c r="AJ70" s="21"/>
      <c r="AK70" s="25"/>
      <c r="AL70" s="26"/>
      <c r="AM70" s="19"/>
      <c r="AN70" s="21"/>
      <c r="AO70" s="25"/>
      <c r="AP70" s="26"/>
      <c r="AQ70" s="19"/>
      <c r="AR70" s="21"/>
      <c r="AS70" s="25"/>
      <c r="AT70" s="25"/>
      <c r="AU70" s="25"/>
      <c r="AV70" s="25"/>
      <c r="AW70" s="25"/>
      <c r="AX70" s="25"/>
      <c r="AY70" s="25"/>
      <c r="AZ70" s="25"/>
      <c r="BA70" s="25"/>
      <c r="BB70" s="25"/>
      <c r="BC70" s="25"/>
      <c r="BD70" s="25"/>
      <c r="BE70" s="25"/>
      <c r="BF70" s="25"/>
      <c r="BG70" s="25"/>
      <c r="BH70" s="25"/>
      <c r="BI70" s="25"/>
      <c r="BJ70" s="22">
        <f t="shared" si="2"/>
        <v>27997</v>
      </c>
      <c r="BK70" s="47">
        <f t="shared" si="0"/>
        <v>27997</v>
      </c>
    </row>
    <row r="71" spans="2:63" s="15" customFormat="1" ht="24" customHeight="1" x14ac:dyDescent="0.2">
      <c r="B71" s="41">
        <v>56</v>
      </c>
      <c r="C71" s="41" t="s">
        <v>40</v>
      </c>
      <c r="D71" s="42">
        <v>40012110</v>
      </c>
      <c r="E71" s="215" t="s">
        <v>112</v>
      </c>
      <c r="F71" s="44" t="s">
        <v>45</v>
      </c>
      <c r="G71" s="21" t="s">
        <v>48</v>
      </c>
      <c r="H71" s="431" t="s">
        <v>74</v>
      </c>
      <c r="I71" s="45" t="s">
        <v>43</v>
      </c>
      <c r="J71" s="18">
        <v>114505</v>
      </c>
      <c r="K71" s="18">
        <v>0</v>
      </c>
      <c r="L71" s="18">
        <v>39531</v>
      </c>
      <c r="M71" s="18">
        <v>0</v>
      </c>
      <c r="N71" s="18">
        <v>0</v>
      </c>
      <c r="O71" s="18">
        <v>0</v>
      </c>
      <c r="P71" s="18">
        <v>0</v>
      </c>
      <c r="Q71" s="18">
        <v>0</v>
      </c>
      <c r="R71" s="18">
        <v>0</v>
      </c>
      <c r="S71" s="18">
        <v>0</v>
      </c>
      <c r="T71" s="18">
        <v>0</v>
      </c>
      <c r="U71" s="18">
        <v>0</v>
      </c>
      <c r="V71" s="18">
        <v>0</v>
      </c>
      <c r="W71" s="18">
        <v>0</v>
      </c>
      <c r="X71" s="18">
        <v>0</v>
      </c>
      <c r="Y71" s="26">
        <f t="shared" si="1"/>
        <v>0</v>
      </c>
      <c r="Z71" s="26">
        <v>63673</v>
      </c>
      <c r="AA71" s="19">
        <v>19</v>
      </c>
      <c r="AB71" s="23">
        <v>44274</v>
      </c>
      <c r="AC71" s="23">
        <v>44298</v>
      </c>
      <c r="AD71" s="26">
        <v>-9095</v>
      </c>
      <c r="AE71" s="19">
        <v>38</v>
      </c>
      <c r="AF71" s="23">
        <v>44355</v>
      </c>
      <c r="AG71" s="23">
        <v>44363</v>
      </c>
      <c r="AH71" s="26"/>
      <c r="AI71" s="19"/>
      <c r="AJ71" s="21"/>
      <c r="AK71" s="25"/>
      <c r="AL71" s="26"/>
      <c r="AM71" s="19"/>
      <c r="AN71" s="21"/>
      <c r="AO71" s="25"/>
      <c r="AP71" s="26"/>
      <c r="AQ71" s="19"/>
      <c r="AR71" s="21"/>
      <c r="AS71" s="25"/>
      <c r="AT71" s="25"/>
      <c r="AU71" s="25"/>
      <c r="AV71" s="25"/>
      <c r="AW71" s="25"/>
      <c r="AX71" s="25"/>
      <c r="AY71" s="25"/>
      <c r="AZ71" s="25"/>
      <c r="BA71" s="25"/>
      <c r="BB71" s="25"/>
      <c r="BC71" s="25"/>
      <c r="BD71" s="25"/>
      <c r="BE71" s="25"/>
      <c r="BF71" s="25"/>
      <c r="BG71" s="25"/>
      <c r="BH71" s="25"/>
      <c r="BI71" s="25"/>
      <c r="BJ71" s="22">
        <f t="shared" si="2"/>
        <v>54578</v>
      </c>
      <c r="BK71" s="47">
        <f t="shared" si="0"/>
        <v>54578</v>
      </c>
    </row>
    <row r="72" spans="2:63" s="15" customFormat="1" ht="24" customHeight="1" x14ac:dyDescent="0.2">
      <c r="B72" s="41">
        <v>57</v>
      </c>
      <c r="C72" s="41" t="s">
        <v>40</v>
      </c>
      <c r="D72" s="42">
        <v>40008947</v>
      </c>
      <c r="E72" s="215" t="s">
        <v>110</v>
      </c>
      <c r="F72" s="44" t="s">
        <v>45</v>
      </c>
      <c r="G72" s="21" t="s">
        <v>48</v>
      </c>
      <c r="H72" s="214" t="s">
        <v>44</v>
      </c>
      <c r="I72" s="45" t="s">
        <v>43</v>
      </c>
      <c r="J72" s="18">
        <v>950743</v>
      </c>
      <c r="K72" s="18">
        <v>0</v>
      </c>
      <c r="L72" s="18">
        <v>516269</v>
      </c>
      <c r="M72" s="18">
        <v>0</v>
      </c>
      <c r="N72" s="18">
        <v>0</v>
      </c>
      <c r="O72" s="18">
        <v>0</v>
      </c>
      <c r="P72" s="18">
        <v>0</v>
      </c>
      <c r="Q72" s="18">
        <v>0</v>
      </c>
      <c r="R72" s="18">
        <v>0</v>
      </c>
      <c r="S72" s="18">
        <v>0</v>
      </c>
      <c r="T72" s="18">
        <v>0</v>
      </c>
      <c r="U72" s="18">
        <v>0</v>
      </c>
      <c r="V72" s="18">
        <v>0</v>
      </c>
      <c r="W72" s="18">
        <v>0</v>
      </c>
      <c r="X72" s="18">
        <v>0</v>
      </c>
      <c r="Y72" s="26">
        <f t="shared" si="1"/>
        <v>0</v>
      </c>
      <c r="Z72" s="26">
        <v>75000</v>
      </c>
      <c r="AA72" s="19">
        <v>19</v>
      </c>
      <c r="AB72" s="23">
        <v>44274</v>
      </c>
      <c r="AC72" s="23">
        <v>44298</v>
      </c>
      <c r="AD72" s="26"/>
      <c r="AE72" s="20"/>
      <c r="AF72" s="21"/>
      <c r="AG72" s="23"/>
      <c r="AH72" s="26"/>
      <c r="AI72" s="19"/>
      <c r="AJ72" s="21"/>
      <c r="AK72" s="25"/>
      <c r="AL72" s="26"/>
      <c r="AM72" s="19"/>
      <c r="AN72" s="21"/>
      <c r="AO72" s="25"/>
      <c r="AP72" s="26"/>
      <c r="AQ72" s="19"/>
      <c r="AR72" s="21"/>
      <c r="AS72" s="25"/>
      <c r="AT72" s="25"/>
      <c r="AU72" s="25"/>
      <c r="AV72" s="25"/>
      <c r="AW72" s="25"/>
      <c r="AX72" s="25"/>
      <c r="AY72" s="25"/>
      <c r="AZ72" s="25"/>
      <c r="BA72" s="25"/>
      <c r="BB72" s="25"/>
      <c r="BC72" s="25"/>
      <c r="BD72" s="25"/>
      <c r="BE72" s="25"/>
      <c r="BF72" s="25"/>
      <c r="BG72" s="25"/>
      <c r="BH72" s="25"/>
      <c r="BI72" s="25"/>
      <c r="BJ72" s="22">
        <f t="shared" si="2"/>
        <v>75000</v>
      </c>
      <c r="BK72" s="47">
        <f t="shared" si="0"/>
        <v>75000</v>
      </c>
    </row>
    <row r="73" spans="2:63" s="15" customFormat="1" ht="24" customHeight="1" x14ac:dyDescent="0.2">
      <c r="B73" s="41">
        <v>58</v>
      </c>
      <c r="C73" s="41" t="s">
        <v>40</v>
      </c>
      <c r="D73" s="42">
        <v>40016221</v>
      </c>
      <c r="E73" s="215" t="s">
        <v>111</v>
      </c>
      <c r="F73" s="44" t="s">
        <v>45</v>
      </c>
      <c r="G73" s="21" t="s">
        <v>48</v>
      </c>
      <c r="H73" s="214" t="s">
        <v>55</v>
      </c>
      <c r="I73" s="45" t="s">
        <v>43</v>
      </c>
      <c r="J73" s="18">
        <v>624395</v>
      </c>
      <c r="K73" s="18">
        <v>0</v>
      </c>
      <c r="L73" s="18">
        <v>414900</v>
      </c>
      <c r="M73" s="18">
        <v>0</v>
      </c>
      <c r="N73" s="18">
        <v>0</v>
      </c>
      <c r="O73" s="18">
        <v>0</v>
      </c>
      <c r="P73" s="18">
        <v>0</v>
      </c>
      <c r="Q73" s="18">
        <v>0</v>
      </c>
      <c r="R73" s="18">
        <v>0</v>
      </c>
      <c r="S73" s="18">
        <v>0</v>
      </c>
      <c r="T73" s="18">
        <v>0</v>
      </c>
      <c r="U73" s="18">
        <v>0</v>
      </c>
      <c r="V73" s="18">
        <v>0</v>
      </c>
      <c r="W73" s="18">
        <v>0</v>
      </c>
      <c r="X73" s="18">
        <v>0</v>
      </c>
      <c r="Y73" s="26">
        <f t="shared" si="1"/>
        <v>0</v>
      </c>
      <c r="Z73" s="26">
        <v>100707</v>
      </c>
      <c r="AA73" s="19">
        <v>19</v>
      </c>
      <c r="AB73" s="23">
        <v>44274</v>
      </c>
      <c r="AC73" s="23">
        <v>44298</v>
      </c>
      <c r="AD73" s="26"/>
      <c r="AE73" s="20"/>
      <c r="AF73" s="21"/>
      <c r="AG73" s="23"/>
      <c r="AH73" s="26"/>
      <c r="AI73" s="19"/>
      <c r="AJ73" s="21"/>
      <c r="AK73" s="25"/>
      <c r="AL73" s="26"/>
      <c r="AM73" s="19"/>
      <c r="AN73" s="21"/>
      <c r="AO73" s="25"/>
      <c r="AP73" s="26"/>
      <c r="AQ73" s="19"/>
      <c r="AR73" s="21"/>
      <c r="AS73" s="25"/>
      <c r="AT73" s="25"/>
      <c r="AU73" s="25"/>
      <c r="AV73" s="25"/>
      <c r="AW73" s="25"/>
      <c r="AX73" s="25"/>
      <c r="AY73" s="25"/>
      <c r="AZ73" s="25"/>
      <c r="BA73" s="25"/>
      <c r="BB73" s="25"/>
      <c r="BC73" s="25"/>
      <c r="BD73" s="25"/>
      <c r="BE73" s="25"/>
      <c r="BF73" s="25"/>
      <c r="BG73" s="25"/>
      <c r="BH73" s="25"/>
      <c r="BI73" s="25"/>
      <c r="BJ73" s="22">
        <f t="shared" si="2"/>
        <v>100707</v>
      </c>
      <c r="BK73" s="47">
        <f t="shared" si="0"/>
        <v>100707</v>
      </c>
    </row>
    <row r="74" spans="2:63" s="15" customFormat="1" ht="24" customHeight="1" x14ac:dyDescent="0.2">
      <c r="B74" s="41">
        <v>59</v>
      </c>
      <c r="C74" s="41" t="s">
        <v>38</v>
      </c>
      <c r="D74" s="42">
        <v>40005835</v>
      </c>
      <c r="E74" s="215" t="s">
        <v>113</v>
      </c>
      <c r="F74" s="44" t="s">
        <v>45</v>
      </c>
      <c r="G74" s="21" t="s">
        <v>48</v>
      </c>
      <c r="H74" s="432" t="s">
        <v>98</v>
      </c>
      <c r="I74" s="45" t="s">
        <v>43</v>
      </c>
      <c r="J74" s="18">
        <v>604857</v>
      </c>
      <c r="K74" s="18">
        <v>0</v>
      </c>
      <c r="L74" s="18">
        <v>0</v>
      </c>
      <c r="M74" s="18">
        <v>0</v>
      </c>
      <c r="N74" s="18">
        <v>0</v>
      </c>
      <c r="O74" s="18">
        <v>0</v>
      </c>
      <c r="P74" s="18">
        <v>0</v>
      </c>
      <c r="Q74" s="18">
        <v>0</v>
      </c>
      <c r="R74" s="18">
        <v>0</v>
      </c>
      <c r="S74" s="18">
        <v>0</v>
      </c>
      <c r="T74" s="18">
        <v>0</v>
      </c>
      <c r="U74" s="18">
        <v>0</v>
      </c>
      <c r="V74" s="18">
        <v>0</v>
      </c>
      <c r="W74" s="18">
        <v>0</v>
      </c>
      <c r="X74" s="18">
        <v>0</v>
      </c>
      <c r="Y74" s="26">
        <f t="shared" si="1"/>
        <v>0</v>
      </c>
      <c r="Z74" s="26">
        <v>1</v>
      </c>
      <c r="AA74" s="19">
        <v>19</v>
      </c>
      <c r="AB74" s="23">
        <v>44274</v>
      </c>
      <c r="AC74" s="23">
        <v>44298</v>
      </c>
      <c r="AD74" s="26"/>
      <c r="AE74" s="20"/>
      <c r="AF74" s="21"/>
      <c r="AG74" s="23"/>
      <c r="AH74" s="26"/>
      <c r="AI74" s="19"/>
      <c r="AJ74" s="21"/>
      <c r="AK74" s="25"/>
      <c r="AL74" s="26"/>
      <c r="AM74" s="19"/>
      <c r="AN74" s="21"/>
      <c r="AO74" s="25"/>
      <c r="AP74" s="26"/>
      <c r="AQ74" s="19"/>
      <c r="AR74" s="21"/>
      <c r="AS74" s="25"/>
      <c r="AT74" s="25"/>
      <c r="AU74" s="25"/>
      <c r="AV74" s="25"/>
      <c r="AW74" s="25"/>
      <c r="AX74" s="25"/>
      <c r="AY74" s="25"/>
      <c r="AZ74" s="25"/>
      <c r="BA74" s="25"/>
      <c r="BB74" s="25"/>
      <c r="BC74" s="25"/>
      <c r="BD74" s="25"/>
      <c r="BE74" s="25"/>
      <c r="BF74" s="25"/>
      <c r="BG74" s="25"/>
      <c r="BH74" s="25"/>
      <c r="BI74" s="25"/>
      <c r="BJ74" s="22">
        <f t="shared" si="2"/>
        <v>1</v>
      </c>
      <c r="BK74" s="47">
        <f t="shared" si="0"/>
        <v>1</v>
      </c>
    </row>
    <row r="75" spans="2:63" s="15" customFormat="1" ht="24" customHeight="1" x14ac:dyDescent="0.2">
      <c r="B75" s="41">
        <v>60</v>
      </c>
      <c r="C75" s="41" t="s">
        <v>38</v>
      </c>
      <c r="D75" s="42">
        <v>40006519</v>
      </c>
      <c r="E75" s="215" t="s">
        <v>114</v>
      </c>
      <c r="F75" s="44" t="s">
        <v>45</v>
      </c>
      <c r="G75" s="21" t="s">
        <v>48</v>
      </c>
      <c r="H75" s="17" t="s">
        <v>84</v>
      </c>
      <c r="I75" s="45" t="s">
        <v>43</v>
      </c>
      <c r="J75" s="18">
        <v>140818</v>
      </c>
      <c r="K75" s="18">
        <v>0</v>
      </c>
      <c r="L75" s="18">
        <v>0</v>
      </c>
      <c r="M75" s="18">
        <v>0</v>
      </c>
      <c r="N75" s="18">
        <v>0</v>
      </c>
      <c r="O75" s="18">
        <v>0</v>
      </c>
      <c r="P75" s="18">
        <v>0</v>
      </c>
      <c r="Q75" s="18">
        <v>0</v>
      </c>
      <c r="R75" s="18">
        <v>0</v>
      </c>
      <c r="S75" s="18">
        <v>0</v>
      </c>
      <c r="T75" s="18">
        <v>0</v>
      </c>
      <c r="U75" s="18">
        <v>0</v>
      </c>
      <c r="V75" s="18">
        <v>0</v>
      </c>
      <c r="W75" s="18">
        <v>0</v>
      </c>
      <c r="X75" s="18">
        <v>0</v>
      </c>
      <c r="Y75" s="26">
        <f t="shared" si="1"/>
        <v>0</v>
      </c>
      <c r="Z75" s="26">
        <v>89798</v>
      </c>
      <c r="AA75" s="19">
        <v>24</v>
      </c>
      <c r="AB75" s="23">
        <v>44298</v>
      </c>
      <c r="AC75" s="23">
        <v>44312</v>
      </c>
      <c r="AD75" s="26"/>
      <c r="AE75" s="20"/>
      <c r="AF75" s="21"/>
      <c r="AG75" s="23"/>
      <c r="AH75" s="26"/>
      <c r="AI75" s="19"/>
      <c r="AJ75" s="21"/>
      <c r="AK75" s="25"/>
      <c r="AL75" s="26"/>
      <c r="AM75" s="19"/>
      <c r="AN75" s="21"/>
      <c r="AO75" s="25"/>
      <c r="AP75" s="26"/>
      <c r="AQ75" s="19"/>
      <c r="AR75" s="21"/>
      <c r="AS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2">
        <f t="shared" si="2"/>
        <v>89798</v>
      </c>
      <c r="BK75" s="47">
        <f t="shared" si="0"/>
        <v>89798</v>
      </c>
    </row>
    <row r="76" spans="2:63" s="15" customFormat="1" ht="24" customHeight="1" x14ac:dyDescent="0.25">
      <c r="B76" s="41">
        <v>61</v>
      </c>
      <c r="C76" s="41" t="s">
        <v>38</v>
      </c>
      <c r="D76" s="42">
        <v>40011923</v>
      </c>
      <c r="E76" s="43" t="s">
        <v>115</v>
      </c>
      <c r="F76" s="44" t="s">
        <v>45</v>
      </c>
      <c r="G76" s="21" t="s">
        <v>48</v>
      </c>
      <c r="H76" s="17" t="s">
        <v>70</v>
      </c>
      <c r="I76" s="45" t="s">
        <v>43</v>
      </c>
      <c r="J76" s="18">
        <v>408039</v>
      </c>
      <c r="K76" s="18">
        <v>0</v>
      </c>
      <c r="L76" s="18">
        <v>3461</v>
      </c>
      <c r="M76" s="18">
        <v>0</v>
      </c>
      <c r="N76" s="18">
        <v>0</v>
      </c>
      <c r="O76" s="18">
        <v>0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8">
        <v>0</v>
      </c>
      <c r="X76" s="18">
        <v>0</v>
      </c>
      <c r="Y76" s="26">
        <f t="shared" si="1"/>
        <v>0</v>
      </c>
      <c r="Z76" s="26">
        <v>7001</v>
      </c>
      <c r="AA76" s="19">
        <v>30</v>
      </c>
      <c r="AB76" s="23">
        <v>44320</v>
      </c>
      <c r="AC76" s="23">
        <v>44334</v>
      </c>
      <c r="AD76" s="26"/>
      <c r="AE76" s="20"/>
      <c r="AF76" s="21"/>
      <c r="AG76" s="23"/>
      <c r="AH76" s="26"/>
      <c r="AI76" s="19"/>
      <c r="AJ76" s="21"/>
      <c r="AK76" s="25"/>
      <c r="AL76" s="26"/>
      <c r="AM76" s="19"/>
      <c r="AN76" s="21"/>
      <c r="AO76" s="25"/>
      <c r="AP76" s="26"/>
      <c r="AQ76" s="19"/>
      <c r="AR76" s="21"/>
      <c r="AS76" s="25"/>
      <c r="AT76" s="25"/>
      <c r="AU76" s="25"/>
      <c r="AV76" s="25"/>
      <c r="AW76" s="25"/>
      <c r="AX76" s="25"/>
      <c r="AY76" s="25"/>
      <c r="AZ76" s="25"/>
      <c r="BA76" s="25"/>
      <c r="BB76" s="25"/>
      <c r="BC76" s="25"/>
      <c r="BD76" s="25"/>
      <c r="BE76" s="25"/>
      <c r="BF76" s="25"/>
      <c r="BG76" s="25"/>
      <c r="BH76" s="25"/>
      <c r="BI76" s="25"/>
      <c r="BJ76" s="22">
        <f t="shared" si="2"/>
        <v>7001</v>
      </c>
      <c r="BK76" s="47">
        <f t="shared" si="0"/>
        <v>7001</v>
      </c>
    </row>
    <row r="77" spans="2:63" s="15" customFormat="1" ht="24" customHeight="1" x14ac:dyDescent="0.25">
      <c r="B77" s="41">
        <v>62</v>
      </c>
      <c r="C77" s="41" t="s">
        <v>38</v>
      </c>
      <c r="D77" s="42">
        <v>40012335</v>
      </c>
      <c r="E77" s="43" t="s">
        <v>116</v>
      </c>
      <c r="F77" s="44" t="s">
        <v>45</v>
      </c>
      <c r="G77" s="21" t="s">
        <v>48</v>
      </c>
      <c r="H77" s="17" t="s">
        <v>49</v>
      </c>
      <c r="I77" s="45" t="s">
        <v>43</v>
      </c>
      <c r="J77" s="18">
        <v>283021</v>
      </c>
      <c r="K77" s="18">
        <v>0</v>
      </c>
      <c r="L77" s="18">
        <v>166666</v>
      </c>
      <c r="M77" s="18">
        <v>0</v>
      </c>
      <c r="N77" s="18">
        <v>0</v>
      </c>
      <c r="O77" s="18">
        <v>0</v>
      </c>
      <c r="P77" s="18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  <c r="W77" s="18">
        <v>0</v>
      </c>
      <c r="X77" s="18">
        <v>0</v>
      </c>
      <c r="Y77" s="26">
        <f t="shared" si="1"/>
        <v>0</v>
      </c>
      <c r="Z77" s="26">
        <v>10701</v>
      </c>
      <c r="AA77" s="19">
        <v>30</v>
      </c>
      <c r="AB77" s="23">
        <v>44320</v>
      </c>
      <c r="AC77" s="23">
        <v>44334</v>
      </c>
      <c r="AD77" s="26"/>
      <c r="AE77" s="20"/>
      <c r="AF77" s="21"/>
      <c r="AG77" s="23"/>
      <c r="AH77" s="26"/>
      <c r="AI77" s="19"/>
      <c r="AJ77" s="21"/>
      <c r="AK77" s="25"/>
      <c r="AL77" s="26"/>
      <c r="AM77" s="19"/>
      <c r="AN77" s="21"/>
      <c r="AO77" s="25"/>
      <c r="AP77" s="26"/>
      <c r="AQ77" s="19"/>
      <c r="AR77" s="21"/>
      <c r="AS77" s="25"/>
      <c r="AT77" s="25"/>
      <c r="AU77" s="25"/>
      <c r="AV77" s="25"/>
      <c r="AW77" s="25"/>
      <c r="AX77" s="25"/>
      <c r="AY77" s="25"/>
      <c r="AZ77" s="25"/>
      <c r="BA77" s="25"/>
      <c r="BB77" s="25"/>
      <c r="BC77" s="25"/>
      <c r="BD77" s="25"/>
      <c r="BE77" s="25"/>
      <c r="BF77" s="25"/>
      <c r="BG77" s="25"/>
      <c r="BH77" s="25"/>
      <c r="BI77" s="25"/>
      <c r="BJ77" s="22">
        <f t="shared" si="2"/>
        <v>10701</v>
      </c>
      <c r="BK77" s="47">
        <f t="shared" si="0"/>
        <v>10701</v>
      </c>
    </row>
    <row r="78" spans="2:63" s="15" customFormat="1" ht="24" customHeight="1" x14ac:dyDescent="0.2">
      <c r="B78" s="41">
        <v>63</v>
      </c>
      <c r="C78" s="41" t="s">
        <v>38</v>
      </c>
      <c r="D78" s="42">
        <v>40025662</v>
      </c>
      <c r="E78" s="215" t="s">
        <v>117</v>
      </c>
      <c r="F78" s="44" t="s">
        <v>45</v>
      </c>
      <c r="G78" s="21" t="s">
        <v>48</v>
      </c>
      <c r="H78" s="17" t="s">
        <v>44</v>
      </c>
      <c r="I78" s="45" t="s">
        <v>43</v>
      </c>
      <c r="J78" s="18">
        <v>1218500</v>
      </c>
      <c r="K78" s="18">
        <v>0</v>
      </c>
      <c r="L78" s="18">
        <v>389500</v>
      </c>
      <c r="M78" s="18">
        <v>0</v>
      </c>
      <c r="N78" s="18">
        <v>0</v>
      </c>
      <c r="O78" s="18">
        <v>0</v>
      </c>
      <c r="P78" s="18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8">
        <v>0</v>
      </c>
      <c r="X78" s="18">
        <v>0</v>
      </c>
      <c r="Y78" s="26">
        <f t="shared" si="1"/>
        <v>0</v>
      </c>
      <c r="Z78" s="26">
        <v>17001</v>
      </c>
      <c r="AA78" s="19">
        <v>29</v>
      </c>
      <c r="AB78" s="23">
        <v>44316</v>
      </c>
      <c r="AC78" s="23">
        <v>44334</v>
      </c>
      <c r="AD78" s="26">
        <v>-2000</v>
      </c>
      <c r="AE78" s="19">
        <v>37</v>
      </c>
      <c r="AF78" s="23">
        <v>44344</v>
      </c>
      <c r="AG78" s="23">
        <v>44354</v>
      </c>
      <c r="AH78" s="26"/>
      <c r="AI78" s="19"/>
      <c r="AJ78" s="21"/>
      <c r="AK78" s="25"/>
      <c r="AL78" s="26"/>
      <c r="AM78" s="19"/>
      <c r="AN78" s="21"/>
      <c r="AO78" s="25"/>
      <c r="AP78" s="26"/>
      <c r="AQ78" s="19"/>
      <c r="AR78" s="21"/>
      <c r="AS78" s="25"/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2">
        <f t="shared" si="2"/>
        <v>15001</v>
      </c>
      <c r="BK78" s="47">
        <f t="shared" si="0"/>
        <v>15001</v>
      </c>
    </row>
    <row r="79" spans="2:63" s="15" customFormat="1" ht="24" customHeight="1" x14ac:dyDescent="0.2">
      <c r="B79" s="41">
        <v>64</v>
      </c>
      <c r="C79" s="41" t="s">
        <v>40</v>
      </c>
      <c r="D79" s="433">
        <v>40029431</v>
      </c>
      <c r="E79" s="434" t="s">
        <v>118</v>
      </c>
      <c r="F79" s="44" t="s">
        <v>45</v>
      </c>
      <c r="G79" s="21" t="s">
        <v>48</v>
      </c>
      <c r="H79" s="17" t="s">
        <v>44</v>
      </c>
      <c r="I79" s="45" t="s">
        <v>43</v>
      </c>
      <c r="J79" s="18">
        <v>447787</v>
      </c>
      <c r="K79" s="18">
        <v>0</v>
      </c>
      <c r="L79" s="18">
        <v>37287</v>
      </c>
      <c r="M79" s="18">
        <v>0</v>
      </c>
      <c r="N79" s="18">
        <v>0</v>
      </c>
      <c r="O79" s="18">
        <v>0</v>
      </c>
      <c r="P79" s="18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8">
        <v>0</v>
      </c>
      <c r="X79" s="18">
        <v>0</v>
      </c>
      <c r="Y79" s="26">
        <f t="shared" si="1"/>
        <v>0</v>
      </c>
      <c r="Z79" s="26">
        <v>9095</v>
      </c>
      <c r="AA79" s="19">
        <v>38</v>
      </c>
      <c r="AB79" s="23">
        <v>44355</v>
      </c>
      <c r="AC79" s="23">
        <v>44363</v>
      </c>
      <c r="AD79" s="26"/>
      <c r="AE79" s="20"/>
      <c r="AF79" s="21"/>
      <c r="AG79" s="23"/>
      <c r="AH79" s="26"/>
      <c r="AI79" s="19"/>
      <c r="AJ79" s="21"/>
      <c r="AK79" s="25"/>
      <c r="AL79" s="26"/>
      <c r="AM79" s="19"/>
      <c r="AN79" s="21"/>
      <c r="AO79" s="25"/>
      <c r="AP79" s="26"/>
      <c r="AQ79" s="19"/>
      <c r="AR79" s="21"/>
      <c r="AS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2">
        <f t="shared" si="2"/>
        <v>9095</v>
      </c>
      <c r="BK79" s="47">
        <f t="shared" si="0"/>
        <v>9095</v>
      </c>
    </row>
    <row r="80" spans="2:63" s="15" customFormat="1" ht="24" customHeight="1" x14ac:dyDescent="0.25">
      <c r="B80" s="41">
        <v>65</v>
      </c>
      <c r="C80" s="41" t="s">
        <v>38</v>
      </c>
      <c r="D80" s="42">
        <v>40010566</v>
      </c>
      <c r="E80" s="43" t="s">
        <v>119</v>
      </c>
      <c r="F80" s="44" t="s">
        <v>46</v>
      </c>
      <c r="G80" s="21" t="s">
        <v>48</v>
      </c>
      <c r="H80" s="17" t="s">
        <v>44</v>
      </c>
      <c r="I80" s="45" t="s">
        <v>43</v>
      </c>
      <c r="J80" s="18">
        <v>206543</v>
      </c>
      <c r="K80" s="18">
        <v>0</v>
      </c>
      <c r="L80" s="18">
        <v>0</v>
      </c>
      <c r="M80" s="18">
        <v>0</v>
      </c>
      <c r="N80" s="18">
        <v>0</v>
      </c>
      <c r="O80" s="18">
        <v>0</v>
      </c>
      <c r="P80" s="18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8">
        <v>0</v>
      </c>
      <c r="X80" s="18">
        <v>0</v>
      </c>
      <c r="Y80" s="26">
        <f t="shared" si="1"/>
        <v>0</v>
      </c>
      <c r="Z80" s="26">
        <v>12044</v>
      </c>
      <c r="AA80" s="19">
        <v>38</v>
      </c>
      <c r="AB80" s="23">
        <v>44355</v>
      </c>
      <c r="AC80" s="23">
        <v>44363</v>
      </c>
      <c r="AD80" s="26"/>
      <c r="AE80" s="20"/>
      <c r="AF80" s="21"/>
      <c r="AG80" s="23"/>
      <c r="AH80" s="26"/>
      <c r="AI80" s="19"/>
      <c r="AJ80" s="21"/>
      <c r="AK80" s="25"/>
      <c r="AL80" s="26"/>
      <c r="AM80" s="19"/>
      <c r="AN80" s="21"/>
      <c r="AO80" s="25"/>
      <c r="AP80" s="26"/>
      <c r="AQ80" s="19"/>
      <c r="AR80" s="21"/>
      <c r="AS80" s="25"/>
      <c r="AT80" s="25"/>
      <c r="AU80" s="25"/>
      <c r="AV80" s="25"/>
      <c r="AW80" s="25"/>
      <c r="AX80" s="25"/>
      <c r="AY80" s="25"/>
      <c r="AZ80" s="25"/>
      <c r="BA80" s="25"/>
      <c r="BB80" s="25"/>
      <c r="BC80" s="25"/>
      <c r="BD80" s="25"/>
      <c r="BE80" s="25"/>
      <c r="BF80" s="25"/>
      <c r="BG80" s="25"/>
      <c r="BH80" s="25"/>
      <c r="BI80" s="25"/>
      <c r="BJ80" s="22">
        <f t="shared" si="2"/>
        <v>12044</v>
      </c>
      <c r="BK80" s="47">
        <f t="shared" si="0"/>
        <v>12044</v>
      </c>
    </row>
    <row r="81" spans="2:63" s="15" customFormat="1" ht="24" customHeight="1" x14ac:dyDescent="0.25">
      <c r="B81" s="41">
        <v>66</v>
      </c>
      <c r="C81" s="41" t="s">
        <v>38</v>
      </c>
      <c r="D81" s="42">
        <v>40018220</v>
      </c>
      <c r="E81" s="43" t="s">
        <v>120</v>
      </c>
      <c r="F81" s="44" t="s">
        <v>46</v>
      </c>
      <c r="G81" s="21" t="s">
        <v>48</v>
      </c>
      <c r="H81" s="17" t="s">
        <v>44</v>
      </c>
      <c r="I81" s="45" t="s">
        <v>43</v>
      </c>
      <c r="J81" s="18">
        <v>144272</v>
      </c>
      <c r="K81" s="18">
        <v>0</v>
      </c>
      <c r="L81" s="18">
        <v>0</v>
      </c>
      <c r="M81" s="18">
        <v>0</v>
      </c>
      <c r="N81" s="18">
        <v>0</v>
      </c>
      <c r="O81" s="18">
        <v>0</v>
      </c>
      <c r="P81" s="18">
        <v>0</v>
      </c>
      <c r="Q81" s="18">
        <v>0</v>
      </c>
      <c r="R81" s="18">
        <v>0</v>
      </c>
      <c r="S81" s="18">
        <v>0</v>
      </c>
      <c r="T81" s="18">
        <v>0</v>
      </c>
      <c r="U81" s="18">
        <v>0</v>
      </c>
      <c r="V81" s="18">
        <v>0</v>
      </c>
      <c r="W81" s="18">
        <v>0</v>
      </c>
      <c r="X81" s="18">
        <v>0</v>
      </c>
      <c r="Y81" s="26">
        <f t="shared" ref="Y81:Y84" si="3">SUM(M81:X81)</f>
        <v>0</v>
      </c>
      <c r="Z81" s="26">
        <v>17044</v>
      </c>
      <c r="AA81" s="19">
        <v>40</v>
      </c>
      <c r="AB81" s="23">
        <v>44358</v>
      </c>
      <c r="AC81" s="23">
        <v>44371</v>
      </c>
      <c r="AD81" s="26"/>
      <c r="AE81" s="20"/>
      <c r="AF81" s="21"/>
      <c r="AG81" s="23"/>
      <c r="AH81" s="26"/>
      <c r="AI81" s="19"/>
      <c r="AJ81" s="21"/>
      <c r="AK81" s="25"/>
      <c r="AL81" s="26"/>
      <c r="AM81" s="19"/>
      <c r="AN81" s="21"/>
      <c r="AO81" s="25"/>
      <c r="AP81" s="26"/>
      <c r="AQ81" s="19"/>
      <c r="AR81" s="21"/>
      <c r="AS81" s="25"/>
      <c r="AT81" s="25"/>
      <c r="AU81" s="25"/>
      <c r="AV81" s="25"/>
      <c r="AW81" s="25"/>
      <c r="AX81" s="25"/>
      <c r="AY81" s="25"/>
      <c r="AZ81" s="25"/>
      <c r="BA81" s="25"/>
      <c r="BB81" s="25"/>
      <c r="BC81" s="25"/>
      <c r="BD81" s="25"/>
      <c r="BE81" s="25"/>
      <c r="BF81" s="25"/>
      <c r="BG81" s="25"/>
      <c r="BH81" s="25"/>
      <c r="BI81" s="25"/>
      <c r="BJ81" s="22">
        <f t="shared" ref="BJ81:BJ82" si="4">+Z81+AD81+AH81+AL81+AP81+AT81+AX81+BB81+BF81</f>
        <v>17044</v>
      </c>
      <c r="BK81" s="47">
        <f t="shared" ref="BK81:BK85" si="5">+BJ81-Y81</f>
        <v>17044</v>
      </c>
    </row>
    <row r="82" spans="2:63" s="15" customFormat="1" ht="24" customHeight="1" x14ac:dyDescent="0.25">
      <c r="B82" s="41">
        <v>67</v>
      </c>
      <c r="C82" s="41" t="s">
        <v>38</v>
      </c>
      <c r="D82" s="42">
        <v>30427226</v>
      </c>
      <c r="E82" s="43" t="s">
        <v>121</v>
      </c>
      <c r="F82" s="44" t="s">
        <v>45</v>
      </c>
      <c r="G82" s="21" t="s">
        <v>48</v>
      </c>
      <c r="H82" s="17" t="s">
        <v>44</v>
      </c>
      <c r="I82" s="45" t="s">
        <v>43</v>
      </c>
      <c r="J82" s="18">
        <v>1126797</v>
      </c>
      <c r="K82" s="18">
        <v>0</v>
      </c>
      <c r="L82" s="18">
        <v>0</v>
      </c>
      <c r="M82" s="18">
        <v>0</v>
      </c>
      <c r="N82" s="18">
        <v>0</v>
      </c>
      <c r="O82" s="18">
        <v>0</v>
      </c>
      <c r="P82" s="18">
        <v>0</v>
      </c>
      <c r="Q82" s="18">
        <v>0</v>
      </c>
      <c r="R82" s="18">
        <v>0</v>
      </c>
      <c r="S82" s="18">
        <v>0</v>
      </c>
      <c r="T82" s="18">
        <v>0</v>
      </c>
      <c r="U82" s="18">
        <v>0</v>
      </c>
      <c r="V82" s="18">
        <v>0</v>
      </c>
      <c r="W82" s="18">
        <v>0</v>
      </c>
      <c r="X82" s="18">
        <v>0</v>
      </c>
      <c r="Y82" s="26">
        <f t="shared" si="3"/>
        <v>0</v>
      </c>
      <c r="Z82" s="26">
        <v>2321</v>
      </c>
      <c r="AA82" s="19">
        <v>40</v>
      </c>
      <c r="AB82" s="23">
        <v>44358</v>
      </c>
      <c r="AC82" s="23">
        <v>44371</v>
      </c>
      <c r="AD82" s="26"/>
      <c r="AE82" s="20"/>
      <c r="AF82" s="21"/>
      <c r="AG82" s="23"/>
      <c r="AH82" s="26"/>
      <c r="AI82" s="19"/>
      <c r="AJ82" s="21"/>
      <c r="AK82" s="25"/>
      <c r="AL82" s="26"/>
      <c r="AM82" s="19"/>
      <c r="AN82" s="21"/>
      <c r="AO82" s="25"/>
      <c r="AP82" s="26"/>
      <c r="AQ82" s="19"/>
      <c r="AR82" s="21"/>
      <c r="AS82" s="25"/>
      <c r="AT82" s="25"/>
      <c r="AU82" s="25"/>
      <c r="AV82" s="25"/>
      <c r="AW82" s="25"/>
      <c r="AX82" s="25"/>
      <c r="AY82" s="25"/>
      <c r="AZ82" s="25"/>
      <c r="BA82" s="25"/>
      <c r="BB82" s="25"/>
      <c r="BC82" s="25"/>
      <c r="BD82" s="25"/>
      <c r="BE82" s="25"/>
      <c r="BF82" s="25"/>
      <c r="BG82" s="25"/>
      <c r="BH82" s="25"/>
      <c r="BI82" s="25"/>
      <c r="BJ82" s="22">
        <f t="shared" si="4"/>
        <v>2321</v>
      </c>
      <c r="BK82" s="47">
        <f t="shared" si="5"/>
        <v>2321</v>
      </c>
    </row>
    <row r="83" spans="2:63" s="15" customFormat="1" ht="24" customHeight="1" x14ac:dyDescent="0.25">
      <c r="B83" s="41">
        <v>68</v>
      </c>
      <c r="C83" s="41"/>
      <c r="D83" s="16"/>
      <c r="E83" s="49"/>
      <c r="F83" s="50"/>
      <c r="G83" s="17"/>
      <c r="H83" s="17"/>
      <c r="I83" s="49"/>
      <c r="J83" s="18"/>
      <c r="K83" s="18">
        <v>0</v>
      </c>
      <c r="L83" s="18">
        <v>0</v>
      </c>
      <c r="M83" s="18">
        <v>0</v>
      </c>
      <c r="N83" s="18">
        <v>0</v>
      </c>
      <c r="O83" s="18">
        <v>0</v>
      </c>
      <c r="P83" s="18">
        <v>0</v>
      </c>
      <c r="Q83" s="18">
        <v>0</v>
      </c>
      <c r="R83" s="18">
        <v>0</v>
      </c>
      <c r="S83" s="18">
        <v>0</v>
      </c>
      <c r="T83" s="18">
        <v>0</v>
      </c>
      <c r="U83" s="18">
        <v>0</v>
      </c>
      <c r="V83" s="18">
        <v>0</v>
      </c>
      <c r="W83" s="18">
        <v>0</v>
      </c>
      <c r="X83" s="18">
        <v>0</v>
      </c>
      <c r="Y83" s="26">
        <f t="shared" si="3"/>
        <v>0</v>
      </c>
      <c r="Z83" s="26"/>
      <c r="AA83" s="19"/>
      <c r="AB83" s="21"/>
      <c r="AC83" s="23"/>
      <c r="AD83" s="26"/>
      <c r="AE83" s="20"/>
      <c r="AF83" s="21"/>
      <c r="AG83" s="23"/>
      <c r="AH83" s="26"/>
      <c r="AI83" s="19"/>
      <c r="AJ83" s="21"/>
      <c r="AK83" s="25"/>
      <c r="AL83" s="26"/>
      <c r="AM83" s="19"/>
      <c r="AN83" s="21"/>
      <c r="AO83" s="25"/>
      <c r="AP83" s="26"/>
      <c r="AQ83" s="19"/>
      <c r="AR83" s="21"/>
      <c r="AS83" s="25"/>
      <c r="AT83" s="25"/>
      <c r="AU83" s="25"/>
      <c r="AV83" s="25"/>
      <c r="AW83" s="25"/>
      <c r="AX83" s="25"/>
      <c r="AY83" s="25"/>
      <c r="AZ83" s="25"/>
      <c r="BA83" s="25"/>
      <c r="BB83" s="25"/>
      <c r="BC83" s="25"/>
      <c r="BD83" s="25"/>
      <c r="BE83" s="25"/>
      <c r="BF83" s="25"/>
      <c r="BG83" s="25"/>
      <c r="BH83" s="25"/>
      <c r="BI83" s="25"/>
      <c r="BJ83" s="22">
        <f t="shared" ref="BJ83:BJ85" si="6">+Z83+AD83+AH83+AL83+AP83+AT83+AX83</f>
        <v>0</v>
      </c>
      <c r="BK83" s="47">
        <f t="shared" si="5"/>
        <v>0</v>
      </c>
    </row>
    <row r="84" spans="2:63" s="15" customFormat="1" ht="24" customHeight="1" x14ac:dyDescent="0.25">
      <c r="B84" s="41">
        <v>69</v>
      </c>
      <c r="C84" s="41"/>
      <c r="D84" s="16"/>
      <c r="E84" s="49"/>
      <c r="F84" s="50"/>
      <c r="G84" s="17"/>
      <c r="H84" s="17"/>
      <c r="I84" s="49"/>
      <c r="J84" s="18"/>
      <c r="K84" s="18">
        <v>0</v>
      </c>
      <c r="L84" s="18">
        <v>0</v>
      </c>
      <c r="M84" s="18">
        <v>0</v>
      </c>
      <c r="N84" s="18">
        <v>0</v>
      </c>
      <c r="O84" s="18">
        <v>0</v>
      </c>
      <c r="P84" s="18">
        <v>0</v>
      </c>
      <c r="Q84" s="18">
        <v>0</v>
      </c>
      <c r="R84" s="18">
        <v>0</v>
      </c>
      <c r="S84" s="18">
        <v>0</v>
      </c>
      <c r="T84" s="18">
        <v>0</v>
      </c>
      <c r="U84" s="18">
        <v>0</v>
      </c>
      <c r="V84" s="18">
        <v>0</v>
      </c>
      <c r="W84" s="18">
        <v>0</v>
      </c>
      <c r="X84" s="18">
        <v>0</v>
      </c>
      <c r="Y84" s="26">
        <f t="shared" si="3"/>
        <v>0</v>
      </c>
      <c r="Z84" s="26"/>
      <c r="AA84" s="19"/>
      <c r="AB84" s="21"/>
      <c r="AC84" s="23"/>
      <c r="AD84" s="26"/>
      <c r="AE84" s="20"/>
      <c r="AF84" s="21"/>
      <c r="AG84" s="23"/>
      <c r="AH84" s="26"/>
      <c r="AI84" s="19"/>
      <c r="AJ84" s="21"/>
      <c r="AK84" s="25"/>
      <c r="AL84" s="26"/>
      <c r="AM84" s="19"/>
      <c r="AN84" s="21"/>
      <c r="AO84" s="25"/>
      <c r="AP84" s="26"/>
      <c r="AQ84" s="19"/>
      <c r="AR84" s="21"/>
      <c r="AS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2">
        <f t="shared" si="6"/>
        <v>0</v>
      </c>
      <c r="BK84" s="47">
        <f t="shared" si="5"/>
        <v>0</v>
      </c>
    </row>
    <row r="85" spans="2:63" s="15" customFormat="1" ht="24" customHeight="1" x14ac:dyDescent="0.25">
      <c r="B85" s="41">
        <v>70</v>
      </c>
      <c r="C85" s="41"/>
      <c r="D85" s="16"/>
      <c r="E85" s="49"/>
      <c r="F85" s="49"/>
      <c r="G85" s="17"/>
      <c r="H85" s="17"/>
      <c r="I85" s="51"/>
      <c r="J85" s="18"/>
      <c r="K85" s="18">
        <v>0</v>
      </c>
      <c r="L85" s="18">
        <v>0</v>
      </c>
      <c r="M85" s="18">
        <v>0</v>
      </c>
      <c r="N85" s="18">
        <v>0</v>
      </c>
      <c r="O85" s="18">
        <v>0</v>
      </c>
      <c r="P85" s="18">
        <v>0</v>
      </c>
      <c r="Q85" s="18">
        <v>0</v>
      </c>
      <c r="R85" s="18">
        <v>0</v>
      </c>
      <c r="S85" s="18">
        <v>0</v>
      </c>
      <c r="T85" s="18">
        <v>0</v>
      </c>
      <c r="U85" s="18">
        <v>0</v>
      </c>
      <c r="V85" s="18">
        <v>0</v>
      </c>
      <c r="W85" s="18">
        <v>0</v>
      </c>
      <c r="X85" s="18">
        <v>0</v>
      </c>
      <c r="Y85" s="26">
        <f t="shared" si="1"/>
        <v>0</v>
      </c>
      <c r="Z85" s="26"/>
      <c r="AA85" s="19"/>
      <c r="AB85" s="21"/>
      <c r="AC85" s="23"/>
      <c r="AD85" s="26"/>
      <c r="AE85" s="20"/>
      <c r="AF85" s="21"/>
      <c r="AG85" s="23"/>
      <c r="AH85" s="26"/>
      <c r="AI85" s="19"/>
      <c r="AJ85" s="21"/>
      <c r="AK85" s="25"/>
      <c r="AL85" s="26"/>
      <c r="AM85" s="19"/>
      <c r="AN85" s="21"/>
      <c r="AO85" s="25"/>
      <c r="AP85" s="26"/>
      <c r="AQ85" s="19"/>
      <c r="AR85" s="21"/>
      <c r="AS85" s="25"/>
      <c r="AT85" s="25"/>
      <c r="AU85" s="25"/>
      <c r="AV85" s="25"/>
      <c r="AW85" s="25"/>
      <c r="AX85" s="25"/>
      <c r="AY85" s="25"/>
      <c r="AZ85" s="25"/>
      <c r="BA85" s="25"/>
      <c r="BB85" s="25"/>
      <c r="BC85" s="25"/>
      <c r="BD85" s="25"/>
      <c r="BE85" s="25"/>
      <c r="BF85" s="25"/>
      <c r="BG85" s="25"/>
      <c r="BH85" s="25"/>
      <c r="BI85" s="25"/>
      <c r="BJ85" s="22">
        <f t="shared" si="6"/>
        <v>0</v>
      </c>
      <c r="BK85" s="47">
        <f t="shared" si="5"/>
        <v>0</v>
      </c>
    </row>
    <row r="86" spans="2:63" ht="15" customHeight="1" x14ac:dyDescent="0.25">
      <c r="B86" s="724" t="s">
        <v>39</v>
      </c>
      <c r="C86" s="724"/>
      <c r="D86" s="724"/>
      <c r="E86" s="724"/>
      <c r="F86" s="724"/>
      <c r="G86" s="724"/>
      <c r="H86" s="724"/>
      <c r="I86" s="724"/>
      <c r="J86" s="52"/>
      <c r="K86" s="24">
        <f t="shared" ref="K86:X86" si="7">SUM(K16:K83)</f>
        <v>75442963</v>
      </c>
      <c r="L86" s="24">
        <f t="shared" si="7"/>
        <v>16437704</v>
      </c>
      <c r="M86" s="24">
        <f t="shared" si="7"/>
        <v>0</v>
      </c>
      <c r="N86" s="24">
        <f t="shared" si="7"/>
        <v>973762</v>
      </c>
      <c r="O86" s="24">
        <f t="shared" si="7"/>
        <v>380253</v>
      </c>
      <c r="P86" s="24">
        <f t="shared" si="7"/>
        <v>298360</v>
      </c>
      <c r="Q86" s="24">
        <f t="shared" si="7"/>
        <v>264379</v>
      </c>
      <c r="R86" s="24">
        <f t="shared" si="7"/>
        <v>184139</v>
      </c>
      <c r="S86" s="24">
        <f t="shared" si="7"/>
        <v>0</v>
      </c>
      <c r="T86" s="24">
        <f t="shared" si="7"/>
        <v>0</v>
      </c>
      <c r="U86" s="24">
        <f t="shared" si="7"/>
        <v>0</v>
      </c>
      <c r="V86" s="24">
        <f t="shared" si="7"/>
        <v>0</v>
      </c>
      <c r="W86" s="24">
        <f t="shared" si="7"/>
        <v>0</v>
      </c>
      <c r="X86" s="24">
        <f t="shared" si="7"/>
        <v>0</v>
      </c>
      <c r="Y86" s="24">
        <f>SUM(Y16:Y83)</f>
        <v>2100893</v>
      </c>
      <c r="Z86" s="24">
        <f>SUBTOTAL(9,Z16:Z82)</f>
        <v>22504351</v>
      </c>
      <c r="AA86" s="24"/>
      <c r="AB86" s="24"/>
      <c r="AC86" s="24"/>
      <c r="AD86" s="24">
        <f>SUBTOTAL(9,AD16:AD82)</f>
        <v>-1830116</v>
      </c>
      <c r="AE86" s="24"/>
      <c r="AF86" s="24"/>
      <c r="AG86" s="24"/>
      <c r="AH86" s="24">
        <f>SUBTOTAL(9,AH16:AH82)</f>
        <v>-2651099</v>
      </c>
      <c r="AI86" s="24"/>
      <c r="AJ86" s="24"/>
      <c r="AK86" s="24"/>
      <c r="AL86" s="24">
        <f>SUBTOTAL(9,AL16:AL82)</f>
        <v>-1138576</v>
      </c>
      <c r="AM86" s="24"/>
      <c r="AN86" s="24"/>
      <c r="AO86" s="24"/>
      <c r="AP86" s="24">
        <f>SUBTOTAL(9,AP16:AP82)</f>
        <v>-815490</v>
      </c>
      <c r="AQ86" s="24"/>
      <c r="AR86" s="24"/>
      <c r="AS86" s="24"/>
      <c r="AT86" s="24">
        <f>SUBTOTAL(9,AT16:AT82)</f>
        <v>-368167</v>
      </c>
      <c r="AU86" s="24"/>
      <c r="AV86" s="24"/>
      <c r="AW86" s="24"/>
      <c r="AX86" s="24">
        <f>SUBTOTAL(9,AX16:AX82)</f>
        <v>-193731</v>
      </c>
      <c r="AY86" s="24"/>
      <c r="AZ86" s="24"/>
      <c r="BA86" s="24"/>
      <c r="BB86" s="24">
        <f>SUBTOTAL(9,BB16:BB82)</f>
        <v>0</v>
      </c>
      <c r="BC86" s="24"/>
      <c r="BD86" s="24"/>
      <c r="BE86" s="24"/>
      <c r="BF86" s="24">
        <f>SUBTOTAL(9,BF16:BF82)</f>
        <v>0</v>
      </c>
      <c r="BG86" s="24"/>
      <c r="BH86" s="24"/>
      <c r="BI86" s="24"/>
      <c r="BJ86" s="24">
        <f>SUBTOTAL(9,BJ16:BJ82)</f>
        <v>15507172</v>
      </c>
      <c r="BK86" s="24">
        <f>SUBTOTAL(9,BK16:BK82)</f>
        <v>13406279</v>
      </c>
    </row>
    <row r="89" spans="2:63" x14ac:dyDescent="0.2">
      <c r="BJ89" s="6"/>
    </row>
    <row r="91" spans="2:63" x14ac:dyDescent="0.2">
      <c r="Y91" s="59"/>
      <c r="BJ91" s="6"/>
    </row>
    <row r="92" spans="2:63" x14ac:dyDescent="0.2">
      <c r="Y92" s="59"/>
    </row>
    <row r="93" spans="2:63" x14ac:dyDescent="0.2">
      <c r="Y93" s="60"/>
    </row>
    <row r="103" spans="62:62" x14ac:dyDescent="0.2">
      <c r="BJ103" s="6"/>
    </row>
  </sheetData>
  <mergeCells count="18">
    <mergeCell ref="B8:AC8"/>
    <mergeCell ref="B1:AC2"/>
    <mergeCell ref="B3:AC4"/>
    <mergeCell ref="B5:AC5"/>
    <mergeCell ref="B6:AC6"/>
    <mergeCell ref="B7:AC7"/>
    <mergeCell ref="BJ14:BK14"/>
    <mergeCell ref="B86:I86"/>
    <mergeCell ref="B9:AC10"/>
    <mergeCell ref="Z14:AC14"/>
    <mergeCell ref="AD14:AG14"/>
    <mergeCell ref="AH14:AK14"/>
    <mergeCell ref="AL14:AO14"/>
    <mergeCell ref="AP14:AS14"/>
    <mergeCell ref="AT14:AW14"/>
    <mergeCell ref="AX14:BA14"/>
    <mergeCell ref="BB14:BE14"/>
    <mergeCell ref="BF14:BI14"/>
  </mergeCells>
  <phoneticPr fontId="11" type="noConversion"/>
  <conditionalFormatting sqref="D51:D54 D83:D84">
    <cfRule type="duplicateValues" dxfId="170" priority="51"/>
  </conditionalFormatting>
  <conditionalFormatting sqref="D51:D54">
    <cfRule type="duplicateValues" dxfId="169" priority="52"/>
  </conditionalFormatting>
  <conditionalFormatting sqref="D85">
    <cfRule type="duplicateValues" dxfId="168" priority="53"/>
  </conditionalFormatting>
  <conditionalFormatting sqref="D50">
    <cfRule type="duplicateValues" dxfId="167" priority="49" stopIfTrue="1"/>
  </conditionalFormatting>
  <conditionalFormatting sqref="D47">
    <cfRule type="duplicateValues" dxfId="166" priority="44" stopIfTrue="1"/>
  </conditionalFormatting>
  <conditionalFormatting sqref="D32">
    <cfRule type="duplicateValues" dxfId="165" priority="43" stopIfTrue="1"/>
  </conditionalFormatting>
  <conditionalFormatting sqref="D42">
    <cfRule type="duplicateValues" dxfId="164" priority="42" stopIfTrue="1"/>
  </conditionalFormatting>
  <conditionalFormatting sqref="D49">
    <cfRule type="duplicateValues" dxfId="163" priority="45" stopIfTrue="1"/>
  </conditionalFormatting>
  <conditionalFormatting sqref="D33">
    <cfRule type="duplicateValues" dxfId="162" priority="46" stopIfTrue="1"/>
  </conditionalFormatting>
  <conditionalFormatting sqref="D44 D46">
    <cfRule type="duplicateValues" dxfId="161" priority="41" stopIfTrue="1"/>
  </conditionalFormatting>
  <conditionalFormatting sqref="D45">
    <cfRule type="duplicateValues" dxfId="160" priority="47" stopIfTrue="1"/>
  </conditionalFormatting>
  <conditionalFormatting sqref="D38">
    <cfRule type="duplicateValues" dxfId="159" priority="34" stopIfTrue="1"/>
  </conditionalFormatting>
  <conditionalFormatting sqref="D43">
    <cfRule type="duplicateValues" dxfId="158" priority="35" stopIfTrue="1"/>
  </conditionalFormatting>
  <conditionalFormatting sqref="D37">
    <cfRule type="duplicateValues" dxfId="157" priority="32" stopIfTrue="1"/>
  </conditionalFormatting>
  <conditionalFormatting sqref="D20">
    <cfRule type="duplicateValues" dxfId="156" priority="33" stopIfTrue="1"/>
  </conditionalFormatting>
  <conditionalFormatting sqref="D21">
    <cfRule type="duplicateValues" dxfId="155" priority="31" stopIfTrue="1"/>
  </conditionalFormatting>
  <conditionalFormatting sqref="D18:D19">
    <cfRule type="duplicateValues" dxfId="154" priority="36" stopIfTrue="1"/>
  </conditionalFormatting>
  <conditionalFormatting sqref="D25">
    <cfRule type="duplicateValues" dxfId="153" priority="37" stopIfTrue="1"/>
  </conditionalFormatting>
  <conditionalFormatting sqref="D40">
    <cfRule type="duplicateValues" dxfId="152" priority="38" stopIfTrue="1"/>
  </conditionalFormatting>
  <conditionalFormatting sqref="D30 D27">
    <cfRule type="duplicateValues" dxfId="151" priority="30" stopIfTrue="1"/>
  </conditionalFormatting>
  <conditionalFormatting sqref="D29">
    <cfRule type="duplicateValues" dxfId="150" priority="39" stopIfTrue="1"/>
  </conditionalFormatting>
  <conditionalFormatting sqref="D41 D39 D35">
    <cfRule type="duplicateValues" dxfId="149" priority="29" stopIfTrue="1"/>
  </conditionalFormatting>
  <conditionalFormatting sqref="D48">
    <cfRule type="duplicateValues" dxfId="148" priority="40" stopIfTrue="1"/>
  </conditionalFormatting>
  <conditionalFormatting sqref="D36">
    <cfRule type="duplicateValues" dxfId="147" priority="28" stopIfTrue="1"/>
  </conditionalFormatting>
  <conditionalFormatting sqref="D31">
    <cfRule type="duplicateValues" dxfId="146" priority="48" stopIfTrue="1"/>
  </conditionalFormatting>
  <conditionalFormatting sqref="D23:D24 D28 D26">
    <cfRule type="duplicateValues" dxfId="145" priority="50" stopIfTrue="1"/>
  </conditionalFormatting>
  <conditionalFormatting sqref="D62">
    <cfRule type="duplicateValues" dxfId="144" priority="26" stopIfTrue="1"/>
  </conditionalFormatting>
  <conditionalFormatting sqref="D55">
    <cfRule type="duplicateValues" dxfId="143" priority="25" stopIfTrue="1"/>
  </conditionalFormatting>
  <conditionalFormatting sqref="D60">
    <cfRule type="duplicateValues" dxfId="142" priority="23" stopIfTrue="1"/>
  </conditionalFormatting>
  <conditionalFormatting sqref="D63">
    <cfRule type="duplicateValues" dxfId="141" priority="24" stopIfTrue="1"/>
  </conditionalFormatting>
  <conditionalFormatting sqref="D59">
    <cfRule type="duplicateValues" dxfId="140" priority="22" stopIfTrue="1"/>
  </conditionalFormatting>
  <conditionalFormatting sqref="D61">
    <cfRule type="duplicateValues" dxfId="139" priority="21" stopIfTrue="1"/>
  </conditionalFormatting>
  <conditionalFormatting sqref="D58">
    <cfRule type="duplicateValues" dxfId="138" priority="20" stopIfTrue="1"/>
  </conditionalFormatting>
  <conditionalFormatting sqref="D56">
    <cfRule type="duplicateValues" dxfId="137" priority="27" stopIfTrue="1"/>
  </conditionalFormatting>
  <conditionalFormatting sqref="D65">
    <cfRule type="duplicateValues" dxfId="136" priority="19" stopIfTrue="1"/>
  </conditionalFormatting>
  <conditionalFormatting sqref="D64">
    <cfRule type="duplicateValues" dxfId="135" priority="18" stopIfTrue="1"/>
  </conditionalFormatting>
  <conditionalFormatting sqref="D66">
    <cfRule type="duplicateValues" dxfId="134" priority="17" stopIfTrue="1"/>
  </conditionalFormatting>
  <conditionalFormatting sqref="D68">
    <cfRule type="duplicateValues" dxfId="133" priority="16" stopIfTrue="1"/>
  </conditionalFormatting>
  <conditionalFormatting sqref="D67">
    <cfRule type="duplicateValues" dxfId="132" priority="15" stopIfTrue="1"/>
  </conditionalFormatting>
  <conditionalFormatting sqref="D70">
    <cfRule type="duplicateValues" dxfId="131" priority="14" stopIfTrue="1"/>
  </conditionalFormatting>
  <conditionalFormatting sqref="D69">
    <cfRule type="duplicateValues" dxfId="130" priority="13" stopIfTrue="1"/>
  </conditionalFormatting>
  <conditionalFormatting sqref="D71">
    <cfRule type="duplicateValues" dxfId="129" priority="12" stopIfTrue="1"/>
  </conditionalFormatting>
  <conditionalFormatting sqref="D72">
    <cfRule type="duplicateValues" dxfId="128" priority="11" stopIfTrue="1"/>
  </conditionalFormatting>
  <conditionalFormatting sqref="D73">
    <cfRule type="duplicateValues" dxfId="127" priority="10" stopIfTrue="1"/>
  </conditionalFormatting>
  <conditionalFormatting sqref="D74">
    <cfRule type="duplicateValues" dxfId="126" priority="9" stopIfTrue="1"/>
  </conditionalFormatting>
  <conditionalFormatting sqref="D75">
    <cfRule type="duplicateValues" dxfId="125" priority="8" stopIfTrue="1"/>
  </conditionalFormatting>
  <conditionalFormatting sqref="D76">
    <cfRule type="duplicateValues" dxfId="124" priority="6" stopIfTrue="1"/>
  </conditionalFormatting>
  <conditionalFormatting sqref="D77">
    <cfRule type="duplicateValues" dxfId="123" priority="5" stopIfTrue="1"/>
  </conditionalFormatting>
  <conditionalFormatting sqref="D78">
    <cfRule type="duplicateValues" dxfId="122" priority="4" stopIfTrue="1"/>
  </conditionalFormatting>
  <conditionalFormatting sqref="D80">
    <cfRule type="duplicateValues" dxfId="121" priority="3" stopIfTrue="1"/>
  </conditionalFormatting>
  <conditionalFormatting sqref="D81">
    <cfRule type="duplicateValues" dxfId="120" priority="2" stopIfTrue="1"/>
  </conditionalFormatting>
  <conditionalFormatting sqref="D82">
    <cfRule type="duplicateValues" dxfId="119" priority="1" stopIfTrue="1"/>
  </conditionalFormatting>
  <pageMargins left="0.7" right="0.7" top="0.75" bottom="0.75" header="0.3" footer="0.3"/>
  <pageSetup paperSize="5" orientation="portrait" r:id="rId1"/>
  <ignoredErrors>
    <ignoredError sqref="Y16:Y80 Y81:Y82 Y85 Y83:Y84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AU109"/>
  <sheetViews>
    <sheetView topLeftCell="M9" workbookViewId="0">
      <selection activeCell="Z14" sqref="Z14:AG14"/>
    </sheetView>
  </sheetViews>
  <sheetFormatPr baseColWidth="10" defaultRowHeight="11.25" x14ac:dyDescent="0.2"/>
  <cols>
    <col min="1" max="1" width="5" style="67" customWidth="1"/>
    <col min="2" max="2" width="9.85546875" style="77" bestFit="1" customWidth="1"/>
    <col min="3" max="3" width="9.85546875" style="67" customWidth="1"/>
    <col min="4" max="4" width="11.42578125" style="77" customWidth="1"/>
    <col min="5" max="5" width="33.85546875" style="67" customWidth="1"/>
    <col min="6" max="6" width="13.140625" style="67" customWidth="1"/>
    <col min="7" max="7" width="15.140625" style="67" customWidth="1"/>
    <col min="8" max="8" width="18.85546875" style="67" customWidth="1"/>
    <col min="9" max="9" width="11.42578125" style="67" customWidth="1"/>
    <col min="10" max="10" width="11.28515625" style="67" customWidth="1"/>
    <col min="11" max="25" width="12" style="67" customWidth="1"/>
    <col min="26" max="26" width="13.140625" style="67" customWidth="1"/>
    <col min="27" max="27" width="12" style="73" customWidth="1"/>
    <col min="28" max="28" width="10.7109375" style="67" customWidth="1"/>
    <col min="29" max="29" width="11" style="67" customWidth="1"/>
    <col min="30" max="30" width="11.42578125" style="67" customWidth="1"/>
    <col min="31" max="31" width="12.28515625" style="72" customWidth="1"/>
    <col min="32" max="34" width="10.140625" style="67" customWidth="1"/>
    <col min="35" max="35" width="11" style="73" customWidth="1"/>
    <col min="36" max="37" width="10.140625" style="67" customWidth="1"/>
    <col min="38" max="38" width="11.85546875" style="67" customWidth="1"/>
    <col min="39" max="39" width="11.140625" style="73" customWidth="1"/>
    <col min="40" max="40" width="11.28515625" style="67" customWidth="1"/>
    <col min="41" max="42" width="10.140625" style="67" customWidth="1"/>
    <col min="43" max="43" width="12.140625" style="73" customWidth="1"/>
    <col min="44" max="44" width="12.140625" style="67" customWidth="1"/>
    <col min="45" max="45" width="10.140625" style="67" customWidth="1"/>
    <col min="46" max="16384" width="11.42578125" style="67"/>
  </cols>
  <sheetData>
    <row r="1" spans="2:47" hidden="1" x14ac:dyDescent="0.2">
      <c r="B1" s="63"/>
      <c r="C1" s="63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5"/>
      <c r="AF1" s="64"/>
      <c r="AG1" s="64"/>
      <c r="AH1" s="64"/>
      <c r="AI1" s="66"/>
      <c r="AJ1" s="64"/>
      <c r="AK1" s="64"/>
      <c r="AL1" s="64"/>
      <c r="AM1" s="66"/>
      <c r="AN1" s="64"/>
      <c r="AO1" s="64"/>
      <c r="AP1" s="64"/>
      <c r="AQ1" s="66"/>
      <c r="AR1" s="64"/>
      <c r="AS1" s="64"/>
    </row>
    <row r="2" spans="2:47" hidden="1" x14ac:dyDescent="0.2"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5"/>
      <c r="AF2" s="64"/>
      <c r="AG2" s="64"/>
      <c r="AH2" s="64"/>
      <c r="AI2" s="66"/>
      <c r="AJ2" s="64"/>
      <c r="AK2" s="64"/>
      <c r="AL2" s="64"/>
      <c r="AM2" s="66"/>
      <c r="AN2" s="64"/>
      <c r="AO2" s="64"/>
      <c r="AP2" s="64"/>
      <c r="AQ2" s="66"/>
      <c r="AR2" s="64"/>
      <c r="AS2" s="64"/>
    </row>
    <row r="3" spans="2:47" ht="12.75" hidden="1" customHeight="1" x14ac:dyDescent="0.2"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9"/>
      <c r="AF3" s="68"/>
      <c r="AG3" s="68"/>
      <c r="AH3" s="68"/>
      <c r="AI3" s="70"/>
      <c r="AJ3" s="68"/>
      <c r="AK3" s="68"/>
      <c r="AL3" s="68"/>
      <c r="AM3" s="70"/>
      <c r="AN3" s="68"/>
      <c r="AO3" s="68"/>
      <c r="AP3" s="68"/>
      <c r="AQ3" s="70"/>
      <c r="AR3" s="68"/>
      <c r="AS3" s="68"/>
    </row>
    <row r="4" spans="2:47" ht="21.75" hidden="1" customHeight="1" x14ac:dyDescent="0.2"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9"/>
      <c r="AF4" s="68"/>
      <c r="AG4" s="68"/>
      <c r="AH4" s="68"/>
      <c r="AI4" s="70"/>
      <c r="AJ4" s="68"/>
      <c r="AK4" s="68"/>
      <c r="AL4" s="68"/>
      <c r="AM4" s="70"/>
      <c r="AN4" s="68"/>
      <c r="AO4" s="68"/>
      <c r="AP4" s="68"/>
      <c r="AQ4" s="70"/>
      <c r="AR4" s="68"/>
      <c r="AS4" s="68"/>
    </row>
    <row r="5" spans="2:47" ht="11.25" hidden="1" customHeight="1" x14ac:dyDescent="0.2"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9"/>
      <c r="AF5" s="68"/>
      <c r="AG5" s="68"/>
      <c r="AH5" s="68"/>
      <c r="AI5" s="70"/>
      <c r="AJ5" s="68"/>
      <c r="AK5" s="68"/>
      <c r="AL5" s="68"/>
      <c r="AM5" s="70"/>
      <c r="AN5" s="68"/>
      <c r="AO5" s="68"/>
      <c r="AP5" s="68"/>
      <c r="AQ5" s="70"/>
      <c r="AR5" s="68"/>
      <c r="AS5" s="68"/>
    </row>
    <row r="6" spans="2:47" ht="15" hidden="1" customHeight="1" x14ac:dyDescent="0.2"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9"/>
      <c r="AF6" s="68"/>
      <c r="AG6" s="68"/>
      <c r="AH6" s="68"/>
      <c r="AI6" s="70"/>
      <c r="AJ6" s="68"/>
      <c r="AK6" s="68"/>
      <c r="AL6" s="68"/>
      <c r="AM6" s="70"/>
      <c r="AN6" s="68"/>
      <c r="AO6" s="68"/>
      <c r="AP6" s="68"/>
      <c r="AQ6" s="70"/>
      <c r="AR6" s="68"/>
      <c r="AS6" s="68"/>
    </row>
    <row r="7" spans="2:47" ht="21" hidden="1" customHeight="1" x14ac:dyDescent="0.2"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9"/>
      <c r="AF7" s="68"/>
      <c r="AG7" s="68"/>
      <c r="AH7" s="68"/>
      <c r="AI7" s="70"/>
      <c r="AJ7" s="68"/>
      <c r="AK7" s="68"/>
      <c r="AL7" s="68"/>
      <c r="AM7" s="70"/>
      <c r="AN7" s="68"/>
      <c r="AO7" s="68"/>
      <c r="AP7" s="68"/>
      <c r="AQ7" s="70"/>
      <c r="AR7" s="68"/>
      <c r="AS7" s="68"/>
    </row>
    <row r="8" spans="2:47" ht="16.5" hidden="1" customHeight="1" x14ac:dyDescent="0.2"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9"/>
      <c r="AF8" s="68"/>
      <c r="AG8" s="68"/>
      <c r="AH8" s="68"/>
      <c r="AI8" s="70"/>
      <c r="AJ8" s="68"/>
      <c r="AK8" s="68"/>
      <c r="AL8" s="68"/>
      <c r="AM8" s="70"/>
      <c r="AN8" s="68"/>
      <c r="AO8" s="68"/>
      <c r="AP8" s="68"/>
      <c r="AQ8" s="70"/>
      <c r="AR8" s="68"/>
      <c r="AS8" s="68"/>
    </row>
    <row r="9" spans="2:47" ht="18.75" customHeight="1" x14ac:dyDescent="0.2">
      <c r="B9" s="733" t="s">
        <v>0</v>
      </c>
      <c r="C9" s="734"/>
      <c r="D9" s="734"/>
      <c r="E9" s="734"/>
      <c r="F9" s="734"/>
      <c r="G9" s="734"/>
      <c r="H9" s="734"/>
      <c r="I9" s="734"/>
      <c r="J9" s="734"/>
      <c r="K9" s="734"/>
      <c r="L9" s="735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68"/>
      <c r="AE9" s="69"/>
      <c r="AF9" s="68"/>
      <c r="AG9" s="68"/>
      <c r="AH9" s="68"/>
      <c r="AI9" s="70"/>
      <c r="AJ9" s="68"/>
      <c r="AK9" s="68"/>
      <c r="AL9" s="68"/>
      <c r="AM9" s="70"/>
      <c r="AN9" s="68"/>
      <c r="AO9" s="68"/>
      <c r="AP9" s="68"/>
      <c r="AQ9" s="70"/>
      <c r="AR9" s="68"/>
      <c r="AS9" s="68"/>
    </row>
    <row r="10" spans="2:47" ht="18.75" x14ac:dyDescent="0.2">
      <c r="B10" s="71"/>
      <c r="C10" s="71"/>
      <c r="D10" s="71"/>
      <c r="E10" s="71"/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</row>
    <row r="11" spans="2:47" ht="18.75" x14ac:dyDescent="0.2">
      <c r="B11" s="71"/>
      <c r="C11" s="71"/>
      <c r="D11" s="71"/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</row>
    <row r="12" spans="2:47" ht="22.5" x14ac:dyDescent="0.2">
      <c r="B12" s="8" t="s">
        <v>1</v>
      </c>
      <c r="C12" s="8" t="s">
        <v>2</v>
      </c>
      <c r="D12" s="9" t="s">
        <v>3</v>
      </c>
      <c r="E12" s="10" t="s">
        <v>4</v>
      </c>
      <c r="F12" s="74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</row>
    <row r="13" spans="2:47" ht="18.75" x14ac:dyDescent="0.2">
      <c r="B13" s="11">
        <v>55539505</v>
      </c>
      <c r="C13" s="11">
        <v>31288315</v>
      </c>
      <c r="D13" s="11">
        <v>31288315</v>
      </c>
      <c r="E13" s="11">
        <f>+Y84</f>
        <v>9178604.9020000007</v>
      </c>
      <c r="F13" s="75"/>
      <c r="G13" s="76"/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</row>
    <row r="14" spans="2:47" ht="25.5" customHeight="1" x14ac:dyDescent="0.2">
      <c r="C14" s="78"/>
      <c r="D14" s="79"/>
      <c r="E14" s="78"/>
      <c r="F14" s="78"/>
      <c r="Z14" s="736" t="s">
        <v>5</v>
      </c>
      <c r="AA14" s="737"/>
      <c r="AB14" s="737"/>
      <c r="AC14" s="738"/>
      <c r="AD14" s="739" t="s">
        <v>6</v>
      </c>
      <c r="AE14" s="740"/>
      <c r="AF14" s="740"/>
      <c r="AG14" s="741"/>
      <c r="AH14" s="739" t="s">
        <v>6</v>
      </c>
      <c r="AI14" s="740"/>
      <c r="AJ14" s="740"/>
      <c r="AK14" s="741"/>
      <c r="AL14" s="739" t="s">
        <v>6</v>
      </c>
      <c r="AM14" s="740"/>
      <c r="AN14" s="740"/>
      <c r="AO14" s="741"/>
      <c r="AP14" s="739" t="s">
        <v>6</v>
      </c>
      <c r="AQ14" s="740"/>
      <c r="AR14" s="740"/>
      <c r="AS14" s="741"/>
      <c r="AT14" s="723" t="s">
        <v>7</v>
      </c>
      <c r="AU14" s="723"/>
    </row>
    <row r="15" spans="2:47" s="90" customFormat="1" ht="55.5" customHeight="1" x14ac:dyDescent="0.25">
      <c r="B15" s="81" t="s">
        <v>8</v>
      </c>
      <c r="C15" s="82" t="s">
        <v>9</v>
      </c>
      <c r="D15" s="82" t="s">
        <v>10</v>
      </c>
      <c r="E15" s="83" t="s">
        <v>11</v>
      </c>
      <c r="F15" s="8" t="s">
        <v>12</v>
      </c>
      <c r="G15" s="83" t="s">
        <v>13</v>
      </c>
      <c r="H15" s="8" t="s">
        <v>14</v>
      </c>
      <c r="I15" s="83" t="s">
        <v>122</v>
      </c>
      <c r="J15" s="83" t="s">
        <v>15</v>
      </c>
      <c r="K15" s="84" t="s">
        <v>16</v>
      </c>
      <c r="L15" s="84" t="s">
        <v>17</v>
      </c>
      <c r="M15" s="33" t="s">
        <v>18</v>
      </c>
      <c r="N15" s="33" t="s">
        <v>19</v>
      </c>
      <c r="O15" s="33" t="s">
        <v>20</v>
      </c>
      <c r="P15" s="33" t="s">
        <v>21</v>
      </c>
      <c r="Q15" s="33" t="s">
        <v>22</v>
      </c>
      <c r="R15" s="33" t="s">
        <v>23</v>
      </c>
      <c r="S15" s="33" t="s">
        <v>24</v>
      </c>
      <c r="T15" s="33" t="s">
        <v>25</v>
      </c>
      <c r="U15" s="33" t="s">
        <v>26</v>
      </c>
      <c r="V15" s="33" t="s">
        <v>27</v>
      </c>
      <c r="W15" s="33" t="s">
        <v>28</v>
      </c>
      <c r="X15" s="33" t="s">
        <v>29</v>
      </c>
      <c r="Y15" s="33" t="s">
        <v>30</v>
      </c>
      <c r="Z15" s="85" t="s">
        <v>31</v>
      </c>
      <c r="AA15" s="86" t="s">
        <v>32</v>
      </c>
      <c r="AB15" s="85" t="s">
        <v>33</v>
      </c>
      <c r="AC15" s="85" t="s">
        <v>34</v>
      </c>
      <c r="AD15" s="87" t="s">
        <v>35</v>
      </c>
      <c r="AE15" s="88" t="s">
        <v>32</v>
      </c>
      <c r="AF15" s="87" t="s">
        <v>33</v>
      </c>
      <c r="AG15" s="87" t="s">
        <v>34</v>
      </c>
      <c r="AH15" s="87" t="s">
        <v>35</v>
      </c>
      <c r="AI15" s="88" t="s">
        <v>32</v>
      </c>
      <c r="AJ15" s="87" t="s">
        <v>33</v>
      </c>
      <c r="AK15" s="87" t="s">
        <v>34</v>
      </c>
      <c r="AL15" s="87" t="s">
        <v>35</v>
      </c>
      <c r="AM15" s="88" t="s">
        <v>32</v>
      </c>
      <c r="AN15" s="87" t="s">
        <v>33</v>
      </c>
      <c r="AO15" s="87" t="s">
        <v>34</v>
      </c>
      <c r="AP15" s="87" t="s">
        <v>35</v>
      </c>
      <c r="AQ15" s="88" t="s">
        <v>32</v>
      </c>
      <c r="AR15" s="87" t="s">
        <v>33</v>
      </c>
      <c r="AS15" s="87" t="s">
        <v>34</v>
      </c>
      <c r="AT15" s="89" t="s">
        <v>36</v>
      </c>
      <c r="AU15" s="89" t="s">
        <v>37</v>
      </c>
    </row>
    <row r="16" spans="2:47" s="90" customFormat="1" ht="22.5" x14ac:dyDescent="0.25">
      <c r="B16" s="91">
        <v>1</v>
      </c>
      <c r="C16" s="91" t="s">
        <v>38</v>
      </c>
      <c r="D16" s="435">
        <v>30074129</v>
      </c>
      <c r="E16" s="436" t="s">
        <v>123</v>
      </c>
      <c r="F16" s="436" t="s">
        <v>45</v>
      </c>
      <c r="G16" s="437" t="s">
        <v>124</v>
      </c>
      <c r="H16" s="437" t="s">
        <v>125</v>
      </c>
      <c r="I16" s="438" t="s">
        <v>42</v>
      </c>
      <c r="J16" s="438">
        <v>7246439</v>
      </c>
      <c r="K16" s="439">
        <v>6442</v>
      </c>
      <c r="L16" s="439">
        <v>1905570</v>
      </c>
      <c r="M16" s="439">
        <v>0</v>
      </c>
      <c r="N16" s="439">
        <v>0</v>
      </c>
      <c r="O16" s="439">
        <v>0</v>
      </c>
      <c r="P16" s="439">
        <v>0</v>
      </c>
      <c r="Q16" s="439">
        <v>0</v>
      </c>
      <c r="R16" s="439">
        <v>0</v>
      </c>
      <c r="S16" s="439">
        <v>0</v>
      </c>
      <c r="T16" s="439">
        <v>0</v>
      </c>
      <c r="U16" s="439">
        <v>0</v>
      </c>
      <c r="V16" s="439">
        <v>0</v>
      </c>
      <c r="W16" s="439">
        <v>0</v>
      </c>
      <c r="X16" s="439">
        <v>0</v>
      </c>
      <c r="Y16" s="439">
        <f>SUM(M16:X16)</f>
        <v>0</v>
      </c>
      <c r="Z16" s="440">
        <v>1418325</v>
      </c>
      <c r="AA16" s="441">
        <v>6</v>
      </c>
      <c r="AB16" s="442">
        <v>44249</v>
      </c>
      <c r="AC16" s="443">
        <v>44221</v>
      </c>
      <c r="AD16" s="440">
        <v>-498</v>
      </c>
      <c r="AE16" s="444">
        <v>33</v>
      </c>
      <c r="AF16" s="442">
        <v>44344</v>
      </c>
      <c r="AG16" s="443">
        <v>44369</v>
      </c>
      <c r="AH16" s="440"/>
      <c r="AI16" s="441"/>
      <c r="AJ16" s="445"/>
      <c r="AK16" s="443"/>
      <c r="AL16" s="440"/>
      <c r="AM16" s="441"/>
      <c r="AN16" s="445"/>
      <c r="AO16" s="443"/>
      <c r="AP16" s="440"/>
      <c r="AQ16" s="441"/>
      <c r="AR16" s="445"/>
      <c r="AS16" s="443"/>
      <c r="AT16" s="103">
        <f t="shared" ref="AT16:AT79" si="0">+Z16+AD16+AH16+AL16+AP16</f>
        <v>1417827</v>
      </c>
      <c r="AU16" s="446">
        <f t="shared" ref="AU16:AU79" si="1">+AT16-Y16</f>
        <v>1417827</v>
      </c>
    </row>
    <row r="17" spans="2:47" s="90" customFormat="1" ht="22.5" x14ac:dyDescent="0.25">
      <c r="B17" s="91">
        <v>2</v>
      </c>
      <c r="C17" s="91" t="s">
        <v>38</v>
      </c>
      <c r="D17" s="435">
        <v>30075677</v>
      </c>
      <c r="E17" s="436" t="s">
        <v>126</v>
      </c>
      <c r="F17" s="436" t="s">
        <v>45</v>
      </c>
      <c r="G17" s="437" t="s">
        <v>124</v>
      </c>
      <c r="H17" s="437" t="s">
        <v>127</v>
      </c>
      <c r="I17" s="438" t="s">
        <v>42</v>
      </c>
      <c r="J17" s="438">
        <v>16591999</v>
      </c>
      <c r="K17" s="439">
        <v>11413</v>
      </c>
      <c r="L17" s="439">
        <v>7663996</v>
      </c>
      <c r="M17" s="439">
        <v>0</v>
      </c>
      <c r="N17" s="439">
        <v>0</v>
      </c>
      <c r="O17" s="439">
        <v>0</v>
      </c>
      <c r="P17" s="439">
        <v>0</v>
      </c>
      <c r="Q17" s="439">
        <v>0</v>
      </c>
      <c r="R17" s="439">
        <v>0</v>
      </c>
      <c r="S17" s="439">
        <v>0</v>
      </c>
      <c r="T17" s="439">
        <v>0</v>
      </c>
      <c r="U17" s="439">
        <v>0</v>
      </c>
      <c r="V17" s="439">
        <v>0</v>
      </c>
      <c r="W17" s="439">
        <v>0</v>
      </c>
      <c r="X17" s="439">
        <v>0</v>
      </c>
      <c r="Y17" s="439">
        <f t="shared" ref="Y17:Y80" si="2">SUM(M17:X17)</f>
        <v>0</v>
      </c>
      <c r="Z17" s="440">
        <v>843200</v>
      </c>
      <c r="AA17" s="441">
        <v>1</v>
      </c>
      <c r="AB17" s="442">
        <v>44201</v>
      </c>
      <c r="AC17" s="443">
        <v>44221</v>
      </c>
      <c r="AD17" s="440"/>
      <c r="AE17" s="444"/>
      <c r="AF17" s="442"/>
      <c r="AG17" s="443"/>
      <c r="AH17" s="440"/>
      <c r="AI17" s="441"/>
      <c r="AJ17" s="445"/>
      <c r="AK17" s="443"/>
      <c r="AL17" s="440"/>
      <c r="AM17" s="441"/>
      <c r="AN17" s="445"/>
      <c r="AO17" s="443"/>
      <c r="AP17" s="440"/>
      <c r="AQ17" s="441"/>
      <c r="AR17" s="445"/>
      <c r="AS17" s="443"/>
      <c r="AT17" s="103">
        <f t="shared" si="0"/>
        <v>843200</v>
      </c>
      <c r="AU17" s="446">
        <f t="shared" si="1"/>
        <v>843200</v>
      </c>
    </row>
    <row r="18" spans="2:47" s="90" customFormat="1" ht="22.5" x14ac:dyDescent="0.25">
      <c r="B18" s="91">
        <v>3</v>
      </c>
      <c r="C18" s="91" t="s">
        <v>38</v>
      </c>
      <c r="D18" s="435">
        <v>30076880</v>
      </c>
      <c r="E18" s="436" t="s">
        <v>128</v>
      </c>
      <c r="F18" s="436" t="s">
        <v>129</v>
      </c>
      <c r="G18" s="437" t="s">
        <v>124</v>
      </c>
      <c r="H18" s="437" t="s">
        <v>130</v>
      </c>
      <c r="I18" s="438" t="s">
        <v>42</v>
      </c>
      <c r="J18" s="438">
        <v>85068</v>
      </c>
      <c r="K18" s="439">
        <v>77079</v>
      </c>
      <c r="L18" s="439">
        <v>0</v>
      </c>
      <c r="M18" s="439">
        <v>0</v>
      </c>
      <c r="N18" s="439">
        <v>0</v>
      </c>
      <c r="O18" s="439">
        <v>0</v>
      </c>
      <c r="P18" s="439">
        <v>0</v>
      </c>
      <c r="Q18" s="439">
        <v>0</v>
      </c>
      <c r="R18" s="439">
        <v>0</v>
      </c>
      <c r="S18" s="439">
        <v>0</v>
      </c>
      <c r="T18" s="439">
        <v>0</v>
      </c>
      <c r="U18" s="439">
        <v>0</v>
      </c>
      <c r="V18" s="439">
        <v>0</v>
      </c>
      <c r="W18" s="439">
        <v>0</v>
      </c>
      <c r="X18" s="439">
        <v>0</v>
      </c>
      <c r="Y18" s="439">
        <f t="shared" si="2"/>
        <v>0</v>
      </c>
      <c r="Z18" s="440">
        <v>7989</v>
      </c>
      <c r="AA18" s="441">
        <v>1</v>
      </c>
      <c r="AB18" s="442">
        <v>44201</v>
      </c>
      <c r="AC18" s="443">
        <v>44221</v>
      </c>
      <c r="AD18" s="447"/>
      <c r="AE18" s="444"/>
      <c r="AF18" s="442"/>
      <c r="AG18" s="443"/>
      <c r="AH18" s="447"/>
      <c r="AI18" s="441"/>
      <c r="AJ18" s="445"/>
      <c r="AK18" s="443"/>
      <c r="AL18" s="447"/>
      <c r="AM18" s="441"/>
      <c r="AN18" s="445"/>
      <c r="AO18" s="443"/>
      <c r="AP18" s="447"/>
      <c r="AQ18" s="441"/>
      <c r="AR18" s="445"/>
      <c r="AS18" s="443"/>
      <c r="AT18" s="103">
        <f t="shared" si="0"/>
        <v>7989</v>
      </c>
      <c r="AU18" s="446">
        <f t="shared" si="1"/>
        <v>7989</v>
      </c>
    </row>
    <row r="19" spans="2:47" s="90" customFormat="1" ht="22.5" x14ac:dyDescent="0.25">
      <c r="B19" s="91">
        <v>4</v>
      </c>
      <c r="C19" s="91" t="s">
        <v>38</v>
      </c>
      <c r="D19" s="435">
        <v>30076886</v>
      </c>
      <c r="E19" s="436" t="s">
        <v>131</v>
      </c>
      <c r="F19" s="436" t="s">
        <v>129</v>
      </c>
      <c r="G19" s="437" t="s">
        <v>124</v>
      </c>
      <c r="H19" s="437" t="s">
        <v>132</v>
      </c>
      <c r="I19" s="438" t="s">
        <v>42</v>
      </c>
      <c r="J19" s="438">
        <v>94749</v>
      </c>
      <c r="K19" s="439">
        <v>85851</v>
      </c>
      <c r="L19" s="439">
        <v>0</v>
      </c>
      <c r="M19" s="439">
        <v>0</v>
      </c>
      <c r="N19" s="439">
        <v>0</v>
      </c>
      <c r="O19" s="439">
        <v>0</v>
      </c>
      <c r="P19" s="439">
        <v>0</v>
      </c>
      <c r="Q19" s="439">
        <v>0</v>
      </c>
      <c r="R19" s="439">
        <v>0</v>
      </c>
      <c r="S19" s="439">
        <v>0</v>
      </c>
      <c r="T19" s="439">
        <v>0</v>
      </c>
      <c r="U19" s="439">
        <v>0</v>
      </c>
      <c r="V19" s="439">
        <v>0</v>
      </c>
      <c r="W19" s="439">
        <v>0</v>
      </c>
      <c r="X19" s="439">
        <v>0</v>
      </c>
      <c r="Y19" s="439">
        <f t="shared" si="2"/>
        <v>0</v>
      </c>
      <c r="Z19" s="440">
        <v>8898</v>
      </c>
      <c r="AA19" s="441">
        <v>1</v>
      </c>
      <c r="AB19" s="442">
        <v>44201</v>
      </c>
      <c r="AC19" s="443">
        <v>44221</v>
      </c>
      <c r="AD19" s="448"/>
      <c r="AE19" s="444"/>
      <c r="AF19" s="442"/>
      <c r="AG19" s="443"/>
      <c r="AH19" s="448"/>
      <c r="AI19" s="441"/>
      <c r="AJ19" s="442"/>
      <c r="AK19" s="443"/>
      <c r="AL19" s="448"/>
      <c r="AM19" s="441"/>
      <c r="AN19" s="442"/>
      <c r="AO19" s="443"/>
      <c r="AP19" s="448"/>
      <c r="AQ19" s="441"/>
      <c r="AR19" s="442"/>
      <c r="AS19" s="443"/>
      <c r="AT19" s="103">
        <f t="shared" si="0"/>
        <v>8898</v>
      </c>
      <c r="AU19" s="446">
        <f t="shared" si="1"/>
        <v>8898</v>
      </c>
    </row>
    <row r="20" spans="2:47" s="90" customFormat="1" x14ac:dyDescent="0.25">
      <c r="B20" s="91">
        <v>5</v>
      </c>
      <c r="C20" s="91" t="s">
        <v>38</v>
      </c>
      <c r="D20" s="435">
        <v>30086885</v>
      </c>
      <c r="E20" s="436" t="s">
        <v>133</v>
      </c>
      <c r="F20" s="436" t="s">
        <v>45</v>
      </c>
      <c r="G20" s="437" t="s">
        <v>124</v>
      </c>
      <c r="H20" s="437" t="s">
        <v>134</v>
      </c>
      <c r="I20" s="438" t="s">
        <v>42</v>
      </c>
      <c r="J20" s="438">
        <v>6478580</v>
      </c>
      <c r="K20" s="439">
        <v>6398902</v>
      </c>
      <c r="L20" s="439">
        <v>0</v>
      </c>
      <c r="M20" s="439">
        <v>0</v>
      </c>
      <c r="N20" s="439">
        <v>0</v>
      </c>
      <c r="O20" s="439">
        <v>0</v>
      </c>
      <c r="P20" s="439">
        <v>0</v>
      </c>
      <c r="Q20" s="439">
        <v>0</v>
      </c>
      <c r="R20" s="439">
        <v>0</v>
      </c>
      <c r="S20" s="439">
        <v>0</v>
      </c>
      <c r="T20" s="439">
        <v>0</v>
      </c>
      <c r="U20" s="439">
        <v>0</v>
      </c>
      <c r="V20" s="439">
        <v>0</v>
      </c>
      <c r="W20" s="439">
        <v>0</v>
      </c>
      <c r="X20" s="439">
        <v>0</v>
      </c>
      <c r="Y20" s="439">
        <f t="shared" si="2"/>
        <v>0</v>
      </c>
      <c r="Z20" s="440">
        <v>79678</v>
      </c>
      <c r="AA20" s="441">
        <v>1</v>
      </c>
      <c r="AB20" s="442">
        <v>44201</v>
      </c>
      <c r="AC20" s="443">
        <v>44221</v>
      </c>
      <c r="AD20" s="440"/>
      <c r="AE20" s="444"/>
      <c r="AF20" s="442"/>
      <c r="AG20" s="443"/>
      <c r="AH20" s="439"/>
      <c r="AI20" s="441"/>
      <c r="AJ20" s="442"/>
      <c r="AK20" s="443"/>
      <c r="AL20" s="439"/>
      <c r="AM20" s="441"/>
      <c r="AN20" s="442"/>
      <c r="AO20" s="443"/>
      <c r="AP20" s="439"/>
      <c r="AQ20" s="441"/>
      <c r="AR20" s="442"/>
      <c r="AS20" s="443"/>
      <c r="AT20" s="103">
        <f t="shared" si="0"/>
        <v>79678</v>
      </c>
      <c r="AU20" s="446">
        <f t="shared" si="1"/>
        <v>79678</v>
      </c>
    </row>
    <row r="21" spans="2:47" s="90" customFormat="1" ht="22.5" x14ac:dyDescent="0.25">
      <c r="B21" s="91">
        <v>6</v>
      </c>
      <c r="C21" s="91" t="s">
        <v>38</v>
      </c>
      <c r="D21" s="435">
        <v>30087356</v>
      </c>
      <c r="E21" s="436" t="s">
        <v>135</v>
      </c>
      <c r="F21" s="436" t="s">
        <v>45</v>
      </c>
      <c r="G21" s="437" t="s">
        <v>124</v>
      </c>
      <c r="H21" s="437" t="s">
        <v>127</v>
      </c>
      <c r="I21" s="438" t="s">
        <v>42</v>
      </c>
      <c r="J21" s="438">
        <v>2471840</v>
      </c>
      <c r="K21" s="439">
        <v>2462517</v>
      </c>
      <c r="L21" s="439">
        <v>0</v>
      </c>
      <c r="M21" s="439">
        <v>0</v>
      </c>
      <c r="N21" s="439">
        <v>0</v>
      </c>
      <c r="O21" s="439">
        <v>0</v>
      </c>
      <c r="P21" s="439">
        <v>0</v>
      </c>
      <c r="Q21" s="439">
        <v>0</v>
      </c>
      <c r="R21" s="439">
        <v>0</v>
      </c>
      <c r="S21" s="439">
        <v>0</v>
      </c>
      <c r="T21" s="439">
        <v>0</v>
      </c>
      <c r="U21" s="439">
        <v>0</v>
      </c>
      <c r="V21" s="439">
        <v>0</v>
      </c>
      <c r="W21" s="439">
        <v>0</v>
      </c>
      <c r="X21" s="439">
        <v>0</v>
      </c>
      <c r="Y21" s="439">
        <f t="shared" si="2"/>
        <v>0</v>
      </c>
      <c r="Z21" s="440">
        <v>9323</v>
      </c>
      <c r="AA21" s="441">
        <v>1</v>
      </c>
      <c r="AB21" s="442">
        <v>44201</v>
      </c>
      <c r="AC21" s="443">
        <v>44221</v>
      </c>
      <c r="AD21" s="440"/>
      <c r="AE21" s="444"/>
      <c r="AF21" s="442"/>
      <c r="AG21" s="443"/>
      <c r="AH21" s="439"/>
      <c r="AI21" s="441"/>
      <c r="AJ21" s="442"/>
      <c r="AK21" s="443"/>
      <c r="AL21" s="439"/>
      <c r="AM21" s="441"/>
      <c r="AN21" s="442"/>
      <c r="AO21" s="443"/>
      <c r="AP21" s="439"/>
      <c r="AQ21" s="441"/>
      <c r="AR21" s="442"/>
      <c r="AS21" s="443"/>
      <c r="AT21" s="103">
        <f t="shared" si="0"/>
        <v>9323</v>
      </c>
      <c r="AU21" s="446">
        <f t="shared" si="1"/>
        <v>9323</v>
      </c>
    </row>
    <row r="22" spans="2:47" s="90" customFormat="1" x14ac:dyDescent="0.25">
      <c r="B22" s="91">
        <v>7</v>
      </c>
      <c r="C22" s="91" t="s">
        <v>38</v>
      </c>
      <c r="D22" s="435">
        <v>30087369</v>
      </c>
      <c r="E22" s="436" t="s">
        <v>136</v>
      </c>
      <c r="F22" s="436" t="s">
        <v>45</v>
      </c>
      <c r="G22" s="437" t="s">
        <v>124</v>
      </c>
      <c r="H22" s="437" t="s">
        <v>127</v>
      </c>
      <c r="I22" s="438" t="s">
        <v>42</v>
      </c>
      <c r="J22" s="438">
        <v>4226957</v>
      </c>
      <c r="K22" s="439">
        <v>23624</v>
      </c>
      <c r="L22" s="439">
        <v>3942033</v>
      </c>
      <c r="M22" s="439">
        <v>0</v>
      </c>
      <c r="N22" s="439">
        <v>0</v>
      </c>
      <c r="O22" s="439">
        <v>0</v>
      </c>
      <c r="P22" s="439">
        <v>0</v>
      </c>
      <c r="Q22" s="439">
        <v>0</v>
      </c>
      <c r="R22" s="439">
        <v>0</v>
      </c>
      <c r="S22" s="439">
        <v>0</v>
      </c>
      <c r="T22" s="439">
        <v>0</v>
      </c>
      <c r="U22" s="439">
        <v>0</v>
      </c>
      <c r="V22" s="439">
        <v>0</v>
      </c>
      <c r="W22" s="439">
        <v>0</v>
      </c>
      <c r="X22" s="439">
        <v>0</v>
      </c>
      <c r="Y22" s="439">
        <f t="shared" si="2"/>
        <v>0</v>
      </c>
      <c r="Z22" s="440">
        <v>261300</v>
      </c>
      <c r="AA22" s="441">
        <v>1</v>
      </c>
      <c r="AB22" s="442">
        <v>44201</v>
      </c>
      <c r="AC22" s="443">
        <v>44221</v>
      </c>
      <c r="AD22" s="440"/>
      <c r="AE22" s="444"/>
      <c r="AF22" s="442"/>
      <c r="AG22" s="443"/>
      <c r="AH22" s="439"/>
      <c r="AI22" s="441"/>
      <c r="AJ22" s="442"/>
      <c r="AK22" s="443"/>
      <c r="AL22" s="439"/>
      <c r="AM22" s="441"/>
      <c r="AN22" s="442"/>
      <c r="AO22" s="443"/>
      <c r="AP22" s="439"/>
      <c r="AQ22" s="441"/>
      <c r="AR22" s="442"/>
      <c r="AS22" s="443"/>
      <c r="AT22" s="103">
        <f t="shared" si="0"/>
        <v>261300</v>
      </c>
      <c r="AU22" s="446">
        <f t="shared" si="1"/>
        <v>261300</v>
      </c>
    </row>
    <row r="23" spans="2:47" s="90" customFormat="1" ht="22.5" x14ac:dyDescent="0.25">
      <c r="B23" s="91">
        <v>8</v>
      </c>
      <c r="C23" s="91" t="s">
        <v>38</v>
      </c>
      <c r="D23" s="435">
        <v>30108045</v>
      </c>
      <c r="E23" s="436" t="s">
        <v>137</v>
      </c>
      <c r="F23" s="436" t="s">
        <v>45</v>
      </c>
      <c r="G23" s="437" t="s">
        <v>124</v>
      </c>
      <c r="H23" s="449" t="s">
        <v>138</v>
      </c>
      <c r="I23" s="438" t="s">
        <v>42</v>
      </c>
      <c r="J23" s="438">
        <v>710698</v>
      </c>
      <c r="K23" s="439">
        <v>627998</v>
      </c>
      <c r="L23" s="439">
        <v>0</v>
      </c>
      <c r="M23" s="439">
        <v>0</v>
      </c>
      <c r="N23" s="439">
        <v>0</v>
      </c>
      <c r="O23" s="439">
        <v>0</v>
      </c>
      <c r="P23" s="439">
        <f>3090098/1000</f>
        <v>3090.098</v>
      </c>
      <c r="Q23" s="439">
        <v>0</v>
      </c>
      <c r="R23" s="439">
        <v>0</v>
      </c>
      <c r="S23" s="439">
        <v>0</v>
      </c>
      <c r="T23" s="439">
        <v>0</v>
      </c>
      <c r="U23" s="439">
        <v>0</v>
      </c>
      <c r="V23" s="439">
        <v>0</v>
      </c>
      <c r="W23" s="439">
        <v>0</v>
      </c>
      <c r="X23" s="439">
        <v>0</v>
      </c>
      <c r="Y23" s="439">
        <f t="shared" si="2"/>
        <v>3090.098</v>
      </c>
      <c r="Z23" s="440">
        <v>82700</v>
      </c>
      <c r="AA23" s="441">
        <v>1</v>
      </c>
      <c r="AB23" s="442">
        <v>44201</v>
      </c>
      <c r="AC23" s="443">
        <v>44221</v>
      </c>
      <c r="AD23" s="440"/>
      <c r="AE23" s="444"/>
      <c r="AF23" s="442"/>
      <c r="AG23" s="443"/>
      <c r="AH23" s="440"/>
      <c r="AI23" s="441"/>
      <c r="AJ23" s="445"/>
      <c r="AK23" s="443"/>
      <c r="AL23" s="440"/>
      <c r="AM23" s="441"/>
      <c r="AN23" s="445"/>
      <c r="AO23" s="443"/>
      <c r="AP23" s="440"/>
      <c r="AQ23" s="441"/>
      <c r="AR23" s="445"/>
      <c r="AS23" s="443"/>
      <c r="AT23" s="103">
        <f t="shared" si="0"/>
        <v>82700</v>
      </c>
      <c r="AU23" s="446">
        <f t="shared" si="1"/>
        <v>79609.902000000002</v>
      </c>
    </row>
    <row r="24" spans="2:47" s="90" customFormat="1" ht="23.25" customHeight="1" x14ac:dyDescent="0.25">
      <c r="B24" s="91">
        <v>9</v>
      </c>
      <c r="C24" s="91" t="s">
        <v>38</v>
      </c>
      <c r="D24" s="435">
        <v>30108048</v>
      </c>
      <c r="E24" s="436" t="s">
        <v>139</v>
      </c>
      <c r="F24" s="436" t="s">
        <v>45</v>
      </c>
      <c r="G24" s="437" t="s">
        <v>124</v>
      </c>
      <c r="H24" s="449" t="s">
        <v>138</v>
      </c>
      <c r="I24" s="438" t="s">
        <v>42</v>
      </c>
      <c r="J24" s="438">
        <v>1449759</v>
      </c>
      <c r="K24" s="439">
        <v>453575</v>
      </c>
      <c r="L24" s="439">
        <v>357351</v>
      </c>
      <c r="M24" s="439">
        <v>0</v>
      </c>
      <c r="N24" s="439">
        <v>0</v>
      </c>
      <c r="O24" s="439">
        <v>0</v>
      </c>
      <c r="P24" s="439">
        <v>0</v>
      </c>
      <c r="Q24" s="439">
        <v>0</v>
      </c>
      <c r="R24" s="439">
        <v>0</v>
      </c>
      <c r="S24" s="439">
        <v>0</v>
      </c>
      <c r="T24" s="439">
        <v>0</v>
      </c>
      <c r="U24" s="439">
        <v>0</v>
      </c>
      <c r="V24" s="439">
        <v>0</v>
      </c>
      <c r="W24" s="439">
        <v>0</v>
      </c>
      <c r="X24" s="439">
        <v>0</v>
      </c>
      <c r="Y24" s="439">
        <f t="shared" si="2"/>
        <v>0</v>
      </c>
      <c r="Z24" s="440">
        <v>638833</v>
      </c>
      <c r="AA24" s="441">
        <v>1</v>
      </c>
      <c r="AB24" s="442">
        <v>44201</v>
      </c>
      <c r="AC24" s="443">
        <v>44221</v>
      </c>
      <c r="AD24" s="440"/>
      <c r="AE24" s="444"/>
      <c r="AF24" s="442"/>
      <c r="AG24" s="443"/>
      <c r="AH24" s="440"/>
      <c r="AI24" s="441"/>
      <c r="AJ24" s="445"/>
      <c r="AK24" s="443"/>
      <c r="AL24" s="440"/>
      <c r="AM24" s="441"/>
      <c r="AN24" s="445"/>
      <c r="AO24" s="443"/>
      <c r="AP24" s="440"/>
      <c r="AQ24" s="441"/>
      <c r="AR24" s="445"/>
      <c r="AS24" s="443"/>
      <c r="AT24" s="103">
        <f t="shared" si="0"/>
        <v>638833</v>
      </c>
      <c r="AU24" s="446">
        <f t="shared" si="1"/>
        <v>638833</v>
      </c>
    </row>
    <row r="25" spans="2:47" s="90" customFormat="1" ht="22.5" x14ac:dyDescent="0.25">
      <c r="B25" s="91">
        <v>10</v>
      </c>
      <c r="C25" s="91" t="s">
        <v>38</v>
      </c>
      <c r="D25" s="435">
        <v>30116086</v>
      </c>
      <c r="E25" s="436" t="s">
        <v>140</v>
      </c>
      <c r="F25" s="436" t="s">
        <v>45</v>
      </c>
      <c r="G25" s="437" t="s">
        <v>124</v>
      </c>
      <c r="H25" s="449" t="s">
        <v>138</v>
      </c>
      <c r="I25" s="438" t="s">
        <v>42</v>
      </c>
      <c r="J25" s="438">
        <v>1469198</v>
      </c>
      <c r="K25" s="439">
        <v>4432</v>
      </c>
      <c r="L25" s="439">
        <v>1447263</v>
      </c>
      <c r="M25" s="439">
        <v>0</v>
      </c>
      <c r="N25" s="439">
        <v>0</v>
      </c>
      <c r="O25" s="439">
        <v>0</v>
      </c>
      <c r="P25" s="439">
        <v>0</v>
      </c>
      <c r="Q25" s="439">
        <v>0</v>
      </c>
      <c r="R25" s="439">
        <v>0</v>
      </c>
      <c r="S25" s="439">
        <v>0</v>
      </c>
      <c r="T25" s="439">
        <v>0</v>
      </c>
      <c r="U25" s="439">
        <v>0</v>
      </c>
      <c r="V25" s="439">
        <v>0</v>
      </c>
      <c r="W25" s="439">
        <v>0</v>
      </c>
      <c r="X25" s="439">
        <v>0</v>
      </c>
      <c r="Y25" s="439">
        <f t="shared" si="2"/>
        <v>0</v>
      </c>
      <c r="Z25" s="440">
        <v>17503</v>
      </c>
      <c r="AA25" s="441">
        <v>1</v>
      </c>
      <c r="AB25" s="442">
        <v>44201</v>
      </c>
      <c r="AC25" s="443">
        <v>44221</v>
      </c>
      <c r="AD25" s="440"/>
      <c r="AE25" s="444"/>
      <c r="AF25" s="442"/>
      <c r="AG25" s="443"/>
      <c r="AH25" s="440"/>
      <c r="AI25" s="441"/>
      <c r="AJ25" s="445"/>
      <c r="AK25" s="443"/>
      <c r="AL25" s="440"/>
      <c r="AM25" s="441"/>
      <c r="AN25" s="445"/>
      <c r="AO25" s="443"/>
      <c r="AP25" s="440"/>
      <c r="AQ25" s="441"/>
      <c r="AR25" s="445"/>
      <c r="AS25" s="443"/>
      <c r="AT25" s="103">
        <f t="shared" si="0"/>
        <v>17503</v>
      </c>
      <c r="AU25" s="446">
        <f t="shared" si="1"/>
        <v>17503</v>
      </c>
    </row>
    <row r="26" spans="2:47" s="90" customFormat="1" ht="22.5" x14ac:dyDescent="0.25">
      <c r="B26" s="91">
        <v>11</v>
      </c>
      <c r="C26" s="91" t="s">
        <v>38</v>
      </c>
      <c r="D26" s="435">
        <v>30124596</v>
      </c>
      <c r="E26" s="436" t="s">
        <v>141</v>
      </c>
      <c r="F26" s="436" t="s">
        <v>45</v>
      </c>
      <c r="G26" s="437" t="s">
        <v>124</v>
      </c>
      <c r="H26" s="449" t="s">
        <v>127</v>
      </c>
      <c r="I26" s="438" t="s">
        <v>42</v>
      </c>
      <c r="J26" s="438">
        <v>4374369</v>
      </c>
      <c r="K26" s="439">
        <v>314787</v>
      </c>
      <c r="L26" s="439">
        <v>0</v>
      </c>
      <c r="M26" s="439">
        <f>62184100/1000</f>
        <v>62184.1</v>
      </c>
      <c r="N26" s="439">
        <f>105432379/1000</f>
        <v>105432.379</v>
      </c>
      <c r="O26" s="439">
        <v>0</v>
      </c>
      <c r="P26" s="439">
        <f>98590171/1000</f>
        <v>98590.171000000002</v>
      </c>
      <c r="Q26" s="439">
        <f>84103353/1000</f>
        <v>84103.353000000003</v>
      </c>
      <c r="R26" s="439">
        <v>0</v>
      </c>
      <c r="S26" s="439">
        <v>0</v>
      </c>
      <c r="T26" s="439">
        <v>0</v>
      </c>
      <c r="U26" s="439">
        <v>0</v>
      </c>
      <c r="V26" s="439">
        <v>0</v>
      </c>
      <c r="W26" s="439">
        <v>0</v>
      </c>
      <c r="X26" s="439">
        <v>0</v>
      </c>
      <c r="Y26" s="439">
        <f t="shared" si="2"/>
        <v>350310.00300000003</v>
      </c>
      <c r="Z26" s="440">
        <v>2383374</v>
      </c>
      <c r="AA26" s="441">
        <v>1</v>
      </c>
      <c r="AB26" s="442">
        <v>44201</v>
      </c>
      <c r="AC26" s="443">
        <v>44221</v>
      </c>
      <c r="AD26" s="440"/>
      <c r="AE26" s="444"/>
      <c r="AF26" s="442"/>
      <c r="AG26" s="443"/>
      <c r="AH26" s="440"/>
      <c r="AI26" s="441"/>
      <c r="AJ26" s="445"/>
      <c r="AK26" s="443"/>
      <c r="AL26" s="440"/>
      <c r="AM26" s="441"/>
      <c r="AN26" s="445"/>
      <c r="AO26" s="443"/>
      <c r="AP26" s="440"/>
      <c r="AQ26" s="441"/>
      <c r="AR26" s="445"/>
      <c r="AS26" s="443"/>
      <c r="AT26" s="103">
        <f t="shared" si="0"/>
        <v>2383374</v>
      </c>
      <c r="AU26" s="446">
        <f t="shared" si="1"/>
        <v>2033063.997</v>
      </c>
    </row>
    <row r="27" spans="2:47" s="90" customFormat="1" ht="22.5" x14ac:dyDescent="0.25">
      <c r="B27" s="91">
        <v>12</v>
      </c>
      <c r="C27" s="91" t="s">
        <v>38</v>
      </c>
      <c r="D27" s="435">
        <v>30126588</v>
      </c>
      <c r="E27" s="436" t="s">
        <v>142</v>
      </c>
      <c r="F27" s="436" t="s">
        <v>45</v>
      </c>
      <c r="G27" s="437" t="s">
        <v>124</v>
      </c>
      <c r="H27" s="449" t="s">
        <v>127</v>
      </c>
      <c r="I27" s="438" t="s">
        <v>42</v>
      </c>
      <c r="J27" s="438">
        <v>4367044</v>
      </c>
      <c r="K27" s="439">
        <v>4267162</v>
      </c>
      <c r="L27" s="439">
        <v>99881</v>
      </c>
      <c r="M27" s="439">
        <v>0</v>
      </c>
      <c r="N27" s="439">
        <v>0</v>
      </c>
      <c r="O27" s="439">
        <v>0</v>
      </c>
      <c r="P27" s="439">
        <v>0</v>
      </c>
      <c r="Q27" s="439">
        <v>0</v>
      </c>
      <c r="R27" s="439">
        <v>0</v>
      </c>
      <c r="S27" s="439">
        <v>0</v>
      </c>
      <c r="T27" s="439">
        <v>0</v>
      </c>
      <c r="U27" s="439">
        <v>0</v>
      </c>
      <c r="V27" s="439">
        <v>0</v>
      </c>
      <c r="W27" s="439">
        <v>0</v>
      </c>
      <c r="X27" s="439">
        <v>0</v>
      </c>
      <c r="Y27" s="439">
        <f t="shared" si="2"/>
        <v>0</v>
      </c>
      <c r="Z27" s="440">
        <v>1</v>
      </c>
      <c r="AA27" s="441">
        <v>1</v>
      </c>
      <c r="AB27" s="442">
        <v>44201</v>
      </c>
      <c r="AC27" s="443">
        <v>44221</v>
      </c>
      <c r="AD27" s="440"/>
      <c r="AE27" s="444"/>
      <c r="AF27" s="442"/>
      <c r="AG27" s="443"/>
      <c r="AH27" s="440"/>
      <c r="AI27" s="441"/>
      <c r="AJ27" s="445"/>
      <c r="AK27" s="443"/>
      <c r="AL27" s="440"/>
      <c r="AM27" s="441"/>
      <c r="AN27" s="445"/>
      <c r="AO27" s="443"/>
      <c r="AP27" s="440"/>
      <c r="AQ27" s="441"/>
      <c r="AR27" s="445"/>
      <c r="AS27" s="443"/>
      <c r="AT27" s="103">
        <f t="shared" si="0"/>
        <v>1</v>
      </c>
      <c r="AU27" s="446">
        <f t="shared" si="1"/>
        <v>1</v>
      </c>
    </row>
    <row r="28" spans="2:47" s="90" customFormat="1" ht="22.5" x14ac:dyDescent="0.25">
      <c r="B28" s="91">
        <v>13</v>
      </c>
      <c r="C28" s="91" t="s">
        <v>38</v>
      </c>
      <c r="D28" s="435">
        <v>30126599</v>
      </c>
      <c r="E28" s="436" t="s">
        <v>143</v>
      </c>
      <c r="F28" s="436" t="s">
        <v>45</v>
      </c>
      <c r="G28" s="437" t="s">
        <v>124</v>
      </c>
      <c r="H28" s="449" t="s">
        <v>127</v>
      </c>
      <c r="I28" s="438" t="s">
        <v>42</v>
      </c>
      <c r="J28" s="438">
        <v>16673403</v>
      </c>
      <c r="K28" s="439">
        <v>16495225</v>
      </c>
      <c r="L28" s="439">
        <v>0</v>
      </c>
      <c r="M28" s="439">
        <v>0</v>
      </c>
      <c r="N28" s="439">
        <v>0</v>
      </c>
      <c r="O28" s="439">
        <v>0</v>
      </c>
      <c r="P28" s="439">
        <v>0</v>
      </c>
      <c r="Q28" s="439">
        <v>0</v>
      </c>
      <c r="R28" s="439">
        <f>48816686/1000</f>
        <v>48816.686000000002</v>
      </c>
      <c r="S28" s="439">
        <v>0</v>
      </c>
      <c r="T28" s="439">
        <v>0</v>
      </c>
      <c r="U28" s="439">
        <v>0</v>
      </c>
      <c r="V28" s="439">
        <v>0</v>
      </c>
      <c r="W28" s="439">
        <v>0</v>
      </c>
      <c r="X28" s="439">
        <v>0</v>
      </c>
      <c r="Y28" s="439">
        <f t="shared" si="2"/>
        <v>48816.686000000002</v>
      </c>
      <c r="Z28" s="440">
        <v>178178</v>
      </c>
      <c r="AA28" s="441">
        <v>1</v>
      </c>
      <c r="AB28" s="442">
        <v>44201</v>
      </c>
      <c r="AC28" s="443">
        <v>44221</v>
      </c>
      <c r="AD28" s="440"/>
      <c r="AE28" s="444"/>
      <c r="AF28" s="442"/>
      <c r="AG28" s="443"/>
      <c r="AH28" s="440"/>
      <c r="AI28" s="441"/>
      <c r="AJ28" s="445"/>
      <c r="AK28" s="443"/>
      <c r="AL28" s="440"/>
      <c r="AM28" s="441"/>
      <c r="AN28" s="445"/>
      <c r="AO28" s="443"/>
      <c r="AP28" s="440"/>
      <c r="AQ28" s="441"/>
      <c r="AR28" s="445"/>
      <c r="AS28" s="443"/>
      <c r="AT28" s="103">
        <f t="shared" si="0"/>
        <v>178178</v>
      </c>
      <c r="AU28" s="446">
        <f t="shared" si="1"/>
        <v>129361.314</v>
      </c>
    </row>
    <row r="29" spans="2:47" s="90" customFormat="1" x14ac:dyDescent="0.25">
      <c r="B29" s="91">
        <v>14</v>
      </c>
      <c r="C29" s="91" t="s">
        <v>38</v>
      </c>
      <c r="D29" s="435">
        <v>30127208</v>
      </c>
      <c r="E29" s="436" t="s">
        <v>144</v>
      </c>
      <c r="F29" s="436" t="s">
        <v>45</v>
      </c>
      <c r="G29" s="437" t="s">
        <v>124</v>
      </c>
      <c r="H29" s="449" t="s">
        <v>125</v>
      </c>
      <c r="I29" s="438" t="s">
        <v>42</v>
      </c>
      <c r="J29" s="438">
        <v>4145124</v>
      </c>
      <c r="K29" s="439">
        <v>1976</v>
      </c>
      <c r="L29" s="439">
        <v>4143147</v>
      </c>
      <c r="M29" s="439">
        <v>0</v>
      </c>
      <c r="N29" s="439">
        <v>0</v>
      </c>
      <c r="O29" s="439">
        <v>0</v>
      </c>
      <c r="P29" s="439">
        <v>0</v>
      </c>
      <c r="Q29" s="439">
        <v>0</v>
      </c>
      <c r="R29" s="439">
        <v>0</v>
      </c>
      <c r="S29" s="439">
        <v>0</v>
      </c>
      <c r="T29" s="439">
        <v>0</v>
      </c>
      <c r="U29" s="439">
        <v>0</v>
      </c>
      <c r="V29" s="439">
        <v>0</v>
      </c>
      <c r="W29" s="439">
        <v>0</v>
      </c>
      <c r="X29" s="439">
        <v>0</v>
      </c>
      <c r="Y29" s="439">
        <f t="shared" si="2"/>
        <v>0</v>
      </c>
      <c r="Z29" s="440">
        <v>1</v>
      </c>
      <c r="AA29" s="441">
        <v>1</v>
      </c>
      <c r="AB29" s="442">
        <v>44201</v>
      </c>
      <c r="AC29" s="443">
        <v>44221</v>
      </c>
      <c r="AD29" s="440"/>
      <c r="AE29" s="444"/>
      <c r="AF29" s="442"/>
      <c r="AG29" s="443"/>
      <c r="AH29" s="440"/>
      <c r="AI29" s="441"/>
      <c r="AJ29" s="445"/>
      <c r="AK29" s="443"/>
      <c r="AL29" s="440"/>
      <c r="AM29" s="441"/>
      <c r="AN29" s="445"/>
      <c r="AO29" s="443"/>
      <c r="AP29" s="440"/>
      <c r="AQ29" s="441"/>
      <c r="AR29" s="445"/>
      <c r="AS29" s="443"/>
      <c r="AT29" s="103">
        <f t="shared" si="0"/>
        <v>1</v>
      </c>
      <c r="AU29" s="446">
        <f t="shared" si="1"/>
        <v>1</v>
      </c>
    </row>
    <row r="30" spans="2:47" s="90" customFormat="1" ht="22.5" x14ac:dyDescent="0.25">
      <c r="B30" s="91">
        <v>15</v>
      </c>
      <c r="C30" s="91" t="s">
        <v>38</v>
      </c>
      <c r="D30" s="435">
        <v>30128277</v>
      </c>
      <c r="E30" s="436" t="s">
        <v>145</v>
      </c>
      <c r="F30" s="436" t="s">
        <v>45</v>
      </c>
      <c r="G30" s="437" t="s">
        <v>124</v>
      </c>
      <c r="H30" s="449"/>
      <c r="I30" s="438" t="s">
        <v>43</v>
      </c>
      <c r="J30" s="438">
        <v>4143977</v>
      </c>
      <c r="K30" s="439">
        <v>10285</v>
      </c>
      <c r="L30" s="439">
        <v>4133681</v>
      </c>
      <c r="M30" s="439">
        <v>0</v>
      </c>
      <c r="N30" s="439">
        <v>0</v>
      </c>
      <c r="O30" s="439">
        <v>0</v>
      </c>
      <c r="P30" s="439">
        <v>0</v>
      </c>
      <c r="Q30" s="439">
        <v>0</v>
      </c>
      <c r="R30" s="439">
        <v>0</v>
      </c>
      <c r="S30" s="439">
        <v>0</v>
      </c>
      <c r="T30" s="439">
        <v>0</v>
      </c>
      <c r="U30" s="439">
        <v>0</v>
      </c>
      <c r="V30" s="439">
        <v>0</v>
      </c>
      <c r="W30" s="439">
        <v>0</v>
      </c>
      <c r="X30" s="439">
        <v>0</v>
      </c>
      <c r="Y30" s="439">
        <f t="shared" si="2"/>
        <v>0</v>
      </c>
      <c r="Z30" s="440">
        <v>10</v>
      </c>
      <c r="AA30" s="441">
        <v>11</v>
      </c>
      <c r="AB30" s="442">
        <v>44270</v>
      </c>
      <c r="AC30" s="443">
        <v>44287</v>
      </c>
      <c r="AD30" s="440"/>
      <c r="AE30" s="444"/>
      <c r="AF30" s="442"/>
      <c r="AG30" s="443"/>
      <c r="AH30" s="440"/>
      <c r="AI30" s="441"/>
      <c r="AJ30" s="445"/>
      <c r="AK30" s="443"/>
      <c r="AL30" s="440"/>
      <c r="AM30" s="441"/>
      <c r="AN30" s="445"/>
      <c r="AO30" s="443"/>
      <c r="AP30" s="440"/>
      <c r="AQ30" s="441"/>
      <c r="AR30" s="445"/>
      <c r="AS30" s="443"/>
      <c r="AT30" s="103">
        <f t="shared" si="0"/>
        <v>10</v>
      </c>
      <c r="AU30" s="446">
        <f t="shared" si="1"/>
        <v>10</v>
      </c>
    </row>
    <row r="31" spans="2:47" s="90" customFormat="1" ht="22.5" x14ac:dyDescent="0.25">
      <c r="B31" s="91">
        <v>16</v>
      </c>
      <c r="C31" s="91" t="s">
        <v>38</v>
      </c>
      <c r="D31" s="435">
        <v>30134875</v>
      </c>
      <c r="E31" s="436" t="s">
        <v>146</v>
      </c>
      <c r="F31" s="436" t="s">
        <v>45</v>
      </c>
      <c r="G31" s="437" t="s">
        <v>124</v>
      </c>
      <c r="H31" s="449" t="s">
        <v>147</v>
      </c>
      <c r="I31" s="438" t="s">
        <v>42</v>
      </c>
      <c r="J31" s="438">
        <v>1853967</v>
      </c>
      <c r="K31" s="439">
        <v>20084</v>
      </c>
      <c r="L31" s="439">
        <v>0</v>
      </c>
      <c r="M31" s="439">
        <f>61028821/1000</f>
        <v>61028.821000000004</v>
      </c>
      <c r="N31" s="439">
        <v>0</v>
      </c>
      <c r="O31" s="439">
        <v>0</v>
      </c>
      <c r="P31" s="439">
        <v>0</v>
      </c>
      <c r="Q31" s="439">
        <v>0</v>
      </c>
      <c r="R31" s="439">
        <f>336666316/1000</f>
        <v>336666.31599999999</v>
      </c>
      <c r="S31" s="439">
        <v>0</v>
      </c>
      <c r="T31" s="439">
        <v>0</v>
      </c>
      <c r="U31" s="439">
        <v>0</v>
      </c>
      <c r="V31" s="439">
        <v>0</v>
      </c>
      <c r="W31" s="439">
        <v>0</v>
      </c>
      <c r="X31" s="439">
        <v>0</v>
      </c>
      <c r="Y31" s="439">
        <f t="shared" si="2"/>
        <v>397695.13699999999</v>
      </c>
      <c r="Z31" s="440">
        <v>976663</v>
      </c>
      <c r="AA31" s="441">
        <v>1</v>
      </c>
      <c r="AB31" s="442">
        <v>44201</v>
      </c>
      <c r="AC31" s="443">
        <v>44221</v>
      </c>
      <c r="AD31" s="440"/>
      <c r="AE31" s="444"/>
      <c r="AF31" s="442"/>
      <c r="AG31" s="443"/>
      <c r="AH31" s="440"/>
      <c r="AI31" s="441"/>
      <c r="AJ31" s="445"/>
      <c r="AK31" s="443"/>
      <c r="AL31" s="440"/>
      <c r="AM31" s="441"/>
      <c r="AN31" s="445"/>
      <c r="AO31" s="443"/>
      <c r="AP31" s="440"/>
      <c r="AQ31" s="441"/>
      <c r="AR31" s="445"/>
      <c r="AS31" s="443"/>
      <c r="AT31" s="103">
        <f t="shared" si="0"/>
        <v>976663</v>
      </c>
      <c r="AU31" s="446">
        <f t="shared" si="1"/>
        <v>578967.86300000001</v>
      </c>
    </row>
    <row r="32" spans="2:47" s="90" customFormat="1" ht="22.5" x14ac:dyDescent="0.25">
      <c r="B32" s="91">
        <v>17</v>
      </c>
      <c r="C32" s="91" t="s">
        <v>38</v>
      </c>
      <c r="D32" s="435">
        <v>30136533</v>
      </c>
      <c r="E32" s="436" t="s">
        <v>148</v>
      </c>
      <c r="F32" s="436" t="s">
        <v>45</v>
      </c>
      <c r="G32" s="437" t="s">
        <v>124</v>
      </c>
      <c r="H32" s="449" t="s">
        <v>127</v>
      </c>
      <c r="I32" s="438" t="s">
        <v>42</v>
      </c>
      <c r="J32" s="438">
        <v>2107054</v>
      </c>
      <c r="K32" s="439">
        <v>814</v>
      </c>
      <c r="L32" s="439">
        <v>1706239</v>
      </c>
      <c r="M32" s="439">
        <v>0</v>
      </c>
      <c r="N32" s="439">
        <v>0</v>
      </c>
      <c r="O32" s="439">
        <v>0</v>
      </c>
      <c r="P32" s="439">
        <v>0</v>
      </c>
      <c r="Q32" s="439">
        <v>0</v>
      </c>
      <c r="R32" s="439">
        <v>0</v>
      </c>
      <c r="S32" s="439">
        <v>0</v>
      </c>
      <c r="T32" s="439">
        <v>0</v>
      </c>
      <c r="U32" s="439">
        <v>0</v>
      </c>
      <c r="V32" s="439">
        <v>0</v>
      </c>
      <c r="W32" s="439">
        <v>0</v>
      </c>
      <c r="X32" s="439">
        <v>0</v>
      </c>
      <c r="Y32" s="439">
        <f t="shared" si="2"/>
        <v>0</v>
      </c>
      <c r="Z32" s="440">
        <v>1</v>
      </c>
      <c r="AA32" s="441">
        <v>1</v>
      </c>
      <c r="AB32" s="442">
        <v>44201</v>
      </c>
      <c r="AC32" s="443">
        <v>44221</v>
      </c>
      <c r="AD32" s="440"/>
      <c r="AE32" s="444"/>
      <c r="AF32" s="442"/>
      <c r="AG32" s="443"/>
      <c r="AH32" s="440"/>
      <c r="AI32" s="441"/>
      <c r="AJ32" s="445"/>
      <c r="AK32" s="443"/>
      <c r="AL32" s="440"/>
      <c r="AM32" s="441"/>
      <c r="AN32" s="445"/>
      <c r="AO32" s="443"/>
      <c r="AP32" s="440"/>
      <c r="AQ32" s="441"/>
      <c r="AR32" s="445"/>
      <c r="AS32" s="443"/>
      <c r="AT32" s="103">
        <f t="shared" si="0"/>
        <v>1</v>
      </c>
      <c r="AU32" s="446">
        <f t="shared" si="1"/>
        <v>1</v>
      </c>
    </row>
    <row r="33" spans="2:47" s="90" customFormat="1" ht="22.5" x14ac:dyDescent="0.25">
      <c r="B33" s="91">
        <v>18</v>
      </c>
      <c r="C33" s="91" t="s">
        <v>38</v>
      </c>
      <c r="D33" s="435">
        <v>30137533</v>
      </c>
      <c r="E33" s="436" t="s">
        <v>149</v>
      </c>
      <c r="F33" s="436" t="s">
        <v>45</v>
      </c>
      <c r="G33" s="437" t="s">
        <v>124</v>
      </c>
      <c r="H33" s="449" t="s">
        <v>147</v>
      </c>
      <c r="I33" s="438" t="s">
        <v>42</v>
      </c>
      <c r="J33" s="438">
        <v>1550317</v>
      </c>
      <c r="K33" s="439">
        <v>9250</v>
      </c>
      <c r="L33" s="439">
        <v>1541066</v>
      </c>
      <c r="M33" s="439">
        <v>0</v>
      </c>
      <c r="N33" s="439">
        <v>0</v>
      </c>
      <c r="O33" s="439">
        <v>0</v>
      </c>
      <c r="P33" s="439">
        <v>0</v>
      </c>
      <c r="Q33" s="439">
        <v>0</v>
      </c>
      <c r="R33" s="439">
        <v>0</v>
      </c>
      <c r="S33" s="439">
        <v>0</v>
      </c>
      <c r="T33" s="439">
        <v>0</v>
      </c>
      <c r="U33" s="439">
        <v>0</v>
      </c>
      <c r="V33" s="439">
        <v>0</v>
      </c>
      <c r="W33" s="439">
        <v>0</v>
      </c>
      <c r="X33" s="439">
        <v>0</v>
      </c>
      <c r="Y33" s="439">
        <f t="shared" si="2"/>
        <v>0</v>
      </c>
      <c r="Z33" s="440">
        <v>1</v>
      </c>
      <c r="AA33" s="441">
        <v>6</v>
      </c>
      <c r="AB33" s="442">
        <v>44249</v>
      </c>
      <c r="AC33" s="443">
        <v>44272</v>
      </c>
      <c r="AD33" s="440"/>
      <c r="AE33" s="444"/>
      <c r="AF33" s="442"/>
      <c r="AG33" s="443"/>
      <c r="AH33" s="440"/>
      <c r="AI33" s="441"/>
      <c r="AJ33" s="445"/>
      <c r="AK33" s="443"/>
      <c r="AL33" s="440"/>
      <c r="AM33" s="441"/>
      <c r="AN33" s="445"/>
      <c r="AO33" s="443"/>
      <c r="AP33" s="440"/>
      <c r="AQ33" s="441"/>
      <c r="AR33" s="445"/>
      <c r="AS33" s="443"/>
      <c r="AT33" s="103">
        <f t="shared" si="0"/>
        <v>1</v>
      </c>
      <c r="AU33" s="446">
        <f t="shared" si="1"/>
        <v>1</v>
      </c>
    </row>
    <row r="34" spans="2:47" s="90" customFormat="1" ht="22.5" x14ac:dyDescent="0.25">
      <c r="B34" s="91">
        <v>19</v>
      </c>
      <c r="C34" s="91" t="s">
        <v>38</v>
      </c>
      <c r="D34" s="435">
        <v>30164922</v>
      </c>
      <c r="E34" s="436" t="s">
        <v>150</v>
      </c>
      <c r="F34" s="436" t="s">
        <v>45</v>
      </c>
      <c r="G34" s="437" t="s">
        <v>124</v>
      </c>
      <c r="H34" s="449" t="s">
        <v>127</v>
      </c>
      <c r="I34" s="438" t="s">
        <v>42</v>
      </c>
      <c r="J34" s="438">
        <v>3258344</v>
      </c>
      <c r="K34" s="439">
        <v>34612</v>
      </c>
      <c r="L34" s="439">
        <v>2962432</v>
      </c>
      <c r="M34" s="439">
        <v>0</v>
      </c>
      <c r="N34" s="439">
        <v>0</v>
      </c>
      <c r="O34" s="439">
        <v>0</v>
      </c>
      <c r="P34" s="439">
        <v>0</v>
      </c>
      <c r="Q34" s="439">
        <v>0</v>
      </c>
      <c r="R34" s="439">
        <v>0</v>
      </c>
      <c r="S34" s="439">
        <v>0</v>
      </c>
      <c r="T34" s="439">
        <v>0</v>
      </c>
      <c r="U34" s="439">
        <v>0</v>
      </c>
      <c r="V34" s="439">
        <v>0</v>
      </c>
      <c r="W34" s="439">
        <v>0</v>
      </c>
      <c r="X34" s="439">
        <v>0</v>
      </c>
      <c r="Y34" s="439">
        <f t="shared" si="2"/>
        <v>0</v>
      </c>
      <c r="Z34" s="440">
        <v>261300</v>
      </c>
      <c r="AA34" s="441">
        <v>1</v>
      </c>
      <c r="AB34" s="442">
        <v>44201</v>
      </c>
      <c r="AC34" s="443">
        <v>44221</v>
      </c>
      <c r="AD34" s="440"/>
      <c r="AE34" s="444"/>
      <c r="AF34" s="442"/>
      <c r="AG34" s="443"/>
      <c r="AH34" s="440"/>
      <c r="AI34" s="441"/>
      <c r="AJ34" s="445"/>
      <c r="AK34" s="443"/>
      <c r="AL34" s="440"/>
      <c r="AM34" s="441"/>
      <c r="AN34" s="445"/>
      <c r="AO34" s="443"/>
      <c r="AP34" s="440"/>
      <c r="AQ34" s="441"/>
      <c r="AR34" s="445"/>
      <c r="AS34" s="443"/>
      <c r="AT34" s="103">
        <f t="shared" si="0"/>
        <v>261300</v>
      </c>
      <c r="AU34" s="446">
        <f t="shared" si="1"/>
        <v>261300</v>
      </c>
    </row>
    <row r="35" spans="2:47" s="90" customFormat="1" ht="22.5" x14ac:dyDescent="0.25">
      <c r="B35" s="91">
        <v>20</v>
      </c>
      <c r="C35" s="91" t="s">
        <v>38</v>
      </c>
      <c r="D35" s="435">
        <v>30167472</v>
      </c>
      <c r="E35" s="436" t="s">
        <v>151</v>
      </c>
      <c r="F35" s="436" t="s">
        <v>45</v>
      </c>
      <c r="G35" s="437" t="s">
        <v>124</v>
      </c>
      <c r="H35" s="449" t="s">
        <v>152</v>
      </c>
      <c r="I35" s="438" t="s">
        <v>42</v>
      </c>
      <c r="J35" s="438">
        <v>1700838</v>
      </c>
      <c r="K35" s="439">
        <v>1157952</v>
      </c>
      <c r="L35" s="439">
        <v>0</v>
      </c>
      <c r="M35" s="439">
        <v>0</v>
      </c>
      <c r="N35" s="439">
        <v>0</v>
      </c>
      <c r="O35" s="439">
        <v>0</v>
      </c>
      <c r="P35" s="439">
        <v>0</v>
      </c>
      <c r="Q35" s="439">
        <v>0</v>
      </c>
      <c r="R35" s="439">
        <v>0</v>
      </c>
      <c r="S35" s="439">
        <v>0</v>
      </c>
      <c r="T35" s="439">
        <v>0</v>
      </c>
      <c r="U35" s="439">
        <v>0</v>
      </c>
      <c r="V35" s="439">
        <v>0</v>
      </c>
      <c r="W35" s="439">
        <v>0</v>
      </c>
      <c r="X35" s="439">
        <v>0</v>
      </c>
      <c r="Y35" s="439">
        <f t="shared" si="2"/>
        <v>0</v>
      </c>
      <c r="Z35" s="440">
        <v>542886</v>
      </c>
      <c r="AA35" s="441">
        <v>1</v>
      </c>
      <c r="AB35" s="442">
        <v>44201</v>
      </c>
      <c r="AC35" s="443">
        <v>44221</v>
      </c>
      <c r="AD35" s="440"/>
      <c r="AE35" s="444"/>
      <c r="AF35" s="442"/>
      <c r="AG35" s="443"/>
      <c r="AH35" s="440"/>
      <c r="AI35" s="441"/>
      <c r="AJ35" s="445"/>
      <c r="AK35" s="443"/>
      <c r="AL35" s="440"/>
      <c r="AM35" s="441"/>
      <c r="AN35" s="445"/>
      <c r="AO35" s="443"/>
      <c r="AP35" s="440"/>
      <c r="AQ35" s="441"/>
      <c r="AR35" s="445"/>
      <c r="AS35" s="443"/>
      <c r="AT35" s="103">
        <f t="shared" si="0"/>
        <v>542886</v>
      </c>
      <c r="AU35" s="446">
        <f t="shared" si="1"/>
        <v>542886</v>
      </c>
    </row>
    <row r="36" spans="2:47" s="90" customFormat="1" ht="22.5" x14ac:dyDescent="0.25">
      <c r="B36" s="91">
        <v>21</v>
      </c>
      <c r="C36" s="91" t="s">
        <v>38</v>
      </c>
      <c r="D36" s="435">
        <v>30302873</v>
      </c>
      <c r="E36" s="436" t="s">
        <v>153</v>
      </c>
      <c r="F36" s="436" t="s">
        <v>45</v>
      </c>
      <c r="G36" s="437" t="s">
        <v>124</v>
      </c>
      <c r="H36" s="449"/>
      <c r="I36" s="438" t="s">
        <v>43</v>
      </c>
      <c r="J36" s="438">
        <v>3791282</v>
      </c>
      <c r="K36" s="439">
        <v>5219</v>
      </c>
      <c r="L36" s="439">
        <v>3624417</v>
      </c>
      <c r="M36" s="439">
        <v>0</v>
      </c>
      <c r="N36" s="439">
        <v>0</v>
      </c>
      <c r="O36" s="439">
        <v>0</v>
      </c>
      <c r="P36" s="439">
        <v>0</v>
      </c>
      <c r="Q36" s="439">
        <v>0</v>
      </c>
      <c r="R36" s="439">
        <v>0</v>
      </c>
      <c r="S36" s="439">
        <v>0</v>
      </c>
      <c r="T36" s="439">
        <v>0</v>
      </c>
      <c r="U36" s="439">
        <v>0</v>
      </c>
      <c r="V36" s="439">
        <v>0</v>
      </c>
      <c r="W36" s="439">
        <v>0</v>
      </c>
      <c r="X36" s="439">
        <v>0</v>
      </c>
      <c r="Y36" s="439">
        <f t="shared" si="2"/>
        <v>0</v>
      </c>
      <c r="Z36" s="440">
        <v>161646</v>
      </c>
      <c r="AA36" s="441">
        <v>11</v>
      </c>
      <c r="AB36" s="442">
        <v>44270</v>
      </c>
      <c r="AC36" s="443">
        <v>44287</v>
      </c>
      <c r="AD36" s="440"/>
      <c r="AE36" s="444"/>
      <c r="AF36" s="442"/>
      <c r="AG36" s="443"/>
      <c r="AH36" s="440"/>
      <c r="AI36" s="441"/>
      <c r="AJ36" s="445"/>
      <c r="AK36" s="443"/>
      <c r="AL36" s="440"/>
      <c r="AM36" s="441"/>
      <c r="AN36" s="445"/>
      <c r="AO36" s="443"/>
      <c r="AP36" s="440"/>
      <c r="AQ36" s="441"/>
      <c r="AR36" s="445"/>
      <c r="AS36" s="443"/>
      <c r="AT36" s="103">
        <f t="shared" si="0"/>
        <v>161646</v>
      </c>
      <c r="AU36" s="446">
        <f t="shared" si="1"/>
        <v>161646</v>
      </c>
    </row>
    <row r="37" spans="2:47" s="90" customFormat="1" ht="22.5" x14ac:dyDescent="0.25">
      <c r="B37" s="91">
        <v>22</v>
      </c>
      <c r="C37" s="91" t="s">
        <v>38</v>
      </c>
      <c r="D37" s="435">
        <v>30344426</v>
      </c>
      <c r="E37" s="436" t="s">
        <v>154</v>
      </c>
      <c r="F37" s="436" t="s">
        <v>45</v>
      </c>
      <c r="G37" s="437" t="s">
        <v>124</v>
      </c>
      <c r="H37" s="449"/>
      <c r="I37" s="438" t="s">
        <v>43</v>
      </c>
      <c r="J37" s="438">
        <v>2708885</v>
      </c>
      <c r="K37" s="439">
        <v>5006</v>
      </c>
      <c r="L37" s="439">
        <v>2708884</v>
      </c>
      <c r="M37" s="439">
        <v>0</v>
      </c>
      <c r="N37" s="439">
        <v>0</v>
      </c>
      <c r="O37" s="439">
        <v>0</v>
      </c>
      <c r="P37" s="439">
        <v>0</v>
      </c>
      <c r="Q37" s="439">
        <v>0</v>
      </c>
      <c r="R37" s="439">
        <v>0</v>
      </c>
      <c r="S37" s="439">
        <v>0</v>
      </c>
      <c r="T37" s="439">
        <v>0</v>
      </c>
      <c r="U37" s="439">
        <v>0</v>
      </c>
      <c r="V37" s="439">
        <v>0</v>
      </c>
      <c r="W37" s="439">
        <v>0</v>
      </c>
      <c r="X37" s="439">
        <v>0</v>
      </c>
      <c r="Y37" s="439">
        <f t="shared" si="2"/>
        <v>0</v>
      </c>
      <c r="Z37" s="440">
        <v>10</v>
      </c>
      <c r="AA37" s="441">
        <v>11</v>
      </c>
      <c r="AB37" s="442">
        <v>44270</v>
      </c>
      <c r="AC37" s="443">
        <v>44287</v>
      </c>
      <c r="AD37" s="440"/>
      <c r="AE37" s="444"/>
      <c r="AF37" s="442"/>
      <c r="AG37" s="443"/>
      <c r="AH37" s="440"/>
      <c r="AI37" s="441"/>
      <c r="AJ37" s="445"/>
      <c r="AK37" s="443"/>
      <c r="AL37" s="440"/>
      <c r="AM37" s="441"/>
      <c r="AN37" s="445"/>
      <c r="AO37" s="443"/>
      <c r="AP37" s="440"/>
      <c r="AQ37" s="441"/>
      <c r="AR37" s="445"/>
      <c r="AS37" s="443"/>
      <c r="AT37" s="103">
        <f t="shared" si="0"/>
        <v>10</v>
      </c>
      <c r="AU37" s="446">
        <f t="shared" si="1"/>
        <v>10</v>
      </c>
    </row>
    <row r="38" spans="2:47" s="90" customFormat="1" ht="22.5" x14ac:dyDescent="0.25">
      <c r="B38" s="91">
        <v>23</v>
      </c>
      <c r="C38" s="91" t="s">
        <v>38</v>
      </c>
      <c r="D38" s="435">
        <v>30360227</v>
      </c>
      <c r="E38" s="436" t="s">
        <v>155</v>
      </c>
      <c r="F38" s="436" t="s">
        <v>45</v>
      </c>
      <c r="G38" s="437" t="s">
        <v>124</v>
      </c>
      <c r="H38" s="449" t="s">
        <v>127</v>
      </c>
      <c r="I38" s="438" t="s">
        <v>42</v>
      </c>
      <c r="J38" s="438">
        <v>515692</v>
      </c>
      <c r="K38" s="439">
        <v>498011</v>
      </c>
      <c r="L38" s="439">
        <v>8815</v>
      </c>
      <c r="M38" s="439">
        <v>0</v>
      </c>
      <c r="N38" s="439">
        <v>0</v>
      </c>
      <c r="O38" s="439">
        <v>0</v>
      </c>
      <c r="P38" s="439">
        <v>0</v>
      </c>
      <c r="Q38" s="439">
        <v>0</v>
      </c>
      <c r="R38" s="439">
        <v>0</v>
      </c>
      <c r="S38" s="439">
        <v>0</v>
      </c>
      <c r="T38" s="439">
        <v>0</v>
      </c>
      <c r="U38" s="439">
        <v>0</v>
      </c>
      <c r="V38" s="439">
        <v>0</v>
      </c>
      <c r="W38" s="439">
        <v>0</v>
      </c>
      <c r="X38" s="439">
        <v>0</v>
      </c>
      <c r="Y38" s="439">
        <f t="shared" si="2"/>
        <v>0</v>
      </c>
      <c r="Z38" s="440">
        <v>8866</v>
      </c>
      <c r="AA38" s="441">
        <v>1</v>
      </c>
      <c r="AB38" s="442">
        <v>44201</v>
      </c>
      <c r="AC38" s="443">
        <v>44221</v>
      </c>
      <c r="AD38" s="440"/>
      <c r="AE38" s="444"/>
      <c r="AF38" s="442"/>
      <c r="AG38" s="443"/>
      <c r="AH38" s="440"/>
      <c r="AI38" s="441"/>
      <c r="AJ38" s="445"/>
      <c r="AK38" s="443"/>
      <c r="AL38" s="440"/>
      <c r="AM38" s="441"/>
      <c r="AN38" s="445"/>
      <c r="AO38" s="443"/>
      <c r="AP38" s="440"/>
      <c r="AQ38" s="441"/>
      <c r="AR38" s="445"/>
      <c r="AS38" s="443"/>
      <c r="AT38" s="103">
        <f t="shared" si="0"/>
        <v>8866</v>
      </c>
      <c r="AU38" s="446">
        <f t="shared" si="1"/>
        <v>8866</v>
      </c>
    </row>
    <row r="39" spans="2:47" s="90" customFormat="1" ht="22.5" x14ac:dyDescent="0.25">
      <c r="B39" s="91">
        <v>24</v>
      </c>
      <c r="C39" s="91" t="s">
        <v>38</v>
      </c>
      <c r="D39" s="435">
        <v>30367047</v>
      </c>
      <c r="E39" s="436" t="s">
        <v>156</v>
      </c>
      <c r="F39" s="436" t="s">
        <v>45</v>
      </c>
      <c r="G39" s="437" t="s">
        <v>124</v>
      </c>
      <c r="H39" s="449" t="s">
        <v>138</v>
      </c>
      <c r="I39" s="438" t="s">
        <v>42</v>
      </c>
      <c r="J39" s="438">
        <v>1374911</v>
      </c>
      <c r="K39" s="439">
        <v>1319802</v>
      </c>
      <c r="L39" s="439">
        <v>0</v>
      </c>
      <c r="M39" s="439">
        <v>0</v>
      </c>
      <c r="N39" s="439">
        <v>0</v>
      </c>
      <c r="O39" s="439">
        <v>0</v>
      </c>
      <c r="P39" s="439">
        <v>0</v>
      </c>
      <c r="Q39" s="439">
        <v>0</v>
      </c>
      <c r="R39" s="439">
        <v>0</v>
      </c>
      <c r="S39" s="439">
        <v>0</v>
      </c>
      <c r="T39" s="439">
        <v>0</v>
      </c>
      <c r="U39" s="439">
        <v>0</v>
      </c>
      <c r="V39" s="439">
        <v>0</v>
      </c>
      <c r="W39" s="439">
        <v>0</v>
      </c>
      <c r="X39" s="439">
        <v>0</v>
      </c>
      <c r="Y39" s="439">
        <f t="shared" si="2"/>
        <v>0</v>
      </c>
      <c r="Z39" s="440">
        <v>55109</v>
      </c>
      <c r="AA39" s="441">
        <v>1</v>
      </c>
      <c r="AB39" s="442">
        <v>44201</v>
      </c>
      <c r="AC39" s="443">
        <v>44221</v>
      </c>
      <c r="AD39" s="440"/>
      <c r="AE39" s="444"/>
      <c r="AF39" s="442"/>
      <c r="AG39" s="443"/>
      <c r="AH39" s="440"/>
      <c r="AI39" s="441"/>
      <c r="AJ39" s="445"/>
      <c r="AK39" s="443"/>
      <c r="AL39" s="440"/>
      <c r="AM39" s="441"/>
      <c r="AN39" s="445"/>
      <c r="AO39" s="443"/>
      <c r="AP39" s="440"/>
      <c r="AQ39" s="441"/>
      <c r="AR39" s="445"/>
      <c r="AS39" s="443"/>
      <c r="AT39" s="103">
        <f t="shared" si="0"/>
        <v>55109</v>
      </c>
      <c r="AU39" s="446">
        <f t="shared" si="1"/>
        <v>55109</v>
      </c>
    </row>
    <row r="40" spans="2:47" s="90" customFormat="1" ht="22.5" x14ac:dyDescent="0.25">
      <c r="B40" s="91">
        <v>25</v>
      </c>
      <c r="C40" s="91" t="s">
        <v>38</v>
      </c>
      <c r="D40" s="435">
        <v>30372874</v>
      </c>
      <c r="E40" s="436" t="s">
        <v>157</v>
      </c>
      <c r="F40" s="436" t="s">
        <v>46</v>
      </c>
      <c r="G40" s="437" t="s">
        <v>124</v>
      </c>
      <c r="H40" s="449" t="s">
        <v>134</v>
      </c>
      <c r="I40" s="438" t="s">
        <v>42</v>
      </c>
      <c r="J40" s="438">
        <v>101317</v>
      </c>
      <c r="K40" s="439">
        <v>16636</v>
      </c>
      <c r="L40" s="439">
        <v>0</v>
      </c>
      <c r="M40" s="439">
        <v>0</v>
      </c>
      <c r="N40" s="439">
        <v>0</v>
      </c>
      <c r="O40" s="439">
        <v>0</v>
      </c>
      <c r="P40" s="439">
        <v>0</v>
      </c>
      <c r="Q40" s="439">
        <f>39850000/1000</f>
        <v>39850</v>
      </c>
      <c r="R40" s="439">
        <v>0</v>
      </c>
      <c r="S40" s="439">
        <v>0</v>
      </c>
      <c r="T40" s="439">
        <v>0</v>
      </c>
      <c r="U40" s="439">
        <v>0</v>
      </c>
      <c r="V40" s="439">
        <v>0</v>
      </c>
      <c r="W40" s="439">
        <v>0</v>
      </c>
      <c r="X40" s="439">
        <v>0</v>
      </c>
      <c r="Y40" s="439">
        <f>SUM(M40:X40)</f>
        <v>39850</v>
      </c>
      <c r="Z40" s="440">
        <v>84681</v>
      </c>
      <c r="AA40" s="441">
        <v>1</v>
      </c>
      <c r="AB40" s="442">
        <v>44201</v>
      </c>
      <c r="AC40" s="443">
        <v>44221</v>
      </c>
      <c r="AD40" s="440"/>
      <c r="AE40" s="444"/>
      <c r="AF40" s="442"/>
      <c r="AG40" s="443"/>
      <c r="AH40" s="440"/>
      <c r="AI40" s="441"/>
      <c r="AJ40" s="445"/>
      <c r="AK40" s="443"/>
      <c r="AL40" s="440"/>
      <c r="AM40" s="441"/>
      <c r="AN40" s="445"/>
      <c r="AO40" s="443"/>
      <c r="AP40" s="440"/>
      <c r="AQ40" s="441"/>
      <c r="AR40" s="445"/>
      <c r="AS40" s="443"/>
      <c r="AT40" s="103">
        <f t="shared" si="0"/>
        <v>84681</v>
      </c>
      <c r="AU40" s="446">
        <f t="shared" si="1"/>
        <v>44831</v>
      </c>
    </row>
    <row r="41" spans="2:47" s="90" customFormat="1" ht="22.5" x14ac:dyDescent="0.25">
      <c r="B41" s="91">
        <v>26</v>
      </c>
      <c r="C41" s="91" t="s">
        <v>38</v>
      </c>
      <c r="D41" s="435">
        <v>30394275</v>
      </c>
      <c r="E41" s="436" t="s">
        <v>158</v>
      </c>
      <c r="F41" s="436" t="s">
        <v>45</v>
      </c>
      <c r="G41" s="437" t="s">
        <v>124</v>
      </c>
      <c r="H41" s="449" t="s">
        <v>125</v>
      </c>
      <c r="I41" s="438" t="s">
        <v>42</v>
      </c>
      <c r="J41" s="438">
        <v>2429167</v>
      </c>
      <c r="K41" s="439">
        <v>0</v>
      </c>
      <c r="L41" s="439">
        <v>503070</v>
      </c>
      <c r="M41" s="439">
        <v>0</v>
      </c>
      <c r="N41" s="439">
        <v>0</v>
      </c>
      <c r="O41" s="439">
        <f>107818216/1000</f>
        <v>107818.216</v>
      </c>
      <c r="P41" s="439">
        <v>0</v>
      </c>
      <c r="Q41" s="439">
        <f>29432831/1000</f>
        <v>29432.830999999998</v>
      </c>
      <c r="R41" s="439">
        <f>163020044/1000</f>
        <v>163020.04399999999</v>
      </c>
      <c r="S41" s="439">
        <v>0</v>
      </c>
      <c r="T41" s="439">
        <v>0</v>
      </c>
      <c r="U41" s="439">
        <v>0</v>
      </c>
      <c r="V41" s="439">
        <v>0</v>
      </c>
      <c r="W41" s="439">
        <v>0</v>
      </c>
      <c r="X41" s="439">
        <v>0</v>
      </c>
      <c r="Y41" s="439">
        <f t="shared" si="2"/>
        <v>300271.09100000001</v>
      </c>
      <c r="Z41" s="440">
        <v>1173195</v>
      </c>
      <c r="AA41" s="441">
        <v>6</v>
      </c>
      <c r="AB41" s="442">
        <v>44249</v>
      </c>
      <c r="AC41" s="443">
        <v>44272</v>
      </c>
      <c r="AD41" s="440">
        <v>-13</v>
      </c>
      <c r="AE41" s="444">
        <v>33</v>
      </c>
      <c r="AF41" s="442">
        <v>44344</v>
      </c>
      <c r="AG41" s="443">
        <v>44369</v>
      </c>
      <c r="AH41" s="440"/>
      <c r="AI41" s="441"/>
      <c r="AJ41" s="445"/>
      <c r="AK41" s="443"/>
      <c r="AL41" s="440"/>
      <c r="AM41" s="441"/>
      <c r="AN41" s="445"/>
      <c r="AO41" s="443"/>
      <c r="AP41" s="440"/>
      <c r="AQ41" s="441"/>
      <c r="AR41" s="445"/>
      <c r="AS41" s="443"/>
      <c r="AT41" s="103">
        <f t="shared" si="0"/>
        <v>1173182</v>
      </c>
      <c r="AU41" s="446">
        <f t="shared" si="1"/>
        <v>872910.90899999999</v>
      </c>
    </row>
    <row r="42" spans="2:47" s="90" customFormat="1" ht="22.5" x14ac:dyDescent="0.25">
      <c r="B42" s="91">
        <v>27</v>
      </c>
      <c r="C42" s="91" t="s">
        <v>38</v>
      </c>
      <c r="D42" s="435">
        <v>30402075</v>
      </c>
      <c r="E42" s="436" t="s">
        <v>159</v>
      </c>
      <c r="F42" s="436" t="s">
        <v>45</v>
      </c>
      <c r="G42" s="437" t="s">
        <v>124</v>
      </c>
      <c r="H42" s="449" t="s">
        <v>152</v>
      </c>
      <c r="I42" s="438" t="s">
        <v>42</v>
      </c>
      <c r="J42" s="438">
        <v>2512592</v>
      </c>
      <c r="K42" s="439">
        <v>30980</v>
      </c>
      <c r="L42" s="439">
        <v>2479806</v>
      </c>
      <c r="M42" s="439">
        <v>0</v>
      </c>
      <c r="N42" s="439">
        <v>0</v>
      </c>
      <c r="O42" s="439">
        <v>0</v>
      </c>
      <c r="P42" s="439">
        <v>0</v>
      </c>
      <c r="Q42" s="439">
        <v>0</v>
      </c>
      <c r="R42" s="439">
        <v>0</v>
      </c>
      <c r="S42" s="439">
        <v>0</v>
      </c>
      <c r="T42" s="439">
        <v>0</v>
      </c>
      <c r="U42" s="439">
        <v>0</v>
      </c>
      <c r="V42" s="439">
        <v>0</v>
      </c>
      <c r="W42" s="439">
        <v>0</v>
      </c>
      <c r="X42" s="439">
        <v>0</v>
      </c>
      <c r="Y42" s="439">
        <f t="shared" si="2"/>
        <v>0</v>
      </c>
      <c r="Z42" s="440">
        <v>1806</v>
      </c>
      <c r="AA42" s="441">
        <v>1</v>
      </c>
      <c r="AB42" s="442">
        <v>44201</v>
      </c>
      <c r="AC42" s="443">
        <v>44221</v>
      </c>
      <c r="AD42" s="440"/>
      <c r="AE42" s="444"/>
      <c r="AF42" s="442"/>
      <c r="AG42" s="443"/>
      <c r="AH42" s="440"/>
      <c r="AI42" s="441"/>
      <c r="AJ42" s="445"/>
      <c r="AK42" s="443"/>
      <c r="AL42" s="440"/>
      <c r="AM42" s="441"/>
      <c r="AN42" s="445"/>
      <c r="AO42" s="443"/>
      <c r="AP42" s="440"/>
      <c r="AQ42" s="441"/>
      <c r="AR42" s="445"/>
      <c r="AS42" s="443"/>
      <c r="AT42" s="103">
        <f t="shared" si="0"/>
        <v>1806</v>
      </c>
      <c r="AU42" s="446">
        <f t="shared" si="1"/>
        <v>1806</v>
      </c>
    </row>
    <row r="43" spans="2:47" s="90" customFormat="1" ht="22.5" x14ac:dyDescent="0.25">
      <c r="B43" s="91">
        <v>28</v>
      </c>
      <c r="C43" s="91" t="s">
        <v>38</v>
      </c>
      <c r="D43" s="435">
        <v>30402476</v>
      </c>
      <c r="E43" s="436" t="s">
        <v>160</v>
      </c>
      <c r="F43" s="436" t="s">
        <v>129</v>
      </c>
      <c r="G43" s="437" t="s">
        <v>124</v>
      </c>
      <c r="H43" s="449" t="s">
        <v>138</v>
      </c>
      <c r="I43" s="438" t="s">
        <v>42</v>
      </c>
      <c r="J43" s="438">
        <v>138779</v>
      </c>
      <c r="K43" s="439">
        <v>125576</v>
      </c>
      <c r="L43" s="439">
        <v>0</v>
      </c>
      <c r="M43" s="439">
        <v>0</v>
      </c>
      <c r="N43" s="439">
        <v>0</v>
      </c>
      <c r="O43" s="439">
        <v>0</v>
      </c>
      <c r="P43" s="439">
        <v>0</v>
      </c>
      <c r="Q43" s="439">
        <f>13203288/1000</f>
        <v>13203.288</v>
      </c>
      <c r="R43" s="439">
        <v>0</v>
      </c>
      <c r="S43" s="439">
        <v>0</v>
      </c>
      <c r="T43" s="439">
        <v>0</v>
      </c>
      <c r="U43" s="439">
        <v>0</v>
      </c>
      <c r="V43" s="439">
        <v>0</v>
      </c>
      <c r="W43" s="439">
        <v>0</v>
      </c>
      <c r="X43" s="439">
        <v>0</v>
      </c>
      <c r="Y43" s="439">
        <f t="shared" si="2"/>
        <v>13203.288</v>
      </c>
      <c r="Z43" s="440">
        <v>13203</v>
      </c>
      <c r="AA43" s="441">
        <v>1</v>
      </c>
      <c r="AB43" s="442">
        <v>44201</v>
      </c>
      <c r="AC43" s="443">
        <v>44221</v>
      </c>
      <c r="AD43" s="440"/>
      <c r="AE43" s="444"/>
      <c r="AF43" s="442"/>
      <c r="AG43" s="443"/>
      <c r="AH43" s="440"/>
      <c r="AI43" s="441"/>
      <c r="AJ43" s="445"/>
      <c r="AK43" s="443"/>
      <c r="AL43" s="440"/>
      <c r="AM43" s="441"/>
      <c r="AN43" s="445"/>
      <c r="AO43" s="443"/>
      <c r="AP43" s="440"/>
      <c r="AQ43" s="441"/>
      <c r="AR43" s="445"/>
      <c r="AS43" s="443"/>
      <c r="AT43" s="103">
        <f t="shared" si="0"/>
        <v>13203</v>
      </c>
      <c r="AU43" s="446">
        <f t="shared" si="1"/>
        <v>-0.28800000000046566</v>
      </c>
    </row>
    <row r="44" spans="2:47" s="90" customFormat="1" ht="22.5" x14ac:dyDescent="0.25">
      <c r="B44" s="91">
        <v>29</v>
      </c>
      <c r="C44" s="91" t="s">
        <v>38</v>
      </c>
      <c r="D44" s="435">
        <v>30402478</v>
      </c>
      <c r="E44" s="436" t="s">
        <v>161</v>
      </c>
      <c r="F44" s="436" t="s">
        <v>129</v>
      </c>
      <c r="G44" s="437" t="s">
        <v>124</v>
      </c>
      <c r="H44" s="449" t="s">
        <v>127</v>
      </c>
      <c r="I44" s="438" t="s">
        <v>42</v>
      </c>
      <c r="J44" s="438">
        <v>116793</v>
      </c>
      <c r="K44" s="439">
        <v>110575</v>
      </c>
      <c r="L44" s="439">
        <v>0</v>
      </c>
      <c r="M44" s="439">
        <f>1750000/1000</f>
        <v>1750</v>
      </c>
      <c r="N44" s="439">
        <f>1200000/1000</f>
        <v>1200</v>
      </c>
      <c r="O44" s="439">
        <v>0</v>
      </c>
      <c r="P44" s="439">
        <v>0</v>
      </c>
      <c r="Q44" s="439">
        <v>0</v>
      </c>
      <c r="R44" s="439">
        <v>0</v>
      </c>
      <c r="S44" s="439">
        <v>0</v>
      </c>
      <c r="T44" s="439">
        <v>0</v>
      </c>
      <c r="U44" s="439">
        <v>0</v>
      </c>
      <c r="V44" s="439">
        <v>0</v>
      </c>
      <c r="W44" s="439">
        <v>0</v>
      </c>
      <c r="X44" s="439">
        <v>0</v>
      </c>
      <c r="Y44" s="439">
        <f t="shared" si="2"/>
        <v>2950</v>
      </c>
      <c r="Z44" s="440">
        <v>6218</v>
      </c>
      <c r="AA44" s="441">
        <v>1</v>
      </c>
      <c r="AB44" s="442">
        <v>44201</v>
      </c>
      <c r="AC44" s="443">
        <v>44221</v>
      </c>
      <c r="AD44" s="440"/>
      <c r="AE44" s="444"/>
      <c r="AF44" s="442"/>
      <c r="AG44" s="443"/>
      <c r="AH44" s="440"/>
      <c r="AI44" s="441"/>
      <c r="AJ44" s="445"/>
      <c r="AK44" s="443"/>
      <c r="AL44" s="440"/>
      <c r="AM44" s="441"/>
      <c r="AN44" s="445"/>
      <c r="AO44" s="443"/>
      <c r="AP44" s="440"/>
      <c r="AQ44" s="441"/>
      <c r="AR44" s="445"/>
      <c r="AS44" s="443"/>
      <c r="AT44" s="103">
        <f t="shared" si="0"/>
        <v>6218</v>
      </c>
      <c r="AU44" s="446">
        <f t="shared" si="1"/>
        <v>3268</v>
      </c>
    </row>
    <row r="45" spans="2:47" s="90" customFormat="1" ht="22.5" x14ac:dyDescent="0.25">
      <c r="B45" s="91">
        <v>30</v>
      </c>
      <c r="C45" s="91" t="s">
        <v>38</v>
      </c>
      <c r="D45" s="435">
        <v>30402480</v>
      </c>
      <c r="E45" s="436" t="s">
        <v>162</v>
      </c>
      <c r="F45" s="436" t="s">
        <v>45</v>
      </c>
      <c r="G45" s="437" t="s">
        <v>124</v>
      </c>
      <c r="H45" s="449" t="s">
        <v>127</v>
      </c>
      <c r="I45" s="438" t="s">
        <v>42</v>
      </c>
      <c r="J45" s="438">
        <v>965607</v>
      </c>
      <c r="K45" s="439">
        <v>878873</v>
      </c>
      <c r="L45" s="439">
        <v>0</v>
      </c>
      <c r="M45" s="439">
        <v>0</v>
      </c>
      <c r="N45" s="439"/>
      <c r="O45" s="439">
        <v>0</v>
      </c>
      <c r="P45" s="439">
        <v>0</v>
      </c>
      <c r="Q45" s="439">
        <v>0</v>
      </c>
      <c r="R45" s="439">
        <v>0</v>
      </c>
      <c r="S45" s="439">
        <v>0</v>
      </c>
      <c r="T45" s="439">
        <v>0</v>
      </c>
      <c r="U45" s="439">
        <v>0</v>
      </c>
      <c r="V45" s="439">
        <v>0</v>
      </c>
      <c r="W45" s="439">
        <v>0</v>
      </c>
      <c r="X45" s="439">
        <v>0</v>
      </c>
      <c r="Y45" s="439">
        <f t="shared" si="2"/>
        <v>0</v>
      </c>
      <c r="Z45" s="440">
        <v>86734</v>
      </c>
      <c r="AA45" s="441">
        <v>1</v>
      </c>
      <c r="AB45" s="442">
        <v>44201</v>
      </c>
      <c r="AC45" s="443">
        <v>44221</v>
      </c>
      <c r="AD45" s="440"/>
      <c r="AE45" s="444"/>
      <c r="AF45" s="442"/>
      <c r="AG45" s="443"/>
      <c r="AH45" s="440"/>
      <c r="AI45" s="441"/>
      <c r="AJ45" s="445"/>
      <c r="AK45" s="443"/>
      <c r="AL45" s="440"/>
      <c r="AM45" s="441"/>
      <c r="AN45" s="445"/>
      <c r="AO45" s="443"/>
      <c r="AP45" s="440"/>
      <c r="AQ45" s="441"/>
      <c r="AR45" s="445"/>
      <c r="AS45" s="443"/>
      <c r="AT45" s="103">
        <f t="shared" si="0"/>
        <v>86734</v>
      </c>
      <c r="AU45" s="446">
        <f t="shared" si="1"/>
        <v>86734</v>
      </c>
    </row>
    <row r="46" spans="2:47" s="90" customFormat="1" ht="22.5" x14ac:dyDescent="0.25">
      <c r="B46" s="91">
        <v>31</v>
      </c>
      <c r="C46" s="91" t="s">
        <v>38</v>
      </c>
      <c r="D46" s="435">
        <v>30420635</v>
      </c>
      <c r="E46" s="436" t="s">
        <v>163</v>
      </c>
      <c r="F46" s="436" t="s">
        <v>45</v>
      </c>
      <c r="G46" s="437" t="s">
        <v>124</v>
      </c>
      <c r="H46" s="449" t="s">
        <v>125</v>
      </c>
      <c r="I46" s="438" t="s">
        <v>42</v>
      </c>
      <c r="J46" s="438">
        <v>2016022</v>
      </c>
      <c r="K46" s="439">
        <v>505363</v>
      </c>
      <c r="L46" s="439">
        <v>0</v>
      </c>
      <c r="M46" s="439">
        <v>0</v>
      </c>
      <c r="N46" s="439">
        <f>502758940/1000</f>
        <v>502758.94</v>
      </c>
      <c r="O46" s="439">
        <f>502758940/1000</f>
        <v>502758.94</v>
      </c>
      <c r="P46" s="439">
        <v>0</v>
      </c>
      <c r="Q46" s="439">
        <v>0</v>
      </c>
      <c r="R46" s="439">
        <v>0</v>
      </c>
      <c r="S46" s="439">
        <v>0</v>
      </c>
      <c r="T46" s="439">
        <v>0</v>
      </c>
      <c r="U46" s="439">
        <v>0</v>
      </c>
      <c r="V46" s="439">
        <v>0</v>
      </c>
      <c r="W46" s="439">
        <v>0</v>
      </c>
      <c r="X46" s="439">
        <v>0</v>
      </c>
      <c r="Y46" s="439">
        <f t="shared" si="2"/>
        <v>1005517.88</v>
      </c>
      <c r="Z46" s="440">
        <v>1510659</v>
      </c>
      <c r="AA46" s="441">
        <v>1</v>
      </c>
      <c r="AB46" s="442">
        <v>44201</v>
      </c>
      <c r="AC46" s="443">
        <v>44221</v>
      </c>
      <c r="AD46" s="440"/>
      <c r="AE46" s="444"/>
      <c r="AF46" s="442"/>
      <c r="AG46" s="443"/>
      <c r="AH46" s="440"/>
      <c r="AI46" s="441"/>
      <c r="AJ46" s="445"/>
      <c r="AK46" s="443"/>
      <c r="AL46" s="440"/>
      <c r="AM46" s="441"/>
      <c r="AN46" s="445"/>
      <c r="AO46" s="443"/>
      <c r="AP46" s="440"/>
      <c r="AQ46" s="441"/>
      <c r="AR46" s="445"/>
      <c r="AS46" s="443"/>
      <c r="AT46" s="103">
        <f t="shared" si="0"/>
        <v>1510659</v>
      </c>
      <c r="AU46" s="446">
        <f t="shared" si="1"/>
        <v>505141.12</v>
      </c>
    </row>
    <row r="47" spans="2:47" s="90" customFormat="1" ht="22.5" x14ac:dyDescent="0.25">
      <c r="B47" s="91">
        <v>32</v>
      </c>
      <c r="C47" s="91" t="s">
        <v>38</v>
      </c>
      <c r="D47" s="435">
        <v>30452924</v>
      </c>
      <c r="E47" s="436" t="s">
        <v>164</v>
      </c>
      <c r="F47" s="436" t="s">
        <v>46</v>
      </c>
      <c r="G47" s="437" t="s">
        <v>124</v>
      </c>
      <c r="H47" s="449" t="s">
        <v>125</v>
      </c>
      <c r="I47" s="438" t="s">
        <v>42</v>
      </c>
      <c r="J47" s="438">
        <v>109800</v>
      </c>
      <c r="K47" s="439">
        <v>99368</v>
      </c>
      <c r="L47" s="439">
        <v>0</v>
      </c>
      <c r="M47" s="439">
        <v>0</v>
      </c>
      <c r="N47" s="439">
        <v>0</v>
      </c>
      <c r="O47" s="439">
        <v>0</v>
      </c>
      <c r="P47" s="439">
        <v>0</v>
      </c>
      <c r="Q47" s="439">
        <v>0</v>
      </c>
      <c r="R47" s="439">
        <v>0</v>
      </c>
      <c r="S47" s="439">
        <v>0</v>
      </c>
      <c r="T47" s="439">
        <v>0</v>
      </c>
      <c r="U47" s="439">
        <v>0</v>
      </c>
      <c r="V47" s="439">
        <v>0</v>
      </c>
      <c r="W47" s="439">
        <v>0</v>
      </c>
      <c r="X47" s="439">
        <v>0</v>
      </c>
      <c r="Y47" s="439">
        <f t="shared" si="2"/>
        <v>0</v>
      </c>
      <c r="Z47" s="440">
        <v>10432</v>
      </c>
      <c r="AA47" s="441">
        <v>1</v>
      </c>
      <c r="AB47" s="442">
        <v>44201</v>
      </c>
      <c r="AC47" s="443">
        <v>44221</v>
      </c>
      <c r="AD47" s="440"/>
      <c r="AE47" s="444"/>
      <c r="AF47" s="442"/>
      <c r="AG47" s="443"/>
      <c r="AH47" s="440"/>
      <c r="AI47" s="441"/>
      <c r="AJ47" s="445"/>
      <c r="AK47" s="443"/>
      <c r="AL47" s="440"/>
      <c r="AM47" s="441"/>
      <c r="AN47" s="445"/>
      <c r="AO47" s="443"/>
      <c r="AP47" s="440"/>
      <c r="AQ47" s="441"/>
      <c r="AR47" s="445"/>
      <c r="AS47" s="443"/>
      <c r="AT47" s="103">
        <f t="shared" si="0"/>
        <v>10432</v>
      </c>
      <c r="AU47" s="446">
        <f t="shared" si="1"/>
        <v>10432</v>
      </c>
    </row>
    <row r="48" spans="2:47" s="90" customFormat="1" ht="22.5" x14ac:dyDescent="0.25">
      <c r="B48" s="91">
        <v>33</v>
      </c>
      <c r="C48" s="91" t="s">
        <v>38</v>
      </c>
      <c r="D48" s="435">
        <v>30457676</v>
      </c>
      <c r="E48" s="436" t="s">
        <v>165</v>
      </c>
      <c r="F48" s="436" t="s">
        <v>45</v>
      </c>
      <c r="G48" s="437" t="s">
        <v>124</v>
      </c>
      <c r="H48" s="449" t="s">
        <v>127</v>
      </c>
      <c r="I48" s="438" t="s">
        <v>42</v>
      </c>
      <c r="J48" s="438">
        <v>6733583</v>
      </c>
      <c r="K48" s="439">
        <v>10123</v>
      </c>
      <c r="L48" s="439">
        <v>2211503</v>
      </c>
      <c r="M48" s="439">
        <v>0</v>
      </c>
      <c r="N48" s="439">
        <v>0</v>
      </c>
      <c r="O48" s="439">
        <v>0</v>
      </c>
      <c r="P48" s="439">
        <v>0</v>
      </c>
      <c r="Q48" s="439">
        <v>0</v>
      </c>
      <c r="R48" s="439">
        <v>0</v>
      </c>
      <c r="S48" s="439">
        <v>0</v>
      </c>
      <c r="T48" s="439">
        <v>0</v>
      </c>
      <c r="U48" s="439">
        <v>0</v>
      </c>
      <c r="V48" s="439">
        <v>0</v>
      </c>
      <c r="W48" s="439">
        <v>0</v>
      </c>
      <c r="X48" s="439">
        <v>0</v>
      </c>
      <c r="Y48" s="439">
        <f t="shared" si="2"/>
        <v>0</v>
      </c>
      <c r="Z48" s="440">
        <v>1223341</v>
      </c>
      <c r="AA48" s="441">
        <v>6</v>
      </c>
      <c r="AB48" s="442">
        <v>44249</v>
      </c>
      <c r="AC48" s="443">
        <v>44272</v>
      </c>
      <c r="AD48" s="440">
        <v>18098</v>
      </c>
      <c r="AE48" s="444">
        <v>33</v>
      </c>
      <c r="AF48" s="442">
        <v>44344</v>
      </c>
      <c r="AG48" s="443">
        <v>44369</v>
      </c>
      <c r="AH48" s="440"/>
      <c r="AI48" s="441"/>
      <c r="AJ48" s="445"/>
      <c r="AK48" s="443"/>
      <c r="AL48" s="440"/>
      <c r="AM48" s="441"/>
      <c r="AN48" s="445"/>
      <c r="AO48" s="443"/>
      <c r="AP48" s="440"/>
      <c r="AQ48" s="441"/>
      <c r="AR48" s="445"/>
      <c r="AS48" s="443"/>
      <c r="AT48" s="103">
        <f t="shared" si="0"/>
        <v>1241439</v>
      </c>
      <c r="AU48" s="446">
        <f t="shared" si="1"/>
        <v>1241439</v>
      </c>
    </row>
    <row r="49" spans="2:47" s="90" customFormat="1" ht="22.5" x14ac:dyDescent="0.25">
      <c r="B49" s="91">
        <v>34</v>
      </c>
      <c r="C49" s="91" t="s">
        <v>38</v>
      </c>
      <c r="D49" s="435">
        <v>30457688</v>
      </c>
      <c r="E49" s="436" t="s">
        <v>166</v>
      </c>
      <c r="F49" s="436" t="s">
        <v>45</v>
      </c>
      <c r="G49" s="437" t="s">
        <v>124</v>
      </c>
      <c r="H49" s="449" t="s">
        <v>127</v>
      </c>
      <c r="I49" s="438" t="s">
        <v>42</v>
      </c>
      <c r="J49" s="438">
        <v>3181323</v>
      </c>
      <c r="K49" s="439">
        <v>2379579</v>
      </c>
      <c r="L49" s="439">
        <v>0</v>
      </c>
      <c r="M49" s="439">
        <v>0</v>
      </c>
      <c r="N49" s="439">
        <v>0</v>
      </c>
      <c r="O49" s="439">
        <v>0</v>
      </c>
      <c r="P49" s="439">
        <v>0</v>
      </c>
      <c r="Q49" s="439">
        <v>0</v>
      </c>
      <c r="R49" s="439">
        <v>0</v>
      </c>
      <c r="S49" s="439">
        <v>0</v>
      </c>
      <c r="T49" s="439">
        <v>0</v>
      </c>
      <c r="U49" s="439">
        <v>0</v>
      </c>
      <c r="V49" s="439">
        <v>0</v>
      </c>
      <c r="W49" s="439">
        <v>0</v>
      </c>
      <c r="X49" s="439">
        <v>0</v>
      </c>
      <c r="Y49" s="439">
        <f t="shared" si="2"/>
        <v>0</v>
      </c>
      <c r="Z49" s="440">
        <v>801744</v>
      </c>
      <c r="AA49" s="441">
        <v>1</v>
      </c>
      <c r="AB49" s="442">
        <v>44201</v>
      </c>
      <c r="AC49" s="443">
        <v>44221</v>
      </c>
      <c r="AD49" s="440"/>
      <c r="AE49" s="444"/>
      <c r="AF49" s="442"/>
      <c r="AG49" s="443"/>
      <c r="AH49" s="440"/>
      <c r="AI49" s="441"/>
      <c r="AJ49" s="445"/>
      <c r="AK49" s="443"/>
      <c r="AL49" s="440"/>
      <c r="AM49" s="441"/>
      <c r="AN49" s="445"/>
      <c r="AO49" s="443"/>
      <c r="AP49" s="440"/>
      <c r="AQ49" s="441"/>
      <c r="AR49" s="445"/>
      <c r="AS49" s="443"/>
      <c r="AT49" s="103">
        <f t="shared" si="0"/>
        <v>801744</v>
      </c>
      <c r="AU49" s="446">
        <f t="shared" si="1"/>
        <v>801744</v>
      </c>
    </row>
    <row r="50" spans="2:47" s="90" customFormat="1" ht="22.5" x14ac:dyDescent="0.25">
      <c r="B50" s="91">
        <v>35</v>
      </c>
      <c r="C50" s="91" t="s">
        <v>38</v>
      </c>
      <c r="D50" s="435">
        <v>30467138</v>
      </c>
      <c r="E50" s="436" t="s">
        <v>167</v>
      </c>
      <c r="F50" s="436" t="s">
        <v>45</v>
      </c>
      <c r="G50" s="437" t="s">
        <v>124</v>
      </c>
      <c r="H50" s="449" t="s">
        <v>125</v>
      </c>
      <c r="I50" s="438" t="s">
        <v>42</v>
      </c>
      <c r="J50" s="438">
        <v>276152</v>
      </c>
      <c r="K50" s="439">
        <v>262076</v>
      </c>
      <c r="L50" s="439">
        <v>0</v>
      </c>
      <c r="M50" s="439">
        <v>0</v>
      </c>
      <c r="N50" s="439">
        <v>0</v>
      </c>
      <c r="O50" s="439">
        <v>0</v>
      </c>
      <c r="P50" s="439">
        <v>0</v>
      </c>
      <c r="Q50" s="439">
        <f>14075707/1000</f>
        <v>14075.707</v>
      </c>
      <c r="R50" s="439">
        <v>0</v>
      </c>
      <c r="S50" s="439">
        <v>0</v>
      </c>
      <c r="T50" s="439">
        <v>0</v>
      </c>
      <c r="U50" s="439">
        <v>0</v>
      </c>
      <c r="V50" s="439">
        <v>0</v>
      </c>
      <c r="W50" s="439">
        <v>0</v>
      </c>
      <c r="X50" s="439">
        <v>0</v>
      </c>
      <c r="Y50" s="439">
        <f t="shared" si="2"/>
        <v>14075.707</v>
      </c>
      <c r="Z50" s="440">
        <v>14076</v>
      </c>
      <c r="AA50" s="441">
        <v>1</v>
      </c>
      <c r="AB50" s="442">
        <v>44201</v>
      </c>
      <c r="AC50" s="443">
        <v>44221</v>
      </c>
      <c r="AD50" s="440"/>
      <c r="AE50" s="444"/>
      <c r="AF50" s="442"/>
      <c r="AG50" s="443"/>
      <c r="AH50" s="440"/>
      <c r="AI50" s="441"/>
      <c r="AJ50" s="445"/>
      <c r="AK50" s="443"/>
      <c r="AL50" s="440"/>
      <c r="AM50" s="441"/>
      <c r="AN50" s="445"/>
      <c r="AO50" s="443"/>
      <c r="AP50" s="440"/>
      <c r="AQ50" s="441"/>
      <c r="AR50" s="445"/>
      <c r="AS50" s="443"/>
      <c r="AT50" s="103">
        <f t="shared" si="0"/>
        <v>14076</v>
      </c>
      <c r="AU50" s="446">
        <f t="shared" si="1"/>
        <v>0.29299999999966531</v>
      </c>
    </row>
    <row r="51" spans="2:47" s="90" customFormat="1" x14ac:dyDescent="0.25">
      <c r="B51" s="91">
        <v>36</v>
      </c>
      <c r="C51" s="91" t="s">
        <v>38</v>
      </c>
      <c r="D51" s="435">
        <v>30474249</v>
      </c>
      <c r="E51" s="436" t="s">
        <v>168</v>
      </c>
      <c r="F51" s="436" t="s">
        <v>45</v>
      </c>
      <c r="G51" s="437" t="s">
        <v>124</v>
      </c>
      <c r="H51" s="449" t="s">
        <v>125</v>
      </c>
      <c r="I51" s="438" t="s">
        <v>42</v>
      </c>
      <c r="J51" s="438">
        <v>101632</v>
      </c>
      <c r="K51" s="439">
        <v>0</v>
      </c>
      <c r="L51" s="439">
        <v>0</v>
      </c>
      <c r="M51" s="439">
        <v>0</v>
      </c>
      <c r="N51" s="439">
        <v>0</v>
      </c>
      <c r="O51" s="439">
        <v>0</v>
      </c>
      <c r="P51" s="439">
        <v>0</v>
      </c>
      <c r="Q51" s="439">
        <v>0</v>
      </c>
      <c r="R51" s="439">
        <v>0</v>
      </c>
      <c r="S51" s="439">
        <v>0</v>
      </c>
      <c r="T51" s="439">
        <v>0</v>
      </c>
      <c r="U51" s="439">
        <v>0</v>
      </c>
      <c r="V51" s="439">
        <v>0</v>
      </c>
      <c r="W51" s="439">
        <v>0</v>
      </c>
      <c r="X51" s="439">
        <v>0</v>
      </c>
      <c r="Y51" s="439">
        <f t="shared" si="2"/>
        <v>0</v>
      </c>
      <c r="Z51" s="440">
        <v>101632</v>
      </c>
      <c r="AA51" s="441">
        <v>1</v>
      </c>
      <c r="AB51" s="442">
        <v>44201</v>
      </c>
      <c r="AC51" s="443">
        <v>44221</v>
      </c>
      <c r="AD51" s="440"/>
      <c r="AE51" s="444"/>
      <c r="AF51" s="442"/>
      <c r="AG51" s="443"/>
      <c r="AH51" s="440"/>
      <c r="AI51" s="441"/>
      <c r="AJ51" s="445"/>
      <c r="AK51" s="443"/>
      <c r="AL51" s="440"/>
      <c r="AM51" s="441"/>
      <c r="AN51" s="445"/>
      <c r="AO51" s="443"/>
      <c r="AP51" s="440"/>
      <c r="AQ51" s="441"/>
      <c r="AR51" s="445"/>
      <c r="AS51" s="443"/>
      <c r="AT51" s="103">
        <f t="shared" si="0"/>
        <v>101632</v>
      </c>
      <c r="AU51" s="446">
        <f t="shared" si="1"/>
        <v>101632</v>
      </c>
    </row>
    <row r="52" spans="2:47" s="90" customFormat="1" ht="22.5" x14ac:dyDescent="0.25">
      <c r="B52" s="91">
        <v>37</v>
      </c>
      <c r="C52" s="91" t="s">
        <v>38</v>
      </c>
      <c r="D52" s="435">
        <v>30479810</v>
      </c>
      <c r="E52" s="436" t="s">
        <v>169</v>
      </c>
      <c r="F52" s="436" t="s">
        <v>45</v>
      </c>
      <c r="G52" s="437" t="s">
        <v>124</v>
      </c>
      <c r="H52" s="449" t="s">
        <v>130</v>
      </c>
      <c r="I52" s="438" t="s">
        <v>42</v>
      </c>
      <c r="J52" s="438">
        <v>1075362</v>
      </c>
      <c r="K52" s="439">
        <v>716180</v>
      </c>
      <c r="L52" s="439">
        <v>0</v>
      </c>
      <c r="M52" s="439">
        <v>0</v>
      </c>
      <c r="N52" s="439">
        <f>31403108/1000</f>
        <v>31403.108</v>
      </c>
      <c r="O52" s="439">
        <f>80814368/1000</f>
        <v>80814.368000000002</v>
      </c>
      <c r="P52" s="439">
        <f>32637477/1000</f>
        <v>32637.476999999999</v>
      </c>
      <c r="Q52" s="439">
        <f>14049008/1000</f>
        <v>14049.008</v>
      </c>
      <c r="R52" s="439">
        <f>1248167/1000</f>
        <v>1248.1669999999999</v>
      </c>
      <c r="S52" s="439">
        <v>0</v>
      </c>
      <c r="T52" s="439">
        <v>0</v>
      </c>
      <c r="U52" s="439">
        <v>0</v>
      </c>
      <c r="V52" s="439">
        <v>0</v>
      </c>
      <c r="W52" s="439">
        <v>0</v>
      </c>
      <c r="X52" s="439">
        <v>0</v>
      </c>
      <c r="Y52" s="439">
        <f t="shared" si="2"/>
        <v>160152.12799999997</v>
      </c>
      <c r="Z52" s="440">
        <v>359182</v>
      </c>
      <c r="AA52" s="441">
        <v>1</v>
      </c>
      <c r="AB52" s="442">
        <v>44201</v>
      </c>
      <c r="AC52" s="443">
        <v>44221</v>
      </c>
      <c r="AD52" s="440"/>
      <c r="AE52" s="444"/>
      <c r="AF52" s="442"/>
      <c r="AG52" s="443"/>
      <c r="AH52" s="440"/>
      <c r="AI52" s="441"/>
      <c r="AJ52" s="445"/>
      <c r="AK52" s="443"/>
      <c r="AL52" s="440"/>
      <c r="AM52" s="441"/>
      <c r="AN52" s="445"/>
      <c r="AO52" s="443"/>
      <c r="AP52" s="440"/>
      <c r="AQ52" s="441"/>
      <c r="AR52" s="445"/>
      <c r="AS52" s="443"/>
      <c r="AT52" s="103">
        <f t="shared" si="0"/>
        <v>359182</v>
      </c>
      <c r="AU52" s="446">
        <f t="shared" si="1"/>
        <v>199029.87200000003</v>
      </c>
    </row>
    <row r="53" spans="2:47" s="90" customFormat="1" ht="22.5" x14ac:dyDescent="0.25">
      <c r="B53" s="91">
        <v>38</v>
      </c>
      <c r="C53" s="91" t="s">
        <v>38</v>
      </c>
      <c r="D53" s="435">
        <v>30481623</v>
      </c>
      <c r="E53" s="436" t="s">
        <v>170</v>
      </c>
      <c r="F53" s="436" t="s">
        <v>46</v>
      </c>
      <c r="G53" s="437" t="s">
        <v>124</v>
      </c>
      <c r="H53" s="449" t="s">
        <v>125</v>
      </c>
      <c r="I53" s="438" t="s">
        <v>42</v>
      </c>
      <c r="J53" s="438">
        <v>114402</v>
      </c>
      <c r="K53" s="439">
        <v>1127</v>
      </c>
      <c r="L53" s="439">
        <v>1</v>
      </c>
      <c r="M53" s="439">
        <v>0</v>
      </c>
      <c r="N53" s="439">
        <v>0</v>
      </c>
      <c r="O53" s="439">
        <v>0</v>
      </c>
      <c r="P53" s="439">
        <v>0</v>
      </c>
      <c r="Q53" s="439">
        <v>0</v>
      </c>
      <c r="R53" s="439">
        <v>0</v>
      </c>
      <c r="S53" s="439">
        <v>0</v>
      </c>
      <c r="T53" s="439">
        <v>0</v>
      </c>
      <c r="U53" s="439">
        <v>0</v>
      </c>
      <c r="V53" s="439">
        <v>0</v>
      </c>
      <c r="W53" s="439">
        <v>0</v>
      </c>
      <c r="X53" s="439">
        <v>0</v>
      </c>
      <c r="Y53" s="439">
        <f>SUM(M53:X53)</f>
        <v>0</v>
      </c>
      <c r="Z53" s="440">
        <v>113274</v>
      </c>
      <c r="AA53" s="441">
        <v>1</v>
      </c>
      <c r="AB53" s="442">
        <v>44201</v>
      </c>
      <c r="AC53" s="443">
        <v>44221</v>
      </c>
      <c r="AD53" s="440"/>
      <c r="AE53" s="444"/>
      <c r="AF53" s="442"/>
      <c r="AG53" s="443"/>
      <c r="AH53" s="440"/>
      <c r="AI53" s="441"/>
      <c r="AJ53" s="445"/>
      <c r="AK53" s="443"/>
      <c r="AL53" s="440"/>
      <c r="AM53" s="441"/>
      <c r="AN53" s="445"/>
      <c r="AO53" s="443"/>
      <c r="AP53" s="440"/>
      <c r="AQ53" s="441"/>
      <c r="AR53" s="445"/>
      <c r="AS53" s="443"/>
      <c r="AT53" s="103">
        <f t="shared" si="0"/>
        <v>113274</v>
      </c>
      <c r="AU53" s="446">
        <f t="shared" si="1"/>
        <v>113274</v>
      </c>
    </row>
    <row r="54" spans="2:47" s="90" customFormat="1" ht="22.5" x14ac:dyDescent="0.25">
      <c r="B54" s="91">
        <v>39</v>
      </c>
      <c r="C54" s="91" t="s">
        <v>40</v>
      </c>
      <c r="D54" s="435">
        <v>30481656</v>
      </c>
      <c r="E54" s="436" t="s">
        <v>171</v>
      </c>
      <c r="F54" s="436" t="s">
        <v>45</v>
      </c>
      <c r="G54" s="437" t="s">
        <v>124</v>
      </c>
      <c r="H54" s="449" t="s">
        <v>134</v>
      </c>
      <c r="I54" s="438" t="s">
        <v>42</v>
      </c>
      <c r="J54" s="438">
        <v>212516</v>
      </c>
      <c r="K54" s="439">
        <v>134916</v>
      </c>
      <c r="L54" s="439">
        <v>0</v>
      </c>
      <c r="M54" s="439">
        <v>0</v>
      </c>
      <c r="N54" s="439">
        <v>0</v>
      </c>
      <c r="O54" s="439">
        <v>0</v>
      </c>
      <c r="P54" s="439">
        <v>0</v>
      </c>
      <c r="Q54" s="439">
        <v>0</v>
      </c>
      <c r="R54" s="439">
        <v>0</v>
      </c>
      <c r="S54" s="439">
        <v>0</v>
      </c>
      <c r="T54" s="439">
        <v>0</v>
      </c>
      <c r="U54" s="439">
        <v>0</v>
      </c>
      <c r="V54" s="439">
        <v>0</v>
      </c>
      <c r="W54" s="439">
        <v>0</v>
      </c>
      <c r="X54" s="439">
        <v>0</v>
      </c>
      <c r="Y54" s="439">
        <f t="shared" si="2"/>
        <v>0</v>
      </c>
      <c r="Z54" s="440">
        <v>77600</v>
      </c>
      <c r="AA54" s="441">
        <v>1</v>
      </c>
      <c r="AB54" s="442">
        <v>44201</v>
      </c>
      <c r="AC54" s="443">
        <v>44221</v>
      </c>
      <c r="AD54" s="440"/>
      <c r="AE54" s="444"/>
      <c r="AF54" s="442"/>
      <c r="AG54" s="443"/>
      <c r="AH54" s="440"/>
      <c r="AI54" s="441"/>
      <c r="AJ54" s="445"/>
      <c r="AK54" s="443"/>
      <c r="AL54" s="440"/>
      <c r="AM54" s="441"/>
      <c r="AN54" s="445"/>
      <c r="AO54" s="443"/>
      <c r="AP54" s="440"/>
      <c r="AQ54" s="441"/>
      <c r="AR54" s="445"/>
      <c r="AS54" s="443"/>
      <c r="AT54" s="103">
        <f t="shared" si="0"/>
        <v>77600</v>
      </c>
      <c r="AU54" s="446">
        <f t="shared" si="1"/>
        <v>77600</v>
      </c>
    </row>
    <row r="55" spans="2:47" s="90" customFormat="1" x14ac:dyDescent="0.25">
      <c r="B55" s="91">
        <v>40</v>
      </c>
      <c r="C55" s="91" t="s">
        <v>38</v>
      </c>
      <c r="D55" s="435">
        <v>30481908</v>
      </c>
      <c r="E55" s="436" t="s">
        <v>172</v>
      </c>
      <c r="F55" s="436" t="s">
        <v>45</v>
      </c>
      <c r="G55" s="437" t="s">
        <v>124</v>
      </c>
      <c r="H55" s="449" t="s">
        <v>130</v>
      </c>
      <c r="I55" s="438" t="s">
        <v>42</v>
      </c>
      <c r="J55" s="438">
        <v>1694579</v>
      </c>
      <c r="K55" s="439">
        <v>753023</v>
      </c>
      <c r="L55" s="439">
        <v>0</v>
      </c>
      <c r="M55" s="439">
        <v>0</v>
      </c>
      <c r="N55" s="439">
        <f>90002195/1000</f>
        <v>90002.195000000007</v>
      </c>
      <c r="O55" s="439">
        <f>170176886/1000</f>
        <v>170176.886</v>
      </c>
      <c r="P55" s="439">
        <f>127522836/1000</f>
        <v>127522.836</v>
      </c>
      <c r="Q55" s="439">
        <f>100140589/1000</f>
        <v>100140.58900000001</v>
      </c>
      <c r="R55" s="439">
        <f>9372269/1000</f>
        <v>9372.2690000000002</v>
      </c>
      <c r="S55" s="439">
        <v>0</v>
      </c>
      <c r="T55" s="439">
        <v>0</v>
      </c>
      <c r="U55" s="439">
        <v>0</v>
      </c>
      <c r="V55" s="439">
        <v>0</v>
      </c>
      <c r="W55" s="439">
        <v>0</v>
      </c>
      <c r="X55" s="439">
        <v>0</v>
      </c>
      <c r="Y55" s="439">
        <f t="shared" si="2"/>
        <v>497214.77500000002</v>
      </c>
      <c r="Z55" s="440">
        <v>941556</v>
      </c>
      <c r="AA55" s="441">
        <v>1</v>
      </c>
      <c r="AB55" s="442">
        <v>44201</v>
      </c>
      <c r="AC55" s="443">
        <v>44221</v>
      </c>
      <c r="AD55" s="440"/>
      <c r="AE55" s="444"/>
      <c r="AF55" s="442"/>
      <c r="AG55" s="443"/>
      <c r="AH55" s="440"/>
      <c r="AI55" s="441"/>
      <c r="AJ55" s="445"/>
      <c r="AK55" s="443"/>
      <c r="AL55" s="440"/>
      <c r="AM55" s="441"/>
      <c r="AN55" s="445"/>
      <c r="AO55" s="443"/>
      <c r="AP55" s="440"/>
      <c r="AQ55" s="441"/>
      <c r="AR55" s="445"/>
      <c r="AS55" s="443"/>
      <c r="AT55" s="103">
        <f t="shared" si="0"/>
        <v>941556</v>
      </c>
      <c r="AU55" s="446">
        <f t="shared" si="1"/>
        <v>444341.22499999998</v>
      </c>
    </row>
    <row r="56" spans="2:47" s="90" customFormat="1" ht="22.5" x14ac:dyDescent="0.25">
      <c r="B56" s="91">
        <v>41</v>
      </c>
      <c r="C56" s="91" t="s">
        <v>38</v>
      </c>
      <c r="D56" s="435">
        <v>30482079</v>
      </c>
      <c r="E56" s="436" t="s">
        <v>173</v>
      </c>
      <c r="F56" s="436" t="s">
        <v>46</v>
      </c>
      <c r="G56" s="437" t="s">
        <v>124</v>
      </c>
      <c r="H56" s="449" t="s">
        <v>134</v>
      </c>
      <c r="I56" s="438" t="s">
        <v>42</v>
      </c>
      <c r="J56" s="438">
        <v>141613</v>
      </c>
      <c r="K56" s="439">
        <v>80742</v>
      </c>
      <c r="L56" s="439">
        <v>0</v>
      </c>
      <c r="M56" s="439">
        <f>28645000/1000</f>
        <v>28645</v>
      </c>
      <c r="N56" s="439">
        <v>0</v>
      </c>
      <c r="O56" s="439">
        <v>0</v>
      </c>
      <c r="P56" s="439">
        <v>0</v>
      </c>
      <c r="Q56" s="439">
        <f>14322500/1000</f>
        <v>14322.5</v>
      </c>
      <c r="R56" s="439">
        <v>0</v>
      </c>
      <c r="S56" s="439">
        <v>0</v>
      </c>
      <c r="T56" s="439">
        <v>0</v>
      </c>
      <c r="U56" s="439">
        <v>0</v>
      </c>
      <c r="V56" s="439">
        <v>0</v>
      </c>
      <c r="W56" s="439">
        <v>0</v>
      </c>
      <c r="X56" s="439">
        <v>0</v>
      </c>
      <c r="Y56" s="439">
        <f t="shared" si="2"/>
        <v>42967.5</v>
      </c>
      <c r="Z56" s="440">
        <v>60871</v>
      </c>
      <c r="AA56" s="441">
        <v>1</v>
      </c>
      <c r="AB56" s="442">
        <v>44201</v>
      </c>
      <c r="AC56" s="443">
        <v>44221</v>
      </c>
      <c r="AD56" s="440"/>
      <c r="AE56" s="444"/>
      <c r="AF56" s="442"/>
      <c r="AG56" s="443"/>
      <c r="AH56" s="440"/>
      <c r="AI56" s="441"/>
      <c r="AJ56" s="445"/>
      <c r="AK56" s="443"/>
      <c r="AL56" s="440"/>
      <c r="AM56" s="441"/>
      <c r="AN56" s="445"/>
      <c r="AO56" s="443"/>
      <c r="AP56" s="440"/>
      <c r="AQ56" s="441"/>
      <c r="AR56" s="445"/>
      <c r="AS56" s="443"/>
      <c r="AT56" s="103">
        <f t="shared" si="0"/>
        <v>60871</v>
      </c>
      <c r="AU56" s="446">
        <f t="shared" si="1"/>
        <v>17903.5</v>
      </c>
    </row>
    <row r="57" spans="2:47" s="90" customFormat="1" ht="33.75" x14ac:dyDescent="0.25">
      <c r="B57" s="91">
        <v>42</v>
      </c>
      <c r="C57" s="91" t="s">
        <v>38</v>
      </c>
      <c r="D57" s="435">
        <v>30483963</v>
      </c>
      <c r="E57" s="436" t="s">
        <v>174</v>
      </c>
      <c r="F57" s="436" t="s">
        <v>129</v>
      </c>
      <c r="G57" s="437" t="s">
        <v>124</v>
      </c>
      <c r="H57" s="449" t="s">
        <v>130</v>
      </c>
      <c r="I57" s="438" t="s">
        <v>42</v>
      </c>
      <c r="J57" s="438">
        <v>110633</v>
      </c>
      <c r="K57" s="439">
        <v>99848</v>
      </c>
      <c r="L57" s="439">
        <v>0</v>
      </c>
      <c r="M57" s="439">
        <v>0</v>
      </c>
      <c r="N57" s="439">
        <f>10785000/1000</f>
        <v>10785</v>
      </c>
      <c r="O57" s="439">
        <v>0</v>
      </c>
      <c r="P57" s="439">
        <v>0</v>
      </c>
      <c r="Q57" s="439">
        <v>0</v>
      </c>
      <c r="R57" s="439">
        <v>0</v>
      </c>
      <c r="S57" s="439">
        <v>0</v>
      </c>
      <c r="T57" s="439">
        <v>0</v>
      </c>
      <c r="U57" s="439">
        <v>0</v>
      </c>
      <c r="V57" s="439">
        <v>0</v>
      </c>
      <c r="W57" s="439">
        <v>0</v>
      </c>
      <c r="X57" s="439">
        <v>0</v>
      </c>
      <c r="Y57" s="439">
        <f t="shared" si="2"/>
        <v>10785</v>
      </c>
      <c r="Z57" s="440">
        <v>10785</v>
      </c>
      <c r="AA57" s="441">
        <v>1</v>
      </c>
      <c r="AB57" s="442">
        <v>44201</v>
      </c>
      <c r="AC57" s="443">
        <v>44221</v>
      </c>
      <c r="AD57" s="440"/>
      <c r="AE57" s="444"/>
      <c r="AF57" s="442"/>
      <c r="AG57" s="443"/>
      <c r="AH57" s="440"/>
      <c r="AI57" s="441"/>
      <c r="AJ57" s="445"/>
      <c r="AK57" s="443"/>
      <c r="AL57" s="440"/>
      <c r="AM57" s="441"/>
      <c r="AN57" s="445"/>
      <c r="AO57" s="443"/>
      <c r="AP57" s="440"/>
      <c r="AQ57" s="441"/>
      <c r="AR57" s="445"/>
      <c r="AS57" s="443"/>
      <c r="AT57" s="103">
        <f t="shared" si="0"/>
        <v>10785</v>
      </c>
      <c r="AU57" s="446">
        <f t="shared" si="1"/>
        <v>0</v>
      </c>
    </row>
    <row r="58" spans="2:47" s="90" customFormat="1" ht="22.5" x14ac:dyDescent="0.25">
      <c r="B58" s="91">
        <v>43</v>
      </c>
      <c r="C58" s="91" t="s">
        <v>38</v>
      </c>
      <c r="D58" s="435">
        <v>30485186</v>
      </c>
      <c r="E58" s="436" t="s">
        <v>175</v>
      </c>
      <c r="F58" s="436" t="s">
        <v>45</v>
      </c>
      <c r="G58" s="437" t="s">
        <v>124</v>
      </c>
      <c r="H58" s="449" t="s">
        <v>127</v>
      </c>
      <c r="I58" s="438" t="s">
        <v>42</v>
      </c>
      <c r="J58" s="438">
        <v>20800518</v>
      </c>
      <c r="K58" s="439">
        <v>1439952</v>
      </c>
      <c r="L58" s="439">
        <v>6444270</v>
      </c>
      <c r="M58" s="439">
        <f>438243884/1000</f>
        <v>438243.88400000002</v>
      </c>
      <c r="N58" s="439">
        <v>0</v>
      </c>
      <c r="O58" s="439">
        <f>148173780/1000</f>
        <v>148173.78</v>
      </c>
      <c r="P58" s="439">
        <f>155209556/1000</f>
        <v>155209.55600000001</v>
      </c>
      <c r="Q58" s="439">
        <f>97540177/1000</f>
        <v>97540.176999999996</v>
      </c>
      <c r="R58" s="439">
        <f>89253976/1000</f>
        <v>89253.975999999995</v>
      </c>
      <c r="S58" s="439">
        <v>0</v>
      </c>
      <c r="T58" s="439">
        <v>0</v>
      </c>
      <c r="U58" s="439">
        <v>0</v>
      </c>
      <c r="V58" s="439">
        <v>0</v>
      </c>
      <c r="W58" s="439">
        <v>0</v>
      </c>
      <c r="X58" s="439">
        <v>0</v>
      </c>
      <c r="Y58" s="439">
        <f t="shared" si="2"/>
        <v>928421.37300000002</v>
      </c>
      <c r="Z58" s="440">
        <v>2661000</v>
      </c>
      <c r="AA58" s="441">
        <v>1</v>
      </c>
      <c r="AB58" s="442">
        <v>44201</v>
      </c>
      <c r="AC58" s="443">
        <v>44221</v>
      </c>
      <c r="AD58" s="440"/>
      <c r="AE58" s="444"/>
      <c r="AF58" s="442"/>
      <c r="AG58" s="443"/>
      <c r="AH58" s="440"/>
      <c r="AI58" s="441"/>
      <c r="AJ58" s="445"/>
      <c r="AK58" s="443"/>
      <c r="AL58" s="440"/>
      <c r="AM58" s="441"/>
      <c r="AN58" s="445"/>
      <c r="AO58" s="443"/>
      <c r="AP58" s="440"/>
      <c r="AQ58" s="441"/>
      <c r="AR58" s="445"/>
      <c r="AS58" s="443"/>
      <c r="AT58" s="103">
        <f t="shared" si="0"/>
        <v>2661000</v>
      </c>
      <c r="AU58" s="446">
        <f t="shared" si="1"/>
        <v>1732578.6269999999</v>
      </c>
    </row>
    <row r="59" spans="2:47" s="90" customFormat="1" ht="22.5" x14ac:dyDescent="0.25">
      <c r="B59" s="91">
        <v>44</v>
      </c>
      <c r="C59" s="91" t="s">
        <v>38</v>
      </c>
      <c r="D59" s="435">
        <v>30486108</v>
      </c>
      <c r="E59" s="436" t="s">
        <v>176</v>
      </c>
      <c r="F59" s="436" t="s">
        <v>46</v>
      </c>
      <c r="G59" s="437" t="s">
        <v>124</v>
      </c>
      <c r="H59" s="449" t="s">
        <v>127</v>
      </c>
      <c r="I59" s="438" t="s">
        <v>42</v>
      </c>
      <c r="J59" s="438">
        <v>232109</v>
      </c>
      <c r="K59" s="439">
        <v>3727</v>
      </c>
      <c r="L59" s="439">
        <v>0</v>
      </c>
      <c r="M59" s="439">
        <v>0</v>
      </c>
      <c r="N59" s="439">
        <v>0</v>
      </c>
      <c r="O59" s="439">
        <f>21699870/1000</f>
        <v>21699.87</v>
      </c>
      <c r="P59" s="439">
        <f>43399739/1000</f>
        <v>43399.739000000001</v>
      </c>
      <c r="Q59" s="439">
        <v>0</v>
      </c>
      <c r="R59" s="439">
        <v>0</v>
      </c>
      <c r="S59" s="439">
        <v>0</v>
      </c>
      <c r="T59" s="439">
        <v>0</v>
      </c>
      <c r="U59" s="439">
        <v>0</v>
      </c>
      <c r="V59" s="439">
        <v>0</v>
      </c>
      <c r="W59" s="439">
        <v>0</v>
      </c>
      <c r="X59" s="439">
        <v>0</v>
      </c>
      <c r="Y59" s="439">
        <f t="shared" si="2"/>
        <v>65099.608999999997</v>
      </c>
      <c r="Z59" s="440">
        <v>228382</v>
      </c>
      <c r="AA59" s="441">
        <v>1</v>
      </c>
      <c r="AB59" s="442">
        <v>44201</v>
      </c>
      <c r="AC59" s="443">
        <v>44221</v>
      </c>
      <c r="AD59" s="440"/>
      <c r="AE59" s="444"/>
      <c r="AF59" s="442"/>
      <c r="AG59" s="443"/>
      <c r="AH59" s="440"/>
      <c r="AI59" s="441"/>
      <c r="AJ59" s="445"/>
      <c r="AK59" s="443"/>
      <c r="AL59" s="440"/>
      <c r="AM59" s="441"/>
      <c r="AN59" s="445"/>
      <c r="AO59" s="443"/>
      <c r="AP59" s="440"/>
      <c r="AQ59" s="441"/>
      <c r="AR59" s="445"/>
      <c r="AS59" s="443"/>
      <c r="AT59" s="103">
        <f t="shared" si="0"/>
        <v>228382</v>
      </c>
      <c r="AU59" s="446">
        <f t="shared" si="1"/>
        <v>163282.391</v>
      </c>
    </row>
    <row r="60" spans="2:47" s="90" customFormat="1" ht="22.5" x14ac:dyDescent="0.25">
      <c r="B60" s="91">
        <v>45</v>
      </c>
      <c r="C60" s="91" t="s">
        <v>38</v>
      </c>
      <c r="D60" s="435">
        <v>30486121</v>
      </c>
      <c r="E60" s="436" t="s">
        <v>177</v>
      </c>
      <c r="F60" s="436" t="s">
        <v>45</v>
      </c>
      <c r="G60" s="437" t="s">
        <v>124</v>
      </c>
      <c r="H60" s="449"/>
      <c r="I60" s="438" t="s">
        <v>43</v>
      </c>
      <c r="J60" s="438">
        <v>2287550</v>
      </c>
      <c r="K60" s="439">
        <v>1766</v>
      </c>
      <c r="L60" s="439">
        <v>2185784</v>
      </c>
      <c r="M60" s="439">
        <v>0</v>
      </c>
      <c r="N60" s="439">
        <v>0</v>
      </c>
      <c r="O60" s="439">
        <v>0</v>
      </c>
      <c r="P60" s="439">
        <v>0</v>
      </c>
      <c r="Q60" s="439">
        <v>0</v>
      </c>
      <c r="R60" s="439">
        <v>0</v>
      </c>
      <c r="S60" s="439">
        <v>0</v>
      </c>
      <c r="T60" s="439">
        <v>0</v>
      </c>
      <c r="U60" s="439">
        <v>0</v>
      </c>
      <c r="V60" s="439">
        <v>0</v>
      </c>
      <c r="W60" s="439">
        <v>0</v>
      </c>
      <c r="X60" s="439">
        <v>0</v>
      </c>
      <c r="Y60" s="439">
        <f t="shared" si="2"/>
        <v>0</v>
      </c>
      <c r="Z60" s="440">
        <v>50</v>
      </c>
      <c r="AA60" s="441">
        <v>11</v>
      </c>
      <c r="AB60" s="442">
        <v>44270</v>
      </c>
      <c r="AC60" s="443">
        <v>44287</v>
      </c>
      <c r="AD60" s="440"/>
      <c r="AE60" s="444"/>
      <c r="AF60" s="442"/>
      <c r="AG60" s="443"/>
      <c r="AH60" s="440"/>
      <c r="AI60" s="441"/>
      <c r="AJ60" s="445"/>
      <c r="AK60" s="443"/>
      <c r="AL60" s="440"/>
      <c r="AM60" s="441"/>
      <c r="AN60" s="445"/>
      <c r="AO60" s="443"/>
      <c r="AP60" s="440"/>
      <c r="AQ60" s="441"/>
      <c r="AR60" s="445"/>
      <c r="AS60" s="443"/>
      <c r="AT60" s="103">
        <f t="shared" si="0"/>
        <v>50</v>
      </c>
      <c r="AU60" s="446">
        <f t="shared" si="1"/>
        <v>50</v>
      </c>
    </row>
    <row r="61" spans="2:47" s="90" customFormat="1" ht="22.5" x14ac:dyDescent="0.25">
      <c r="B61" s="91">
        <v>46</v>
      </c>
      <c r="C61" s="91" t="s">
        <v>38</v>
      </c>
      <c r="D61" s="435">
        <v>30486510</v>
      </c>
      <c r="E61" s="436" t="s">
        <v>178</v>
      </c>
      <c r="F61" s="436" t="s">
        <v>46</v>
      </c>
      <c r="G61" s="437" t="s">
        <v>124</v>
      </c>
      <c r="H61" s="449" t="s">
        <v>127</v>
      </c>
      <c r="I61" s="438" t="s">
        <v>42</v>
      </c>
      <c r="J61" s="438">
        <v>164052</v>
      </c>
      <c r="K61" s="439">
        <v>1268</v>
      </c>
      <c r="L61" s="439">
        <v>1</v>
      </c>
      <c r="M61" s="439">
        <v>0</v>
      </c>
      <c r="N61" s="439">
        <v>0</v>
      </c>
      <c r="O61" s="439">
        <v>0</v>
      </c>
      <c r="P61" s="439">
        <v>0</v>
      </c>
      <c r="Q61" s="439">
        <f>48113555/1000</f>
        <v>48113.555</v>
      </c>
      <c r="R61" s="439">
        <v>0</v>
      </c>
      <c r="S61" s="439">
        <v>0</v>
      </c>
      <c r="T61" s="439">
        <v>0</v>
      </c>
      <c r="U61" s="439">
        <v>0</v>
      </c>
      <c r="V61" s="439">
        <v>0</v>
      </c>
      <c r="W61" s="439">
        <v>0</v>
      </c>
      <c r="X61" s="439">
        <v>0</v>
      </c>
      <c r="Y61" s="439">
        <f t="shared" si="2"/>
        <v>48113.555</v>
      </c>
      <c r="Z61" s="440">
        <v>162783</v>
      </c>
      <c r="AA61" s="441">
        <v>1</v>
      </c>
      <c r="AB61" s="442">
        <v>44201</v>
      </c>
      <c r="AC61" s="443">
        <v>44221</v>
      </c>
      <c r="AD61" s="440"/>
      <c r="AE61" s="444"/>
      <c r="AF61" s="442"/>
      <c r="AG61" s="443"/>
      <c r="AH61" s="440"/>
      <c r="AI61" s="441"/>
      <c r="AJ61" s="445"/>
      <c r="AK61" s="443"/>
      <c r="AL61" s="440"/>
      <c r="AM61" s="441"/>
      <c r="AN61" s="445"/>
      <c r="AO61" s="443"/>
      <c r="AP61" s="440"/>
      <c r="AQ61" s="441"/>
      <c r="AR61" s="445"/>
      <c r="AS61" s="443"/>
      <c r="AT61" s="103">
        <f t="shared" si="0"/>
        <v>162783</v>
      </c>
      <c r="AU61" s="446">
        <f t="shared" si="1"/>
        <v>114669.44500000001</v>
      </c>
    </row>
    <row r="62" spans="2:47" s="90" customFormat="1" ht="22.5" x14ac:dyDescent="0.25">
      <c r="B62" s="91">
        <v>47</v>
      </c>
      <c r="C62" s="91" t="s">
        <v>38</v>
      </c>
      <c r="D62" s="435">
        <v>30487216</v>
      </c>
      <c r="E62" s="436" t="s">
        <v>179</v>
      </c>
      <c r="F62" s="436" t="s">
        <v>45</v>
      </c>
      <c r="G62" s="437" t="s">
        <v>124</v>
      </c>
      <c r="H62" s="449"/>
      <c r="I62" s="438" t="s">
        <v>43</v>
      </c>
      <c r="J62" s="438">
        <v>1833860</v>
      </c>
      <c r="K62" s="439">
        <v>0</v>
      </c>
      <c r="L62" s="439">
        <v>1832244</v>
      </c>
      <c r="M62" s="439">
        <v>0</v>
      </c>
      <c r="N62" s="439">
        <v>0</v>
      </c>
      <c r="O62" s="439">
        <v>0</v>
      </c>
      <c r="P62" s="439">
        <v>0</v>
      </c>
      <c r="Q62" s="439">
        <v>0</v>
      </c>
      <c r="R62" s="439">
        <v>0</v>
      </c>
      <c r="S62" s="439">
        <v>0</v>
      </c>
      <c r="T62" s="439">
        <v>0</v>
      </c>
      <c r="U62" s="439">
        <v>0</v>
      </c>
      <c r="V62" s="439">
        <v>0</v>
      </c>
      <c r="W62" s="439">
        <v>0</v>
      </c>
      <c r="X62" s="439">
        <v>0</v>
      </c>
      <c r="Y62" s="439">
        <f t="shared" si="2"/>
        <v>0</v>
      </c>
      <c r="Z62" s="440">
        <v>1616</v>
      </c>
      <c r="AA62" s="441">
        <v>11</v>
      </c>
      <c r="AB62" s="442">
        <v>44270</v>
      </c>
      <c r="AC62" s="443">
        <v>44287</v>
      </c>
      <c r="AD62" s="440"/>
      <c r="AE62" s="444"/>
      <c r="AF62" s="442"/>
      <c r="AG62" s="443"/>
      <c r="AH62" s="440"/>
      <c r="AI62" s="441"/>
      <c r="AJ62" s="445"/>
      <c r="AK62" s="443"/>
      <c r="AL62" s="440"/>
      <c r="AM62" s="441"/>
      <c r="AN62" s="445"/>
      <c r="AO62" s="443"/>
      <c r="AP62" s="440"/>
      <c r="AQ62" s="441"/>
      <c r="AR62" s="445"/>
      <c r="AS62" s="443"/>
      <c r="AT62" s="103">
        <f t="shared" si="0"/>
        <v>1616</v>
      </c>
      <c r="AU62" s="446">
        <f t="shared" si="1"/>
        <v>1616</v>
      </c>
    </row>
    <row r="63" spans="2:47" s="90" customFormat="1" ht="22.5" x14ac:dyDescent="0.25">
      <c r="B63" s="91">
        <v>48</v>
      </c>
      <c r="C63" s="91" t="s">
        <v>38</v>
      </c>
      <c r="D63" s="435">
        <v>40005850</v>
      </c>
      <c r="E63" s="436" t="s">
        <v>180</v>
      </c>
      <c r="F63" s="436" t="s">
        <v>45</v>
      </c>
      <c r="G63" s="437" t="s">
        <v>124</v>
      </c>
      <c r="H63" s="449" t="s">
        <v>134</v>
      </c>
      <c r="I63" s="438" t="s">
        <v>42</v>
      </c>
      <c r="J63" s="438">
        <v>15559940</v>
      </c>
      <c r="K63" s="439">
        <v>0</v>
      </c>
      <c r="L63" s="439">
        <v>5337877</v>
      </c>
      <c r="M63" s="439">
        <v>0</v>
      </c>
      <c r="N63" s="439">
        <v>0</v>
      </c>
      <c r="O63" s="439">
        <v>0</v>
      </c>
      <c r="P63" s="439">
        <f>322566178/1000</f>
        <v>322566.17800000001</v>
      </c>
      <c r="Q63" s="439">
        <f>222434822/1000</f>
        <v>222434.82199999999</v>
      </c>
      <c r="R63" s="439">
        <f>602911433/1000</f>
        <v>602911.43299999996</v>
      </c>
      <c r="S63" s="439">
        <v>0</v>
      </c>
      <c r="T63" s="439">
        <v>0</v>
      </c>
      <c r="U63" s="439">
        <v>0</v>
      </c>
      <c r="V63" s="439">
        <v>0</v>
      </c>
      <c r="W63" s="439">
        <v>0</v>
      </c>
      <c r="X63" s="439">
        <v>0</v>
      </c>
      <c r="Y63" s="439">
        <f t="shared" si="2"/>
        <v>1147912.433</v>
      </c>
      <c r="Z63" s="440">
        <v>547520</v>
      </c>
      <c r="AA63" s="441">
        <v>6</v>
      </c>
      <c r="AB63" s="442">
        <v>44249</v>
      </c>
      <c r="AC63" s="443">
        <v>44272</v>
      </c>
      <c r="AD63" s="440">
        <v>1003781</v>
      </c>
      <c r="AE63" s="444">
        <v>33</v>
      </c>
      <c r="AF63" s="442">
        <v>44344</v>
      </c>
      <c r="AG63" s="443">
        <v>44369</v>
      </c>
      <c r="AH63" s="440"/>
      <c r="AI63" s="441"/>
      <c r="AJ63" s="445"/>
      <c r="AK63" s="443"/>
      <c r="AL63" s="440"/>
      <c r="AM63" s="441"/>
      <c r="AN63" s="445"/>
      <c r="AO63" s="443"/>
      <c r="AP63" s="440"/>
      <c r="AQ63" s="441"/>
      <c r="AR63" s="445"/>
      <c r="AS63" s="443"/>
      <c r="AT63" s="103">
        <f t="shared" si="0"/>
        <v>1551301</v>
      </c>
      <c r="AU63" s="446">
        <f t="shared" si="1"/>
        <v>403388.56700000004</v>
      </c>
    </row>
    <row r="64" spans="2:47" s="90" customFormat="1" ht="33.75" x14ac:dyDescent="0.25">
      <c r="B64" s="91">
        <v>49</v>
      </c>
      <c r="C64" s="91" t="s">
        <v>38</v>
      </c>
      <c r="D64" s="435">
        <v>40006868</v>
      </c>
      <c r="E64" s="436" t="s">
        <v>181</v>
      </c>
      <c r="F64" s="436" t="s">
        <v>45</v>
      </c>
      <c r="G64" s="437" t="s">
        <v>124</v>
      </c>
      <c r="H64" s="449"/>
      <c r="I64" s="438" t="s">
        <v>43</v>
      </c>
      <c r="J64" s="438">
        <v>2514464</v>
      </c>
      <c r="K64" s="439">
        <v>0</v>
      </c>
      <c r="L64" s="439">
        <v>2508551</v>
      </c>
      <c r="M64" s="439">
        <v>0</v>
      </c>
      <c r="N64" s="439">
        <v>0</v>
      </c>
      <c r="O64" s="439">
        <v>0</v>
      </c>
      <c r="P64" s="439">
        <v>0</v>
      </c>
      <c r="Q64" s="439">
        <v>0</v>
      </c>
      <c r="R64" s="439">
        <v>0</v>
      </c>
      <c r="S64" s="439">
        <v>0</v>
      </c>
      <c r="T64" s="439">
        <v>0</v>
      </c>
      <c r="U64" s="439">
        <v>0</v>
      </c>
      <c r="V64" s="439">
        <v>0</v>
      </c>
      <c r="W64" s="439">
        <v>0</v>
      </c>
      <c r="X64" s="439">
        <v>0</v>
      </c>
      <c r="Y64" s="439">
        <f t="shared" si="2"/>
        <v>0</v>
      </c>
      <c r="Z64" s="440">
        <v>7913</v>
      </c>
      <c r="AA64" s="441">
        <v>11</v>
      </c>
      <c r="AB64" s="442">
        <v>44270</v>
      </c>
      <c r="AC64" s="443">
        <v>44287</v>
      </c>
      <c r="AD64" s="440"/>
      <c r="AE64" s="444"/>
      <c r="AF64" s="442"/>
      <c r="AG64" s="443"/>
      <c r="AH64" s="440"/>
      <c r="AI64" s="441"/>
      <c r="AJ64" s="445"/>
      <c r="AK64" s="443"/>
      <c r="AL64" s="440"/>
      <c r="AM64" s="441"/>
      <c r="AN64" s="445"/>
      <c r="AO64" s="443"/>
      <c r="AP64" s="440"/>
      <c r="AQ64" s="441"/>
      <c r="AR64" s="445"/>
      <c r="AS64" s="443"/>
      <c r="AT64" s="103">
        <f t="shared" si="0"/>
        <v>7913</v>
      </c>
      <c r="AU64" s="446">
        <f t="shared" si="1"/>
        <v>7913</v>
      </c>
    </row>
    <row r="65" spans="2:47" s="90" customFormat="1" ht="22.5" x14ac:dyDescent="0.25">
      <c r="B65" s="91">
        <v>50</v>
      </c>
      <c r="C65" s="91" t="s">
        <v>38</v>
      </c>
      <c r="D65" s="435">
        <v>40007595</v>
      </c>
      <c r="E65" s="436" t="s">
        <v>182</v>
      </c>
      <c r="F65" s="436" t="s">
        <v>45</v>
      </c>
      <c r="G65" s="437" t="s">
        <v>124</v>
      </c>
      <c r="H65" s="449" t="s">
        <v>44</v>
      </c>
      <c r="I65" s="438" t="s">
        <v>42</v>
      </c>
      <c r="J65" s="438">
        <v>1631804</v>
      </c>
      <c r="K65" s="439">
        <v>1622804</v>
      </c>
      <c r="L65" s="439">
        <v>0</v>
      </c>
      <c r="M65" s="439">
        <v>0</v>
      </c>
      <c r="N65" s="439">
        <v>0</v>
      </c>
      <c r="O65" s="439">
        <v>0</v>
      </c>
      <c r="P65" s="439">
        <f>9000000/1000</f>
        <v>9000</v>
      </c>
      <c r="Q65" s="439">
        <v>0</v>
      </c>
      <c r="R65" s="439">
        <v>0</v>
      </c>
      <c r="S65" s="439">
        <v>0</v>
      </c>
      <c r="T65" s="439">
        <v>0</v>
      </c>
      <c r="U65" s="439">
        <v>0</v>
      </c>
      <c r="V65" s="439">
        <v>0</v>
      </c>
      <c r="W65" s="439">
        <v>0</v>
      </c>
      <c r="X65" s="439">
        <v>0</v>
      </c>
      <c r="Y65" s="439">
        <f t="shared" si="2"/>
        <v>9000</v>
      </c>
      <c r="Z65" s="440">
        <v>9000</v>
      </c>
      <c r="AA65" s="441">
        <v>6</v>
      </c>
      <c r="AB65" s="442">
        <v>44249</v>
      </c>
      <c r="AC65" s="443">
        <v>44272</v>
      </c>
      <c r="AD65" s="440"/>
      <c r="AE65" s="444"/>
      <c r="AF65" s="442"/>
      <c r="AG65" s="443"/>
      <c r="AH65" s="440"/>
      <c r="AI65" s="441"/>
      <c r="AJ65" s="445"/>
      <c r="AK65" s="443"/>
      <c r="AL65" s="440"/>
      <c r="AM65" s="441"/>
      <c r="AN65" s="445"/>
      <c r="AO65" s="443"/>
      <c r="AP65" s="440"/>
      <c r="AQ65" s="441"/>
      <c r="AR65" s="445"/>
      <c r="AS65" s="443"/>
      <c r="AT65" s="103">
        <f t="shared" si="0"/>
        <v>9000</v>
      </c>
      <c r="AU65" s="446">
        <f t="shared" si="1"/>
        <v>0</v>
      </c>
    </row>
    <row r="66" spans="2:47" s="90" customFormat="1" ht="22.5" x14ac:dyDescent="0.25">
      <c r="B66" s="91">
        <v>51</v>
      </c>
      <c r="C66" s="91" t="s">
        <v>38</v>
      </c>
      <c r="D66" s="435">
        <v>40007789</v>
      </c>
      <c r="E66" s="436" t="s">
        <v>183</v>
      </c>
      <c r="F66" s="436" t="s">
        <v>46</v>
      </c>
      <c r="G66" s="437" t="s">
        <v>124</v>
      </c>
      <c r="H66" s="449"/>
      <c r="I66" s="438" t="s">
        <v>43</v>
      </c>
      <c r="J66" s="438">
        <v>77055</v>
      </c>
      <c r="K66" s="439">
        <v>0</v>
      </c>
      <c r="L66" s="439">
        <v>55275</v>
      </c>
      <c r="M66" s="439">
        <v>0</v>
      </c>
      <c r="N66" s="439">
        <v>0</v>
      </c>
      <c r="O66" s="439">
        <v>0</v>
      </c>
      <c r="P66" s="439">
        <v>0</v>
      </c>
      <c r="Q66" s="439">
        <v>0</v>
      </c>
      <c r="R66" s="439">
        <v>0</v>
      </c>
      <c r="S66" s="439">
        <v>0</v>
      </c>
      <c r="T66" s="439">
        <v>0</v>
      </c>
      <c r="U66" s="439">
        <v>0</v>
      </c>
      <c r="V66" s="439">
        <v>0</v>
      </c>
      <c r="W66" s="439">
        <v>0</v>
      </c>
      <c r="X66" s="439">
        <v>0</v>
      </c>
      <c r="Y66" s="439">
        <f t="shared" si="2"/>
        <v>0</v>
      </c>
      <c r="Z66" s="440">
        <v>21780</v>
      </c>
      <c r="AA66" s="441">
        <v>33</v>
      </c>
      <c r="AB66" s="442">
        <v>44344</v>
      </c>
      <c r="AC66" s="443">
        <v>44369</v>
      </c>
      <c r="AD66" s="440"/>
      <c r="AE66" s="444"/>
      <c r="AF66" s="442"/>
      <c r="AG66" s="443"/>
      <c r="AH66" s="440"/>
      <c r="AI66" s="441"/>
      <c r="AJ66" s="445"/>
      <c r="AK66" s="443"/>
      <c r="AL66" s="440"/>
      <c r="AM66" s="441"/>
      <c r="AN66" s="445"/>
      <c r="AO66" s="443"/>
      <c r="AP66" s="440"/>
      <c r="AQ66" s="441"/>
      <c r="AR66" s="445"/>
      <c r="AS66" s="443"/>
      <c r="AT66" s="103">
        <f t="shared" si="0"/>
        <v>21780</v>
      </c>
      <c r="AU66" s="446">
        <f t="shared" si="1"/>
        <v>21780</v>
      </c>
    </row>
    <row r="67" spans="2:47" s="90" customFormat="1" ht="22.5" x14ac:dyDescent="0.25">
      <c r="B67" s="91">
        <v>52</v>
      </c>
      <c r="C67" s="91" t="s">
        <v>38</v>
      </c>
      <c r="D67" s="435">
        <v>40008790</v>
      </c>
      <c r="E67" s="436" t="s">
        <v>184</v>
      </c>
      <c r="F67" s="436" t="s">
        <v>45</v>
      </c>
      <c r="G67" s="437" t="s">
        <v>124</v>
      </c>
      <c r="H67" s="449" t="s">
        <v>130</v>
      </c>
      <c r="I67" s="438" t="s">
        <v>42</v>
      </c>
      <c r="J67" s="438">
        <v>6042019</v>
      </c>
      <c r="K67" s="439">
        <v>3509533</v>
      </c>
      <c r="L67" s="439">
        <v>0</v>
      </c>
      <c r="M67" s="439">
        <f>1350548874/1000</f>
        <v>1350548.8740000001</v>
      </c>
      <c r="N67" s="439">
        <f>472857672/1000</f>
        <v>472857.67200000002</v>
      </c>
      <c r="O67" s="439">
        <f>247707565/1000</f>
        <v>247707.565</v>
      </c>
      <c r="P67" s="439">
        <v>0</v>
      </c>
      <c r="Q67" s="439">
        <v>0</v>
      </c>
      <c r="R67" s="439">
        <f>1451653105/1000</f>
        <v>1451653.105</v>
      </c>
      <c r="S67" s="439">
        <v>0</v>
      </c>
      <c r="T67" s="439">
        <v>0</v>
      </c>
      <c r="U67" s="439">
        <v>0</v>
      </c>
      <c r="V67" s="439">
        <v>0</v>
      </c>
      <c r="W67" s="439">
        <v>0</v>
      </c>
      <c r="X67" s="439">
        <v>0</v>
      </c>
      <c r="Y67" s="439">
        <f t="shared" si="2"/>
        <v>3522767.216</v>
      </c>
      <c r="Z67" s="440">
        <v>2532486</v>
      </c>
      <c r="AA67" s="441">
        <v>1</v>
      </c>
      <c r="AB67" s="442">
        <v>44201</v>
      </c>
      <c r="AC67" s="443">
        <v>44221</v>
      </c>
      <c r="AD67" s="440">
        <v>995746</v>
      </c>
      <c r="AE67" s="444">
        <v>33</v>
      </c>
      <c r="AF67" s="442">
        <v>44344</v>
      </c>
      <c r="AG67" s="443">
        <v>44369</v>
      </c>
      <c r="AH67" s="440"/>
      <c r="AI67" s="441"/>
      <c r="AJ67" s="445"/>
      <c r="AK67" s="443"/>
      <c r="AL67" s="440"/>
      <c r="AM67" s="441"/>
      <c r="AN67" s="445"/>
      <c r="AO67" s="443"/>
      <c r="AP67" s="440"/>
      <c r="AQ67" s="441"/>
      <c r="AR67" s="445"/>
      <c r="AS67" s="443"/>
      <c r="AT67" s="103">
        <f t="shared" si="0"/>
        <v>3528232</v>
      </c>
      <c r="AU67" s="446">
        <f t="shared" si="1"/>
        <v>5464.7839999999851</v>
      </c>
    </row>
    <row r="68" spans="2:47" s="90" customFormat="1" ht="33.75" x14ac:dyDescent="0.25">
      <c r="B68" s="91">
        <v>53</v>
      </c>
      <c r="C68" s="91" t="s">
        <v>38</v>
      </c>
      <c r="D68" s="435">
        <v>40010160</v>
      </c>
      <c r="E68" s="436" t="s">
        <v>185</v>
      </c>
      <c r="F68" s="436" t="s">
        <v>45</v>
      </c>
      <c r="G68" s="437" t="s">
        <v>124</v>
      </c>
      <c r="H68" s="449"/>
      <c r="I68" s="438" t="s">
        <v>43</v>
      </c>
      <c r="J68" s="438">
        <v>424734</v>
      </c>
      <c r="K68" s="439">
        <v>0</v>
      </c>
      <c r="L68" s="439">
        <v>424734</v>
      </c>
      <c r="M68" s="439">
        <v>0</v>
      </c>
      <c r="N68" s="439">
        <v>0</v>
      </c>
      <c r="O68" s="439">
        <v>0</v>
      </c>
      <c r="P68" s="439">
        <v>0</v>
      </c>
      <c r="Q68" s="439">
        <v>0</v>
      </c>
      <c r="R68" s="439">
        <v>0</v>
      </c>
      <c r="S68" s="439">
        <v>0</v>
      </c>
      <c r="T68" s="439">
        <v>0</v>
      </c>
      <c r="U68" s="439">
        <v>0</v>
      </c>
      <c r="V68" s="439">
        <v>0</v>
      </c>
      <c r="W68" s="439">
        <v>0</v>
      </c>
      <c r="X68" s="439">
        <v>0</v>
      </c>
      <c r="Y68" s="439">
        <f t="shared" si="2"/>
        <v>0</v>
      </c>
      <c r="Z68" s="440">
        <v>20000</v>
      </c>
      <c r="AA68" s="441">
        <v>11</v>
      </c>
      <c r="AB68" s="442">
        <v>44270</v>
      </c>
      <c r="AC68" s="443">
        <v>44287</v>
      </c>
      <c r="AD68" s="440"/>
      <c r="AE68" s="444"/>
      <c r="AF68" s="442"/>
      <c r="AG68" s="443"/>
      <c r="AH68" s="440"/>
      <c r="AI68" s="441"/>
      <c r="AJ68" s="445"/>
      <c r="AK68" s="443"/>
      <c r="AL68" s="440"/>
      <c r="AM68" s="441"/>
      <c r="AN68" s="445"/>
      <c r="AO68" s="443"/>
      <c r="AP68" s="440"/>
      <c r="AQ68" s="441"/>
      <c r="AR68" s="445"/>
      <c r="AS68" s="443"/>
      <c r="AT68" s="103">
        <f t="shared" si="0"/>
        <v>20000</v>
      </c>
      <c r="AU68" s="446">
        <f t="shared" si="1"/>
        <v>20000</v>
      </c>
    </row>
    <row r="69" spans="2:47" s="90" customFormat="1" ht="22.5" x14ac:dyDescent="0.25">
      <c r="B69" s="91">
        <v>54</v>
      </c>
      <c r="C69" s="91" t="s">
        <v>38</v>
      </c>
      <c r="D69" s="435">
        <v>40010683</v>
      </c>
      <c r="E69" s="436" t="s">
        <v>186</v>
      </c>
      <c r="F69" s="436" t="s">
        <v>45</v>
      </c>
      <c r="G69" s="437" t="s">
        <v>124</v>
      </c>
      <c r="H69" s="449"/>
      <c r="I69" s="438" t="s">
        <v>43</v>
      </c>
      <c r="J69" s="438">
        <v>331415</v>
      </c>
      <c r="K69" s="439">
        <v>0</v>
      </c>
      <c r="L69" s="439">
        <v>53</v>
      </c>
      <c r="M69" s="439">
        <v>0</v>
      </c>
      <c r="N69" s="439">
        <v>0</v>
      </c>
      <c r="O69" s="439">
        <v>0</v>
      </c>
      <c r="P69" s="439">
        <v>0</v>
      </c>
      <c r="Q69" s="439">
        <v>0</v>
      </c>
      <c r="R69" s="439">
        <v>0</v>
      </c>
      <c r="S69" s="439">
        <v>0</v>
      </c>
      <c r="T69" s="439">
        <v>0</v>
      </c>
      <c r="U69" s="439">
        <v>0</v>
      </c>
      <c r="V69" s="439">
        <v>0</v>
      </c>
      <c r="W69" s="439">
        <v>0</v>
      </c>
      <c r="X69" s="439">
        <v>0</v>
      </c>
      <c r="Y69" s="439">
        <f>SUM(M69:X69)</f>
        <v>0</v>
      </c>
      <c r="Z69" s="440">
        <v>10</v>
      </c>
      <c r="AA69" s="441">
        <v>11</v>
      </c>
      <c r="AB69" s="442">
        <v>44270</v>
      </c>
      <c r="AC69" s="443">
        <v>44287</v>
      </c>
      <c r="AD69" s="440"/>
      <c r="AE69" s="444"/>
      <c r="AF69" s="442"/>
      <c r="AG69" s="443"/>
      <c r="AH69" s="440"/>
      <c r="AI69" s="441"/>
      <c r="AJ69" s="445"/>
      <c r="AK69" s="443"/>
      <c r="AL69" s="440"/>
      <c r="AM69" s="441"/>
      <c r="AN69" s="445"/>
      <c r="AO69" s="443"/>
      <c r="AP69" s="440"/>
      <c r="AQ69" s="441"/>
      <c r="AR69" s="445"/>
      <c r="AS69" s="443"/>
      <c r="AT69" s="103">
        <f t="shared" si="0"/>
        <v>10</v>
      </c>
      <c r="AU69" s="446">
        <f t="shared" si="1"/>
        <v>10</v>
      </c>
    </row>
    <row r="70" spans="2:47" s="90" customFormat="1" ht="22.5" x14ac:dyDescent="0.25">
      <c r="B70" s="91">
        <v>55</v>
      </c>
      <c r="C70" s="91" t="s">
        <v>38</v>
      </c>
      <c r="D70" s="435">
        <v>40013565</v>
      </c>
      <c r="E70" s="436" t="s">
        <v>187</v>
      </c>
      <c r="F70" s="436" t="s">
        <v>45</v>
      </c>
      <c r="G70" s="437" t="s">
        <v>124</v>
      </c>
      <c r="H70" s="449"/>
      <c r="I70" s="438" t="s">
        <v>43</v>
      </c>
      <c r="J70" s="438">
        <v>1428465</v>
      </c>
      <c r="K70" s="439">
        <v>0</v>
      </c>
      <c r="L70" s="439">
        <v>858465</v>
      </c>
      <c r="M70" s="439">
        <v>0</v>
      </c>
      <c r="N70" s="439">
        <v>0</v>
      </c>
      <c r="O70" s="439">
        <v>0</v>
      </c>
      <c r="P70" s="439">
        <v>0</v>
      </c>
      <c r="Q70" s="439">
        <v>0</v>
      </c>
      <c r="R70" s="439">
        <v>0</v>
      </c>
      <c r="S70" s="439">
        <v>0</v>
      </c>
      <c r="T70" s="439">
        <v>0</v>
      </c>
      <c r="U70" s="439">
        <v>0</v>
      </c>
      <c r="V70" s="439">
        <v>0</v>
      </c>
      <c r="W70" s="439">
        <v>0</v>
      </c>
      <c r="X70" s="439">
        <v>0</v>
      </c>
      <c r="Y70" s="439">
        <f t="shared" si="2"/>
        <v>0</v>
      </c>
      <c r="Z70" s="440">
        <v>947988</v>
      </c>
      <c r="AA70" s="441">
        <v>11</v>
      </c>
      <c r="AB70" s="442">
        <v>44270</v>
      </c>
      <c r="AC70" s="443">
        <v>44287</v>
      </c>
      <c r="AD70" s="440">
        <v>-377988</v>
      </c>
      <c r="AE70" s="444">
        <v>33</v>
      </c>
      <c r="AF70" s="442">
        <v>44344</v>
      </c>
      <c r="AG70" s="443">
        <v>44369</v>
      </c>
      <c r="AH70" s="440"/>
      <c r="AI70" s="441"/>
      <c r="AJ70" s="445"/>
      <c r="AK70" s="443"/>
      <c r="AL70" s="440"/>
      <c r="AM70" s="441"/>
      <c r="AN70" s="445"/>
      <c r="AO70" s="443"/>
      <c r="AP70" s="440"/>
      <c r="AQ70" s="441"/>
      <c r="AR70" s="445"/>
      <c r="AS70" s="443"/>
      <c r="AT70" s="103">
        <f t="shared" si="0"/>
        <v>570000</v>
      </c>
      <c r="AU70" s="446">
        <f t="shared" si="1"/>
        <v>570000</v>
      </c>
    </row>
    <row r="71" spans="2:47" s="90" customFormat="1" ht="22.5" x14ac:dyDescent="0.25">
      <c r="B71" s="91">
        <v>56</v>
      </c>
      <c r="C71" s="91" t="s">
        <v>38</v>
      </c>
      <c r="D71" s="435">
        <v>40014026</v>
      </c>
      <c r="E71" s="436" t="s">
        <v>188</v>
      </c>
      <c r="F71" s="436" t="s">
        <v>45</v>
      </c>
      <c r="G71" s="437" t="s">
        <v>124</v>
      </c>
      <c r="H71" s="449" t="s">
        <v>127</v>
      </c>
      <c r="I71" s="438" t="s">
        <v>42</v>
      </c>
      <c r="J71" s="438">
        <v>957931</v>
      </c>
      <c r="K71" s="439">
        <v>8311</v>
      </c>
      <c r="L71" s="439">
        <v>0</v>
      </c>
      <c r="M71" s="439">
        <f>23692885/1000</f>
        <v>23692.884999999998</v>
      </c>
      <c r="N71" s="439">
        <f>15281256/1000</f>
        <v>15281.255999999999</v>
      </c>
      <c r="O71" s="439">
        <v>0</v>
      </c>
      <c r="P71" s="439">
        <v>0</v>
      </c>
      <c r="Q71" s="439">
        <v>0</v>
      </c>
      <c r="R71" s="439">
        <v>0</v>
      </c>
      <c r="S71" s="439">
        <v>0</v>
      </c>
      <c r="T71" s="439">
        <v>0</v>
      </c>
      <c r="U71" s="439">
        <v>0</v>
      </c>
      <c r="V71" s="439">
        <v>0</v>
      </c>
      <c r="W71" s="439">
        <v>0</v>
      </c>
      <c r="X71" s="439">
        <v>0</v>
      </c>
      <c r="Y71" s="439">
        <f t="shared" si="2"/>
        <v>38974.140999999996</v>
      </c>
      <c r="Z71" s="440">
        <v>183625</v>
      </c>
      <c r="AA71" s="441">
        <v>1</v>
      </c>
      <c r="AB71" s="442">
        <v>44201</v>
      </c>
      <c r="AC71" s="443">
        <v>44221</v>
      </c>
      <c r="AD71" s="440">
        <v>2489</v>
      </c>
      <c r="AE71" s="444">
        <v>33</v>
      </c>
      <c r="AF71" s="442">
        <v>44344</v>
      </c>
      <c r="AG71" s="443">
        <v>44369</v>
      </c>
      <c r="AH71" s="440"/>
      <c r="AI71" s="441"/>
      <c r="AJ71" s="445"/>
      <c r="AK71" s="443"/>
      <c r="AL71" s="440"/>
      <c r="AM71" s="441"/>
      <c r="AN71" s="445"/>
      <c r="AO71" s="443"/>
      <c r="AP71" s="440"/>
      <c r="AQ71" s="441"/>
      <c r="AR71" s="445"/>
      <c r="AS71" s="443"/>
      <c r="AT71" s="103">
        <f t="shared" si="0"/>
        <v>186114</v>
      </c>
      <c r="AU71" s="446">
        <f t="shared" si="1"/>
        <v>147139.859</v>
      </c>
    </row>
    <row r="72" spans="2:47" s="90" customFormat="1" ht="22.5" x14ac:dyDescent="0.25">
      <c r="B72" s="91">
        <v>57</v>
      </c>
      <c r="C72" s="91" t="s">
        <v>38</v>
      </c>
      <c r="D72" s="435">
        <v>40014220</v>
      </c>
      <c r="E72" s="436" t="s">
        <v>189</v>
      </c>
      <c r="F72" s="436" t="s">
        <v>46</v>
      </c>
      <c r="G72" s="437" t="s">
        <v>124</v>
      </c>
      <c r="H72" s="449" t="s">
        <v>152</v>
      </c>
      <c r="I72" s="438" t="s">
        <v>42</v>
      </c>
      <c r="J72" s="438">
        <v>83591</v>
      </c>
      <c r="K72" s="439">
        <v>0</v>
      </c>
      <c r="L72" s="439">
        <v>0</v>
      </c>
      <c r="M72" s="439">
        <v>0</v>
      </c>
      <c r="N72" s="439">
        <v>0</v>
      </c>
      <c r="O72" s="439">
        <f>24000000/1000</f>
        <v>24000</v>
      </c>
      <c r="P72" s="439">
        <v>0</v>
      </c>
      <c r="Q72" s="439">
        <v>0</v>
      </c>
      <c r="R72" s="439">
        <f>16000000/1000</f>
        <v>16000</v>
      </c>
      <c r="S72" s="439">
        <v>0</v>
      </c>
      <c r="T72" s="439">
        <v>0</v>
      </c>
      <c r="U72" s="439">
        <v>0</v>
      </c>
      <c r="V72" s="439">
        <v>0</v>
      </c>
      <c r="W72" s="439">
        <v>0</v>
      </c>
      <c r="X72" s="439">
        <v>0</v>
      </c>
      <c r="Y72" s="439">
        <f t="shared" si="2"/>
        <v>40000</v>
      </c>
      <c r="Z72" s="440">
        <v>83591</v>
      </c>
      <c r="AA72" s="441">
        <v>1</v>
      </c>
      <c r="AB72" s="442">
        <v>44201</v>
      </c>
      <c r="AC72" s="443">
        <v>44221</v>
      </c>
      <c r="AD72" s="440"/>
      <c r="AE72" s="444"/>
      <c r="AF72" s="442"/>
      <c r="AG72" s="443"/>
      <c r="AH72" s="440"/>
      <c r="AI72" s="441"/>
      <c r="AJ72" s="445"/>
      <c r="AK72" s="443"/>
      <c r="AL72" s="440"/>
      <c r="AM72" s="441"/>
      <c r="AN72" s="445"/>
      <c r="AO72" s="443"/>
      <c r="AP72" s="440"/>
      <c r="AQ72" s="441"/>
      <c r="AR72" s="445"/>
      <c r="AS72" s="443"/>
      <c r="AT72" s="103">
        <f t="shared" si="0"/>
        <v>83591</v>
      </c>
      <c r="AU72" s="446">
        <f t="shared" si="1"/>
        <v>43591</v>
      </c>
    </row>
    <row r="73" spans="2:47" s="90" customFormat="1" ht="22.5" x14ac:dyDescent="0.25">
      <c r="B73" s="91">
        <v>58</v>
      </c>
      <c r="C73" s="106" t="s">
        <v>40</v>
      </c>
      <c r="D73" s="435">
        <v>40018140</v>
      </c>
      <c r="E73" s="436" t="s">
        <v>190</v>
      </c>
      <c r="F73" s="436" t="s">
        <v>45</v>
      </c>
      <c r="G73" s="437" t="s">
        <v>124</v>
      </c>
      <c r="H73" s="449"/>
      <c r="I73" s="438" t="s">
        <v>43</v>
      </c>
      <c r="J73" s="438">
        <v>482594</v>
      </c>
      <c r="K73" s="439">
        <v>0</v>
      </c>
      <c r="L73" s="439">
        <v>452093</v>
      </c>
      <c r="M73" s="439">
        <v>0</v>
      </c>
      <c r="N73" s="439">
        <v>0</v>
      </c>
      <c r="O73" s="439">
        <v>0</v>
      </c>
      <c r="P73" s="439">
        <v>0</v>
      </c>
      <c r="Q73" s="439">
        <v>0</v>
      </c>
      <c r="R73" s="439">
        <v>0</v>
      </c>
      <c r="S73" s="439">
        <v>0</v>
      </c>
      <c r="T73" s="439">
        <v>0</v>
      </c>
      <c r="U73" s="439">
        <v>0</v>
      </c>
      <c r="V73" s="439">
        <v>0</v>
      </c>
      <c r="W73" s="439">
        <v>0</v>
      </c>
      <c r="X73" s="439">
        <v>0</v>
      </c>
      <c r="Y73" s="439">
        <f t="shared" si="2"/>
        <v>0</v>
      </c>
      <c r="Z73" s="440">
        <v>30500</v>
      </c>
      <c r="AA73" s="441">
        <v>11</v>
      </c>
      <c r="AB73" s="442">
        <v>44270</v>
      </c>
      <c r="AC73" s="443">
        <v>44287</v>
      </c>
      <c r="AD73" s="440"/>
      <c r="AE73" s="444"/>
      <c r="AF73" s="442"/>
      <c r="AG73" s="443"/>
      <c r="AH73" s="440"/>
      <c r="AI73" s="441"/>
      <c r="AJ73" s="445"/>
      <c r="AK73" s="443"/>
      <c r="AL73" s="440"/>
      <c r="AM73" s="441"/>
      <c r="AN73" s="445"/>
      <c r="AO73" s="443"/>
      <c r="AP73" s="440"/>
      <c r="AQ73" s="441"/>
      <c r="AR73" s="445"/>
      <c r="AS73" s="443"/>
      <c r="AT73" s="103">
        <f t="shared" si="0"/>
        <v>30500</v>
      </c>
      <c r="AU73" s="446">
        <f t="shared" si="1"/>
        <v>30500</v>
      </c>
    </row>
    <row r="74" spans="2:47" s="90" customFormat="1" ht="22.5" x14ac:dyDescent="0.25">
      <c r="B74" s="91">
        <v>59</v>
      </c>
      <c r="C74" s="91" t="s">
        <v>38</v>
      </c>
      <c r="D74" s="435">
        <v>40018702</v>
      </c>
      <c r="E74" s="436" t="s">
        <v>191</v>
      </c>
      <c r="F74" s="436" t="s">
        <v>45</v>
      </c>
      <c r="G74" s="437" t="s">
        <v>124</v>
      </c>
      <c r="H74" s="449" t="s">
        <v>127</v>
      </c>
      <c r="I74" s="438" t="s">
        <v>42</v>
      </c>
      <c r="J74" s="438">
        <v>2590949</v>
      </c>
      <c r="K74" s="439">
        <v>6668</v>
      </c>
      <c r="L74" s="439">
        <v>1493681</v>
      </c>
      <c r="M74" s="439">
        <v>0</v>
      </c>
      <c r="N74" s="439">
        <v>0</v>
      </c>
      <c r="O74" s="439">
        <v>0</v>
      </c>
      <c r="P74" s="439">
        <f>142873363/1000</f>
        <v>142873.36300000001</v>
      </c>
      <c r="Q74" s="439">
        <f>119173134/1000</f>
        <v>119173.13400000001</v>
      </c>
      <c r="R74" s="439">
        <f>229370785/1000</f>
        <v>229370.785</v>
      </c>
      <c r="S74" s="439">
        <v>0</v>
      </c>
      <c r="T74" s="439">
        <v>0</v>
      </c>
      <c r="U74" s="439">
        <v>0</v>
      </c>
      <c r="V74" s="439">
        <v>0</v>
      </c>
      <c r="W74" s="439">
        <v>0</v>
      </c>
      <c r="X74" s="439">
        <v>0</v>
      </c>
      <c r="Y74" s="439">
        <f t="shared" si="2"/>
        <v>491417.28200000001</v>
      </c>
      <c r="Z74" s="440">
        <v>1090600</v>
      </c>
      <c r="AA74" s="441">
        <v>1</v>
      </c>
      <c r="AB74" s="442">
        <v>44201</v>
      </c>
      <c r="AC74" s="443">
        <v>44221</v>
      </c>
      <c r="AD74" s="440">
        <v>11000</v>
      </c>
      <c r="AE74" s="444">
        <v>33</v>
      </c>
      <c r="AF74" s="442">
        <v>44344</v>
      </c>
      <c r="AG74" s="443">
        <v>44369</v>
      </c>
      <c r="AH74" s="440"/>
      <c r="AI74" s="441"/>
      <c r="AJ74" s="445"/>
      <c r="AK74" s="443"/>
      <c r="AL74" s="440"/>
      <c r="AM74" s="441"/>
      <c r="AN74" s="445"/>
      <c r="AO74" s="443"/>
      <c r="AP74" s="440"/>
      <c r="AQ74" s="441"/>
      <c r="AR74" s="445"/>
      <c r="AS74" s="443"/>
      <c r="AT74" s="103">
        <f t="shared" si="0"/>
        <v>1101600</v>
      </c>
      <c r="AU74" s="446">
        <f t="shared" si="1"/>
        <v>610182.71799999999</v>
      </c>
    </row>
    <row r="75" spans="2:47" s="90" customFormat="1" ht="22.5" x14ac:dyDescent="0.25">
      <c r="B75" s="91">
        <v>60</v>
      </c>
      <c r="C75" s="91" t="s">
        <v>38</v>
      </c>
      <c r="D75" s="435">
        <v>40018900</v>
      </c>
      <c r="E75" s="436" t="s">
        <v>192</v>
      </c>
      <c r="F75" s="436" t="s">
        <v>45</v>
      </c>
      <c r="G75" s="437" t="s">
        <v>124</v>
      </c>
      <c r="H75" s="449"/>
      <c r="I75" s="438" t="s">
        <v>43</v>
      </c>
      <c r="J75" s="438">
        <v>288870</v>
      </c>
      <c r="K75" s="439">
        <v>0</v>
      </c>
      <c r="L75" s="439">
        <v>6357</v>
      </c>
      <c r="M75" s="439">
        <v>0</v>
      </c>
      <c r="N75" s="439">
        <v>0</v>
      </c>
      <c r="O75" s="439">
        <v>0</v>
      </c>
      <c r="P75" s="439">
        <v>0</v>
      </c>
      <c r="Q75" s="439">
        <v>0</v>
      </c>
      <c r="R75" s="439">
        <v>0</v>
      </c>
      <c r="S75" s="439">
        <v>0</v>
      </c>
      <c r="T75" s="439">
        <v>0</v>
      </c>
      <c r="U75" s="439">
        <v>0</v>
      </c>
      <c r="V75" s="439">
        <v>0</v>
      </c>
      <c r="W75" s="439">
        <v>0</v>
      </c>
      <c r="X75" s="439">
        <v>0</v>
      </c>
      <c r="Y75" s="439">
        <f t="shared" si="2"/>
        <v>0</v>
      </c>
      <c r="Z75" s="440">
        <v>282513</v>
      </c>
      <c r="AA75" s="441">
        <v>11</v>
      </c>
      <c r="AB75" s="442">
        <v>44270</v>
      </c>
      <c r="AC75" s="443">
        <v>44287</v>
      </c>
      <c r="AD75" s="440"/>
      <c r="AE75" s="444"/>
      <c r="AF75" s="442"/>
      <c r="AG75" s="443"/>
      <c r="AH75" s="440"/>
      <c r="AI75" s="441"/>
      <c r="AJ75" s="445"/>
      <c r="AK75" s="443"/>
      <c r="AL75" s="440"/>
      <c r="AM75" s="441"/>
      <c r="AN75" s="445"/>
      <c r="AO75" s="443"/>
      <c r="AP75" s="440"/>
      <c r="AQ75" s="441"/>
      <c r="AR75" s="445"/>
      <c r="AS75" s="443"/>
      <c r="AT75" s="103">
        <f t="shared" si="0"/>
        <v>282513</v>
      </c>
      <c r="AU75" s="446">
        <f t="shared" si="1"/>
        <v>282513</v>
      </c>
    </row>
    <row r="76" spans="2:47" s="90" customFormat="1" ht="22.5" x14ac:dyDescent="0.25">
      <c r="B76" s="91">
        <v>61</v>
      </c>
      <c r="C76" s="106" t="s">
        <v>40</v>
      </c>
      <c r="D76" s="435">
        <v>40020118</v>
      </c>
      <c r="E76" s="436" t="s">
        <v>193</v>
      </c>
      <c r="F76" s="436" t="s">
        <v>45</v>
      </c>
      <c r="G76" s="437" t="s">
        <v>124</v>
      </c>
      <c r="H76" s="449"/>
      <c r="I76" s="438" t="s">
        <v>43</v>
      </c>
      <c r="J76" s="438">
        <v>123312</v>
      </c>
      <c r="K76" s="439">
        <v>0</v>
      </c>
      <c r="L76" s="439">
        <v>118200</v>
      </c>
      <c r="M76" s="439">
        <v>0</v>
      </c>
      <c r="N76" s="439">
        <v>0</v>
      </c>
      <c r="O76" s="439">
        <v>0</v>
      </c>
      <c r="P76" s="439">
        <v>0</v>
      </c>
      <c r="Q76" s="439">
        <v>0</v>
      </c>
      <c r="R76" s="439">
        <v>0</v>
      </c>
      <c r="S76" s="439">
        <v>0</v>
      </c>
      <c r="T76" s="439">
        <v>0</v>
      </c>
      <c r="U76" s="439">
        <v>0</v>
      </c>
      <c r="V76" s="439">
        <v>0</v>
      </c>
      <c r="W76" s="439">
        <v>0</v>
      </c>
      <c r="X76" s="439">
        <v>0</v>
      </c>
      <c r="Y76" s="439">
        <f t="shared" si="2"/>
        <v>0</v>
      </c>
      <c r="Z76" s="440">
        <v>5112</v>
      </c>
      <c r="AA76" s="441">
        <v>11</v>
      </c>
      <c r="AB76" s="442">
        <v>44270</v>
      </c>
      <c r="AC76" s="443">
        <v>44287</v>
      </c>
      <c r="AD76" s="440"/>
      <c r="AE76" s="444"/>
      <c r="AF76" s="442"/>
      <c r="AG76" s="443"/>
      <c r="AH76" s="440"/>
      <c r="AI76" s="441"/>
      <c r="AJ76" s="445"/>
      <c r="AK76" s="443"/>
      <c r="AL76" s="440"/>
      <c r="AM76" s="441"/>
      <c r="AN76" s="445"/>
      <c r="AO76" s="443"/>
      <c r="AP76" s="440"/>
      <c r="AQ76" s="441"/>
      <c r="AR76" s="445"/>
      <c r="AS76" s="443"/>
      <c r="AT76" s="103">
        <f t="shared" si="0"/>
        <v>5112</v>
      </c>
      <c r="AU76" s="446">
        <f t="shared" si="1"/>
        <v>5112</v>
      </c>
    </row>
    <row r="77" spans="2:47" s="90" customFormat="1" ht="22.5" x14ac:dyDescent="0.25">
      <c r="B77" s="91">
        <v>62</v>
      </c>
      <c r="C77" s="91" t="s">
        <v>38</v>
      </c>
      <c r="D77" s="435">
        <v>40021144</v>
      </c>
      <c r="E77" s="436" t="s">
        <v>194</v>
      </c>
      <c r="F77" s="436" t="s">
        <v>45</v>
      </c>
      <c r="G77" s="437" t="s">
        <v>124</v>
      </c>
      <c r="H77" s="449"/>
      <c r="I77" s="438" t="s">
        <v>43</v>
      </c>
      <c r="J77" s="438">
        <v>3140236</v>
      </c>
      <c r="K77" s="439">
        <v>7240</v>
      </c>
      <c r="L77" s="439">
        <v>3032996</v>
      </c>
      <c r="M77" s="439">
        <v>0</v>
      </c>
      <c r="N77" s="439">
        <v>0</v>
      </c>
      <c r="O77" s="439">
        <v>0</v>
      </c>
      <c r="P77" s="439">
        <v>0</v>
      </c>
      <c r="Q77" s="439">
        <v>0</v>
      </c>
      <c r="R77" s="439">
        <v>0</v>
      </c>
      <c r="S77" s="439">
        <v>0</v>
      </c>
      <c r="T77" s="439">
        <v>0</v>
      </c>
      <c r="U77" s="439">
        <v>0</v>
      </c>
      <c r="V77" s="439">
        <v>0</v>
      </c>
      <c r="W77" s="439">
        <v>0</v>
      </c>
      <c r="X77" s="439">
        <v>0</v>
      </c>
      <c r="Y77" s="439">
        <f t="shared" si="2"/>
        <v>0</v>
      </c>
      <c r="Z77" s="440">
        <v>100000</v>
      </c>
      <c r="AA77" s="441">
        <v>11</v>
      </c>
      <c r="AB77" s="442">
        <v>44270</v>
      </c>
      <c r="AC77" s="443">
        <v>44287</v>
      </c>
      <c r="AD77" s="440"/>
      <c r="AE77" s="444"/>
      <c r="AF77" s="442"/>
      <c r="AG77" s="443"/>
      <c r="AH77" s="440"/>
      <c r="AI77" s="441"/>
      <c r="AJ77" s="445"/>
      <c r="AK77" s="443"/>
      <c r="AL77" s="440"/>
      <c r="AM77" s="441"/>
      <c r="AN77" s="445"/>
      <c r="AO77" s="443"/>
      <c r="AP77" s="440"/>
      <c r="AQ77" s="441"/>
      <c r="AR77" s="445"/>
      <c r="AS77" s="443"/>
      <c r="AT77" s="103">
        <f t="shared" si="0"/>
        <v>100000</v>
      </c>
      <c r="AU77" s="446">
        <f t="shared" si="1"/>
        <v>100000</v>
      </c>
    </row>
    <row r="78" spans="2:47" s="90" customFormat="1" ht="22.5" x14ac:dyDescent="0.25">
      <c r="B78" s="91">
        <v>63</v>
      </c>
      <c r="C78" s="91" t="s">
        <v>38</v>
      </c>
      <c r="D78" s="435">
        <v>40025978</v>
      </c>
      <c r="E78" s="436" t="s">
        <v>195</v>
      </c>
      <c r="F78" s="436" t="s">
        <v>45</v>
      </c>
      <c r="G78" s="437" t="s">
        <v>124</v>
      </c>
      <c r="H78" s="449"/>
      <c r="I78" s="438" t="s">
        <v>43</v>
      </c>
      <c r="J78" s="438">
        <v>366007</v>
      </c>
      <c r="K78" s="439">
        <v>0</v>
      </c>
      <c r="L78" s="439">
        <v>166007</v>
      </c>
      <c r="M78" s="439">
        <v>0</v>
      </c>
      <c r="N78" s="439">
        <v>0</v>
      </c>
      <c r="O78" s="439">
        <v>0</v>
      </c>
      <c r="P78" s="439">
        <v>0</v>
      </c>
      <c r="Q78" s="439">
        <v>0</v>
      </c>
      <c r="R78" s="439">
        <v>0</v>
      </c>
      <c r="S78" s="439">
        <v>0</v>
      </c>
      <c r="T78" s="439">
        <v>0</v>
      </c>
      <c r="U78" s="439">
        <v>0</v>
      </c>
      <c r="V78" s="439">
        <v>0</v>
      </c>
      <c r="W78" s="439">
        <v>0</v>
      </c>
      <c r="X78" s="439">
        <v>0</v>
      </c>
      <c r="Y78" s="439">
        <f t="shared" si="2"/>
        <v>0</v>
      </c>
      <c r="Z78" s="440">
        <v>10</v>
      </c>
      <c r="AA78" s="441">
        <v>11</v>
      </c>
      <c r="AB78" s="442">
        <v>44270</v>
      </c>
      <c r="AC78" s="443">
        <v>44287</v>
      </c>
      <c r="AD78" s="440"/>
      <c r="AE78" s="444"/>
      <c r="AF78" s="442"/>
      <c r="AG78" s="443"/>
      <c r="AH78" s="440"/>
      <c r="AI78" s="441"/>
      <c r="AJ78" s="445"/>
      <c r="AK78" s="443"/>
      <c r="AL78" s="440"/>
      <c r="AM78" s="441"/>
      <c r="AN78" s="445"/>
      <c r="AO78" s="443"/>
      <c r="AP78" s="440"/>
      <c r="AQ78" s="441"/>
      <c r="AR78" s="445"/>
      <c r="AS78" s="443"/>
      <c r="AT78" s="103">
        <f t="shared" si="0"/>
        <v>10</v>
      </c>
      <c r="AU78" s="446">
        <f t="shared" si="1"/>
        <v>10</v>
      </c>
    </row>
    <row r="79" spans="2:47" s="90" customFormat="1" ht="22.5" x14ac:dyDescent="0.25">
      <c r="B79" s="91">
        <v>64</v>
      </c>
      <c r="C79" s="91" t="s">
        <v>38</v>
      </c>
      <c r="D79" s="435">
        <v>40026369</v>
      </c>
      <c r="E79" s="436" t="s">
        <v>196</v>
      </c>
      <c r="F79" s="436" t="s">
        <v>129</v>
      </c>
      <c r="G79" s="437" t="s">
        <v>124</v>
      </c>
      <c r="H79" s="449"/>
      <c r="I79" s="438" t="s">
        <v>43</v>
      </c>
      <c r="J79" s="438">
        <v>198295</v>
      </c>
      <c r="K79" s="439">
        <v>0</v>
      </c>
      <c r="L79" s="439">
        <v>176001</v>
      </c>
      <c r="M79" s="439">
        <v>0</v>
      </c>
      <c r="N79" s="439">
        <v>0</v>
      </c>
      <c r="O79" s="439">
        <v>0</v>
      </c>
      <c r="P79" s="439">
        <v>0</v>
      </c>
      <c r="Q79" s="439">
        <v>0</v>
      </c>
      <c r="R79" s="439">
        <v>0</v>
      </c>
      <c r="S79" s="439">
        <v>0</v>
      </c>
      <c r="T79" s="439">
        <v>0</v>
      </c>
      <c r="U79" s="439">
        <v>0</v>
      </c>
      <c r="V79" s="439">
        <v>0</v>
      </c>
      <c r="W79" s="439">
        <v>0</v>
      </c>
      <c r="X79" s="439">
        <v>0</v>
      </c>
      <c r="Y79" s="439">
        <f t="shared" si="2"/>
        <v>0</v>
      </c>
      <c r="Z79" s="440">
        <v>22294</v>
      </c>
      <c r="AA79" s="441">
        <v>33</v>
      </c>
      <c r="AB79" s="442">
        <v>44344</v>
      </c>
      <c r="AC79" s="443">
        <v>44369</v>
      </c>
      <c r="AD79" s="440"/>
      <c r="AE79" s="444"/>
      <c r="AF79" s="442"/>
      <c r="AG79" s="443"/>
      <c r="AH79" s="440"/>
      <c r="AI79" s="441"/>
      <c r="AJ79" s="445"/>
      <c r="AK79" s="443"/>
      <c r="AL79" s="440"/>
      <c r="AM79" s="441"/>
      <c r="AN79" s="445"/>
      <c r="AO79" s="443"/>
      <c r="AP79" s="440"/>
      <c r="AQ79" s="441"/>
      <c r="AR79" s="445"/>
      <c r="AS79" s="443"/>
      <c r="AT79" s="103">
        <f t="shared" si="0"/>
        <v>22294</v>
      </c>
      <c r="AU79" s="446">
        <f t="shared" si="1"/>
        <v>22294</v>
      </c>
    </row>
    <row r="80" spans="2:47" s="90" customFormat="1" ht="22.5" x14ac:dyDescent="0.25">
      <c r="B80" s="91">
        <v>65</v>
      </c>
      <c r="C80" s="91" t="s">
        <v>38</v>
      </c>
      <c r="D80" s="435">
        <v>40027804</v>
      </c>
      <c r="E80" s="436" t="s">
        <v>197</v>
      </c>
      <c r="F80" s="436" t="s">
        <v>45</v>
      </c>
      <c r="G80" s="437" t="s">
        <v>124</v>
      </c>
      <c r="H80" s="449"/>
      <c r="I80" s="438" t="s">
        <v>43</v>
      </c>
      <c r="J80" s="438">
        <v>271865</v>
      </c>
      <c r="K80" s="439">
        <v>0</v>
      </c>
      <c r="L80" s="439">
        <v>250459</v>
      </c>
      <c r="M80" s="439">
        <v>0</v>
      </c>
      <c r="N80" s="439">
        <v>0</v>
      </c>
      <c r="O80" s="439">
        <v>0</v>
      </c>
      <c r="P80" s="439">
        <v>0</v>
      </c>
      <c r="Q80" s="439">
        <v>0</v>
      </c>
      <c r="R80" s="439">
        <v>0</v>
      </c>
      <c r="S80" s="439">
        <v>0</v>
      </c>
      <c r="T80" s="439">
        <v>0</v>
      </c>
      <c r="U80" s="439">
        <v>0</v>
      </c>
      <c r="V80" s="439">
        <v>0</v>
      </c>
      <c r="W80" s="439">
        <v>0</v>
      </c>
      <c r="X80" s="439">
        <v>0</v>
      </c>
      <c r="Y80" s="439">
        <f t="shared" si="2"/>
        <v>0</v>
      </c>
      <c r="Z80" s="440">
        <v>21406</v>
      </c>
      <c r="AA80" s="441">
        <v>33</v>
      </c>
      <c r="AB80" s="442">
        <v>44344</v>
      </c>
      <c r="AC80" s="443">
        <v>44369</v>
      </c>
      <c r="AD80" s="440"/>
      <c r="AE80" s="444"/>
      <c r="AF80" s="442"/>
      <c r="AG80" s="443"/>
      <c r="AH80" s="440"/>
      <c r="AI80" s="441"/>
      <c r="AJ80" s="445"/>
      <c r="AK80" s="443"/>
      <c r="AL80" s="440"/>
      <c r="AM80" s="441"/>
      <c r="AN80" s="445"/>
      <c r="AO80" s="443"/>
      <c r="AP80" s="440"/>
      <c r="AQ80" s="441"/>
      <c r="AR80" s="445"/>
      <c r="AS80" s="443"/>
      <c r="AT80" s="103">
        <f t="shared" ref="AT80:AT81" si="3">+Z80+AD80+AH80+AL80+AP80</f>
        <v>21406</v>
      </c>
      <c r="AU80" s="446">
        <f t="shared" ref="AU80:AU81" si="4">+AT80-Y80</f>
        <v>21406</v>
      </c>
    </row>
    <row r="81" spans="2:47" s="90" customFormat="1" ht="22.5" x14ac:dyDescent="0.25">
      <c r="B81" s="91">
        <v>66</v>
      </c>
      <c r="C81" s="91" t="s">
        <v>38</v>
      </c>
      <c r="D81" s="435">
        <v>40029136</v>
      </c>
      <c r="E81" s="436" t="s">
        <v>198</v>
      </c>
      <c r="F81" s="436" t="s">
        <v>45</v>
      </c>
      <c r="G81" s="437" t="s">
        <v>124</v>
      </c>
      <c r="H81" s="449"/>
      <c r="I81" s="438" t="s">
        <v>43</v>
      </c>
      <c r="J81" s="438">
        <v>1108555</v>
      </c>
      <c r="K81" s="439">
        <v>0</v>
      </c>
      <c r="L81" s="439">
        <v>1000001</v>
      </c>
      <c r="M81" s="439">
        <v>0</v>
      </c>
      <c r="N81" s="439">
        <v>0</v>
      </c>
      <c r="O81" s="439">
        <v>0</v>
      </c>
      <c r="P81" s="439">
        <v>0</v>
      </c>
      <c r="Q81" s="439">
        <v>0</v>
      </c>
      <c r="R81" s="439">
        <v>0</v>
      </c>
      <c r="S81" s="439">
        <v>0</v>
      </c>
      <c r="T81" s="439">
        <v>0</v>
      </c>
      <c r="U81" s="439">
        <v>0</v>
      </c>
      <c r="V81" s="439">
        <v>0</v>
      </c>
      <c r="W81" s="439">
        <v>0</v>
      </c>
      <c r="X81" s="439">
        <v>0</v>
      </c>
      <c r="Y81" s="439">
        <f t="shared" ref="Y81" si="5">SUM(M81:X81)</f>
        <v>0</v>
      </c>
      <c r="Z81" s="440">
        <v>108554</v>
      </c>
      <c r="AA81" s="441">
        <v>33</v>
      </c>
      <c r="AB81" s="442">
        <v>44344</v>
      </c>
      <c r="AC81" s="443">
        <v>44369</v>
      </c>
      <c r="AD81" s="440"/>
      <c r="AE81" s="444"/>
      <c r="AF81" s="442"/>
      <c r="AG81" s="443"/>
      <c r="AH81" s="440"/>
      <c r="AI81" s="441"/>
      <c r="AJ81" s="445"/>
      <c r="AK81" s="443"/>
      <c r="AL81" s="440"/>
      <c r="AM81" s="441"/>
      <c r="AN81" s="445"/>
      <c r="AO81" s="443"/>
      <c r="AP81" s="440"/>
      <c r="AQ81" s="441"/>
      <c r="AR81" s="445"/>
      <c r="AS81" s="443"/>
      <c r="AT81" s="103">
        <f t="shared" si="3"/>
        <v>108554</v>
      </c>
      <c r="AU81" s="446">
        <f t="shared" si="4"/>
        <v>108554</v>
      </c>
    </row>
    <row r="82" spans="2:47" s="90" customFormat="1" x14ac:dyDescent="0.25">
      <c r="B82" s="91"/>
      <c r="C82" s="91"/>
      <c r="D82" s="435"/>
      <c r="E82" s="436"/>
      <c r="F82" s="436"/>
      <c r="G82" s="437"/>
      <c r="H82" s="449"/>
      <c r="I82" s="438"/>
      <c r="J82" s="438"/>
      <c r="K82" s="439"/>
      <c r="L82" s="439"/>
      <c r="M82" s="439"/>
      <c r="N82" s="439"/>
      <c r="O82" s="439"/>
      <c r="P82" s="439"/>
      <c r="Q82" s="439"/>
      <c r="R82" s="439"/>
      <c r="S82" s="439"/>
      <c r="T82" s="439"/>
      <c r="U82" s="439"/>
      <c r="V82" s="439"/>
      <c r="W82" s="439"/>
      <c r="X82" s="439"/>
      <c r="Y82" s="439"/>
      <c r="Z82" s="440"/>
      <c r="AA82" s="441"/>
      <c r="AB82" s="442"/>
      <c r="AC82" s="443"/>
      <c r="AD82" s="440"/>
      <c r="AE82" s="444"/>
      <c r="AF82" s="445"/>
      <c r="AG82" s="443"/>
      <c r="AH82" s="440"/>
      <c r="AI82" s="441"/>
      <c r="AJ82" s="445"/>
      <c r="AK82" s="443"/>
      <c r="AL82" s="440"/>
      <c r="AM82" s="441"/>
      <c r="AN82" s="445"/>
      <c r="AO82" s="443"/>
      <c r="AP82" s="440"/>
      <c r="AQ82" s="441"/>
      <c r="AR82" s="445"/>
      <c r="AS82" s="443"/>
      <c r="AT82" s="103"/>
      <c r="AU82" s="446"/>
    </row>
    <row r="83" spans="2:47" s="90" customFormat="1" x14ac:dyDescent="0.25">
      <c r="B83" s="91"/>
      <c r="C83" s="91"/>
      <c r="D83" s="92"/>
      <c r="E83" s="93"/>
      <c r="F83" s="93"/>
      <c r="G83" s="94"/>
      <c r="H83" s="105"/>
      <c r="I83" s="95"/>
      <c r="J83" s="95"/>
      <c r="K83" s="96"/>
      <c r="L83" s="96"/>
      <c r="M83" s="96"/>
      <c r="N83" s="96"/>
      <c r="O83" s="96"/>
      <c r="P83" s="96"/>
      <c r="Q83" s="96"/>
      <c r="R83" s="96"/>
      <c r="S83" s="96"/>
      <c r="T83" s="96"/>
      <c r="U83" s="96"/>
      <c r="V83" s="96"/>
      <c r="W83" s="96"/>
      <c r="X83" s="96"/>
      <c r="Y83" s="96"/>
      <c r="Z83" s="97"/>
      <c r="AA83" s="98"/>
      <c r="AB83" s="99"/>
      <c r="AC83" s="100"/>
      <c r="AD83" s="97"/>
      <c r="AE83" s="101"/>
      <c r="AF83" s="102"/>
      <c r="AG83" s="100"/>
      <c r="AH83" s="97"/>
      <c r="AI83" s="98"/>
      <c r="AJ83" s="102"/>
      <c r="AK83" s="100"/>
      <c r="AL83" s="97"/>
      <c r="AM83" s="98"/>
      <c r="AN83" s="102"/>
      <c r="AO83" s="100"/>
      <c r="AP83" s="97"/>
      <c r="AQ83" s="98"/>
      <c r="AR83" s="102"/>
      <c r="AS83" s="100"/>
      <c r="AT83" s="103"/>
      <c r="AU83" s="104"/>
    </row>
    <row r="84" spans="2:47" ht="15" customHeight="1" x14ac:dyDescent="0.25">
      <c r="B84" s="732" t="s">
        <v>39</v>
      </c>
      <c r="C84" s="732"/>
      <c r="D84" s="732"/>
      <c r="E84" s="732"/>
      <c r="F84" s="732"/>
      <c r="G84" s="732"/>
      <c r="H84" s="732"/>
      <c r="I84" s="732"/>
      <c r="J84" s="107">
        <f>SUBTOTAL(9,J16:J81)</f>
        <v>178362556</v>
      </c>
      <c r="K84" s="107">
        <f t="shared" ref="K84:Y84" si="6">SUBTOTAL(9,K16:K81)</f>
        <v>47098272</v>
      </c>
      <c r="L84" s="107">
        <f t="shared" si="6"/>
        <v>67782204</v>
      </c>
      <c r="M84" s="107">
        <f t="shared" si="6"/>
        <v>1966093.564</v>
      </c>
      <c r="N84" s="107">
        <f t="shared" si="6"/>
        <v>1229720.55</v>
      </c>
      <c r="O84" s="107">
        <f t="shared" si="6"/>
        <v>1303149.625</v>
      </c>
      <c r="P84" s="107">
        <f t="shared" si="6"/>
        <v>934889.41800000006</v>
      </c>
      <c r="Q84" s="107">
        <f t="shared" si="6"/>
        <v>796438.96399999992</v>
      </c>
      <c r="R84" s="107">
        <f t="shared" si="6"/>
        <v>2948312.781</v>
      </c>
      <c r="S84" s="107">
        <f t="shared" si="6"/>
        <v>0</v>
      </c>
      <c r="T84" s="107">
        <f t="shared" si="6"/>
        <v>0</v>
      </c>
      <c r="U84" s="107">
        <f t="shared" si="6"/>
        <v>0</v>
      </c>
      <c r="V84" s="107">
        <f t="shared" si="6"/>
        <v>0</v>
      </c>
      <c r="W84" s="107">
        <f t="shared" si="6"/>
        <v>0</v>
      </c>
      <c r="X84" s="107">
        <f t="shared" si="6"/>
        <v>0</v>
      </c>
      <c r="Y84" s="107">
        <f t="shared" si="6"/>
        <v>9178604.9020000007</v>
      </c>
      <c r="Z84" s="107">
        <f>SUBTOTAL(9,Z16:Z81)</f>
        <v>23595517</v>
      </c>
      <c r="AA84" s="107"/>
      <c r="AB84" s="107"/>
      <c r="AC84" s="107"/>
      <c r="AD84" s="107">
        <f>SUBTOTAL(9,AD16:AD81)</f>
        <v>1652615</v>
      </c>
      <c r="AE84" s="107"/>
      <c r="AF84" s="107"/>
      <c r="AG84" s="107"/>
      <c r="AH84" s="107">
        <f>SUBTOTAL(9,AH16:AH81)</f>
        <v>0</v>
      </c>
      <c r="AI84" s="107"/>
      <c r="AJ84" s="107"/>
      <c r="AK84" s="107"/>
      <c r="AL84" s="107">
        <f>SUBTOTAL(9,AL16:AL81)</f>
        <v>0</v>
      </c>
      <c r="AM84" s="107"/>
      <c r="AN84" s="107"/>
      <c r="AO84" s="107"/>
      <c r="AP84" s="107">
        <f>SUBTOTAL(9,AP16:AP81)</f>
        <v>0</v>
      </c>
      <c r="AQ84" s="107"/>
      <c r="AR84" s="107"/>
      <c r="AS84" s="107"/>
      <c r="AT84" s="107">
        <f>SUBTOTAL(9,AT16:AT81)</f>
        <v>25248132</v>
      </c>
      <c r="AU84" s="107">
        <f>SUBTOTAL(9,AU16:AU81)</f>
        <v>16069527.097999999</v>
      </c>
    </row>
    <row r="85" spans="2:47" ht="20.25" customHeight="1" x14ac:dyDescent="0.2">
      <c r="B85" s="108"/>
      <c r="C85" s="108"/>
      <c r="D85" s="108"/>
      <c r="E85" s="108"/>
      <c r="F85" s="109"/>
      <c r="G85" s="77"/>
      <c r="H85" s="77"/>
      <c r="M85" s="110"/>
      <c r="N85" s="111"/>
      <c r="O85" s="111"/>
      <c r="P85" s="111"/>
      <c r="Q85" s="111"/>
      <c r="R85" s="111"/>
    </row>
    <row r="86" spans="2:47" x14ac:dyDescent="0.2">
      <c r="B86" s="112"/>
      <c r="C86" s="112"/>
      <c r="D86" s="112"/>
      <c r="E86" s="112"/>
      <c r="F86" s="112"/>
      <c r="G86" s="112"/>
      <c r="H86" s="112"/>
      <c r="I86" s="112"/>
      <c r="J86" s="112"/>
      <c r="K86" s="112"/>
      <c r="L86" s="112"/>
      <c r="M86" s="112"/>
      <c r="N86" s="112"/>
      <c r="O86" s="112"/>
      <c r="P86" s="112"/>
      <c r="Q86" s="112"/>
      <c r="R86" s="112"/>
      <c r="S86" s="112"/>
      <c r="T86" s="112"/>
      <c r="U86" s="112"/>
      <c r="V86" s="112"/>
      <c r="W86" s="112"/>
      <c r="X86" s="112"/>
      <c r="Y86" s="113"/>
      <c r="Z86" s="112"/>
      <c r="AA86" s="112"/>
      <c r="AB86" s="112"/>
      <c r="AC86" s="112"/>
      <c r="AD86" s="114"/>
      <c r="AE86" s="115"/>
      <c r="AF86" s="114"/>
      <c r="AG86" s="114"/>
      <c r="AH86" s="114"/>
      <c r="AI86" s="116"/>
      <c r="AJ86" s="114"/>
      <c r="AK86" s="114"/>
      <c r="AL86" s="114"/>
      <c r="AM86" s="116"/>
      <c r="AN86" s="114"/>
      <c r="AO86" s="114"/>
      <c r="AP86" s="114"/>
      <c r="AQ86" s="116"/>
      <c r="AR86" s="114"/>
      <c r="AS86" s="114"/>
      <c r="AT86" s="72">
        <f>+AT84-23209237</f>
        <v>2038895</v>
      </c>
    </row>
    <row r="89" spans="2:47" x14ac:dyDescent="0.2">
      <c r="AA89" s="67"/>
      <c r="AC89" s="73"/>
      <c r="AE89" s="67"/>
      <c r="AG89" s="73"/>
      <c r="AI89" s="67"/>
      <c r="AK89" s="73"/>
      <c r="AM89" s="67"/>
      <c r="AQ89" s="67"/>
    </row>
    <row r="90" spans="2:47" x14ac:dyDescent="0.2">
      <c r="AA90" s="67"/>
      <c r="AC90" s="73"/>
      <c r="AE90" s="67"/>
      <c r="AG90" s="73"/>
      <c r="AI90" s="67"/>
      <c r="AK90" s="73"/>
      <c r="AM90" s="67"/>
      <c r="AQ90" s="67"/>
    </row>
    <row r="91" spans="2:47" x14ac:dyDescent="0.2">
      <c r="AA91" s="67"/>
      <c r="AC91" s="73"/>
      <c r="AE91" s="67"/>
      <c r="AG91" s="73"/>
      <c r="AI91" s="67"/>
      <c r="AK91" s="73"/>
      <c r="AM91" s="67"/>
      <c r="AQ91" s="67"/>
    </row>
    <row r="92" spans="2:47" x14ac:dyDescent="0.2">
      <c r="AA92" s="67"/>
      <c r="AC92" s="73"/>
      <c r="AE92" s="67"/>
      <c r="AG92" s="73"/>
      <c r="AI92" s="67"/>
      <c r="AK92" s="73"/>
      <c r="AM92" s="67"/>
      <c r="AQ92" s="67"/>
    </row>
    <row r="93" spans="2:47" x14ac:dyDescent="0.2">
      <c r="AA93" s="67"/>
      <c r="AC93" s="73"/>
      <c r="AE93" s="67"/>
      <c r="AG93" s="73"/>
      <c r="AI93" s="67"/>
      <c r="AK93" s="73"/>
      <c r="AM93" s="67"/>
      <c r="AQ93" s="67"/>
    </row>
    <row r="94" spans="2:47" x14ac:dyDescent="0.2">
      <c r="AA94" s="67"/>
      <c r="AC94" s="73"/>
      <c r="AE94" s="67"/>
      <c r="AG94" s="73"/>
      <c r="AI94" s="67"/>
      <c r="AK94" s="73"/>
      <c r="AM94" s="67"/>
      <c r="AQ94" s="67"/>
    </row>
    <row r="95" spans="2:47" x14ac:dyDescent="0.2">
      <c r="AA95" s="67"/>
      <c r="AC95" s="73"/>
      <c r="AE95" s="67"/>
      <c r="AG95" s="73"/>
      <c r="AI95" s="67"/>
      <c r="AK95" s="73"/>
      <c r="AM95" s="67"/>
      <c r="AQ95" s="67"/>
    </row>
    <row r="96" spans="2:47" x14ac:dyDescent="0.2">
      <c r="AA96" s="67"/>
      <c r="AC96" s="73"/>
      <c r="AE96" s="67"/>
      <c r="AG96" s="73"/>
      <c r="AI96" s="67"/>
      <c r="AK96" s="73"/>
      <c r="AM96" s="67"/>
      <c r="AQ96" s="67"/>
    </row>
    <row r="97" spans="27:43" x14ac:dyDescent="0.2">
      <c r="AA97" s="67"/>
      <c r="AC97" s="73"/>
      <c r="AE97" s="67"/>
      <c r="AG97" s="73"/>
      <c r="AI97" s="67"/>
      <c r="AK97" s="73"/>
      <c r="AM97" s="67"/>
      <c r="AQ97" s="67"/>
    </row>
    <row r="98" spans="27:43" x14ac:dyDescent="0.2">
      <c r="AA98" s="67"/>
      <c r="AC98" s="73"/>
      <c r="AE98" s="67"/>
      <c r="AG98" s="73"/>
      <c r="AI98" s="67"/>
      <c r="AK98" s="73"/>
      <c r="AM98" s="67"/>
      <c r="AQ98" s="67"/>
    </row>
    <row r="99" spans="27:43" x14ac:dyDescent="0.2">
      <c r="AA99" s="67"/>
      <c r="AC99" s="73"/>
      <c r="AE99" s="67"/>
      <c r="AG99" s="73"/>
      <c r="AI99" s="67"/>
      <c r="AK99" s="73"/>
      <c r="AM99" s="67"/>
      <c r="AQ99" s="67"/>
    </row>
    <row r="100" spans="27:43" x14ac:dyDescent="0.2">
      <c r="AA100" s="67"/>
      <c r="AC100" s="73"/>
      <c r="AE100" s="67"/>
      <c r="AG100" s="73"/>
      <c r="AI100" s="67"/>
      <c r="AK100" s="73"/>
      <c r="AM100" s="67"/>
      <c r="AQ100" s="67"/>
    </row>
    <row r="101" spans="27:43" x14ac:dyDescent="0.2">
      <c r="AA101" s="67"/>
      <c r="AC101" s="73"/>
      <c r="AE101" s="67"/>
      <c r="AG101" s="73"/>
      <c r="AI101" s="67"/>
      <c r="AK101" s="73"/>
      <c r="AM101" s="67"/>
      <c r="AQ101" s="67"/>
    </row>
    <row r="102" spans="27:43" x14ac:dyDescent="0.2">
      <c r="AA102" s="67"/>
      <c r="AC102" s="73"/>
      <c r="AE102" s="67"/>
      <c r="AG102" s="73"/>
      <c r="AI102" s="67"/>
      <c r="AK102" s="73"/>
      <c r="AM102" s="67"/>
      <c r="AQ102" s="67"/>
    </row>
    <row r="103" spans="27:43" x14ac:dyDescent="0.2">
      <c r="AA103" s="67"/>
      <c r="AC103" s="73"/>
      <c r="AE103" s="67"/>
      <c r="AG103" s="73"/>
      <c r="AI103" s="67"/>
      <c r="AK103" s="73"/>
      <c r="AM103" s="67"/>
      <c r="AQ103" s="67"/>
    </row>
    <row r="104" spans="27:43" x14ac:dyDescent="0.2">
      <c r="AA104" s="67"/>
      <c r="AC104" s="73"/>
      <c r="AE104" s="67"/>
      <c r="AG104" s="73"/>
      <c r="AI104" s="67"/>
      <c r="AK104" s="73"/>
      <c r="AM104" s="67"/>
      <c r="AQ104" s="67"/>
    </row>
    <row r="105" spans="27:43" x14ac:dyDescent="0.2">
      <c r="AA105" s="67"/>
      <c r="AC105" s="73"/>
      <c r="AE105" s="67"/>
      <c r="AG105" s="73"/>
      <c r="AI105" s="67"/>
      <c r="AK105" s="73"/>
      <c r="AM105" s="67"/>
      <c r="AQ105" s="67"/>
    </row>
    <row r="106" spans="27:43" x14ac:dyDescent="0.2">
      <c r="AA106" s="67"/>
      <c r="AC106" s="73"/>
      <c r="AE106" s="67"/>
      <c r="AG106" s="73"/>
      <c r="AI106" s="67"/>
      <c r="AK106" s="73"/>
      <c r="AM106" s="67"/>
      <c r="AQ106" s="67"/>
    </row>
    <row r="107" spans="27:43" x14ac:dyDescent="0.2">
      <c r="AA107" s="67"/>
      <c r="AC107" s="73"/>
      <c r="AE107" s="67"/>
      <c r="AG107" s="73"/>
      <c r="AI107" s="67"/>
      <c r="AK107" s="73"/>
      <c r="AM107" s="67"/>
      <c r="AQ107" s="67"/>
    </row>
    <row r="108" spans="27:43" x14ac:dyDescent="0.2">
      <c r="AA108" s="117"/>
      <c r="AB108" s="117"/>
      <c r="AC108" s="117"/>
      <c r="AD108" s="117"/>
    </row>
    <row r="109" spans="27:43" x14ac:dyDescent="0.2">
      <c r="AA109" s="117"/>
      <c r="AB109" s="117"/>
      <c r="AC109" s="117"/>
      <c r="AD109" s="117"/>
    </row>
  </sheetData>
  <mergeCells count="8">
    <mergeCell ref="AT14:AU14"/>
    <mergeCell ref="B84:I84"/>
    <mergeCell ref="B9:L9"/>
    <mergeCell ref="Z14:AC14"/>
    <mergeCell ref="AD14:AG14"/>
    <mergeCell ref="AH14:AK14"/>
    <mergeCell ref="AL14:AO14"/>
    <mergeCell ref="AP14:AS14"/>
  </mergeCells>
  <conditionalFormatting sqref="D16:D63">
    <cfRule type="duplicateValues" dxfId="118" priority="1"/>
  </conditionalFormatting>
  <conditionalFormatting sqref="D64:D83">
    <cfRule type="duplicateValues" dxfId="117" priority="2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BE126"/>
  <sheetViews>
    <sheetView topLeftCell="O9" workbookViewId="0">
      <selection activeCell="Z14" sqref="Z14:AG14"/>
    </sheetView>
  </sheetViews>
  <sheetFormatPr baseColWidth="10" defaultRowHeight="11.25" x14ac:dyDescent="0.2"/>
  <cols>
    <col min="1" max="1" width="5" style="134" customWidth="1"/>
    <col min="2" max="2" width="10.140625" style="145" customWidth="1"/>
    <col min="3" max="3" width="9.85546875" style="134" customWidth="1"/>
    <col min="4" max="4" width="11.42578125" style="145" customWidth="1"/>
    <col min="5" max="5" width="37" style="134" customWidth="1"/>
    <col min="6" max="6" width="13.140625" style="134" customWidth="1"/>
    <col min="7" max="7" width="11.28515625" style="134" customWidth="1"/>
    <col min="8" max="8" width="18.85546875" style="134" customWidth="1"/>
    <col min="9" max="9" width="9.7109375" style="134" customWidth="1"/>
    <col min="10" max="10" width="11.28515625" style="134" customWidth="1"/>
    <col min="11" max="25" width="12" style="134" customWidth="1"/>
    <col min="26" max="26" width="10.140625" style="134" customWidth="1"/>
    <col min="27" max="27" width="10.140625" style="141" customWidth="1"/>
    <col min="28" max="29" width="10.140625" style="134" customWidth="1"/>
    <col min="30" max="30" width="13.5703125" style="139" customWidth="1"/>
    <col min="31" max="31" width="10.140625" style="140" customWidth="1"/>
    <col min="32" max="34" width="10.140625" style="134" customWidth="1"/>
    <col min="35" max="35" width="10.140625" style="141" customWidth="1"/>
    <col min="36" max="38" width="10.140625" style="134" customWidth="1"/>
    <col min="39" max="39" width="10.140625" style="141" customWidth="1"/>
    <col min="40" max="42" width="10.140625" style="134" customWidth="1"/>
    <col min="43" max="43" width="10.140625" style="141" customWidth="1"/>
    <col min="44" max="46" width="10.140625" style="134" customWidth="1"/>
    <col min="47" max="47" width="10.140625" style="141" customWidth="1"/>
    <col min="48" max="50" width="10.140625" style="134" customWidth="1"/>
    <col min="51" max="51" width="10.140625" style="141" customWidth="1"/>
    <col min="52" max="53" width="10.140625" style="134" customWidth="1"/>
    <col min="54" max="256" width="11.42578125" style="134"/>
    <col min="257" max="257" width="5" style="134" customWidth="1"/>
    <col min="258" max="258" width="10.140625" style="134" customWidth="1"/>
    <col min="259" max="259" width="9.85546875" style="134" customWidth="1"/>
    <col min="260" max="260" width="11.42578125" style="134" customWidth="1"/>
    <col min="261" max="261" width="37" style="134" customWidth="1"/>
    <col min="262" max="262" width="13.140625" style="134" customWidth="1"/>
    <col min="263" max="263" width="11.28515625" style="134" customWidth="1"/>
    <col min="264" max="264" width="18.85546875" style="134" customWidth="1"/>
    <col min="265" max="266" width="9.7109375" style="134" customWidth="1"/>
    <col min="267" max="281" width="12" style="134" customWidth="1"/>
    <col min="282" max="285" width="10.140625" style="134" customWidth="1"/>
    <col min="286" max="286" width="13.5703125" style="134" customWidth="1"/>
    <col min="287" max="309" width="10.140625" style="134" customWidth="1"/>
    <col min="310" max="512" width="11.42578125" style="134"/>
    <col min="513" max="513" width="5" style="134" customWidth="1"/>
    <col min="514" max="514" width="10.140625" style="134" customWidth="1"/>
    <col min="515" max="515" width="9.85546875" style="134" customWidth="1"/>
    <col min="516" max="516" width="11.42578125" style="134" customWidth="1"/>
    <col min="517" max="517" width="37" style="134" customWidth="1"/>
    <col min="518" max="518" width="13.140625" style="134" customWidth="1"/>
    <col min="519" max="519" width="11.28515625" style="134" customWidth="1"/>
    <col min="520" max="520" width="18.85546875" style="134" customWidth="1"/>
    <col min="521" max="522" width="9.7109375" style="134" customWidth="1"/>
    <col min="523" max="537" width="12" style="134" customWidth="1"/>
    <col min="538" max="541" width="10.140625" style="134" customWidth="1"/>
    <col min="542" max="542" width="13.5703125" style="134" customWidth="1"/>
    <col min="543" max="565" width="10.140625" style="134" customWidth="1"/>
    <col min="566" max="768" width="11.42578125" style="134"/>
    <col min="769" max="769" width="5" style="134" customWidth="1"/>
    <col min="770" max="770" width="10.140625" style="134" customWidth="1"/>
    <col min="771" max="771" width="9.85546875" style="134" customWidth="1"/>
    <col min="772" max="772" width="11.42578125" style="134" customWidth="1"/>
    <col min="773" max="773" width="37" style="134" customWidth="1"/>
    <col min="774" max="774" width="13.140625" style="134" customWidth="1"/>
    <col min="775" max="775" width="11.28515625" style="134" customWidth="1"/>
    <col min="776" max="776" width="18.85546875" style="134" customWidth="1"/>
    <col min="777" max="778" width="9.7109375" style="134" customWidth="1"/>
    <col min="779" max="793" width="12" style="134" customWidth="1"/>
    <col min="794" max="797" width="10.140625" style="134" customWidth="1"/>
    <col min="798" max="798" width="13.5703125" style="134" customWidth="1"/>
    <col min="799" max="821" width="10.140625" style="134" customWidth="1"/>
    <col min="822" max="1024" width="11.42578125" style="134"/>
    <col min="1025" max="1025" width="5" style="134" customWidth="1"/>
    <col min="1026" max="1026" width="10.140625" style="134" customWidth="1"/>
    <col min="1027" max="1027" width="9.85546875" style="134" customWidth="1"/>
    <col min="1028" max="1028" width="11.42578125" style="134" customWidth="1"/>
    <col min="1029" max="1029" width="37" style="134" customWidth="1"/>
    <col min="1030" max="1030" width="13.140625" style="134" customWidth="1"/>
    <col min="1031" max="1031" width="11.28515625" style="134" customWidth="1"/>
    <col min="1032" max="1032" width="18.85546875" style="134" customWidth="1"/>
    <col min="1033" max="1034" width="9.7109375" style="134" customWidth="1"/>
    <col min="1035" max="1049" width="12" style="134" customWidth="1"/>
    <col min="1050" max="1053" width="10.140625" style="134" customWidth="1"/>
    <col min="1054" max="1054" width="13.5703125" style="134" customWidth="1"/>
    <col min="1055" max="1077" width="10.140625" style="134" customWidth="1"/>
    <col min="1078" max="1280" width="11.42578125" style="134"/>
    <col min="1281" max="1281" width="5" style="134" customWidth="1"/>
    <col min="1282" max="1282" width="10.140625" style="134" customWidth="1"/>
    <col min="1283" max="1283" width="9.85546875" style="134" customWidth="1"/>
    <col min="1284" max="1284" width="11.42578125" style="134" customWidth="1"/>
    <col min="1285" max="1285" width="37" style="134" customWidth="1"/>
    <col min="1286" max="1286" width="13.140625" style="134" customWidth="1"/>
    <col min="1287" max="1287" width="11.28515625" style="134" customWidth="1"/>
    <col min="1288" max="1288" width="18.85546875" style="134" customWidth="1"/>
    <col min="1289" max="1290" width="9.7109375" style="134" customWidth="1"/>
    <col min="1291" max="1305" width="12" style="134" customWidth="1"/>
    <col min="1306" max="1309" width="10.140625" style="134" customWidth="1"/>
    <col min="1310" max="1310" width="13.5703125" style="134" customWidth="1"/>
    <col min="1311" max="1333" width="10.140625" style="134" customWidth="1"/>
    <col min="1334" max="1536" width="11.42578125" style="134"/>
    <col min="1537" max="1537" width="5" style="134" customWidth="1"/>
    <col min="1538" max="1538" width="10.140625" style="134" customWidth="1"/>
    <col min="1539" max="1539" width="9.85546875" style="134" customWidth="1"/>
    <col min="1540" max="1540" width="11.42578125" style="134" customWidth="1"/>
    <col min="1541" max="1541" width="37" style="134" customWidth="1"/>
    <col min="1542" max="1542" width="13.140625" style="134" customWidth="1"/>
    <col min="1543" max="1543" width="11.28515625" style="134" customWidth="1"/>
    <col min="1544" max="1544" width="18.85546875" style="134" customWidth="1"/>
    <col min="1545" max="1546" width="9.7109375" style="134" customWidth="1"/>
    <col min="1547" max="1561" width="12" style="134" customWidth="1"/>
    <col min="1562" max="1565" width="10.140625" style="134" customWidth="1"/>
    <col min="1566" max="1566" width="13.5703125" style="134" customWidth="1"/>
    <col min="1567" max="1589" width="10.140625" style="134" customWidth="1"/>
    <col min="1590" max="1792" width="11.42578125" style="134"/>
    <col min="1793" max="1793" width="5" style="134" customWidth="1"/>
    <col min="1794" max="1794" width="10.140625" style="134" customWidth="1"/>
    <col min="1795" max="1795" width="9.85546875" style="134" customWidth="1"/>
    <col min="1796" max="1796" width="11.42578125" style="134" customWidth="1"/>
    <col min="1797" max="1797" width="37" style="134" customWidth="1"/>
    <col min="1798" max="1798" width="13.140625" style="134" customWidth="1"/>
    <col min="1799" max="1799" width="11.28515625" style="134" customWidth="1"/>
    <col min="1800" max="1800" width="18.85546875" style="134" customWidth="1"/>
    <col min="1801" max="1802" width="9.7109375" style="134" customWidth="1"/>
    <col min="1803" max="1817" width="12" style="134" customWidth="1"/>
    <col min="1818" max="1821" width="10.140625" style="134" customWidth="1"/>
    <col min="1822" max="1822" width="13.5703125" style="134" customWidth="1"/>
    <col min="1823" max="1845" width="10.140625" style="134" customWidth="1"/>
    <col min="1846" max="2048" width="11.42578125" style="134"/>
    <col min="2049" max="2049" width="5" style="134" customWidth="1"/>
    <col min="2050" max="2050" width="10.140625" style="134" customWidth="1"/>
    <col min="2051" max="2051" width="9.85546875" style="134" customWidth="1"/>
    <col min="2052" max="2052" width="11.42578125" style="134" customWidth="1"/>
    <col min="2053" max="2053" width="37" style="134" customWidth="1"/>
    <col min="2054" max="2054" width="13.140625" style="134" customWidth="1"/>
    <col min="2055" max="2055" width="11.28515625" style="134" customWidth="1"/>
    <col min="2056" max="2056" width="18.85546875" style="134" customWidth="1"/>
    <col min="2057" max="2058" width="9.7109375" style="134" customWidth="1"/>
    <col min="2059" max="2073" width="12" style="134" customWidth="1"/>
    <col min="2074" max="2077" width="10.140625" style="134" customWidth="1"/>
    <col min="2078" max="2078" width="13.5703125" style="134" customWidth="1"/>
    <col min="2079" max="2101" width="10.140625" style="134" customWidth="1"/>
    <col min="2102" max="2304" width="11.42578125" style="134"/>
    <col min="2305" max="2305" width="5" style="134" customWidth="1"/>
    <col min="2306" max="2306" width="10.140625" style="134" customWidth="1"/>
    <col min="2307" max="2307" width="9.85546875" style="134" customWidth="1"/>
    <col min="2308" max="2308" width="11.42578125" style="134" customWidth="1"/>
    <col min="2309" max="2309" width="37" style="134" customWidth="1"/>
    <col min="2310" max="2310" width="13.140625" style="134" customWidth="1"/>
    <col min="2311" max="2311" width="11.28515625" style="134" customWidth="1"/>
    <col min="2312" max="2312" width="18.85546875" style="134" customWidth="1"/>
    <col min="2313" max="2314" width="9.7109375" style="134" customWidth="1"/>
    <col min="2315" max="2329" width="12" style="134" customWidth="1"/>
    <col min="2330" max="2333" width="10.140625" style="134" customWidth="1"/>
    <col min="2334" max="2334" width="13.5703125" style="134" customWidth="1"/>
    <col min="2335" max="2357" width="10.140625" style="134" customWidth="1"/>
    <col min="2358" max="2560" width="11.42578125" style="134"/>
    <col min="2561" max="2561" width="5" style="134" customWidth="1"/>
    <col min="2562" max="2562" width="10.140625" style="134" customWidth="1"/>
    <col min="2563" max="2563" width="9.85546875" style="134" customWidth="1"/>
    <col min="2564" max="2564" width="11.42578125" style="134" customWidth="1"/>
    <col min="2565" max="2565" width="37" style="134" customWidth="1"/>
    <col min="2566" max="2566" width="13.140625" style="134" customWidth="1"/>
    <col min="2567" max="2567" width="11.28515625" style="134" customWidth="1"/>
    <col min="2568" max="2568" width="18.85546875" style="134" customWidth="1"/>
    <col min="2569" max="2570" width="9.7109375" style="134" customWidth="1"/>
    <col min="2571" max="2585" width="12" style="134" customWidth="1"/>
    <col min="2586" max="2589" width="10.140625" style="134" customWidth="1"/>
    <col min="2590" max="2590" width="13.5703125" style="134" customWidth="1"/>
    <col min="2591" max="2613" width="10.140625" style="134" customWidth="1"/>
    <col min="2614" max="2816" width="11.42578125" style="134"/>
    <col min="2817" max="2817" width="5" style="134" customWidth="1"/>
    <col min="2818" max="2818" width="10.140625" style="134" customWidth="1"/>
    <col min="2819" max="2819" width="9.85546875" style="134" customWidth="1"/>
    <col min="2820" max="2820" width="11.42578125" style="134" customWidth="1"/>
    <col min="2821" max="2821" width="37" style="134" customWidth="1"/>
    <col min="2822" max="2822" width="13.140625" style="134" customWidth="1"/>
    <col min="2823" max="2823" width="11.28515625" style="134" customWidth="1"/>
    <col min="2824" max="2824" width="18.85546875" style="134" customWidth="1"/>
    <col min="2825" max="2826" width="9.7109375" style="134" customWidth="1"/>
    <col min="2827" max="2841" width="12" style="134" customWidth="1"/>
    <col min="2842" max="2845" width="10.140625" style="134" customWidth="1"/>
    <col min="2846" max="2846" width="13.5703125" style="134" customWidth="1"/>
    <col min="2847" max="2869" width="10.140625" style="134" customWidth="1"/>
    <col min="2870" max="3072" width="11.42578125" style="134"/>
    <col min="3073" max="3073" width="5" style="134" customWidth="1"/>
    <col min="3074" max="3074" width="10.140625" style="134" customWidth="1"/>
    <col min="3075" max="3075" width="9.85546875" style="134" customWidth="1"/>
    <col min="3076" max="3076" width="11.42578125" style="134" customWidth="1"/>
    <col min="3077" max="3077" width="37" style="134" customWidth="1"/>
    <col min="3078" max="3078" width="13.140625" style="134" customWidth="1"/>
    <col min="3079" max="3079" width="11.28515625" style="134" customWidth="1"/>
    <col min="3080" max="3080" width="18.85546875" style="134" customWidth="1"/>
    <col min="3081" max="3082" width="9.7109375" style="134" customWidth="1"/>
    <col min="3083" max="3097" width="12" style="134" customWidth="1"/>
    <col min="3098" max="3101" width="10.140625" style="134" customWidth="1"/>
    <col min="3102" max="3102" width="13.5703125" style="134" customWidth="1"/>
    <col min="3103" max="3125" width="10.140625" style="134" customWidth="1"/>
    <col min="3126" max="3328" width="11.42578125" style="134"/>
    <col min="3329" max="3329" width="5" style="134" customWidth="1"/>
    <col min="3330" max="3330" width="10.140625" style="134" customWidth="1"/>
    <col min="3331" max="3331" width="9.85546875" style="134" customWidth="1"/>
    <col min="3332" max="3332" width="11.42578125" style="134" customWidth="1"/>
    <col min="3333" max="3333" width="37" style="134" customWidth="1"/>
    <col min="3334" max="3334" width="13.140625" style="134" customWidth="1"/>
    <col min="3335" max="3335" width="11.28515625" style="134" customWidth="1"/>
    <col min="3336" max="3336" width="18.85546875" style="134" customWidth="1"/>
    <col min="3337" max="3338" width="9.7109375" style="134" customWidth="1"/>
    <col min="3339" max="3353" width="12" style="134" customWidth="1"/>
    <col min="3354" max="3357" width="10.140625" style="134" customWidth="1"/>
    <col min="3358" max="3358" width="13.5703125" style="134" customWidth="1"/>
    <col min="3359" max="3381" width="10.140625" style="134" customWidth="1"/>
    <col min="3382" max="3584" width="11.42578125" style="134"/>
    <col min="3585" max="3585" width="5" style="134" customWidth="1"/>
    <col min="3586" max="3586" width="10.140625" style="134" customWidth="1"/>
    <col min="3587" max="3587" width="9.85546875" style="134" customWidth="1"/>
    <col min="3588" max="3588" width="11.42578125" style="134" customWidth="1"/>
    <col min="3589" max="3589" width="37" style="134" customWidth="1"/>
    <col min="3590" max="3590" width="13.140625" style="134" customWidth="1"/>
    <col min="3591" max="3591" width="11.28515625" style="134" customWidth="1"/>
    <col min="3592" max="3592" width="18.85546875" style="134" customWidth="1"/>
    <col min="3593" max="3594" width="9.7109375" style="134" customWidth="1"/>
    <col min="3595" max="3609" width="12" style="134" customWidth="1"/>
    <col min="3610" max="3613" width="10.140625" style="134" customWidth="1"/>
    <col min="3614" max="3614" width="13.5703125" style="134" customWidth="1"/>
    <col min="3615" max="3637" width="10.140625" style="134" customWidth="1"/>
    <col min="3638" max="3840" width="11.42578125" style="134"/>
    <col min="3841" max="3841" width="5" style="134" customWidth="1"/>
    <col min="3842" max="3842" width="10.140625" style="134" customWidth="1"/>
    <col min="3843" max="3843" width="9.85546875" style="134" customWidth="1"/>
    <col min="3844" max="3844" width="11.42578125" style="134" customWidth="1"/>
    <col min="3845" max="3845" width="37" style="134" customWidth="1"/>
    <col min="3846" max="3846" width="13.140625" style="134" customWidth="1"/>
    <col min="3847" max="3847" width="11.28515625" style="134" customWidth="1"/>
    <col min="3848" max="3848" width="18.85546875" style="134" customWidth="1"/>
    <col min="3849" max="3850" width="9.7109375" style="134" customWidth="1"/>
    <col min="3851" max="3865" width="12" style="134" customWidth="1"/>
    <col min="3866" max="3869" width="10.140625" style="134" customWidth="1"/>
    <col min="3870" max="3870" width="13.5703125" style="134" customWidth="1"/>
    <col min="3871" max="3893" width="10.140625" style="134" customWidth="1"/>
    <col min="3894" max="4096" width="11.42578125" style="134"/>
    <col min="4097" max="4097" width="5" style="134" customWidth="1"/>
    <col min="4098" max="4098" width="10.140625" style="134" customWidth="1"/>
    <col min="4099" max="4099" width="9.85546875" style="134" customWidth="1"/>
    <col min="4100" max="4100" width="11.42578125" style="134" customWidth="1"/>
    <col min="4101" max="4101" width="37" style="134" customWidth="1"/>
    <col min="4102" max="4102" width="13.140625" style="134" customWidth="1"/>
    <col min="4103" max="4103" width="11.28515625" style="134" customWidth="1"/>
    <col min="4104" max="4104" width="18.85546875" style="134" customWidth="1"/>
    <col min="4105" max="4106" width="9.7109375" style="134" customWidth="1"/>
    <col min="4107" max="4121" width="12" style="134" customWidth="1"/>
    <col min="4122" max="4125" width="10.140625" style="134" customWidth="1"/>
    <col min="4126" max="4126" width="13.5703125" style="134" customWidth="1"/>
    <col min="4127" max="4149" width="10.140625" style="134" customWidth="1"/>
    <col min="4150" max="4352" width="11.42578125" style="134"/>
    <col min="4353" max="4353" width="5" style="134" customWidth="1"/>
    <col min="4354" max="4354" width="10.140625" style="134" customWidth="1"/>
    <col min="4355" max="4355" width="9.85546875" style="134" customWidth="1"/>
    <col min="4356" max="4356" width="11.42578125" style="134" customWidth="1"/>
    <col min="4357" max="4357" width="37" style="134" customWidth="1"/>
    <col min="4358" max="4358" width="13.140625" style="134" customWidth="1"/>
    <col min="4359" max="4359" width="11.28515625" style="134" customWidth="1"/>
    <col min="4360" max="4360" width="18.85546875" style="134" customWidth="1"/>
    <col min="4361" max="4362" width="9.7109375" style="134" customWidth="1"/>
    <col min="4363" max="4377" width="12" style="134" customWidth="1"/>
    <col min="4378" max="4381" width="10.140625" style="134" customWidth="1"/>
    <col min="4382" max="4382" width="13.5703125" style="134" customWidth="1"/>
    <col min="4383" max="4405" width="10.140625" style="134" customWidth="1"/>
    <col min="4406" max="4608" width="11.42578125" style="134"/>
    <col min="4609" max="4609" width="5" style="134" customWidth="1"/>
    <col min="4610" max="4610" width="10.140625" style="134" customWidth="1"/>
    <col min="4611" max="4611" width="9.85546875" style="134" customWidth="1"/>
    <col min="4612" max="4612" width="11.42578125" style="134" customWidth="1"/>
    <col min="4613" max="4613" width="37" style="134" customWidth="1"/>
    <col min="4614" max="4614" width="13.140625" style="134" customWidth="1"/>
    <col min="4615" max="4615" width="11.28515625" style="134" customWidth="1"/>
    <col min="4616" max="4616" width="18.85546875" style="134" customWidth="1"/>
    <col min="4617" max="4618" width="9.7109375" style="134" customWidth="1"/>
    <col min="4619" max="4633" width="12" style="134" customWidth="1"/>
    <col min="4634" max="4637" width="10.140625" style="134" customWidth="1"/>
    <col min="4638" max="4638" width="13.5703125" style="134" customWidth="1"/>
    <col min="4639" max="4661" width="10.140625" style="134" customWidth="1"/>
    <col min="4662" max="4864" width="11.42578125" style="134"/>
    <col min="4865" max="4865" width="5" style="134" customWidth="1"/>
    <col min="4866" max="4866" width="10.140625" style="134" customWidth="1"/>
    <col min="4867" max="4867" width="9.85546875" style="134" customWidth="1"/>
    <col min="4868" max="4868" width="11.42578125" style="134" customWidth="1"/>
    <col min="4869" max="4869" width="37" style="134" customWidth="1"/>
    <col min="4870" max="4870" width="13.140625" style="134" customWidth="1"/>
    <col min="4871" max="4871" width="11.28515625" style="134" customWidth="1"/>
    <col min="4872" max="4872" width="18.85546875" style="134" customWidth="1"/>
    <col min="4873" max="4874" width="9.7109375" style="134" customWidth="1"/>
    <col min="4875" max="4889" width="12" style="134" customWidth="1"/>
    <col min="4890" max="4893" width="10.140625" style="134" customWidth="1"/>
    <col min="4894" max="4894" width="13.5703125" style="134" customWidth="1"/>
    <col min="4895" max="4917" width="10.140625" style="134" customWidth="1"/>
    <col min="4918" max="5120" width="11.42578125" style="134"/>
    <col min="5121" max="5121" width="5" style="134" customWidth="1"/>
    <col min="5122" max="5122" width="10.140625" style="134" customWidth="1"/>
    <col min="5123" max="5123" width="9.85546875" style="134" customWidth="1"/>
    <col min="5124" max="5124" width="11.42578125" style="134" customWidth="1"/>
    <col min="5125" max="5125" width="37" style="134" customWidth="1"/>
    <col min="5126" max="5126" width="13.140625" style="134" customWidth="1"/>
    <col min="5127" max="5127" width="11.28515625" style="134" customWidth="1"/>
    <col min="5128" max="5128" width="18.85546875" style="134" customWidth="1"/>
    <col min="5129" max="5130" width="9.7109375" style="134" customWidth="1"/>
    <col min="5131" max="5145" width="12" style="134" customWidth="1"/>
    <col min="5146" max="5149" width="10.140625" style="134" customWidth="1"/>
    <col min="5150" max="5150" width="13.5703125" style="134" customWidth="1"/>
    <col min="5151" max="5173" width="10.140625" style="134" customWidth="1"/>
    <col min="5174" max="5376" width="11.42578125" style="134"/>
    <col min="5377" max="5377" width="5" style="134" customWidth="1"/>
    <col min="5378" max="5378" width="10.140625" style="134" customWidth="1"/>
    <col min="5379" max="5379" width="9.85546875" style="134" customWidth="1"/>
    <col min="5380" max="5380" width="11.42578125" style="134" customWidth="1"/>
    <col min="5381" max="5381" width="37" style="134" customWidth="1"/>
    <col min="5382" max="5382" width="13.140625" style="134" customWidth="1"/>
    <col min="5383" max="5383" width="11.28515625" style="134" customWidth="1"/>
    <col min="5384" max="5384" width="18.85546875" style="134" customWidth="1"/>
    <col min="5385" max="5386" width="9.7109375" style="134" customWidth="1"/>
    <col min="5387" max="5401" width="12" style="134" customWidth="1"/>
    <col min="5402" max="5405" width="10.140625" style="134" customWidth="1"/>
    <col min="5406" max="5406" width="13.5703125" style="134" customWidth="1"/>
    <col min="5407" max="5429" width="10.140625" style="134" customWidth="1"/>
    <col min="5430" max="5632" width="11.42578125" style="134"/>
    <col min="5633" max="5633" width="5" style="134" customWidth="1"/>
    <col min="5634" max="5634" width="10.140625" style="134" customWidth="1"/>
    <col min="5635" max="5635" width="9.85546875" style="134" customWidth="1"/>
    <col min="5636" max="5636" width="11.42578125" style="134" customWidth="1"/>
    <col min="5637" max="5637" width="37" style="134" customWidth="1"/>
    <col min="5638" max="5638" width="13.140625" style="134" customWidth="1"/>
    <col min="5639" max="5639" width="11.28515625" style="134" customWidth="1"/>
    <col min="5640" max="5640" width="18.85546875" style="134" customWidth="1"/>
    <col min="5641" max="5642" width="9.7109375" style="134" customWidth="1"/>
    <col min="5643" max="5657" width="12" style="134" customWidth="1"/>
    <col min="5658" max="5661" width="10.140625" style="134" customWidth="1"/>
    <col min="5662" max="5662" width="13.5703125" style="134" customWidth="1"/>
    <col min="5663" max="5685" width="10.140625" style="134" customWidth="1"/>
    <col min="5686" max="5888" width="11.42578125" style="134"/>
    <col min="5889" max="5889" width="5" style="134" customWidth="1"/>
    <col min="5890" max="5890" width="10.140625" style="134" customWidth="1"/>
    <col min="5891" max="5891" width="9.85546875" style="134" customWidth="1"/>
    <col min="5892" max="5892" width="11.42578125" style="134" customWidth="1"/>
    <col min="5893" max="5893" width="37" style="134" customWidth="1"/>
    <col min="5894" max="5894" width="13.140625" style="134" customWidth="1"/>
    <col min="5895" max="5895" width="11.28515625" style="134" customWidth="1"/>
    <col min="5896" max="5896" width="18.85546875" style="134" customWidth="1"/>
    <col min="5897" max="5898" width="9.7109375" style="134" customWidth="1"/>
    <col min="5899" max="5913" width="12" style="134" customWidth="1"/>
    <col min="5914" max="5917" width="10.140625" style="134" customWidth="1"/>
    <col min="5918" max="5918" width="13.5703125" style="134" customWidth="1"/>
    <col min="5919" max="5941" width="10.140625" style="134" customWidth="1"/>
    <col min="5942" max="6144" width="11.42578125" style="134"/>
    <col min="6145" max="6145" width="5" style="134" customWidth="1"/>
    <col min="6146" max="6146" width="10.140625" style="134" customWidth="1"/>
    <col min="6147" max="6147" width="9.85546875" style="134" customWidth="1"/>
    <col min="6148" max="6148" width="11.42578125" style="134" customWidth="1"/>
    <col min="6149" max="6149" width="37" style="134" customWidth="1"/>
    <col min="6150" max="6150" width="13.140625" style="134" customWidth="1"/>
    <col min="6151" max="6151" width="11.28515625" style="134" customWidth="1"/>
    <col min="6152" max="6152" width="18.85546875" style="134" customWidth="1"/>
    <col min="6153" max="6154" width="9.7109375" style="134" customWidth="1"/>
    <col min="6155" max="6169" width="12" style="134" customWidth="1"/>
    <col min="6170" max="6173" width="10.140625" style="134" customWidth="1"/>
    <col min="6174" max="6174" width="13.5703125" style="134" customWidth="1"/>
    <col min="6175" max="6197" width="10.140625" style="134" customWidth="1"/>
    <col min="6198" max="6400" width="11.42578125" style="134"/>
    <col min="6401" max="6401" width="5" style="134" customWidth="1"/>
    <col min="6402" max="6402" width="10.140625" style="134" customWidth="1"/>
    <col min="6403" max="6403" width="9.85546875" style="134" customWidth="1"/>
    <col min="6404" max="6404" width="11.42578125" style="134" customWidth="1"/>
    <col min="6405" max="6405" width="37" style="134" customWidth="1"/>
    <col min="6406" max="6406" width="13.140625" style="134" customWidth="1"/>
    <col min="6407" max="6407" width="11.28515625" style="134" customWidth="1"/>
    <col min="6408" max="6408" width="18.85546875" style="134" customWidth="1"/>
    <col min="6409" max="6410" width="9.7109375" style="134" customWidth="1"/>
    <col min="6411" max="6425" width="12" style="134" customWidth="1"/>
    <col min="6426" max="6429" width="10.140625" style="134" customWidth="1"/>
    <col min="6430" max="6430" width="13.5703125" style="134" customWidth="1"/>
    <col min="6431" max="6453" width="10.140625" style="134" customWidth="1"/>
    <col min="6454" max="6656" width="11.42578125" style="134"/>
    <col min="6657" max="6657" width="5" style="134" customWidth="1"/>
    <col min="6658" max="6658" width="10.140625" style="134" customWidth="1"/>
    <col min="6659" max="6659" width="9.85546875" style="134" customWidth="1"/>
    <col min="6660" max="6660" width="11.42578125" style="134" customWidth="1"/>
    <col min="6661" max="6661" width="37" style="134" customWidth="1"/>
    <col min="6662" max="6662" width="13.140625" style="134" customWidth="1"/>
    <col min="6663" max="6663" width="11.28515625" style="134" customWidth="1"/>
    <col min="6664" max="6664" width="18.85546875" style="134" customWidth="1"/>
    <col min="6665" max="6666" width="9.7109375" style="134" customWidth="1"/>
    <col min="6667" max="6681" width="12" style="134" customWidth="1"/>
    <col min="6682" max="6685" width="10.140625" style="134" customWidth="1"/>
    <col min="6686" max="6686" width="13.5703125" style="134" customWidth="1"/>
    <col min="6687" max="6709" width="10.140625" style="134" customWidth="1"/>
    <col min="6710" max="6912" width="11.42578125" style="134"/>
    <col min="6913" max="6913" width="5" style="134" customWidth="1"/>
    <col min="6914" max="6914" width="10.140625" style="134" customWidth="1"/>
    <col min="6915" max="6915" width="9.85546875" style="134" customWidth="1"/>
    <col min="6916" max="6916" width="11.42578125" style="134" customWidth="1"/>
    <col min="6917" max="6917" width="37" style="134" customWidth="1"/>
    <col min="6918" max="6918" width="13.140625" style="134" customWidth="1"/>
    <col min="6919" max="6919" width="11.28515625" style="134" customWidth="1"/>
    <col min="6920" max="6920" width="18.85546875" style="134" customWidth="1"/>
    <col min="6921" max="6922" width="9.7109375" style="134" customWidth="1"/>
    <col min="6923" max="6937" width="12" style="134" customWidth="1"/>
    <col min="6938" max="6941" width="10.140625" style="134" customWidth="1"/>
    <col min="6942" max="6942" width="13.5703125" style="134" customWidth="1"/>
    <col min="6943" max="6965" width="10.140625" style="134" customWidth="1"/>
    <col min="6966" max="7168" width="11.42578125" style="134"/>
    <col min="7169" max="7169" width="5" style="134" customWidth="1"/>
    <col min="7170" max="7170" width="10.140625" style="134" customWidth="1"/>
    <col min="7171" max="7171" width="9.85546875" style="134" customWidth="1"/>
    <col min="7172" max="7172" width="11.42578125" style="134" customWidth="1"/>
    <col min="7173" max="7173" width="37" style="134" customWidth="1"/>
    <col min="7174" max="7174" width="13.140625" style="134" customWidth="1"/>
    <col min="7175" max="7175" width="11.28515625" style="134" customWidth="1"/>
    <col min="7176" max="7176" width="18.85546875" style="134" customWidth="1"/>
    <col min="7177" max="7178" width="9.7109375" style="134" customWidth="1"/>
    <col min="7179" max="7193" width="12" style="134" customWidth="1"/>
    <col min="7194" max="7197" width="10.140625" style="134" customWidth="1"/>
    <col min="7198" max="7198" width="13.5703125" style="134" customWidth="1"/>
    <col min="7199" max="7221" width="10.140625" style="134" customWidth="1"/>
    <col min="7222" max="7424" width="11.42578125" style="134"/>
    <col min="7425" max="7425" width="5" style="134" customWidth="1"/>
    <col min="7426" max="7426" width="10.140625" style="134" customWidth="1"/>
    <col min="7427" max="7427" width="9.85546875" style="134" customWidth="1"/>
    <col min="7428" max="7428" width="11.42578125" style="134" customWidth="1"/>
    <col min="7429" max="7429" width="37" style="134" customWidth="1"/>
    <col min="7430" max="7430" width="13.140625" style="134" customWidth="1"/>
    <col min="7431" max="7431" width="11.28515625" style="134" customWidth="1"/>
    <col min="7432" max="7432" width="18.85546875" style="134" customWidth="1"/>
    <col min="7433" max="7434" width="9.7109375" style="134" customWidth="1"/>
    <col min="7435" max="7449" width="12" style="134" customWidth="1"/>
    <col min="7450" max="7453" width="10.140625" style="134" customWidth="1"/>
    <col min="7454" max="7454" width="13.5703125" style="134" customWidth="1"/>
    <col min="7455" max="7477" width="10.140625" style="134" customWidth="1"/>
    <col min="7478" max="7680" width="11.42578125" style="134"/>
    <col min="7681" max="7681" width="5" style="134" customWidth="1"/>
    <col min="7682" max="7682" width="10.140625" style="134" customWidth="1"/>
    <col min="7683" max="7683" width="9.85546875" style="134" customWidth="1"/>
    <col min="7684" max="7684" width="11.42578125" style="134" customWidth="1"/>
    <col min="7685" max="7685" width="37" style="134" customWidth="1"/>
    <col min="7686" max="7686" width="13.140625" style="134" customWidth="1"/>
    <col min="7687" max="7687" width="11.28515625" style="134" customWidth="1"/>
    <col min="7688" max="7688" width="18.85546875" style="134" customWidth="1"/>
    <col min="7689" max="7690" width="9.7109375" style="134" customWidth="1"/>
    <col min="7691" max="7705" width="12" style="134" customWidth="1"/>
    <col min="7706" max="7709" width="10.140625" style="134" customWidth="1"/>
    <col min="7710" max="7710" width="13.5703125" style="134" customWidth="1"/>
    <col min="7711" max="7733" width="10.140625" style="134" customWidth="1"/>
    <col min="7734" max="7936" width="11.42578125" style="134"/>
    <col min="7937" max="7937" width="5" style="134" customWidth="1"/>
    <col min="7938" max="7938" width="10.140625" style="134" customWidth="1"/>
    <col min="7939" max="7939" width="9.85546875" style="134" customWidth="1"/>
    <col min="7940" max="7940" width="11.42578125" style="134" customWidth="1"/>
    <col min="7941" max="7941" width="37" style="134" customWidth="1"/>
    <col min="7942" max="7942" width="13.140625" style="134" customWidth="1"/>
    <col min="7943" max="7943" width="11.28515625" style="134" customWidth="1"/>
    <col min="7944" max="7944" width="18.85546875" style="134" customWidth="1"/>
    <col min="7945" max="7946" width="9.7109375" style="134" customWidth="1"/>
    <col min="7947" max="7961" width="12" style="134" customWidth="1"/>
    <col min="7962" max="7965" width="10.140625" style="134" customWidth="1"/>
    <col min="7966" max="7966" width="13.5703125" style="134" customWidth="1"/>
    <col min="7967" max="7989" width="10.140625" style="134" customWidth="1"/>
    <col min="7990" max="8192" width="11.42578125" style="134"/>
    <col min="8193" max="8193" width="5" style="134" customWidth="1"/>
    <col min="8194" max="8194" width="10.140625" style="134" customWidth="1"/>
    <col min="8195" max="8195" width="9.85546875" style="134" customWidth="1"/>
    <col min="8196" max="8196" width="11.42578125" style="134" customWidth="1"/>
    <col min="8197" max="8197" width="37" style="134" customWidth="1"/>
    <col min="8198" max="8198" width="13.140625" style="134" customWidth="1"/>
    <col min="8199" max="8199" width="11.28515625" style="134" customWidth="1"/>
    <col min="8200" max="8200" width="18.85546875" style="134" customWidth="1"/>
    <col min="8201" max="8202" width="9.7109375" style="134" customWidth="1"/>
    <col min="8203" max="8217" width="12" style="134" customWidth="1"/>
    <col min="8218" max="8221" width="10.140625" style="134" customWidth="1"/>
    <col min="8222" max="8222" width="13.5703125" style="134" customWidth="1"/>
    <col min="8223" max="8245" width="10.140625" style="134" customWidth="1"/>
    <col min="8246" max="8448" width="11.42578125" style="134"/>
    <col min="8449" max="8449" width="5" style="134" customWidth="1"/>
    <col min="8450" max="8450" width="10.140625" style="134" customWidth="1"/>
    <col min="8451" max="8451" width="9.85546875" style="134" customWidth="1"/>
    <col min="8452" max="8452" width="11.42578125" style="134" customWidth="1"/>
    <col min="8453" max="8453" width="37" style="134" customWidth="1"/>
    <col min="8454" max="8454" width="13.140625" style="134" customWidth="1"/>
    <col min="8455" max="8455" width="11.28515625" style="134" customWidth="1"/>
    <col min="8456" max="8456" width="18.85546875" style="134" customWidth="1"/>
    <col min="8457" max="8458" width="9.7109375" style="134" customWidth="1"/>
    <col min="8459" max="8473" width="12" style="134" customWidth="1"/>
    <col min="8474" max="8477" width="10.140625" style="134" customWidth="1"/>
    <col min="8478" max="8478" width="13.5703125" style="134" customWidth="1"/>
    <col min="8479" max="8501" width="10.140625" style="134" customWidth="1"/>
    <col min="8502" max="8704" width="11.42578125" style="134"/>
    <col min="8705" max="8705" width="5" style="134" customWidth="1"/>
    <col min="8706" max="8706" width="10.140625" style="134" customWidth="1"/>
    <col min="8707" max="8707" width="9.85546875" style="134" customWidth="1"/>
    <col min="8708" max="8708" width="11.42578125" style="134" customWidth="1"/>
    <col min="8709" max="8709" width="37" style="134" customWidth="1"/>
    <col min="8710" max="8710" width="13.140625" style="134" customWidth="1"/>
    <col min="8711" max="8711" width="11.28515625" style="134" customWidth="1"/>
    <col min="8712" max="8712" width="18.85546875" style="134" customWidth="1"/>
    <col min="8713" max="8714" width="9.7109375" style="134" customWidth="1"/>
    <col min="8715" max="8729" width="12" style="134" customWidth="1"/>
    <col min="8730" max="8733" width="10.140625" style="134" customWidth="1"/>
    <col min="8734" max="8734" width="13.5703125" style="134" customWidth="1"/>
    <col min="8735" max="8757" width="10.140625" style="134" customWidth="1"/>
    <col min="8758" max="8960" width="11.42578125" style="134"/>
    <col min="8961" max="8961" width="5" style="134" customWidth="1"/>
    <col min="8962" max="8962" width="10.140625" style="134" customWidth="1"/>
    <col min="8963" max="8963" width="9.85546875" style="134" customWidth="1"/>
    <col min="8964" max="8964" width="11.42578125" style="134" customWidth="1"/>
    <col min="8965" max="8965" width="37" style="134" customWidth="1"/>
    <col min="8966" max="8966" width="13.140625" style="134" customWidth="1"/>
    <col min="8967" max="8967" width="11.28515625" style="134" customWidth="1"/>
    <col min="8968" max="8968" width="18.85546875" style="134" customWidth="1"/>
    <col min="8969" max="8970" width="9.7109375" style="134" customWidth="1"/>
    <col min="8971" max="8985" width="12" style="134" customWidth="1"/>
    <col min="8986" max="8989" width="10.140625" style="134" customWidth="1"/>
    <col min="8990" max="8990" width="13.5703125" style="134" customWidth="1"/>
    <col min="8991" max="9013" width="10.140625" style="134" customWidth="1"/>
    <col min="9014" max="9216" width="11.42578125" style="134"/>
    <col min="9217" max="9217" width="5" style="134" customWidth="1"/>
    <col min="9218" max="9218" width="10.140625" style="134" customWidth="1"/>
    <col min="9219" max="9219" width="9.85546875" style="134" customWidth="1"/>
    <col min="9220" max="9220" width="11.42578125" style="134" customWidth="1"/>
    <col min="9221" max="9221" width="37" style="134" customWidth="1"/>
    <col min="9222" max="9222" width="13.140625" style="134" customWidth="1"/>
    <col min="9223" max="9223" width="11.28515625" style="134" customWidth="1"/>
    <col min="9224" max="9224" width="18.85546875" style="134" customWidth="1"/>
    <col min="9225" max="9226" width="9.7109375" style="134" customWidth="1"/>
    <col min="9227" max="9241" width="12" style="134" customWidth="1"/>
    <col min="9242" max="9245" width="10.140625" style="134" customWidth="1"/>
    <col min="9246" max="9246" width="13.5703125" style="134" customWidth="1"/>
    <col min="9247" max="9269" width="10.140625" style="134" customWidth="1"/>
    <col min="9270" max="9472" width="11.42578125" style="134"/>
    <col min="9473" max="9473" width="5" style="134" customWidth="1"/>
    <col min="9474" max="9474" width="10.140625" style="134" customWidth="1"/>
    <col min="9475" max="9475" width="9.85546875" style="134" customWidth="1"/>
    <col min="9476" max="9476" width="11.42578125" style="134" customWidth="1"/>
    <col min="9477" max="9477" width="37" style="134" customWidth="1"/>
    <col min="9478" max="9478" width="13.140625" style="134" customWidth="1"/>
    <col min="9479" max="9479" width="11.28515625" style="134" customWidth="1"/>
    <col min="9480" max="9480" width="18.85546875" style="134" customWidth="1"/>
    <col min="9481" max="9482" width="9.7109375" style="134" customWidth="1"/>
    <col min="9483" max="9497" width="12" style="134" customWidth="1"/>
    <col min="9498" max="9501" width="10.140625" style="134" customWidth="1"/>
    <col min="9502" max="9502" width="13.5703125" style="134" customWidth="1"/>
    <col min="9503" max="9525" width="10.140625" style="134" customWidth="1"/>
    <col min="9526" max="9728" width="11.42578125" style="134"/>
    <col min="9729" max="9729" width="5" style="134" customWidth="1"/>
    <col min="9730" max="9730" width="10.140625" style="134" customWidth="1"/>
    <col min="9731" max="9731" width="9.85546875" style="134" customWidth="1"/>
    <col min="9732" max="9732" width="11.42578125" style="134" customWidth="1"/>
    <col min="9733" max="9733" width="37" style="134" customWidth="1"/>
    <col min="9734" max="9734" width="13.140625" style="134" customWidth="1"/>
    <col min="9735" max="9735" width="11.28515625" style="134" customWidth="1"/>
    <col min="9736" max="9736" width="18.85546875" style="134" customWidth="1"/>
    <col min="9737" max="9738" width="9.7109375" style="134" customWidth="1"/>
    <col min="9739" max="9753" width="12" style="134" customWidth="1"/>
    <col min="9754" max="9757" width="10.140625" style="134" customWidth="1"/>
    <col min="9758" max="9758" width="13.5703125" style="134" customWidth="1"/>
    <col min="9759" max="9781" width="10.140625" style="134" customWidth="1"/>
    <col min="9782" max="9984" width="11.42578125" style="134"/>
    <col min="9985" max="9985" width="5" style="134" customWidth="1"/>
    <col min="9986" max="9986" width="10.140625" style="134" customWidth="1"/>
    <col min="9987" max="9987" width="9.85546875" style="134" customWidth="1"/>
    <col min="9988" max="9988" width="11.42578125" style="134" customWidth="1"/>
    <col min="9989" max="9989" width="37" style="134" customWidth="1"/>
    <col min="9990" max="9990" width="13.140625" style="134" customWidth="1"/>
    <col min="9991" max="9991" width="11.28515625" style="134" customWidth="1"/>
    <col min="9992" max="9992" width="18.85546875" style="134" customWidth="1"/>
    <col min="9993" max="9994" width="9.7109375" style="134" customWidth="1"/>
    <col min="9995" max="10009" width="12" style="134" customWidth="1"/>
    <col min="10010" max="10013" width="10.140625" style="134" customWidth="1"/>
    <col min="10014" max="10014" width="13.5703125" style="134" customWidth="1"/>
    <col min="10015" max="10037" width="10.140625" style="134" customWidth="1"/>
    <col min="10038" max="10240" width="11.42578125" style="134"/>
    <col min="10241" max="10241" width="5" style="134" customWidth="1"/>
    <col min="10242" max="10242" width="10.140625" style="134" customWidth="1"/>
    <col min="10243" max="10243" width="9.85546875" style="134" customWidth="1"/>
    <col min="10244" max="10244" width="11.42578125" style="134" customWidth="1"/>
    <col min="10245" max="10245" width="37" style="134" customWidth="1"/>
    <col min="10246" max="10246" width="13.140625" style="134" customWidth="1"/>
    <col min="10247" max="10247" width="11.28515625" style="134" customWidth="1"/>
    <col min="10248" max="10248" width="18.85546875" style="134" customWidth="1"/>
    <col min="10249" max="10250" width="9.7109375" style="134" customWidth="1"/>
    <col min="10251" max="10265" width="12" style="134" customWidth="1"/>
    <col min="10266" max="10269" width="10.140625" style="134" customWidth="1"/>
    <col min="10270" max="10270" width="13.5703125" style="134" customWidth="1"/>
    <col min="10271" max="10293" width="10.140625" style="134" customWidth="1"/>
    <col min="10294" max="10496" width="11.42578125" style="134"/>
    <col min="10497" max="10497" width="5" style="134" customWidth="1"/>
    <col min="10498" max="10498" width="10.140625" style="134" customWidth="1"/>
    <col min="10499" max="10499" width="9.85546875" style="134" customWidth="1"/>
    <col min="10500" max="10500" width="11.42578125" style="134" customWidth="1"/>
    <col min="10501" max="10501" width="37" style="134" customWidth="1"/>
    <col min="10502" max="10502" width="13.140625" style="134" customWidth="1"/>
    <col min="10503" max="10503" width="11.28515625" style="134" customWidth="1"/>
    <col min="10504" max="10504" width="18.85546875" style="134" customWidth="1"/>
    <col min="10505" max="10506" width="9.7109375" style="134" customWidth="1"/>
    <col min="10507" max="10521" width="12" style="134" customWidth="1"/>
    <col min="10522" max="10525" width="10.140625" style="134" customWidth="1"/>
    <col min="10526" max="10526" width="13.5703125" style="134" customWidth="1"/>
    <col min="10527" max="10549" width="10.140625" style="134" customWidth="1"/>
    <col min="10550" max="10752" width="11.42578125" style="134"/>
    <col min="10753" max="10753" width="5" style="134" customWidth="1"/>
    <col min="10754" max="10754" width="10.140625" style="134" customWidth="1"/>
    <col min="10755" max="10755" width="9.85546875" style="134" customWidth="1"/>
    <col min="10756" max="10756" width="11.42578125" style="134" customWidth="1"/>
    <col min="10757" max="10757" width="37" style="134" customWidth="1"/>
    <col min="10758" max="10758" width="13.140625" style="134" customWidth="1"/>
    <col min="10759" max="10759" width="11.28515625" style="134" customWidth="1"/>
    <col min="10760" max="10760" width="18.85546875" style="134" customWidth="1"/>
    <col min="10761" max="10762" width="9.7109375" style="134" customWidth="1"/>
    <col min="10763" max="10777" width="12" style="134" customWidth="1"/>
    <col min="10778" max="10781" width="10.140625" style="134" customWidth="1"/>
    <col min="10782" max="10782" width="13.5703125" style="134" customWidth="1"/>
    <col min="10783" max="10805" width="10.140625" style="134" customWidth="1"/>
    <col min="10806" max="11008" width="11.42578125" style="134"/>
    <col min="11009" max="11009" width="5" style="134" customWidth="1"/>
    <col min="11010" max="11010" width="10.140625" style="134" customWidth="1"/>
    <col min="11011" max="11011" width="9.85546875" style="134" customWidth="1"/>
    <col min="11012" max="11012" width="11.42578125" style="134" customWidth="1"/>
    <col min="11013" max="11013" width="37" style="134" customWidth="1"/>
    <col min="11014" max="11014" width="13.140625" style="134" customWidth="1"/>
    <col min="11015" max="11015" width="11.28515625" style="134" customWidth="1"/>
    <col min="11016" max="11016" width="18.85546875" style="134" customWidth="1"/>
    <col min="11017" max="11018" width="9.7109375" style="134" customWidth="1"/>
    <col min="11019" max="11033" width="12" style="134" customWidth="1"/>
    <col min="11034" max="11037" width="10.140625" style="134" customWidth="1"/>
    <col min="11038" max="11038" width="13.5703125" style="134" customWidth="1"/>
    <col min="11039" max="11061" width="10.140625" style="134" customWidth="1"/>
    <col min="11062" max="11264" width="11.42578125" style="134"/>
    <col min="11265" max="11265" width="5" style="134" customWidth="1"/>
    <col min="11266" max="11266" width="10.140625" style="134" customWidth="1"/>
    <col min="11267" max="11267" width="9.85546875" style="134" customWidth="1"/>
    <col min="11268" max="11268" width="11.42578125" style="134" customWidth="1"/>
    <col min="11269" max="11269" width="37" style="134" customWidth="1"/>
    <col min="11270" max="11270" width="13.140625" style="134" customWidth="1"/>
    <col min="11271" max="11271" width="11.28515625" style="134" customWidth="1"/>
    <col min="11272" max="11272" width="18.85546875" style="134" customWidth="1"/>
    <col min="11273" max="11274" width="9.7109375" style="134" customWidth="1"/>
    <col min="11275" max="11289" width="12" style="134" customWidth="1"/>
    <col min="11290" max="11293" width="10.140625" style="134" customWidth="1"/>
    <col min="11294" max="11294" width="13.5703125" style="134" customWidth="1"/>
    <col min="11295" max="11317" width="10.140625" style="134" customWidth="1"/>
    <col min="11318" max="11520" width="11.42578125" style="134"/>
    <col min="11521" max="11521" width="5" style="134" customWidth="1"/>
    <col min="11522" max="11522" width="10.140625" style="134" customWidth="1"/>
    <col min="11523" max="11523" width="9.85546875" style="134" customWidth="1"/>
    <col min="11524" max="11524" width="11.42578125" style="134" customWidth="1"/>
    <col min="11525" max="11525" width="37" style="134" customWidth="1"/>
    <col min="11526" max="11526" width="13.140625" style="134" customWidth="1"/>
    <col min="11527" max="11527" width="11.28515625" style="134" customWidth="1"/>
    <col min="11528" max="11528" width="18.85546875" style="134" customWidth="1"/>
    <col min="11529" max="11530" width="9.7109375" style="134" customWidth="1"/>
    <col min="11531" max="11545" width="12" style="134" customWidth="1"/>
    <col min="11546" max="11549" width="10.140625" style="134" customWidth="1"/>
    <col min="11550" max="11550" width="13.5703125" style="134" customWidth="1"/>
    <col min="11551" max="11573" width="10.140625" style="134" customWidth="1"/>
    <col min="11574" max="11776" width="11.42578125" style="134"/>
    <col min="11777" max="11777" width="5" style="134" customWidth="1"/>
    <col min="11778" max="11778" width="10.140625" style="134" customWidth="1"/>
    <col min="11779" max="11779" width="9.85546875" style="134" customWidth="1"/>
    <col min="11780" max="11780" width="11.42578125" style="134" customWidth="1"/>
    <col min="11781" max="11781" width="37" style="134" customWidth="1"/>
    <col min="11782" max="11782" width="13.140625" style="134" customWidth="1"/>
    <col min="11783" max="11783" width="11.28515625" style="134" customWidth="1"/>
    <col min="11784" max="11784" width="18.85546875" style="134" customWidth="1"/>
    <col min="11785" max="11786" width="9.7109375" style="134" customWidth="1"/>
    <col min="11787" max="11801" width="12" style="134" customWidth="1"/>
    <col min="11802" max="11805" width="10.140625" style="134" customWidth="1"/>
    <col min="11806" max="11806" width="13.5703125" style="134" customWidth="1"/>
    <col min="11807" max="11829" width="10.140625" style="134" customWidth="1"/>
    <col min="11830" max="12032" width="11.42578125" style="134"/>
    <col min="12033" max="12033" width="5" style="134" customWidth="1"/>
    <col min="12034" max="12034" width="10.140625" style="134" customWidth="1"/>
    <col min="12035" max="12035" width="9.85546875" style="134" customWidth="1"/>
    <col min="12036" max="12036" width="11.42578125" style="134" customWidth="1"/>
    <col min="12037" max="12037" width="37" style="134" customWidth="1"/>
    <col min="12038" max="12038" width="13.140625" style="134" customWidth="1"/>
    <col min="12039" max="12039" width="11.28515625" style="134" customWidth="1"/>
    <col min="12040" max="12040" width="18.85546875" style="134" customWidth="1"/>
    <col min="12041" max="12042" width="9.7109375" style="134" customWidth="1"/>
    <col min="12043" max="12057" width="12" style="134" customWidth="1"/>
    <col min="12058" max="12061" width="10.140625" style="134" customWidth="1"/>
    <col min="12062" max="12062" width="13.5703125" style="134" customWidth="1"/>
    <col min="12063" max="12085" width="10.140625" style="134" customWidth="1"/>
    <col min="12086" max="12288" width="11.42578125" style="134"/>
    <col min="12289" max="12289" width="5" style="134" customWidth="1"/>
    <col min="12290" max="12290" width="10.140625" style="134" customWidth="1"/>
    <col min="12291" max="12291" width="9.85546875" style="134" customWidth="1"/>
    <col min="12292" max="12292" width="11.42578125" style="134" customWidth="1"/>
    <col min="12293" max="12293" width="37" style="134" customWidth="1"/>
    <col min="12294" max="12294" width="13.140625" style="134" customWidth="1"/>
    <col min="12295" max="12295" width="11.28515625" style="134" customWidth="1"/>
    <col min="12296" max="12296" width="18.85546875" style="134" customWidth="1"/>
    <col min="12297" max="12298" width="9.7109375" style="134" customWidth="1"/>
    <col min="12299" max="12313" width="12" style="134" customWidth="1"/>
    <col min="12314" max="12317" width="10.140625" style="134" customWidth="1"/>
    <col min="12318" max="12318" width="13.5703125" style="134" customWidth="1"/>
    <col min="12319" max="12341" width="10.140625" style="134" customWidth="1"/>
    <col min="12342" max="12544" width="11.42578125" style="134"/>
    <col min="12545" max="12545" width="5" style="134" customWidth="1"/>
    <col min="12546" max="12546" width="10.140625" style="134" customWidth="1"/>
    <col min="12547" max="12547" width="9.85546875" style="134" customWidth="1"/>
    <col min="12548" max="12548" width="11.42578125" style="134" customWidth="1"/>
    <col min="12549" max="12549" width="37" style="134" customWidth="1"/>
    <col min="12550" max="12550" width="13.140625" style="134" customWidth="1"/>
    <col min="12551" max="12551" width="11.28515625" style="134" customWidth="1"/>
    <col min="12552" max="12552" width="18.85546875" style="134" customWidth="1"/>
    <col min="12553" max="12554" width="9.7109375" style="134" customWidth="1"/>
    <col min="12555" max="12569" width="12" style="134" customWidth="1"/>
    <col min="12570" max="12573" width="10.140625" style="134" customWidth="1"/>
    <col min="12574" max="12574" width="13.5703125" style="134" customWidth="1"/>
    <col min="12575" max="12597" width="10.140625" style="134" customWidth="1"/>
    <col min="12598" max="12800" width="11.42578125" style="134"/>
    <col min="12801" max="12801" width="5" style="134" customWidth="1"/>
    <col min="12802" max="12802" width="10.140625" style="134" customWidth="1"/>
    <col min="12803" max="12803" width="9.85546875" style="134" customWidth="1"/>
    <col min="12804" max="12804" width="11.42578125" style="134" customWidth="1"/>
    <col min="12805" max="12805" width="37" style="134" customWidth="1"/>
    <col min="12806" max="12806" width="13.140625" style="134" customWidth="1"/>
    <col min="12807" max="12807" width="11.28515625" style="134" customWidth="1"/>
    <col min="12808" max="12808" width="18.85546875" style="134" customWidth="1"/>
    <col min="12809" max="12810" width="9.7109375" style="134" customWidth="1"/>
    <col min="12811" max="12825" width="12" style="134" customWidth="1"/>
    <col min="12826" max="12829" width="10.140625" style="134" customWidth="1"/>
    <col min="12830" max="12830" width="13.5703125" style="134" customWidth="1"/>
    <col min="12831" max="12853" width="10.140625" style="134" customWidth="1"/>
    <col min="12854" max="13056" width="11.42578125" style="134"/>
    <col min="13057" max="13057" width="5" style="134" customWidth="1"/>
    <col min="13058" max="13058" width="10.140625" style="134" customWidth="1"/>
    <col min="13059" max="13059" width="9.85546875" style="134" customWidth="1"/>
    <col min="13060" max="13060" width="11.42578125" style="134" customWidth="1"/>
    <col min="13061" max="13061" width="37" style="134" customWidth="1"/>
    <col min="13062" max="13062" width="13.140625" style="134" customWidth="1"/>
    <col min="13063" max="13063" width="11.28515625" style="134" customWidth="1"/>
    <col min="13064" max="13064" width="18.85546875" style="134" customWidth="1"/>
    <col min="13065" max="13066" width="9.7109375" style="134" customWidth="1"/>
    <col min="13067" max="13081" width="12" style="134" customWidth="1"/>
    <col min="13082" max="13085" width="10.140625" style="134" customWidth="1"/>
    <col min="13086" max="13086" width="13.5703125" style="134" customWidth="1"/>
    <col min="13087" max="13109" width="10.140625" style="134" customWidth="1"/>
    <col min="13110" max="13312" width="11.42578125" style="134"/>
    <col min="13313" max="13313" width="5" style="134" customWidth="1"/>
    <col min="13314" max="13314" width="10.140625" style="134" customWidth="1"/>
    <col min="13315" max="13315" width="9.85546875" style="134" customWidth="1"/>
    <col min="13316" max="13316" width="11.42578125" style="134" customWidth="1"/>
    <col min="13317" max="13317" width="37" style="134" customWidth="1"/>
    <col min="13318" max="13318" width="13.140625" style="134" customWidth="1"/>
    <col min="13319" max="13319" width="11.28515625" style="134" customWidth="1"/>
    <col min="13320" max="13320" width="18.85546875" style="134" customWidth="1"/>
    <col min="13321" max="13322" width="9.7109375" style="134" customWidth="1"/>
    <col min="13323" max="13337" width="12" style="134" customWidth="1"/>
    <col min="13338" max="13341" width="10.140625" style="134" customWidth="1"/>
    <col min="13342" max="13342" width="13.5703125" style="134" customWidth="1"/>
    <col min="13343" max="13365" width="10.140625" style="134" customWidth="1"/>
    <col min="13366" max="13568" width="11.42578125" style="134"/>
    <col min="13569" max="13569" width="5" style="134" customWidth="1"/>
    <col min="13570" max="13570" width="10.140625" style="134" customWidth="1"/>
    <col min="13571" max="13571" width="9.85546875" style="134" customWidth="1"/>
    <col min="13572" max="13572" width="11.42578125" style="134" customWidth="1"/>
    <col min="13573" max="13573" width="37" style="134" customWidth="1"/>
    <col min="13574" max="13574" width="13.140625" style="134" customWidth="1"/>
    <col min="13575" max="13575" width="11.28515625" style="134" customWidth="1"/>
    <col min="13576" max="13576" width="18.85546875" style="134" customWidth="1"/>
    <col min="13577" max="13578" width="9.7109375" style="134" customWidth="1"/>
    <col min="13579" max="13593" width="12" style="134" customWidth="1"/>
    <col min="13594" max="13597" width="10.140625" style="134" customWidth="1"/>
    <col min="13598" max="13598" width="13.5703125" style="134" customWidth="1"/>
    <col min="13599" max="13621" width="10.140625" style="134" customWidth="1"/>
    <col min="13622" max="13824" width="11.42578125" style="134"/>
    <col min="13825" max="13825" width="5" style="134" customWidth="1"/>
    <col min="13826" max="13826" width="10.140625" style="134" customWidth="1"/>
    <col min="13827" max="13827" width="9.85546875" style="134" customWidth="1"/>
    <col min="13828" max="13828" width="11.42578125" style="134" customWidth="1"/>
    <col min="13829" max="13829" width="37" style="134" customWidth="1"/>
    <col min="13830" max="13830" width="13.140625" style="134" customWidth="1"/>
    <col min="13831" max="13831" width="11.28515625" style="134" customWidth="1"/>
    <col min="13832" max="13832" width="18.85546875" style="134" customWidth="1"/>
    <col min="13833" max="13834" width="9.7109375" style="134" customWidth="1"/>
    <col min="13835" max="13849" width="12" style="134" customWidth="1"/>
    <col min="13850" max="13853" width="10.140625" style="134" customWidth="1"/>
    <col min="13854" max="13854" width="13.5703125" style="134" customWidth="1"/>
    <col min="13855" max="13877" width="10.140625" style="134" customWidth="1"/>
    <col min="13878" max="14080" width="11.42578125" style="134"/>
    <col min="14081" max="14081" width="5" style="134" customWidth="1"/>
    <col min="14082" max="14082" width="10.140625" style="134" customWidth="1"/>
    <col min="14083" max="14083" width="9.85546875" style="134" customWidth="1"/>
    <col min="14084" max="14084" width="11.42578125" style="134" customWidth="1"/>
    <col min="14085" max="14085" width="37" style="134" customWidth="1"/>
    <col min="14086" max="14086" width="13.140625" style="134" customWidth="1"/>
    <col min="14087" max="14087" width="11.28515625" style="134" customWidth="1"/>
    <col min="14088" max="14088" width="18.85546875" style="134" customWidth="1"/>
    <col min="14089" max="14090" width="9.7109375" style="134" customWidth="1"/>
    <col min="14091" max="14105" width="12" style="134" customWidth="1"/>
    <col min="14106" max="14109" width="10.140625" style="134" customWidth="1"/>
    <col min="14110" max="14110" width="13.5703125" style="134" customWidth="1"/>
    <col min="14111" max="14133" width="10.140625" style="134" customWidth="1"/>
    <col min="14134" max="14336" width="11.42578125" style="134"/>
    <col min="14337" max="14337" width="5" style="134" customWidth="1"/>
    <col min="14338" max="14338" width="10.140625" style="134" customWidth="1"/>
    <col min="14339" max="14339" width="9.85546875" style="134" customWidth="1"/>
    <col min="14340" max="14340" width="11.42578125" style="134" customWidth="1"/>
    <col min="14341" max="14341" width="37" style="134" customWidth="1"/>
    <col min="14342" max="14342" width="13.140625" style="134" customWidth="1"/>
    <col min="14343" max="14343" width="11.28515625" style="134" customWidth="1"/>
    <col min="14344" max="14344" width="18.85546875" style="134" customWidth="1"/>
    <col min="14345" max="14346" width="9.7109375" style="134" customWidth="1"/>
    <col min="14347" max="14361" width="12" style="134" customWidth="1"/>
    <col min="14362" max="14365" width="10.140625" style="134" customWidth="1"/>
    <col min="14366" max="14366" width="13.5703125" style="134" customWidth="1"/>
    <col min="14367" max="14389" width="10.140625" style="134" customWidth="1"/>
    <col min="14390" max="14592" width="11.42578125" style="134"/>
    <col min="14593" max="14593" width="5" style="134" customWidth="1"/>
    <col min="14594" max="14594" width="10.140625" style="134" customWidth="1"/>
    <col min="14595" max="14595" width="9.85546875" style="134" customWidth="1"/>
    <col min="14596" max="14596" width="11.42578125" style="134" customWidth="1"/>
    <col min="14597" max="14597" width="37" style="134" customWidth="1"/>
    <col min="14598" max="14598" width="13.140625" style="134" customWidth="1"/>
    <col min="14599" max="14599" width="11.28515625" style="134" customWidth="1"/>
    <col min="14600" max="14600" width="18.85546875" style="134" customWidth="1"/>
    <col min="14601" max="14602" width="9.7109375" style="134" customWidth="1"/>
    <col min="14603" max="14617" width="12" style="134" customWidth="1"/>
    <col min="14618" max="14621" width="10.140625" style="134" customWidth="1"/>
    <col min="14622" max="14622" width="13.5703125" style="134" customWidth="1"/>
    <col min="14623" max="14645" width="10.140625" style="134" customWidth="1"/>
    <col min="14646" max="14848" width="11.42578125" style="134"/>
    <col min="14849" max="14849" width="5" style="134" customWidth="1"/>
    <col min="14850" max="14850" width="10.140625" style="134" customWidth="1"/>
    <col min="14851" max="14851" width="9.85546875" style="134" customWidth="1"/>
    <col min="14852" max="14852" width="11.42578125" style="134" customWidth="1"/>
    <col min="14853" max="14853" width="37" style="134" customWidth="1"/>
    <col min="14854" max="14854" width="13.140625" style="134" customWidth="1"/>
    <col min="14855" max="14855" width="11.28515625" style="134" customWidth="1"/>
    <col min="14856" max="14856" width="18.85546875" style="134" customWidth="1"/>
    <col min="14857" max="14858" width="9.7109375" style="134" customWidth="1"/>
    <col min="14859" max="14873" width="12" style="134" customWidth="1"/>
    <col min="14874" max="14877" width="10.140625" style="134" customWidth="1"/>
    <col min="14878" max="14878" width="13.5703125" style="134" customWidth="1"/>
    <col min="14879" max="14901" width="10.140625" style="134" customWidth="1"/>
    <col min="14902" max="15104" width="11.42578125" style="134"/>
    <col min="15105" max="15105" width="5" style="134" customWidth="1"/>
    <col min="15106" max="15106" width="10.140625" style="134" customWidth="1"/>
    <col min="15107" max="15107" width="9.85546875" style="134" customWidth="1"/>
    <col min="15108" max="15108" width="11.42578125" style="134" customWidth="1"/>
    <col min="15109" max="15109" width="37" style="134" customWidth="1"/>
    <col min="15110" max="15110" width="13.140625" style="134" customWidth="1"/>
    <col min="15111" max="15111" width="11.28515625" style="134" customWidth="1"/>
    <col min="15112" max="15112" width="18.85546875" style="134" customWidth="1"/>
    <col min="15113" max="15114" width="9.7109375" style="134" customWidth="1"/>
    <col min="15115" max="15129" width="12" style="134" customWidth="1"/>
    <col min="15130" max="15133" width="10.140625" style="134" customWidth="1"/>
    <col min="15134" max="15134" width="13.5703125" style="134" customWidth="1"/>
    <col min="15135" max="15157" width="10.140625" style="134" customWidth="1"/>
    <col min="15158" max="15360" width="11.42578125" style="134"/>
    <col min="15361" max="15361" width="5" style="134" customWidth="1"/>
    <col min="15362" max="15362" width="10.140625" style="134" customWidth="1"/>
    <col min="15363" max="15363" width="9.85546875" style="134" customWidth="1"/>
    <col min="15364" max="15364" width="11.42578125" style="134" customWidth="1"/>
    <col min="15365" max="15365" width="37" style="134" customWidth="1"/>
    <col min="15366" max="15366" width="13.140625" style="134" customWidth="1"/>
    <col min="15367" max="15367" width="11.28515625" style="134" customWidth="1"/>
    <col min="15368" max="15368" width="18.85546875" style="134" customWidth="1"/>
    <col min="15369" max="15370" width="9.7109375" style="134" customWidth="1"/>
    <col min="15371" max="15385" width="12" style="134" customWidth="1"/>
    <col min="15386" max="15389" width="10.140625" style="134" customWidth="1"/>
    <col min="15390" max="15390" width="13.5703125" style="134" customWidth="1"/>
    <col min="15391" max="15413" width="10.140625" style="134" customWidth="1"/>
    <col min="15414" max="15616" width="11.42578125" style="134"/>
    <col min="15617" max="15617" width="5" style="134" customWidth="1"/>
    <col min="15618" max="15618" width="10.140625" style="134" customWidth="1"/>
    <col min="15619" max="15619" width="9.85546875" style="134" customWidth="1"/>
    <col min="15620" max="15620" width="11.42578125" style="134" customWidth="1"/>
    <col min="15621" max="15621" width="37" style="134" customWidth="1"/>
    <col min="15622" max="15622" width="13.140625" style="134" customWidth="1"/>
    <col min="15623" max="15623" width="11.28515625" style="134" customWidth="1"/>
    <col min="15624" max="15624" width="18.85546875" style="134" customWidth="1"/>
    <col min="15625" max="15626" width="9.7109375" style="134" customWidth="1"/>
    <col min="15627" max="15641" width="12" style="134" customWidth="1"/>
    <col min="15642" max="15645" width="10.140625" style="134" customWidth="1"/>
    <col min="15646" max="15646" width="13.5703125" style="134" customWidth="1"/>
    <col min="15647" max="15669" width="10.140625" style="134" customWidth="1"/>
    <col min="15670" max="15872" width="11.42578125" style="134"/>
    <col min="15873" max="15873" width="5" style="134" customWidth="1"/>
    <col min="15874" max="15874" width="10.140625" style="134" customWidth="1"/>
    <col min="15875" max="15875" width="9.85546875" style="134" customWidth="1"/>
    <col min="15876" max="15876" width="11.42578125" style="134" customWidth="1"/>
    <col min="15877" max="15877" width="37" style="134" customWidth="1"/>
    <col min="15878" max="15878" width="13.140625" style="134" customWidth="1"/>
    <col min="15879" max="15879" width="11.28515625" style="134" customWidth="1"/>
    <col min="15880" max="15880" width="18.85546875" style="134" customWidth="1"/>
    <col min="15881" max="15882" width="9.7109375" style="134" customWidth="1"/>
    <col min="15883" max="15897" width="12" style="134" customWidth="1"/>
    <col min="15898" max="15901" width="10.140625" style="134" customWidth="1"/>
    <col min="15902" max="15902" width="13.5703125" style="134" customWidth="1"/>
    <col min="15903" max="15925" width="10.140625" style="134" customWidth="1"/>
    <col min="15926" max="16128" width="11.42578125" style="134"/>
    <col min="16129" max="16129" width="5" style="134" customWidth="1"/>
    <col min="16130" max="16130" width="10.140625" style="134" customWidth="1"/>
    <col min="16131" max="16131" width="9.85546875" style="134" customWidth="1"/>
    <col min="16132" max="16132" width="11.42578125" style="134" customWidth="1"/>
    <col min="16133" max="16133" width="37" style="134" customWidth="1"/>
    <col min="16134" max="16134" width="13.140625" style="134" customWidth="1"/>
    <col min="16135" max="16135" width="11.28515625" style="134" customWidth="1"/>
    <col min="16136" max="16136" width="18.85546875" style="134" customWidth="1"/>
    <col min="16137" max="16138" width="9.7109375" style="134" customWidth="1"/>
    <col min="16139" max="16153" width="12" style="134" customWidth="1"/>
    <col min="16154" max="16157" width="10.140625" style="134" customWidth="1"/>
    <col min="16158" max="16158" width="13.5703125" style="134" customWidth="1"/>
    <col min="16159" max="16181" width="10.140625" style="134" customWidth="1"/>
    <col min="16182" max="16384" width="11.42578125" style="134"/>
  </cols>
  <sheetData>
    <row r="1" spans="2:57" hidden="1" x14ac:dyDescent="0.2">
      <c r="B1" s="743"/>
      <c r="C1" s="743"/>
      <c r="D1" s="744"/>
      <c r="E1" s="744"/>
      <c r="F1" s="744"/>
      <c r="G1" s="744"/>
      <c r="H1" s="744"/>
      <c r="I1" s="744"/>
      <c r="J1" s="744"/>
      <c r="K1" s="744"/>
      <c r="L1" s="744"/>
      <c r="M1" s="744"/>
      <c r="N1" s="744"/>
      <c r="O1" s="744"/>
      <c r="P1" s="744"/>
      <c r="Q1" s="744"/>
      <c r="R1" s="744"/>
      <c r="S1" s="744"/>
      <c r="T1" s="744"/>
      <c r="U1" s="744"/>
      <c r="V1" s="744"/>
      <c r="W1" s="744"/>
      <c r="X1" s="744"/>
      <c r="Y1" s="744"/>
      <c r="Z1" s="744"/>
      <c r="AA1" s="744"/>
      <c r="AB1" s="744"/>
      <c r="AC1" s="744"/>
      <c r="AD1" s="130"/>
      <c r="AE1" s="131"/>
      <c r="AF1" s="132"/>
      <c r="AG1" s="132"/>
      <c r="AH1" s="132"/>
      <c r="AI1" s="133"/>
      <c r="AJ1" s="132"/>
      <c r="AK1" s="132"/>
      <c r="AL1" s="132"/>
      <c r="AM1" s="133"/>
      <c r="AN1" s="132"/>
      <c r="AO1" s="132"/>
      <c r="AP1" s="132"/>
      <c r="AQ1" s="133"/>
      <c r="AR1" s="132"/>
      <c r="AS1" s="132"/>
      <c r="AT1" s="132"/>
      <c r="AU1" s="133"/>
      <c r="AV1" s="132"/>
      <c r="AW1" s="132"/>
      <c r="AX1" s="132"/>
      <c r="AY1" s="133"/>
      <c r="AZ1" s="132"/>
      <c r="BA1" s="132"/>
    </row>
    <row r="2" spans="2:57" hidden="1" x14ac:dyDescent="0.2">
      <c r="B2" s="744"/>
      <c r="C2" s="744"/>
      <c r="D2" s="744"/>
      <c r="E2" s="744"/>
      <c r="F2" s="744"/>
      <c r="G2" s="744"/>
      <c r="H2" s="744"/>
      <c r="I2" s="744"/>
      <c r="J2" s="744"/>
      <c r="K2" s="744"/>
      <c r="L2" s="744"/>
      <c r="M2" s="744"/>
      <c r="N2" s="744"/>
      <c r="O2" s="744"/>
      <c r="P2" s="744"/>
      <c r="Q2" s="744"/>
      <c r="R2" s="744"/>
      <c r="S2" s="744"/>
      <c r="T2" s="744"/>
      <c r="U2" s="744"/>
      <c r="V2" s="744"/>
      <c r="W2" s="744"/>
      <c r="X2" s="744"/>
      <c r="Y2" s="744"/>
      <c r="Z2" s="744"/>
      <c r="AA2" s="744"/>
      <c r="AB2" s="744"/>
      <c r="AC2" s="744"/>
      <c r="AD2" s="130"/>
      <c r="AE2" s="131"/>
      <c r="AF2" s="132"/>
      <c r="AG2" s="132"/>
      <c r="AH2" s="132"/>
      <c r="AI2" s="133"/>
      <c r="AJ2" s="132"/>
      <c r="AK2" s="132"/>
      <c r="AL2" s="132"/>
      <c r="AM2" s="133"/>
      <c r="AN2" s="132"/>
      <c r="AO2" s="132"/>
      <c r="AP2" s="132"/>
      <c r="AQ2" s="133"/>
      <c r="AR2" s="132"/>
      <c r="AS2" s="132"/>
      <c r="AT2" s="132"/>
      <c r="AU2" s="133"/>
      <c r="AV2" s="132"/>
      <c r="AW2" s="132"/>
      <c r="AX2" s="132"/>
      <c r="AY2" s="133"/>
      <c r="AZ2" s="132"/>
      <c r="BA2" s="132"/>
    </row>
    <row r="3" spans="2:57" ht="12.75" hidden="1" customHeight="1" x14ac:dyDescent="0.2">
      <c r="B3" s="742"/>
      <c r="C3" s="742"/>
      <c r="D3" s="742"/>
      <c r="E3" s="742"/>
      <c r="F3" s="742"/>
      <c r="G3" s="742"/>
      <c r="H3" s="742"/>
      <c r="I3" s="742"/>
      <c r="J3" s="742"/>
      <c r="K3" s="742"/>
      <c r="L3" s="742"/>
      <c r="M3" s="742"/>
      <c r="N3" s="742"/>
      <c r="O3" s="742"/>
      <c r="P3" s="742"/>
      <c r="Q3" s="742"/>
      <c r="R3" s="742"/>
      <c r="S3" s="742"/>
      <c r="T3" s="742"/>
      <c r="U3" s="742"/>
      <c r="V3" s="742"/>
      <c r="W3" s="742"/>
      <c r="X3" s="742"/>
      <c r="Y3" s="742"/>
      <c r="Z3" s="742"/>
      <c r="AA3" s="742"/>
      <c r="AB3" s="742"/>
      <c r="AC3" s="742"/>
      <c r="AD3" s="135"/>
      <c r="AE3" s="136"/>
      <c r="AF3" s="137"/>
      <c r="AG3" s="137"/>
      <c r="AH3" s="137"/>
      <c r="AI3" s="138"/>
      <c r="AJ3" s="137"/>
      <c r="AK3" s="137"/>
      <c r="AL3" s="137"/>
      <c r="AM3" s="138"/>
      <c r="AN3" s="137"/>
      <c r="AO3" s="137"/>
      <c r="AP3" s="137"/>
      <c r="AQ3" s="138"/>
      <c r="AR3" s="137"/>
      <c r="AS3" s="137"/>
      <c r="AT3" s="137"/>
      <c r="AU3" s="138"/>
      <c r="AV3" s="137"/>
      <c r="AW3" s="137"/>
      <c r="AX3" s="137"/>
      <c r="AY3" s="138"/>
      <c r="AZ3" s="137"/>
      <c r="BA3" s="137"/>
    </row>
    <row r="4" spans="2:57" ht="21.75" hidden="1" customHeight="1" x14ac:dyDescent="0.2">
      <c r="B4" s="742"/>
      <c r="C4" s="742"/>
      <c r="D4" s="742"/>
      <c r="E4" s="742"/>
      <c r="F4" s="742"/>
      <c r="G4" s="742"/>
      <c r="H4" s="742"/>
      <c r="I4" s="742"/>
      <c r="J4" s="742"/>
      <c r="K4" s="742"/>
      <c r="L4" s="742"/>
      <c r="M4" s="742"/>
      <c r="N4" s="742"/>
      <c r="O4" s="742"/>
      <c r="P4" s="742"/>
      <c r="Q4" s="742"/>
      <c r="R4" s="742"/>
      <c r="S4" s="742"/>
      <c r="T4" s="742"/>
      <c r="U4" s="742"/>
      <c r="V4" s="742"/>
      <c r="W4" s="742"/>
      <c r="X4" s="742"/>
      <c r="Y4" s="742"/>
      <c r="Z4" s="742"/>
      <c r="AA4" s="742"/>
      <c r="AB4" s="742"/>
      <c r="AC4" s="742"/>
      <c r="AD4" s="135"/>
      <c r="AE4" s="136"/>
      <c r="AF4" s="137"/>
      <c r="AG4" s="137"/>
      <c r="AH4" s="137"/>
      <c r="AI4" s="138"/>
      <c r="AJ4" s="137"/>
      <c r="AK4" s="137"/>
      <c r="AL4" s="137"/>
      <c r="AM4" s="138"/>
      <c r="AN4" s="137"/>
      <c r="AO4" s="137"/>
      <c r="AP4" s="137"/>
      <c r="AQ4" s="138"/>
      <c r="AR4" s="137"/>
      <c r="AS4" s="137"/>
      <c r="AT4" s="137"/>
      <c r="AU4" s="138"/>
      <c r="AV4" s="137"/>
      <c r="AW4" s="137"/>
      <c r="AX4" s="137"/>
      <c r="AY4" s="138"/>
      <c r="AZ4" s="137"/>
      <c r="BA4" s="137"/>
    </row>
    <row r="5" spans="2:57" ht="11.25" hidden="1" customHeight="1" x14ac:dyDescent="0.2">
      <c r="B5" s="742"/>
      <c r="C5" s="742"/>
      <c r="D5" s="742"/>
      <c r="E5" s="742"/>
      <c r="F5" s="742"/>
      <c r="G5" s="742"/>
      <c r="H5" s="742"/>
      <c r="I5" s="742"/>
      <c r="J5" s="742"/>
      <c r="K5" s="742"/>
      <c r="L5" s="742"/>
      <c r="M5" s="742"/>
      <c r="N5" s="742"/>
      <c r="O5" s="742"/>
      <c r="P5" s="742"/>
      <c r="Q5" s="742"/>
      <c r="R5" s="742"/>
      <c r="S5" s="742"/>
      <c r="T5" s="742"/>
      <c r="U5" s="742"/>
      <c r="V5" s="742"/>
      <c r="W5" s="742"/>
      <c r="X5" s="742"/>
      <c r="Y5" s="742"/>
      <c r="Z5" s="742"/>
      <c r="AA5" s="742"/>
      <c r="AB5" s="742"/>
      <c r="AC5" s="742"/>
      <c r="AD5" s="135"/>
      <c r="AE5" s="136"/>
      <c r="AF5" s="137"/>
      <c r="AG5" s="137"/>
      <c r="AH5" s="137"/>
      <c r="AI5" s="138"/>
      <c r="AJ5" s="137"/>
      <c r="AK5" s="137"/>
      <c r="AL5" s="137"/>
      <c r="AM5" s="138"/>
      <c r="AN5" s="137"/>
      <c r="AO5" s="137"/>
      <c r="AP5" s="137"/>
      <c r="AQ5" s="138"/>
      <c r="AR5" s="137"/>
      <c r="AS5" s="137"/>
      <c r="AT5" s="137"/>
      <c r="AU5" s="138"/>
      <c r="AV5" s="137"/>
      <c r="AW5" s="137"/>
      <c r="AX5" s="137"/>
      <c r="AY5" s="138"/>
      <c r="AZ5" s="137"/>
      <c r="BA5" s="137"/>
    </row>
    <row r="6" spans="2:57" ht="15" hidden="1" customHeight="1" x14ac:dyDescent="0.2">
      <c r="B6" s="742"/>
      <c r="C6" s="742"/>
      <c r="D6" s="742"/>
      <c r="E6" s="742"/>
      <c r="F6" s="742"/>
      <c r="G6" s="742"/>
      <c r="H6" s="742"/>
      <c r="I6" s="742"/>
      <c r="J6" s="742"/>
      <c r="K6" s="742"/>
      <c r="L6" s="742"/>
      <c r="M6" s="742"/>
      <c r="N6" s="742"/>
      <c r="O6" s="742"/>
      <c r="P6" s="742"/>
      <c r="Q6" s="742"/>
      <c r="R6" s="742"/>
      <c r="S6" s="742"/>
      <c r="T6" s="742"/>
      <c r="U6" s="742"/>
      <c r="V6" s="742"/>
      <c r="W6" s="742"/>
      <c r="X6" s="742"/>
      <c r="Y6" s="742"/>
      <c r="Z6" s="742"/>
      <c r="AA6" s="742"/>
      <c r="AB6" s="742"/>
      <c r="AC6" s="742"/>
      <c r="AD6" s="135"/>
      <c r="AE6" s="136"/>
      <c r="AF6" s="137"/>
      <c r="AG6" s="137"/>
      <c r="AH6" s="137"/>
      <c r="AI6" s="138"/>
      <c r="AJ6" s="137"/>
      <c r="AK6" s="137"/>
      <c r="AL6" s="137"/>
      <c r="AM6" s="138"/>
      <c r="AN6" s="137"/>
      <c r="AO6" s="137"/>
      <c r="AP6" s="137"/>
      <c r="AQ6" s="138"/>
      <c r="AR6" s="137"/>
      <c r="AS6" s="137"/>
      <c r="AT6" s="137"/>
      <c r="AU6" s="138"/>
      <c r="AV6" s="137"/>
      <c r="AW6" s="137"/>
      <c r="AX6" s="137"/>
      <c r="AY6" s="138"/>
      <c r="AZ6" s="137"/>
      <c r="BA6" s="137"/>
    </row>
    <row r="7" spans="2:57" ht="21" hidden="1" customHeight="1" x14ac:dyDescent="0.2">
      <c r="B7" s="742"/>
      <c r="C7" s="742"/>
      <c r="D7" s="742"/>
      <c r="E7" s="742"/>
      <c r="F7" s="742"/>
      <c r="G7" s="742"/>
      <c r="H7" s="742"/>
      <c r="I7" s="742"/>
      <c r="J7" s="742"/>
      <c r="K7" s="742"/>
      <c r="L7" s="742"/>
      <c r="M7" s="742"/>
      <c r="N7" s="742"/>
      <c r="O7" s="742"/>
      <c r="P7" s="742"/>
      <c r="Q7" s="742"/>
      <c r="R7" s="742"/>
      <c r="S7" s="742"/>
      <c r="T7" s="742"/>
      <c r="U7" s="742"/>
      <c r="V7" s="742"/>
      <c r="W7" s="742"/>
      <c r="X7" s="742"/>
      <c r="Y7" s="742"/>
      <c r="Z7" s="742"/>
      <c r="AA7" s="742"/>
      <c r="AB7" s="742"/>
      <c r="AC7" s="742"/>
      <c r="AD7" s="135"/>
      <c r="AE7" s="136"/>
      <c r="AF7" s="137"/>
      <c r="AG7" s="137"/>
      <c r="AH7" s="137"/>
      <c r="AI7" s="138"/>
      <c r="AJ7" s="137"/>
      <c r="AK7" s="137"/>
      <c r="AL7" s="137"/>
      <c r="AM7" s="138"/>
      <c r="AN7" s="137"/>
      <c r="AO7" s="137"/>
      <c r="AP7" s="137"/>
      <c r="AQ7" s="138"/>
      <c r="AR7" s="137"/>
      <c r="AS7" s="137"/>
      <c r="AT7" s="137"/>
      <c r="AU7" s="138"/>
      <c r="AV7" s="137"/>
      <c r="AW7" s="137"/>
      <c r="AX7" s="137"/>
      <c r="AY7" s="138"/>
      <c r="AZ7" s="137"/>
      <c r="BA7" s="137"/>
    </row>
    <row r="8" spans="2:57" ht="16.5" hidden="1" customHeight="1" x14ac:dyDescent="0.2">
      <c r="B8" s="742"/>
      <c r="C8" s="742"/>
      <c r="D8" s="742"/>
      <c r="E8" s="742"/>
      <c r="F8" s="742"/>
      <c r="G8" s="742"/>
      <c r="H8" s="742"/>
      <c r="I8" s="742"/>
      <c r="J8" s="742"/>
      <c r="K8" s="742"/>
      <c r="L8" s="742"/>
      <c r="M8" s="742"/>
      <c r="N8" s="742"/>
      <c r="O8" s="742"/>
      <c r="P8" s="742"/>
      <c r="Q8" s="742"/>
      <c r="R8" s="742"/>
      <c r="S8" s="742"/>
      <c r="T8" s="742"/>
      <c r="U8" s="742"/>
      <c r="V8" s="742"/>
      <c r="W8" s="742"/>
      <c r="X8" s="742"/>
      <c r="Y8" s="742"/>
      <c r="Z8" s="742"/>
      <c r="AA8" s="742"/>
      <c r="AB8" s="742"/>
      <c r="AC8" s="742"/>
      <c r="AD8" s="135"/>
      <c r="AE8" s="136"/>
      <c r="AF8" s="137"/>
      <c r="AG8" s="137"/>
      <c r="AH8" s="137"/>
      <c r="AI8" s="138"/>
      <c r="AJ8" s="137"/>
      <c r="AK8" s="137"/>
      <c r="AL8" s="137"/>
      <c r="AM8" s="138"/>
      <c r="AN8" s="137"/>
      <c r="AO8" s="137"/>
      <c r="AP8" s="137"/>
      <c r="AQ8" s="138"/>
      <c r="AR8" s="137"/>
      <c r="AS8" s="137"/>
      <c r="AT8" s="137"/>
      <c r="AU8" s="138"/>
      <c r="AV8" s="137"/>
      <c r="AW8" s="137"/>
      <c r="AX8" s="137"/>
      <c r="AY8" s="138"/>
      <c r="AZ8" s="137"/>
      <c r="BA8" s="137"/>
    </row>
    <row r="9" spans="2:57" ht="18.75" customHeight="1" x14ac:dyDescent="0.2">
      <c r="B9" s="745" t="s">
        <v>0</v>
      </c>
      <c r="C9" s="745"/>
      <c r="D9" s="745"/>
      <c r="E9" s="745"/>
      <c r="F9" s="745"/>
      <c r="G9" s="745"/>
      <c r="H9" s="745"/>
      <c r="I9" s="745"/>
      <c r="J9" s="745"/>
      <c r="K9" s="745"/>
      <c r="L9" s="745"/>
      <c r="M9" s="745"/>
      <c r="N9" s="745"/>
      <c r="O9" s="745"/>
      <c r="P9" s="745"/>
      <c r="Q9" s="745"/>
      <c r="R9" s="745"/>
      <c r="S9" s="745"/>
      <c r="T9" s="745"/>
      <c r="U9" s="745"/>
      <c r="V9" s="745"/>
      <c r="W9" s="745"/>
      <c r="X9" s="745"/>
      <c r="Y9" s="745"/>
      <c r="Z9" s="745"/>
      <c r="AA9" s="745"/>
      <c r="AB9" s="745"/>
      <c r="AC9" s="745"/>
      <c r="AD9" s="135"/>
      <c r="AE9" s="136"/>
      <c r="AF9" s="137"/>
      <c r="AG9" s="137"/>
      <c r="AH9" s="137"/>
      <c r="AI9" s="138"/>
      <c r="AJ9" s="137"/>
      <c r="AK9" s="137"/>
      <c r="AL9" s="137"/>
      <c r="AM9" s="138"/>
      <c r="AN9" s="137"/>
      <c r="AO9" s="137"/>
      <c r="AP9" s="137"/>
      <c r="AQ9" s="138"/>
      <c r="AR9" s="137"/>
      <c r="AS9" s="137"/>
      <c r="AT9" s="137"/>
      <c r="AU9" s="138"/>
      <c r="AV9" s="137"/>
      <c r="AW9" s="137"/>
      <c r="AX9" s="137"/>
      <c r="AY9" s="138"/>
      <c r="AZ9" s="137"/>
      <c r="BA9" s="137"/>
    </row>
    <row r="10" spans="2:57" x14ac:dyDescent="0.2">
      <c r="B10" s="745"/>
      <c r="C10" s="745"/>
      <c r="D10" s="745"/>
      <c r="E10" s="745"/>
      <c r="F10" s="745"/>
      <c r="G10" s="745"/>
      <c r="H10" s="745"/>
      <c r="I10" s="745"/>
      <c r="J10" s="745"/>
      <c r="K10" s="745"/>
      <c r="L10" s="745"/>
      <c r="M10" s="745"/>
      <c r="N10" s="745"/>
      <c r="O10" s="745"/>
      <c r="P10" s="745"/>
      <c r="Q10" s="745"/>
      <c r="R10" s="745"/>
      <c r="S10" s="745"/>
      <c r="T10" s="745"/>
      <c r="U10" s="745"/>
      <c r="V10" s="745"/>
      <c r="W10" s="745"/>
      <c r="X10" s="745"/>
      <c r="Y10" s="745"/>
      <c r="Z10" s="745"/>
      <c r="AA10" s="745"/>
      <c r="AB10" s="745"/>
      <c r="AC10" s="745"/>
    </row>
    <row r="11" spans="2:57" ht="18.75" x14ac:dyDescent="0.2">
      <c r="B11" s="142"/>
      <c r="C11" s="142"/>
      <c r="D11" s="142"/>
      <c r="E11" s="142"/>
      <c r="F11" s="142"/>
      <c r="G11" s="142"/>
      <c r="H11" s="142"/>
      <c r="I11" s="142"/>
      <c r="J11" s="142"/>
      <c r="K11" s="142"/>
      <c r="L11" s="142"/>
      <c r="M11" s="142"/>
      <c r="N11" s="142"/>
      <c r="O11" s="142"/>
      <c r="P11" s="142"/>
      <c r="Q11" s="142"/>
      <c r="R11" s="142"/>
      <c r="S11" s="142"/>
      <c r="T11" s="142"/>
      <c r="U11" s="142"/>
      <c r="V11" s="142"/>
      <c r="W11" s="142"/>
      <c r="X11" s="142"/>
      <c r="Y11" s="142"/>
      <c r="Z11" s="142"/>
      <c r="AA11" s="142"/>
      <c r="AB11" s="142"/>
      <c r="AC11" s="142"/>
    </row>
    <row r="12" spans="2:57" ht="22.5" x14ac:dyDescent="0.2">
      <c r="B12" s="8" t="s">
        <v>1</v>
      </c>
      <c r="C12" s="8" t="s">
        <v>2</v>
      </c>
      <c r="D12" s="9" t="s">
        <v>3</v>
      </c>
      <c r="E12" s="10" t="s">
        <v>4</v>
      </c>
      <c r="F12" s="119"/>
      <c r="G12" s="142"/>
      <c r="H12" s="142"/>
      <c r="I12" s="142"/>
      <c r="J12" s="142"/>
      <c r="K12" s="142"/>
      <c r="L12" s="142"/>
      <c r="M12" s="142"/>
      <c r="N12" s="142"/>
      <c r="O12" s="142"/>
      <c r="P12" s="142"/>
      <c r="Q12" s="142"/>
      <c r="R12" s="142"/>
      <c r="S12" s="142"/>
      <c r="T12" s="142"/>
      <c r="U12" s="142"/>
      <c r="V12" s="142"/>
      <c r="W12" s="142"/>
      <c r="X12" s="142"/>
      <c r="Y12" s="142"/>
      <c r="Z12" s="142"/>
      <c r="AA12" s="142"/>
      <c r="AB12" s="142"/>
      <c r="AC12" s="142"/>
    </row>
    <row r="13" spans="2:57" ht="18.75" x14ac:dyDescent="0.2">
      <c r="B13" s="143">
        <v>49594122</v>
      </c>
      <c r="C13" s="143">
        <v>45559423</v>
      </c>
      <c r="D13" s="143">
        <v>45559423</v>
      </c>
      <c r="E13" s="143">
        <f>+Y104</f>
        <v>19174302.215000004</v>
      </c>
      <c r="F13" s="144"/>
      <c r="G13" s="142"/>
      <c r="H13" s="142"/>
      <c r="I13" s="142"/>
      <c r="J13" s="142"/>
      <c r="K13" s="142"/>
      <c r="L13" s="142"/>
      <c r="M13" s="142"/>
      <c r="N13" s="142"/>
      <c r="O13" s="142"/>
      <c r="P13" s="142"/>
      <c r="Q13" s="142"/>
      <c r="R13" s="142"/>
      <c r="S13" s="142"/>
      <c r="T13" s="142"/>
      <c r="U13" s="142"/>
      <c r="V13" s="142"/>
      <c r="W13" s="142"/>
      <c r="X13" s="142"/>
      <c r="Y13" s="142"/>
      <c r="Z13" s="142"/>
      <c r="AA13" s="142"/>
      <c r="AB13" s="142"/>
      <c r="AC13" s="142"/>
    </row>
    <row r="14" spans="2:57" ht="15" customHeight="1" x14ac:dyDescent="0.2">
      <c r="C14" s="146"/>
      <c r="D14" s="147"/>
      <c r="E14" s="146"/>
      <c r="F14" s="146"/>
      <c r="Z14" s="736" t="s">
        <v>5</v>
      </c>
      <c r="AA14" s="737"/>
      <c r="AB14" s="737"/>
      <c r="AC14" s="738"/>
      <c r="AD14" s="739" t="s">
        <v>6</v>
      </c>
      <c r="AE14" s="740"/>
      <c r="AF14" s="740"/>
      <c r="AG14" s="741"/>
      <c r="AH14" s="739" t="s">
        <v>6</v>
      </c>
      <c r="AI14" s="740"/>
      <c r="AJ14" s="740"/>
      <c r="AK14" s="741"/>
      <c r="AL14" s="739" t="s">
        <v>6</v>
      </c>
      <c r="AM14" s="740"/>
      <c r="AN14" s="740"/>
      <c r="AO14" s="741"/>
      <c r="AP14" s="739" t="s">
        <v>6</v>
      </c>
      <c r="AQ14" s="740"/>
      <c r="AR14" s="740"/>
      <c r="AS14" s="741"/>
      <c r="AT14" s="739" t="s">
        <v>6</v>
      </c>
      <c r="AU14" s="740"/>
      <c r="AV14" s="740"/>
      <c r="AW14" s="741"/>
      <c r="AX14" s="739" t="s">
        <v>6</v>
      </c>
      <c r="AY14" s="740"/>
      <c r="AZ14" s="740"/>
      <c r="BA14" s="741"/>
      <c r="BB14" s="739" t="s">
        <v>7</v>
      </c>
      <c r="BC14" s="740"/>
    </row>
    <row r="15" spans="2:57" s="15" customFormat="1" ht="55.5" customHeight="1" x14ac:dyDescent="0.25">
      <c r="B15" s="81" t="s">
        <v>8</v>
      </c>
      <c r="C15" s="81" t="s">
        <v>9</v>
      </c>
      <c r="D15" s="81" t="s">
        <v>10</v>
      </c>
      <c r="E15" s="83" t="s">
        <v>11</v>
      </c>
      <c r="F15" s="83" t="s">
        <v>12</v>
      </c>
      <c r="G15" s="83" t="s">
        <v>13</v>
      </c>
      <c r="H15" s="83" t="s">
        <v>14</v>
      </c>
      <c r="I15" s="83" t="s">
        <v>122</v>
      </c>
      <c r="J15" s="83" t="s">
        <v>15</v>
      </c>
      <c r="K15" s="83" t="s">
        <v>16</v>
      </c>
      <c r="L15" s="83" t="s">
        <v>17</v>
      </c>
      <c r="M15" s="121" t="s">
        <v>18</v>
      </c>
      <c r="N15" s="121" t="s">
        <v>19</v>
      </c>
      <c r="O15" s="121" t="s">
        <v>20</v>
      </c>
      <c r="P15" s="121" t="s">
        <v>21</v>
      </c>
      <c r="Q15" s="121" t="s">
        <v>22</v>
      </c>
      <c r="R15" s="122" t="s">
        <v>23</v>
      </c>
      <c r="S15" s="122" t="s">
        <v>24</v>
      </c>
      <c r="T15" s="122" t="s">
        <v>25</v>
      </c>
      <c r="U15" s="122" t="s">
        <v>26</v>
      </c>
      <c r="V15" s="122" t="s">
        <v>27</v>
      </c>
      <c r="W15" s="122" t="s">
        <v>28</v>
      </c>
      <c r="X15" s="122" t="s">
        <v>29</v>
      </c>
      <c r="Y15" s="123" t="s">
        <v>30</v>
      </c>
      <c r="Z15" s="85" t="s">
        <v>31</v>
      </c>
      <c r="AA15" s="86" t="s">
        <v>32</v>
      </c>
      <c r="AB15" s="85" t="s">
        <v>33</v>
      </c>
      <c r="AC15" s="85" t="s">
        <v>34</v>
      </c>
      <c r="AD15" s="124" t="s">
        <v>35</v>
      </c>
      <c r="AE15" s="88" t="s">
        <v>32</v>
      </c>
      <c r="AF15" s="87" t="s">
        <v>33</v>
      </c>
      <c r="AG15" s="87" t="s">
        <v>34</v>
      </c>
      <c r="AH15" s="87" t="s">
        <v>35</v>
      </c>
      <c r="AI15" s="88" t="s">
        <v>32</v>
      </c>
      <c r="AJ15" s="87" t="s">
        <v>33</v>
      </c>
      <c r="AK15" s="87" t="s">
        <v>34</v>
      </c>
      <c r="AL15" s="87" t="s">
        <v>35</v>
      </c>
      <c r="AM15" s="88" t="s">
        <v>32</v>
      </c>
      <c r="AN15" s="87" t="s">
        <v>33</v>
      </c>
      <c r="AO15" s="87" t="s">
        <v>34</v>
      </c>
      <c r="AP15" s="87" t="s">
        <v>35</v>
      </c>
      <c r="AQ15" s="88" t="s">
        <v>32</v>
      </c>
      <c r="AR15" s="87" t="s">
        <v>33</v>
      </c>
      <c r="AS15" s="87" t="s">
        <v>34</v>
      </c>
      <c r="AT15" s="87" t="s">
        <v>35</v>
      </c>
      <c r="AU15" s="88" t="s">
        <v>32</v>
      </c>
      <c r="AV15" s="87" t="s">
        <v>33</v>
      </c>
      <c r="AW15" s="87" t="s">
        <v>34</v>
      </c>
      <c r="AX15" s="87" t="s">
        <v>35</v>
      </c>
      <c r="AY15" s="88" t="s">
        <v>32</v>
      </c>
      <c r="AZ15" s="87" t="s">
        <v>33</v>
      </c>
      <c r="BA15" s="87" t="s">
        <v>34</v>
      </c>
      <c r="BB15" s="89" t="s">
        <v>36</v>
      </c>
      <c r="BC15" s="89" t="s">
        <v>37</v>
      </c>
    </row>
    <row r="16" spans="2:57" s="148" customFormat="1" x14ac:dyDescent="0.25">
      <c r="B16" s="149">
        <v>8</v>
      </c>
      <c r="C16" s="149" t="s">
        <v>38</v>
      </c>
      <c r="D16" s="450">
        <v>30032937</v>
      </c>
      <c r="E16" s="451" t="s">
        <v>199</v>
      </c>
      <c r="F16" s="451" t="s">
        <v>200</v>
      </c>
      <c r="G16" s="452" t="s">
        <v>201</v>
      </c>
      <c r="H16" s="452" t="s">
        <v>202</v>
      </c>
      <c r="I16" s="453" t="s">
        <v>42</v>
      </c>
      <c r="J16" s="454">
        <v>5361863</v>
      </c>
      <c r="K16" s="454">
        <v>4272947</v>
      </c>
      <c r="L16" s="454">
        <v>0</v>
      </c>
      <c r="M16" s="454">
        <v>0</v>
      </c>
      <c r="N16" s="454">
        <v>0</v>
      </c>
      <c r="O16" s="454">
        <v>0</v>
      </c>
      <c r="P16" s="454">
        <v>0</v>
      </c>
      <c r="Q16" s="454">
        <v>0</v>
      </c>
      <c r="R16" s="454">
        <v>37242.923999999999</v>
      </c>
      <c r="S16" s="454"/>
      <c r="T16" s="454"/>
      <c r="U16" s="454"/>
      <c r="V16" s="454"/>
      <c r="W16" s="454"/>
      <c r="X16" s="454"/>
      <c r="Y16" s="455">
        <f>SUM(M16:X16)</f>
        <v>37242.923999999999</v>
      </c>
      <c r="Z16" s="454">
        <v>340000</v>
      </c>
      <c r="AA16" s="456">
        <v>5</v>
      </c>
      <c r="AB16" s="457">
        <v>44216</v>
      </c>
      <c r="AC16" s="458">
        <v>44225</v>
      </c>
      <c r="AD16" s="454">
        <v>0</v>
      </c>
      <c r="AE16" s="459"/>
      <c r="AF16" s="460"/>
      <c r="AG16" s="458"/>
      <c r="AH16" s="454"/>
      <c r="AI16" s="456"/>
      <c r="AJ16" s="460"/>
      <c r="AK16" s="458"/>
      <c r="AL16" s="454"/>
      <c r="AM16" s="456"/>
      <c r="AN16" s="460"/>
      <c r="AO16" s="458"/>
      <c r="AP16" s="454"/>
      <c r="AQ16" s="456"/>
      <c r="AR16" s="460"/>
      <c r="AS16" s="458"/>
      <c r="AT16" s="454"/>
      <c r="AU16" s="456"/>
      <c r="AV16" s="460"/>
      <c r="AW16" s="458"/>
      <c r="AX16" s="454"/>
      <c r="AY16" s="456"/>
      <c r="AZ16" s="460"/>
      <c r="BA16" s="458"/>
      <c r="BB16" s="154">
        <f>+Z16+AD16+AH16+AL16+AP16+AT16+AX16</f>
        <v>340000</v>
      </c>
      <c r="BC16" s="461">
        <f t="shared" ref="BC16:BC79" si="0">+BB16-Y16</f>
        <v>302757.076</v>
      </c>
      <c r="BD16" s="156"/>
      <c r="BE16" s="156"/>
    </row>
    <row r="17" spans="2:57" s="148" customFormat="1" ht="22.5" x14ac:dyDescent="0.25">
      <c r="B17" s="149">
        <v>42</v>
      </c>
      <c r="C17" s="149" t="s">
        <v>38</v>
      </c>
      <c r="D17" s="450">
        <v>30062899</v>
      </c>
      <c r="E17" s="451" t="s">
        <v>203</v>
      </c>
      <c r="F17" s="451" t="s">
        <v>204</v>
      </c>
      <c r="G17" s="452" t="s">
        <v>201</v>
      </c>
      <c r="H17" s="452" t="s">
        <v>205</v>
      </c>
      <c r="I17" s="453" t="s">
        <v>42</v>
      </c>
      <c r="J17" s="454">
        <v>329433</v>
      </c>
      <c r="K17" s="454">
        <v>133158</v>
      </c>
      <c r="L17" s="454">
        <v>1</v>
      </c>
      <c r="M17" s="454">
        <v>0</v>
      </c>
      <c r="N17" s="454">
        <v>0</v>
      </c>
      <c r="O17" s="454">
        <v>0</v>
      </c>
      <c r="P17" s="454">
        <v>0</v>
      </c>
      <c r="Q17" s="454">
        <v>0</v>
      </c>
      <c r="R17" s="454">
        <v>0</v>
      </c>
      <c r="S17" s="454"/>
      <c r="T17" s="454"/>
      <c r="U17" s="454"/>
      <c r="V17" s="454"/>
      <c r="W17" s="454"/>
      <c r="X17" s="454"/>
      <c r="Y17" s="455">
        <f t="shared" ref="Y17:Y80" si="1">SUM(M17:X17)</f>
        <v>0</v>
      </c>
      <c r="Z17" s="454">
        <v>154062</v>
      </c>
      <c r="AA17" s="456">
        <v>5</v>
      </c>
      <c r="AB17" s="457">
        <v>44216</v>
      </c>
      <c r="AC17" s="458">
        <v>44225</v>
      </c>
      <c r="AD17" s="454">
        <v>12365</v>
      </c>
      <c r="AE17" s="459">
        <v>22</v>
      </c>
      <c r="AF17" s="457">
        <v>44329</v>
      </c>
      <c r="AG17" s="458">
        <v>44334</v>
      </c>
      <c r="AH17" s="462"/>
      <c r="AI17" s="456"/>
      <c r="AJ17" s="460"/>
      <c r="AK17" s="458"/>
      <c r="AL17" s="462"/>
      <c r="AM17" s="456"/>
      <c r="AN17" s="460"/>
      <c r="AO17" s="458"/>
      <c r="AP17" s="462"/>
      <c r="AQ17" s="456"/>
      <c r="AR17" s="460"/>
      <c r="AS17" s="458"/>
      <c r="AT17" s="462"/>
      <c r="AU17" s="456"/>
      <c r="AV17" s="460"/>
      <c r="AW17" s="458"/>
      <c r="AX17" s="462"/>
      <c r="AY17" s="456"/>
      <c r="AZ17" s="460"/>
      <c r="BA17" s="458"/>
      <c r="BB17" s="154">
        <f t="shared" ref="BB17:BB80" si="2">+Z17+AD17+AH17+AL17+AP17+AT17+AX17</f>
        <v>166427</v>
      </c>
      <c r="BC17" s="461">
        <f t="shared" si="0"/>
        <v>166427</v>
      </c>
      <c r="BD17" s="156"/>
      <c r="BE17" s="156"/>
    </row>
    <row r="18" spans="2:57" s="148" customFormat="1" x14ac:dyDescent="0.25">
      <c r="B18" s="149">
        <v>12</v>
      </c>
      <c r="C18" s="149" t="s">
        <v>38</v>
      </c>
      <c r="D18" s="450">
        <v>30070199</v>
      </c>
      <c r="E18" s="451" t="s">
        <v>206</v>
      </c>
      <c r="F18" s="451" t="s">
        <v>200</v>
      </c>
      <c r="G18" s="452" t="s">
        <v>201</v>
      </c>
      <c r="H18" s="452" t="s">
        <v>202</v>
      </c>
      <c r="I18" s="453" t="s">
        <v>42</v>
      </c>
      <c r="J18" s="454">
        <v>17855566</v>
      </c>
      <c r="K18" s="454">
        <v>4831958</v>
      </c>
      <c r="L18" s="454">
        <v>4951499</v>
      </c>
      <c r="M18" s="454">
        <v>0</v>
      </c>
      <c r="N18" s="454">
        <v>669018</v>
      </c>
      <c r="O18" s="454">
        <v>457702</v>
      </c>
      <c r="P18" s="454">
        <v>512159.47</v>
      </c>
      <c r="Q18" s="454">
        <v>812325.49600000004</v>
      </c>
      <c r="R18" s="454">
        <v>480433.66399999999</v>
      </c>
      <c r="S18" s="454"/>
      <c r="T18" s="454"/>
      <c r="U18" s="454"/>
      <c r="V18" s="454"/>
      <c r="W18" s="454"/>
      <c r="X18" s="454"/>
      <c r="Y18" s="455">
        <f t="shared" si="1"/>
        <v>2931638.63</v>
      </c>
      <c r="Z18" s="454">
        <v>5000000</v>
      </c>
      <c r="AA18" s="456">
        <v>5</v>
      </c>
      <c r="AB18" s="457">
        <v>44216</v>
      </c>
      <c r="AC18" s="458">
        <v>44225</v>
      </c>
      <c r="AD18" s="454">
        <v>46648</v>
      </c>
      <c r="AE18" s="459">
        <v>16</v>
      </c>
      <c r="AF18" s="457">
        <v>44253</v>
      </c>
      <c r="AG18" s="458">
        <v>44274</v>
      </c>
      <c r="AH18" s="454"/>
      <c r="AI18" s="456"/>
      <c r="AJ18" s="460"/>
      <c r="AK18" s="458"/>
      <c r="AL18" s="454"/>
      <c r="AM18" s="456"/>
      <c r="AN18" s="460"/>
      <c r="AO18" s="458"/>
      <c r="AP18" s="454"/>
      <c r="AQ18" s="456"/>
      <c r="AR18" s="460"/>
      <c r="AS18" s="458"/>
      <c r="AT18" s="454"/>
      <c r="AU18" s="456"/>
      <c r="AV18" s="460"/>
      <c r="AW18" s="458"/>
      <c r="AX18" s="454"/>
      <c r="AY18" s="456"/>
      <c r="AZ18" s="460"/>
      <c r="BA18" s="458"/>
      <c r="BB18" s="154">
        <f t="shared" si="2"/>
        <v>5046648</v>
      </c>
      <c r="BC18" s="461">
        <f t="shared" si="0"/>
        <v>2115009.37</v>
      </c>
      <c r="BD18" s="156"/>
      <c r="BE18" s="156"/>
    </row>
    <row r="19" spans="2:57" s="148" customFormat="1" x14ac:dyDescent="0.25">
      <c r="B19" s="149">
        <v>4</v>
      </c>
      <c r="C19" s="149" t="s">
        <v>38</v>
      </c>
      <c r="D19" s="450">
        <v>30072454</v>
      </c>
      <c r="E19" s="451" t="s">
        <v>207</v>
      </c>
      <c r="F19" s="451" t="s">
        <v>204</v>
      </c>
      <c r="G19" s="452" t="s">
        <v>201</v>
      </c>
      <c r="H19" s="452" t="s">
        <v>208</v>
      </c>
      <c r="I19" s="453" t="s">
        <v>42</v>
      </c>
      <c r="J19" s="454">
        <v>135074</v>
      </c>
      <c r="K19" s="454">
        <v>56940</v>
      </c>
      <c r="L19" s="454">
        <v>0</v>
      </c>
      <c r="M19" s="454">
        <v>0</v>
      </c>
      <c r="N19" s="454">
        <v>0</v>
      </c>
      <c r="O19" s="454">
        <v>0</v>
      </c>
      <c r="P19" s="454">
        <v>0</v>
      </c>
      <c r="Q19" s="454">
        <v>0</v>
      </c>
      <c r="R19" s="454">
        <v>0</v>
      </c>
      <c r="S19" s="454"/>
      <c r="T19" s="454"/>
      <c r="U19" s="454"/>
      <c r="V19" s="454"/>
      <c r="W19" s="454"/>
      <c r="X19" s="454"/>
      <c r="Y19" s="455">
        <f t="shared" si="1"/>
        <v>0</v>
      </c>
      <c r="Z19" s="454">
        <v>78134</v>
      </c>
      <c r="AA19" s="456">
        <v>5</v>
      </c>
      <c r="AB19" s="457">
        <v>44216</v>
      </c>
      <c r="AC19" s="458">
        <v>44225</v>
      </c>
      <c r="AD19" s="454"/>
      <c r="AE19" s="459"/>
      <c r="AF19" s="457"/>
      <c r="AG19" s="458"/>
      <c r="AH19" s="454"/>
      <c r="AI19" s="456"/>
      <c r="AJ19" s="457"/>
      <c r="AK19" s="458"/>
      <c r="AL19" s="454"/>
      <c r="AM19" s="456"/>
      <c r="AN19" s="457"/>
      <c r="AO19" s="458"/>
      <c r="AP19" s="454"/>
      <c r="AQ19" s="456"/>
      <c r="AR19" s="457"/>
      <c r="AS19" s="458"/>
      <c r="AT19" s="454"/>
      <c r="AU19" s="456"/>
      <c r="AV19" s="457"/>
      <c r="AW19" s="458"/>
      <c r="AX19" s="454"/>
      <c r="AY19" s="456"/>
      <c r="AZ19" s="457"/>
      <c r="BA19" s="458"/>
      <c r="BB19" s="154">
        <f t="shared" si="2"/>
        <v>78134</v>
      </c>
      <c r="BC19" s="461">
        <f t="shared" si="0"/>
        <v>78134</v>
      </c>
      <c r="BD19" s="156"/>
      <c r="BE19" s="156"/>
    </row>
    <row r="20" spans="2:57" s="148" customFormat="1" ht="22.5" x14ac:dyDescent="0.25">
      <c r="B20" s="149">
        <v>27</v>
      </c>
      <c r="C20" s="149" t="s">
        <v>38</v>
      </c>
      <c r="D20" s="450">
        <v>30072770</v>
      </c>
      <c r="E20" s="451" t="s">
        <v>209</v>
      </c>
      <c r="F20" s="451" t="s">
        <v>200</v>
      </c>
      <c r="G20" s="452" t="s">
        <v>201</v>
      </c>
      <c r="H20" s="452" t="s">
        <v>208</v>
      </c>
      <c r="I20" s="453" t="s">
        <v>43</v>
      </c>
      <c r="J20" s="454">
        <v>2040928</v>
      </c>
      <c r="K20" s="454">
        <v>1792</v>
      </c>
      <c r="L20" s="454">
        <v>0</v>
      </c>
      <c r="M20" s="454">
        <v>0</v>
      </c>
      <c r="N20" s="454">
        <v>0</v>
      </c>
      <c r="O20" s="454">
        <v>0</v>
      </c>
      <c r="P20" s="454">
        <v>120188.219</v>
      </c>
      <c r="Q20" s="454">
        <v>0</v>
      </c>
      <c r="R20" s="454">
        <v>0</v>
      </c>
      <c r="S20" s="454"/>
      <c r="T20" s="454"/>
      <c r="U20" s="454"/>
      <c r="V20" s="454"/>
      <c r="W20" s="454"/>
      <c r="X20" s="454"/>
      <c r="Y20" s="455">
        <f t="shared" si="1"/>
        <v>120188.219</v>
      </c>
      <c r="Z20" s="454">
        <v>800000</v>
      </c>
      <c r="AA20" s="456">
        <v>5</v>
      </c>
      <c r="AB20" s="457">
        <v>44216</v>
      </c>
      <c r="AC20" s="458">
        <v>44225</v>
      </c>
      <c r="AD20" s="454">
        <v>0</v>
      </c>
      <c r="AE20" s="459"/>
      <c r="AF20" s="460"/>
      <c r="AG20" s="458"/>
      <c r="AH20" s="454"/>
      <c r="AI20" s="456"/>
      <c r="AJ20" s="460"/>
      <c r="AK20" s="458"/>
      <c r="AL20" s="454"/>
      <c r="AM20" s="456"/>
      <c r="AN20" s="460"/>
      <c r="AO20" s="458"/>
      <c r="AP20" s="454"/>
      <c r="AQ20" s="456"/>
      <c r="AR20" s="460"/>
      <c r="AS20" s="458"/>
      <c r="AT20" s="454"/>
      <c r="AU20" s="456"/>
      <c r="AV20" s="460"/>
      <c r="AW20" s="458"/>
      <c r="AX20" s="454"/>
      <c r="AY20" s="456"/>
      <c r="AZ20" s="460"/>
      <c r="BA20" s="458"/>
      <c r="BB20" s="154">
        <f t="shared" si="2"/>
        <v>800000</v>
      </c>
      <c r="BC20" s="461">
        <f t="shared" si="0"/>
        <v>679811.78099999996</v>
      </c>
      <c r="BD20" s="156"/>
      <c r="BE20" s="156"/>
    </row>
    <row r="21" spans="2:57" s="148" customFormat="1" x14ac:dyDescent="0.25">
      <c r="B21" s="149">
        <v>16</v>
      </c>
      <c r="C21" s="149" t="s">
        <v>38</v>
      </c>
      <c r="D21" s="450">
        <v>30076167</v>
      </c>
      <c r="E21" s="451" t="s">
        <v>210</v>
      </c>
      <c r="F21" s="451" t="s">
        <v>200</v>
      </c>
      <c r="G21" s="452" t="s">
        <v>201</v>
      </c>
      <c r="H21" s="452" t="s">
        <v>211</v>
      </c>
      <c r="I21" s="453" t="s">
        <v>42</v>
      </c>
      <c r="J21" s="454">
        <v>15714653</v>
      </c>
      <c r="K21" s="454">
        <v>1716979</v>
      </c>
      <c r="L21" s="454">
        <v>3306082</v>
      </c>
      <c r="M21" s="454">
        <v>0</v>
      </c>
      <c r="N21" s="454">
        <v>0</v>
      </c>
      <c r="O21" s="454">
        <v>4083</v>
      </c>
      <c r="P21" s="454">
        <v>6034</v>
      </c>
      <c r="Q21" s="454">
        <v>6034</v>
      </c>
      <c r="R21" s="454">
        <v>2835.8850000000002</v>
      </c>
      <c r="S21" s="454"/>
      <c r="T21" s="454"/>
      <c r="U21" s="454"/>
      <c r="V21" s="454"/>
      <c r="W21" s="454"/>
      <c r="X21" s="454"/>
      <c r="Y21" s="455">
        <f t="shared" si="1"/>
        <v>18986.885000000002</v>
      </c>
      <c r="Z21" s="454">
        <v>5010000</v>
      </c>
      <c r="AA21" s="456">
        <v>5</v>
      </c>
      <c r="AB21" s="457">
        <v>44216</v>
      </c>
      <c r="AC21" s="458">
        <v>44225</v>
      </c>
      <c r="AD21" s="454">
        <v>-171557</v>
      </c>
      <c r="AE21" s="459">
        <v>16</v>
      </c>
      <c r="AF21" s="457">
        <v>44253</v>
      </c>
      <c r="AG21" s="458">
        <v>44274</v>
      </c>
      <c r="AH21" s="454">
        <v>-119336</v>
      </c>
      <c r="AI21" s="456">
        <v>19</v>
      </c>
      <c r="AJ21" s="457">
        <v>44305</v>
      </c>
      <c r="AK21" s="458">
        <v>44330</v>
      </c>
      <c r="AL21" s="454">
        <v>30828</v>
      </c>
      <c r="AM21" s="456">
        <v>19</v>
      </c>
      <c r="AN21" s="457">
        <v>44305</v>
      </c>
      <c r="AO21" s="458">
        <v>44330</v>
      </c>
      <c r="AP21" s="454">
        <v>-691893</v>
      </c>
      <c r="AQ21" s="456">
        <v>22</v>
      </c>
      <c r="AR21" s="457">
        <v>44329</v>
      </c>
      <c r="AS21" s="458">
        <v>44334</v>
      </c>
      <c r="AT21" s="454">
        <v>-1891318</v>
      </c>
      <c r="AU21" s="456">
        <v>28</v>
      </c>
      <c r="AV21" s="457">
        <v>44357</v>
      </c>
      <c r="AW21" s="458">
        <v>44376</v>
      </c>
      <c r="AX21" s="454"/>
      <c r="AY21" s="456"/>
      <c r="AZ21" s="457"/>
      <c r="BA21" s="458"/>
      <c r="BB21" s="154">
        <f t="shared" si="2"/>
        <v>2166724</v>
      </c>
      <c r="BC21" s="461">
        <f t="shared" si="0"/>
        <v>2147737.1150000002</v>
      </c>
      <c r="BD21" s="156"/>
      <c r="BE21" s="156"/>
    </row>
    <row r="22" spans="2:57" s="148" customFormat="1" x14ac:dyDescent="0.25">
      <c r="B22" s="149">
        <v>6</v>
      </c>
      <c r="C22" s="149" t="s">
        <v>38</v>
      </c>
      <c r="D22" s="450">
        <v>30081265</v>
      </c>
      <c r="E22" s="451" t="s">
        <v>212</v>
      </c>
      <c r="F22" s="451" t="s">
        <v>204</v>
      </c>
      <c r="G22" s="452" t="s">
        <v>201</v>
      </c>
      <c r="H22" s="452" t="s">
        <v>213</v>
      </c>
      <c r="I22" s="453" t="s">
        <v>42</v>
      </c>
      <c r="J22" s="454">
        <v>37509</v>
      </c>
      <c r="K22" s="454">
        <v>27194</v>
      </c>
      <c r="L22" s="454">
        <v>0</v>
      </c>
      <c r="M22" s="454">
        <v>0</v>
      </c>
      <c r="N22" s="454">
        <v>0</v>
      </c>
      <c r="O22" s="454">
        <v>0</v>
      </c>
      <c r="P22" s="454">
        <v>0</v>
      </c>
      <c r="Q22" s="454">
        <v>0</v>
      </c>
      <c r="R22" s="454">
        <v>0</v>
      </c>
      <c r="S22" s="454"/>
      <c r="T22" s="454"/>
      <c r="U22" s="454"/>
      <c r="V22" s="454"/>
      <c r="W22" s="454"/>
      <c r="X22" s="454"/>
      <c r="Y22" s="455">
        <f t="shared" si="1"/>
        <v>0</v>
      </c>
      <c r="Z22" s="454">
        <v>10315</v>
      </c>
      <c r="AA22" s="456">
        <v>5</v>
      </c>
      <c r="AB22" s="457">
        <v>44216</v>
      </c>
      <c r="AC22" s="458">
        <v>44225</v>
      </c>
      <c r="AD22" s="454">
        <v>0</v>
      </c>
      <c r="AE22" s="459"/>
      <c r="AF22" s="457"/>
      <c r="AG22" s="458"/>
      <c r="AH22" s="454"/>
      <c r="AI22" s="456"/>
      <c r="AJ22" s="457"/>
      <c r="AK22" s="458"/>
      <c r="AL22" s="454"/>
      <c r="AM22" s="456"/>
      <c r="AN22" s="457"/>
      <c r="AO22" s="458"/>
      <c r="AP22" s="454"/>
      <c r="AQ22" s="456"/>
      <c r="AR22" s="457"/>
      <c r="AS22" s="458"/>
      <c r="AT22" s="454"/>
      <c r="AU22" s="456"/>
      <c r="AV22" s="457"/>
      <c r="AW22" s="458"/>
      <c r="AX22" s="454"/>
      <c r="AY22" s="456"/>
      <c r="AZ22" s="457"/>
      <c r="BA22" s="458"/>
      <c r="BB22" s="154">
        <f t="shared" si="2"/>
        <v>10315</v>
      </c>
      <c r="BC22" s="461">
        <f t="shared" si="0"/>
        <v>10315</v>
      </c>
      <c r="BD22" s="156"/>
      <c r="BE22" s="156"/>
    </row>
    <row r="23" spans="2:57" s="148" customFormat="1" ht="23.25" customHeight="1" x14ac:dyDescent="0.25">
      <c r="B23" s="149">
        <v>11</v>
      </c>
      <c r="C23" s="149" t="s">
        <v>38</v>
      </c>
      <c r="D23" s="450">
        <v>30082427</v>
      </c>
      <c r="E23" s="451" t="s">
        <v>214</v>
      </c>
      <c r="F23" s="451" t="s">
        <v>200</v>
      </c>
      <c r="G23" s="452" t="s">
        <v>201</v>
      </c>
      <c r="H23" s="463" t="s">
        <v>215</v>
      </c>
      <c r="I23" s="453" t="s">
        <v>42</v>
      </c>
      <c r="J23" s="454">
        <v>3835621</v>
      </c>
      <c r="K23" s="454">
        <v>3813977</v>
      </c>
      <c r="L23" s="454">
        <v>0</v>
      </c>
      <c r="M23" s="454">
        <v>0</v>
      </c>
      <c r="N23" s="454">
        <v>0</v>
      </c>
      <c r="O23" s="454">
        <v>6897</v>
      </c>
      <c r="P23" s="454">
        <v>0</v>
      </c>
      <c r="Q23" s="454">
        <v>0</v>
      </c>
      <c r="R23" s="454">
        <v>0</v>
      </c>
      <c r="S23" s="454"/>
      <c r="T23" s="454"/>
      <c r="U23" s="454"/>
      <c r="V23" s="454"/>
      <c r="W23" s="454"/>
      <c r="X23" s="454"/>
      <c r="Y23" s="455">
        <f t="shared" si="1"/>
        <v>6897</v>
      </c>
      <c r="Z23" s="454">
        <v>21644</v>
      </c>
      <c r="AA23" s="456">
        <v>5</v>
      </c>
      <c r="AB23" s="457">
        <v>44216</v>
      </c>
      <c r="AC23" s="458">
        <v>44225</v>
      </c>
      <c r="AD23" s="454">
        <v>0</v>
      </c>
      <c r="AE23" s="459"/>
      <c r="AF23" s="460"/>
      <c r="AG23" s="458"/>
      <c r="AH23" s="454"/>
      <c r="AI23" s="456"/>
      <c r="AJ23" s="460"/>
      <c r="AK23" s="458"/>
      <c r="AL23" s="454"/>
      <c r="AM23" s="456"/>
      <c r="AN23" s="460"/>
      <c r="AO23" s="458"/>
      <c r="AP23" s="454"/>
      <c r="AQ23" s="456"/>
      <c r="AR23" s="460"/>
      <c r="AS23" s="458"/>
      <c r="AT23" s="454"/>
      <c r="AU23" s="456"/>
      <c r="AV23" s="460"/>
      <c r="AW23" s="458"/>
      <c r="AX23" s="454"/>
      <c r="AY23" s="456"/>
      <c r="AZ23" s="460"/>
      <c r="BA23" s="458"/>
      <c r="BB23" s="154">
        <f t="shared" si="2"/>
        <v>21644</v>
      </c>
      <c r="BC23" s="461">
        <f t="shared" si="0"/>
        <v>14747</v>
      </c>
      <c r="BD23" s="156"/>
      <c r="BE23" s="156"/>
    </row>
    <row r="24" spans="2:57" s="148" customFormat="1" x14ac:dyDescent="0.25">
      <c r="B24" s="149">
        <v>3</v>
      </c>
      <c r="C24" s="149" t="s">
        <v>38</v>
      </c>
      <c r="D24" s="450">
        <v>30086265</v>
      </c>
      <c r="E24" s="451" t="s">
        <v>216</v>
      </c>
      <c r="F24" s="451" t="s">
        <v>200</v>
      </c>
      <c r="G24" s="452" t="s">
        <v>201</v>
      </c>
      <c r="H24" s="463" t="s">
        <v>208</v>
      </c>
      <c r="I24" s="453" t="s">
        <v>42</v>
      </c>
      <c r="J24" s="454">
        <v>5794047</v>
      </c>
      <c r="K24" s="454">
        <v>5651699</v>
      </c>
      <c r="L24" s="454">
        <v>0</v>
      </c>
      <c r="M24" s="454">
        <v>0</v>
      </c>
      <c r="N24" s="454">
        <v>0</v>
      </c>
      <c r="O24" s="454">
        <v>0</v>
      </c>
      <c r="P24" s="454">
        <v>2439.0949999999998</v>
      </c>
      <c r="Q24" s="454">
        <v>0</v>
      </c>
      <c r="R24" s="454">
        <v>0</v>
      </c>
      <c r="S24" s="454"/>
      <c r="T24" s="454"/>
      <c r="U24" s="454"/>
      <c r="V24" s="454"/>
      <c r="W24" s="454"/>
      <c r="X24" s="454"/>
      <c r="Y24" s="455">
        <f t="shared" si="1"/>
        <v>2439.0949999999998</v>
      </c>
      <c r="Z24" s="454">
        <v>134213</v>
      </c>
      <c r="AA24" s="456">
        <v>5</v>
      </c>
      <c r="AB24" s="457">
        <v>44216</v>
      </c>
      <c r="AC24" s="458">
        <v>44225</v>
      </c>
      <c r="AD24" s="454"/>
      <c r="AE24" s="459"/>
      <c r="AF24" s="457"/>
      <c r="AG24" s="458"/>
      <c r="AH24" s="464"/>
      <c r="AI24" s="456"/>
      <c r="AJ24" s="457"/>
      <c r="AK24" s="458"/>
      <c r="AL24" s="464"/>
      <c r="AM24" s="456"/>
      <c r="AN24" s="457"/>
      <c r="AO24" s="458"/>
      <c r="AP24" s="464"/>
      <c r="AQ24" s="456"/>
      <c r="AR24" s="457"/>
      <c r="AS24" s="458"/>
      <c r="AT24" s="464"/>
      <c r="AU24" s="456"/>
      <c r="AV24" s="457"/>
      <c r="AW24" s="458"/>
      <c r="AX24" s="464"/>
      <c r="AY24" s="456"/>
      <c r="AZ24" s="457"/>
      <c r="BA24" s="458"/>
      <c r="BB24" s="154">
        <f t="shared" si="2"/>
        <v>134213</v>
      </c>
      <c r="BC24" s="461">
        <f t="shared" si="0"/>
        <v>131773.905</v>
      </c>
      <c r="BD24" s="156"/>
      <c r="BE24" s="156"/>
    </row>
    <row r="25" spans="2:57" s="148" customFormat="1" x14ac:dyDescent="0.25">
      <c r="B25" s="149">
        <v>30</v>
      </c>
      <c r="C25" s="149" t="s">
        <v>38</v>
      </c>
      <c r="D25" s="450">
        <v>30088016</v>
      </c>
      <c r="E25" s="451" t="s">
        <v>217</v>
      </c>
      <c r="F25" s="451" t="s">
        <v>200</v>
      </c>
      <c r="G25" s="452" t="s">
        <v>201</v>
      </c>
      <c r="H25" s="463" t="s">
        <v>202</v>
      </c>
      <c r="I25" s="453" t="s">
        <v>42</v>
      </c>
      <c r="J25" s="454">
        <v>307687</v>
      </c>
      <c r="K25" s="454">
        <v>182410</v>
      </c>
      <c r="L25" s="454">
        <v>0</v>
      </c>
      <c r="M25" s="454">
        <v>0</v>
      </c>
      <c r="N25" s="454">
        <v>0</v>
      </c>
      <c r="O25" s="454">
        <v>206103</v>
      </c>
      <c r="P25" s="454">
        <v>84840.595000000001</v>
      </c>
      <c r="Q25" s="454">
        <v>0</v>
      </c>
      <c r="R25" s="454">
        <v>0</v>
      </c>
      <c r="S25" s="454"/>
      <c r="T25" s="454"/>
      <c r="U25" s="454"/>
      <c r="V25" s="454"/>
      <c r="W25" s="454"/>
      <c r="X25" s="454"/>
      <c r="Y25" s="455">
        <f t="shared" si="1"/>
        <v>290943.59499999997</v>
      </c>
      <c r="Z25" s="454">
        <v>290944</v>
      </c>
      <c r="AA25" s="456">
        <v>5</v>
      </c>
      <c r="AB25" s="457">
        <v>44216</v>
      </c>
      <c r="AC25" s="458">
        <v>44225</v>
      </c>
      <c r="AD25" s="454">
        <v>0</v>
      </c>
      <c r="AE25" s="459"/>
      <c r="AF25" s="460"/>
      <c r="AG25" s="458"/>
      <c r="AH25" s="454"/>
      <c r="AI25" s="456"/>
      <c r="AJ25" s="460"/>
      <c r="AK25" s="458"/>
      <c r="AL25" s="454"/>
      <c r="AM25" s="456"/>
      <c r="AN25" s="460"/>
      <c r="AO25" s="458"/>
      <c r="AP25" s="454"/>
      <c r="AQ25" s="456"/>
      <c r="AR25" s="460"/>
      <c r="AS25" s="458"/>
      <c r="AT25" s="454"/>
      <c r="AU25" s="456"/>
      <c r="AV25" s="460"/>
      <c r="AW25" s="458"/>
      <c r="AX25" s="454"/>
      <c r="AY25" s="456"/>
      <c r="AZ25" s="460"/>
      <c r="BA25" s="458"/>
      <c r="BB25" s="154">
        <f t="shared" si="2"/>
        <v>290944</v>
      </c>
      <c r="BC25" s="461">
        <f t="shared" si="0"/>
        <v>0.40500000002793968</v>
      </c>
      <c r="BD25" s="156"/>
      <c r="BE25" s="156"/>
    </row>
    <row r="26" spans="2:57" s="148" customFormat="1" x14ac:dyDescent="0.25">
      <c r="B26" s="149">
        <v>2</v>
      </c>
      <c r="C26" s="149" t="s">
        <v>38</v>
      </c>
      <c r="D26" s="450">
        <v>30091568</v>
      </c>
      <c r="E26" s="451" t="s">
        <v>218</v>
      </c>
      <c r="F26" s="451" t="s">
        <v>200</v>
      </c>
      <c r="G26" s="452" t="s">
        <v>201</v>
      </c>
      <c r="H26" s="463" t="s">
        <v>208</v>
      </c>
      <c r="I26" s="453" t="s">
        <v>42</v>
      </c>
      <c r="J26" s="454">
        <v>20443271</v>
      </c>
      <c r="K26" s="454">
        <v>20436195</v>
      </c>
      <c r="L26" s="454">
        <v>0</v>
      </c>
      <c r="M26" s="454">
        <v>0</v>
      </c>
      <c r="N26" s="454">
        <v>7074</v>
      </c>
      <c r="O26" s="454">
        <v>54</v>
      </c>
      <c r="P26" s="454">
        <v>0</v>
      </c>
      <c r="Q26" s="454">
        <v>0</v>
      </c>
      <c r="R26" s="454">
        <v>0</v>
      </c>
      <c r="S26" s="454"/>
      <c r="T26" s="454"/>
      <c r="U26" s="454"/>
      <c r="V26" s="454"/>
      <c r="W26" s="454"/>
      <c r="X26" s="454"/>
      <c r="Y26" s="455">
        <f t="shared" si="1"/>
        <v>7128</v>
      </c>
      <c r="Z26" s="454">
        <v>7075</v>
      </c>
      <c r="AA26" s="456">
        <v>5</v>
      </c>
      <c r="AB26" s="457">
        <v>44216</v>
      </c>
      <c r="AC26" s="458">
        <v>44225</v>
      </c>
      <c r="AD26" s="454">
        <v>54</v>
      </c>
      <c r="AE26" s="459">
        <v>16</v>
      </c>
      <c r="AF26" s="457">
        <v>44253</v>
      </c>
      <c r="AG26" s="458">
        <v>44274</v>
      </c>
      <c r="AH26" s="454"/>
      <c r="AI26" s="456"/>
      <c r="AJ26" s="460"/>
      <c r="AK26" s="458"/>
      <c r="AL26" s="454"/>
      <c r="AM26" s="456"/>
      <c r="AN26" s="460"/>
      <c r="AO26" s="458"/>
      <c r="AP26" s="454"/>
      <c r="AQ26" s="456"/>
      <c r="AR26" s="460"/>
      <c r="AS26" s="458"/>
      <c r="AT26" s="454"/>
      <c r="AU26" s="456"/>
      <c r="AV26" s="460"/>
      <c r="AW26" s="458"/>
      <c r="AX26" s="454"/>
      <c r="AY26" s="456"/>
      <c r="AZ26" s="460"/>
      <c r="BA26" s="458"/>
      <c r="BB26" s="154">
        <f t="shared" si="2"/>
        <v>7129</v>
      </c>
      <c r="BC26" s="461">
        <f t="shared" si="0"/>
        <v>1</v>
      </c>
      <c r="BD26" s="156"/>
      <c r="BE26" s="156"/>
    </row>
    <row r="27" spans="2:57" s="148" customFormat="1" x14ac:dyDescent="0.25">
      <c r="B27" s="149">
        <v>29</v>
      </c>
      <c r="C27" s="149" t="s">
        <v>38</v>
      </c>
      <c r="D27" s="450">
        <v>30096128</v>
      </c>
      <c r="E27" s="451" t="s">
        <v>219</v>
      </c>
      <c r="F27" s="451" t="s">
        <v>200</v>
      </c>
      <c r="G27" s="452" t="s">
        <v>201</v>
      </c>
      <c r="H27" s="463" t="s">
        <v>220</v>
      </c>
      <c r="I27" s="453" t="s">
        <v>42</v>
      </c>
      <c r="J27" s="454">
        <v>7836830</v>
      </c>
      <c r="K27" s="454">
        <v>0</v>
      </c>
      <c r="L27" s="454">
        <v>5332531</v>
      </c>
      <c r="M27" s="454">
        <v>0</v>
      </c>
      <c r="N27" s="454">
        <v>0</v>
      </c>
      <c r="O27" s="454">
        <v>0</v>
      </c>
      <c r="P27" s="454">
        <v>187003.75</v>
      </c>
      <c r="Q27" s="454">
        <v>298751.10399999999</v>
      </c>
      <c r="R27" s="454">
        <v>305830.772</v>
      </c>
      <c r="S27" s="454"/>
      <c r="T27" s="454"/>
      <c r="U27" s="454"/>
      <c r="V27" s="454"/>
      <c r="W27" s="454"/>
      <c r="X27" s="454"/>
      <c r="Y27" s="455">
        <f t="shared" si="1"/>
        <v>791585.62599999993</v>
      </c>
      <c r="Z27" s="454">
        <v>510000</v>
      </c>
      <c r="AA27" s="456">
        <v>5</v>
      </c>
      <c r="AB27" s="457">
        <v>44216</v>
      </c>
      <c r="AC27" s="458">
        <v>44225</v>
      </c>
      <c r="AD27" s="454">
        <v>3478</v>
      </c>
      <c r="AE27" s="459">
        <v>16</v>
      </c>
      <c r="AF27" s="457">
        <v>44253</v>
      </c>
      <c r="AG27" s="458">
        <v>44274</v>
      </c>
      <c r="AH27" s="454">
        <v>500000</v>
      </c>
      <c r="AI27" s="456">
        <v>28</v>
      </c>
      <c r="AJ27" s="457">
        <v>44357</v>
      </c>
      <c r="AK27" s="458">
        <v>44376</v>
      </c>
      <c r="AL27" s="454"/>
      <c r="AM27" s="456"/>
      <c r="AN27" s="460"/>
      <c r="AO27" s="458"/>
      <c r="AP27" s="454"/>
      <c r="AQ27" s="456"/>
      <c r="AR27" s="460"/>
      <c r="AS27" s="458"/>
      <c r="AT27" s="454"/>
      <c r="AU27" s="456"/>
      <c r="AV27" s="460"/>
      <c r="AW27" s="458"/>
      <c r="AX27" s="454"/>
      <c r="AY27" s="456"/>
      <c r="AZ27" s="460"/>
      <c r="BA27" s="458"/>
      <c r="BB27" s="154">
        <f t="shared" si="2"/>
        <v>1013478</v>
      </c>
      <c r="BC27" s="461">
        <f t="shared" si="0"/>
        <v>221892.37400000007</v>
      </c>
      <c r="BD27" s="156"/>
      <c r="BE27" s="156"/>
    </row>
    <row r="28" spans="2:57" s="148" customFormat="1" ht="22.5" x14ac:dyDescent="0.25">
      <c r="B28" s="149">
        <v>75</v>
      </c>
      <c r="C28" s="149" t="s">
        <v>38</v>
      </c>
      <c r="D28" s="450">
        <v>30117141</v>
      </c>
      <c r="E28" s="451" t="s">
        <v>221</v>
      </c>
      <c r="F28" s="451"/>
      <c r="G28" s="452" t="s">
        <v>201</v>
      </c>
      <c r="H28" s="463" t="s">
        <v>202</v>
      </c>
      <c r="I28" s="453" t="s">
        <v>43</v>
      </c>
      <c r="J28" s="454">
        <v>169102</v>
      </c>
      <c r="K28" s="454">
        <v>0</v>
      </c>
      <c r="L28" s="454">
        <v>100833</v>
      </c>
      <c r="M28" s="454">
        <v>0</v>
      </c>
      <c r="N28" s="454">
        <v>0</v>
      </c>
      <c r="O28" s="454">
        <v>0</v>
      </c>
      <c r="P28" s="454">
        <v>0</v>
      </c>
      <c r="Q28" s="454">
        <v>0</v>
      </c>
      <c r="R28" s="454">
        <v>0</v>
      </c>
      <c r="S28" s="454"/>
      <c r="T28" s="454"/>
      <c r="U28" s="454"/>
      <c r="V28" s="454"/>
      <c r="W28" s="454"/>
      <c r="X28" s="454"/>
      <c r="Y28" s="455">
        <f t="shared" si="1"/>
        <v>0</v>
      </c>
      <c r="Z28" s="454">
        <v>13000</v>
      </c>
      <c r="AA28" s="456">
        <v>19</v>
      </c>
      <c r="AB28" s="457">
        <v>44305</v>
      </c>
      <c r="AC28" s="458">
        <v>44330</v>
      </c>
      <c r="AD28" s="454">
        <v>0</v>
      </c>
      <c r="AE28" s="459"/>
      <c r="AF28" s="460"/>
      <c r="AG28" s="458"/>
      <c r="AH28" s="454">
        <v>0</v>
      </c>
      <c r="AI28" s="456"/>
      <c r="AJ28" s="460"/>
      <c r="AK28" s="458"/>
      <c r="AL28" s="454"/>
      <c r="AM28" s="456"/>
      <c r="AN28" s="460"/>
      <c r="AO28" s="458"/>
      <c r="AP28" s="454"/>
      <c r="AQ28" s="456"/>
      <c r="AR28" s="460"/>
      <c r="AS28" s="458"/>
      <c r="AT28" s="454"/>
      <c r="AU28" s="456"/>
      <c r="AV28" s="460"/>
      <c r="AW28" s="458"/>
      <c r="AX28" s="454"/>
      <c r="AY28" s="456"/>
      <c r="AZ28" s="460"/>
      <c r="BA28" s="458"/>
      <c r="BB28" s="154">
        <f t="shared" si="2"/>
        <v>13000</v>
      </c>
      <c r="BC28" s="461">
        <f t="shared" si="0"/>
        <v>13000</v>
      </c>
      <c r="BD28" s="156"/>
      <c r="BE28" s="156"/>
    </row>
    <row r="29" spans="2:57" s="148" customFormat="1" ht="22.5" x14ac:dyDescent="0.25">
      <c r="B29" s="149">
        <v>26</v>
      </c>
      <c r="C29" s="149" t="s">
        <v>38</v>
      </c>
      <c r="D29" s="450">
        <v>30124316</v>
      </c>
      <c r="E29" s="451" t="s">
        <v>222</v>
      </c>
      <c r="F29" s="451" t="s">
        <v>200</v>
      </c>
      <c r="G29" s="452" t="s">
        <v>201</v>
      </c>
      <c r="H29" s="463" t="s">
        <v>202</v>
      </c>
      <c r="I29" s="453" t="s">
        <v>42</v>
      </c>
      <c r="J29" s="454">
        <v>2314402</v>
      </c>
      <c r="K29" s="454">
        <v>1188787</v>
      </c>
      <c r="L29" s="454">
        <v>0</v>
      </c>
      <c r="M29" s="454">
        <v>0</v>
      </c>
      <c r="N29" s="454">
        <v>33962</v>
      </c>
      <c r="O29" s="454">
        <v>0</v>
      </c>
      <c r="P29" s="454">
        <v>0</v>
      </c>
      <c r="Q29" s="454">
        <v>35282.635999999999</v>
      </c>
      <c r="R29" s="454">
        <v>183207.29399999999</v>
      </c>
      <c r="S29" s="454"/>
      <c r="T29" s="454"/>
      <c r="U29" s="454"/>
      <c r="V29" s="454"/>
      <c r="W29" s="454"/>
      <c r="X29" s="454"/>
      <c r="Y29" s="455">
        <f t="shared" si="1"/>
        <v>252451.93</v>
      </c>
      <c r="Z29" s="454">
        <v>650000</v>
      </c>
      <c r="AA29" s="456">
        <v>5</v>
      </c>
      <c r="AB29" s="457">
        <v>44216</v>
      </c>
      <c r="AC29" s="458">
        <v>44225</v>
      </c>
      <c r="AD29" s="454">
        <v>0</v>
      </c>
      <c r="AE29" s="459"/>
      <c r="AF29" s="460"/>
      <c r="AG29" s="458"/>
      <c r="AH29" s="454"/>
      <c r="AI29" s="456"/>
      <c r="AJ29" s="460"/>
      <c r="AK29" s="458"/>
      <c r="AL29" s="454"/>
      <c r="AM29" s="456"/>
      <c r="AN29" s="460"/>
      <c r="AO29" s="458"/>
      <c r="AP29" s="454"/>
      <c r="AQ29" s="456"/>
      <c r="AR29" s="460"/>
      <c r="AS29" s="458"/>
      <c r="AT29" s="454"/>
      <c r="AU29" s="456"/>
      <c r="AV29" s="460"/>
      <c r="AW29" s="458"/>
      <c r="AX29" s="454"/>
      <c r="AY29" s="456"/>
      <c r="AZ29" s="460"/>
      <c r="BA29" s="458"/>
      <c r="BB29" s="154">
        <f t="shared" si="2"/>
        <v>650000</v>
      </c>
      <c r="BC29" s="461">
        <f t="shared" si="0"/>
        <v>397548.07</v>
      </c>
      <c r="BD29" s="156"/>
      <c r="BE29" s="156"/>
    </row>
    <row r="30" spans="2:57" s="148" customFormat="1" ht="22.5" x14ac:dyDescent="0.25">
      <c r="B30" s="149">
        <v>33</v>
      </c>
      <c r="C30" s="149" t="s">
        <v>38</v>
      </c>
      <c r="D30" s="450">
        <v>30124516</v>
      </c>
      <c r="E30" s="451" t="s">
        <v>223</v>
      </c>
      <c r="F30" s="451" t="s">
        <v>200</v>
      </c>
      <c r="G30" s="452" t="s">
        <v>201</v>
      </c>
      <c r="H30" s="463" t="s">
        <v>224</v>
      </c>
      <c r="I30" s="453" t="s">
        <v>42</v>
      </c>
      <c r="J30" s="454">
        <v>745587</v>
      </c>
      <c r="K30" s="454">
        <v>534592</v>
      </c>
      <c r="L30" s="454">
        <v>0</v>
      </c>
      <c r="M30" s="454">
        <v>0</v>
      </c>
      <c r="N30" s="454">
        <v>125946</v>
      </c>
      <c r="O30" s="454">
        <v>0</v>
      </c>
      <c r="P30" s="454">
        <v>67918.388999999996</v>
      </c>
      <c r="Q30" s="454">
        <v>0</v>
      </c>
      <c r="R30" s="454">
        <v>0</v>
      </c>
      <c r="S30" s="454"/>
      <c r="T30" s="454"/>
      <c r="U30" s="454"/>
      <c r="V30" s="454"/>
      <c r="W30" s="454"/>
      <c r="X30" s="454"/>
      <c r="Y30" s="455">
        <f t="shared" si="1"/>
        <v>193864.389</v>
      </c>
      <c r="Z30" s="454">
        <v>209946</v>
      </c>
      <c r="AA30" s="456">
        <v>5</v>
      </c>
      <c r="AB30" s="457">
        <v>44216</v>
      </c>
      <c r="AC30" s="458">
        <v>44225</v>
      </c>
      <c r="AD30" s="454">
        <v>0</v>
      </c>
      <c r="AE30" s="459"/>
      <c r="AF30" s="460"/>
      <c r="AG30" s="458"/>
      <c r="AH30" s="454"/>
      <c r="AI30" s="456"/>
      <c r="AJ30" s="460"/>
      <c r="AK30" s="458"/>
      <c r="AL30" s="454"/>
      <c r="AM30" s="456"/>
      <c r="AN30" s="460"/>
      <c r="AO30" s="458"/>
      <c r="AP30" s="454"/>
      <c r="AQ30" s="456"/>
      <c r="AR30" s="460"/>
      <c r="AS30" s="458"/>
      <c r="AT30" s="454"/>
      <c r="AU30" s="456"/>
      <c r="AV30" s="460"/>
      <c r="AW30" s="458"/>
      <c r="AX30" s="454"/>
      <c r="AY30" s="456"/>
      <c r="AZ30" s="460"/>
      <c r="BA30" s="458"/>
      <c r="BB30" s="154">
        <f t="shared" si="2"/>
        <v>209946</v>
      </c>
      <c r="BC30" s="461">
        <f t="shared" si="0"/>
        <v>16081.611000000004</v>
      </c>
      <c r="BD30" s="156"/>
      <c r="BE30" s="156"/>
    </row>
    <row r="31" spans="2:57" s="148" customFormat="1" ht="22.5" x14ac:dyDescent="0.25">
      <c r="B31" s="149">
        <v>5</v>
      </c>
      <c r="C31" s="149" t="s">
        <v>38</v>
      </c>
      <c r="D31" s="450">
        <v>30128427</v>
      </c>
      <c r="E31" s="451" t="s">
        <v>225</v>
      </c>
      <c r="F31" s="451" t="s">
        <v>200</v>
      </c>
      <c r="G31" s="452" t="s">
        <v>201</v>
      </c>
      <c r="H31" s="463" t="s">
        <v>226</v>
      </c>
      <c r="I31" s="453" t="s">
        <v>42</v>
      </c>
      <c r="J31" s="454">
        <v>294655</v>
      </c>
      <c r="K31" s="454">
        <v>190038</v>
      </c>
      <c r="L31" s="454">
        <v>0</v>
      </c>
      <c r="M31" s="454">
        <v>0</v>
      </c>
      <c r="N31" s="454">
        <v>0</v>
      </c>
      <c r="O31" s="454">
        <v>0</v>
      </c>
      <c r="P31" s="454">
        <v>2835</v>
      </c>
      <c r="Q31" s="454">
        <v>0</v>
      </c>
      <c r="R31" s="454">
        <v>30548.637999999999</v>
      </c>
      <c r="S31" s="454"/>
      <c r="T31" s="454"/>
      <c r="U31" s="454"/>
      <c r="V31" s="454"/>
      <c r="W31" s="454"/>
      <c r="X31" s="454"/>
      <c r="Y31" s="455">
        <f t="shared" si="1"/>
        <v>33383.637999999999</v>
      </c>
      <c r="Z31" s="454">
        <v>62457</v>
      </c>
      <c r="AA31" s="456">
        <v>5</v>
      </c>
      <c r="AB31" s="457">
        <v>44216</v>
      </c>
      <c r="AC31" s="458">
        <v>44225</v>
      </c>
      <c r="AD31" s="454">
        <v>2835</v>
      </c>
      <c r="AE31" s="459">
        <v>16</v>
      </c>
      <c r="AF31" s="457">
        <v>44253</v>
      </c>
      <c r="AG31" s="458">
        <v>44274</v>
      </c>
      <c r="AH31" s="454"/>
      <c r="AI31" s="456"/>
      <c r="AJ31" s="457"/>
      <c r="AK31" s="458"/>
      <c r="AL31" s="454"/>
      <c r="AM31" s="456"/>
      <c r="AN31" s="457"/>
      <c r="AO31" s="458"/>
      <c r="AP31" s="454"/>
      <c r="AQ31" s="456"/>
      <c r="AR31" s="457"/>
      <c r="AS31" s="458"/>
      <c r="AT31" s="454"/>
      <c r="AU31" s="456"/>
      <c r="AV31" s="457"/>
      <c r="AW31" s="458"/>
      <c r="AX31" s="454"/>
      <c r="AY31" s="456"/>
      <c r="AZ31" s="457"/>
      <c r="BA31" s="458"/>
      <c r="BB31" s="154">
        <f t="shared" si="2"/>
        <v>65292</v>
      </c>
      <c r="BC31" s="461">
        <f t="shared" si="0"/>
        <v>31908.362000000001</v>
      </c>
      <c r="BD31" s="156"/>
      <c r="BE31" s="156"/>
    </row>
    <row r="32" spans="2:57" s="148" customFormat="1" ht="22.5" x14ac:dyDescent="0.25">
      <c r="B32" s="149">
        <v>10</v>
      </c>
      <c r="C32" s="149" t="s">
        <v>38</v>
      </c>
      <c r="D32" s="450">
        <v>30132000</v>
      </c>
      <c r="E32" s="451" t="s">
        <v>227</v>
      </c>
      <c r="F32" s="451" t="s">
        <v>204</v>
      </c>
      <c r="G32" s="452" t="s">
        <v>201</v>
      </c>
      <c r="H32" s="463" t="s">
        <v>208</v>
      </c>
      <c r="I32" s="453" t="s">
        <v>43</v>
      </c>
      <c r="J32" s="454">
        <v>117498</v>
      </c>
      <c r="K32" s="454">
        <v>0</v>
      </c>
      <c r="L32" s="454">
        <v>67383</v>
      </c>
      <c r="M32" s="454">
        <v>0</v>
      </c>
      <c r="N32" s="454">
        <v>4</v>
      </c>
      <c r="O32" s="454">
        <v>0</v>
      </c>
      <c r="P32" s="454">
        <v>0</v>
      </c>
      <c r="Q32" s="454">
        <v>0</v>
      </c>
      <c r="R32" s="454">
        <v>0</v>
      </c>
      <c r="S32" s="454"/>
      <c r="T32" s="454"/>
      <c r="U32" s="454"/>
      <c r="V32" s="454"/>
      <c r="W32" s="454"/>
      <c r="X32" s="454"/>
      <c r="Y32" s="455">
        <f t="shared" si="1"/>
        <v>4</v>
      </c>
      <c r="Z32" s="454">
        <v>4</v>
      </c>
      <c r="AA32" s="456">
        <v>5</v>
      </c>
      <c r="AB32" s="457">
        <v>44216</v>
      </c>
      <c r="AC32" s="458">
        <v>44225</v>
      </c>
      <c r="AD32" s="454">
        <v>0</v>
      </c>
      <c r="AE32" s="459"/>
      <c r="AF32" s="460"/>
      <c r="AG32" s="458"/>
      <c r="AH32" s="454"/>
      <c r="AI32" s="456"/>
      <c r="AJ32" s="460"/>
      <c r="AK32" s="458"/>
      <c r="AL32" s="454"/>
      <c r="AM32" s="456"/>
      <c r="AN32" s="460"/>
      <c r="AO32" s="458"/>
      <c r="AP32" s="454"/>
      <c r="AQ32" s="456"/>
      <c r="AR32" s="460"/>
      <c r="AS32" s="458"/>
      <c r="AT32" s="454"/>
      <c r="AU32" s="456"/>
      <c r="AV32" s="460"/>
      <c r="AW32" s="458"/>
      <c r="AX32" s="454"/>
      <c r="AY32" s="456"/>
      <c r="AZ32" s="460"/>
      <c r="BA32" s="458"/>
      <c r="BB32" s="154">
        <f t="shared" si="2"/>
        <v>4</v>
      </c>
      <c r="BC32" s="461">
        <f t="shared" si="0"/>
        <v>0</v>
      </c>
      <c r="BD32" s="156"/>
      <c r="BE32" s="156"/>
    </row>
    <row r="33" spans="2:57" s="148" customFormat="1" x14ac:dyDescent="0.25">
      <c r="B33" s="149">
        <v>79</v>
      </c>
      <c r="C33" s="149" t="s">
        <v>38</v>
      </c>
      <c r="D33" s="450">
        <v>30132090</v>
      </c>
      <c r="E33" s="451" t="s">
        <v>228</v>
      </c>
      <c r="F33" s="451"/>
      <c r="G33" s="452" t="s">
        <v>201</v>
      </c>
      <c r="H33" s="463" t="s">
        <v>224</v>
      </c>
      <c r="I33" s="453" t="s">
        <v>43</v>
      </c>
      <c r="J33" s="454">
        <v>5006285</v>
      </c>
      <c r="K33" s="454">
        <v>0</v>
      </c>
      <c r="L33" s="454">
        <v>0</v>
      </c>
      <c r="M33" s="454">
        <v>0</v>
      </c>
      <c r="N33" s="454">
        <v>0</v>
      </c>
      <c r="O33" s="454">
        <v>0</v>
      </c>
      <c r="P33" s="454">
        <v>0</v>
      </c>
      <c r="Q33" s="454">
        <v>0</v>
      </c>
      <c r="R33" s="454">
        <v>0</v>
      </c>
      <c r="S33" s="454"/>
      <c r="T33" s="454"/>
      <c r="U33" s="454"/>
      <c r="V33" s="454"/>
      <c r="W33" s="454"/>
      <c r="X33" s="454"/>
      <c r="Y33" s="455">
        <f t="shared" si="1"/>
        <v>0</v>
      </c>
      <c r="Z33" s="454">
        <v>201000</v>
      </c>
      <c r="AA33" s="456">
        <v>28</v>
      </c>
      <c r="AB33" s="460">
        <v>44357</v>
      </c>
      <c r="AC33" s="458">
        <v>44376</v>
      </c>
      <c r="AD33" s="465"/>
      <c r="AE33" s="459"/>
      <c r="AF33" s="460"/>
      <c r="AG33" s="458"/>
      <c r="AH33" s="454"/>
      <c r="AI33" s="456"/>
      <c r="AJ33" s="460"/>
      <c r="AK33" s="458"/>
      <c r="AL33" s="454"/>
      <c r="AM33" s="456"/>
      <c r="AN33" s="460"/>
      <c r="AO33" s="458"/>
      <c r="AP33" s="454"/>
      <c r="AQ33" s="456"/>
      <c r="AR33" s="460"/>
      <c r="AS33" s="458"/>
      <c r="AT33" s="454"/>
      <c r="AU33" s="456"/>
      <c r="AV33" s="460"/>
      <c r="AW33" s="458"/>
      <c r="AX33" s="454"/>
      <c r="AY33" s="456"/>
      <c r="AZ33" s="460"/>
      <c r="BA33" s="458"/>
      <c r="BB33" s="154">
        <f t="shared" si="2"/>
        <v>201000</v>
      </c>
      <c r="BC33" s="461">
        <f t="shared" si="0"/>
        <v>201000</v>
      </c>
      <c r="BD33" s="156"/>
      <c r="BE33" s="156"/>
    </row>
    <row r="34" spans="2:57" s="148" customFormat="1" ht="22.5" x14ac:dyDescent="0.25">
      <c r="B34" s="149">
        <v>7</v>
      </c>
      <c r="C34" s="149" t="s">
        <v>38</v>
      </c>
      <c r="D34" s="450">
        <v>30132132</v>
      </c>
      <c r="E34" s="451" t="s">
        <v>229</v>
      </c>
      <c r="F34" s="451" t="s">
        <v>200</v>
      </c>
      <c r="G34" s="452" t="s">
        <v>201</v>
      </c>
      <c r="H34" s="463" t="s">
        <v>230</v>
      </c>
      <c r="I34" s="453" t="s">
        <v>42</v>
      </c>
      <c r="J34" s="454">
        <v>1808060</v>
      </c>
      <c r="K34" s="454">
        <v>12461</v>
      </c>
      <c r="L34" s="454">
        <v>0</v>
      </c>
      <c r="M34" s="454">
        <v>0</v>
      </c>
      <c r="N34" s="454">
        <v>0</v>
      </c>
      <c r="O34" s="454">
        <v>0</v>
      </c>
      <c r="P34" s="454">
        <v>0</v>
      </c>
      <c r="Q34" s="454">
        <v>0</v>
      </c>
      <c r="R34" s="454">
        <v>0</v>
      </c>
      <c r="S34" s="454"/>
      <c r="T34" s="454"/>
      <c r="U34" s="454"/>
      <c r="V34" s="454"/>
      <c r="W34" s="454"/>
      <c r="X34" s="454"/>
      <c r="Y34" s="455">
        <f t="shared" si="1"/>
        <v>0</v>
      </c>
      <c r="Z34" s="454">
        <v>500000</v>
      </c>
      <c r="AA34" s="456">
        <v>5</v>
      </c>
      <c r="AB34" s="457">
        <v>44216</v>
      </c>
      <c r="AC34" s="458">
        <v>44225</v>
      </c>
      <c r="AD34" s="454">
        <v>0</v>
      </c>
      <c r="AE34" s="459"/>
      <c r="AF34" s="460"/>
      <c r="AG34" s="458"/>
      <c r="AH34" s="454"/>
      <c r="AI34" s="456"/>
      <c r="AJ34" s="460"/>
      <c r="AK34" s="458"/>
      <c r="AL34" s="454"/>
      <c r="AM34" s="456"/>
      <c r="AN34" s="460"/>
      <c r="AO34" s="458"/>
      <c r="AP34" s="454"/>
      <c r="AQ34" s="456"/>
      <c r="AR34" s="460"/>
      <c r="AS34" s="458"/>
      <c r="AT34" s="454"/>
      <c r="AU34" s="456"/>
      <c r="AV34" s="460"/>
      <c r="AW34" s="458"/>
      <c r="AX34" s="454"/>
      <c r="AY34" s="456"/>
      <c r="AZ34" s="460"/>
      <c r="BA34" s="458"/>
      <c r="BB34" s="154">
        <f t="shared" si="2"/>
        <v>500000</v>
      </c>
      <c r="BC34" s="461">
        <f t="shared" si="0"/>
        <v>500000</v>
      </c>
      <c r="BD34" s="156"/>
      <c r="BE34" s="156"/>
    </row>
    <row r="35" spans="2:57" s="148" customFormat="1" ht="22.5" x14ac:dyDescent="0.25">
      <c r="B35" s="149">
        <v>17</v>
      </c>
      <c r="C35" s="149" t="s">
        <v>38</v>
      </c>
      <c r="D35" s="450">
        <v>30132215</v>
      </c>
      <c r="E35" s="451" t="s">
        <v>231</v>
      </c>
      <c r="F35" s="451" t="s">
        <v>200</v>
      </c>
      <c r="G35" s="452" t="s">
        <v>201</v>
      </c>
      <c r="H35" s="463" t="s">
        <v>202</v>
      </c>
      <c r="I35" s="453" t="s">
        <v>42</v>
      </c>
      <c r="J35" s="454">
        <v>1123225</v>
      </c>
      <c r="K35" s="454">
        <v>567437</v>
      </c>
      <c r="L35" s="454">
        <v>1</v>
      </c>
      <c r="M35" s="454">
        <v>0</v>
      </c>
      <c r="N35" s="454">
        <v>3000</v>
      </c>
      <c r="O35" s="454">
        <v>1500</v>
      </c>
      <c r="P35" s="454">
        <v>750</v>
      </c>
      <c r="Q35" s="454">
        <v>0</v>
      </c>
      <c r="R35" s="454">
        <v>0</v>
      </c>
      <c r="S35" s="454"/>
      <c r="T35" s="454"/>
      <c r="U35" s="454"/>
      <c r="V35" s="454"/>
      <c r="W35" s="454"/>
      <c r="X35" s="454"/>
      <c r="Y35" s="455">
        <f t="shared" si="1"/>
        <v>5250</v>
      </c>
      <c r="Z35" s="454">
        <v>509000</v>
      </c>
      <c r="AA35" s="456">
        <v>5</v>
      </c>
      <c r="AB35" s="457">
        <v>44216</v>
      </c>
      <c r="AC35" s="458">
        <v>44225</v>
      </c>
      <c r="AD35" s="454">
        <v>0</v>
      </c>
      <c r="AE35" s="459"/>
      <c r="AF35" s="460"/>
      <c r="AG35" s="458"/>
      <c r="AH35" s="454"/>
      <c r="AI35" s="456"/>
      <c r="AJ35" s="460"/>
      <c r="AK35" s="458"/>
      <c r="AL35" s="454"/>
      <c r="AM35" s="456"/>
      <c r="AN35" s="460"/>
      <c r="AO35" s="458"/>
      <c r="AP35" s="454"/>
      <c r="AQ35" s="456"/>
      <c r="AR35" s="460"/>
      <c r="AS35" s="458"/>
      <c r="AT35" s="454"/>
      <c r="AU35" s="456"/>
      <c r="AV35" s="460"/>
      <c r="AW35" s="458"/>
      <c r="AX35" s="454"/>
      <c r="AY35" s="456"/>
      <c r="AZ35" s="460"/>
      <c r="BA35" s="458"/>
      <c r="BB35" s="154">
        <f t="shared" si="2"/>
        <v>509000</v>
      </c>
      <c r="BC35" s="461">
        <f t="shared" si="0"/>
        <v>503750</v>
      </c>
      <c r="BD35" s="156"/>
      <c r="BE35" s="156"/>
    </row>
    <row r="36" spans="2:57" s="148" customFormat="1" x14ac:dyDescent="0.25">
      <c r="B36" s="149">
        <v>54</v>
      </c>
      <c r="C36" s="149" t="s">
        <v>38</v>
      </c>
      <c r="D36" s="450">
        <v>30262523</v>
      </c>
      <c r="E36" s="451" t="s">
        <v>232</v>
      </c>
      <c r="F36" s="451" t="s">
        <v>200</v>
      </c>
      <c r="G36" s="452" t="s">
        <v>201</v>
      </c>
      <c r="H36" s="463" t="s">
        <v>208</v>
      </c>
      <c r="I36" s="453" t="s">
        <v>43</v>
      </c>
      <c r="J36" s="454">
        <v>2213030</v>
      </c>
      <c r="K36" s="454">
        <v>0</v>
      </c>
      <c r="L36" s="454">
        <v>231654</v>
      </c>
      <c r="M36" s="454">
        <v>0</v>
      </c>
      <c r="N36" s="454">
        <v>74938</v>
      </c>
      <c r="O36" s="454">
        <v>64308</v>
      </c>
      <c r="P36" s="454">
        <v>175116.30100000001</v>
      </c>
      <c r="Q36" s="454">
        <v>117430.64599999999</v>
      </c>
      <c r="R36" s="454">
        <v>98210.012000000002</v>
      </c>
      <c r="S36" s="454"/>
      <c r="T36" s="454"/>
      <c r="U36" s="454"/>
      <c r="V36" s="454"/>
      <c r="W36" s="454"/>
      <c r="X36" s="454"/>
      <c r="Y36" s="455">
        <f t="shared" si="1"/>
        <v>530002.95900000003</v>
      </c>
      <c r="Z36" s="454">
        <v>1299172</v>
      </c>
      <c r="AA36" s="456">
        <v>5</v>
      </c>
      <c r="AB36" s="457">
        <v>44216</v>
      </c>
      <c r="AC36" s="458">
        <v>44225</v>
      </c>
      <c r="AD36" s="454">
        <v>0</v>
      </c>
      <c r="AE36" s="459"/>
      <c r="AF36" s="460"/>
      <c r="AG36" s="458"/>
      <c r="AH36" s="454"/>
      <c r="AI36" s="456"/>
      <c r="AJ36" s="460"/>
      <c r="AK36" s="458"/>
      <c r="AL36" s="454"/>
      <c r="AM36" s="456"/>
      <c r="AN36" s="460"/>
      <c r="AO36" s="458"/>
      <c r="AP36" s="454"/>
      <c r="AQ36" s="456"/>
      <c r="AR36" s="460"/>
      <c r="AS36" s="458"/>
      <c r="AT36" s="454"/>
      <c r="AU36" s="456"/>
      <c r="AV36" s="460"/>
      <c r="AW36" s="458"/>
      <c r="AX36" s="454"/>
      <c r="AY36" s="456"/>
      <c r="AZ36" s="460"/>
      <c r="BA36" s="458"/>
      <c r="BB36" s="154">
        <f t="shared" si="2"/>
        <v>1299172</v>
      </c>
      <c r="BC36" s="461">
        <f t="shared" si="0"/>
        <v>769169.04099999997</v>
      </c>
      <c r="BD36" s="156"/>
      <c r="BE36" s="156"/>
    </row>
    <row r="37" spans="2:57" s="148" customFormat="1" ht="22.5" x14ac:dyDescent="0.25">
      <c r="B37" s="149">
        <v>70</v>
      </c>
      <c r="C37" s="149" t="s">
        <v>38</v>
      </c>
      <c r="D37" s="450">
        <v>30263723</v>
      </c>
      <c r="E37" s="451" t="s">
        <v>233</v>
      </c>
      <c r="F37" s="451" t="s">
        <v>200</v>
      </c>
      <c r="G37" s="452" t="s">
        <v>201</v>
      </c>
      <c r="H37" s="463" t="s">
        <v>220</v>
      </c>
      <c r="I37" s="453" t="s">
        <v>43</v>
      </c>
      <c r="J37" s="454">
        <v>2494898</v>
      </c>
      <c r="K37" s="454">
        <v>0</v>
      </c>
      <c r="L37" s="454">
        <v>1274889</v>
      </c>
      <c r="M37" s="454">
        <v>0</v>
      </c>
      <c r="N37" s="454">
        <v>0</v>
      </c>
      <c r="O37" s="454">
        <v>0</v>
      </c>
      <c r="P37" s="454">
        <v>0</v>
      </c>
      <c r="Q37" s="454">
        <v>0</v>
      </c>
      <c r="R37" s="454">
        <v>0</v>
      </c>
      <c r="S37" s="454"/>
      <c r="T37" s="454"/>
      <c r="U37" s="454"/>
      <c r="V37" s="454"/>
      <c r="W37" s="454"/>
      <c r="X37" s="454"/>
      <c r="Y37" s="455">
        <f t="shared" si="1"/>
        <v>0</v>
      </c>
      <c r="Z37" s="454">
        <v>304000</v>
      </c>
      <c r="AA37" s="456">
        <v>5</v>
      </c>
      <c r="AB37" s="457">
        <v>44216</v>
      </c>
      <c r="AC37" s="458">
        <v>44225</v>
      </c>
      <c r="AD37" s="454">
        <v>0</v>
      </c>
      <c r="AE37" s="459"/>
      <c r="AF37" s="460"/>
      <c r="AG37" s="458"/>
      <c r="AH37" s="454"/>
      <c r="AI37" s="456"/>
      <c r="AJ37" s="460"/>
      <c r="AK37" s="458"/>
      <c r="AL37" s="454"/>
      <c r="AM37" s="456"/>
      <c r="AN37" s="460"/>
      <c r="AO37" s="458"/>
      <c r="AP37" s="454"/>
      <c r="AQ37" s="456"/>
      <c r="AR37" s="460"/>
      <c r="AS37" s="458"/>
      <c r="AT37" s="454"/>
      <c r="AU37" s="456"/>
      <c r="AV37" s="460"/>
      <c r="AW37" s="458"/>
      <c r="AX37" s="454"/>
      <c r="AY37" s="456"/>
      <c r="AZ37" s="460"/>
      <c r="BA37" s="458"/>
      <c r="BB37" s="154">
        <f t="shared" si="2"/>
        <v>304000</v>
      </c>
      <c r="BC37" s="461">
        <f t="shared" si="0"/>
        <v>304000</v>
      </c>
      <c r="BD37" s="156"/>
      <c r="BE37" s="156"/>
    </row>
    <row r="38" spans="2:57" s="148" customFormat="1" ht="22.5" x14ac:dyDescent="0.25">
      <c r="B38" s="149">
        <v>72</v>
      </c>
      <c r="C38" s="149" t="s">
        <v>38</v>
      </c>
      <c r="D38" s="450">
        <v>30264172</v>
      </c>
      <c r="E38" s="451" t="s">
        <v>234</v>
      </c>
      <c r="F38" s="451"/>
      <c r="G38" s="452" t="s">
        <v>201</v>
      </c>
      <c r="H38" s="463" t="s">
        <v>224</v>
      </c>
      <c r="I38" s="453" t="s">
        <v>42</v>
      </c>
      <c r="J38" s="454">
        <v>2920601</v>
      </c>
      <c r="K38" s="454">
        <v>2916603</v>
      </c>
      <c r="L38" s="454">
        <v>0</v>
      </c>
      <c r="M38" s="454">
        <v>0</v>
      </c>
      <c r="N38" s="454">
        <v>0</v>
      </c>
      <c r="O38" s="454">
        <v>0</v>
      </c>
      <c r="P38" s="454">
        <v>3521.3040000000001</v>
      </c>
      <c r="Q38" s="454">
        <v>0</v>
      </c>
      <c r="R38" s="454">
        <v>0</v>
      </c>
      <c r="S38" s="454"/>
      <c r="T38" s="454"/>
      <c r="U38" s="454"/>
      <c r="V38" s="454"/>
      <c r="W38" s="454"/>
      <c r="X38" s="454"/>
      <c r="Y38" s="455">
        <f t="shared" si="1"/>
        <v>3521.3040000000001</v>
      </c>
      <c r="Z38" s="454">
        <v>3522</v>
      </c>
      <c r="AA38" s="456">
        <v>16</v>
      </c>
      <c r="AB38" s="457">
        <v>44253</v>
      </c>
      <c r="AC38" s="458">
        <v>44274</v>
      </c>
      <c r="AD38" s="454">
        <v>0</v>
      </c>
      <c r="AE38" s="459"/>
      <c r="AF38" s="460"/>
      <c r="AG38" s="458"/>
      <c r="AH38" s="454"/>
      <c r="AI38" s="456"/>
      <c r="AJ38" s="460"/>
      <c r="AK38" s="458"/>
      <c r="AL38" s="454"/>
      <c r="AM38" s="456"/>
      <c r="AN38" s="460"/>
      <c r="AO38" s="458"/>
      <c r="AP38" s="454"/>
      <c r="AQ38" s="456"/>
      <c r="AR38" s="460"/>
      <c r="AS38" s="458"/>
      <c r="AT38" s="454"/>
      <c r="AU38" s="456"/>
      <c r="AV38" s="460"/>
      <c r="AW38" s="458"/>
      <c r="AX38" s="454"/>
      <c r="AY38" s="456"/>
      <c r="AZ38" s="460"/>
      <c r="BA38" s="458"/>
      <c r="BB38" s="154">
        <f t="shared" si="2"/>
        <v>3522</v>
      </c>
      <c r="BC38" s="461">
        <f t="shared" si="0"/>
        <v>0.69599999999991269</v>
      </c>
      <c r="BD38" s="156"/>
      <c r="BE38" s="156"/>
    </row>
    <row r="39" spans="2:57" s="148" customFormat="1" ht="22.5" x14ac:dyDescent="0.25">
      <c r="B39" s="149">
        <v>19</v>
      </c>
      <c r="C39" s="149" t="s">
        <v>38</v>
      </c>
      <c r="D39" s="450">
        <v>30264173</v>
      </c>
      <c r="E39" s="451" t="s">
        <v>235</v>
      </c>
      <c r="F39" s="451" t="s">
        <v>200</v>
      </c>
      <c r="G39" s="452" t="s">
        <v>201</v>
      </c>
      <c r="H39" s="463" t="s">
        <v>224</v>
      </c>
      <c r="I39" s="453" t="s">
        <v>43</v>
      </c>
      <c r="J39" s="454">
        <v>2238043</v>
      </c>
      <c r="K39" s="454">
        <v>0</v>
      </c>
      <c r="L39" s="454">
        <v>660606</v>
      </c>
      <c r="M39" s="454">
        <v>0</v>
      </c>
      <c r="N39" s="454">
        <v>0</v>
      </c>
      <c r="O39" s="454">
        <v>0</v>
      </c>
      <c r="P39" s="454">
        <v>0</v>
      </c>
      <c r="Q39" s="454">
        <v>0</v>
      </c>
      <c r="R39" s="454">
        <v>0</v>
      </c>
      <c r="S39" s="454"/>
      <c r="T39" s="454"/>
      <c r="U39" s="454"/>
      <c r="V39" s="454"/>
      <c r="W39" s="454"/>
      <c r="X39" s="454"/>
      <c r="Y39" s="455">
        <f t="shared" si="1"/>
        <v>0</v>
      </c>
      <c r="Z39" s="454">
        <v>272000</v>
      </c>
      <c r="AA39" s="456">
        <v>5</v>
      </c>
      <c r="AB39" s="457">
        <v>44216</v>
      </c>
      <c r="AC39" s="458">
        <v>44225</v>
      </c>
      <c r="AD39" s="454">
        <v>0</v>
      </c>
      <c r="AE39" s="459"/>
      <c r="AF39" s="460"/>
      <c r="AG39" s="458"/>
      <c r="AH39" s="454"/>
      <c r="AI39" s="456"/>
      <c r="AJ39" s="460"/>
      <c r="AK39" s="458"/>
      <c r="AL39" s="454"/>
      <c r="AM39" s="456"/>
      <c r="AN39" s="460"/>
      <c r="AO39" s="458"/>
      <c r="AP39" s="454"/>
      <c r="AQ39" s="456"/>
      <c r="AR39" s="460"/>
      <c r="AS39" s="458"/>
      <c r="AT39" s="454"/>
      <c r="AU39" s="456"/>
      <c r="AV39" s="460"/>
      <c r="AW39" s="458"/>
      <c r="AX39" s="454"/>
      <c r="AY39" s="456"/>
      <c r="AZ39" s="460"/>
      <c r="BA39" s="458"/>
      <c r="BB39" s="154">
        <f t="shared" si="2"/>
        <v>272000</v>
      </c>
      <c r="BC39" s="461">
        <f t="shared" si="0"/>
        <v>272000</v>
      </c>
      <c r="BD39" s="156"/>
      <c r="BE39" s="156"/>
    </row>
    <row r="40" spans="2:57" s="148" customFormat="1" ht="22.5" x14ac:dyDescent="0.25">
      <c r="B40" s="149">
        <v>46</v>
      </c>
      <c r="C40" s="149" t="s">
        <v>38</v>
      </c>
      <c r="D40" s="450">
        <v>30264679</v>
      </c>
      <c r="E40" s="451" t="s">
        <v>236</v>
      </c>
      <c r="F40" s="451" t="s">
        <v>200</v>
      </c>
      <c r="G40" s="452" t="s">
        <v>201</v>
      </c>
      <c r="H40" s="463" t="s">
        <v>213</v>
      </c>
      <c r="I40" s="453" t="s">
        <v>42</v>
      </c>
      <c r="J40" s="454">
        <v>407324</v>
      </c>
      <c r="K40" s="454">
        <v>0</v>
      </c>
      <c r="L40" s="454">
        <v>0</v>
      </c>
      <c r="M40" s="454">
        <v>0</v>
      </c>
      <c r="N40" s="454">
        <v>59643</v>
      </c>
      <c r="O40" s="454">
        <v>51619</v>
      </c>
      <c r="P40" s="454">
        <v>64507.519999999997</v>
      </c>
      <c r="Q40" s="454">
        <v>0</v>
      </c>
      <c r="R40" s="454">
        <v>39001.06</v>
      </c>
      <c r="S40" s="454"/>
      <c r="T40" s="454"/>
      <c r="U40" s="454"/>
      <c r="V40" s="454"/>
      <c r="W40" s="454"/>
      <c r="X40" s="454"/>
      <c r="Y40" s="455">
        <f t="shared" si="1"/>
        <v>214770.58</v>
      </c>
      <c r="Z40" s="454">
        <v>214771</v>
      </c>
      <c r="AA40" s="456">
        <v>5</v>
      </c>
      <c r="AB40" s="457">
        <v>44216</v>
      </c>
      <c r="AC40" s="458">
        <v>44225</v>
      </c>
      <c r="AD40" s="454">
        <v>0</v>
      </c>
      <c r="AE40" s="459"/>
      <c r="AF40" s="460"/>
      <c r="AG40" s="458"/>
      <c r="AH40" s="454"/>
      <c r="AI40" s="456"/>
      <c r="AJ40" s="460"/>
      <c r="AK40" s="458"/>
      <c r="AL40" s="454"/>
      <c r="AM40" s="456"/>
      <c r="AN40" s="460"/>
      <c r="AO40" s="458"/>
      <c r="AP40" s="454"/>
      <c r="AQ40" s="456"/>
      <c r="AR40" s="460"/>
      <c r="AS40" s="458"/>
      <c r="AT40" s="454"/>
      <c r="AU40" s="456"/>
      <c r="AV40" s="460"/>
      <c r="AW40" s="458"/>
      <c r="AX40" s="454"/>
      <c r="AY40" s="456"/>
      <c r="AZ40" s="460"/>
      <c r="BA40" s="458"/>
      <c r="BB40" s="154">
        <f t="shared" si="2"/>
        <v>214771</v>
      </c>
      <c r="BC40" s="461">
        <f t="shared" si="0"/>
        <v>0.42000000001280569</v>
      </c>
      <c r="BD40" s="156"/>
      <c r="BE40" s="156"/>
    </row>
    <row r="41" spans="2:57" s="148" customFormat="1" ht="22.5" x14ac:dyDescent="0.25">
      <c r="B41" s="149">
        <v>9</v>
      </c>
      <c r="C41" s="149" t="s">
        <v>38</v>
      </c>
      <c r="D41" s="450">
        <v>30273179</v>
      </c>
      <c r="E41" s="451" t="s">
        <v>237</v>
      </c>
      <c r="F41" s="451" t="s">
        <v>200</v>
      </c>
      <c r="G41" s="452" t="s">
        <v>201</v>
      </c>
      <c r="H41" s="463" t="s">
        <v>215</v>
      </c>
      <c r="I41" s="453" t="s">
        <v>42</v>
      </c>
      <c r="J41" s="454">
        <v>349797</v>
      </c>
      <c r="K41" s="454">
        <v>281890</v>
      </c>
      <c r="L41" s="454">
        <v>0</v>
      </c>
      <c r="M41" s="454">
        <v>0</v>
      </c>
      <c r="N41" s="454">
        <v>0</v>
      </c>
      <c r="O41" s="454">
        <v>12783</v>
      </c>
      <c r="P41" s="454">
        <v>0</v>
      </c>
      <c r="Q41" s="454">
        <v>14926.527</v>
      </c>
      <c r="R41" s="454">
        <v>0</v>
      </c>
      <c r="S41" s="454"/>
      <c r="T41" s="454"/>
      <c r="U41" s="454"/>
      <c r="V41" s="454"/>
      <c r="W41" s="454"/>
      <c r="X41" s="454"/>
      <c r="Y41" s="455">
        <f t="shared" si="1"/>
        <v>27709.527000000002</v>
      </c>
      <c r="Z41" s="454">
        <v>55813</v>
      </c>
      <c r="AA41" s="456">
        <v>5</v>
      </c>
      <c r="AB41" s="457">
        <v>44216</v>
      </c>
      <c r="AC41" s="458">
        <v>44225</v>
      </c>
      <c r="AD41" s="454">
        <v>0</v>
      </c>
      <c r="AE41" s="459"/>
      <c r="AF41" s="460"/>
      <c r="AG41" s="458"/>
      <c r="AH41" s="454"/>
      <c r="AI41" s="456"/>
      <c r="AJ41" s="460"/>
      <c r="AK41" s="458"/>
      <c r="AL41" s="454"/>
      <c r="AM41" s="456"/>
      <c r="AN41" s="460"/>
      <c r="AO41" s="458"/>
      <c r="AP41" s="454"/>
      <c r="AQ41" s="456"/>
      <c r="AR41" s="460"/>
      <c r="AS41" s="458"/>
      <c r="AT41" s="454"/>
      <c r="AU41" s="456"/>
      <c r="AV41" s="460"/>
      <c r="AW41" s="458"/>
      <c r="AX41" s="454"/>
      <c r="AY41" s="456"/>
      <c r="AZ41" s="460"/>
      <c r="BA41" s="458"/>
      <c r="BB41" s="154">
        <f t="shared" si="2"/>
        <v>55813</v>
      </c>
      <c r="BC41" s="461">
        <f t="shared" si="0"/>
        <v>28103.472999999998</v>
      </c>
      <c r="BD41" s="156"/>
      <c r="BE41" s="156"/>
    </row>
    <row r="42" spans="2:57" s="148" customFormat="1" ht="22.5" x14ac:dyDescent="0.25">
      <c r="B42" s="149">
        <v>40</v>
      </c>
      <c r="C42" s="149" t="s">
        <v>38</v>
      </c>
      <c r="D42" s="450">
        <v>30352974</v>
      </c>
      <c r="E42" s="451" t="s">
        <v>238</v>
      </c>
      <c r="F42" s="451" t="s">
        <v>200</v>
      </c>
      <c r="G42" s="452" t="s">
        <v>201</v>
      </c>
      <c r="H42" s="463" t="s">
        <v>226</v>
      </c>
      <c r="I42" s="453" t="s">
        <v>42</v>
      </c>
      <c r="J42" s="454">
        <v>7371957</v>
      </c>
      <c r="K42" s="454">
        <v>6627529</v>
      </c>
      <c r="L42" s="454">
        <v>4601</v>
      </c>
      <c r="M42" s="454">
        <v>0</v>
      </c>
      <c r="N42" s="454">
        <v>223085</v>
      </c>
      <c r="O42" s="454">
        <v>0</v>
      </c>
      <c r="P42" s="454">
        <v>0</v>
      </c>
      <c r="Q42" s="454">
        <v>0</v>
      </c>
      <c r="R42" s="454">
        <v>65.911000000000001</v>
      </c>
      <c r="S42" s="454"/>
      <c r="T42" s="454"/>
      <c r="U42" s="454"/>
      <c r="V42" s="454"/>
      <c r="W42" s="454"/>
      <c r="X42" s="454"/>
      <c r="Y42" s="455">
        <f t="shared" si="1"/>
        <v>223150.91099999999</v>
      </c>
      <c r="Z42" s="454">
        <v>250000</v>
      </c>
      <c r="AA42" s="456">
        <v>5</v>
      </c>
      <c r="AB42" s="457">
        <v>44216</v>
      </c>
      <c r="AC42" s="458">
        <v>44225</v>
      </c>
      <c r="AD42" s="454">
        <v>0</v>
      </c>
      <c r="AE42" s="459"/>
      <c r="AF42" s="460"/>
      <c r="AG42" s="458"/>
      <c r="AH42" s="454"/>
      <c r="AI42" s="456"/>
      <c r="AJ42" s="460"/>
      <c r="AK42" s="458"/>
      <c r="AL42" s="454"/>
      <c r="AM42" s="456"/>
      <c r="AN42" s="460"/>
      <c r="AO42" s="458"/>
      <c r="AP42" s="454"/>
      <c r="AQ42" s="456"/>
      <c r="AR42" s="460"/>
      <c r="AS42" s="458"/>
      <c r="AT42" s="454"/>
      <c r="AU42" s="456"/>
      <c r="AV42" s="460"/>
      <c r="AW42" s="458"/>
      <c r="AX42" s="454"/>
      <c r="AY42" s="456"/>
      <c r="AZ42" s="460"/>
      <c r="BA42" s="458"/>
      <c r="BB42" s="154">
        <f t="shared" si="2"/>
        <v>250000</v>
      </c>
      <c r="BC42" s="461">
        <f t="shared" si="0"/>
        <v>26849.089000000007</v>
      </c>
      <c r="BD42" s="156"/>
      <c r="BE42" s="156"/>
    </row>
    <row r="43" spans="2:57" s="148" customFormat="1" ht="22.5" x14ac:dyDescent="0.25">
      <c r="B43" s="149">
        <v>41</v>
      </c>
      <c r="C43" s="149" t="s">
        <v>38</v>
      </c>
      <c r="D43" s="450">
        <v>30353373</v>
      </c>
      <c r="E43" s="451" t="s">
        <v>239</v>
      </c>
      <c r="F43" s="451" t="s">
        <v>200</v>
      </c>
      <c r="G43" s="452" t="s">
        <v>201</v>
      </c>
      <c r="H43" s="463" t="s">
        <v>226</v>
      </c>
      <c r="I43" s="453" t="s">
        <v>42</v>
      </c>
      <c r="J43" s="454">
        <v>2164711</v>
      </c>
      <c r="K43" s="454">
        <v>1757388</v>
      </c>
      <c r="L43" s="454">
        <v>1643</v>
      </c>
      <c r="M43" s="454">
        <v>0</v>
      </c>
      <c r="N43" s="454">
        <v>0</v>
      </c>
      <c r="O43" s="454">
        <v>0</v>
      </c>
      <c r="P43" s="454">
        <v>0</v>
      </c>
      <c r="Q43" s="454">
        <v>141559.80900000001</v>
      </c>
      <c r="R43" s="454">
        <v>56482.917000000001</v>
      </c>
      <c r="S43" s="454"/>
      <c r="T43" s="454"/>
      <c r="U43" s="454"/>
      <c r="V43" s="454"/>
      <c r="W43" s="454"/>
      <c r="X43" s="454"/>
      <c r="Y43" s="455">
        <f t="shared" si="1"/>
        <v>198042.72600000002</v>
      </c>
      <c r="Z43" s="454">
        <v>330000</v>
      </c>
      <c r="AA43" s="456">
        <v>5</v>
      </c>
      <c r="AB43" s="457">
        <v>44216</v>
      </c>
      <c r="AC43" s="458">
        <v>44225</v>
      </c>
      <c r="AD43" s="454">
        <v>0</v>
      </c>
      <c r="AE43" s="459"/>
      <c r="AF43" s="460"/>
      <c r="AG43" s="458"/>
      <c r="AH43" s="454"/>
      <c r="AI43" s="456"/>
      <c r="AJ43" s="460"/>
      <c r="AK43" s="458"/>
      <c r="AL43" s="454"/>
      <c r="AM43" s="456"/>
      <c r="AN43" s="460"/>
      <c r="AO43" s="458"/>
      <c r="AP43" s="454"/>
      <c r="AQ43" s="456"/>
      <c r="AR43" s="460"/>
      <c r="AS43" s="458"/>
      <c r="AT43" s="454"/>
      <c r="AU43" s="456"/>
      <c r="AV43" s="460"/>
      <c r="AW43" s="458"/>
      <c r="AX43" s="454"/>
      <c r="AY43" s="456"/>
      <c r="AZ43" s="460"/>
      <c r="BA43" s="458"/>
      <c r="BB43" s="154">
        <f t="shared" si="2"/>
        <v>330000</v>
      </c>
      <c r="BC43" s="461">
        <f t="shared" si="0"/>
        <v>131957.27399999998</v>
      </c>
      <c r="BD43" s="156"/>
      <c r="BE43" s="156"/>
    </row>
    <row r="44" spans="2:57" s="148" customFormat="1" ht="22.5" x14ac:dyDescent="0.25">
      <c r="B44" s="149">
        <v>39</v>
      </c>
      <c r="C44" s="149" t="s">
        <v>38</v>
      </c>
      <c r="D44" s="450">
        <v>30353376</v>
      </c>
      <c r="E44" s="451" t="s">
        <v>240</v>
      </c>
      <c r="F44" s="451" t="s">
        <v>200</v>
      </c>
      <c r="G44" s="452" t="s">
        <v>201</v>
      </c>
      <c r="H44" s="463" t="s">
        <v>226</v>
      </c>
      <c r="I44" s="453" t="s">
        <v>42</v>
      </c>
      <c r="J44" s="454">
        <v>3672975</v>
      </c>
      <c r="K44" s="454">
        <v>3393510</v>
      </c>
      <c r="L44" s="454">
        <v>0</v>
      </c>
      <c r="M44" s="454">
        <v>0</v>
      </c>
      <c r="N44" s="454">
        <v>0</v>
      </c>
      <c r="O44" s="454">
        <v>0</v>
      </c>
      <c r="P44" s="454">
        <v>0</v>
      </c>
      <c r="Q44" s="454">
        <v>0</v>
      </c>
      <c r="R44" s="454">
        <v>0</v>
      </c>
      <c r="S44" s="454"/>
      <c r="T44" s="454"/>
      <c r="U44" s="454"/>
      <c r="V44" s="454"/>
      <c r="W44" s="454"/>
      <c r="X44" s="454"/>
      <c r="Y44" s="455">
        <f t="shared" si="1"/>
        <v>0</v>
      </c>
      <c r="Z44" s="454">
        <v>270000</v>
      </c>
      <c r="AA44" s="456">
        <v>5</v>
      </c>
      <c r="AB44" s="457">
        <v>44216</v>
      </c>
      <c r="AC44" s="458">
        <v>44225</v>
      </c>
      <c r="AD44" s="454">
        <v>0</v>
      </c>
      <c r="AE44" s="459"/>
      <c r="AF44" s="460"/>
      <c r="AG44" s="458"/>
      <c r="AH44" s="454"/>
      <c r="AI44" s="456"/>
      <c r="AJ44" s="460"/>
      <c r="AK44" s="458"/>
      <c r="AL44" s="454"/>
      <c r="AM44" s="456"/>
      <c r="AN44" s="460"/>
      <c r="AO44" s="458"/>
      <c r="AP44" s="454"/>
      <c r="AQ44" s="456"/>
      <c r="AR44" s="460"/>
      <c r="AS44" s="458"/>
      <c r="AT44" s="454"/>
      <c r="AU44" s="456"/>
      <c r="AV44" s="460"/>
      <c r="AW44" s="458"/>
      <c r="AX44" s="454"/>
      <c r="AY44" s="456"/>
      <c r="AZ44" s="460"/>
      <c r="BA44" s="458"/>
      <c r="BB44" s="154">
        <f t="shared" si="2"/>
        <v>270000</v>
      </c>
      <c r="BC44" s="461">
        <f t="shared" si="0"/>
        <v>270000</v>
      </c>
      <c r="BD44" s="156"/>
      <c r="BE44" s="156"/>
    </row>
    <row r="45" spans="2:57" s="148" customFormat="1" ht="22.5" x14ac:dyDescent="0.25">
      <c r="B45" s="149">
        <v>13</v>
      </c>
      <c r="C45" s="149" t="s">
        <v>38</v>
      </c>
      <c r="D45" s="450">
        <v>30353377</v>
      </c>
      <c r="E45" s="451" t="s">
        <v>241</v>
      </c>
      <c r="F45" s="451" t="s">
        <v>200</v>
      </c>
      <c r="G45" s="452" t="s">
        <v>201</v>
      </c>
      <c r="H45" s="463" t="s">
        <v>242</v>
      </c>
      <c r="I45" s="453" t="s">
        <v>42</v>
      </c>
      <c r="J45" s="454">
        <v>3194105</v>
      </c>
      <c r="K45" s="454">
        <v>2507393</v>
      </c>
      <c r="L45" s="454">
        <v>0</v>
      </c>
      <c r="M45" s="454">
        <v>0</v>
      </c>
      <c r="N45" s="454">
        <v>147836</v>
      </c>
      <c r="O45" s="454">
        <v>0</v>
      </c>
      <c r="P45" s="454">
        <v>155627.98800000001</v>
      </c>
      <c r="Q45" s="454">
        <v>70539.626999999993</v>
      </c>
      <c r="R45" s="454">
        <v>0</v>
      </c>
      <c r="S45" s="454"/>
      <c r="T45" s="454"/>
      <c r="U45" s="454"/>
      <c r="V45" s="454"/>
      <c r="W45" s="454"/>
      <c r="X45" s="454"/>
      <c r="Y45" s="455">
        <f t="shared" si="1"/>
        <v>374003.61499999999</v>
      </c>
      <c r="Z45" s="454">
        <v>400000</v>
      </c>
      <c r="AA45" s="456">
        <v>5</v>
      </c>
      <c r="AB45" s="457">
        <v>44216</v>
      </c>
      <c r="AC45" s="458">
        <v>44225</v>
      </c>
      <c r="AD45" s="454">
        <v>0</v>
      </c>
      <c r="AE45" s="459"/>
      <c r="AF45" s="460"/>
      <c r="AG45" s="458"/>
      <c r="AH45" s="454"/>
      <c r="AI45" s="456"/>
      <c r="AJ45" s="460"/>
      <c r="AK45" s="458"/>
      <c r="AL45" s="454"/>
      <c r="AM45" s="456"/>
      <c r="AN45" s="460"/>
      <c r="AO45" s="458"/>
      <c r="AP45" s="454"/>
      <c r="AQ45" s="456"/>
      <c r="AR45" s="460"/>
      <c r="AS45" s="458"/>
      <c r="AT45" s="454"/>
      <c r="AU45" s="456"/>
      <c r="AV45" s="460"/>
      <c r="AW45" s="458"/>
      <c r="AX45" s="454"/>
      <c r="AY45" s="456"/>
      <c r="AZ45" s="460"/>
      <c r="BA45" s="458"/>
      <c r="BB45" s="154">
        <f t="shared" si="2"/>
        <v>400000</v>
      </c>
      <c r="BC45" s="461">
        <f t="shared" si="0"/>
        <v>25996.385000000009</v>
      </c>
      <c r="BD45" s="156"/>
      <c r="BE45" s="156"/>
    </row>
    <row r="46" spans="2:57" s="148" customFormat="1" ht="22.5" x14ac:dyDescent="0.25">
      <c r="B46" s="149">
        <v>14</v>
      </c>
      <c r="C46" s="149" t="s">
        <v>38</v>
      </c>
      <c r="D46" s="450">
        <v>30353379</v>
      </c>
      <c r="E46" s="451" t="s">
        <v>243</v>
      </c>
      <c r="F46" s="451" t="s">
        <v>200</v>
      </c>
      <c r="G46" s="452" t="s">
        <v>201</v>
      </c>
      <c r="H46" s="463" t="s">
        <v>244</v>
      </c>
      <c r="I46" s="453" t="s">
        <v>42</v>
      </c>
      <c r="J46" s="454">
        <v>9497110</v>
      </c>
      <c r="K46" s="454">
        <v>8471718</v>
      </c>
      <c r="L46" s="454">
        <v>0</v>
      </c>
      <c r="M46" s="454">
        <v>0</v>
      </c>
      <c r="N46" s="454">
        <v>33016</v>
      </c>
      <c r="O46" s="454">
        <v>269564</v>
      </c>
      <c r="P46" s="454">
        <v>240305.139</v>
      </c>
      <c r="Q46" s="454">
        <v>292378.23499999999</v>
      </c>
      <c r="R46" s="454">
        <v>180644.98800000001</v>
      </c>
      <c r="S46" s="454"/>
      <c r="T46" s="454"/>
      <c r="U46" s="454"/>
      <c r="V46" s="454"/>
      <c r="W46" s="454"/>
      <c r="X46" s="454"/>
      <c r="Y46" s="455">
        <f t="shared" si="1"/>
        <v>1015908.362</v>
      </c>
      <c r="Z46" s="454">
        <v>910000</v>
      </c>
      <c r="AA46" s="456">
        <v>5</v>
      </c>
      <c r="AB46" s="457">
        <v>44216</v>
      </c>
      <c r="AC46" s="458">
        <v>44225</v>
      </c>
      <c r="AD46" s="454">
        <v>115038</v>
      </c>
      <c r="AE46" s="459">
        <v>19</v>
      </c>
      <c r="AF46" s="457">
        <v>44305</v>
      </c>
      <c r="AG46" s="458">
        <v>44330</v>
      </c>
      <c r="AH46" s="454"/>
      <c r="AI46" s="456"/>
      <c r="AJ46" s="460"/>
      <c r="AK46" s="458"/>
      <c r="AL46" s="454"/>
      <c r="AM46" s="456"/>
      <c r="AN46" s="460"/>
      <c r="AO46" s="458"/>
      <c r="AP46" s="454"/>
      <c r="AQ46" s="456"/>
      <c r="AR46" s="460"/>
      <c r="AS46" s="458"/>
      <c r="AT46" s="454"/>
      <c r="AU46" s="456"/>
      <c r="AV46" s="460"/>
      <c r="AW46" s="458"/>
      <c r="AX46" s="454"/>
      <c r="AY46" s="456"/>
      <c r="AZ46" s="460"/>
      <c r="BA46" s="458"/>
      <c r="BB46" s="154">
        <f t="shared" si="2"/>
        <v>1025038</v>
      </c>
      <c r="BC46" s="461">
        <f t="shared" si="0"/>
        <v>9129.6380000000354</v>
      </c>
      <c r="BD46" s="156"/>
      <c r="BE46" s="156"/>
    </row>
    <row r="47" spans="2:57" s="148" customFormat="1" ht="22.5" x14ac:dyDescent="0.25">
      <c r="B47" s="149">
        <v>15</v>
      </c>
      <c r="C47" s="149" t="s">
        <v>38</v>
      </c>
      <c r="D47" s="450">
        <v>30353380</v>
      </c>
      <c r="E47" s="451" t="s">
        <v>245</v>
      </c>
      <c r="F47" s="451" t="s">
        <v>200</v>
      </c>
      <c r="G47" s="452" t="s">
        <v>201</v>
      </c>
      <c r="H47" s="463" t="s">
        <v>246</v>
      </c>
      <c r="I47" s="453" t="s">
        <v>42</v>
      </c>
      <c r="J47" s="454">
        <v>11383671</v>
      </c>
      <c r="K47" s="454">
        <v>6119512</v>
      </c>
      <c r="L47" s="454">
        <v>0</v>
      </c>
      <c r="M47" s="454">
        <v>0</v>
      </c>
      <c r="N47" s="454">
        <v>101474</v>
      </c>
      <c r="O47" s="454">
        <v>182423</v>
      </c>
      <c r="P47" s="454">
        <v>106266.307</v>
      </c>
      <c r="Q47" s="454">
        <v>155311.505</v>
      </c>
      <c r="R47" s="454">
        <v>572980.93099999998</v>
      </c>
      <c r="S47" s="454"/>
      <c r="T47" s="454"/>
      <c r="U47" s="454"/>
      <c r="V47" s="454"/>
      <c r="W47" s="454"/>
      <c r="X47" s="454"/>
      <c r="Y47" s="455">
        <f t="shared" si="1"/>
        <v>1118455.743</v>
      </c>
      <c r="Z47" s="454">
        <v>1100000</v>
      </c>
      <c r="AA47" s="456">
        <v>5</v>
      </c>
      <c r="AB47" s="457">
        <v>44216</v>
      </c>
      <c r="AC47" s="458">
        <v>44225</v>
      </c>
      <c r="AD47" s="454">
        <v>0</v>
      </c>
      <c r="AE47" s="459"/>
      <c r="AF47" s="460"/>
      <c r="AG47" s="458"/>
      <c r="AH47" s="454"/>
      <c r="AI47" s="456"/>
      <c r="AJ47" s="460"/>
      <c r="AK47" s="458"/>
      <c r="AL47" s="454"/>
      <c r="AM47" s="456"/>
      <c r="AN47" s="460"/>
      <c r="AO47" s="458"/>
      <c r="AP47" s="454"/>
      <c r="AQ47" s="456"/>
      <c r="AR47" s="460"/>
      <c r="AS47" s="458"/>
      <c r="AT47" s="454"/>
      <c r="AU47" s="456"/>
      <c r="AV47" s="460"/>
      <c r="AW47" s="458"/>
      <c r="AX47" s="454"/>
      <c r="AY47" s="456"/>
      <c r="AZ47" s="460"/>
      <c r="BA47" s="458"/>
      <c r="BB47" s="154">
        <f t="shared" si="2"/>
        <v>1100000</v>
      </c>
      <c r="BC47" s="461">
        <f t="shared" si="0"/>
        <v>-18455.743000000017</v>
      </c>
      <c r="BD47" s="156"/>
      <c r="BE47" s="156"/>
    </row>
    <row r="48" spans="2:57" s="148" customFormat="1" x14ac:dyDescent="0.25">
      <c r="B48" s="149">
        <v>24</v>
      </c>
      <c r="C48" s="149" t="s">
        <v>38</v>
      </c>
      <c r="D48" s="450">
        <v>30356572</v>
      </c>
      <c r="E48" s="451" t="s">
        <v>247</v>
      </c>
      <c r="F48" s="451" t="s">
        <v>200</v>
      </c>
      <c r="G48" s="452" t="s">
        <v>201</v>
      </c>
      <c r="H48" s="463" t="s">
        <v>44</v>
      </c>
      <c r="I48" s="453" t="s">
        <v>43</v>
      </c>
      <c r="J48" s="454">
        <v>9876271</v>
      </c>
      <c r="K48" s="454">
        <v>18658</v>
      </c>
      <c r="L48" s="454">
        <v>8157110</v>
      </c>
      <c r="M48" s="454">
        <v>0</v>
      </c>
      <c r="N48" s="454">
        <v>0</v>
      </c>
      <c r="O48" s="454">
        <v>0</v>
      </c>
      <c r="P48" s="454">
        <v>470788.96600000001</v>
      </c>
      <c r="Q48" s="454">
        <v>60218.451999999997</v>
      </c>
      <c r="R48" s="454">
        <v>116452.10799999999</v>
      </c>
      <c r="S48" s="454"/>
      <c r="T48" s="454"/>
      <c r="U48" s="454"/>
      <c r="V48" s="454"/>
      <c r="W48" s="454"/>
      <c r="X48" s="454"/>
      <c r="Y48" s="455">
        <f t="shared" si="1"/>
        <v>647459.52600000007</v>
      </c>
      <c r="Z48" s="454">
        <v>1010000</v>
      </c>
      <c r="AA48" s="456">
        <v>5</v>
      </c>
      <c r="AB48" s="457">
        <v>44216</v>
      </c>
      <c r="AC48" s="458">
        <v>44225</v>
      </c>
      <c r="AD48" s="454">
        <v>0</v>
      </c>
      <c r="AE48" s="459"/>
      <c r="AF48" s="460"/>
      <c r="AG48" s="458"/>
      <c r="AH48" s="454"/>
      <c r="AI48" s="456"/>
      <c r="AJ48" s="460"/>
      <c r="AK48" s="458"/>
      <c r="AL48" s="454"/>
      <c r="AM48" s="456"/>
      <c r="AN48" s="460"/>
      <c r="AO48" s="458"/>
      <c r="AP48" s="454"/>
      <c r="AQ48" s="456"/>
      <c r="AR48" s="460"/>
      <c r="AS48" s="458"/>
      <c r="AT48" s="454"/>
      <c r="AU48" s="456"/>
      <c r="AV48" s="460"/>
      <c r="AW48" s="458"/>
      <c r="AX48" s="454"/>
      <c r="AY48" s="456"/>
      <c r="AZ48" s="460"/>
      <c r="BA48" s="458"/>
      <c r="BB48" s="154">
        <f t="shared" si="2"/>
        <v>1010000</v>
      </c>
      <c r="BC48" s="461">
        <f t="shared" si="0"/>
        <v>362540.47399999993</v>
      </c>
      <c r="BD48" s="156"/>
      <c r="BE48" s="156"/>
    </row>
    <row r="49" spans="2:57" s="148" customFormat="1" x14ac:dyDescent="0.25">
      <c r="B49" s="149">
        <v>61</v>
      </c>
      <c r="C49" s="149" t="s">
        <v>38</v>
      </c>
      <c r="D49" s="450">
        <v>30400053</v>
      </c>
      <c r="E49" s="451" t="s">
        <v>248</v>
      </c>
      <c r="F49" s="451" t="s">
        <v>200</v>
      </c>
      <c r="G49" s="452" t="s">
        <v>201</v>
      </c>
      <c r="H49" s="463" t="s">
        <v>205</v>
      </c>
      <c r="I49" s="453" t="s">
        <v>43</v>
      </c>
      <c r="J49" s="454">
        <v>1794968</v>
      </c>
      <c r="K49" s="454">
        <v>0</v>
      </c>
      <c r="L49" s="454">
        <v>327583</v>
      </c>
      <c r="M49" s="454">
        <v>0</v>
      </c>
      <c r="N49" s="454">
        <v>0</v>
      </c>
      <c r="O49" s="454">
        <v>0</v>
      </c>
      <c r="P49" s="454">
        <v>0</v>
      </c>
      <c r="Q49" s="454">
        <v>0</v>
      </c>
      <c r="R49" s="454">
        <v>0</v>
      </c>
      <c r="S49" s="454"/>
      <c r="T49" s="454"/>
      <c r="U49" s="454"/>
      <c r="V49" s="454"/>
      <c r="W49" s="454"/>
      <c r="X49" s="454"/>
      <c r="Y49" s="455">
        <f t="shared" si="1"/>
        <v>0</v>
      </c>
      <c r="Z49" s="454">
        <v>1000000</v>
      </c>
      <c r="AA49" s="456">
        <v>5</v>
      </c>
      <c r="AB49" s="457">
        <v>44216</v>
      </c>
      <c r="AC49" s="458">
        <v>44225</v>
      </c>
      <c r="AD49" s="454">
        <v>0</v>
      </c>
      <c r="AE49" s="459"/>
      <c r="AF49" s="460"/>
      <c r="AG49" s="458"/>
      <c r="AH49" s="454"/>
      <c r="AI49" s="456"/>
      <c r="AJ49" s="460"/>
      <c r="AK49" s="458"/>
      <c r="AL49" s="454"/>
      <c r="AM49" s="456"/>
      <c r="AN49" s="460"/>
      <c r="AO49" s="458"/>
      <c r="AP49" s="454"/>
      <c r="AQ49" s="456"/>
      <c r="AR49" s="460"/>
      <c r="AS49" s="458"/>
      <c r="AT49" s="454"/>
      <c r="AU49" s="456"/>
      <c r="AV49" s="460"/>
      <c r="AW49" s="458"/>
      <c r="AX49" s="454"/>
      <c r="AY49" s="456"/>
      <c r="AZ49" s="460"/>
      <c r="BA49" s="458"/>
      <c r="BB49" s="154">
        <f t="shared" si="2"/>
        <v>1000000</v>
      </c>
      <c r="BC49" s="461">
        <f t="shared" si="0"/>
        <v>1000000</v>
      </c>
      <c r="BD49" s="156"/>
      <c r="BE49" s="156"/>
    </row>
    <row r="50" spans="2:57" s="148" customFormat="1" ht="22.5" x14ac:dyDescent="0.25">
      <c r="B50" s="149">
        <v>34</v>
      </c>
      <c r="C50" s="149" t="s">
        <v>38</v>
      </c>
      <c r="D50" s="450">
        <v>30401272</v>
      </c>
      <c r="E50" s="451" t="s">
        <v>249</v>
      </c>
      <c r="F50" s="451" t="s">
        <v>200</v>
      </c>
      <c r="G50" s="452" t="s">
        <v>201</v>
      </c>
      <c r="H50" s="463" t="s">
        <v>202</v>
      </c>
      <c r="I50" s="453" t="s">
        <v>42</v>
      </c>
      <c r="J50" s="454">
        <v>63184</v>
      </c>
      <c r="K50" s="454">
        <v>0</v>
      </c>
      <c r="L50" s="454">
        <v>0</v>
      </c>
      <c r="M50" s="454">
        <v>0</v>
      </c>
      <c r="N50" s="454">
        <v>0</v>
      </c>
      <c r="O50" s="454">
        <v>0</v>
      </c>
      <c r="P50" s="454">
        <v>0</v>
      </c>
      <c r="Q50" s="454">
        <v>0</v>
      </c>
      <c r="R50" s="454">
        <v>58466.334000000003</v>
      </c>
      <c r="S50" s="454"/>
      <c r="T50" s="454"/>
      <c r="U50" s="454"/>
      <c r="V50" s="454"/>
      <c r="W50" s="454"/>
      <c r="X50" s="454"/>
      <c r="Y50" s="455">
        <f t="shared" si="1"/>
        <v>58466.334000000003</v>
      </c>
      <c r="Z50" s="454">
        <v>63184</v>
      </c>
      <c r="AA50" s="456">
        <v>5</v>
      </c>
      <c r="AB50" s="457">
        <v>44216</v>
      </c>
      <c r="AC50" s="458">
        <v>44225</v>
      </c>
      <c r="AD50" s="454">
        <v>0</v>
      </c>
      <c r="AE50" s="459"/>
      <c r="AF50" s="460"/>
      <c r="AG50" s="458"/>
      <c r="AH50" s="454"/>
      <c r="AI50" s="456"/>
      <c r="AJ50" s="460"/>
      <c r="AK50" s="458"/>
      <c r="AL50" s="454"/>
      <c r="AM50" s="456"/>
      <c r="AN50" s="460"/>
      <c r="AO50" s="458"/>
      <c r="AP50" s="454"/>
      <c r="AQ50" s="456"/>
      <c r="AR50" s="460"/>
      <c r="AS50" s="458"/>
      <c r="AT50" s="454"/>
      <c r="AU50" s="456"/>
      <c r="AV50" s="460"/>
      <c r="AW50" s="458"/>
      <c r="AX50" s="454"/>
      <c r="AY50" s="456"/>
      <c r="AZ50" s="460"/>
      <c r="BA50" s="458"/>
      <c r="BB50" s="154">
        <f t="shared" si="2"/>
        <v>63184</v>
      </c>
      <c r="BC50" s="461">
        <f t="shared" si="0"/>
        <v>4717.6659999999974</v>
      </c>
      <c r="BD50" s="156"/>
      <c r="BE50" s="156"/>
    </row>
    <row r="51" spans="2:57" s="148" customFormat="1" ht="22.5" x14ac:dyDescent="0.25">
      <c r="B51" s="149">
        <v>18</v>
      </c>
      <c r="C51" s="149" t="s">
        <v>38</v>
      </c>
      <c r="D51" s="450">
        <v>30439572</v>
      </c>
      <c r="E51" s="451" t="s">
        <v>250</v>
      </c>
      <c r="F51" s="451" t="s">
        <v>200</v>
      </c>
      <c r="G51" s="452" t="s">
        <v>201</v>
      </c>
      <c r="H51" s="463" t="s">
        <v>202</v>
      </c>
      <c r="I51" s="453" t="s">
        <v>42</v>
      </c>
      <c r="J51" s="454">
        <v>2190082</v>
      </c>
      <c r="K51" s="454">
        <v>1847847</v>
      </c>
      <c r="L51" s="454">
        <v>0</v>
      </c>
      <c r="M51" s="454">
        <v>0</v>
      </c>
      <c r="N51" s="454">
        <v>78651</v>
      </c>
      <c r="O51" s="454">
        <v>175616</v>
      </c>
      <c r="P51" s="454">
        <v>0</v>
      </c>
      <c r="Q51" s="454">
        <v>0</v>
      </c>
      <c r="R51" s="454">
        <v>0</v>
      </c>
      <c r="S51" s="454"/>
      <c r="T51" s="454"/>
      <c r="U51" s="454"/>
      <c r="V51" s="454"/>
      <c r="W51" s="454"/>
      <c r="X51" s="454"/>
      <c r="Y51" s="455">
        <f t="shared" si="1"/>
        <v>254267</v>
      </c>
      <c r="Z51" s="454">
        <v>310000</v>
      </c>
      <c r="AA51" s="456">
        <v>5</v>
      </c>
      <c r="AB51" s="457">
        <v>44216</v>
      </c>
      <c r="AC51" s="458">
        <v>44225</v>
      </c>
      <c r="AD51" s="454">
        <v>0</v>
      </c>
      <c r="AE51" s="459"/>
      <c r="AF51" s="460"/>
      <c r="AG51" s="458"/>
      <c r="AH51" s="454"/>
      <c r="AI51" s="456"/>
      <c r="AJ51" s="460"/>
      <c r="AK51" s="458"/>
      <c r="AL51" s="454"/>
      <c r="AM51" s="456"/>
      <c r="AN51" s="460"/>
      <c r="AO51" s="458"/>
      <c r="AP51" s="454"/>
      <c r="AQ51" s="456"/>
      <c r="AR51" s="460"/>
      <c r="AS51" s="458"/>
      <c r="AT51" s="454"/>
      <c r="AU51" s="456"/>
      <c r="AV51" s="460"/>
      <c r="AW51" s="458"/>
      <c r="AX51" s="454"/>
      <c r="AY51" s="456"/>
      <c r="AZ51" s="460"/>
      <c r="BA51" s="458"/>
      <c r="BB51" s="154">
        <f t="shared" si="2"/>
        <v>310000</v>
      </c>
      <c r="BC51" s="461">
        <f t="shared" si="0"/>
        <v>55733</v>
      </c>
      <c r="BD51" s="156"/>
      <c r="BE51" s="156"/>
    </row>
    <row r="52" spans="2:57" s="148" customFormat="1" x14ac:dyDescent="0.25">
      <c r="B52" s="149">
        <v>25</v>
      </c>
      <c r="C52" s="149" t="s">
        <v>38</v>
      </c>
      <c r="D52" s="450">
        <v>30440745</v>
      </c>
      <c r="E52" s="451" t="s">
        <v>251</v>
      </c>
      <c r="F52" s="451" t="s">
        <v>200</v>
      </c>
      <c r="G52" s="452" t="s">
        <v>201</v>
      </c>
      <c r="H52" s="463" t="s">
        <v>208</v>
      </c>
      <c r="I52" s="453" t="s">
        <v>42</v>
      </c>
      <c r="J52" s="454">
        <v>2678433</v>
      </c>
      <c r="K52" s="454">
        <v>0</v>
      </c>
      <c r="L52" s="454">
        <v>2132805</v>
      </c>
      <c r="M52" s="454">
        <v>0</v>
      </c>
      <c r="N52" s="454">
        <v>0</v>
      </c>
      <c r="O52" s="454">
        <v>0</v>
      </c>
      <c r="P52" s="454">
        <v>0</v>
      </c>
      <c r="Q52" s="454">
        <v>0</v>
      </c>
      <c r="R52" s="454">
        <v>48316.714999999997</v>
      </c>
      <c r="S52" s="454"/>
      <c r="T52" s="454"/>
      <c r="U52" s="454"/>
      <c r="V52" s="454"/>
      <c r="W52" s="454"/>
      <c r="X52" s="454"/>
      <c r="Y52" s="455">
        <f t="shared" si="1"/>
        <v>48316.714999999997</v>
      </c>
      <c r="Z52" s="454">
        <v>507000</v>
      </c>
      <c r="AA52" s="456">
        <v>5</v>
      </c>
      <c r="AB52" s="457">
        <v>44216</v>
      </c>
      <c r="AC52" s="458">
        <v>44225</v>
      </c>
      <c r="AD52" s="454">
        <v>0</v>
      </c>
      <c r="AE52" s="459"/>
      <c r="AF52" s="460"/>
      <c r="AG52" s="458"/>
      <c r="AH52" s="454"/>
      <c r="AI52" s="456"/>
      <c r="AJ52" s="460"/>
      <c r="AK52" s="458"/>
      <c r="AL52" s="454"/>
      <c r="AM52" s="456"/>
      <c r="AN52" s="460"/>
      <c r="AO52" s="458"/>
      <c r="AP52" s="454"/>
      <c r="AQ52" s="456"/>
      <c r="AR52" s="460"/>
      <c r="AS52" s="458"/>
      <c r="AT52" s="454"/>
      <c r="AU52" s="456"/>
      <c r="AV52" s="460"/>
      <c r="AW52" s="458"/>
      <c r="AX52" s="454"/>
      <c r="AY52" s="456"/>
      <c r="AZ52" s="460"/>
      <c r="BA52" s="458"/>
      <c r="BB52" s="154">
        <f t="shared" si="2"/>
        <v>507000</v>
      </c>
      <c r="BC52" s="461">
        <f t="shared" si="0"/>
        <v>458683.28500000003</v>
      </c>
      <c r="BD52" s="156"/>
      <c r="BE52" s="156"/>
    </row>
    <row r="53" spans="2:57" s="148" customFormat="1" ht="22.5" x14ac:dyDescent="0.25">
      <c r="B53" s="149">
        <v>55</v>
      </c>
      <c r="C53" s="149" t="s">
        <v>38</v>
      </c>
      <c r="D53" s="450">
        <v>30462772</v>
      </c>
      <c r="E53" s="451" t="s">
        <v>252</v>
      </c>
      <c r="F53" s="451" t="s">
        <v>200</v>
      </c>
      <c r="G53" s="452" t="s">
        <v>201</v>
      </c>
      <c r="H53" s="463" t="s">
        <v>230</v>
      </c>
      <c r="I53" s="453" t="s">
        <v>43</v>
      </c>
      <c r="J53" s="454">
        <v>249432</v>
      </c>
      <c r="K53" s="454">
        <v>0</v>
      </c>
      <c r="L53" s="454">
        <v>65383</v>
      </c>
      <c r="M53" s="454">
        <v>0</v>
      </c>
      <c r="N53" s="454">
        <v>0</v>
      </c>
      <c r="O53" s="454">
        <v>0</v>
      </c>
      <c r="P53" s="454">
        <v>0</v>
      </c>
      <c r="Q53" s="454">
        <v>0</v>
      </c>
      <c r="R53" s="454">
        <v>0</v>
      </c>
      <c r="S53" s="454"/>
      <c r="T53" s="454"/>
      <c r="U53" s="454"/>
      <c r="V53" s="454"/>
      <c r="W53" s="454"/>
      <c r="X53" s="454"/>
      <c r="Y53" s="455">
        <f t="shared" si="1"/>
        <v>0</v>
      </c>
      <c r="Z53" s="454">
        <v>180000</v>
      </c>
      <c r="AA53" s="456">
        <v>5</v>
      </c>
      <c r="AB53" s="457">
        <v>44216</v>
      </c>
      <c r="AC53" s="458">
        <v>44225</v>
      </c>
      <c r="AD53" s="454">
        <v>0</v>
      </c>
      <c r="AE53" s="459"/>
      <c r="AF53" s="460"/>
      <c r="AG53" s="458"/>
      <c r="AH53" s="454"/>
      <c r="AI53" s="456"/>
      <c r="AJ53" s="460"/>
      <c r="AK53" s="458"/>
      <c r="AL53" s="454"/>
      <c r="AM53" s="456"/>
      <c r="AN53" s="460"/>
      <c r="AO53" s="458"/>
      <c r="AP53" s="454"/>
      <c r="AQ53" s="456"/>
      <c r="AR53" s="460"/>
      <c r="AS53" s="458"/>
      <c r="AT53" s="454"/>
      <c r="AU53" s="456"/>
      <c r="AV53" s="460"/>
      <c r="AW53" s="458"/>
      <c r="AX53" s="454"/>
      <c r="AY53" s="456"/>
      <c r="AZ53" s="460"/>
      <c r="BA53" s="458"/>
      <c r="BB53" s="154">
        <f t="shared" si="2"/>
        <v>180000</v>
      </c>
      <c r="BC53" s="461">
        <f t="shared" si="0"/>
        <v>180000</v>
      </c>
      <c r="BD53" s="156"/>
      <c r="BE53" s="156"/>
    </row>
    <row r="54" spans="2:57" s="148" customFormat="1" ht="22.5" x14ac:dyDescent="0.25">
      <c r="B54" s="149">
        <v>48</v>
      </c>
      <c r="C54" s="149" t="s">
        <v>38</v>
      </c>
      <c r="D54" s="450">
        <v>30462773</v>
      </c>
      <c r="E54" s="451" t="s">
        <v>253</v>
      </c>
      <c r="F54" s="451" t="s">
        <v>200</v>
      </c>
      <c r="G54" s="452" t="s">
        <v>201</v>
      </c>
      <c r="H54" s="463" t="s">
        <v>230</v>
      </c>
      <c r="I54" s="453" t="s">
        <v>43</v>
      </c>
      <c r="J54" s="454">
        <v>257152</v>
      </c>
      <c r="K54" s="454">
        <v>0</v>
      </c>
      <c r="L54" s="454">
        <v>65445</v>
      </c>
      <c r="M54" s="454">
        <v>0</v>
      </c>
      <c r="N54" s="454">
        <v>0</v>
      </c>
      <c r="O54" s="454">
        <v>0</v>
      </c>
      <c r="P54" s="454">
        <v>0</v>
      </c>
      <c r="Q54" s="454">
        <v>0</v>
      </c>
      <c r="R54" s="454">
        <v>0</v>
      </c>
      <c r="S54" s="454"/>
      <c r="T54" s="454"/>
      <c r="U54" s="454"/>
      <c r="V54" s="454"/>
      <c r="W54" s="454"/>
      <c r="X54" s="454"/>
      <c r="Y54" s="455">
        <f t="shared" si="1"/>
        <v>0</v>
      </c>
      <c r="Z54" s="454">
        <v>190000</v>
      </c>
      <c r="AA54" s="456">
        <v>5</v>
      </c>
      <c r="AB54" s="457">
        <v>44216</v>
      </c>
      <c r="AC54" s="458">
        <v>44225</v>
      </c>
      <c r="AD54" s="454">
        <v>0</v>
      </c>
      <c r="AE54" s="459"/>
      <c r="AF54" s="460"/>
      <c r="AG54" s="458"/>
      <c r="AH54" s="454"/>
      <c r="AI54" s="456"/>
      <c r="AJ54" s="460"/>
      <c r="AK54" s="458"/>
      <c r="AL54" s="454"/>
      <c r="AM54" s="456"/>
      <c r="AN54" s="460"/>
      <c r="AO54" s="458"/>
      <c r="AP54" s="454"/>
      <c r="AQ54" s="456"/>
      <c r="AR54" s="460"/>
      <c r="AS54" s="458"/>
      <c r="AT54" s="454"/>
      <c r="AU54" s="456"/>
      <c r="AV54" s="460"/>
      <c r="AW54" s="458"/>
      <c r="AX54" s="454"/>
      <c r="AY54" s="456"/>
      <c r="AZ54" s="460"/>
      <c r="BA54" s="458"/>
      <c r="BB54" s="154">
        <f t="shared" si="2"/>
        <v>190000</v>
      </c>
      <c r="BC54" s="461">
        <f t="shared" si="0"/>
        <v>190000</v>
      </c>
      <c r="BD54" s="156"/>
      <c r="BE54" s="156"/>
    </row>
    <row r="55" spans="2:57" s="148" customFormat="1" x14ac:dyDescent="0.25">
      <c r="B55" s="149">
        <v>47</v>
      </c>
      <c r="C55" s="149" t="s">
        <v>38</v>
      </c>
      <c r="D55" s="450">
        <v>30462874</v>
      </c>
      <c r="E55" s="451" t="s">
        <v>254</v>
      </c>
      <c r="F55" s="451" t="s">
        <v>200</v>
      </c>
      <c r="G55" s="452" t="s">
        <v>201</v>
      </c>
      <c r="H55" s="463" t="s">
        <v>213</v>
      </c>
      <c r="I55" s="453" t="s">
        <v>42</v>
      </c>
      <c r="J55" s="454">
        <v>446906</v>
      </c>
      <c r="K55" s="454">
        <v>108106</v>
      </c>
      <c r="L55" s="454">
        <v>0</v>
      </c>
      <c r="M55" s="454">
        <v>0</v>
      </c>
      <c r="N55" s="454">
        <v>105437</v>
      </c>
      <c r="O55" s="454">
        <v>107963</v>
      </c>
      <c r="P55" s="454">
        <v>40690.002</v>
      </c>
      <c r="Q55" s="454">
        <v>0</v>
      </c>
      <c r="R55" s="454">
        <v>0</v>
      </c>
      <c r="S55" s="454"/>
      <c r="T55" s="454"/>
      <c r="U55" s="454"/>
      <c r="V55" s="454"/>
      <c r="W55" s="454"/>
      <c r="X55" s="454"/>
      <c r="Y55" s="455">
        <f t="shared" si="1"/>
        <v>254090.00200000001</v>
      </c>
      <c r="Z55" s="454">
        <v>257200</v>
      </c>
      <c r="AA55" s="456">
        <v>5</v>
      </c>
      <c r="AB55" s="457">
        <v>44216</v>
      </c>
      <c r="AC55" s="458">
        <v>44225</v>
      </c>
      <c r="AD55" s="454">
        <v>0</v>
      </c>
      <c r="AE55" s="459"/>
      <c r="AF55" s="460"/>
      <c r="AG55" s="458"/>
      <c r="AH55" s="454"/>
      <c r="AI55" s="456"/>
      <c r="AJ55" s="460"/>
      <c r="AK55" s="458"/>
      <c r="AL55" s="454"/>
      <c r="AM55" s="456"/>
      <c r="AN55" s="460"/>
      <c r="AO55" s="458"/>
      <c r="AP55" s="454"/>
      <c r="AQ55" s="456"/>
      <c r="AR55" s="460"/>
      <c r="AS55" s="458"/>
      <c r="AT55" s="454"/>
      <c r="AU55" s="456"/>
      <c r="AV55" s="460"/>
      <c r="AW55" s="458"/>
      <c r="AX55" s="454"/>
      <c r="AY55" s="456"/>
      <c r="AZ55" s="460"/>
      <c r="BA55" s="458"/>
      <c r="BB55" s="154">
        <f t="shared" si="2"/>
        <v>257200</v>
      </c>
      <c r="BC55" s="461">
        <f t="shared" si="0"/>
        <v>3109.9979999999923</v>
      </c>
      <c r="BD55" s="156"/>
      <c r="BE55" s="156"/>
    </row>
    <row r="56" spans="2:57" s="148" customFormat="1" ht="22.5" x14ac:dyDescent="0.25">
      <c r="B56" s="149">
        <v>31</v>
      </c>
      <c r="C56" s="149" t="s">
        <v>38</v>
      </c>
      <c r="D56" s="450">
        <v>30463876</v>
      </c>
      <c r="E56" s="451" t="s">
        <v>255</v>
      </c>
      <c r="F56" s="451" t="s">
        <v>200</v>
      </c>
      <c r="G56" s="452" t="s">
        <v>201</v>
      </c>
      <c r="H56" s="463" t="s">
        <v>205</v>
      </c>
      <c r="I56" s="453" t="s">
        <v>42</v>
      </c>
      <c r="J56" s="454">
        <v>174915</v>
      </c>
      <c r="K56" s="454">
        <v>156626</v>
      </c>
      <c r="L56" s="454">
        <v>0</v>
      </c>
      <c r="M56" s="454">
        <v>0</v>
      </c>
      <c r="N56" s="454">
        <v>32</v>
      </c>
      <c r="O56" s="454">
        <v>1179</v>
      </c>
      <c r="P56" s="454">
        <v>5414.1729999999998</v>
      </c>
      <c r="Q56" s="454">
        <v>3500</v>
      </c>
      <c r="R56" s="454">
        <v>0</v>
      </c>
      <c r="S56" s="454"/>
      <c r="T56" s="454"/>
      <c r="U56" s="454"/>
      <c r="V56" s="454"/>
      <c r="W56" s="454"/>
      <c r="X56" s="454"/>
      <c r="Y56" s="455">
        <f t="shared" si="1"/>
        <v>10125.172999999999</v>
      </c>
      <c r="Z56" s="454">
        <v>18000</v>
      </c>
      <c r="AA56" s="456">
        <v>5</v>
      </c>
      <c r="AB56" s="457">
        <v>44216</v>
      </c>
      <c r="AC56" s="458">
        <v>44225</v>
      </c>
      <c r="AD56" s="454">
        <v>3500</v>
      </c>
      <c r="AE56" s="459">
        <v>19</v>
      </c>
      <c r="AF56" s="457">
        <v>44305</v>
      </c>
      <c r="AG56" s="458">
        <v>44330</v>
      </c>
      <c r="AH56" s="454"/>
      <c r="AI56" s="456"/>
      <c r="AJ56" s="460"/>
      <c r="AK56" s="458"/>
      <c r="AL56" s="454"/>
      <c r="AM56" s="456"/>
      <c r="AN56" s="460"/>
      <c r="AO56" s="458"/>
      <c r="AP56" s="454"/>
      <c r="AQ56" s="456"/>
      <c r="AR56" s="460"/>
      <c r="AS56" s="458"/>
      <c r="AT56" s="454"/>
      <c r="AU56" s="456"/>
      <c r="AV56" s="460"/>
      <c r="AW56" s="458"/>
      <c r="AX56" s="454"/>
      <c r="AY56" s="456"/>
      <c r="AZ56" s="460"/>
      <c r="BA56" s="458"/>
      <c r="BB56" s="154">
        <f t="shared" si="2"/>
        <v>21500</v>
      </c>
      <c r="BC56" s="461">
        <f t="shared" si="0"/>
        <v>11374.827000000001</v>
      </c>
      <c r="BD56" s="156"/>
      <c r="BE56" s="156"/>
    </row>
    <row r="57" spans="2:57" s="148" customFormat="1" ht="22.5" x14ac:dyDescent="0.25">
      <c r="B57" s="149">
        <v>73</v>
      </c>
      <c r="C57" s="149" t="s">
        <v>38</v>
      </c>
      <c r="D57" s="450">
        <v>30484007</v>
      </c>
      <c r="E57" s="451" t="s">
        <v>256</v>
      </c>
      <c r="F57" s="451"/>
      <c r="G57" s="452" t="s">
        <v>201</v>
      </c>
      <c r="H57" s="463" t="s">
        <v>202</v>
      </c>
      <c r="I57" s="453" t="s">
        <v>43</v>
      </c>
      <c r="J57" s="454">
        <v>337553</v>
      </c>
      <c r="K57" s="454">
        <v>0</v>
      </c>
      <c r="L57" s="454">
        <v>324424</v>
      </c>
      <c r="M57" s="454">
        <v>0</v>
      </c>
      <c r="N57" s="454">
        <v>0</v>
      </c>
      <c r="O57" s="454">
        <v>0</v>
      </c>
      <c r="P57" s="454">
        <v>0</v>
      </c>
      <c r="Q57" s="454">
        <v>0</v>
      </c>
      <c r="R57" s="454">
        <v>0</v>
      </c>
      <c r="S57" s="454"/>
      <c r="T57" s="454"/>
      <c r="U57" s="454"/>
      <c r="V57" s="454"/>
      <c r="W57" s="454"/>
      <c r="X57" s="454"/>
      <c r="Y57" s="455">
        <f t="shared" si="1"/>
        <v>0</v>
      </c>
      <c r="Z57" s="454">
        <v>10829</v>
      </c>
      <c r="AA57" s="456">
        <v>16</v>
      </c>
      <c r="AB57" s="457">
        <v>44253</v>
      </c>
      <c r="AC57" s="458">
        <v>44274</v>
      </c>
      <c r="AD57" s="454">
        <v>0</v>
      </c>
      <c r="AE57" s="459"/>
      <c r="AF57" s="460"/>
      <c r="AG57" s="458"/>
      <c r="AH57" s="454"/>
      <c r="AI57" s="456"/>
      <c r="AJ57" s="460"/>
      <c r="AK57" s="458"/>
      <c r="AL57" s="454"/>
      <c r="AM57" s="456"/>
      <c r="AN57" s="460"/>
      <c r="AO57" s="458"/>
      <c r="AP57" s="454"/>
      <c r="AQ57" s="456"/>
      <c r="AR57" s="460"/>
      <c r="AS57" s="458"/>
      <c r="AT57" s="454"/>
      <c r="AU57" s="456"/>
      <c r="AV57" s="460"/>
      <c r="AW57" s="458"/>
      <c r="AX57" s="454"/>
      <c r="AY57" s="456"/>
      <c r="AZ57" s="460"/>
      <c r="BA57" s="458"/>
      <c r="BB57" s="154">
        <f t="shared" si="2"/>
        <v>10829</v>
      </c>
      <c r="BC57" s="461">
        <f t="shared" si="0"/>
        <v>10829</v>
      </c>
      <c r="BD57" s="156"/>
      <c r="BE57" s="156"/>
    </row>
    <row r="58" spans="2:57" s="148" customFormat="1" x14ac:dyDescent="0.25">
      <c r="B58" s="149">
        <v>23</v>
      </c>
      <c r="C58" s="149" t="s">
        <v>38</v>
      </c>
      <c r="D58" s="450">
        <v>30484287</v>
      </c>
      <c r="E58" s="451" t="s">
        <v>257</v>
      </c>
      <c r="F58" s="451" t="s">
        <v>200</v>
      </c>
      <c r="G58" s="452" t="s">
        <v>201</v>
      </c>
      <c r="H58" s="463" t="s">
        <v>213</v>
      </c>
      <c r="I58" s="453" t="s">
        <v>42</v>
      </c>
      <c r="J58" s="454">
        <v>2090327</v>
      </c>
      <c r="K58" s="454">
        <v>1811988</v>
      </c>
      <c r="L58" s="454">
        <v>0</v>
      </c>
      <c r="M58" s="454">
        <v>0</v>
      </c>
      <c r="N58" s="454">
        <v>6293</v>
      </c>
      <c r="O58" s="454">
        <v>35329</v>
      </c>
      <c r="P58" s="454">
        <v>9812.59</v>
      </c>
      <c r="Q58" s="454">
        <v>505.75</v>
      </c>
      <c r="R58" s="454">
        <v>84.152000000000001</v>
      </c>
      <c r="S58" s="454"/>
      <c r="T58" s="454"/>
      <c r="U58" s="454"/>
      <c r="V58" s="454"/>
      <c r="W58" s="454"/>
      <c r="X58" s="454"/>
      <c r="Y58" s="455">
        <f t="shared" si="1"/>
        <v>52024.491999999998</v>
      </c>
      <c r="Z58" s="454">
        <v>127740</v>
      </c>
      <c r="AA58" s="456">
        <v>5</v>
      </c>
      <c r="AB58" s="457">
        <v>44216</v>
      </c>
      <c r="AC58" s="458">
        <v>44225</v>
      </c>
      <c r="AD58" s="454">
        <v>0</v>
      </c>
      <c r="AE58" s="459"/>
      <c r="AF58" s="460"/>
      <c r="AG58" s="458"/>
      <c r="AH58" s="454"/>
      <c r="AI58" s="456"/>
      <c r="AJ58" s="460"/>
      <c r="AK58" s="458"/>
      <c r="AL58" s="454"/>
      <c r="AM58" s="456"/>
      <c r="AN58" s="460"/>
      <c r="AO58" s="458"/>
      <c r="AP58" s="454"/>
      <c r="AQ58" s="456"/>
      <c r="AR58" s="460"/>
      <c r="AS58" s="458"/>
      <c r="AT58" s="454"/>
      <c r="AU58" s="456"/>
      <c r="AV58" s="460"/>
      <c r="AW58" s="458"/>
      <c r="AX58" s="454"/>
      <c r="AY58" s="456"/>
      <c r="AZ58" s="460"/>
      <c r="BA58" s="458"/>
      <c r="BB58" s="154">
        <f t="shared" si="2"/>
        <v>127740</v>
      </c>
      <c r="BC58" s="461">
        <f t="shared" si="0"/>
        <v>75715.508000000002</v>
      </c>
      <c r="BD58" s="156"/>
      <c r="BE58" s="156"/>
    </row>
    <row r="59" spans="2:57" s="148" customFormat="1" ht="22.5" x14ac:dyDescent="0.25">
      <c r="B59" s="149">
        <v>20</v>
      </c>
      <c r="C59" s="149" t="s">
        <v>38</v>
      </c>
      <c r="D59" s="450">
        <v>40000564</v>
      </c>
      <c r="E59" s="451" t="s">
        <v>258</v>
      </c>
      <c r="F59" s="451" t="s">
        <v>200</v>
      </c>
      <c r="G59" s="452" t="s">
        <v>201</v>
      </c>
      <c r="H59" s="463" t="s">
        <v>208</v>
      </c>
      <c r="I59" s="453" t="s">
        <v>42</v>
      </c>
      <c r="J59" s="454">
        <v>1905262</v>
      </c>
      <c r="K59" s="454">
        <v>527138</v>
      </c>
      <c r="L59" s="454">
        <v>0</v>
      </c>
      <c r="M59" s="454">
        <v>0</v>
      </c>
      <c r="N59" s="454">
        <v>0</v>
      </c>
      <c r="O59" s="454">
        <v>117337</v>
      </c>
      <c r="P59" s="454">
        <v>0</v>
      </c>
      <c r="Q59" s="454">
        <v>4600</v>
      </c>
      <c r="R59" s="454">
        <v>164387.82999999999</v>
      </c>
      <c r="S59" s="454"/>
      <c r="T59" s="454"/>
      <c r="U59" s="454"/>
      <c r="V59" s="454"/>
      <c r="W59" s="454"/>
      <c r="X59" s="454"/>
      <c r="Y59" s="455">
        <f t="shared" si="1"/>
        <v>286324.82999999996</v>
      </c>
      <c r="Z59" s="454">
        <v>147000</v>
      </c>
      <c r="AA59" s="456">
        <v>5</v>
      </c>
      <c r="AB59" s="457">
        <v>44216</v>
      </c>
      <c r="AC59" s="458">
        <v>44225</v>
      </c>
      <c r="AD59" s="454">
        <v>13800</v>
      </c>
      <c r="AE59" s="459">
        <v>19</v>
      </c>
      <c r="AF59" s="457">
        <v>44305</v>
      </c>
      <c r="AG59" s="458">
        <v>44330</v>
      </c>
      <c r="AH59" s="454">
        <v>243910</v>
      </c>
      <c r="AI59" s="456">
        <v>28</v>
      </c>
      <c r="AJ59" s="457">
        <v>44357</v>
      </c>
      <c r="AK59" s="458">
        <v>44376</v>
      </c>
      <c r="AL59" s="454"/>
      <c r="AM59" s="456"/>
      <c r="AN59" s="460"/>
      <c r="AO59" s="458"/>
      <c r="AP59" s="454"/>
      <c r="AQ59" s="456"/>
      <c r="AR59" s="460"/>
      <c r="AS59" s="458"/>
      <c r="AT59" s="454"/>
      <c r="AU59" s="456"/>
      <c r="AV59" s="460"/>
      <c r="AW59" s="458"/>
      <c r="AX59" s="454"/>
      <c r="AY59" s="456"/>
      <c r="AZ59" s="460"/>
      <c r="BA59" s="458"/>
      <c r="BB59" s="154">
        <f t="shared" si="2"/>
        <v>404710</v>
      </c>
      <c r="BC59" s="461">
        <f t="shared" si="0"/>
        <v>118385.17000000004</v>
      </c>
      <c r="BD59" s="156"/>
      <c r="BE59" s="156"/>
    </row>
    <row r="60" spans="2:57" s="148" customFormat="1" x14ac:dyDescent="0.25">
      <c r="B60" s="149">
        <v>28</v>
      </c>
      <c r="C60" s="149" t="s">
        <v>38</v>
      </c>
      <c r="D60" s="450">
        <v>40000774</v>
      </c>
      <c r="E60" s="451" t="s">
        <v>259</v>
      </c>
      <c r="F60" s="451" t="s">
        <v>200</v>
      </c>
      <c r="G60" s="452" t="s">
        <v>201</v>
      </c>
      <c r="H60" s="463" t="s">
        <v>208</v>
      </c>
      <c r="I60" s="453" t="s">
        <v>42</v>
      </c>
      <c r="J60" s="454">
        <v>814911</v>
      </c>
      <c r="K60" s="454">
        <v>640433</v>
      </c>
      <c r="L60" s="454">
        <v>0</v>
      </c>
      <c r="M60" s="454">
        <v>0</v>
      </c>
      <c r="N60" s="454">
        <v>24162</v>
      </c>
      <c r="O60" s="454">
        <v>0</v>
      </c>
      <c r="P60" s="454">
        <v>0</v>
      </c>
      <c r="Q60" s="454">
        <v>0</v>
      </c>
      <c r="R60" s="454">
        <v>0</v>
      </c>
      <c r="S60" s="454"/>
      <c r="T60" s="454"/>
      <c r="U60" s="454"/>
      <c r="V60" s="454"/>
      <c r="W60" s="454"/>
      <c r="X60" s="454"/>
      <c r="Y60" s="455">
        <f t="shared" si="1"/>
        <v>24162</v>
      </c>
      <c r="Z60" s="454">
        <v>144162</v>
      </c>
      <c r="AA60" s="456">
        <v>5</v>
      </c>
      <c r="AB60" s="457">
        <v>44216</v>
      </c>
      <c r="AC60" s="458">
        <v>44225</v>
      </c>
      <c r="AD60" s="454">
        <v>0</v>
      </c>
      <c r="AE60" s="459"/>
      <c r="AF60" s="460"/>
      <c r="AG60" s="458"/>
      <c r="AH60" s="454"/>
      <c r="AI60" s="456"/>
      <c r="AJ60" s="460"/>
      <c r="AK60" s="458"/>
      <c r="AL60" s="454"/>
      <c r="AM60" s="456"/>
      <c r="AN60" s="460"/>
      <c r="AO60" s="458"/>
      <c r="AP60" s="454"/>
      <c r="AQ60" s="456"/>
      <c r="AR60" s="460"/>
      <c r="AS60" s="458"/>
      <c r="AT60" s="454"/>
      <c r="AU60" s="456"/>
      <c r="AV60" s="460"/>
      <c r="AW60" s="458"/>
      <c r="AX60" s="454"/>
      <c r="AY60" s="456"/>
      <c r="AZ60" s="460"/>
      <c r="BA60" s="458"/>
      <c r="BB60" s="154">
        <f t="shared" si="2"/>
        <v>144162</v>
      </c>
      <c r="BC60" s="461">
        <f t="shared" si="0"/>
        <v>120000</v>
      </c>
      <c r="BD60" s="156"/>
      <c r="BE60" s="156"/>
    </row>
    <row r="61" spans="2:57" s="148" customFormat="1" ht="22.5" x14ac:dyDescent="0.25">
      <c r="B61" s="149">
        <v>22</v>
      </c>
      <c r="C61" s="149" t="s">
        <v>38</v>
      </c>
      <c r="D61" s="450">
        <v>40000902</v>
      </c>
      <c r="E61" s="451" t="s">
        <v>260</v>
      </c>
      <c r="F61" s="451" t="s">
        <v>200</v>
      </c>
      <c r="G61" s="452" t="s">
        <v>201</v>
      </c>
      <c r="H61" s="463" t="s">
        <v>211</v>
      </c>
      <c r="I61" s="453" t="s">
        <v>42</v>
      </c>
      <c r="J61" s="454">
        <v>695832</v>
      </c>
      <c r="K61" s="454">
        <v>353885</v>
      </c>
      <c r="L61" s="454">
        <v>0</v>
      </c>
      <c r="M61" s="454">
        <v>0</v>
      </c>
      <c r="N61" s="454">
        <v>23637</v>
      </c>
      <c r="O61" s="454">
        <v>0</v>
      </c>
      <c r="P61" s="454">
        <v>0</v>
      </c>
      <c r="Q61" s="454">
        <v>0</v>
      </c>
      <c r="R61" s="454">
        <v>0</v>
      </c>
      <c r="S61" s="454"/>
      <c r="T61" s="454"/>
      <c r="U61" s="454"/>
      <c r="V61" s="454"/>
      <c r="W61" s="454"/>
      <c r="X61" s="454"/>
      <c r="Y61" s="455">
        <f t="shared" si="1"/>
        <v>23637</v>
      </c>
      <c r="Z61" s="454">
        <v>22236</v>
      </c>
      <c r="AA61" s="456">
        <v>5</v>
      </c>
      <c r="AB61" s="457">
        <v>44216</v>
      </c>
      <c r="AC61" s="458">
        <v>44225</v>
      </c>
      <c r="AD61" s="454">
        <v>1400</v>
      </c>
      <c r="AE61" s="459">
        <v>16</v>
      </c>
      <c r="AF61" s="457">
        <v>44253</v>
      </c>
      <c r="AG61" s="458">
        <v>44274</v>
      </c>
      <c r="AH61" s="454">
        <v>1</v>
      </c>
      <c r="AI61" s="456">
        <v>28</v>
      </c>
      <c r="AJ61" s="457">
        <v>44357</v>
      </c>
      <c r="AK61" s="458">
        <v>44376</v>
      </c>
      <c r="AL61" s="454"/>
      <c r="AM61" s="456"/>
      <c r="AN61" s="460"/>
      <c r="AO61" s="458"/>
      <c r="AP61" s="454"/>
      <c r="AQ61" s="456"/>
      <c r="AR61" s="460"/>
      <c r="AS61" s="458"/>
      <c r="AT61" s="454"/>
      <c r="AU61" s="456"/>
      <c r="AV61" s="460"/>
      <c r="AW61" s="458"/>
      <c r="AX61" s="454"/>
      <c r="AY61" s="456"/>
      <c r="AZ61" s="460"/>
      <c r="BA61" s="458"/>
      <c r="BB61" s="154">
        <f t="shared" si="2"/>
        <v>23637</v>
      </c>
      <c r="BC61" s="461">
        <f t="shared" si="0"/>
        <v>0</v>
      </c>
      <c r="BD61" s="156"/>
      <c r="BE61" s="156"/>
    </row>
    <row r="62" spans="2:57" s="148" customFormat="1" x14ac:dyDescent="0.25">
      <c r="B62" s="149">
        <v>43</v>
      </c>
      <c r="C62" s="149" t="s">
        <v>38</v>
      </c>
      <c r="D62" s="450">
        <v>40000983</v>
      </c>
      <c r="E62" s="451" t="s">
        <v>261</v>
      </c>
      <c r="F62" s="451" t="s">
        <v>200</v>
      </c>
      <c r="G62" s="452" t="s">
        <v>201</v>
      </c>
      <c r="H62" s="463" t="s">
        <v>211</v>
      </c>
      <c r="I62" s="453" t="s">
        <v>43</v>
      </c>
      <c r="J62" s="454">
        <v>1340215</v>
      </c>
      <c r="K62" s="454">
        <v>0</v>
      </c>
      <c r="L62" s="454">
        <v>54133</v>
      </c>
      <c r="M62" s="454">
        <v>0</v>
      </c>
      <c r="N62" s="454">
        <v>0</v>
      </c>
      <c r="O62" s="454">
        <v>0</v>
      </c>
      <c r="P62" s="454">
        <v>0</v>
      </c>
      <c r="Q62" s="454">
        <v>0</v>
      </c>
      <c r="R62" s="454">
        <v>0</v>
      </c>
      <c r="S62" s="454"/>
      <c r="T62" s="454"/>
      <c r="U62" s="454"/>
      <c r="V62" s="454"/>
      <c r="W62" s="454"/>
      <c r="X62" s="454"/>
      <c r="Y62" s="455">
        <f t="shared" si="1"/>
        <v>0</v>
      </c>
      <c r="Z62" s="454">
        <v>1008000</v>
      </c>
      <c r="AA62" s="456">
        <v>5</v>
      </c>
      <c r="AB62" s="457">
        <v>44216</v>
      </c>
      <c r="AC62" s="458">
        <v>44225</v>
      </c>
      <c r="AD62" s="454">
        <v>0</v>
      </c>
      <c r="AE62" s="459"/>
      <c r="AF62" s="460"/>
      <c r="AG62" s="458"/>
      <c r="AH62" s="454"/>
      <c r="AI62" s="456"/>
      <c r="AJ62" s="460"/>
      <c r="AK62" s="458"/>
      <c r="AL62" s="454"/>
      <c r="AM62" s="456"/>
      <c r="AN62" s="460"/>
      <c r="AO62" s="458"/>
      <c r="AP62" s="454"/>
      <c r="AQ62" s="456"/>
      <c r="AR62" s="460"/>
      <c r="AS62" s="458"/>
      <c r="AT62" s="454"/>
      <c r="AU62" s="456"/>
      <c r="AV62" s="460"/>
      <c r="AW62" s="458"/>
      <c r="AX62" s="454"/>
      <c r="AY62" s="456"/>
      <c r="AZ62" s="460"/>
      <c r="BA62" s="458"/>
      <c r="BB62" s="154">
        <f t="shared" si="2"/>
        <v>1008000</v>
      </c>
      <c r="BC62" s="461">
        <f t="shared" si="0"/>
        <v>1008000</v>
      </c>
      <c r="BD62" s="156"/>
      <c r="BE62" s="156"/>
    </row>
    <row r="63" spans="2:57" s="148" customFormat="1" ht="22.5" x14ac:dyDescent="0.25">
      <c r="B63" s="149">
        <v>21</v>
      </c>
      <c r="C63" s="149" t="s">
        <v>38</v>
      </c>
      <c r="D63" s="450">
        <v>40001138</v>
      </c>
      <c r="E63" s="451" t="s">
        <v>262</v>
      </c>
      <c r="F63" s="451" t="s">
        <v>200</v>
      </c>
      <c r="G63" s="452" t="s">
        <v>201</v>
      </c>
      <c r="H63" s="463" t="s">
        <v>220</v>
      </c>
      <c r="I63" s="453" t="s">
        <v>43</v>
      </c>
      <c r="J63" s="454">
        <v>298191</v>
      </c>
      <c r="K63" s="454">
        <v>0</v>
      </c>
      <c r="L63" s="454">
        <v>265671</v>
      </c>
      <c r="M63" s="454">
        <v>0</v>
      </c>
      <c r="N63" s="454">
        <v>0</v>
      </c>
      <c r="O63" s="454">
        <v>0</v>
      </c>
      <c r="P63" s="454">
        <v>0</v>
      </c>
      <c r="Q63" s="454">
        <v>0</v>
      </c>
      <c r="R63" s="454">
        <v>0</v>
      </c>
      <c r="S63" s="454"/>
      <c r="T63" s="454"/>
      <c r="U63" s="454"/>
      <c r="V63" s="454"/>
      <c r="W63" s="454"/>
      <c r="X63" s="454"/>
      <c r="Y63" s="455">
        <f t="shared" si="1"/>
        <v>0</v>
      </c>
      <c r="Z63" s="454">
        <v>33000</v>
      </c>
      <c r="AA63" s="456">
        <v>5</v>
      </c>
      <c r="AB63" s="457">
        <v>44216</v>
      </c>
      <c r="AC63" s="458">
        <v>44225</v>
      </c>
      <c r="AD63" s="454">
        <v>0</v>
      </c>
      <c r="AE63" s="459"/>
      <c r="AF63" s="460"/>
      <c r="AG63" s="458"/>
      <c r="AH63" s="454"/>
      <c r="AI63" s="456"/>
      <c r="AJ63" s="460"/>
      <c r="AK63" s="458"/>
      <c r="AL63" s="454"/>
      <c r="AM63" s="456"/>
      <c r="AN63" s="460"/>
      <c r="AO63" s="458"/>
      <c r="AP63" s="454"/>
      <c r="AQ63" s="456"/>
      <c r="AR63" s="460"/>
      <c r="AS63" s="458"/>
      <c r="AT63" s="454"/>
      <c r="AU63" s="456"/>
      <c r="AV63" s="460"/>
      <c r="AW63" s="458"/>
      <c r="AX63" s="454"/>
      <c r="AY63" s="456"/>
      <c r="AZ63" s="460"/>
      <c r="BA63" s="458"/>
      <c r="BB63" s="154">
        <f t="shared" si="2"/>
        <v>33000</v>
      </c>
      <c r="BC63" s="461">
        <f t="shared" si="0"/>
        <v>33000</v>
      </c>
      <c r="BD63" s="156"/>
      <c r="BE63" s="156"/>
    </row>
    <row r="64" spans="2:57" s="148" customFormat="1" ht="22.5" x14ac:dyDescent="0.25">
      <c r="B64" s="149">
        <v>45</v>
      </c>
      <c r="C64" s="149" t="s">
        <v>38</v>
      </c>
      <c r="D64" s="450">
        <v>40001149</v>
      </c>
      <c r="E64" s="451" t="s">
        <v>263</v>
      </c>
      <c r="F64" s="451" t="s">
        <v>200</v>
      </c>
      <c r="G64" s="452" t="s">
        <v>201</v>
      </c>
      <c r="H64" s="463" t="s">
        <v>213</v>
      </c>
      <c r="I64" s="453" t="s">
        <v>42</v>
      </c>
      <c r="J64" s="454">
        <v>387875</v>
      </c>
      <c r="K64" s="454">
        <v>167527</v>
      </c>
      <c r="L64" s="454">
        <v>0</v>
      </c>
      <c r="M64" s="454">
        <v>0</v>
      </c>
      <c r="N64" s="454">
        <v>104999</v>
      </c>
      <c r="O64" s="454">
        <v>0</v>
      </c>
      <c r="P64" s="454">
        <v>0</v>
      </c>
      <c r="Q64" s="454">
        <v>0</v>
      </c>
      <c r="R64" s="454">
        <v>56094.839</v>
      </c>
      <c r="S64" s="454"/>
      <c r="T64" s="454"/>
      <c r="U64" s="454"/>
      <c r="V64" s="454"/>
      <c r="W64" s="454"/>
      <c r="X64" s="454"/>
      <c r="Y64" s="455">
        <f t="shared" si="1"/>
        <v>161093.83900000001</v>
      </c>
      <c r="Z64" s="454">
        <v>220348</v>
      </c>
      <c r="AA64" s="456">
        <v>5</v>
      </c>
      <c r="AB64" s="457">
        <v>44216</v>
      </c>
      <c r="AC64" s="458">
        <v>44225</v>
      </c>
      <c r="AD64" s="454">
        <v>0</v>
      </c>
      <c r="AE64" s="459"/>
      <c r="AF64" s="460"/>
      <c r="AG64" s="458"/>
      <c r="AH64" s="454"/>
      <c r="AI64" s="456"/>
      <c r="AJ64" s="460"/>
      <c r="AK64" s="458"/>
      <c r="AL64" s="454"/>
      <c r="AM64" s="456"/>
      <c r="AN64" s="460"/>
      <c r="AO64" s="458"/>
      <c r="AP64" s="454"/>
      <c r="AQ64" s="456"/>
      <c r="AR64" s="460"/>
      <c r="AS64" s="458"/>
      <c r="AT64" s="454"/>
      <c r="AU64" s="456"/>
      <c r="AV64" s="460"/>
      <c r="AW64" s="458"/>
      <c r="AX64" s="454"/>
      <c r="AY64" s="456"/>
      <c r="AZ64" s="460"/>
      <c r="BA64" s="458"/>
      <c r="BB64" s="154">
        <f t="shared" si="2"/>
        <v>220348</v>
      </c>
      <c r="BC64" s="461">
        <f t="shared" si="0"/>
        <v>59254.160999999993</v>
      </c>
      <c r="BD64" s="156"/>
      <c r="BE64" s="156"/>
    </row>
    <row r="65" spans="2:57" s="148" customFormat="1" x14ac:dyDescent="0.25">
      <c r="B65" s="149">
        <v>36</v>
      </c>
      <c r="C65" s="149" t="s">
        <v>38</v>
      </c>
      <c r="D65" s="450">
        <v>40002451</v>
      </c>
      <c r="E65" s="451" t="s">
        <v>264</v>
      </c>
      <c r="F65" s="451" t="s">
        <v>200</v>
      </c>
      <c r="G65" s="452" t="s">
        <v>201</v>
      </c>
      <c r="H65" s="463" t="s">
        <v>208</v>
      </c>
      <c r="I65" s="453" t="s">
        <v>42</v>
      </c>
      <c r="J65" s="454">
        <v>268565</v>
      </c>
      <c r="K65" s="454">
        <v>104858</v>
      </c>
      <c r="L65" s="454">
        <v>0</v>
      </c>
      <c r="M65" s="454">
        <v>0</v>
      </c>
      <c r="N65" s="454">
        <v>38048</v>
      </c>
      <c r="O65" s="454">
        <v>77188</v>
      </c>
      <c r="P65" s="454">
        <v>31956.981</v>
      </c>
      <c r="Q65" s="454">
        <v>0</v>
      </c>
      <c r="R65" s="454">
        <v>0</v>
      </c>
      <c r="S65" s="454"/>
      <c r="T65" s="454"/>
      <c r="U65" s="454"/>
      <c r="V65" s="454"/>
      <c r="W65" s="454"/>
      <c r="X65" s="454"/>
      <c r="Y65" s="455">
        <f t="shared" si="1"/>
        <v>147192.981</v>
      </c>
      <c r="Z65" s="454">
        <v>163707</v>
      </c>
      <c r="AA65" s="456">
        <v>5</v>
      </c>
      <c r="AB65" s="457">
        <v>44216</v>
      </c>
      <c r="AC65" s="458">
        <v>44225</v>
      </c>
      <c r="AD65" s="454">
        <v>0</v>
      </c>
      <c r="AE65" s="459"/>
      <c r="AF65" s="460"/>
      <c r="AG65" s="458"/>
      <c r="AH65" s="454"/>
      <c r="AI65" s="456"/>
      <c r="AJ65" s="460"/>
      <c r="AK65" s="458"/>
      <c r="AL65" s="454"/>
      <c r="AM65" s="456"/>
      <c r="AN65" s="460"/>
      <c r="AO65" s="458"/>
      <c r="AP65" s="454"/>
      <c r="AQ65" s="456"/>
      <c r="AR65" s="460"/>
      <c r="AS65" s="458"/>
      <c r="AT65" s="454"/>
      <c r="AU65" s="456"/>
      <c r="AV65" s="460"/>
      <c r="AW65" s="458"/>
      <c r="AX65" s="454"/>
      <c r="AY65" s="456"/>
      <c r="AZ65" s="460"/>
      <c r="BA65" s="458"/>
      <c r="BB65" s="154">
        <f t="shared" si="2"/>
        <v>163707</v>
      </c>
      <c r="BC65" s="461">
        <f t="shared" si="0"/>
        <v>16514.019</v>
      </c>
      <c r="BD65" s="156"/>
      <c r="BE65" s="156"/>
    </row>
    <row r="66" spans="2:57" s="148" customFormat="1" ht="22.5" x14ac:dyDescent="0.25">
      <c r="B66" s="149">
        <v>76</v>
      </c>
      <c r="C66" s="149" t="s">
        <v>38</v>
      </c>
      <c r="D66" s="450">
        <v>40003653</v>
      </c>
      <c r="E66" s="451" t="s">
        <v>265</v>
      </c>
      <c r="F66" s="451"/>
      <c r="G66" s="452" t="s">
        <v>201</v>
      </c>
      <c r="H66" s="463" t="s">
        <v>215</v>
      </c>
      <c r="I66" s="453" t="s">
        <v>43</v>
      </c>
      <c r="J66" s="454">
        <v>1070529</v>
      </c>
      <c r="K66" s="454">
        <v>0</v>
      </c>
      <c r="L66" s="454">
        <v>0</v>
      </c>
      <c r="M66" s="454">
        <v>0</v>
      </c>
      <c r="N66" s="454">
        <v>0</v>
      </c>
      <c r="O66" s="454">
        <v>0</v>
      </c>
      <c r="P66" s="454">
        <v>0</v>
      </c>
      <c r="Q66" s="454">
        <v>0</v>
      </c>
      <c r="R66" s="454">
        <v>0</v>
      </c>
      <c r="S66" s="454"/>
      <c r="T66" s="454"/>
      <c r="U66" s="454"/>
      <c r="V66" s="454"/>
      <c r="W66" s="454"/>
      <c r="X66" s="454"/>
      <c r="Y66" s="455">
        <f t="shared" si="1"/>
        <v>0</v>
      </c>
      <c r="Z66" s="454">
        <v>207372</v>
      </c>
      <c r="AA66" s="456">
        <v>28</v>
      </c>
      <c r="AB66" s="457">
        <v>44357</v>
      </c>
      <c r="AC66" s="458">
        <v>44376</v>
      </c>
      <c r="AD66" s="465"/>
      <c r="AE66" s="459"/>
      <c r="AF66" s="460"/>
      <c r="AG66" s="458"/>
      <c r="AH66" s="454"/>
      <c r="AI66" s="456"/>
      <c r="AJ66" s="460"/>
      <c r="AK66" s="458"/>
      <c r="AL66" s="454"/>
      <c r="AM66" s="456"/>
      <c r="AN66" s="460"/>
      <c r="AO66" s="458"/>
      <c r="AP66" s="454"/>
      <c r="AQ66" s="456"/>
      <c r="AR66" s="460"/>
      <c r="AS66" s="458"/>
      <c r="AT66" s="454"/>
      <c r="AU66" s="456"/>
      <c r="AV66" s="460"/>
      <c r="AW66" s="458"/>
      <c r="AX66" s="454"/>
      <c r="AY66" s="456"/>
      <c r="AZ66" s="460"/>
      <c r="BA66" s="458"/>
      <c r="BB66" s="154">
        <f t="shared" si="2"/>
        <v>207372</v>
      </c>
      <c r="BC66" s="461">
        <f t="shared" si="0"/>
        <v>207372</v>
      </c>
      <c r="BD66" s="156"/>
      <c r="BE66" s="156"/>
    </row>
    <row r="67" spans="2:57" s="148" customFormat="1" ht="22.5" x14ac:dyDescent="0.25">
      <c r="B67" s="149">
        <v>32</v>
      </c>
      <c r="C67" s="149" t="s">
        <v>38</v>
      </c>
      <c r="D67" s="450">
        <v>40003934</v>
      </c>
      <c r="E67" s="451" t="s">
        <v>266</v>
      </c>
      <c r="F67" s="451" t="s">
        <v>200</v>
      </c>
      <c r="G67" s="452" t="s">
        <v>201</v>
      </c>
      <c r="H67" s="463" t="s">
        <v>230</v>
      </c>
      <c r="I67" s="453" t="s">
        <v>43</v>
      </c>
      <c r="J67" s="454">
        <v>1098504</v>
      </c>
      <c r="K67" s="454">
        <v>0</v>
      </c>
      <c r="L67" s="454">
        <v>292492</v>
      </c>
      <c r="M67" s="454">
        <v>0</v>
      </c>
      <c r="N67" s="454">
        <v>4400</v>
      </c>
      <c r="O67" s="454">
        <v>2200</v>
      </c>
      <c r="P67" s="454">
        <v>2200</v>
      </c>
      <c r="Q67" s="454">
        <v>51463.135000000002</v>
      </c>
      <c r="R67" s="454">
        <v>2200</v>
      </c>
      <c r="S67" s="454"/>
      <c r="T67" s="454"/>
      <c r="U67" s="454"/>
      <c r="V67" s="454"/>
      <c r="W67" s="454"/>
      <c r="X67" s="454"/>
      <c r="Y67" s="455">
        <f t="shared" si="1"/>
        <v>62463.135000000002</v>
      </c>
      <c r="Z67" s="454">
        <v>710000</v>
      </c>
      <c r="AA67" s="456">
        <v>5</v>
      </c>
      <c r="AB67" s="457">
        <v>44216</v>
      </c>
      <c r="AC67" s="458">
        <v>44225</v>
      </c>
      <c r="AD67" s="454">
        <v>20800</v>
      </c>
      <c r="AE67" s="459">
        <v>19</v>
      </c>
      <c r="AF67" s="457">
        <v>44305</v>
      </c>
      <c r="AG67" s="458">
        <v>44330</v>
      </c>
      <c r="AH67" s="454"/>
      <c r="AI67" s="456"/>
      <c r="AJ67" s="460"/>
      <c r="AK67" s="458"/>
      <c r="AL67" s="454"/>
      <c r="AM67" s="456"/>
      <c r="AN67" s="460"/>
      <c r="AO67" s="458"/>
      <c r="AP67" s="454"/>
      <c r="AQ67" s="456"/>
      <c r="AR67" s="460"/>
      <c r="AS67" s="458"/>
      <c r="AT67" s="454"/>
      <c r="AU67" s="456"/>
      <c r="AV67" s="460"/>
      <c r="AW67" s="458"/>
      <c r="AX67" s="454"/>
      <c r="AY67" s="456"/>
      <c r="AZ67" s="460"/>
      <c r="BA67" s="458"/>
      <c r="BB67" s="154">
        <f t="shared" si="2"/>
        <v>730800</v>
      </c>
      <c r="BC67" s="461">
        <f t="shared" si="0"/>
        <v>668336.86499999999</v>
      </c>
      <c r="BD67" s="156"/>
      <c r="BE67" s="156"/>
    </row>
    <row r="68" spans="2:57" s="148" customFormat="1" ht="22.5" x14ac:dyDescent="0.25">
      <c r="B68" s="149">
        <v>53</v>
      </c>
      <c r="C68" s="149" t="s">
        <v>38</v>
      </c>
      <c r="D68" s="450">
        <v>40004064</v>
      </c>
      <c r="E68" s="451" t="s">
        <v>267</v>
      </c>
      <c r="F68" s="451" t="s">
        <v>200</v>
      </c>
      <c r="G68" s="452" t="s">
        <v>201</v>
      </c>
      <c r="H68" s="463" t="s">
        <v>213</v>
      </c>
      <c r="I68" s="453" t="s">
        <v>43</v>
      </c>
      <c r="J68" s="454">
        <v>466599</v>
      </c>
      <c r="K68" s="454">
        <v>0</v>
      </c>
      <c r="L68" s="454">
        <v>0</v>
      </c>
      <c r="M68" s="454">
        <v>0</v>
      </c>
      <c r="N68" s="454">
        <v>0</v>
      </c>
      <c r="O68" s="454">
        <v>0</v>
      </c>
      <c r="P68" s="454">
        <v>0</v>
      </c>
      <c r="Q68" s="454">
        <v>0</v>
      </c>
      <c r="R68" s="454">
        <v>79138.618000000002</v>
      </c>
      <c r="S68" s="454"/>
      <c r="T68" s="454"/>
      <c r="U68" s="454"/>
      <c r="V68" s="454"/>
      <c r="W68" s="454"/>
      <c r="X68" s="454"/>
      <c r="Y68" s="455">
        <f t="shared" si="1"/>
        <v>79138.618000000002</v>
      </c>
      <c r="Z68" s="454">
        <v>428000</v>
      </c>
      <c r="AA68" s="456">
        <v>5</v>
      </c>
      <c r="AB68" s="457">
        <v>44216</v>
      </c>
      <c r="AC68" s="458">
        <v>44225</v>
      </c>
      <c r="AD68" s="454">
        <v>0</v>
      </c>
      <c r="AE68" s="459"/>
      <c r="AF68" s="460"/>
      <c r="AG68" s="458"/>
      <c r="AH68" s="454"/>
      <c r="AI68" s="456"/>
      <c r="AJ68" s="460"/>
      <c r="AK68" s="458"/>
      <c r="AL68" s="454"/>
      <c r="AM68" s="456"/>
      <c r="AN68" s="460"/>
      <c r="AO68" s="458"/>
      <c r="AP68" s="454"/>
      <c r="AQ68" s="456"/>
      <c r="AR68" s="460"/>
      <c r="AS68" s="458"/>
      <c r="AT68" s="454"/>
      <c r="AU68" s="456"/>
      <c r="AV68" s="460"/>
      <c r="AW68" s="458"/>
      <c r="AX68" s="454"/>
      <c r="AY68" s="456"/>
      <c r="AZ68" s="460"/>
      <c r="BA68" s="458"/>
      <c r="BB68" s="154">
        <f t="shared" si="2"/>
        <v>428000</v>
      </c>
      <c r="BC68" s="461">
        <f t="shared" si="0"/>
        <v>348861.38199999998</v>
      </c>
      <c r="BD68" s="156"/>
      <c r="BE68" s="156"/>
    </row>
    <row r="69" spans="2:57" s="148" customFormat="1" ht="22.5" x14ac:dyDescent="0.25">
      <c r="B69" s="149">
        <v>64</v>
      </c>
      <c r="C69" s="149" t="s">
        <v>38</v>
      </c>
      <c r="D69" s="450">
        <v>40004600</v>
      </c>
      <c r="E69" s="451" t="s">
        <v>268</v>
      </c>
      <c r="F69" s="451" t="s">
        <v>200</v>
      </c>
      <c r="G69" s="452" t="s">
        <v>201</v>
      </c>
      <c r="H69" s="463" t="s">
        <v>213</v>
      </c>
      <c r="I69" s="453" t="s">
        <v>43</v>
      </c>
      <c r="J69" s="454">
        <v>62710</v>
      </c>
      <c r="K69" s="454">
        <v>0</v>
      </c>
      <c r="L69" s="454">
        <v>0</v>
      </c>
      <c r="M69" s="454">
        <v>0</v>
      </c>
      <c r="N69" s="454">
        <v>0</v>
      </c>
      <c r="O69" s="454">
        <v>0</v>
      </c>
      <c r="P69" s="454">
        <v>0</v>
      </c>
      <c r="Q69" s="454">
        <v>0</v>
      </c>
      <c r="R69" s="454">
        <v>0</v>
      </c>
      <c r="S69" s="454"/>
      <c r="T69" s="454"/>
      <c r="U69" s="454"/>
      <c r="V69" s="454"/>
      <c r="W69" s="454"/>
      <c r="X69" s="454"/>
      <c r="Y69" s="455">
        <f t="shared" si="1"/>
        <v>0</v>
      </c>
      <c r="Z69" s="454">
        <v>61325</v>
      </c>
      <c r="AA69" s="456">
        <v>5</v>
      </c>
      <c r="AB69" s="457">
        <v>44216</v>
      </c>
      <c r="AC69" s="458">
        <v>44225</v>
      </c>
      <c r="AD69" s="454">
        <v>0</v>
      </c>
      <c r="AE69" s="459"/>
      <c r="AF69" s="460"/>
      <c r="AG69" s="458"/>
      <c r="AH69" s="454"/>
      <c r="AI69" s="456"/>
      <c r="AJ69" s="460"/>
      <c r="AK69" s="458"/>
      <c r="AL69" s="454"/>
      <c r="AM69" s="456"/>
      <c r="AN69" s="460"/>
      <c r="AO69" s="458"/>
      <c r="AP69" s="454"/>
      <c r="AQ69" s="456"/>
      <c r="AR69" s="460"/>
      <c r="AS69" s="458"/>
      <c r="AT69" s="454"/>
      <c r="AU69" s="456"/>
      <c r="AV69" s="460"/>
      <c r="AW69" s="458"/>
      <c r="AX69" s="454"/>
      <c r="AY69" s="456"/>
      <c r="AZ69" s="460"/>
      <c r="BA69" s="458"/>
      <c r="BB69" s="154">
        <f t="shared" si="2"/>
        <v>61325</v>
      </c>
      <c r="BC69" s="461">
        <f t="shared" si="0"/>
        <v>61325</v>
      </c>
      <c r="BD69" s="156"/>
      <c r="BE69" s="156"/>
    </row>
    <row r="70" spans="2:57" s="148" customFormat="1" ht="22.5" x14ac:dyDescent="0.25">
      <c r="B70" s="149">
        <v>77</v>
      </c>
      <c r="C70" s="149" t="s">
        <v>38</v>
      </c>
      <c r="D70" s="450">
        <v>40004674</v>
      </c>
      <c r="E70" s="451" t="s">
        <v>269</v>
      </c>
      <c r="F70" s="451"/>
      <c r="G70" s="452" t="s">
        <v>201</v>
      </c>
      <c r="H70" s="463" t="s">
        <v>205</v>
      </c>
      <c r="I70" s="453" t="s">
        <v>43</v>
      </c>
      <c r="J70" s="454">
        <v>2965767</v>
      </c>
      <c r="K70" s="454">
        <v>0</v>
      </c>
      <c r="L70" s="454">
        <v>2228645</v>
      </c>
      <c r="M70" s="454">
        <v>0</v>
      </c>
      <c r="N70" s="454">
        <v>0</v>
      </c>
      <c r="O70" s="454">
        <v>0</v>
      </c>
      <c r="P70" s="454">
        <v>0</v>
      </c>
      <c r="Q70" s="454">
        <v>0</v>
      </c>
      <c r="R70" s="454">
        <v>0</v>
      </c>
      <c r="S70" s="454"/>
      <c r="T70" s="454"/>
      <c r="U70" s="454"/>
      <c r="V70" s="454"/>
      <c r="W70" s="454"/>
      <c r="X70" s="454"/>
      <c r="Y70" s="455">
        <f t="shared" si="1"/>
        <v>0</v>
      </c>
      <c r="Z70" s="454">
        <v>209562</v>
      </c>
      <c r="AA70" s="456">
        <v>28</v>
      </c>
      <c r="AB70" s="460">
        <v>44357</v>
      </c>
      <c r="AC70" s="458">
        <v>44376</v>
      </c>
      <c r="AD70" s="465"/>
      <c r="AE70" s="459"/>
      <c r="AF70" s="460"/>
      <c r="AG70" s="458"/>
      <c r="AH70" s="454"/>
      <c r="AI70" s="456"/>
      <c r="AJ70" s="460"/>
      <c r="AK70" s="458"/>
      <c r="AL70" s="454"/>
      <c r="AM70" s="456"/>
      <c r="AN70" s="460"/>
      <c r="AO70" s="458"/>
      <c r="AP70" s="454"/>
      <c r="AQ70" s="456"/>
      <c r="AR70" s="460"/>
      <c r="AS70" s="458"/>
      <c r="AT70" s="454"/>
      <c r="AU70" s="456"/>
      <c r="AV70" s="460"/>
      <c r="AW70" s="458"/>
      <c r="AX70" s="454"/>
      <c r="AY70" s="456"/>
      <c r="AZ70" s="460"/>
      <c r="BA70" s="458"/>
      <c r="BB70" s="154">
        <f t="shared" si="2"/>
        <v>209562</v>
      </c>
      <c r="BC70" s="461">
        <f t="shared" si="0"/>
        <v>209562</v>
      </c>
      <c r="BD70" s="156"/>
      <c r="BE70" s="156"/>
    </row>
    <row r="71" spans="2:57" s="148" customFormat="1" x14ac:dyDescent="0.25">
      <c r="B71" s="149">
        <v>35</v>
      </c>
      <c r="C71" s="149" t="s">
        <v>38</v>
      </c>
      <c r="D71" s="450">
        <v>40004719</v>
      </c>
      <c r="E71" s="451" t="s">
        <v>270</v>
      </c>
      <c r="F71" s="451" t="s">
        <v>200</v>
      </c>
      <c r="G71" s="452" t="s">
        <v>201</v>
      </c>
      <c r="H71" s="463" t="s">
        <v>208</v>
      </c>
      <c r="I71" s="453" t="s">
        <v>42</v>
      </c>
      <c r="J71" s="454">
        <v>6363325</v>
      </c>
      <c r="K71" s="454">
        <v>1062086</v>
      </c>
      <c r="L71" s="454">
        <v>0</v>
      </c>
      <c r="M71" s="454">
        <v>0</v>
      </c>
      <c r="N71" s="454">
        <v>121721</v>
      </c>
      <c r="O71" s="454">
        <v>279111</v>
      </c>
      <c r="P71" s="454">
        <v>463195.57400000002</v>
      </c>
      <c r="Q71" s="454">
        <v>412868.59</v>
      </c>
      <c r="R71" s="454">
        <v>354301.98700000002</v>
      </c>
      <c r="S71" s="454"/>
      <c r="T71" s="454"/>
      <c r="U71" s="454"/>
      <c r="V71" s="454"/>
      <c r="W71" s="454"/>
      <c r="X71" s="454"/>
      <c r="Y71" s="455">
        <f t="shared" si="1"/>
        <v>1631198.1510000001</v>
      </c>
      <c r="Z71" s="454">
        <v>3020000</v>
      </c>
      <c r="AA71" s="456">
        <v>5</v>
      </c>
      <c r="AB71" s="457">
        <v>44216</v>
      </c>
      <c r="AC71" s="458">
        <v>44225</v>
      </c>
      <c r="AD71" s="454">
        <v>16500</v>
      </c>
      <c r="AE71" s="459">
        <v>19</v>
      </c>
      <c r="AF71" s="457">
        <v>44305</v>
      </c>
      <c r="AG71" s="458">
        <v>44330</v>
      </c>
      <c r="AH71" s="454"/>
      <c r="AI71" s="456"/>
      <c r="AJ71" s="460"/>
      <c r="AK71" s="458"/>
      <c r="AL71" s="454"/>
      <c r="AM71" s="456"/>
      <c r="AN71" s="460"/>
      <c r="AO71" s="458"/>
      <c r="AP71" s="454"/>
      <c r="AQ71" s="456"/>
      <c r="AR71" s="460"/>
      <c r="AS71" s="458"/>
      <c r="AT71" s="454"/>
      <c r="AU71" s="456"/>
      <c r="AV71" s="460"/>
      <c r="AW71" s="458"/>
      <c r="AX71" s="454"/>
      <c r="AY71" s="456"/>
      <c r="AZ71" s="460"/>
      <c r="BA71" s="458"/>
      <c r="BB71" s="154">
        <f t="shared" si="2"/>
        <v>3036500</v>
      </c>
      <c r="BC71" s="461">
        <f t="shared" si="0"/>
        <v>1405301.8489999999</v>
      </c>
      <c r="BD71" s="156"/>
      <c r="BE71" s="156"/>
    </row>
    <row r="72" spans="2:57" s="148" customFormat="1" ht="22.5" x14ac:dyDescent="0.25">
      <c r="B72" s="149">
        <v>58</v>
      </c>
      <c r="C72" s="149" t="s">
        <v>38</v>
      </c>
      <c r="D72" s="450">
        <v>40004814</v>
      </c>
      <c r="E72" s="451" t="s">
        <v>271</v>
      </c>
      <c r="F72" s="451" t="s">
        <v>200</v>
      </c>
      <c r="G72" s="452" t="s">
        <v>201</v>
      </c>
      <c r="H72" s="463" t="s">
        <v>211</v>
      </c>
      <c r="I72" s="453" t="s">
        <v>43</v>
      </c>
      <c r="J72" s="454">
        <v>261905</v>
      </c>
      <c r="K72" s="454">
        <v>0</v>
      </c>
      <c r="L72" s="454">
        <v>0</v>
      </c>
      <c r="M72" s="454">
        <v>0</v>
      </c>
      <c r="N72" s="454">
        <v>0</v>
      </c>
      <c r="O72" s="454">
        <v>0</v>
      </c>
      <c r="P72" s="454">
        <v>0</v>
      </c>
      <c r="Q72" s="454">
        <v>0</v>
      </c>
      <c r="R72" s="454">
        <v>0</v>
      </c>
      <c r="S72" s="454"/>
      <c r="T72" s="454"/>
      <c r="U72" s="454"/>
      <c r="V72" s="454"/>
      <c r="W72" s="454"/>
      <c r="X72" s="454"/>
      <c r="Y72" s="455">
        <f t="shared" si="1"/>
        <v>0</v>
      </c>
      <c r="Z72" s="454">
        <v>256000</v>
      </c>
      <c r="AA72" s="456">
        <v>5</v>
      </c>
      <c r="AB72" s="457">
        <v>44216</v>
      </c>
      <c r="AC72" s="458">
        <v>44225</v>
      </c>
      <c r="AD72" s="454">
        <v>0</v>
      </c>
      <c r="AE72" s="459"/>
      <c r="AF72" s="460"/>
      <c r="AG72" s="458"/>
      <c r="AH72" s="454"/>
      <c r="AI72" s="456"/>
      <c r="AJ72" s="460"/>
      <c r="AK72" s="458"/>
      <c r="AL72" s="454"/>
      <c r="AM72" s="456"/>
      <c r="AN72" s="460"/>
      <c r="AO72" s="458"/>
      <c r="AP72" s="454"/>
      <c r="AQ72" s="456"/>
      <c r="AR72" s="460"/>
      <c r="AS72" s="458"/>
      <c r="AT72" s="454"/>
      <c r="AU72" s="456"/>
      <c r="AV72" s="460"/>
      <c r="AW72" s="458"/>
      <c r="AX72" s="454"/>
      <c r="AY72" s="456"/>
      <c r="AZ72" s="460"/>
      <c r="BA72" s="458"/>
      <c r="BB72" s="154">
        <f t="shared" si="2"/>
        <v>256000</v>
      </c>
      <c r="BC72" s="461">
        <f t="shared" si="0"/>
        <v>256000</v>
      </c>
      <c r="BD72" s="156"/>
      <c r="BE72" s="156"/>
    </row>
    <row r="73" spans="2:57" s="148" customFormat="1" ht="22.5" x14ac:dyDescent="0.25">
      <c r="B73" s="149">
        <v>59</v>
      </c>
      <c r="C73" s="149" t="s">
        <v>38</v>
      </c>
      <c r="D73" s="450">
        <v>40004829</v>
      </c>
      <c r="E73" s="451" t="s">
        <v>272</v>
      </c>
      <c r="F73" s="451" t="s">
        <v>200</v>
      </c>
      <c r="G73" s="452" t="s">
        <v>201</v>
      </c>
      <c r="H73" s="463" t="s">
        <v>211</v>
      </c>
      <c r="I73" s="453" t="s">
        <v>43</v>
      </c>
      <c r="J73" s="454">
        <v>338515</v>
      </c>
      <c r="K73" s="454">
        <v>0</v>
      </c>
      <c r="L73" s="454">
        <v>168136</v>
      </c>
      <c r="M73" s="454">
        <v>0</v>
      </c>
      <c r="N73" s="454">
        <v>0</v>
      </c>
      <c r="O73" s="454">
        <v>0</v>
      </c>
      <c r="P73" s="454">
        <v>0</v>
      </c>
      <c r="Q73" s="454">
        <v>0</v>
      </c>
      <c r="R73" s="454">
        <v>0</v>
      </c>
      <c r="S73" s="454"/>
      <c r="T73" s="454"/>
      <c r="U73" s="454"/>
      <c r="V73" s="454"/>
      <c r="W73" s="454"/>
      <c r="X73" s="454"/>
      <c r="Y73" s="455">
        <f t="shared" si="1"/>
        <v>0</v>
      </c>
      <c r="Z73" s="454">
        <v>160900</v>
      </c>
      <c r="AA73" s="456">
        <v>5</v>
      </c>
      <c r="AB73" s="457">
        <v>44216</v>
      </c>
      <c r="AC73" s="458">
        <v>44225</v>
      </c>
      <c r="AD73" s="454">
        <v>-160900</v>
      </c>
      <c r="AE73" s="459">
        <v>19</v>
      </c>
      <c r="AF73" s="457">
        <v>44305</v>
      </c>
      <c r="AG73" s="458">
        <v>44330</v>
      </c>
      <c r="AH73" s="454">
        <v>169860</v>
      </c>
      <c r="AI73" s="456">
        <v>25</v>
      </c>
      <c r="AJ73" s="457">
        <v>44347</v>
      </c>
      <c r="AK73" s="458">
        <v>44363</v>
      </c>
      <c r="AL73" s="454"/>
      <c r="AM73" s="456"/>
      <c r="AN73" s="460"/>
      <c r="AO73" s="458"/>
      <c r="AP73" s="454"/>
      <c r="AQ73" s="456"/>
      <c r="AR73" s="460"/>
      <c r="AS73" s="458"/>
      <c r="AT73" s="454"/>
      <c r="AU73" s="456"/>
      <c r="AV73" s="460"/>
      <c r="AW73" s="458"/>
      <c r="AX73" s="454"/>
      <c r="AY73" s="456"/>
      <c r="AZ73" s="460"/>
      <c r="BA73" s="458"/>
      <c r="BB73" s="154">
        <f t="shared" si="2"/>
        <v>169860</v>
      </c>
      <c r="BC73" s="461">
        <f t="shared" si="0"/>
        <v>169860</v>
      </c>
      <c r="BD73" s="156"/>
      <c r="BE73" s="156"/>
    </row>
    <row r="74" spans="2:57" s="148" customFormat="1" ht="22.5" x14ac:dyDescent="0.25">
      <c r="B74" s="149">
        <v>78</v>
      </c>
      <c r="C74" s="149" t="s">
        <v>38</v>
      </c>
      <c r="D74" s="450">
        <v>40004843</v>
      </c>
      <c r="E74" s="451" t="s">
        <v>273</v>
      </c>
      <c r="F74" s="451"/>
      <c r="G74" s="452" t="s">
        <v>201</v>
      </c>
      <c r="H74" s="463" t="s">
        <v>202</v>
      </c>
      <c r="I74" s="453" t="s">
        <v>43</v>
      </c>
      <c r="J74" s="454">
        <v>782313</v>
      </c>
      <c r="K74" s="454">
        <v>0</v>
      </c>
      <c r="L74" s="454">
        <v>361168</v>
      </c>
      <c r="M74" s="454">
        <v>0</v>
      </c>
      <c r="N74" s="454">
        <v>0</v>
      </c>
      <c r="O74" s="454">
        <v>0</v>
      </c>
      <c r="P74" s="454">
        <v>0</v>
      </c>
      <c r="Q74" s="454">
        <v>0</v>
      </c>
      <c r="R74" s="454">
        <v>0</v>
      </c>
      <c r="S74" s="454"/>
      <c r="T74" s="454"/>
      <c r="U74" s="454"/>
      <c r="V74" s="454"/>
      <c r="W74" s="454"/>
      <c r="X74" s="454"/>
      <c r="Y74" s="455">
        <f t="shared" si="1"/>
        <v>0</v>
      </c>
      <c r="Z74" s="454">
        <v>206440</v>
      </c>
      <c r="AA74" s="456">
        <v>28</v>
      </c>
      <c r="AB74" s="460">
        <v>44357</v>
      </c>
      <c r="AC74" s="458">
        <v>44376</v>
      </c>
      <c r="AD74" s="465"/>
      <c r="AE74" s="459"/>
      <c r="AF74" s="460"/>
      <c r="AG74" s="458"/>
      <c r="AH74" s="454"/>
      <c r="AI74" s="456"/>
      <c r="AJ74" s="460"/>
      <c r="AK74" s="458"/>
      <c r="AL74" s="454"/>
      <c r="AM74" s="456"/>
      <c r="AN74" s="460"/>
      <c r="AO74" s="458"/>
      <c r="AP74" s="454"/>
      <c r="AQ74" s="456"/>
      <c r="AR74" s="460"/>
      <c r="AS74" s="458"/>
      <c r="AT74" s="454"/>
      <c r="AU74" s="456"/>
      <c r="AV74" s="460"/>
      <c r="AW74" s="458"/>
      <c r="AX74" s="454"/>
      <c r="AY74" s="456"/>
      <c r="AZ74" s="460"/>
      <c r="BA74" s="458"/>
      <c r="BB74" s="154">
        <f t="shared" si="2"/>
        <v>206440</v>
      </c>
      <c r="BC74" s="461">
        <f t="shared" si="0"/>
        <v>206440</v>
      </c>
      <c r="BD74" s="156"/>
      <c r="BE74" s="156"/>
    </row>
    <row r="75" spans="2:57" s="148" customFormat="1" ht="22.5" x14ac:dyDescent="0.25">
      <c r="B75" s="149">
        <v>60</v>
      </c>
      <c r="C75" s="149" t="s">
        <v>38</v>
      </c>
      <c r="D75" s="450">
        <v>40004851</v>
      </c>
      <c r="E75" s="451" t="s">
        <v>274</v>
      </c>
      <c r="F75" s="451" t="s">
        <v>200</v>
      </c>
      <c r="G75" s="452" t="s">
        <v>201</v>
      </c>
      <c r="H75" s="463" t="s">
        <v>205</v>
      </c>
      <c r="I75" s="453" t="s">
        <v>43</v>
      </c>
      <c r="J75" s="454">
        <v>145604</v>
      </c>
      <c r="K75" s="454">
        <v>0</v>
      </c>
      <c r="L75" s="454">
        <v>0</v>
      </c>
      <c r="M75" s="454">
        <v>0</v>
      </c>
      <c r="N75" s="454">
        <v>0</v>
      </c>
      <c r="O75" s="454">
        <v>55540</v>
      </c>
      <c r="P75" s="454">
        <v>0</v>
      </c>
      <c r="Q75" s="454">
        <v>34817.913</v>
      </c>
      <c r="R75" s="454">
        <v>3000</v>
      </c>
      <c r="S75" s="454"/>
      <c r="T75" s="454"/>
      <c r="U75" s="454"/>
      <c r="V75" s="454"/>
      <c r="W75" s="454"/>
      <c r="X75" s="454"/>
      <c r="Y75" s="455">
        <f t="shared" si="1"/>
        <v>93357.913</v>
      </c>
      <c r="Z75" s="454">
        <v>140000</v>
      </c>
      <c r="AA75" s="456">
        <v>5</v>
      </c>
      <c r="AB75" s="457">
        <v>44216</v>
      </c>
      <c r="AC75" s="458">
        <v>44225</v>
      </c>
      <c r="AD75" s="454">
        <v>0</v>
      </c>
      <c r="AE75" s="459"/>
      <c r="AF75" s="460"/>
      <c r="AG75" s="458"/>
      <c r="AH75" s="454"/>
      <c r="AI75" s="456"/>
      <c r="AJ75" s="460"/>
      <c r="AK75" s="458"/>
      <c r="AL75" s="454"/>
      <c r="AM75" s="456"/>
      <c r="AN75" s="460"/>
      <c r="AO75" s="458"/>
      <c r="AP75" s="454"/>
      <c r="AQ75" s="456"/>
      <c r="AR75" s="460"/>
      <c r="AS75" s="458"/>
      <c r="AT75" s="454"/>
      <c r="AU75" s="456"/>
      <c r="AV75" s="460"/>
      <c r="AW75" s="458"/>
      <c r="AX75" s="454"/>
      <c r="AY75" s="456"/>
      <c r="AZ75" s="460"/>
      <c r="BA75" s="458"/>
      <c r="BB75" s="154">
        <f t="shared" si="2"/>
        <v>140000</v>
      </c>
      <c r="BC75" s="461">
        <f t="shared" si="0"/>
        <v>46642.087</v>
      </c>
      <c r="BD75" s="156"/>
      <c r="BE75" s="156"/>
    </row>
    <row r="76" spans="2:57" s="148" customFormat="1" ht="22.5" x14ac:dyDescent="0.25">
      <c r="B76" s="149">
        <v>62</v>
      </c>
      <c r="C76" s="149" t="s">
        <v>38</v>
      </c>
      <c r="D76" s="450">
        <v>40004874</v>
      </c>
      <c r="E76" s="451" t="s">
        <v>275</v>
      </c>
      <c r="F76" s="451" t="s">
        <v>200</v>
      </c>
      <c r="G76" s="452" t="s">
        <v>201</v>
      </c>
      <c r="H76" s="463" t="s">
        <v>202</v>
      </c>
      <c r="I76" s="453" t="s">
        <v>43</v>
      </c>
      <c r="J76" s="454">
        <v>253312</v>
      </c>
      <c r="K76" s="454">
        <v>0</v>
      </c>
      <c r="L76" s="454">
        <v>58179</v>
      </c>
      <c r="M76" s="454">
        <v>0</v>
      </c>
      <c r="N76" s="454">
        <v>0</v>
      </c>
      <c r="O76" s="454">
        <v>0</v>
      </c>
      <c r="P76" s="454">
        <v>0</v>
      </c>
      <c r="Q76" s="454">
        <v>0</v>
      </c>
      <c r="R76" s="454">
        <v>52987.368000000002</v>
      </c>
      <c r="S76" s="454"/>
      <c r="T76" s="454"/>
      <c r="U76" s="454"/>
      <c r="V76" s="454"/>
      <c r="W76" s="454"/>
      <c r="X76" s="454"/>
      <c r="Y76" s="455">
        <f t="shared" si="1"/>
        <v>52987.368000000002</v>
      </c>
      <c r="Z76" s="454">
        <v>190000</v>
      </c>
      <c r="AA76" s="456">
        <v>5</v>
      </c>
      <c r="AB76" s="457">
        <v>44216</v>
      </c>
      <c r="AC76" s="458">
        <v>44225</v>
      </c>
      <c r="AD76" s="454">
        <v>0</v>
      </c>
      <c r="AE76" s="459"/>
      <c r="AF76" s="460"/>
      <c r="AG76" s="458"/>
      <c r="AH76" s="454"/>
      <c r="AI76" s="456"/>
      <c r="AJ76" s="460"/>
      <c r="AK76" s="458"/>
      <c r="AL76" s="454"/>
      <c r="AM76" s="456"/>
      <c r="AN76" s="460"/>
      <c r="AO76" s="458"/>
      <c r="AP76" s="454"/>
      <c r="AQ76" s="456"/>
      <c r="AR76" s="460"/>
      <c r="AS76" s="458"/>
      <c r="AT76" s="454"/>
      <c r="AU76" s="456"/>
      <c r="AV76" s="460"/>
      <c r="AW76" s="458"/>
      <c r="AX76" s="454"/>
      <c r="AY76" s="456"/>
      <c r="AZ76" s="460"/>
      <c r="BA76" s="458"/>
      <c r="BB76" s="154">
        <f t="shared" si="2"/>
        <v>190000</v>
      </c>
      <c r="BC76" s="461">
        <f t="shared" si="0"/>
        <v>137012.63199999998</v>
      </c>
      <c r="BD76" s="156"/>
      <c r="BE76" s="156"/>
    </row>
    <row r="77" spans="2:57" s="148" customFormat="1" x14ac:dyDescent="0.25">
      <c r="B77" s="149">
        <v>52</v>
      </c>
      <c r="C77" s="149" t="s">
        <v>38</v>
      </c>
      <c r="D77" s="450">
        <v>40004875</v>
      </c>
      <c r="E77" s="451" t="s">
        <v>276</v>
      </c>
      <c r="F77" s="451" t="s">
        <v>200</v>
      </c>
      <c r="G77" s="452" t="s">
        <v>201</v>
      </c>
      <c r="H77" s="463" t="s">
        <v>211</v>
      </c>
      <c r="I77" s="453" t="s">
        <v>42</v>
      </c>
      <c r="J77" s="454">
        <v>126776</v>
      </c>
      <c r="K77" s="454">
        <v>73347</v>
      </c>
      <c r="L77" s="454">
        <v>0</v>
      </c>
      <c r="M77" s="454">
        <v>0</v>
      </c>
      <c r="N77" s="454">
        <v>6393</v>
      </c>
      <c r="O77" s="454">
        <v>0</v>
      </c>
      <c r="P77" s="454">
        <v>0</v>
      </c>
      <c r="Q77" s="454">
        <v>0</v>
      </c>
      <c r="R77" s="454">
        <v>0</v>
      </c>
      <c r="S77" s="454"/>
      <c r="T77" s="454"/>
      <c r="U77" s="454"/>
      <c r="V77" s="454"/>
      <c r="W77" s="454"/>
      <c r="X77" s="454"/>
      <c r="Y77" s="455">
        <f t="shared" si="1"/>
        <v>6393</v>
      </c>
      <c r="Z77" s="454">
        <v>6000</v>
      </c>
      <c r="AA77" s="456">
        <v>5</v>
      </c>
      <c r="AB77" s="457">
        <v>44216</v>
      </c>
      <c r="AC77" s="458">
        <v>44225</v>
      </c>
      <c r="AD77" s="454">
        <v>1150</v>
      </c>
      <c r="AE77" s="459">
        <v>16</v>
      </c>
      <c r="AF77" s="457">
        <v>44253</v>
      </c>
      <c r="AG77" s="458">
        <v>44274</v>
      </c>
      <c r="AH77" s="454"/>
      <c r="AI77" s="456"/>
      <c r="AJ77" s="460"/>
      <c r="AK77" s="458"/>
      <c r="AL77" s="454"/>
      <c r="AM77" s="456"/>
      <c r="AN77" s="460"/>
      <c r="AO77" s="458"/>
      <c r="AP77" s="454"/>
      <c r="AQ77" s="456"/>
      <c r="AR77" s="460"/>
      <c r="AS77" s="458"/>
      <c r="AT77" s="454"/>
      <c r="AU77" s="456"/>
      <c r="AV77" s="460"/>
      <c r="AW77" s="458"/>
      <c r="AX77" s="454"/>
      <c r="AY77" s="456"/>
      <c r="AZ77" s="460"/>
      <c r="BA77" s="458"/>
      <c r="BB77" s="154">
        <f t="shared" si="2"/>
        <v>7150</v>
      </c>
      <c r="BC77" s="461">
        <f t="shared" si="0"/>
        <v>757</v>
      </c>
      <c r="BD77" s="156"/>
      <c r="BE77" s="156"/>
    </row>
    <row r="78" spans="2:57" s="148" customFormat="1" ht="22.5" x14ac:dyDescent="0.25">
      <c r="B78" s="149">
        <v>69</v>
      </c>
      <c r="C78" s="149" t="s">
        <v>38</v>
      </c>
      <c r="D78" s="450">
        <v>40004876</v>
      </c>
      <c r="E78" s="451" t="s">
        <v>277</v>
      </c>
      <c r="F78" s="451" t="s">
        <v>200</v>
      </c>
      <c r="G78" s="452" t="s">
        <v>201</v>
      </c>
      <c r="H78" s="463" t="s">
        <v>211</v>
      </c>
      <c r="I78" s="453" t="s">
        <v>43</v>
      </c>
      <c r="J78" s="454">
        <v>286623</v>
      </c>
      <c r="K78" s="454">
        <v>0</v>
      </c>
      <c r="L78" s="454">
        <v>0</v>
      </c>
      <c r="M78" s="454">
        <v>0</v>
      </c>
      <c r="N78" s="454">
        <v>0</v>
      </c>
      <c r="O78" s="454">
        <v>0</v>
      </c>
      <c r="P78" s="454">
        <v>0</v>
      </c>
      <c r="Q78" s="454">
        <v>0</v>
      </c>
      <c r="R78" s="454">
        <v>0</v>
      </c>
      <c r="S78" s="454"/>
      <c r="T78" s="454"/>
      <c r="U78" s="454"/>
      <c r="V78" s="454"/>
      <c r="W78" s="454"/>
      <c r="X78" s="454"/>
      <c r="Y78" s="455">
        <f t="shared" si="1"/>
        <v>0</v>
      </c>
      <c r="Z78" s="454">
        <v>255000</v>
      </c>
      <c r="AA78" s="456">
        <v>5</v>
      </c>
      <c r="AB78" s="457">
        <v>44216</v>
      </c>
      <c r="AC78" s="458">
        <v>44225</v>
      </c>
      <c r="AD78" s="454">
        <v>0</v>
      </c>
      <c r="AE78" s="459"/>
      <c r="AF78" s="460"/>
      <c r="AG78" s="458"/>
      <c r="AH78" s="454"/>
      <c r="AI78" s="456"/>
      <c r="AJ78" s="460"/>
      <c r="AK78" s="458"/>
      <c r="AL78" s="454"/>
      <c r="AM78" s="456"/>
      <c r="AN78" s="460"/>
      <c r="AO78" s="458"/>
      <c r="AP78" s="454"/>
      <c r="AQ78" s="456"/>
      <c r="AR78" s="460"/>
      <c r="AS78" s="458"/>
      <c r="AT78" s="454"/>
      <c r="AU78" s="456"/>
      <c r="AV78" s="460"/>
      <c r="AW78" s="458"/>
      <c r="AX78" s="454"/>
      <c r="AY78" s="456"/>
      <c r="AZ78" s="460"/>
      <c r="BA78" s="458"/>
      <c r="BB78" s="154">
        <f t="shared" si="2"/>
        <v>255000</v>
      </c>
      <c r="BC78" s="461">
        <f t="shared" si="0"/>
        <v>255000</v>
      </c>
      <c r="BD78" s="156"/>
      <c r="BE78" s="156"/>
    </row>
    <row r="79" spans="2:57" s="148" customFormat="1" ht="22.5" x14ac:dyDescent="0.25">
      <c r="B79" s="149">
        <v>68</v>
      </c>
      <c r="C79" s="149" t="s">
        <v>38</v>
      </c>
      <c r="D79" s="450">
        <v>40004894</v>
      </c>
      <c r="E79" s="451" t="s">
        <v>278</v>
      </c>
      <c r="F79" s="451" t="s">
        <v>200</v>
      </c>
      <c r="G79" s="452" t="s">
        <v>201</v>
      </c>
      <c r="H79" s="463" t="s">
        <v>205</v>
      </c>
      <c r="I79" s="453" t="s">
        <v>43</v>
      </c>
      <c r="J79" s="454">
        <v>403975</v>
      </c>
      <c r="K79" s="454">
        <v>0</v>
      </c>
      <c r="L79" s="454">
        <v>0</v>
      </c>
      <c r="M79" s="454">
        <v>0</v>
      </c>
      <c r="N79" s="454">
        <v>0</v>
      </c>
      <c r="O79" s="454">
        <v>0</v>
      </c>
      <c r="P79" s="454">
        <v>0</v>
      </c>
      <c r="Q79" s="454">
        <v>0</v>
      </c>
      <c r="R79" s="454">
        <v>0</v>
      </c>
      <c r="S79" s="454"/>
      <c r="T79" s="454"/>
      <c r="U79" s="454"/>
      <c r="V79" s="454"/>
      <c r="W79" s="454"/>
      <c r="X79" s="454"/>
      <c r="Y79" s="455">
        <f t="shared" si="1"/>
        <v>0</v>
      </c>
      <c r="Z79" s="454">
        <v>397000</v>
      </c>
      <c r="AA79" s="456">
        <v>5</v>
      </c>
      <c r="AB79" s="457">
        <v>44216</v>
      </c>
      <c r="AC79" s="458">
        <v>44225</v>
      </c>
      <c r="AD79" s="454">
        <v>0</v>
      </c>
      <c r="AE79" s="459"/>
      <c r="AF79" s="460"/>
      <c r="AG79" s="458"/>
      <c r="AH79" s="454"/>
      <c r="AI79" s="456"/>
      <c r="AJ79" s="460"/>
      <c r="AK79" s="458"/>
      <c r="AL79" s="454"/>
      <c r="AM79" s="456"/>
      <c r="AN79" s="460"/>
      <c r="AO79" s="458"/>
      <c r="AP79" s="454"/>
      <c r="AQ79" s="456"/>
      <c r="AR79" s="460"/>
      <c r="AS79" s="458"/>
      <c r="AT79" s="454"/>
      <c r="AU79" s="456"/>
      <c r="AV79" s="460"/>
      <c r="AW79" s="458"/>
      <c r="AX79" s="454"/>
      <c r="AY79" s="456"/>
      <c r="AZ79" s="460"/>
      <c r="BA79" s="458"/>
      <c r="BB79" s="154">
        <f t="shared" si="2"/>
        <v>397000</v>
      </c>
      <c r="BC79" s="461">
        <f t="shared" si="0"/>
        <v>397000</v>
      </c>
      <c r="BD79" s="156"/>
      <c r="BE79" s="156"/>
    </row>
    <row r="80" spans="2:57" s="148" customFormat="1" x14ac:dyDescent="0.25">
      <c r="B80" s="149">
        <v>44</v>
      </c>
      <c r="C80" s="149" t="s">
        <v>38</v>
      </c>
      <c r="D80" s="450">
        <v>40004902</v>
      </c>
      <c r="E80" s="451" t="s">
        <v>279</v>
      </c>
      <c r="F80" s="451" t="s">
        <v>200</v>
      </c>
      <c r="G80" s="452" t="s">
        <v>201</v>
      </c>
      <c r="H80" s="463" t="s">
        <v>211</v>
      </c>
      <c r="I80" s="453" t="s">
        <v>43</v>
      </c>
      <c r="J80" s="454">
        <v>1392160</v>
      </c>
      <c r="K80" s="454">
        <v>0</v>
      </c>
      <c r="L80" s="454">
        <v>208134</v>
      </c>
      <c r="M80" s="454">
        <v>0</v>
      </c>
      <c r="N80" s="454">
        <v>0</v>
      </c>
      <c r="O80" s="454">
        <v>0</v>
      </c>
      <c r="P80" s="454">
        <v>0</v>
      </c>
      <c r="Q80" s="454">
        <v>0</v>
      </c>
      <c r="R80" s="454">
        <v>0</v>
      </c>
      <c r="S80" s="454"/>
      <c r="T80" s="454"/>
      <c r="U80" s="454"/>
      <c r="V80" s="454"/>
      <c r="W80" s="454"/>
      <c r="X80" s="454"/>
      <c r="Y80" s="455">
        <f t="shared" si="1"/>
        <v>0</v>
      </c>
      <c r="Z80" s="454">
        <v>1010000</v>
      </c>
      <c r="AA80" s="456">
        <v>5</v>
      </c>
      <c r="AB80" s="457">
        <v>44216</v>
      </c>
      <c r="AC80" s="458">
        <v>44225</v>
      </c>
      <c r="AD80" s="454">
        <v>0</v>
      </c>
      <c r="AE80" s="459"/>
      <c r="AF80" s="460"/>
      <c r="AG80" s="458"/>
      <c r="AH80" s="454"/>
      <c r="AI80" s="456"/>
      <c r="AJ80" s="460"/>
      <c r="AK80" s="458"/>
      <c r="AL80" s="454"/>
      <c r="AM80" s="456"/>
      <c r="AN80" s="460"/>
      <c r="AO80" s="458"/>
      <c r="AP80" s="454"/>
      <c r="AQ80" s="456"/>
      <c r="AR80" s="460"/>
      <c r="AS80" s="458"/>
      <c r="AT80" s="454"/>
      <c r="AU80" s="456"/>
      <c r="AV80" s="460"/>
      <c r="AW80" s="458"/>
      <c r="AX80" s="454"/>
      <c r="AY80" s="456"/>
      <c r="AZ80" s="460"/>
      <c r="BA80" s="458"/>
      <c r="BB80" s="154">
        <f t="shared" si="2"/>
        <v>1010000</v>
      </c>
      <c r="BC80" s="461">
        <f t="shared" ref="BC80:BC93" si="3">+BB80-Y80</f>
        <v>1010000</v>
      </c>
      <c r="BD80" s="156"/>
      <c r="BE80" s="156"/>
    </row>
    <row r="81" spans="2:57" s="148" customFormat="1" ht="22.5" x14ac:dyDescent="0.25">
      <c r="B81" s="149">
        <v>51</v>
      </c>
      <c r="C81" s="149" t="s">
        <v>38</v>
      </c>
      <c r="D81" s="450">
        <v>40004904</v>
      </c>
      <c r="E81" s="451" t="s">
        <v>280</v>
      </c>
      <c r="F81" s="451" t="s">
        <v>200</v>
      </c>
      <c r="G81" s="452" t="s">
        <v>201</v>
      </c>
      <c r="H81" s="463" t="s">
        <v>211</v>
      </c>
      <c r="I81" s="453" t="s">
        <v>42</v>
      </c>
      <c r="J81" s="454">
        <v>174623</v>
      </c>
      <c r="K81" s="454">
        <v>0</v>
      </c>
      <c r="L81" s="454">
        <v>0</v>
      </c>
      <c r="M81" s="454">
        <v>0</v>
      </c>
      <c r="N81" s="454">
        <v>88820</v>
      </c>
      <c r="O81" s="454">
        <v>75055</v>
      </c>
      <c r="P81" s="454">
        <v>958.39200000000005</v>
      </c>
      <c r="Q81" s="454">
        <v>1451.8</v>
      </c>
      <c r="R81" s="454">
        <v>0</v>
      </c>
      <c r="S81" s="454"/>
      <c r="T81" s="454"/>
      <c r="U81" s="454"/>
      <c r="V81" s="454"/>
      <c r="W81" s="454"/>
      <c r="X81" s="454"/>
      <c r="Y81" s="455">
        <f t="shared" ref="Y81:Y103" si="4">SUM(M81:X81)</f>
        <v>166285.19199999998</v>
      </c>
      <c r="Z81" s="454">
        <v>154000</v>
      </c>
      <c r="AA81" s="456">
        <v>5</v>
      </c>
      <c r="AB81" s="457">
        <v>44216</v>
      </c>
      <c r="AC81" s="458">
        <v>44225</v>
      </c>
      <c r="AD81" s="454">
        <v>16932</v>
      </c>
      <c r="AE81" s="459">
        <v>28</v>
      </c>
      <c r="AF81" s="457">
        <v>44357</v>
      </c>
      <c r="AG81" s="458">
        <v>44376</v>
      </c>
      <c r="AH81" s="454"/>
      <c r="AI81" s="456"/>
      <c r="AJ81" s="460"/>
      <c r="AK81" s="458"/>
      <c r="AL81" s="454"/>
      <c r="AM81" s="456"/>
      <c r="AN81" s="460"/>
      <c r="AO81" s="458"/>
      <c r="AP81" s="454"/>
      <c r="AQ81" s="456"/>
      <c r="AR81" s="460"/>
      <c r="AS81" s="458"/>
      <c r="AT81" s="454"/>
      <c r="AU81" s="456"/>
      <c r="AV81" s="460"/>
      <c r="AW81" s="458"/>
      <c r="AX81" s="454"/>
      <c r="AY81" s="456"/>
      <c r="AZ81" s="460"/>
      <c r="BA81" s="458"/>
      <c r="BB81" s="154">
        <f t="shared" ref="BB81:BB103" si="5">+Z81+AD81+AH81+AL81+AP81+AT81+AX81</f>
        <v>170932</v>
      </c>
      <c r="BC81" s="461">
        <f t="shared" si="3"/>
        <v>4646.8080000000191</v>
      </c>
      <c r="BD81" s="156"/>
      <c r="BE81" s="156"/>
    </row>
    <row r="82" spans="2:57" s="148" customFormat="1" ht="22.5" x14ac:dyDescent="0.25">
      <c r="B82" s="149">
        <v>37</v>
      </c>
      <c r="C82" s="149" t="s">
        <v>38</v>
      </c>
      <c r="D82" s="450">
        <v>40009168</v>
      </c>
      <c r="E82" s="451" t="s">
        <v>281</v>
      </c>
      <c r="F82" s="451" t="s">
        <v>200</v>
      </c>
      <c r="G82" s="452" t="s">
        <v>201</v>
      </c>
      <c r="H82" s="463" t="s">
        <v>220</v>
      </c>
      <c r="I82" s="453" t="s">
        <v>43</v>
      </c>
      <c r="J82" s="454">
        <v>588580</v>
      </c>
      <c r="K82" s="454">
        <v>0</v>
      </c>
      <c r="L82" s="454">
        <v>6104</v>
      </c>
      <c r="M82" s="454">
        <v>0</v>
      </c>
      <c r="N82" s="454">
        <v>0</v>
      </c>
      <c r="O82" s="454">
        <v>0</v>
      </c>
      <c r="P82" s="454">
        <v>0</v>
      </c>
      <c r="Q82" s="454">
        <v>0</v>
      </c>
      <c r="R82" s="454">
        <v>0</v>
      </c>
      <c r="S82" s="454"/>
      <c r="T82" s="454"/>
      <c r="U82" s="454"/>
      <c r="V82" s="454"/>
      <c r="W82" s="454"/>
      <c r="X82" s="454"/>
      <c r="Y82" s="455">
        <f t="shared" si="4"/>
        <v>0</v>
      </c>
      <c r="Z82" s="454">
        <v>50000</v>
      </c>
      <c r="AA82" s="456">
        <v>5</v>
      </c>
      <c r="AB82" s="457">
        <v>44216</v>
      </c>
      <c r="AC82" s="458">
        <v>44225</v>
      </c>
      <c r="AD82" s="454">
        <v>0</v>
      </c>
      <c r="AE82" s="459"/>
      <c r="AF82" s="460"/>
      <c r="AG82" s="458"/>
      <c r="AH82" s="454"/>
      <c r="AI82" s="456"/>
      <c r="AJ82" s="460"/>
      <c r="AK82" s="458"/>
      <c r="AL82" s="454"/>
      <c r="AM82" s="456"/>
      <c r="AN82" s="460"/>
      <c r="AO82" s="458"/>
      <c r="AP82" s="454"/>
      <c r="AQ82" s="456"/>
      <c r="AR82" s="460"/>
      <c r="AS82" s="458"/>
      <c r="AT82" s="454"/>
      <c r="AU82" s="456"/>
      <c r="AV82" s="460"/>
      <c r="AW82" s="458"/>
      <c r="AX82" s="454"/>
      <c r="AY82" s="456"/>
      <c r="AZ82" s="460"/>
      <c r="BA82" s="458"/>
      <c r="BB82" s="154">
        <f t="shared" si="5"/>
        <v>50000</v>
      </c>
      <c r="BC82" s="461">
        <f t="shared" si="3"/>
        <v>50000</v>
      </c>
      <c r="BD82" s="156"/>
      <c r="BE82" s="156"/>
    </row>
    <row r="83" spans="2:57" s="148" customFormat="1" ht="22.5" x14ac:dyDescent="0.25">
      <c r="B83" s="149">
        <v>38</v>
      </c>
      <c r="C83" s="149" t="s">
        <v>38</v>
      </c>
      <c r="D83" s="450">
        <v>40009169</v>
      </c>
      <c r="E83" s="451" t="s">
        <v>282</v>
      </c>
      <c r="F83" s="451" t="s">
        <v>200</v>
      </c>
      <c r="G83" s="452" t="s">
        <v>201</v>
      </c>
      <c r="H83" s="463" t="s">
        <v>220</v>
      </c>
      <c r="I83" s="453" t="s">
        <v>43</v>
      </c>
      <c r="J83" s="454">
        <v>732383</v>
      </c>
      <c r="K83" s="454"/>
      <c r="L83" s="454">
        <v>978</v>
      </c>
      <c r="M83" s="454">
        <v>0</v>
      </c>
      <c r="N83" s="454">
        <v>0</v>
      </c>
      <c r="O83" s="454">
        <v>0</v>
      </c>
      <c r="P83" s="454">
        <v>0</v>
      </c>
      <c r="Q83" s="454">
        <v>0</v>
      </c>
      <c r="R83" s="454">
        <v>0</v>
      </c>
      <c r="S83" s="454"/>
      <c r="T83" s="454"/>
      <c r="U83" s="454"/>
      <c r="V83" s="454"/>
      <c r="W83" s="454"/>
      <c r="X83" s="454"/>
      <c r="Y83" s="455">
        <f t="shared" si="4"/>
        <v>0</v>
      </c>
      <c r="Z83" s="454">
        <v>50000</v>
      </c>
      <c r="AA83" s="456">
        <v>5</v>
      </c>
      <c r="AB83" s="457">
        <v>44216</v>
      </c>
      <c r="AC83" s="458">
        <v>44225</v>
      </c>
      <c r="AD83" s="454">
        <v>0</v>
      </c>
      <c r="AE83" s="459"/>
      <c r="AF83" s="460"/>
      <c r="AG83" s="458"/>
      <c r="AH83" s="454"/>
      <c r="AI83" s="456"/>
      <c r="AJ83" s="460"/>
      <c r="AK83" s="458"/>
      <c r="AL83" s="454"/>
      <c r="AM83" s="456"/>
      <c r="AN83" s="460"/>
      <c r="AO83" s="458"/>
      <c r="AP83" s="454"/>
      <c r="AQ83" s="456"/>
      <c r="AR83" s="460"/>
      <c r="AS83" s="458"/>
      <c r="AT83" s="454"/>
      <c r="AU83" s="456"/>
      <c r="AV83" s="460"/>
      <c r="AW83" s="458"/>
      <c r="AX83" s="454"/>
      <c r="AY83" s="456"/>
      <c r="AZ83" s="460"/>
      <c r="BA83" s="458"/>
      <c r="BB83" s="154">
        <f t="shared" si="5"/>
        <v>50000</v>
      </c>
      <c r="BC83" s="461">
        <f t="shared" si="3"/>
        <v>50000</v>
      </c>
      <c r="BD83" s="156"/>
      <c r="BE83" s="156"/>
    </row>
    <row r="84" spans="2:57" s="148" customFormat="1" ht="22.5" x14ac:dyDescent="0.25">
      <c r="B84" s="149">
        <v>49</v>
      </c>
      <c r="C84" s="149" t="s">
        <v>38</v>
      </c>
      <c r="D84" s="450">
        <v>40009170</v>
      </c>
      <c r="E84" s="451" t="s">
        <v>283</v>
      </c>
      <c r="F84" s="451" t="s">
        <v>200</v>
      </c>
      <c r="G84" s="452" t="s">
        <v>201</v>
      </c>
      <c r="H84" s="463" t="s">
        <v>205</v>
      </c>
      <c r="I84" s="453" t="s">
        <v>43</v>
      </c>
      <c r="J84" s="454">
        <v>797653</v>
      </c>
      <c r="K84" s="454">
        <v>0</v>
      </c>
      <c r="L84" s="454">
        <v>242420</v>
      </c>
      <c r="M84" s="454">
        <v>0</v>
      </c>
      <c r="N84" s="454">
        <v>0</v>
      </c>
      <c r="O84" s="454">
        <v>0</v>
      </c>
      <c r="P84" s="454">
        <v>0</v>
      </c>
      <c r="Q84" s="454">
        <v>0</v>
      </c>
      <c r="R84" s="454">
        <v>0</v>
      </c>
      <c r="S84" s="454"/>
      <c r="T84" s="454"/>
      <c r="U84" s="454"/>
      <c r="V84" s="454"/>
      <c r="W84" s="454"/>
      <c r="X84" s="454"/>
      <c r="Y84" s="455">
        <f t="shared" si="4"/>
        <v>0</v>
      </c>
      <c r="Z84" s="454">
        <v>550000</v>
      </c>
      <c r="AA84" s="456">
        <v>5</v>
      </c>
      <c r="AB84" s="457">
        <v>44216</v>
      </c>
      <c r="AC84" s="458">
        <v>44225</v>
      </c>
      <c r="AD84" s="454">
        <v>0</v>
      </c>
      <c r="AE84" s="459"/>
      <c r="AF84" s="460"/>
      <c r="AG84" s="458"/>
      <c r="AH84" s="454"/>
      <c r="AI84" s="456"/>
      <c r="AJ84" s="460"/>
      <c r="AK84" s="458"/>
      <c r="AL84" s="454"/>
      <c r="AM84" s="456"/>
      <c r="AN84" s="460"/>
      <c r="AO84" s="458"/>
      <c r="AP84" s="454"/>
      <c r="AQ84" s="456"/>
      <c r="AR84" s="460"/>
      <c r="AS84" s="458"/>
      <c r="AT84" s="454"/>
      <c r="AU84" s="456"/>
      <c r="AV84" s="460"/>
      <c r="AW84" s="458"/>
      <c r="AX84" s="454"/>
      <c r="AY84" s="456"/>
      <c r="AZ84" s="460"/>
      <c r="BA84" s="458"/>
      <c r="BB84" s="154">
        <f t="shared" si="5"/>
        <v>550000</v>
      </c>
      <c r="BC84" s="461">
        <f t="shared" si="3"/>
        <v>550000</v>
      </c>
      <c r="BD84" s="156"/>
      <c r="BE84" s="156"/>
    </row>
    <row r="85" spans="2:57" s="148" customFormat="1" ht="22.5" x14ac:dyDescent="0.25">
      <c r="B85" s="149">
        <v>56</v>
      </c>
      <c r="C85" s="149" t="s">
        <v>38</v>
      </c>
      <c r="D85" s="450">
        <v>40010443</v>
      </c>
      <c r="E85" s="451" t="s">
        <v>284</v>
      </c>
      <c r="F85" s="451" t="s">
        <v>200</v>
      </c>
      <c r="G85" s="452" t="s">
        <v>201</v>
      </c>
      <c r="H85" s="463" t="s">
        <v>208</v>
      </c>
      <c r="I85" s="453" t="s">
        <v>43</v>
      </c>
      <c r="J85" s="454">
        <v>2479686</v>
      </c>
      <c r="K85" s="454">
        <v>0</v>
      </c>
      <c r="L85" s="454">
        <v>720994</v>
      </c>
      <c r="M85" s="454">
        <v>0</v>
      </c>
      <c r="N85" s="454">
        <v>0</v>
      </c>
      <c r="O85" s="454">
        <v>0</v>
      </c>
      <c r="P85" s="454">
        <v>35566.767999999996</v>
      </c>
      <c r="Q85" s="454">
        <v>141213.467</v>
      </c>
      <c r="R85" s="454">
        <v>74819.134999999995</v>
      </c>
      <c r="S85" s="454"/>
      <c r="T85" s="454"/>
      <c r="U85" s="454"/>
      <c r="V85" s="454"/>
      <c r="W85" s="454"/>
      <c r="X85" s="454"/>
      <c r="Y85" s="455">
        <f t="shared" si="4"/>
        <v>251599.37</v>
      </c>
      <c r="Z85" s="454">
        <v>1510000</v>
      </c>
      <c r="AA85" s="456">
        <v>5</v>
      </c>
      <c r="AB85" s="457">
        <v>44216</v>
      </c>
      <c r="AC85" s="458">
        <v>44225</v>
      </c>
      <c r="AD85" s="454">
        <v>0</v>
      </c>
      <c r="AE85" s="459"/>
      <c r="AF85" s="460"/>
      <c r="AG85" s="458"/>
      <c r="AH85" s="454"/>
      <c r="AI85" s="456"/>
      <c r="AJ85" s="460"/>
      <c r="AK85" s="458"/>
      <c r="AL85" s="454"/>
      <c r="AM85" s="456"/>
      <c r="AN85" s="460"/>
      <c r="AO85" s="458"/>
      <c r="AP85" s="454"/>
      <c r="AQ85" s="456"/>
      <c r="AR85" s="460"/>
      <c r="AS85" s="458"/>
      <c r="AT85" s="454"/>
      <c r="AU85" s="456"/>
      <c r="AV85" s="460"/>
      <c r="AW85" s="458"/>
      <c r="AX85" s="454"/>
      <c r="AY85" s="456"/>
      <c r="AZ85" s="460"/>
      <c r="BA85" s="458"/>
      <c r="BB85" s="154">
        <f t="shared" si="5"/>
        <v>1510000</v>
      </c>
      <c r="BC85" s="461">
        <f t="shared" si="3"/>
        <v>1258400.6299999999</v>
      </c>
      <c r="BD85" s="156"/>
      <c r="BE85" s="156"/>
    </row>
    <row r="86" spans="2:57" s="148" customFormat="1" ht="22.5" x14ac:dyDescent="0.25">
      <c r="B86" s="149">
        <v>50</v>
      </c>
      <c r="C86" s="149" t="s">
        <v>38</v>
      </c>
      <c r="D86" s="450">
        <v>40012731</v>
      </c>
      <c r="E86" s="451" t="s">
        <v>285</v>
      </c>
      <c r="F86" s="451" t="s">
        <v>200</v>
      </c>
      <c r="G86" s="452" t="s">
        <v>201</v>
      </c>
      <c r="H86" s="463" t="s">
        <v>224</v>
      </c>
      <c r="I86" s="453" t="s">
        <v>43</v>
      </c>
      <c r="J86" s="454">
        <v>1308969</v>
      </c>
      <c r="K86" s="454">
        <v>0</v>
      </c>
      <c r="L86" s="454">
        <v>49023</v>
      </c>
      <c r="M86" s="454">
        <v>0</v>
      </c>
      <c r="N86" s="454">
        <v>119018</v>
      </c>
      <c r="O86" s="454">
        <v>268913</v>
      </c>
      <c r="P86" s="454">
        <v>244595.19899999999</v>
      </c>
      <c r="Q86" s="454">
        <v>103355.495</v>
      </c>
      <c r="R86" s="454">
        <v>86801.307000000001</v>
      </c>
      <c r="S86" s="454"/>
      <c r="T86" s="454"/>
      <c r="U86" s="454"/>
      <c r="V86" s="454"/>
      <c r="W86" s="454"/>
      <c r="X86" s="454"/>
      <c r="Y86" s="455">
        <f t="shared" si="4"/>
        <v>822683.00100000005</v>
      </c>
      <c r="Z86" s="454">
        <v>800000</v>
      </c>
      <c r="AA86" s="456">
        <v>5</v>
      </c>
      <c r="AB86" s="457">
        <v>44216</v>
      </c>
      <c r="AC86" s="458">
        <v>44225</v>
      </c>
      <c r="AD86" s="454">
        <v>200000</v>
      </c>
      <c r="AE86" s="459">
        <v>28</v>
      </c>
      <c r="AF86" s="457">
        <v>44357</v>
      </c>
      <c r="AG86" s="458">
        <v>44376</v>
      </c>
      <c r="AH86" s="454"/>
      <c r="AI86" s="456"/>
      <c r="AJ86" s="460"/>
      <c r="AK86" s="458"/>
      <c r="AL86" s="454"/>
      <c r="AM86" s="456"/>
      <c r="AN86" s="460"/>
      <c r="AO86" s="458"/>
      <c r="AP86" s="454"/>
      <c r="AQ86" s="456"/>
      <c r="AR86" s="460"/>
      <c r="AS86" s="458"/>
      <c r="AT86" s="454"/>
      <c r="AU86" s="456"/>
      <c r="AV86" s="460"/>
      <c r="AW86" s="458"/>
      <c r="AX86" s="454"/>
      <c r="AY86" s="456"/>
      <c r="AZ86" s="460"/>
      <c r="BA86" s="458"/>
      <c r="BB86" s="154">
        <f t="shared" si="5"/>
        <v>1000000</v>
      </c>
      <c r="BC86" s="461">
        <f t="shared" si="3"/>
        <v>177316.99899999995</v>
      </c>
      <c r="BD86" s="156"/>
      <c r="BE86" s="156"/>
    </row>
    <row r="87" spans="2:57" s="148" customFormat="1" x14ac:dyDescent="0.25">
      <c r="B87" s="149">
        <v>65</v>
      </c>
      <c r="C87" s="149" t="s">
        <v>38</v>
      </c>
      <c r="D87" s="450">
        <v>40012738</v>
      </c>
      <c r="E87" s="451" t="s">
        <v>286</v>
      </c>
      <c r="F87" s="451" t="s">
        <v>200</v>
      </c>
      <c r="G87" s="452" t="s">
        <v>201</v>
      </c>
      <c r="H87" s="463" t="s">
        <v>224</v>
      </c>
      <c r="I87" s="453" t="s">
        <v>43</v>
      </c>
      <c r="J87" s="454">
        <v>628664</v>
      </c>
      <c r="K87" s="454">
        <v>0</v>
      </c>
      <c r="L87" s="454">
        <v>0</v>
      </c>
      <c r="M87" s="454">
        <v>0</v>
      </c>
      <c r="N87" s="454">
        <v>0</v>
      </c>
      <c r="O87" s="454">
        <v>0</v>
      </c>
      <c r="P87" s="454">
        <v>0</v>
      </c>
      <c r="Q87" s="454">
        <v>0</v>
      </c>
      <c r="R87" s="454">
        <v>0</v>
      </c>
      <c r="S87" s="454"/>
      <c r="T87" s="454"/>
      <c r="U87" s="454"/>
      <c r="V87" s="454"/>
      <c r="W87" s="454"/>
      <c r="X87" s="454"/>
      <c r="Y87" s="455">
        <f t="shared" si="4"/>
        <v>0</v>
      </c>
      <c r="Z87" s="454">
        <v>600000</v>
      </c>
      <c r="AA87" s="456">
        <v>5</v>
      </c>
      <c r="AB87" s="457">
        <v>44216</v>
      </c>
      <c r="AC87" s="458">
        <v>44225</v>
      </c>
      <c r="AD87" s="454">
        <v>0</v>
      </c>
      <c r="AE87" s="459"/>
      <c r="AF87" s="460"/>
      <c r="AG87" s="458"/>
      <c r="AH87" s="454"/>
      <c r="AI87" s="456"/>
      <c r="AJ87" s="460"/>
      <c r="AK87" s="458"/>
      <c r="AL87" s="454"/>
      <c r="AM87" s="456"/>
      <c r="AN87" s="460"/>
      <c r="AO87" s="458"/>
      <c r="AP87" s="454"/>
      <c r="AQ87" s="456"/>
      <c r="AR87" s="460"/>
      <c r="AS87" s="458"/>
      <c r="AT87" s="454"/>
      <c r="AU87" s="456"/>
      <c r="AV87" s="460"/>
      <c r="AW87" s="458"/>
      <c r="AX87" s="454"/>
      <c r="AY87" s="456"/>
      <c r="AZ87" s="460"/>
      <c r="BA87" s="458"/>
      <c r="BB87" s="154">
        <f t="shared" si="5"/>
        <v>600000</v>
      </c>
      <c r="BC87" s="461">
        <f t="shared" si="3"/>
        <v>600000</v>
      </c>
      <c r="BD87" s="156"/>
      <c r="BE87" s="156"/>
    </row>
    <row r="88" spans="2:57" s="148" customFormat="1" x14ac:dyDescent="0.25">
      <c r="B88" s="149">
        <v>66</v>
      </c>
      <c r="C88" s="149" t="s">
        <v>38</v>
      </c>
      <c r="D88" s="450">
        <v>40013572</v>
      </c>
      <c r="E88" s="451" t="s">
        <v>287</v>
      </c>
      <c r="F88" s="451" t="s">
        <v>200</v>
      </c>
      <c r="G88" s="452" t="s">
        <v>201</v>
      </c>
      <c r="H88" s="463" t="s">
        <v>213</v>
      </c>
      <c r="I88" s="453" t="s">
        <v>43</v>
      </c>
      <c r="J88" s="454">
        <v>482287</v>
      </c>
      <c r="K88" s="454">
        <v>0</v>
      </c>
      <c r="L88" s="454">
        <v>24114</v>
      </c>
      <c r="M88" s="454">
        <v>0</v>
      </c>
      <c r="N88" s="454">
        <v>0</v>
      </c>
      <c r="O88" s="454">
        <v>0</v>
      </c>
      <c r="P88" s="454">
        <v>0</v>
      </c>
      <c r="Q88" s="454">
        <v>0</v>
      </c>
      <c r="R88" s="454">
        <v>0</v>
      </c>
      <c r="S88" s="454"/>
      <c r="T88" s="454"/>
      <c r="U88" s="454"/>
      <c r="V88" s="454"/>
      <c r="W88" s="454"/>
      <c r="X88" s="454"/>
      <c r="Y88" s="455">
        <f t="shared" si="4"/>
        <v>0</v>
      </c>
      <c r="Z88" s="454">
        <v>400000</v>
      </c>
      <c r="AA88" s="456">
        <v>5</v>
      </c>
      <c r="AB88" s="457">
        <v>44216</v>
      </c>
      <c r="AC88" s="458">
        <v>44225</v>
      </c>
      <c r="AD88" s="454">
        <v>0</v>
      </c>
      <c r="AE88" s="459"/>
      <c r="AF88" s="460"/>
      <c r="AG88" s="458"/>
      <c r="AH88" s="454"/>
      <c r="AI88" s="456"/>
      <c r="AJ88" s="460"/>
      <c r="AK88" s="458"/>
      <c r="AL88" s="454"/>
      <c r="AM88" s="456"/>
      <c r="AN88" s="460"/>
      <c r="AO88" s="458"/>
      <c r="AP88" s="454"/>
      <c r="AQ88" s="456"/>
      <c r="AR88" s="460"/>
      <c r="AS88" s="458"/>
      <c r="AT88" s="454"/>
      <c r="AU88" s="456"/>
      <c r="AV88" s="460"/>
      <c r="AW88" s="458"/>
      <c r="AX88" s="454"/>
      <c r="AY88" s="456"/>
      <c r="AZ88" s="460"/>
      <c r="BA88" s="458"/>
      <c r="BB88" s="154">
        <f t="shared" si="5"/>
        <v>400000</v>
      </c>
      <c r="BC88" s="461">
        <f t="shared" si="3"/>
        <v>400000</v>
      </c>
      <c r="BD88" s="156"/>
      <c r="BE88" s="156"/>
    </row>
    <row r="89" spans="2:57" s="148" customFormat="1" x14ac:dyDescent="0.25">
      <c r="B89" s="149">
        <v>67</v>
      </c>
      <c r="C89" s="149" t="s">
        <v>38</v>
      </c>
      <c r="D89" s="450">
        <v>40015849</v>
      </c>
      <c r="E89" s="451" t="s">
        <v>288</v>
      </c>
      <c r="F89" s="451" t="s">
        <v>200</v>
      </c>
      <c r="G89" s="452" t="s">
        <v>201</v>
      </c>
      <c r="H89" s="463" t="s">
        <v>208</v>
      </c>
      <c r="I89" s="453" t="s">
        <v>43</v>
      </c>
      <c r="J89" s="454">
        <v>4231153</v>
      </c>
      <c r="K89" s="454">
        <v>0</v>
      </c>
      <c r="L89" s="454">
        <v>1634644</v>
      </c>
      <c r="M89" s="454">
        <v>0</v>
      </c>
      <c r="N89" s="454">
        <v>0</v>
      </c>
      <c r="O89" s="454">
        <v>192147</v>
      </c>
      <c r="P89" s="454">
        <v>196528.995</v>
      </c>
      <c r="Q89" s="454">
        <v>117760.97199999999</v>
      </c>
      <c r="R89" s="454">
        <v>0</v>
      </c>
      <c r="S89" s="454"/>
      <c r="T89" s="454"/>
      <c r="U89" s="454"/>
      <c r="V89" s="454"/>
      <c r="W89" s="454"/>
      <c r="X89" s="454"/>
      <c r="Y89" s="455">
        <f t="shared" si="4"/>
        <v>506436.967</v>
      </c>
      <c r="Z89" s="454">
        <v>2515000</v>
      </c>
      <c r="AA89" s="456">
        <v>5</v>
      </c>
      <c r="AB89" s="457">
        <v>44216</v>
      </c>
      <c r="AC89" s="458">
        <v>44225</v>
      </c>
      <c r="AD89" s="454">
        <v>0</v>
      </c>
      <c r="AE89" s="459"/>
      <c r="AF89" s="460"/>
      <c r="AG89" s="458"/>
      <c r="AH89" s="454"/>
      <c r="AI89" s="456"/>
      <c r="AJ89" s="460"/>
      <c r="AK89" s="458"/>
      <c r="AL89" s="454"/>
      <c r="AM89" s="456"/>
      <c r="AN89" s="460"/>
      <c r="AO89" s="458"/>
      <c r="AP89" s="454"/>
      <c r="AQ89" s="456"/>
      <c r="AR89" s="460"/>
      <c r="AS89" s="458"/>
      <c r="AT89" s="454"/>
      <c r="AU89" s="456"/>
      <c r="AV89" s="460"/>
      <c r="AW89" s="458"/>
      <c r="AX89" s="454"/>
      <c r="AY89" s="456"/>
      <c r="AZ89" s="460"/>
      <c r="BA89" s="458"/>
      <c r="BB89" s="154">
        <f t="shared" si="5"/>
        <v>2515000</v>
      </c>
      <c r="BC89" s="461">
        <f t="shared" si="3"/>
        <v>2008563.0330000001</v>
      </c>
      <c r="BD89" s="156"/>
      <c r="BE89" s="156"/>
    </row>
    <row r="90" spans="2:57" s="148" customFormat="1" x14ac:dyDescent="0.25">
      <c r="B90" s="149">
        <v>63</v>
      </c>
      <c r="C90" s="149" t="s">
        <v>38</v>
      </c>
      <c r="D90" s="450">
        <v>40016502</v>
      </c>
      <c r="E90" s="451" t="s">
        <v>289</v>
      </c>
      <c r="F90" s="451" t="s">
        <v>200</v>
      </c>
      <c r="G90" s="452" t="s">
        <v>201</v>
      </c>
      <c r="H90" s="463" t="s">
        <v>226</v>
      </c>
      <c r="I90" s="453" t="s">
        <v>43</v>
      </c>
      <c r="J90" s="454">
        <v>3595518</v>
      </c>
      <c r="K90" s="454">
        <v>0</v>
      </c>
      <c r="L90" s="454">
        <v>2082628</v>
      </c>
      <c r="M90" s="454">
        <v>0</v>
      </c>
      <c r="N90" s="454">
        <v>4430</v>
      </c>
      <c r="O90" s="454">
        <v>4430</v>
      </c>
      <c r="P90" s="454">
        <v>280012.766</v>
      </c>
      <c r="Q90" s="454">
        <v>387550.47200000001</v>
      </c>
      <c r="R90" s="454">
        <v>245140.78700000001</v>
      </c>
      <c r="S90" s="454"/>
      <c r="T90" s="454"/>
      <c r="U90" s="454"/>
      <c r="V90" s="454"/>
      <c r="W90" s="454"/>
      <c r="X90" s="454"/>
      <c r="Y90" s="455">
        <f t="shared" si="4"/>
        <v>921564.02500000002</v>
      </c>
      <c r="Z90" s="454">
        <v>1500000</v>
      </c>
      <c r="AA90" s="456">
        <v>5</v>
      </c>
      <c r="AB90" s="457">
        <v>44216</v>
      </c>
      <c r="AC90" s="458">
        <v>44225</v>
      </c>
      <c r="AD90" s="454">
        <v>31010</v>
      </c>
      <c r="AE90" s="459">
        <v>16</v>
      </c>
      <c r="AF90" s="457">
        <v>44253</v>
      </c>
      <c r="AG90" s="458">
        <v>44274</v>
      </c>
      <c r="AH90" s="454"/>
      <c r="AI90" s="456"/>
      <c r="AJ90" s="460"/>
      <c r="AK90" s="458"/>
      <c r="AL90" s="454"/>
      <c r="AM90" s="456"/>
      <c r="AN90" s="460"/>
      <c r="AO90" s="458"/>
      <c r="AP90" s="454"/>
      <c r="AQ90" s="456"/>
      <c r="AR90" s="460"/>
      <c r="AS90" s="458"/>
      <c r="AT90" s="454"/>
      <c r="AU90" s="456"/>
      <c r="AV90" s="460"/>
      <c r="AW90" s="458"/>
      <c r="AX90" s="454"/>
      <c r="AY90" s="456"/>
      <c r="AZ90" s="460"/>
      <c r="BA90" s="458"/>
      <c r="BB90" s="154">
        <f t="shared" si="5"/>
        <v>1531010</v>
      </c>
      <c r="BC90" s="461">
        <f t="shared" si="3"/>
        <v>609445.97499999998</v>
      </c>
      <c r="BD90" s="156"/>
      <c r="BE90" s="156"/>
    </row>
    <row r="91" spans="2:57" s="148" customFormat="1" ht="22.5" x14ac:dyDescent="0.25">
      <c r="B91" s="149">
        <v>71</v>
      </c>
      <c r="C91" s="149" t="s">
        <v>38</v>
      </c>
      <c r="D91" s="450">
        <v>40016698</v>
      </c>
      <c r="E91" s="451" t="s">
        <v>290</v>
      </c>
      <c r="F91" s="451"/>
      <c r="G91" s="452" t="s">
        <v>201</v>
      </c>
      <c r="H91" s="463" t="s">
        <v>44</v>
      </c>
      <c r="I91" s="453" t="s">
        <v>43</v>
      </c>
      <c r="J91" s="454">
        <v>250000</v>
      </c>
      <c r="K91" s="454">
        <v>0</v>
      </c>
      <c r="L91" s="454">
        <v>0</v>
      </c>
      <c r="M91" s="454">
        <v>0</v>
      </c>
      <c r="N91" s="454">
        <v>0</v>
      </c>
      <c r="O91" s="454">
        <v>0</v>
      </c>
      <c r="P91" s="454">
        <v>0</v>
      </c>
      <c r="Q91" s="454">
        <v>0</v>
      </c>
      <c r="R91" s="454">
        <v>0</v>
      </c>
      <c r="S91" s="454"/>
      <c r="T91" s="454"/>
      <c r="U91" s="454"/>
      <c r="V91" s="454"/>
      <c r="W91" s="454"/>
      <c r="X91" s="454"/>
      <c r="Y91" s="455">
        <f t="shared" si="4"/>
        <v>0</v>
      </c>
      <c r="Z91" s="454">
        <v>70631</v>
      </c>
      <c r="AA91" s="456">
        <v>16</v>
      </c>
      <c r="AB91" s="457">
        <v>44253</v>
      </c>
      <c r="AC91" s="458">
        <v>44274</v>
      </c>
      <c r="AD91" s="454">
        <v>0</v>
      </c>
      <c r="AE91" s="459"/>
      <c r="AF91" s="460"/>
      <c r="AG91" s="458"/>
      <c r="AH91" s="454"/>
      <c r="AI91" s="456"/>
      <c r="AJ91" s="460"/>
      <c r="AK91" s="458"/>
      <c r="AL91" s="454"/>
      <c r="AM91" s="456"/>
      <c r="AN91" s="460"/>
      <c r="AO91" s="458"/>
      <c r="AP91" s="454"/>
      <c r="AQ91" s="456"/>
      <c r="AR91" s="460"/>
      <c r="AS91" s="458"/>
      <c r="AT91" s="454"/>
      <c r="AU91" s="456"/>
      <c r="AV91" s="460"/>
      <c r="AW91" s="458"/>
      <c r="AX91" s="454"/>
      <c r="AY91" s="456"/>
      <c r="AZ91" s="460"/>
      <c r="BA91" s="458"/>
      <c r="BB91" s="154">
        <f t="shared" si="5"/>
        <v>70631</v>
      </c>
      <c r="BC91" s="461">
        <f t="shared" si="3"/>
        <v>70631</v>
      </c>
      <c r="BD91" s="156"/>
      <c r="BE91" s="156"/>
    </row>
    <row r="92" spans="2:57" s="148" customFormat="1" x14ac:dyDescent="0.25">
      <c r="B92" s="149">
        <v>57</v>
      </c>
      <c r="C92" s="149" t="s">
        <v>38</v>
      </c>
      <c r="D92" s="450">
        <v>40022437</v>
      </c>
      <c r="E92" s="451" t="s">
        <v>291</v>
      </c>
      <c r="F92" s="451" t="s">
        <v>200</v>
      </c>
      <c r="G92" s="452" t="s">
        <v>201</v>
      </c>
      <c r="H92" s="463" t="s">
        <v>208</v>
      </c>
      <c r="I92" s="453" t="s">
        <v>43</v>
      </c>
      <c r="J92" s="454">
        <v>6274105</v>
      </c>
      <c r="K92" s="454">
        <v>0</v>
      </c>
      <c r="L92" s="454">
        <v>0</v>
      </c>
      <c r="M92" s="454">
        <v>0</v>
      </c>
      <c r="N92" s="454">
        <v>376582</v>
      </c>
      <c r="O92" s="454">
        <v>676838</v>
      </c>
      <c r="P92" s="454">
        <v>733507.68900000001</v>
      </c>
      <c r="Q92" s="454">
        <v>745628.42200000002</v>
      </c>
      <c r="R92" s="454">
        <v>1682909.814</v>
      </c>
      <c r="S92" s="454"/>
      <c r="T92" s="454"/>
      <c r="U92" s="454"/>
      <c r="V92" s="454"/>
      <c r="W92" s="454"/>
      <c r="X92" s="454"/>
      <c r="Y92" s="455">
        <f t="shared" si="4"/>
        <v>4215465.9249999998</v>
      </c>
      <c r="Z92" s="454">
        <v>3010000</v>
      </c>
      <c r="AA92" s="456">
        <v>5</v>
      </c>
      <c r="AB92" s="457">
        <v>44216</v>
      </c>
      <c r="AC92" s="458">
        <v>44225</v>
      </c>
      <c r="AD92" s="454">
        <v>10700</v>
      </c>
      <c r="AE92" s="459">
        <v>19</v>
      </c>
      <c r="AF92" s="457">
        <v>44305</v>
      </c>
      <c r="AG92" s="458">
        <v>44330</v>
      </c>
      <c r="AH92" s="454">
        <v>1000000</v>
      </c>
      <c r="AI92" s="456">
        <v>28</v>
      </c>
      <c r="AJ92" s="457">
        <v>44357</v>
      </c>
      <c r="AK92" s="458">
        <v>44376</v>
      </c>
      <c r="AL92" s="454"/>
      <c r="AM92" s="456"/>
      <c r="AN92" s="460"/>
      <c r="AO92" s="458"/>
      <c r="AP92" s="454"/>
      <c r="AQ92" s="456"/>
      <c r="AR92" s="460"/>
      <c r="AS92" s="458"/>
      <c r="AT92" s="454"/>
      <c r="AU92" s="456"/>
      <c r="AV92" s="460"/>
      <c r="AW92" s="458"/>
      <c r="AX92" s="454"/>
      <c r="AY92" s="456"/>
      <c r="AZ92" s="460"/>
      <c r="BA92" s="458"/>
      <c r="BB92" s="154">
        <f t="shared" si="5"/>
        <v>4020700</v>
      </c>
      <c r="BC92" s="461">
        <f t="shared" si="3"/>
        <v>-194765.92499999981</v>
      </c>
      <c r="BD92" s="156"/>
      <c r="BE92" s="156"/>
    </row>
    <row r="93" spans="2:57" s="148" customFormat="1" ht="22.5" x14ac:dyDescent="0.25">
      <c r="B93" s="149">
        <v>74</v>
      </c>
      <c r="C93" s="149" t="s">
        <v>38</v>
      </c>
      <c r="D93" s="450">
        <v>40022951</v>
      </c>
      <c r="E93" s="451" t="s">
        <v>292</v>
      </c>
      <c r="F93" s="451"/>
      <c r="G93" s="452" t="s">
        <v>201</v>
      </c>
      <c r="H93" s="463" t="s">
        <v>44</v>
      </c>
      <c r="I93" s="453" t="s">
        <v>43</v>
      </c>
      <c r="J93" s="454">
        <v>377817</v>
      </c>
      <c r="K93" s="454">
        <v>0</v>
      </c>
      <c r="L93" s="454">
        <v>0</v>
      </c>
      <c r="M93" s="454">
        <v>0</v>
      </c>
      <c r="N93" s="454">
        <v>0</v>
      </c>
      <c r="O93" s="454">
        <v>0</v>
      </c>
      <c r="P93" s="454">
        <v>0</v>
      </c>
      <c r="Q93" s="454">
        <v>0</v>
      </c>
      <c r="R93" s="454">
        <v>0</v>
      </c>
      <c r="S93" s="454"/>
      <c r="T93" s="454"/>
      <c r="U93" s="454"/>
      <c r="V93" s="454"/>
      <c r="W93" s="454"/>
      <c r="X93" s="454"/>
      <c r="Y93" s="455">
        <f t="shared" si="4"/>
        <v>0</v>
      </c>
      <c r="Z93" s="454">
        <v>56070</v>
      </c>
      <c r="AA93" s="456">
        <v>19</v>
      </c>
      <c r="AB93" s="457">
        <v>44305</v>
      </c>
      <c r="AC93" s="458">
        <v>44330</v>
      </c>
      <c r="AD93" s="454">
        <v>0</v>
      </c>
      <c r="AE93" s="459"/>
      <c r="AF93" s="460"/>
      <c r="AG93" s="458"/>
      <c r="AH93" s="454">
        <v>0</v>
      </c>
      <c r="AI93" s="456"/>
      <c r="AJ93" s="460"/>
      <c r="AK93" s="458"/>
      <c r="AL93" s="454"/>
      <c r="AM93" s="456"/>
      <c r="AN93" s="460"/>
      <c r="AO93" s="458"/>
      <c r="AP93" s="454"/>
      <c r="AQ93" s="456"/>
      <c r="AR93" s="460"/>
      <c r="AS93" s="458"/>
      <c r="AT93" s="454"/>
      <c r="AU93" s="456"/>
      <c r="AV93" s="460"/>
      <c r="AW93" s="458"/>
      <c r="AX93" s="454"/>
      <c r="AY93" s="456"/>
      <c r="AZ93" s="460"/>
      <c r="BA93" s="458"/>
      <c r="BB93" s="154">
        <f t="shared" si="5"/>
        <v>56070</v>
      </c>
      <c r="BC93" s="461">
        <f t="shared" si="3"/>
        <v>56070</v>
      </c>
      <c r="BD93" s="156"/>
      <c r="BE93" s="156"/>
    </row>
    <row r="94" spans="2:57" s="148" customFormat="1" x14ac:dyDescent="0.25">
      <c r="B94" s="149"/>
      <c r="C94" s="149"/>
      <c r="D94" s="450"/>
      <c r="E94" s="451"/>
      <c r="F94" s="451"/>
      <c r="G94" s="452"/>
      <c r="H94" s="463"/>
      <c r="I94" s="453"/>
      <c r="J94" s="466"/>
      <c r="K94" s="454"/>
      <c r="L94" s="454"/>
      <c r="M94" s="454"/>
      <c r="N94" s="454"/>
      <c r="O94" s="454"/>
      <c r="P94" s="454"/>
      <c r="Q94" s="454"/>
      <c r="R94" s="454"/>
      <c r="S94" s="454"/>
      <c r="T94" s="454"/>
      <c r="U94" s="454"/>
      <c r="V94" s="454"/>
      <c r="W94" s="454"/>
      <c r="X94" s="454"/>
      <c r="Y94" s="455">
        <f t="shared" si="4"/>
        <v>0</v>
      </c>
      <c r="Z94" s="454"/>
      <c r="AA94" s="456"/>
      <c r="AB94" s="460"/>
      <c r="AC94" s="458"/>
      <c r="AD94" s="465"/>
      <c r="AE94" s="459"/>
      <c r="AF94" s="460"/>
      <c r="AG94" s="458"/>
      <c r="AH94" s="454"/>
      <c r="AI94" s="456"/>
      <c r="AJ94" s="460"/>
      <c r="AK94" s="458"/>
      <c r="AL94" s="454"/>
      <c r="AM94" s="456"/>
      <c r="AN94" s="460"/>
      <c r="AO94" s="458"/>
      <c r="AP94" s="454"/>
      <c r="AQ94" s="456"/>
      <c r="AR94" s="460"/>
      <c r="AS94" s="458"/>
      <c r="AT94" s="454"/>
      <c r="AU94" s="456"/>
      <c r="AV94" s="460"/>
      <c r="AW94" s="458"/>
      <c r="AX94" s="454"/>
      <c r="AY94" s="456"/>
      <c r="AZ94" s="460"/>
      <c r="BA94" s="458"/>
      <c r="BB94" s="154">
        <f t="shared" si="5"/>
        <v>0</v>
      </c>
      <c r="BC94" s="461"/>
      <c r="BE94" s="156"/>
    </row>
    <row r="95" spans="2:57" s="148" customFormat="1" x14ac:dyDescent="0.25">
      <c r="B95" s="149"/>
      <c r="C95" s="149"/>
      <c r="D95" s="450"/>
      <c r="E95" s="451"/>
      <c r="F95" s="451"/>
      <c r="G95" s="452"/>
      <c r="H95" s="463"/>
      <c r="I95" s="453"/>
      <c r="J95" s="466"/>
      <c r="K95" s="454"/>
      <c r="L95" s="454"/>
      <c r="M95" s="454"/>
      <c r="N95" s="454"/>
      <c r="O95" s="454"/>
      <c r="P95" s="454"/>
      <c r="Q95" s="454"/>
      <c r="R95" s="454"/>
      <c r="S95" s="454"/>
      <c r="T95" s="454"/>
      <c r="U95" s="454"/>
      <c r="V95" s="454"/>
      <c r="W95" s="454"/>
      <c r="X95" s="454"/>
      <c r="Y95" s="455">
        <f t="shared" si="4"/>
        <v>0</v>
      </c>
      <c r="Z95" s="454"/>
      <c r="AA95" s="456"/>
      <c r="AB95" s="460"/>
      <c r="AC95" s="458"/>
      <c r="AD95" s="465"/>
      <c r="AE95" s="459"/>
      <c r="AF95" s="460"/>
      <c r="AG95" s="458"/>
      <c r="AH95" s="454"/>
      <c r="AI95" s="456"/>
      <c r="AJ95" s="460"/>
      <c r="AK95" s="458"/>
      <c r="AL95" s="454"/>
      <c r="AM95" s="456"/>
      <c r="AN95" s="460"/>
      <c r="AO95" s="458"/>
      <c r="AP95" s="454"/>
      <c r="AQ95" s="456"/>
      <c r="AR95" s="460"/>
      <c r="AS95" s="458"/>
      <c r="AT95" s="454"/>
      <c r="AU95" s="456"/>
      <c r="AV95" s="460"/>
      <c r="AW95" s="458"/>
      <c r="AX95" s="454"/>
      <c r="AY95" s="456"/>
      <c r="AZ95" s="460"/>
      <c r="BA95" s="458"/>
      <c r="BB95" s="154">
        <f t="shared" si="5"/>
        <v>0</v>
      </c>
      <c r="BC95" s="461"/>
    </row>
    <row r="96" spans="2:57" s="148" customFormat="1" x14ac:dyDescent="0.25">
      <c r="B96" s="149"/>
      <c r="C96" s="149"/>
      <c r="D96" s="450"/>
      <c r="E96" s="451"/>
      <c r="F96" s="451"/>
      <c r="G96" s="452"/>
      <c r="H96" s="463"/>
      <c r="I96" s="453"/>
      <c r="J96" s="466"/>
      <c r="K96" s="454"/>
      <c r="L96" s="454"/>
      <c r="M96" s="454"/>
      <c r="N96" s="454"/>
      <c r="O96" s="454"/>
      <c r="P96" s="454"/>
      <c r="Q96" s="454"/>
      <c r="R96" s="454"/>
      <c r="S96" s="454"/>
      <c r="T96" s="454"/>
      <c r="U96" s="454"/>
      <c r="V96" s="454"/>
      <c r="W96" s="454"/>
      <c r="X96" s="454"/>
      <c r="Y96" s="455">
        <f t="shared" si="4"/>
        <v>0</v>
      </c>
      <c r="Z96" s="454"/>
      <c r="AA96" s="456"/>
      <c r="AB96" s="460"/>
      <c r="AC96" s="458"/>
      <c r="AD96" s="465"/>
      <c r="AE96" s="459"/>
      <c r="AF96" s="460"/>
      <c r="AG96" s="458"/>
      <c r="AH96" s="454"/>
      <c r="AI96" s="456"/>
      <c r="AJ96" s="460"/>
      <c r="AK96" s="458"/>
      <c r="AL96" s="454"/>
      <c r="AM96" s="456"/>
      <c r="AN96" s="460"/>
      <c r="AO96" s="458"/>
      <c r="AP96" s="454"/>
      <c r="AQ96" s="456"/>
      <c r="AR96" s="460"/>
      <c r="AS96" s="458"/>
      <c r="AT96" s="454"/>
      <c r="AU96" s="456"/>
      <c r="AV96" s="460"/>
      <c r="AW96" s="458"/>
      <c r="AX96" s="454"/>
      <c r="AY96" s="456"/>
      <c r="AZ96" s="460"/>
      <c r="BA96" s="458"/>
      <c r="BB96" s="154">
        <f t="shared" si="5"/>
        <v>0</v>
      </c>
      <c r="BC96" s="461"/>
    </row>
    <row r="97" spans="2:56" s="148" customFormat="1" x14ac:dyDescent="0.25">
      <c r="B97" s="149"/>
      <c r="C97" s="149"/>
      <c r="D97" s="450"/>
      <c r="E97" s="451"/>
      <c r="F97" s="451"/>
      <c r="G97" s="452"/>
      <c r="H97" s="463"/>
      <c r="I97" s="453"/>
      <c r="J97" s="466"/>
      <c r="K97" s="454"/>
      <c r="L97" s="454"/>
      <c r="M97" s="454"/>
      <c r="N97" s="454"/>
      <c r="O97" s="454"/>
      <c r="P97" s="454"/>
      <c r="Q97" s="454"/>
      <c r="R97" s="454"/>
      <c r="S97" s="454"/>
      <c r="T97" s="454"/>
      <c r="U97" s="454"/>
      <c r="V97" s="454"/>
      <c r="W97" s="454"/>
      <c r="X97" s="454"/>
      <c r="Y97" s="455">
        <f t="shared" si="4"/>
        <v>0</v>
      </c>
      <c r="Z97" s="454"/>
      <c r="AA97" s="456"/>
      <c r="AB97" s="460"/>
      <c r="AC97" s="458"/>
      <c r="AD97" s="465"/>
      <c r="AE97" s="459"/>
      <c r="AF97" s="460"/>
      <c r="AG97" s="458"/>
      <c r="AH97" s="454"/>
      <c r="AI97" s="456"/>
      <c r="AJ97" s="460"/>
      <c r="AK97" s="458"/>
      <c r="AL97" s="454"/>
      <c r="AM97" s="456"/>
      <c r="AN97" s="460"/>
      <c r="AO97" s="458"/>
      <c r="AP97" s="454"/>
      <c r="AQ97" s="456"/>
      <c r="AR97" s="460"/>
      <c r="AS97" s="458"/>
      <c r="AT97" s="454"/>
      <c r="AU97" s="456"/>
      <c r="AV97" s="460"/>
      <c r="AW97" s="458"/>
      <c r="AX97" s="454"/>
      <c r="AY97" s="456"/>
      <c r="AZ97" s="460"/>
      <c r="BA97" s="458"/>
      <c r="BB97" s="154">
        <f t="shared" si="5"/>
        <v>0</v>
      </c>
      <c r="BC97" s="461"/>
    </row>
    <row r="98" spans="2:56" s="148" customFormat="1" x14ac:dyDescent="0.25">
      <c r="B98" s="149"/>
      <c r="C98" s="149"/>
      <c r="D98" s="450"/>
      <c r="E98" s="451"/>
      <c r="F98" s="451"/>
      <c r="G98" s="452"/>
      <c r="H98" s="463"/>
      <c r="I98" s="453"/>
      <c r="J98" s="466"/>
      <c r="K98" s="454"/>
      <c r="L98" s="454"/>
      <c r="M98" s="454"/>
      <c r="N98" s="454"/>
      <c r="O98" s="454"/>
      <c r="P98" s="454"/>
      <c r="Q98" s="454"/>
      <c r="R98" s="454"/>
      <c r="S98" s="454"/>
      <c r="T98" s="454"/>
      <c r="U98" s="454"/>
      <c r="V98" s="454"/>
      <c r="W98" s="454"/>
      <c r="X98" s="454"/>
      <c r="Y98" s="455">
        <f t="shared" si="4"/>
        <v>0</v>
      </c>
      <c r="Z98" s="454"/>
      <c r="AA98" s="456"/>
      <c r="AB98" s="460"/>
      <c r="AC98" s="458"/>
      <c r="AD98" s="465"/>
      <c r="AE98" s="459"/>
      <c r="AF98" s="460"/>
      <c r="AG98" s="458"/>
      <c r="AH98" s="454"/>
      <c r="AI98" s="456"/>
      <c r="AJ98" s="460"/>
      <c r="AK98" s="458"/>
      <c r="AL98" s="454"/>
      <c r="AM98" s="456"/>
      <c r="AN98" s="460"/>
      <c r="AO98" s="458"/>
      <c r="AP98" s="454"/>
      <c r="AQ98" s="456"/>
      <c r="AR98" s="460"/>
      <c r="AS98" s="458"/>
      <c r="AT98" s="454"/>
      <c r="AU98" s="456"/>
      <c r="AV98" s="460"/>
      <c r="AW98" s="458"/>
      <c r="AX98" s="454"/>
      <c r="AY98" s="456"/>
      <c r="AZ98" s="460"/>
      <c r="BA98" s="458"/>
      <c r="BB98" s="154">
        <f t="shared" si="5"/>
        <v>0</v>
      </c>
      <c r="BC98" s="461"/>
    </row>
    <row r="99" spans="2:56" s="148" customFormat="1" x14ac:dyDescent="0.25">
      <c r="B99" s="149"/>
      <c r="C99" s="149"/>
      <c r="D99" s="450"/>
      <c r="E99" s="451"/>
      <c r="F99" s="451"/>
      <c r="G99" s="452"/>
      <c r="H99" s="463"/>
      <c r="I99" s="453"/>
      <c r="J99" s="466"/>
      <c r="K99" s="454"/>
      <c r="L99" s="454"/>
      <c r="M99" s="454"/>
      <c r="N99" s="454"/>
      <c r="O99" s="454"/>
      <c r="P99" s="454"/>
      <c r="Q99" s="454"/>
      <c r="R99" s="454"/>
      <c r="S99" s="454"/>
      <c r="T99" s="454"/>
      <c r="U99" s="454"/>
      <c r="V99" s="454"/>
      <c r="W99" s="454"/>
      <c r="X99" s="454"/>
      <c r="Y99" s="455">
        <f t="shared" si="4"/>
        <v>0</v>
      </c>
      <c r="Z99" s="454"/>
      <c r="AA99" s="456"/>
      <c r="AB99" s="460"/>
      <c r="AC99" s="458"/>
      <c r="AD99" s="465"/>
      <c r="AE99" s="459"/>
      <c r="AF99" s="460"/>
      <c r="AG99" s="458"/>
      <c r="AH99" s="454"/>
      <c r="AI99" s="456"/>
      <c r="AJ99" s="460"/>
      <c r="AK99" s="458"/>
      <c r="AL99" s="454"/>
      <c r="AM99" s="456"/>
      <c r="AN99" s="460"/>
      <c r="AO99" s="458"/>
      <c r="AP99" s="454"/>
      <c r="AQ99" s="456"/>
      <c r="AR99" s="460"/>
      <c r="AS99" s="458"/>
      <c r="AT99" s="454"/>
      <c r="AU99" s="456"/>
      <c r="AV99" s="460"/>
      <c r="AW99" s="458"/>
      <c r="AX99" s="454"/>
      <c r="AY99" s="456"/>
      <c r="AZ99" s="460"/>
      <c r="BA99" s="458"/>
      <c r="BB99" s="154">
        <f t="shared" si="5"/>
        <v>0</v>
      </c>
      <c r="BC99" s="461"/>
    </row>
    <row r="100" spans="2:56" s="148" customFormat="1" x14ac:dyDescent="0.25">
      <c r="B100" s="149"/>
      <c r="C100" s="149"/>
      <c r="D100" s="450"/>
      <c r="E100" s="451"/>
      <c r="F100" s="451"/>
      <c r="G100" s="452"/>
      <c r="H100" s="463"/>
      <c r="I100" s="453"/>
      <c r="J100" s="466"/>
      <c r="K100" s="454"/>
      <c r="L100" s="454"/>
      <c r="M100" s="454"/>
      <c r="N100" s="454"/>
      <c r="O100" s="454"/>
      <c r="P100" s="454"/>
      <c r="Q100" s="454"/>
      <c r="R100" s="454"/>
      <c r="S100" s="454"/>
      <c r="T100" s="454"/>
      <c r="U100" s="454"/>
      <c r="V100" s="454"/>
      <c r="W100" s="454"/>
      <c r="X100" s="454"/>
      <c r="Y100" s="455">
        <f t="shared" si="4"/>
        <v>0</v>
      </c>
      <c r="Z100" s="454"/>
      <c r="AA100" s="456"/>
      <c r="AB100" s="460"/>
      <c r="AC100" s="458"/>
      <c r="AD100" s="465"/>
      <c r="AE100" s="459"/>
      <c r="AF100" s="460"/>
      <c r="AG100" s="458"/>
      <c r="AH100" s="454"/>
      <c r="AI100" s="456"/>
      <c r="AJ100" s="460"/>
      <c r="AK100" s="458"/>
      <c r="AL100" s="454"/>
      <c r="AM100" s="456"/>
      <c r="AN100" s="460"/>
      <c r="AO100" s="458"/>
      <c r="AP100" s="454"/>
      <c r="AQ100" s="456"/>
      <c r="AR100" s="460"/>
      <c r="AS100" s="458"/>
      <c r="AT100" s="454"/>
      <c r="AU100" s="456"/>
      <c r="AV100" s="460"/>
      <c r="AW100" s="458"/>
      <c r="AX100" s="454"/>
      <c r="AY100" s="456"/>
      <c r="AZ100" s="460"/>
      <c r="BA100" s="458"/>
      <c r="BB100" s="154">
        <f t="shared" si="5"/>
        <v>0</v>
      </c>
      <c r="BC100" s="461"/>
    </row>
    <row r="101" spans="2:56" s="148" customFormat="1" x14ac:dyDescent="0.25">
      <c r="B101" s="149"/>
      <c r="C101" s="149"/>
      <c r="D101" s="450"/>
      <c r="E101" s="451"/>
      <c r="F101" s="451"/>
      <c r="G101" s="452"/>
      <c r="H101" s="463"/>
      <c r="I101" s="453"/>
      <c r="J101" s="466"/>
      <c r="K101" s="454"/>
      <c r="L101" s="454"/>
      <c r="M101" s="454"/>
      <c r="N101" s="454"/>
      <c r="O101" s="454"/>
      <c r="P101" s="454"/>
      <c r="Q101" s="454"/>
      <c r="R101" s="454"/>
      <c r="S101" s="454"/>
      <c r="T101" s="454"/>
      <c r="U101" s="454"/>
      <c r="V101" s="454"/>
      <c r="W101" s="454"/>
      <c r="X101" s="454"/>
      <c r="Y101" s="455">
        <f t="shared" si="4"/>
        <v>0</v>
      </c>
      <c r="Z101" s="454"/>
      <c r="AA101" s="456"/>
      <c r="AB101" s="460"/>
      <c r="AC101" s="458"/>
      <c r="AD101" s="465"/>
      <c r="AE101" s="459"/>
      <c r="AF101" s="460"/>
      <c r="AG101" s="458"/>
      <c r="AH101" s="454"/>
      <c r="AI101" s="456"/>
      <c r="AJ101" s="460"/>
      <c r="AK101" s="458"/>
      <c r="AL101" s="454"/>
      <c r="AM101" s="456"/>
      <c r="AN101" s="460"/>
      <c r="AO101" s="458"/>
      <c r="AP101" s="454"/>
      <c r="AQ101" s="456"/>
      <c r="AR101" s="460"/>
      <c r="AS101" s="458"/>
      <c r="AT101" s="454"/>
      <c r="AU101" s="456"/>
      <c r="AV101" s="460"/>
      <c r="AW101" s="458"/>
      <c r="AX101" s="454"/>
      <c r="AY101" s="456"/>
      <c r="AZ101" s="460"/>
      <c r="BA101" s="458"/>
      <c r="BB101" s="154">
        <f t="shared" si="5"/>
        <v>0</v>
      </c>
      <c r="BC101" s="461"/>
    </row>
    <row r="102" spans="2:56" s="148" customFormat="1" x14ac:dyDescent="0.25">
      <c r="B102" s="149"/>
      <c r="C102" s="149"/>
      <c r="D102" s="450"/>
      <c r="E102" s="451"/>
      <c r="F102" s="451"/>
      <c r="G102" s="452"/>
      <c r="H102" s="463"/>
      <c r="I102" s="453"/>
      <c r="J102" s="466"/>
      <c r="K102" s="454"/>
      <c r="L102" s="454"/>
      <c r="M102" s="454"/>
      <c r="N102" s="454"/>
      <c r="O102" s="454"/>
      <c r="P102" s="454"/>
      <c r="Q102" s="454"/>
      <c r="R102" s="454"/>
      <c r="S102" s="454"/>
      <c r="T102" s="454"/>
      <c r="U102" s="454"/>
      <c r="V102" s="454"/>
      <c r="W102" s="454"/>
      <c r="X102" s="454"/>
      <c r="Y102" s="455">
        <f t="shared" si="4"/>
        <v>0</v>
      </c>
      <c r="Z102" s="454"/>
      <c r="AA102" s="456"/>
      <c r="AB102" s="460"/>
      <c r="AC102" s="458"/>
      <c r="AD102" s="465"/>
      <c r="AE102" s="459"/>
      <c r="AF102" s="460"/>
      <c r="AG102" s="458"/>
      <c r="AH102" s="454"/>
      <c r="AI102" s="456"/>
      <c r="AJ102" s="460"/>
      <c r="AK102" s="458"/>
      <c r="AL102" s="454"/>
      <c r="AM102" s="456"/>
      <c r="AN102" s="460"/>
      <c r="AO102" s="458"/>
      <c r="AP102" s="454"/>
      <c r="AQ102" s="456"/>
      <c r="AR102" s="460"/>
      <c r="AS102" s="458"/>
      <c r="AT102" s="454"/>
      <c r="AU102" s="456"/>
      <c r="AV102" s="460"/>
      <c r="AW102" s="458"/>
      <c r="AX102" s="454"/>
      <c r="AY102" s="456"/>
      <c r="AZ102" s="460"/>
      <c r="BA102" s="458"/>
      <c r="BB102" s="154">
        <f t="shared" si="5"/>
        <v>0</v>
      </c>
      <c r="BC102" s="461"/>
    </row>
    <row r="103" spans="2:56" s="148" customFormat="1" x14ac:dyDescent="0.2">
      <c r="B103" s="149"/>
      <c r="C103" s="149"/>
      <c r="D103" s="450"/>
      <c r="E103" s="451"/>
      <c r="F103" s="451"/>
      <c r="G103" s="452"/>
      <c r="H103" s="463"/>
      <c r="I103" s="450"/>
      <c r="J103" s="466"/>
      <c r="K103" s="454"/>
      <c r="L103" s="454"/>
      <c r="M103" s="454"/>
      <c r="N103" s="454"/>
      <c r="O103" s="454"/>
      <c r="P103" s="454"/>
      <c r="Q103" s="454"/>
      <c r="R103" s="454"/>
      <c r="S103" s="454"/>
      <c r="T103" s="454"/>
      <c r="U103" s="454"/>
      <c r="V103" s="454"/>
      <c r="W103" s="454"/>
      <c r="X103" s="454"/>
      <c r="Y103" s="454">
        <f t="shared" si="4"/>
        <v>0</v>
      </c>
      <c r="Z103" s="454"/>
      <c r="AA103" s="456"/>
      <c r="AB103" s="460"/>
      <c r="AC103" s="458"/>
      <c r="AD103" s="465"/>
      <c r="AE103" s="459"/>
      <c r="AF103" s="460"/>
      <c r="AG103" s="458"/>
      <c r="AH103" s="454"/>
      <c r="AI103" s="456"/>
      <c r="AJ103" s="460"/>
      <c r="AK103" s="458"/>
      <c r="AL103" s="454"/>
      <c r="AM103" s="456"/>
      <c r="AN103" s="460"/>
      <c r="AO103" s="458"/>
      <c r="AP103" s="454"/>
      <c r="AQ103" s="456"/>
      <c r="AR103" s="460"/>
      <c r="AS103" s="458"/>
      <c r="AT103" s="454"/>
      <c r="AU103" s="456"/>
      <c r="AV103" s="460"/>
      <c r="AW103" s="458"/>
      <c r="AX103" s="454"/>
      <c r="AY103" s="456"/>
      <c r="AZ103" s="460"/>
      <c r="BA103" s="458"/>
      <c r="BB103" s="154">
        <f t="shared" si="5"/>
        <v>0</v>
      </c>
      <c r="BC103" s="461">
        <f>+BB103-Y103</f>
        <v>0</v>
      </c>
      <c r="BD103" s="134"/>
    </row>
    <row r="104" spans="2:56" s="3" customFormat="1" ht="15" customHeight="1" x14ac:dyDescent="0.25">
      <c r="B104" s="746" t="s">
        <v>39</v>
      </c>
      <c r="C104" s="747"/>
      <c r="D104" s="747"/>
      <c r="E104" s="747"/>
      <c r="F104" s="747"/>
      <c r="G104" s="747"/>
      <c r="H104" s="747"/>
      <c r="I104" s="748"/>
      <c r="J104" s="24">
        <f t="shared" ref="J104:X104" si="6">SUBTOTAL(9,J16:J98)</f>
        <v>202989647</v>
      </c>
      <c r="K104" s="24">
        <f t="shared" si="6"/>
        <v>82566606</v>
      </c>
      <c r="L104" s="24">
        <f t="shared" si="6"/>
        <v>35401936</v>
      </c>
      <c r="M104" s="24">
        <f t="shared" si="6"/>
        <v>0</v>
      </c>
      <c r="N104" s="24">
        <f t="shared" si="6"/>
        <v>2581619</v>
      </c>
      <c r="O104" s="24">
        <f t="shared" si="6"/>
        <v>3325882</v>
      </c>
      <c r="P104" s="24">
        <f t="shared" si="6"/>
        <v>4244741.1720000003</v>
      </c>
      <c r="Q104" s="24">
        <f>SUBTOTAL(9,Q16:Q98)</f>
        <v>4009474.0530000003</v>
      </c>
      <c r="R104" s="24">
        <f t="shared" si="6"/>
        <v>5012585.9899999993</v>
      </c>
      <c r="S104" s="24">
        <f t="shared" si="6"/>
        <v>0</v>
      </c>
      <c r="T104" s="24">
        <f t="shared" si="6"/>
        <v>0</v>
      </c>
      <c r="U104" s="24">
        <f t="shared" si="6"/>
        <v>0</v>
      </c>
      <c r="V104" s="24">
        <f t="shared" si="6"/>
        <v>0</v>
      </c>
      <c r="W104" s="24">
        <f t="shared" si="6"/>
        <v>0</v>
      </c>
      <c r="X104" s="24">
        <f t="shared" si="6"/>
        <v>0</v>
      </c>
      <c r="Y104" s="24">
        <f>SUBTOTAL(9,Y16:Y98)</f>
        <v>19174302.215000004</v>
      </c>
      <c r="Z104" s="24">
        <f>SUBTOTAL(9,Z16:Z98)</f>
        <v>43846778</v>
      </c>
      <c r="AA104" s="24"/>
      <c r="AB104" s="24"/>
      <c r="AC104" s="24"/>
      <c r="AD104" s="24">
        <f>SUBTOTAL(9,AD16:AD98)</f>
        <v>163753</v>
      </c>
      <c r="AE104" s="24"/>
      <c r="AF104" s="24"/>
      <c r="AG104" s="24"/>
      <c r="AH104" s="24">
        <f>SUBTOTAL(9,AH16:AH98)</f>
        <v>1794435</v>
      </c>
      <c r="AI104" s="24"/>
      <c r="AJ104" s="24"/>
      <c r="AK104" s="24"/>
      <c r="AL104" s="24">
        <f>SUBTOTAL(9,AL16:AL98)</f>
        <v>30828</v>
      </c>
      <c r="AM104" s="24"/>
      <c r="AN104" s="24"/>
      <c r="AO104" s="24"/>
      <c r="AP104" s="24">
        <f>SUBTOTAL(9,AP16:AP98)</f>
        <v>-691893</v>
      </c>
      <c r="AQ104" s="24"/>
      <c r="AR104" s="24"/>
      <c r="AS104" s="24"/>
      <c r="AT104" s="24">
        <f>SUBTOTAL(9,AT16:AT98)</f>
        <v>-1891318</v>
      </c>
      <c r="AU104" s="24"/>
      <c r="AV104" s="24"/>
      <c r="AW104" s="24"/>
      <c r="AX104" s="24">
        <f>SUM(AX16:AX103)</f>
        <v>0</v>
      </c>
      <c r="AY104" s="24">
        <f>SUM(AY16:AY103)</f>
        <v>0</v>
      </c>
      <c r="AZ104" s="24">
        <f>SUM(AZ16:AZ103)</f>
        <v>0</v>
      </c>
      <c r="BA104" s="24">
        <f>SUM(BA16:BA103)</f>
        <v>0</v>
      </c>
      <c r="BB104" s="24">
        <f>SUBTOTAL(9,BB16:BB98)</f>
        <v>43252583</v>
      </c>
      <c r="BC104" s="24">
        <f>SUBTOTAL(9,BC16:BC98)</f>
        <v>24078280.784999993</v>
      </c>
    </row>
    <row r="105" spans="2:56" ht="20.25" customHeight="1" x14ac:dyDescent="0.2">
      <c r="B105" s="749"/>
      <c r="C105" s="749"/>
      <c r="D105" s="749"/>
      <c r="E105" s="749"/>
      <c r="F105" s="160"/>
      <c r="G105" s="145"/>
      <c r="H105" s="145"/>
    </row>
    <row r="106" spans="2:56" x14ac:dyDescent="0.2">
      <c r="B106" s="139"/>
      <c r="C106" s="161"/>
      <c r="D106" s="162"/>
      <c r="E106" s="162"/>
      <c r="F106" s="162"/>
      <c r="G106" s="163"/>
      <c r="H106" s="162"/>
      <c r="I106" s="162"/>
      <c r="J106" s="162"/>
      <c r="K106" s="163"/>
      <c r="L106" s="162"/>
      <c r="M106" s="162"/>
      <c r="N106" s="162"/>
      <c r="O106" s="163"/>
      <c r="P106" s="162"/>
      <c r="Q106" s="162"/>
      <c r="R106" s="162"/>
      <c r="S106" s="163"/>
      <c r="T106" s="162"/>
      <c r="U106" s="162"/>
      <c r="V106" s="162"/>
      <c r="W106" s="163"/>
      <c r="X106" s="162"/>
      <c r="Y106" s="162"/>
      <c r="Z106" s="140"/>
      <c r="AA106" s="134"/>
      <c r="AD106" s="134"/>
      <c r="AE106" s="134"/>
      <c r="AI106" s="134"/>
      <c r="AM106" s="134"/>
      <c r="AQ106" s="134"/>
      <c r="AU106" s="134"/>
      <c r="AY106" s="134"/>
    </row>
    <row r="107" spans="2:56" x14ac:dyDescent="0.2">
      <c r="B107" s="139"/>
      <c r="C107" s="140"/>
      <c r="D107" s="134"/>
      <c r="G107" s="141"/>
      <c r="K107" s="141"/>
      <c r="O107" s="141"/>
      <c r="S107" s="141"/>
      <c r="W107" s="141"/>
      <c r="Z107" s="140"/>
      <c r="AA107" s="134"/>
      <c r="AD107" s="134"/>
      <c r="AE107" s="134"/>
      <c r="AI107" s="134"/>
      <c r="AM107" s="134"/>
      <c r="AQ107" s="134"/>
      <c r="AU107" s="134"/>
      <c r="AY107" s="134"/>
    </row>
    <row r="108" spans="2:56" x14ac:dyDescent="0.2">
      <c r="B108" s="139"/>
      <c r="C108" s="140"/>
      <c r="D108" s="134"/>
      <c r="G108" s="141"/>
      <c r="K108" s="141"/>
      <c r="O108" s="141"/>
      <c r="S108" s="141"/>
      <c r="W108" s="141"/>
      <c r="AA108" s="134"/>
      <c r="AD108" s="134"/>
      <c r="AE108" s="134"/>
      <c r="AI108" s="134"/>
      <c r="AM108" s="134"/>
      <c r="AQ108" s="134"/>
      <c r="AU108" s="134"/>
      <c r="AY108" s="134"/>
    </row>
    <row r="109" spans="2:56" x14ac:dyDescent="0.2">
      <c r="B109" s="139"/>
      <c r="C109" s="140"/>
      <c r="D109" s="134"/>
      <c r="G109" s="141"/>
      <c r="K109" s="141"/>
      <c r="O109" s="141"/>
      <c r="S109" s="141"/>
      <c r="W109" s="141"/>
      <c r="AA109" s="134"/>
      <c r="AD109" s="134"/>
      <c r="AE109" s="134"/>
      <c r="AI109" s="134"/>
      <c r="AM109" s="134"/>
      <c r="AQ109" s="134"/>
      <c r="AU109" s="134"/>
      <c r="AY109" s="134"/>
    </row>
    <row r="110" spans="2:56" x14ac:dyDescent="0.2">
      <c r="B110" s="139"/>
      <c r="C110" s="140"/>
      <c r="D110" s="134"/>
      <c r="G110" s="141"/>
      <c r="K110" s="141"/>
      <c r="O110" s="141"/>
      <c r="S110" s="141"/>
      <c r="W110" s="141"/>
      <c r="AA110" s="134"/>
      <c r="AD110" s="134"/>
      <c r="AE110" s="134"/>
      <c r="AI110" s="134"/>
      <c r="AM110" s="134"/>
      <c r="AQ110" s="134"/>
      <c r="AU110" s="134"/>
      <c r="AY110" s="134"/>
    </row>
    <row r="111" spans="2:56" x14ac:dyDescent="0.2">
      <c r="B111" s="139"/>
      <c r="C111" s="140"/>
      <c r="D111" s="134"/>
      <c r="G111" s="141"/>
      <c r="K111" s="141"/>
      <c r="O111" s="141"/>
      <c r="S111" s="141"/>
      <c r="W111" s="141"/>
      <c r="AA111" s="134"/>
      <c r="AD111" s="134"/>
      <c r="AE111" s="134"/>
      <c r="AI111" s="134"/>
      <c r="AM111" s="134"/>
      <c r="AQ111" s="134"/>
      <c r="AU111" s="134"/>
      <c r="AY111" s="134"/>
    </row>
    <row r="112" spans="2:56" x14ac:dyDescent="0.2">
      <c r="B112" s="139"/>
      <c r="C112" s="140"/>
      <c r="D112" s="134"/>
      <c r="G112" s="141"/>
      <c r="K112" s="141"/>
      <c r="O112" s="141"/>
      <c r="S112" s="141"/>
      <c r="W112" s="141"/>
      <c r="AA112" s="134"/>
      <c r="AD112" s="134"/>
      <c r="AE112" s="134"/>
      <c r="AI112" s="134"/>
      <c r="AM112" s="134"/>
      <c r="AQ112" s="134"/>
      <c r="AU112" s="134"/>
      <c r="AY112" s="134"/>
    </row>
    <row r="113" spans="2:51" x14ac:dyDescent="0.2">
      <c r="B113" s="139"/>
      <c r="C113" s="140"/>
      <c r="D113" s="134"/>
      <c r="G113" s="141"/>
      <c r="K113" s="141"/>
      <c r="O113" s="141"/>
      <c r="S113" s="141"/>
      <c r="W113" s="141"/>
      <c r="AA113" s="134"/>
      <c r="AD113" s="134"/>
      <c r="AE113" s="134"/>
      <c r="AI113" s="134"/>
      <c r="AM113" s="134"/>
      <c r="AQ113" s="134"/>
      <c r="AU113" s="134"/>
      <c r="AY113" s="134"/>
    </row>
    <row r="114" spans="2:51" x14ac:dyDescent="0.2">
      <c r="B114" s="139"/>
      <c r="C114" s="140"/>
      <c r="D114" s="134"/>
      <c r="G114" s="141"/>
      <c r="K114" s="141"/>
      <c r="O114" s="141"/>
      <c r="S114" s="141"/>
      <c r="W114" s="141"/>
      <c r="AA114" s="134"/>
      <c r="AD114" s="134"/>
      <c r="AE114" s="134"/>
      <c r="AI114" s="134"/>
      <c r="AM114" s="134"/>
      <c r="AQ114" s="134"/>
      <c r="AU114" s="134"/>
      <c r="AY114" s="134"/>
    </row>
    <row r="115" spans="2:51" x14ac:dyDescent="0.2">
      <c r="B115" s="139"/>
      <c r="C115" s="140"/>
      <c r="D115" s="134"/>
      <c r="G115" s="141"/>
      <c r="K115" s="141"/>
      <c r="O115" s="141"/>
      <c r="S115" s="141"/>
      <c r="W115" s="141"/>
      <c r="AA115" s="134"/>
      <c r="AD115" s="134"/>
      <c r="AE115" s="134"/>
      <c r="AI115" s="134"/>
      <c r="AM115" s="134"/>
      <c r="AQ115" s="134"/>
      <c r="AU115" s="134"/>
      <c r="AY115" s="134"/>
    </row>
    <row r="116" spans="2:51" x14ac:dyDescent="0.2">
      <c r="B116" s="139"/>
      <c r="C116" s="140"/>
      <c r="D116" s="134"/>
      <c r="G116" s="141"/>
      <c r="K116" s="141"/>
      <c r="O116" s="141"/>
      <c r="S116" s="141"/>
      <c r="W116" s="141"/>
      <c r="AA116" s="134"/>
      <c r="AD116" s="134"/>
      <c r="AE116" s="134"/>
      <c r="AI116" s="134"/>
      <c r="AM116" s="134"/>
      <c r="AQ116" s="134"/>
      <c r="AU116" s="134"/>
      <c r="AY116" s="134"/>
    </row>
    <row r="117" spans="2:51" x14ac:dyDescent="0.2">
      <c r="B117" s="139"/>
      <c r="C117" s="140"/>
      <c r="D117" s="134"/>
      <c r="G117" s="141"/>
      <c r="K117" s="141"/>
      <c r="O117" s="141"/>
      <c r="S117" s="141"/>
      <c r="W117" s="141"/>
      <c r="AA117" s="134"/>
      <c r="AD117" s="134"/>
      <c r="AE117" s="134"/>
      <c r="AI117" s="134"/>
      <c r="AM117" s="134"/>
      <c r="AQ117" s="134"/>
      <c r="AU117" s="134"/>
      <c r="AY117" s="134"/>
    </row>
    <row r="118" spans="2:51" x14ac:dyDescent="0.2">
      <c r="B118" s="139"/>
      <c r="C118" s="140"/>
      <c r="D118" s="134"/>
      <c r="G118" s="141"/>
      <c r="K118" s="141"/>
      <c r="O118" s="141"/>
      <c r="S118" s="141"/>
      <c r="W118" s="141"/>
      <c r="AA118" s="134"/>
      <c r="AD118" s="134"/>
      <c r="AE118" s="134"/>
      <c r="AI118" s="134"/>
      <c r="AM118" s="134"/>
      <c r="AQ118" s="134"/>
      <c r="AU118" s="134"/>
      <c r="AY118" s="134"/>
    </row>
    <row r="119" spans="2:51" x14ac:dyDescent="0.2">
      <c r="B119" s="139"/>
      <c r="C119" s="140"/>
      <c r="D119" s="134"/>
      <c r="G119" s="141"/>
      <c r="K119" s="141"/>
      <c r="O119" s="141"/>
      <c r="S119" s="141"/>
      <c r="W119" s="141"/>
      <c r="AA119" s="134"/>
      <c r="AD119" s="134"/>
      <c r="AE119" s="134"/>
      <c r="AI119" s="134"/>
      <c r="AM119" s="134"/>
      <c r="AQ119" s="134"/>
      <c r="AU119" s="134"/>
      <c r="AY119" s="134"/>
    </row>
    <row r="120" spans="2:51" x14ac:dyDescent="0.2">
      <c r="B120" s="139"/>
      <c r="C120" s="140"/>
      <c r="D120" s="134"/>
      <c r="G120" s="141"/>
      <c r="K120" s="141"/>
      <c r="O120" s="141"/>
      <c r="S120" s="141"/>
      <c r="W120" s="141"/>
      <c r="AA120" s="134"/>
      <c r="AD120" s="134"/>
      <c r="AE120" s="134"/>
      <c r="AI120" s="134"/>
      <c r="AM120" s="134"/>
      <c r="AQ120" s="134"/>
      <c r="AU120" s="134"/>
      <c r="AY120" s="134"/>
    </row>
    <row r="121" spans="2:51" x14ac:dyDescent="0.2">
      <c r="B121" s="139"/>
      <c r="C121" s="140"/>
      <c r="D121" s="134"/>
      <c r="G121" s="141"/>
      <c r="K121" s="141"/>
      <c r="O121" s="141"/>
      <c r="S121" s="141"/>
      <c r="W121" s="141"/>
      <c r="AA121" s="134"/>
      <c r="AD121" s="134"/>
      <c r="AE121" s="134"/>
      <c r="AI121" s="134"/>
      <c r="AM121" s="134"/>
      <c r="AQ121" s="134"/>
      <c r="AU121" s="134"/>
      <c r="AY121" s="134"/>
    </row>
    <row r="122" spans="2:51" x14ac:dyDescent="0.2">
      <c r="B122" s="139"/>
      <c r="C122" s="140"/>
      <c r="D122" s="134"/>
      <c r="G122" s="141"/>
      <c r="K122" s="141"/>
      <c r="O122" s="141"/>
      <c r="S122" s="141"/>
      <c r="W122" s="141"/>
      <c r="AA122" s="134"/>
      <c r="AD122" s="134"/>
      <c r="AE122" s="134"/>
      <c r="AI122" s="134"/>
      <c r="AM122" s="134"/>
      <c r="AQ122" s="134"/>
      <c r="AU122" s="134"/>
      <c r="AY122" s="134"/>
    </row>
    <row r="123" spans="2:51" x14ac:dyDescent="0.2">
      <c r="B123" s="139"/>
      <c r="C123" s="140"/>
      <c r="D123" s="134"/>
      <c r="G123" s="141"/>
      <c r="K123" s="141"/>
      <c r="O123" s="141"/>
      <c r="S123" s="141"/>
      <c r="W123" s="141"/>
      <c r="AA123" s="134"/>
      <c r="AD123" s="134"/>
      <c r="AE123" s="134"/>
      <c r="AI123" s="134"/>
      <c r="AM123" s="134"/>
      <c r="AQ123" s="134"/>
      <c r="AU123" s="134"/>
      <c r="AY123" s="134"/>
    </row>
    <row r="124" spans="2:51" x14ac:dyDescent="0.2">
      <c r="B124" s="139"/>
      <c r="C124" s="140"/>
      <c r="D124" s="134"/>
      <c r="G124" s="141"/>
      <c r="K124" s="141"/>
      <c r="O124" s="141"/>
      <c r="S124" s="141"/>
      <c r="W124" s="141"/>
      <c r="AA124" s="134"/>
      <c r="AD124" s="134"/>
      <c r="AE124" s="134"/>
      <c r="AI124" s="134"/>
      <c r="AM124" s="134"/>
      <c r="AQ124" s="134"/>
      <c r="AU124" s="134"/>
      <c r="AY124" s="134"/>
    </row>
    <row r="125" spans="2:51" x14ac:dyDescent="0.2">
      <c r="B125" s="139"/>
      <c r="C125" s="140"/>
      <c r="D125" s="134"/>
      <c r="G125" s="141"/>
      <c r="K125" s="141"/>
      <c r="O125" s="141"/>
      <c r="S125" s="141"/>
      <c r="W125" s="141"/>
      <c r="AA125" s="134"/>
      <c r="AD125" s="134"/>
      <c r="AE125" s="134"/>
      <c r="AI125" s="134"/>
      <c r="AM125" s="134"/>
      <c r="AQ125" s="134"/>
      <c r="AU125" s="134"/>
      <c r="AY125" s="134"/>
    </row>
    <row r="126" spans="2:51" x14ac:dyDescent="0.2">
      <c r="B126" s="139"/>
      <c r="C126" s="140"/>
      <c r="D126" s="134"/>
      <c r="G126" s="141"/>
      <c r="K126" s="141"/>
      <c r="O126" s="141"/>
      <c r="S126" s="141"/>
      <c r="W126" s="141"/>
      <c r="AA126" s="134"/>
      <c r="AD126" s="134"/>
      <c r="AE126" s="134"/>
      <c r="AI126" s="134"/>
      <c r="AM126" s="134"/>
      <c r="AQ126" s="134"/>
      <c r="AU126" s="134"/>
      <c r="AY126" s="134"/>
    </row>
  </sheetData>
  <mergeCells count="17">
    <mergeCell ref="AX14:BA14"/>
    <mergeCell ref="BB14:BC14"/>
    <mergeCell ref="B104:I104"/>
    <mergeCell ref="B105:E105"/>
    <mergeCell ref="AL14:AO14"/>
    <mergeCell ref="AP14:AS14"/>
    <mergeCell ref="B9:AC10"/>
    <mergeCell ref="Z14:AC14"/>
    <mergeCell ref="AD14:AG14"/>
    <mergeCell ref="AH14:AK14"/>
    <mergeCell ref="AT14:AW14"/>
    <mergeCell ref="B8:AC8"/>
    <mergeCell ref="B1:AC2"/>
    <mergeCell ref="B3:AC4"/>
    <mergeCell ref="B5:AC5"/>
    <mergeCell ref="B6:AC6"/>
    <mergeCell ref="B7:AC7"/>
  </mergeCells>
  <conditionalFormatting sqref="D103">
    <cfRule type="duplicateValues" dxfId="116" priority="1"/>
  </conditionalFormatting>
  <conditionalFormatting sqref="D99:D102 D37:D89">
    <cfRule type="duplicateValues" dxfId="115" priority="2"/>
  </conditionalFormatting>
  <conditionalFormatting sqref="D16:D36">
    <cfRule type="duplicateValues" dxfId="114" priority="3"/>
  </conditionalFormatting>
  <conditionalFormatting sqref="D90:D98">
    <cfRule type="duplicateValues" dxfId="113" priority="4"/>
  </conditionalFormatting>
  <pageMargins left="0.7" right="0.7" top="0.75" bottom="0.75" header="0.3" footer="0.3"/>
  <ignoredErrors>
    <ignoredError sqref="Y44:Y93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AU144"/>
  <sheetViews>
    <sheetView topLeftCell="T9" workbookViewId="0">
      <selection activeCell="AI29" sqref="AI29"/>
    </sheetView>
  </sheetViews>
  <sheetFormatPr baseColWidth="10" defaultRowHeight="11.25" x14ac:dyDescent="0.2"/>
  <cols>
    <col min="1" max="1" width="5" style="134" customWidth="1"/>
    <col min="2" max="2" width="10.140625" style="145" customWidth="1"/>
    <col min="3" max="3" width="9.85546875" style="134" customWidth="1"/>
    <col min="4" max="4" width="11.42578125" style="145" customWidth="1"/>
    <col min="5" max="5" width="37" style="134" customWidth="1"/>
    <col min="6" max="6" width="13.140625" style="134" customWidth="1"/>
    <col min="7" max="7" width="11.28515625" style="134" customWidth="1"/>
    <col min="8" max="8" width="18.85546875" style="134" customWidth="1"/>
    <col min="9" max="9" width="9.7109375" style="134" customWidth="1"/>
    <col min="10" max="10" width="9.7109375" style="140" customWidth="1"/>
    <col min="11" max="25" width="12" style="134" customWidth="1"/>
    <col min="26" max="26" width="10.140625" style="134" customWidth="1"/>
    <col min="27" max="27" width="10.140625" style="141" customWidth="1"/>
    <col min="28" max="30" width="10.140625" style="134" customWidth="1"/>
    <col min="31" max="31" width="10.140625" style="140" customWidth="1"/>
    <col min="32" max="34" width="10.140625" style="134" customWidth="1"/>
    <col min="35" max="35" width="10.140625" style="141" customWidth="1"/>
    <col min="36" max="38" width="10.140625" style="134" customWidth="1"/>
    <col min="39" max="39" width="10.140625" style="141" customWidth="1"/>
    <col min="40" max="42" width="10.140625" style="134" customWidth="1"/>
    <col min="43" max="43" width="10.140625" style="141" customWidth="1"/>
    <col min="44" max="45" width="10.140625" style="134" customWidth="1"/>
    <col min="46" max="16384" width="11.42578125" style="134"/>
  </cols>
  <sheetData>
    <row r="1" spans="2:47" hidden="1" x14ac:dyDescent="0.2">
      <c r="B1" s="743"/>
      <c r="C1" s="743"/>
      <c r="D1" s="744"/>
      <c r="E1" s="744"/>
      <c r="F1" s="744"/>
      <c r="G1" s="744"/>
      <c r="H1" s="744"/>
      <c r="I1" s="744"/>
      <c r="J1" s="744"/>
      <c r="K1" s="744"/>
      <c r="L1" s="744"/>
      <c r="M1" s="744"/>
      <c r="N1" s="744"/>
      <c r="O1" s="744"/>
      <c r="P1" s="744"/>
      <c r="Q1" s="744"/>
      <c r="R1" s="744"/>
      <c r="S1" s="744"/>
      <c r="T1" s="744"/>
      <c r="U1" s="744"/>
      <c r="V1" s="744"/>
      <c r="W1" s="744"/>
      <c r="X1" s="744"/>
      <c r="Y1" s="744"/>
      <c r="Z1" s="744"/>
      <c r="AA1" s="744"/>
      <c r="AB1" s="744"/>
      <c r="AC1" s="744"/>
      <c r="AD1" s="132"/>
      <c r="AE1" s="131"/>
      <c r="AF1" s="132"/>
      <c r="AG1" s="132"/>
      <c r="AH1" s="132"/>
      <c r="AI1" s="133"/>
      <c r="AJ1" s="132"/>
      <c r="AK1" s="132"/>
      <c r="AL1" s="132"/>
      <c r="AM1" s="133"/>
      <c r="AN1" s="132"/>
      <c r="AO1" s="132"/>
      <c r="AP1" s="132"/>
      <c r="AQ1" s="133"/>
      <c r="AR1" s="132"/>
      <c r="AS1" s="132"/>
    </row>
    <row r="2" spans="2:47" hidden="1" x14ac:dyDescent="0.2">
      <c r="B2" s="744"/>
      <c r="C2" s="744"/>
      <c r="D2" s="744"/>
      <c r="E2" s="744"/>
      <c r="F2" s="744"/>
      <c r="G2" s="744"/>
      <c r="H2" s="744"/>
      <c r="I2" s="744"/>
      <c r="J2" s="744"/>
      <c r="K2" s="744"/>
      <c r="L2" s="744"/>
      <c r="M2" s="744"/>
      <c r="N2" s="744"/>
      <c r="O2" s="744"/>
      <c r="P2" s="744"/>
      <c r="Q2" s="744"/>
      <c r="R2" s="744"/>
      <c r="S2" s="744"/>
      <c r="T2" s="744"/>
      <c r="U2" s="744"/>
      <c r="V2" s="744"/>
      <c r="W2" s="744"/>
      <c r="X2" s="744"/>
      <c r="Y2" s="744"/>
      <c r="Z2" s="744"/>
      <c r="AA2" s="744"/>
      <c r="AB2" s="744"/>
      <c r="AC2" s="744"/>
      <c r="AD2" s="132"/>
      <c r="AE2" s="131"/>
      <c r="AF2" s="132"/>
      <c r="AG2" s="132"/>
      <c r="AH2" s="132"/>
      <c r="AI2" s="133"/>
      <c r="AJ2" s="132"/>
      <c r="AK2" s="132"/>
      <c r="AL2" s="132"/>
      <c r="AM2" s="133"/>
      <c r="AN2" s="132"/>
      <c r="AO2" s="132"/>
      <c r="AP2" s="132"/>
      <c r="AQ2" s="133"/>
      <c r="AR2" s="132"/>
      <c r="AS2" s="132"/>
    </row>
    <row r="3" spans="2:47" ht="12.75" hidden="1" customHeight="1" x14ac:dyDescent="0.2">
      <c r="B3" s="742"/>
      <c r="C3" s="742"/>
      <c r="D3" s="742"/>
      <c r="E3" s="742"/>
      <c r="F3" s="742"/>
      <c r="G3" s="742"/>
      <c r="H3" s="742"/>
      <c r="I3" s="742"/>
      <c r="J3" s="742"/>
      <c r="K3" s="742"/>
      <c r="L3" s="742"/>
      <c r="M3" s="742"/>
      <c r="N3" s="742"/>
      <c r="O3" s="742"/>
      <c r="P3" s="742"/>
      <c r="Q3" s="742"/>
      <c r="R3" s="742"/>
      <c r="S3" s="742"/>
      <c r="T3" s="742"/>
      <c r="U3" s="742"/>
      <c r="V3" s="742"/>
      <c r="W3" s="742"/>
      <c r="X3" s="742"/>
      <c r="Y3" s="742"/>
      <c r="Z3" s="742"/>
      <c r="AA3" s="742"/>
      <c r="AB3" s="742"/>
      <c r="AC3" s="742"/>
      <c r="AD3" s="137"/>
      <c r="AE3" s="136"/>
      <c r="AF3" s="137"/>
      <c r="AG3" s="137"/>
      <c r="AH3" s="137"/>
      <c r="AI3" s="138"/>
      <c r="AJ3" s="137"/>
      <c r="AK3" s="137"/>
      <c r="AL3" s="137"/>
      <c r="AM3" s="138"/>
      <c r="AN3" s="137"/>
      <c r="AO3" s="137"/>
      <c r="AP3" s="137"/>
      <c r="AQ3" s="138"/>
      <c r="AR3" s="137"/>
      <c r="AS3" s="137"/>
    </row>
    <row r="4" spans="2:47" ht="21.75" hidden="1" customHeight="1" x14ac:dyDescent="0.2">
      <c r="B4" s="742"/>
      <c r="C4" s="742"/>
      <c r="D4" s="742"/>
      <c r="E4" s="742"/>
      <c r="F4" s="742"/>
      <c r="G4" s="742"/>
      <c r="H4" s="742"/>
      <c r="I4" s="742"/>
      <c r="J4" s="742"/>
      <c r="K4" s="742"/>
      <c r="L4" s="742"/>
      <c r="M4" s="742"/>
      <c r="N4" s="742"/>
      <c r="O4" s="742"/>
      <c r="P4" s="742"/>
      <c r="Q4" s="742"/>
      <c r="R4" s="742"/>
      <c r="S4" s="742"/>
      <c r="T4" s="742"/>
      <c r="U4" s="742"/>
      <c r="V4" s="742"/>
      <c r="W4" s="742"/>
      <c r="X4" s="742"/>
      <c r="Y4" s="742"/>
      <c r="Z4" s="742"/>
      <c r="AA4" s="742"/>
      <c r="AB4" s="742"/>
      <c r="AC4" s="742"/>
      <c r="AD4" s="137"/>
      <c r="AE4" s="136"/>
      <c r="AF4" s="137"/>
      <c r="AG4" s="137"/>
      <c r="AH4" s="137"/>
      <c r="AI4" s="138"/>
      <c r="AJ4" s="137"/>
      <c r="AK4" s="137"/>
      <c r="AL4" s="137"/>
      <c r="AM4" s="138"/>
      <c r="AN4" s="137"/>
      <c r="AO4" s="137"/>
      <c r="AP4" s="137"/>
      <c r="AQ4" s="138"/>
      <c r="AR4" s="137"/>
      <c r="AS4" s="137"/>
    </row>
    <row r="5" spans="2:47" ht="11.25" hidden="1" customHeight="1" x14ac:dyDescent="0.2">
      <c r="B5" s="742"/>
      <c r="C5" s="742"/>
      <c r="D5" s="742"/>
      <c r="E5" s="742"/>
      <c r="F5" s="742"/>
      <c r="G5" s="742"/>
      <c r="H5" s="742"/>
      <c r="I5" s="742"/>
      <c r="J5" s="742"/>
      <c r="K5" s="742"/>
      <c r="L5" s="742"/>
      <c r="M5" s="742"/>
      <c r="N5" s="742"/>
      <c r="O5" s="742"/>
      <c r="P5" s="742"/>
      <c r="Q5" s="742"/>
      <c r="R5" s="742"/>
      <c r="S5" s="742"/>
      <c r="T5" s="742"/>
      <c r="U5" s="742"/>
      <c r="V5" s="742"/>
      <c r="W5" s="742"/>
      <c r="X5" s="742"/>
      <c r="Y5" s="742"/>
      <c r="Z5" s="742"/>
      <c r="AA5" s="742"/>
      <c r="AB5" s="742"/>
      <c r="AC5" s="742"/>
      <c r="AD5" s="137"/>
      <c r="AE5" s="136"/>
      <c r="AF5" s="137"/>
      <c r="AG5" s="137"/>
      <c r="AH5" s="137"/>
      <c r="AI5" s="138"/>
      <c r="AJ5" s="137"/>
      <c r="AK5" s="137"/>
      <c r="AL5" s="137"/>
      <c r="AM5" s="138"/>
      <c r="AN5" s="137"/>
      <c r="AO5" s="137"/>
      <c r="AP5" s="137"/>
      <c r="AQ5" s="138"/>
      <c r="AR5" s="137"/>
      <c r="AS5" s="137"/>
    </row>
    <row r="6" spans="2:47" ht="15" hidden="1" customHeight="1" x14ac:dyDescent="0.2">
      <c r="B6" s="742"/>
      <c r="C6" s="742"/>
      <c r="D6" s="742"/>
      <c r="E6" s="742"/>
      <c r="F6" s="742"/>
      <c r="G6" s="742"/>
      <c r="H6" s="742"/>
      <c r="I6" s="742"/>
      <c r="J6" s="742"/>
      <c r="K6" s="742"/>
      <c r="L6" s="742"/>
      <c r="M6" s="742"/>
      <c r="N6" s="742"/>
      <c r="O6" s="742"/>
      <c r="P6" s="742"/>
      <c r="Q6" s="742"/>
      <c r="R6" s="742"/>
      <c r="S6" s="742"/>
      <c r="T6" s="742"/>
      <c r="U6" s="742"/>
      <c r="V6" s="742"/>
      <c r="W6" s="742"/>
      <c r="X6" s="742"/>
      <c r="Y6" s="742"/>
      <c r="Z6" s="742"/>
      <c r="AA6" s="742"/>
      <c r="AB6" s="742"/>
      <c r="AC6" s="742"/>
      <c r="AD6" s="137"/>
      <c r="AE6" s="136"/>
      <c r="AF6" s="137"/>
      <c r="AG6" s="137"/>
      <c r="AH6" s="137"/>
      <c r="AI6" s="138"/>
      <c r="AJ6" s="137"/>
      <c r="AK6" s="137"/>
      <c r="AL6" s="137"/>
      <c r="AM6" s="138"/>
      <c r="AN6" s="137"/>
      <c r="AO6" s="137"/>
      <c r="AP6" s="137"/>
      <c r="AQ6" s="138"/>
      <c r="AR6" s="137"/>
      <c r="AS6" s="137"/>
    </row>
    <row r="7" spans="2:47" ht="21" hidden="1" customHeight="1" x14ac:dyDescent="0.2">
      <c r="B7" s="742"/>
      <c r="C7" s="742"/>
      <c r="D7" s="742"/>
      <c r="E7" s="742"/>
      <c r="F7" s="742"/>
      <c r="G7" s="742"/>
      <c r="H7" s="742"/>
      <c r="I7" s="742"/>
      <c r="J7" s="742"/>
      <c r="K7" s="742"/>
      <c r="L7" s="742"/>
      <c r="M7" s="742"/>
      <c r="N7" s="742"/>
      <c r="O7" s="742"/>
      <c r="P7" s="742"/>
      <c r="Q7" s="742"/>
      <c r="R7" s="742"/>
      <c r="S7" s="742"/>
      <c r="T7" s="742"/>
      <c r="U7" s="742"/>
      <c r="V7" s="742"/>
      <c r="W7" s="742"/>
      <c r="X7" s="742"/>
      <c r="Y7" s="742"/>
      <c r="Z7" s="742"/>
      <c r="AA7" s="742"/>
      <c r="AB7" s="742"/>
      <c r="AC7" s="742"/>
      <c r="AD7" s="137"/>
      <c r="AE7" s="136"/>
      <c r="AF7" s="137"/>
      <c r="AG7" s="137"/>
      <c r="AH7" s="137"/>
      <c r="AI7" s="138"/>
      <c r="AJ7" s="137"/>
      <c r="AK7" s="137"/>
      <c r="AL7" s="137"/>
      <c r="AM7" s="138"/>
      <c r="AN7" s="137"/>
      <c r="AO7" s="137"/>
      <c r="AP7" s="137"/>
      <c r="AQ7" s="138"/>
      <c r="AR7" s="137"/>
      <c r="AS7" s="137"/>
    </row>
    <row r="8" spans="2:47" ht="16.5" hidden="1" customHeight="1" x14ac:dyDescent="0.2">
      <c r="B8" s="742"/>
      <c r="C8" s="742"/>
      <c r="D8" s="742"/>
      <c r="E8" s="742"/>
      <c r="F8" s="742"/>
      <c r="G8" s="742"/>
      <c r="H8" s="742"/>
      <c r="I8" s="742"/>
      <c r="J8" s="742"/>
      <c r="K8" s="742"/>
      <c r="L8" s="742"/>
      <c r="M8" s="742"/>
      <c r="N8" s="742"/>
      <c r="O8" s="742"/>
      <c r="P8" s="742"/>
      <c r="Q8" s="742"/>
      <c r="R8" s="742"/>
      <c r="S8" s="742"/>
      <c r="T8" s="742"/>
      <c r="U8" s="742"/>
      <c r="V8" s="742"/>
      <c r="W8" s="742"/>
      <c r="X8" s="742"/>
      <c r="Y8" s="742"/>
      <c r="Z8" s="742"/>
      <c r="AA8" s="742"/>
      <c r="AB8" s="742"/>
      <c r="AC8" s="742"/>
      <c r="AD8" s="137"/>
      <c r="AE8" s="136"/>
      <c r="AF8" s="137"/>
      <c r="AG8" s="137"/>
      <c r="AH8" s="137"/>
      <c r="AI8" s="138"/>
      <c r="AJ8" s="137"/>
      <c r="AK8" s="137"/>
      <c r="AL8" s="137"/>
      <c r="AM8" s="138"/>
      <c r="AN8" s="137"/>
      <c r="AO8" s="137"/>
      <c r="AP8" s="137"/>
      <c r="AQ8" s="138"/>
      <c r="AR8" s="137"/>
      <c r="AS8" s="137"/>
    </row>
    <row r="9" spans="2:47" ht="18.75" customHeight="1" x14ac:dyDescent="0.2">
      <c r="B9" s="725" t="s">
        <v>0</v>
      </c>
      <c r="C9" s="725"/>
      <c r="D9" s="725"/>
      <c r="E9" s="725"/>
      <c r="F9" s="725"/>
      <c r="G9" s="725"/>
      <c r="H9" s="725"/>
      <c r="I9" s="725"/>
      <c r="J9" s="725"/>
      <c r="K9" s="725"/>
      <c r="L9" s="725"/>
      <c r="M9" s="725"/>
      <c r="N9" s="725"/>
      <c r="O9" s="725"/>
      <c r="P9" s="725"/>
      <c r="Q9" s="725"/>
      <c r="R9" s="725"/>
      <c r="S9" s="725"/>
      <c r="T9" s="725"/>
      <c r="U9" s="725"/>
      <c r="V9" s="725"/>
      <c r="W9" s="725"/>
      <c r="X9" s="725"/>
      <c r="Y9" s="725"/>
      <c r="Z9" s="725"/>
      <c r="AA9" s="725"/>
      <c r="AB9" s="725"/>
      <c r="AC9" s="725"/>
      <c r="AD9" s="137"/>
      <c r="AE9" s="136"/>
      <c r="AF9" s="137"/>
      <c r="AG9" s="137"/>
      <c r="AH9" s="137"/>
      <c r="AI9" s="138"/>
      <c r="AJ9" s="137"/>
      <c r="AK9" s="137"/>
      <c r="AL9" s="137"/>
      <c r="AM9" s="138"/>
      <c r="AN9" s="137"/>
      <c r="AO9" s="137"/>
      <c r="AP9" s="137"/>
      <c r="AQ9" s="138"/>
      <c r="AR9" s="137"/>
      <c r="AS9" s="137"/>
    </row>
    <row r="10" spans="2:47" x14ac:dyDescent="0.2">
      <c r="B10" s="725"/>
      <c r="C10" s="725"/>
      <c r="D10" s="725"/>
      <c r="E10" s="725"/>
      <c r="F10" s="725"/>
      <c r="G10" s="725"/>
      <c r="H10" s="725"/>
      <c r="I10" s="725"/>
      <c r="J10" s="725"/>
      <c r="K10" s="725"/>
      <c r="L10" s="725"/>
      <c r="M10" s="725"/>
      <c r="N10" s="725"/>
      <c r="O10" s="725"/>
      <c r="P10" s="725"/>
      <c r="Q10" s="725"/>
      <c r="R10" s="725"/>
      <c r="S10" s="725"/>
      <c r="T10" s="725"/>
      <c r="U10" s="725"/>
      <c r="V10" s="725"/>
      <c r="W10" s="725"/>
      <c r="X10" s="725"/>
      <c r="Y10" s="725"/>
      <c r="Z10" s="725"/>
      <c r="AA10" s="725"/>
      <c r="AB10" s="725"/>
      <c r="AC10" s="725"/>
    </row>
    <row r="11" spans="2:47" ht="18.75" x14ac:dyDescent="0.2">
      <c r="B11" s="142"/>
      <c r="C11" s="142"/>
      <c r="D11" s="142"/>
      <c r="E11" s="132"/>
      <c r="F11" s="142"/>
      <c r="G11" s="142"/>
      <c r="H11" s="142"/>
      <c r="I11" s="142"/>
      <c r="J11" s="168"/>
      <c r="K11" s="142"/>
      <c r="L11" s="142"/>
      <c r="M11" s="142"/>
      <c r="N11" s="142"/>
      <c r="O11" s="142"/>
      <c r="P11" s="142"/>
      <c r="Q11" s="142"/>
      <c r="R11" s="142"/>
      <c r="S11" s="142"/>
      <c r="T11" s="142"/>
      <c r="U11" s="142"/>
      <c r="V11" s="142"/>
      <c r="W11" s="142"/>
      <c r="X11" s="142"/>
      <c r="Y11" s="142"/>
      <c r="Z11" s="142"/>
      <c r="AA11" s="142"/>
      <c r="AB11" s="142"/>
      <c r="AC11" s="142"/>
    </row>
    <row r="12" spans="2:47" ht="22.5" x14ac:dyDescent="0.2">
      <c r="B12" s="8" t="s">
        <v>1</v>
      </c>
      <c r="C12" s="8" t="s">
        <v>2</v>
      </c>
      <c r="D12" s="9" t="s">
        <v>3</v>
      </c>
      <c r="E12" s="10" t="s">
        <v>4</v>
      </c>
      <c r="F12" s="119"/>
      <c r="G12" s="142"/>
      <c r="H12" s="142"/>
      <c r="I12" s="142"/>
      <c r="J12" s="168"/>
      <c r="K12" s="142"/>
      <c r="L12" s="142"/>
      <c r="M12" s="142"/>
      <c r="N12" s="142"/>
      <c r="O12" s="142"/>
      <c r="P12" s="142"/>
      <c r="Q12" s="142"/>
      <c r="R12" s="142"/>
      <c r="S12" s="142"/>
      <c r="T12" s="142"/>
      <c r="U12" s="142"/>
      <c r="V12" s="142"/>
      <c r="W12" s="142"/>
      <c r="X12" s="142"/>
      <c r="Y12" s="142"/>
      <c r="Z12" s="142"/>
      <c r="AA12" s="142"/>
      <c r="AB12" s="142"/>
      <c r="AC12" s="142"/>
    </row>
    <row r="13" spans="2:47" ht="18.75" x14ac:dyDescent="0.2">
      <c r="B13" s="143">
        <v>40872537</v>
      </c>
      <c r="C13" s="143">
        <v>32541684</v>
      </c>
      <c r="D13" s="143">
        <v>38109520</v>
      </c>
      <c r="E13" s="129">
        <f>+Y139</f>
        <v>20441621</v>
      </c>
      <c r="F13" s="144"/>
      <c r="G13" s="142"/>
      <c r="H13" s="142"/>
      <c r="I13" s="142"/>
      <c r="J13" s="168"/>
      <c r="K13" s="142"/>
      <c r="L13" s="142"/>
      <c r="M13" s="142"/>
      <c r="N13" s="142"/>
      <c r="O13" s="142"/>
      <c r="P13" s="142"/>
      <c r="Q13" s="142"/>
      <c r="R13" s="142"/>
      <c r="S13" s="142"/>
      <c r="T13" s="142"/>
      <c r="U13" s="142"/>
      <c r="V13" s="142"/>
      <c r="W13" s="142"/>
      <c r="X13" s="142"/>
      <c r="Y13" s="142"/>
      <c r="Z13" s="142"/>
      <c r="AA13" s="142"/>
      <c r="AB13" s="142"/>
      <c r="AC13" s="142"/>
    </row>
    <row r="14" spans="2:47" ht="15" customHeight="1" x14ac:dyDescent="0.2">
      <c r="C14" s="146"/>
      <c r="D14" s="147"/>
      <c r="F14" s="146"/>
      <c r="Z14" s="736" t="s">
        <v>5</v>
      </c>
      <c r="AA14" s="737"/>
      <c r="AB14" s="737"/>
      <c r="AC14" s="738"/>
      <c r="AD14" s="739" t="s">
        <v>6</v>
      </c>
      <c r="AE14" s="740"/>
      <c r="AF14" s="740"/>
      <c r="AG14" s="741"/>
      <c r="AH14" s="739" t="s">
        <v>6</v>
      </c>
      <c r="AI14" s="740"/>
      <c r="AJ14" s="740"/>
      <c r="AK14" s="741"/>
      <c r="AL14" s="739" t="s">
        <v>6</v>
      </c>
      <c r="AM14" s="740"/>
      <c r="AN14" s="740"/>
      <c r="AO14" s="741"/>
      <c r="AP14" s="739" t="s">
        <v>6</v>
      </c>
      <c r="AQ14" s="740"/>
      <c r="AR14" s="740"/>
      <c r="AS14" s="741"/>
      <c r="AT14" s="723" t="s">
        <v>7</v>
      </c>
      <c r="AU14" s="723"/>
    </row>
    <row r="15" spans="2:47" s="15" customFormat="1" ht="55.5" customHeight="1" x14ac:dyDescent="0.25">
      <c r="B15" s="81" t="s">
        <v>8</v>
      </c>
      <c r="C15" s="81" t="s">
        <v>9</v>
      </c>
      <c r="D15" s="81" t="s">
        <v>10</v>
      </c>
      <c r="E15" s="83" t="s">
        <v>11</v>
      </c>
      <c r="F15" s="83" t="s">
        <v>12</v>
      </c>
      <c r="G15" s="83" t="s">
        <v>13</v>
      </c>
      <c r="H15" s="83" t="s">
        <v>14</v>
      </c>
      <c r="I15" s="83" t="s">
        <v>122</v>
      </c>
      <c r="J15" s="164" t="s">
        <v>15</v>
      </c>
      <c r="K15" s="83" t="s">
        <v>16</v>
      </c>
      <c r="L15" s="83" t="s">
        <v>17</v>
      </c>
      <c r="M15" s="121" t="s">
        <v>18</v>
      </c>
      <c r="N15" s="121" t="s">
        <v>19</v>
      </c>
      <c r="O15" s="121" t="s">
        <v>20</v>
      </c>
      <c r="P15" s="121" t="s">
        <v>21</v>
      </c>
      <c r="Q15" s="121" t="s">
        <v>22</v>
      </c>
      <c r="R15" s="165" t="s">
        <v>23</v>
      </c>
      <c r="S15" s="166" t="s">
        <v>24</v>
      </c>
      <c r="T15" s="166" t="s">
        <v>25</v>
      </c>
      <c r="U15" s="166" t="s">
        <v>26</v>
      </c>
      <c r="V15" s="166" t="s">
        <v>27</v>
      </c>
      <c r="W15" s="166" t="s">
        <v>28</v>
      </c>
      <c r="X15" s="166" t="s">
        <v>29</v>
      </c>
      <c r="Y15" s="123" t="s">
        <v>30</v>
      </c>
      <c r="Z15" s="85" t="s">
        <v>31</v>
      </c>
      <c r="AA15" s="86" t="s">
        <v>32</v>
      </c>
      <c r="AB15" s="85" t="s">
        <v>33</v>
      </c>
      <c r="AC15" s="85" t="s">
        <v>34</v>
      </c>
      <c r="AD15" s="87" t="s">
        <v>35</v>
      </c>
      <c r="AE15" s="88" t="s">
        <v>32</v>
      </c>
      <c r="AF15" s="87" t="s">
        <v>33</v>
      </c>
      <c r="AG15" s="87" t="s">
        <v>34</v>
      </c>
      <c r="AH15" s="87" t="s">
        <v>35</v>
      </c>
      <c r="AI15" s="88" t="s">
        <v>32</v>
      </c>
      <c r="AJ15" s="87" t="s">
        <v>33</v>
      </c>
      <c r="AK15" s="87" t="s">
        <v>34</v>
      </c>
      <c r="AL15" s="87" t="s">
        <v>35</v>
      </c>
      <c r="AM15" s="88" t="s">
        <v>32</v>
      </c>
      <c r="AN15" s="87" t="s">
        <v>33</v>
      </c>
      <c r="AO15" s="87" t="s">
        <v>34</v>
      </c>
      <c r="AP15" s="87" t="s">
        <v>35</v>
      </c>
      <c r="AQ15" s="88" t="s">
        <v>32</v>
      </c>
      <c r="AR15" s="87" t="s">
        <v>33</v>
      </c>
      <c r="AS15" s="87" t="s">
        <v>34</v>
      </c>
      <c r="AT15" s="89" t="s">
        <v>36</v>
      </c>
      <c r="AU15" s="89" t="s">
        <v>37</v>
      </c>
    </row>
    <row r="16" spans="2:47" s="148" customFormat="1" ht="22.5" x14ac:dyDescent="0.25">
      <c r="B16" s="149">
        <v>1</v>
      </c>
      <c r="C16" s="149" t="s">
        <v>38</v>
      </c>
      <c r="D16" s="450" t="s">
        <v>293</v>
      </c>
      <c r="E16" s="451" t="s">
        <v>294</v>
      </c>
      <c r="F16" s="451" t="s">
        <v>45</v>
      </c>
      <c r="G16" s="452" t="s">
        <v>295</v>
      </c>
      <c r="H16" s="452" t="s">
        <v>295</v>
      </c>
      <c r="I16" s="453" t="s">
        <v>42</v>
      </c>
      <c r="J16" s="466">
        <f>29106993-7157499</f>
        <v>21949494</v>
      </c>
      <c r="K16" s="454">
        <f>17344677</f>
        <v>17344677</v>
      </c>
      <c r="L16" s="454">
        <f>329899-329899</f>
        <v>0</v>
      </c>
      <c r="M16" s="454">
        <v>0</v>
      </c>
      <c r="N16" s="454">
        <v>2684380</v>
      </c>
      <c r="O16" s="454">
        <v>0</v>
      </c>
      <c r="P16" s="454">
        <v>126052</v>
      </c>
      <c r="Q16" s="454">
        <f>0</f>
        <v>0</v>
      </c>
      <c r="R16" s="472">
        <v>26906</v>
      </c>
      <c r="S16" s="454"/>
      <c r="T16" s="454"/>
      <c r="U16" s="454"/>
      <c r="V16" s="454"/>
      <c r="W16" s="454"/>
      <c r="X16" s="454"/>
      <c r="Y16" s="454">
        <f t="shared" ref="Y16:Y47" si="0">SUM(M16:X16)</f>
        <v>2837338</v>
      </c>
      <c r="Z16" s="455">
        <f>3903689+92025+92025</f>
        <v>4087739</v>
      </c>
      <c r="AA16" s="467" t="s">
        <v>296</v>
      </c>
      <c r="AB16" s="457">
        <v>44209</v>
      </c>
      <c r="AC16" s="458">
        <v>44243</v>
      </c>
      <c r="AD16" s="455">
        <f>40000</f>
        <v>40000</v>
      </c>
      <c r="AE16" s="459">
        <v>10</v>
      </c>
      <c r="AF16" s="457">
        <v>44299</v>
      </c>
      <c r="AG16" s="458">
        <v>44316</v>
      </c>
      <c r="AH16" s="455">
        <f>18000+270158</f>
        <v>288158</v>
      </c>
      <c r="AI16" s="456">
        <v>16</v>
      </c>
      <c r="AJ16" s="457">
        <v>44330</v>
      </c>
      <c r="AK16" s="458">
        <v>44347</v>
      </c>
      <c r="AL16" s="455">
        <v>37351</v>
      </c>
      <c r="AM16" s="456">
        <v>23</v>
      </c>
      <c r="AN16" s="457">
        <v>44355</v>
      </c>
      <c r="AO16" s="458">
        <v>44369</v>
      </c>
      <c r="AP16" s="455"/>
      <c r="AQ16" s="456"/>
      <c r="AR16" s="460"/>
      <c r="AS16" s="458"/>
      <c r="AT16" s="154">
        <f>+Z16+AD16+AH16+AL16+AP16</f>
        <v>4453248</v>
      </c>
      <c r="AU16" s="461">
        <f>+AT16-Y16</f>
        <v>1615910</v>
      </c>
    </row>
    <row r="17" spans="2:47" s="148" customFormat="1" ht="22.5" x14ac:dyDescent="0.25">
      <c r="B17" s="149">
        <v>2</v>
      </c>
      <c r="C17" s="149" t="s">
        <v>38</v>
      </c>
      <c r="D17" s="450" t="s">
        <v>297</v>
      </c>
      <c r="E17" s="451" t="s">
        <v>298</v>
      </c>
      <c r="F17" s="451" t="s">
        <v>45</v>
      </c>
      <c r="G17" s="452" t="s">
        <v>295</v>
      </c>
      <c r="H17" s="452" t="s">
        <v>299</v>
      </c>
      <c r="I17" s="453" t="s">
        <v>42</v>
      </c>
      <c r="J17" s="466">
        <f>270179</f>
        <v>270179</v>
      </c>
      <c r="K17" s="454">
        <f>2360</f>
        <v>2360</v>
      </c>
      <c r="L17" s="454">
        <f>0</f>
        <v>0</v>
      </c>
      <c r="M17" s="454">
        <v>0</v>
      </c>
      <c r="N17" s="454">
        <v>0</v>
      </c>
      <c r="O17" s="454">
        <v>64441</v>
      </c>
      <c r="P17" s="454">
        <f>6924</f>
        <v>6924</v>
      </c>
      <c r="Q17" s="454"/>
      <c r="R17" s="472">
        <v>2000</v>
      </c>
      <c r="S17" s="454"/>
      <c r="T17" s="454"/>
      <c r="U17" s="454"/>
      <c r="V17" s="454"/>
      <c r="W17" s="454"/>
      <c r="X17" s="454"/>
      <c r="Y17" s="454">
        <f t="shared" si="0"/>
        <v>73365</v>
      </c>
      <c r="Z17" s="455">
        <f>12000+254781</f>
        <v>266781</v>
      </c>
      <c r="AA17" s="467" t="s">
        <v>296</v>
      </c>
      <c r="AB17" s="457">
        <v>44209</v>
      </c>
      <c r="AC17" s="458">
        <v>44243</v>
      </c>
      <c r="AD17" s="455"/>
      <c r="AE17" s="459"/>
      <c r="AF17" s="460"/>
      <c r="AG17" s="458"/>
      <c r="AH17" s="455"/>
      <c r="AI17" s="456"/>
      <c r="AJ17" s="460"/>
      <c r="AK17" s="458"/>
      <c r="AL17" s="455"/>
      <c r="AM17" s="456"/>
      <c r="AN17" s="460"/>
      <c r="AO17" s="458"/>
      <c r="AP17" s="455"/>
      <c r="AQ17" s="456"/>
      <c r="AR17" s="460"/>
      <c r="AS17" s="458"/>
      <c r="AT17" s="154">
        <f t="shared" ref="AT17:AT80" si="1">+Z17+AD17+AH17+AL17+AP17</f>
        <v>266781</v>
      </c>
      <c r="AU17" s="461">
        <f t="shared" ref="AU17:AU80" si="2">+AT17-Y17</f>
        <v>193416</v>
      </c>
    </row>
    <row r="18" spans="2:47" s="148" customFormat="1" ht="22.5" x14ac:dyDescent="0.25">
      <c r="B18" s="149">
        <v>3</v>
      </c>
      <c r="C18" s="149" t="s">
        <v>38</v>
      </c>
      <c r="D18" s="450" t="s">
        <v>300</v>
      </c>
      <c r="E18" s="451" t="s">
        <v>301</v>
      </c>
      <c r="F18" s="451" t="s">
        <v>45</v>
      </c>
      <c r="G18" s="452" t="s">
        <v>295</v>
      </c>
      <c r="H18" s="452" t="s">
        <v>299</v>
      </c>
      <c r="I18" s="453" t="s">
        <v>42</v>
      </c>
      <c r="J18" s="466">
        <f>718214</f>
        <v>718214</v>
      </c>
      <c r="K18" s="454">
        <f>592</f>
        <v>592</v>
      </c>
      <c r="L18" s="454">
        <f>0</f>
        <v>0</v>
      </c>
      <c r="M18" s="454">
        <v>0</v>
      </c>
      <c r="N18" s="454">
        <v>100956</v>
      </c>
      <c r="O18" s="454">
        <f>103318</f>
        <v>103318</v>
      </c>
      <c r="P18" s="454">
        <f>2216+75327</f>
        <v>77543</v>
      </c>
      <c r="Q18" s="454">
        <f>2216+57672</f>
        <v>59888</v>
      </c>
      <c r="R18" s="472">
        <v>96305</v>
      </c>
      <c r="S18" s="454"/>
      <c r="T18" s="454"/>
      <c r="U18" s="454"/>
      <c r="V18" s="454"/>
      <c r="W18" s="454"/>
      <c r="X18" s="454"/>
      <c r="Y18" s="454">
        <f t="shared" si="0"/>
        <v>438010</v>
      </c>
      <c r="Z18" s="455">
        <f>13297+704325</f>
        <v>717622</v>
      </c>
      <c r="AA18" s="467" t="s">
        <v>296</v>
      </c>
      <c r="AB18" s="457">
        <v>44209</v>
      </c>
      <c r="AC18" s="458">
        <v>44243</v>
      </c>
      <c r="AD18" s="468"/>
      <c r="AE18" s="459"/>
      <c r="AF18" s="457"/>
      <c r="AG18" s="458"/>
      <c r="AH18" s="468"/>
      <c r="AI18" s="456"/>
      <c r="AJ18" s="457"/>
      <c r="AK18" s="458"/>
      <c r="AL18" s="468"/>
      <c r="AM18" s="456"/>
      <c r="AN18" s="457"/>
      <c r="AO18" s="458"/>
      <c r="AP18" s="468"/>
      <c r="AQ18" s="456"/>
      <c r="AR18" s="457"/>
      <c r="AS18" s="458"/>
      <c r="AT18" s="154">
        <f t="shared" si="1"/>
        <v>717622</v>
      </c>
      <c r="AU18" s="461">
        <f t="shared" si="2"/>
        <v>279612</v>
      </c>
    </row>
    <row r="19" spans="2:47" s="148" customFormat="1" ht="22.5" x14ac:dyDescent="0.25">
      <c r="B19" s="149">
        <v>4</v>
      </c>
      <c r="C19" s="149" t="s">
        <v>38</v>
      </c>
      <c r="D19" s="450" t="s">
        <v>302</v>
      </c>
      <c r="E19" s="451" t="s">
        <v>303</v>
      </c>
      <c r="F19" s="451" t="s">
        <v>304</v>
      </c>
      <c r="G19" s="452" t="s">
        <v>295</v>
      </c>
      <c r="H19" s="452" t="s">
        <v>295</v>
      </c>
      <c r="I19" s="453" t="s">
        <v>42</v>
      </c>
      <c r="J19" s="466">
        <f>11462+366157</f>
        <v>377619</v>
      </c>
      <c r="K19" s="454">
        <f>11462+14326</f>
        <v>25788</v>
      </c>
      <c r="L19" s="454">
        <f>0</f>
        <v>0</v>
      </c>
      <c r="M19" s="454">
        <v>0</v>
      </c>
      <c r="N19" s="454">
        <v>344089</v>
      </c>
      <c r="O19" s="454"/>
      <c r="P19" s="454"/>
      <c r="Q19" s="454"/>
      <c r="R19" s="454"/>
      <c r="S19" s="454"/>
      <c r="T19" s="454"/>
      <c r="U19" s="454"/>
      <c r="V19" s="454"/>
      <c r="W19" s="454"/>
      <c r="X19" s="454"/>
      <c r="Y19" s="454">
        <f t="shared" si="0"/>
        <v>344089</v>
      </c>
      <c r="Z19" s="455">
        <f>344090</f>
        <v>344090</v>
      </c>
      <c r="AA19" s="467" t="s">
        <v>296</v>
      </c>
      <c r="AB19" s="457">
        <v>44209</v>
      </c>
      <c r="AC19" s="458">
        <v>44243</v>
      </c>
      <c r="AD19" s="455"/>
      <c r="AE19" s="459"/>
      <c r="AF19" s="457"/>
      <c r="AG19" s="458"/>
      <c r="AH19" s="454"/>
      <c r="AI19" s="456"/>
      <c r="AJ19" s="457"/>
      <c r="AK19" s="458"/>
      <c r="AL19" s="454"/>
      <c r="AM19" s="456"/>
      <c r="AN19" s="457"/>
      <c r="AO19" s="458"/>
      <c r="AP19" s="454"/>
      <c r="AQ19" s="456"/>
      <c r="AR19" s="457"/>
      <c r="AS19" s="458"/>
      <c r="AT19" s="154">
        <f t="shared" si="1"/>
        <v>344090</v>
      </c>
      <c r="AU19" s="461">
        <f t="shared" si="2"/>
        <v>1</v>
      </c>
    </row>
    <row r="20" spans="2:47" s="148" customFormat="1" x14ac:dyDescent="0.25">
      <c r="B20" s="149">
        <v>5</v>
      </c>
      <c r="C20" s="149" t="s">
        <v>38</v>
      </c>
      <c r="D20" s="450" t="s">
        <v>305</v>
      </c>
      <c r="E20" s="451" t="s">
        <v>306</v>
      </c>
      <c r="F20" s="451" t="s">
        <v>304</v>
      </c>
      <c r="G20" s="452" t="s">
        <v>295</v>
      </c>
      <c r="H20" s="452" t="s">
        <v>299</v>
      </c>
      <c r="I20" s="453" t="s">
        <v>42</v>
      </c>
      <c r="J20" s="466">
        <f>670476</f>
        <v>670476</v>
      </c>
      <c r="K20" s="454">
        <f>577</f>
        <v>577</v>
      </c>
      <c r="L20" s="454">
        <f>13398</f>
        <v>13398</v>
      </c>
      <c r="M20" s="454">
        <v>0</v>
      </c>
      <c r="N20" s="454">
        <v>0</v>
      </c>
      <c r="O20" s="454">
        <v>69817</v>
      </c>
      <c r="P20" s="454">
        <f>40969</f>
        <v>40969</v>
      </c>
      <c r="Q20" s="454">
        <f>2100+35948</f>
        <v>38048</v>
      </c>
      <c r="R20" s="472">
        <v>36548</v>
      </c>
      <c r="S20" s="454"/>
      <c r="T20" s="454"/>
      <c r="U20" s="454"/>
      <c r="V20" s="454"/>
      <c r="W20" s="454"/>
      <c r="X20" s="454"/>
      <c r="Y20" s="454">
        <f t="shared" si="0"/>
        <v>185382</v>
      </c>
      <c r="Z20" s="455">
        <f>27899+627974</f>
        <v>655873</v>
      </c>
      <c r="AA20" s="467" t="s">
        <v>296</v>
      </c>
      <c r="AB20" s="457">
        <v>44209</v>
      </c>
      <c r="AC20" s="458">
        <v>44243</v>
      </c>
      <c r="AD20" s="455">
        <v>-11099</v>
      </c>
      <c r="AE20" s="459">
        <v>24</v>
      </c>
      <c r="AF20" s="457">
        <v>44363</v>
      </c>
      <c r="AG20" s="458">
        <v>44372</v>
      </c>
      <c r="AH20" s="454"/>
      <c r="AI20" s="456"/>
      <c r="AJ20" s="457"/>
      <c r="AK20" s="458"/>
      <c r="AL20" s="454"/>
      <c r="AM20" s="456"/>
      <c r="AN20" s="457"/>
      <c r="AO20" s="458"/>
      <c r="AP20" s="454"/>
      <c r="AQ20" s="456"/>
      <c r="AR20" s="457"/>
      <c r="AS20" s="458"/>
      <c r="AT20" s="154">
        <f t="shared" si="1"/>
        <v>644774</v>
      </c>
      <c r="AU20" s="461">
        <f t="shared" si="2"/>
        <v>459392</v>
      </c>
    </row>
    <row r="21" spans="2:47" s="148" customFormat="1" x14ac:dyDescent="0.25">
      <c r="B21" s="149">
        <v>6</v>
      </c>
      <c r="C21" s="149" t="s">
        <v>38</v>
      </c>
      <c r="D21" s="450" t="s">
        <v>307</v>
      </c>
      <c r="E21" s="451" t="s">
        <v>308</v>
      </c>
      <c r="F21" s="451" t="s">
        <v>46</v>
      </c>
      <c r="G21" s="452" t="s">
        <v>295</v>
      </c>
      <c r="H21" s="452" t="s">
        <v>299</v>
      </c>
      <c r="I21" s="453" t="s">
        <v>42</v>
      </c>
      <c r="J21" s="466">
        <f>14678</f>
        <v>14678</v>
      </c>
      <c r="K21" s="454">
        <f>277</f>
        <v>277</v>
      </c>
      <c r="L21" s="454">
        <f>1</f>
        <v>1</v>
      </c>
      <c r="M21" s="454">
        <v>0</v>
      </c>
      <c r="N21" s="454">
        <v>0</v>
      </c>
      <c r="O21" s="454">
        <v>9600</v>
      </c>
      <c r="P21" s="454"/>
      <c r="Q21" s="454"/>
      <c r="R21" s="454"/>
      <c r="S21" s="454"/>
      <c r="T21" s="454"/>
      <c r="U21" s="454"/>
      <c r="V21" s="454"/>
      <c r="W21" s="454"/>
      <c r="X21" s="454"/>
      <c r="Y21" s="454">
        <f t="shared" si="0"/>
        <v>9600</v>
      </c>
      <c r="Z21" s="455">
        <f>4800</f>
        <v>4800</v>
      </c>
      <c r="AA21" s="467" t="s">
        <v>296</v>
      </c>
      <c r="AB21" s="457">
        <v>44209</v>
      </c>
      <c r="AC21" s="458">
        <v>44243</v>
      </c>
      <c r="AD21" s="455">
        <f>9600</f>
        <v>9600</v>
      </c>
      <c r="AE21" s="467" t="s">
        <v>309</v>
      </c>
      <c r="AF21" s="457">
        <v>44253</v>
      </c>
      <c r="AG21" s="458">
        <v>44281</v>
      </c>
      <c r="AH21" s="454"/>
      <c r="AI21" s="456"/>
      <c r="AJ21" s="457"/>
      <c r="AK21" s="458"/>
      <c r="AL21" s="454"/>
      <c r="AM21" s="456"/>
      <c r="AN21" s="457"/>
      <c r="AO21" s="458"/>
      <c r="AP21" s="454"/>
      <c r="AQ21" s="456"/>
      <c r="AR21" s="457"/>
      <c r="AS21" s="458"/>
      <c r="AT21" s="154">
        <f t="shared" si="1"/>
        <v>14400</v>
      </c>
      <c r="AU21" s="461">
        <f t="shared" si="2"/>
        <v>4800</v>
      </c>
    </row>
    <row r="22" spans="2:47" s="148" customFormat="1" ht="22.5" x14ac:dyDescent="0.25">
      <c r="B22" s="149">
        <v>7</v>
      </c>
      <c r="C22" s="149" t="s">
        <v>38</v>
      </c>
      <c r="D22" s="450" t="s">
        <v>310</v>
      </c>
      <c r="E22" s="451" t="s">
        <v>311</v>
      </c>
      <c r="F22" s="451" t="s">
        <v>46</v>
      </c>
      <c r="G22" s="452" t="s">
        <v>295</v>
      </c>
      <c r="H22" s="452" t="s">
        <v>312</v>
      </c>
      <c r="I22" s="453" t="s">
        <v>43</v>
      </c>
      <c r="J22" s="466">
        <f>1567287</f>
        <v>1567287</v>
      </c>
      <c r="K22" s="454">
        <f>16439</f>
        <v>16439</v>
      </c>
      <c r="L22" s="454">
        <f>617430</f>
        <v>617430</v>
      </c>
      <c r="M22" s="454">
        <v>0</v>
      </c>
      <c r="N22" s="454">
        <v>0</v>
      </c>
      <c r="O22" s="454">
        <v>103445</v>
      </c>
      <c r="P22" s="454">
        <f>0</f>
        <v>0</v>
      </c>
      <c r="Q22" s="454">
        <f>0</f>
        <v>0</v>
      </c>
      <c r="R22" s="472">
        <v>127574</v>
      </c>
      <c r="S22" s="454"/>
      <c r="T22" s="454"/>
      <c r="U22" s="454"/>
      <c r="V22" s="454"/>
      <c r="W22" s="454"/>
      <c r="X22" s="454"/>
      <c r="Y22" s="454">
        <f t="shared" si="0"/>
        <v>231019</v>
      </c>
      <c r="Z22" s="455">
        <f>932990</f>
        <v>932990</v>
      </c>
      <c r="AA22" s="467" t="s">
        <v>296</v>
      </c>
      <c r="AB22" s="457">
        <v>44209</v>
      </c>
      <c r="AC22" s="458">
        <v>44243</v>
      </c>
      <c r="AD22" s="455">
        <v>-669249</v>
      </c>
      <c r="AE22" s="459">
        <v>10</v>
      </c>
      <c r="AF22" s="457">
        <v>44299</v>
      </c>
      <c r="AG22" s="458">
        <v>44316</v>
      </c>
      <c r="AH22" s="455">
        <v>40000</v>
      </c>
      <c r="AI22" s="456">
        <v>11</v>
      </c>
      <c r="AJ22" s="457">
        <v>44323</v>
      </c>
      <c r="AK22" s="458">
        <v>44334</v>
      </c>
      <c r="AL22" s="455"/>
      <c r="AM22" s="456"/>
      <c r="AN22" s="460"/>
      <c r="AO22" s="458"/>
      <c r="AP22" s="455"/>
      <c r="AQ22" s="456"/>
      <c r="AR22" s="460"/>
      <c r="AS22" s="458"/>
      <c r="AT22" s="154">
        <f t="shared" si="1"/>
        <v>303741</v>
      </c>
      <c r="AU22" s="461">
        <f t="shared" si="2"/>
        <v>72722</v>
      </c>
    </row>
    <row r="23" spans="2:47" s="148" customFormat="1" ht="22.5" x14ac:dyDescent="0.25">
      <c r="B23" s="149">
        <v>8</v>
      </c>
      <c r="C23" s="149" t="s">
        <v>38</v>
      </c>
      <c r="D23" s="450" t="s">
        <v>313</v>
      </c>
      <c r="E23" s="451" t="s">
        <v>314</v>
      </c>
      <c r="F23" s="451" t="s">
        <v>46</v>
      </c>
      <c r="G23" s="452" t="s">
        <v>295</v>
      </c>
      <c r="H23" s="463" t="s">
        <v>315</v>
      </c>
      <c r="I23" s="453" t="s">
        <v>42</v>
      </c>
      <c r="J23" s="466">
        <v>44239</v>
      </c>
      <c r="K23" s="454">
        <f>2623</f>
        <v>2623</v>
      </c>
      <c r="L23" s="454">
        <f>0</f>
        <v>0</v>
      </c>
      <c r="M23" s="454">
        <v>0</v>
      </c>
      <c r="N23" s="454">
        <v>0</v>
      </c>
      <c r="O23" s="454">
        <v>0</v>
      </c>
      <c r="P23" s="454"/>
      <c r="Q23" s="454"/>
      <c r="R23" s="454"/>
      <c r="S23" s="454"/>
      <c r="T23" s="454"/>
      <c r="U23" s="454"/>
      <c r="V23" s="454"/>
      <c r="W23" s="454"/>
      <c r="X23" s="454"/>
      <c r="Y23" s="454">
        <f t="shared" si="0"/>
        <v>0</v>
      </c>
      <c r="Z23" s="455">
        <f>41615</f>
        <v>41615</v>
      </c>
      <c r="AA23" s="467" t="s">
        <v>296</v>
      </c>
      <c r="AB23" s="457">
        <v>44209</v>
      </c>
      <c r="AC23" s="458">
        <v>44243</v>
      </c>
      <c r="AD23" s="455">
        <v>-29725</v>
      </c>
      <c r="AE23" s="459">
        <v>24</v>
      </c>
      <c r="AF23" s="457">
        <v>44363</v>
      </c>
      <c r="AG23" s="458">
        <v>44372</v>
      </c>
      <c r="AH23" s="455"/>
      <c r="AI23" s="456"/>
      <c r="AJ23" s="460"/>
      <c r="AK23" s="458"/>
      <c r="AL23" s="455"/>
      <c r="AM23" s="456"/>
      <c r="AN23" s="460"/>
      <c r="AO23" s="458"/>
      <c r="AP23" s="455"/>
      <c r="AQ23" s="456"/>
      <c r="AR23" s="460"/>
      <c r="AS23" s="458"/>
      <c r="AT23" s="154">
        <f t="shared" si="1"/>
        <v>11890</v>
      </c>
      <c r="AU23" s="461">
        <f t="shared" si="2"/>
        <v>11890</v>
      </c>
    </row>
    <row r="24" spans="2:47" s="148" customFormat="1" ht="23.25" customHeight="1" x14ac:dyDescent="0.25">
      <c r="B24" s="149">
        <v>9</v>
      </c>
      <c r="C24" s="149" t="s">
        <v>38</v>
      </c>
      <c r="D24" s="450" t="s">
        <v>316</v>
      </c>
      <c r="E24" s="451" t="s">
        <v>317</v>
      </c>
      <c r="F24" s="451" t="s">
        <v>45</v>
      </c>
      <c r="G24" s="452" t="s">
        <v>295</v>
      </c>
      <c r="H24" s="463" t="s">
        <v>318</v>
      </c>
      <c r="I24" s="453" t="s">
        <v>42</v>
      </c>
      <c r="J24" s="466">
        <f>6338498</f>
        <v>6338498</v>
      </c>
      <c r="K24" s="454">
        <f>1354638</f>
        <v>1354638</v>
      </c>
      <c r="L24" s="454">
        <f>2000427</f>
        <v>2000427</v>
      </c>
      <c r="M24" s="454">
        <v>0</v>
      </c>
      <c r="N24" s="454">
        <v>556706</v>
      </c>
      <c r="O24" s="454">
        <v>273886</v>
      </c>
      <c r="P24" s="454">
        <f>353739</f>
        <v>353739</v>
      </c>
      <c r="Q24" s="454">
        <f>347787</f>
        <v>347787</v>
      </c>
      <c r="R24" s="472">
        <v>418756</v>
      </c>
      <c r="S24" s="454"/>
      <c r="T24" s="454"/>
      <c r="U24" s="454"/>
      <c r="V24" s="454"/>
      <c r="W24" s="454"/>
      <c r="X24" s="454"/>
      <c r="Y24" s="454">
        <f t="shared" si="0"/>
        <v>1950874</v>
      </c>
      <c r="Z24" s="455">
        <f>20291+1626150</f>
        <v>1646441</v>
      </c>
      <c r="AA24" s="467" t="s">
        <v>296</v>
      </c>
      <c r="AB24" s="457">
        <v>44209</v>
      </c>
      <c r="AC24" s="458">
        <v>44243</v>
      </c>
      <c r="AD24" s="455">
        <f>542017</f>
        <v>542017</v>
      </c>
      <c r="AE24" s="459">
        <v>10</v>
      </c>
      <c r="AF24" s="457">
        <v>44299</v>
      </c>
      <c r="AG24" s="458">
        <v>44316</v>
      </c>
      <c r="AH24" s="455">
        <v>770777</v>
      </c>
      <c r="AI24" s="456">
        <v>24</v>
      </c>
      <c r="AJ24" s="457">
        <v>44363</v>
      </c>
      <c r="AK24" s="458">
        <v>44372</v>
      </c>
      <c r="AL24" s="455"/>
      <c r="AM24" s="456"/>
      <c r="AN24" s="460"/>
      <c r="AO24" s="458"/>
      <c r="AP24" s="455"/>
      <c r="AQ24" s="456"/>
      <c r="AR24" s="460"/>
      <c r="AS24" s="458"/>
      <c r="AT24" s="154">
        <f t="shared" si="1"/>
        <v>2959235</v>
      </c>
      <c r="AU24" s="461">
        <f t="shared" si="2"/>
        <v>1008361</v>
      </c>
    </row>
    <row r="25" spans="2:47" s="148" customFormat="1" x14ac:dyDescent="0.25">
      <c r="B25" s="149">
        <v>10</v>
      </c>
      <c r="C25" s="149" t="s">
        <v>38</v>
      </c>
      <c r="D25" s="450" t="s">
        <v>319</v>
      </c>
      <c r="E25" s="451" t="s">
        <v>320</v>
      </c>
      <c r="F25" s="451" t="s">
        <v>45</v>
      </c>
      <c r="G25" s="452" t="s">
        <v>295</v>
      </c>
      <c r="H25" s="463" t="s">
        <v>321</v>
      </c>
      <c r="I25" s="453" t="s">
        <v>43</v>
      </c>
      <c r="J25" s="466">
        <f>1371520</f>
        <v>1371520</v>
      </c>
      <c r="K25" s="454">
        <f>9566</f>
        <v>9566</v>
      </c>
      <c r="L25" s="454">
        <f>608844</f>
        <v>608844</v>
      </c>
      <c r="M25" s="454">
        <v>0</v>
      </c>
      <c r="N25" s="454">
        <v>241074</v>
      </c>
      <c r="O25" s="454">
        <v>91533</v>
      </c>
      <c r="P25" s="454"/>
      <c r="Q25" s="454">
        <f>800+102975</f>
        <v>103775</v>
      </c>
      <c r="R25" s="472">
        <v>800</v>
      </c>
      <c r="S25" s="454"/>
      <c r="T25" s="454"/>
      <c r="U25" s="454"/>
      <c r="V25" s="454"/>
      <c r="W25" s="454"/>
      <c r="X25" s="454"/>
      <c r="Y25" s="454">
        <f t="shared" si="0"/>
        <v>437182</v>
      </c>
      <c r="Z25" s="455">
        <f>8644+720321</f>
        <v>728965</v>
      </c>
      <c r="AA25" s="467" t="s">
        <v>296</v>
      </c>
      <c r="AB25" s="457">
        <v>44209</v>
      </c>
      <c r="AC25" s="458">
        <v>44243</v>
      </c>
      <c r="AD25" s="455">
        <f>6905-6905</f>
        <v>0</v>
      </c>
      <c r="AE25" s="459">
        <v>10</v>
      </c>
      <c r="AF25" s="457">
        <v>44299</v>
      </c>
      <c r="AG25" s="458">
        <v>44316</v>
      </c>
      <c r="AH25" s="455">
        <v>-265000</v>
      </c>
      <c r="AI25" s="456">
        <v>24</v>
      </c>
      <c r="AJ25" s="457">
        <v>44363</v>
      </c>
      <c r="AK25" s="458">
        <v>44372</v>
      </c>
      <c r="AL25" s="455"/>
      <c r="AM25" s="456"/>
      <c r="AN25" s="460"/>
      <c r="AO25" s="458"/>
      <c r="AP25" s="455"/>
      <c r="AQ25" s="456"/>
      <c r="AR25" s="460"/>
      <c r="AS25" s="458"/>
      <c r="AT25" s="154">
        <f t="shared" si="1"/>
        <v>463965</v>
      </c>
      <c r="AU25" s="461">
        <f t="shared" si="2"/>
        <v>26783</v>
      </c>
    </row>
    <row r="26" spans="2:47" s="148" customFormat="1" ht="22.5" x14ac:dyDescent="0.25">
      <c r="B26" s="149">
        <v>11</v>
      </c>
      <c r="C26" s="149" t="s">
        <v>38</v>
      </c>
      <c r="D26" s="450" t="s">
        <v>322</v>
      </c>
      <c r="E26" s="451" t="s">
        <v>323</v>
      </c>
      <c r="F26" s="451" t="s">
        <v>45</v>
      </c>
      <c r="G26" s="452" t="s">
        <v>295</v>
      </c>
      <c r="H26" s="463" t="s">
        <v>295</v>
      </c>
      <c r="I26" s="453" t="s">
        <v>42</v>
      </c>
      <c r="J26" s="466">
        <f>237431</f>
        <v>237431</v>
      </c>
      <c r="K26" s="454">
        <f>203167</f>
        <v>203167</v>
      </c>
      <c r="L26" s="454">
        <f>0</f>
        <v>0</v>
      </c>
      <c r="M26" s="454">
        <v>0</v>
      </c>
      <c r="N26" s="454">
        <v>19142</v>
      </c>
      <c r="O26" s="454">
        <f>0</f>
        <v>0</v>
      </c>
      <c r="P26" s="454"/>
      <c r="Q26" s="454"/>
      <c r="R26" s="454"/>
      <c r="S26" s="454"/>
      <c r="T26" s="454"/>
      <c r="U26" s="454"/>
      <c r="V26" s="454"/>
      <c r="W26" s="454"/>
      <c r="X26" s="454"/>
      <c r="Y26" s="454">
        <f t="shared" si="0"/>
        <v>19142</v>
      </c>
      <c r="Z26" s="455">
        <f>19143+7414+4414</f>
        <v>30971</v>
      </c>
      <c r="AA26" s="467" t="s">
        <v>296</v>
      </c>
      <c r="AB26" s="457">
        <v>44209</v>
      </c>
      <c r="AC26" s="458">
        <v>44243</v>
      </c>
      <c r="AD26" s="455">
        <v>3292</v>
      </c>
      <c r="AE26" s="459">
        <v>24</v>
      </c>
      <c r="AF26" s="457">
        <v>44363</v>
      </c>
      <c r="AG26" s="458">
        <v>44372</v>
      </c>
      <c r="AH26" s="455"/>
      <c r="AI26" s="456"/>
      <c r="AJ26" s="460"/>
      <c r="AK26" s="458"/>
      <c r="AL26" s="455"/>
      <c r="AM26" s="456"/>
      <c r="AN26" s="460"/>
      <c r="AO26" s="458"/>
      <c r="AP26" s="455"/>
      <c r="AQ26" s="456"/>
      <c r="AR26" s="460"/>
      <c r="AS26" s="458"/>
      <c r="AT26" s="154">
        <f t="shared" si="1"/>
        <v>34263</v>
      </c>
      <c r="AU26" s="461">
        <f t="shared" si="2"/>
        <v>15121</v>
      </c>
    </row>
    <row r="27" spans="2:47" s="148" customFormat="1" ht="22.5" x14ac:dyDescent="0.25">
      <c r="B27" s="149">
        <v>12</v>
      </c>
      <c r="C27" s="149" t="s">
        <v>38</v>
      </c>
      <c r="D27" s="450" t="s">
        <v>324</v>
      </c>
      <c r="E27" s="451" t="s">
        <v>325</v>
      </c>
      <c r="F27" s="451" t="s">
        <v>45</v>
      </c>
      <c r="G27" s="452" t="s">
        <v>295</v>
      </c>
      <c r="H27" s="463" t="s">
        <v>326</v>
      </c>
      <c r="I27" s="453" t="s">
        <v>42</v>
      </c>
      <c r="J27" s="466">
        <f>1130643</f>
        <v>1130643</v>
      </c>
      <c r="K27" s="454">
        <f>434552</f>
        <v>434552</v>
      </c>
      <c r="L27" s="454">
        <f>87263</f>
        <v>87263</v>
      </c>
      <c r="M27" s="454">
        <f>0</f>
        <v>0</v>
      </c>
      <c r="N27" s="454">
        <v>105193</v>
      </c>
      <c r="O27" s="454">
        <v>73899</v>
      </c>
      <c r="P27" s="454">
        <f>800+136999</f>
        <v>137799</v>
      </c>
      <c r="Q27" s="454">
        <f>800+122288</f>
        <v>123088</v>
      </c>
      <c r="R27" s="472">
        <v>92310</v>
      </c>
      <c r="S27" s="454"/>
      <c r="T27" s="454"/>
      <c r="U27" s="454"/>
      <c r="V27" s="454"/>
      <c r="W27" s="454"/>
      <c r="X27" s="454"/>
      <c r="Y27" s="454">
        <f t="shared" si="0"/>
        <v>532289</v>
      </c>
      <c r="Z27" s="455">
        <f>20990+669971</f>
        <v>690961</v>
      </c>
      <c r="AA27" s="467" t="s">
        <v>296</v>
      </c>
      <c r="AB27" s="457">
        <v>44209</v>
      </c>
      <c r="AC27" s="458">
        <v>44243</v>
      </c>
      <c r="AD27" s="455">
        <v>-16005</v>
      </c>
      <c r="AE27" s="459">
        <v>10</v>
      </c>
      <c r="AF27" s="457">
        <v>44299</v>
      </c>
      <c r="AG27" s="458">
        <v>44316</v>
      </c>
      <c r="AH27" s="455"/>
      <c r="AI27" s="456"/>
      <c r="AJ27" s="460"/>
      <c r="AK27" s="458"/>
      <c r="AL27" s="455"/>
      <c r="AM27" s="456"/>
      <c r="AN27" s="460"/>
      <c r="AO27" s="458"/>
      <c r="AP27" s="455"/>
      <c r="AQ27" s="456"/>
      <c r="AR27" s="460"/>
      <c r="AS27" s="458"/>
      <c r="AT27" s="154">
        <f t="shared" si="1"/>
        <v>674956</v>
      </c>
      <c r="AU27" s="461">
        <f t="shared" si="2"/>
        <v>142667</v>
      </c>
    </row>
    <row r="28" spans="2:47" s="148" customFormat="1" ht="22.5" x14ac:dyDescent="0.25">
      <c r="B28" s="149">
        <v>13</v>
      </c>
      <c r="C28" s="149" t="s">
        <v>38</v>
      </c>
      <c r="D28" s="450" t="s">
        <v>327</v>
      </c>
      <c r="E28" s="451" t="s">
        <v>328</v>
      </c>
      <c r="F28" s="451" t="s">
        <v>45</v>
      </c>
      <c r="G28" s="452" t="s">
        <v>295</v>
      </c>
      <c r="H28" s="463" t="s">
        <v>295</v>
      </c>
      <c r="I28" s="453" t="s">
        <v>42</v>
      </c>
      <c r="J28" s="466">
        <f>4590307</f>
        <v>4590307</v>
      </c>
      <c r="K28" s="454">
        <f>4480641</f>
        <v>4480641</v>
      </c>
      <c r="L28" s="454">
        <f>0</f>
        <v>0</v>
      </c>
      <c r="M28" s="454">
        <f>0</f>
        <v>0</v>
      </c>
      <c r="N28" s="454">
        <v>340</v>
      </c>
      <c r="O28" s="454">
        <f>0</f>
        <v>0</v>
      </c>
      <c r="P28" s="454"/>
      <c r="Q28" s="454"/>
      <c r="R28" s="454"/>
      <c r="S28" s="454"/>
      <c r="T28" s="454"/>
      <c r="U28" s="454"/>
      <c r="V28" s="454"/>
      <c r="W28" s="454"/>
      <c r="X28" s="454"/>
      <c r="Y28" s="454">
        <f t="shared" si="0"/>
        <v>340</v>
      </c>
      <c r="Z28" s="455">
        <f>67854+41811</f>
        <v>109665</v>
      </c>
      <c r="AA28" s="467" t="s">
        <v>296</v>
      </c>
      <c r="AB28" s="457">
        <v>44209</v>
      </c>
      <c r="AC28" s="458">
        <v>44243</v>
      </c>
      <c r="AD28" s="455"/>
      <c r="AE28" s="459"/>
      <c r="AF28" s="460"/>
      <c r="AG28" s="458"/>
      <c r="AH28" s="455"/>
      <c r="AI28" s="456"/>
      <c r="AJ28" s="460"/>
      <c r="AK28" s="458"/>
      <c r="AL28" s="455"/>
      <c r="AM28" s="456"/>
      <c r="AN28" s="460"/>
      <c r="AO28" s="458"/>
      <c r="AP28" s="455"/>
      <c r="AQ28" s="456"/>
      <c r="AR28" s="460"/>
      <c r="AS28" s="458"/>
      <c r="AT28" s="154">
        <f t="shared" si="1"/>
        <v>109665</v>
      </c>
      <c r="AU28" s="461">
        <f t="shared" si="2"/>
        <v>109325</v>
      </c>
    </row>
    <row r="29" spans="2:47" s="148" customFormat="1" ht="22.5" x14ac:dyDescent="0.25">
      <c r="B29" s="149">
        <v>14</v>
      </c>
      <c r="C29" s="149" t="s">
        <v>38</v>
      </c>
      <c r="D29" s="450" t="s">
        <v>329</v>
      </c>
      <c r="E29" s="451" t="s">
        <v>330</v>
      </c>
      <c r="F29" s="451" t="s">
        <v>45</v>
      </c>
      <c r="G29" s="452" t="s">
        <v>295</v>
      </c>
      <c r="H29" s="463" t="s">
        <v>295</v>
      </c>
      <c r="I29" s="453" t="s">
        <v>42</v>
      </c>
      <c r="J29" s="466">
        <f>5700748</f>
        <v>5700748</v>
      </c>
      <c r="K29" s="454">
        <f>5581804</f>
        <v>5581804</v>
      </c>
      <c r="L29" s="454">
        <f>0</f>
        <v>0</v>
      </c>
      <c r="M29" s="454">
        <f>0</f>
        <v>0</v>
      </c>
      <c r="N29" s="454">
        <f>0</f>
        <v>0</v>
      </c>
      <c r="O29" s="454">
        <v>947</v>
      </c>
      <c r="P29" s="454">
        <f>3175</f>
        <v>3175</v>
      </c>
      <c r="Q29" s="454">
        <f>0</f>
        <v>0</v>
      </c>
      <c r="R29" s="472">
        <v>3528</v>
      </c>
      <c r="S29" s="454"/>
      <c r="T29" s="454"/>
      <c r="U29" s="454"/>
      <c r="V29" s="454"/>
      <c r="W29" s="454"/>
      <c r="X29" s="454"/>
      <c r="Y29" s="454">
        <f t="shared" si="0"/>
        <v>7650</v>
      </c>
      <c r="Z29" s="455">
        <f>95588+23356</f>
        <v>118944</v>
      </c>
      <c r="AA29" s="467" t="s">
        <v>296</v>
      </c>
      <c r="AB29" s="457">
        <v>44209</v>
      </c>
      <c r="AC29" s="458">
        <v>44243</v>
      </c>
      <c r="AD29" s="455">
        <v>-50000</v>
      </c>
      <c r="AE29" s="459">
        <v>10</v>
      </c>
      <c r="AF29" s="457">
        <v>44299</v>
      </c>
      <c r="AG29" s="458">
        <v>44316</v>
      </c>
      <c r="AH29" s="455"/>
      <c r="AI29" s="456"/>
      <c r="AJ29" s="460"/>
      <c r="AK29" s="458"/>
      <c r="AL29" s="455"/>
      <c r="AM29" s="456"/>
      <c r="AN29" s="460"/>
      <c r="AO29" s="458"/>
      <c r="AP29" s="455"/>
      <c r="AQ29" s="456"/>
      <c r="AR29" s="460"/>
      <c r="AS29" s="458"/>
      <c r="AT29" s="154">
        <f t="shared" si="1"/>
        <v>68944</v>
      </c>
      <c r="AU29" s="461">
        <f t="shared" si="2"/>
        <v>61294</v>
      </c>
    </row>
    <row r="30" spans="2:47" s="148" customFormat="1" x14ac:dyDescent="0.25">
      <c r="B30" s="149">
        <v>15</v>
      </c>
      <c r="C30" s="149" t="s">
        <v>38</v>
      </c>
      <c r="D30" s="450" t="s">
        <v>331</v>
      </c>
      <c r="E30" s="451" t="s">
        <v>332</v>
      </c>
      <c r="F30" s="451" t="s">
        <v>45</v>
      </c>
      <c r="G30" s="452" t="s">
        <v>295</v>
      </c>
      <c r="H30" s="463" t="s">
        <v>315</v>
      </c>
      <c r="I30" s="453" t="s">
        <v>42</v>
      </c>
      <c r="J30" s="466">
        <f>5231488</f>
        <v>5231488</v>
      </c>
      <c r="K30" s="454">
        <f>5177411</f>
        <v>5177411</v>
      </c>
      <c r="L30" s="454">
        <f>0</f>
        <v>0</v>
      </c>
      <c r="M30" s="454">
        <f>0</f>
        <v>0</v>
      </c>
      <c r="N30" s="454">
        <f>0</f>
        <v>0</v>
      </c>
      <c r="O30" s="454">
        <f>0</f>
        <v>0</v>
      </c>
      <c r="P30" s="454"/>
      <c r="Q30" s="454"/>
      <c r="R30" s="454"/>
      <c r="S30" s="454"/>
      <c r="T30" s="454"/>
      <c r="U30" s="454"/>
      <c r="V30" s="454"/>
      <c r="W30" s="454"/>
      <c r="X30" s="454"/>
      <c r="Y30" s="454">
        <f t="shared" si="0"/>
        <v>0</v>
      </c>
      <c r="Z30" s="455">
        <f>53260+814</f>
        <v>54074</v>
      </c>
      <c r="AA30" s="467" t="s">
        <v>296</v>
      </c>
      <c r="AB30" s="457">
        <v>44209</v>
      </c>
      <c r="AC30" s="458">
        <v>44243</v>
      </c>
      <c r="AD30" s="455"/>
      <c r="AE30" s="459"/>
      <c r="AF30" s="460"/>
      <c r="AG30" s="458"/>
      <c r="AH30" s="455"/>
      <c r="AI30" s="456"/>
      <c r="AJ30" s="460"/>
      <c r="AK30" s="458"/>
      <c r="AL30" s="455"/>
      <c r="AM30" s="456"/>
      <c r="AN30" s="460"/>
      <c r="AO30" s="458"/>
      <c r="AP30" s="455"/>
      <c r="AQ30" s="456"/>
      <c r="AR30" s="460"/>
      <c r="AS30" s="458"/>
      <c r="AT30" s="154">
        <f t="shared" si="1"/>
        <v>54074</v>
      </c>
      <c r="AU30" s="461">
        <f t="shared" si="2"/>
        <v>54074</v>
      </c>
    </row>
    <row r="31" spans="2:47" s="148" customFormat="1" ht="22.5" x14ac:dyDescent="0.25">
      <c r="B31" s="149">
        <v>16</v>
      </c>
      <c r="C31" s="149" t="s">
        <v>38</v>
      </c>
      <c r="D31" s="450" t="s">
        <v>333</v>
      </c>
      <c r="E31" s="451" t="s">
        <v>334</v>
      </c>
      <c r="F31" s="451" t="s">
        <v>45</v>
      </c>
      <c r="G31" s="452" t="s">
        <v>295</v>
      </c>
      <c r="H31" s="463" t="s">
        <v>335</v>
      </c>
      <c r="I31" s="453" t="s">
        <v>42</v>
      </c>
      <c r="J31" s="466">
        <f>706892-197811</f>
        <v>509081</v>
      </c>
      <c r="K31" s="454">
        <f>7081</f>
        <v>7081</v>
      </c>
      <c r="L31" s="454">
        <f>0</f>
        <v>0</v>
      </c>
      <c r="M31" s="454">
        <f>0</f>
        <v>0</v>
      </c>
      <c r="N31" s="454">
        <f>0</f>
        <v>0</v>
      </c>
      <c r="O31" s="454">
        <v>259606</v>
      </c>
      <c r="P31" s="454">
        <f>0</f>
        <v>0</v>
      </c>
      <c r="Q31" s="454">
        <f>180493</f>
        <v>180493</v>
      </c>
      <c r="R31" s="472">
        <v>41400</v>
      </c>
      <c r="S31" s="454"/>
      <c r="T31" s="454"/>
      <c r="U31" s="454"/>
      <c r="V31" s="454"/>
      <c r="W31" s="454"/>
      <c r="X31" s="454"/>
      <c r="Y31" s="454">
        <f t="shared" si="0"/>
        <v>481499</v>
      </c>
      <c r="Z31" s="455">
        <f>502000</f>
        <v>502000</v>
      </c>
      <c r="AA31" s="467" t="s">
        <v>296</v>
      </c>
      <c r="AB31" s="457">
        <v>44209</v>
      </c>
      <c r="AC31" s="458">
        <v>44243</v>
      </c>
      <c r="AD31" s="455"/>
      <c r="AE31" s="459"/>
      <c r="AF31" s="460"/>
      <c r="AG31" s="458"/>
      <c r="AH31" s="455"/>
      <c r="AI31" s="456"/>
      <c r="AJ31" s="460"/>
      <c r="AK31" s="458"/>
      <c r="AL31" s="455"/>
      <c r="AM31" s="456"/>
      <c r="AN31" s="460"/>
      <c r="AO31" s="458"/>
      <c r="AP31" s="455"/>
      <c r="AQ31" s="456"/>
      <c r="AR31" s="460"/>
      <c r="AS31" s="458"/>
      <c r="AT31" s="154">
        <f t="shared" si="1"/>
        <v>502000</v>
      </c>
      <c r="AU31" s="461">
        <f t="shared" si="2"/>
        <v>20501</v>
      </c>
    </row>
    <row r="32" spans="2:47" s="148" customFormat="1" x14ac:dyDescent="0.25">
      <c r="B32" s="149">
        <v>17</v>
      </c>
      <c r="C32" s="149" t="s">
        <v>38</v>
      </c>
      <c r="D32" s="450" t="s">
        <v>336</v>
      </c>
      <c r="E32" s="451" t="s">
        <v>337</v>
      </c>
      <c r="F32" s="451" t="s">
        <v>45</v>
      </c>
      <c r="G32" s="452" t="s">
        <v>295</v>
      </c>
      <c r="H32" s="463" t="s">
        <v>338</v>
      </c>
      <c r="I32" s="453" t="s">
        <v>42</v>
      </c>
      <c r="J32" s="466">
        <f>3363212</f>
        <v>3363212</v>
      </c>
      <c r="K32" s="454">
        <f>3271746</f>
        <v>3271746</v>
      </c>
      <c r="L32" s="454">
        <f>0</f>
        <v>0</v>
      </c>
      <c r="M32" s="454">
        <f>0</f>
        <v>0</v>
      </c>
      <c r="N32" s="454">
        <v>11984</v>
      </c>
      <c r="O32" s="454">
        <f>0</f>
        <v>0</v>
      </c>
      <c r="P32" s="454">
        <f>447</f>
        <v>447</v>
      </c>
      <c r="Q32" s="454"/>
      <c r="R32" s="454"/>
      <c r="S32" s="454"/>
      <c r="T32" s="454"/>
      <c r="U32" s="454"/>
      <c r="V32" s="454"/>
      <c r="W32" s="454"/>
      <c r="X32" s="454"/>
      <c r="Y32" s="454">
        <f t="shared" si="0"/>
        <v>12431</v>
      </c>
      <c r="Z32" s="455">
        <f>39932+51534</f>
        <v>91466</v>
      </c>
      <c r="AA32" s="467" t="s">
        <v>296</v>
      </c>
      <c r="AB32" s="457">
        <v>44209</v>
      </c>
      <c r="AC32" s="458">
        <v>44243</v>
      </c>
      <c r="AD32" s="455">
        <v>-69034</v>
      </c>
      <c r="AE32" s="456">
        <v>23</v>
      </c>
      <c r="AF32" s="457">
        <v>44355</v>
      </c>
      <c r="AG32" s="458">
        <v>44369</v>
      </c>
      <c r="AH32" s="455"/>
      <c r="AI32" s="456"/>
      <c r="AJ32" s="460"/>
      <c r="AK32" s="458"/>
      <c r="AL32" s="469"/>
      <c r="AM32" s="469"/>
      <c r="AN32" s="469"/>
      <c r="AO32" s="470"/>
      <c r="AP32" s="455"/>
      <c r="AQ32" s="456"/>
      <c r="AR32" s="460"/>
      <c r="AS32" s="458"/>
      <c r="AT32" s="154">
        <f t="shared" si="1"/>
        <v>22432</v>
      </c>
      <c r="AU32" s="461">
        <f t="shared" si="2"/>
        <v>10001</v>
      </c>
    </row>
    <row r="33" spans="2:47" s="148" customFormat="1" ht="22.5" x14ac:dyDescent="0.25">
      <c r="B33" s="149">
        <v>18</v>
      </c>
      <c r="C33" s="149" t="s">
        <v>38</v>
      </c>
      <c r="D33" s="450" t="s">
        <v>339</v>
      </c>
      <c r="E33" s="451" t="s">
        <v>340</v>
      </c>
      <c r="F33" s="451" t="s">
        <v>45</v>
      </c>
      <c r="G33" s="452" t="s">
        <v>295</v>
      </c>
      <c r="H33" s="463" t="s">
        <v>341</v>
      </c>
      <c r="I33" s="453" t="s">
        <v>42</v>
      </c>
      <c r="J33" s="466">
        <f>1057448</f>
        <v>1057448</v>
      </c>
      <c r="K33" s="454">
        <f>829027</f>
        <v>829027</v>
      </c>
      <c r="L33" s="454">
        <f>2740</f>
        <v>2740</v>
      </c>
      <c r="M33" s="454">
        <f>0</f>
        <v>0</v>
      </c>
      <c r="N33" s="454">
        <f>0</f>
        <v>0</v>
      </c>
      <c r="O33" s="454">
        <f>0</f>
        <v>0</v>
      </c>
      <c r="P33" s="454"/>
      <c r="Q33" s="454">
        <f>0</f>
        <v>0</v>
      </c>
      <c r="R33" s="454"/>
      <c r="S33" s="454"/>
      <c r="T33" s="454"/>
      <c r="U33" s="454"/>
      <c r="V33" s="454"/>
      <c r="W33" s="454"/>
      <c r="X33" s="454"/>
      <c r="Y33" s="454">
        <f t="shared" si="0"/>
        <v>0</v>
      </c>
      <c r="Z33" s="455">
        <f>68620+124490</f>
        <v>193110</v>
      </c>
      <c r="AA33" s="467" t="s">
        <v>296</v>
      </c>
      <c r="AB33" s="457">
        <v>44209</v>
      </c>
      <c r="AC33" s="458">
        <v>44243</v>
      </c>
      <c r="AD33" s="455">
        <v>32571</v>
      </c>
      <c r="AE33" s="459">
        <v>10</v>
      </c>
      <c r="AF33" s="457">
        <v>44299</v>
      </c>
      <c r="AG33" s="458">
        <v>44316</v>
      </c>
      <c r="AH33" s="455">
        <v>-210681</v>
      </c>
      <c r="AI33" s="456">
        <v>24</v>
      </c>
      <c r="AJ33" s="457">
        <v>44363</v>
      </c>
      <c r="AK33" s="458">
        <v>44372</v>
      </c>
      <c r="AL33" s="455"/>
      <c r="AM33" s="456"/>
      <c r="AN33" s="460"/>
      <c r="AO33" s="458"/>
      <c r="AP33" s="455"/>
      <c r="AQ33" s="456"/>
      <c r="AR33" s="460"/>
      <c r="AS33" s="458"/>
      <c r="AT33" s="154">
        <f t="shared" si="1"/>
        <v>15000</v>
      </c>
      <c r="AU33" s="461">
        <f t="shared" si="2"/>
        <v>15000</v>
      </c>
    </row>
    <row r="34" spans="2:47" s="148" customFormat="1" ht="22.5" x14ac:dyDescent="0.25">
      <c r="B34" s="149">
        <v>19</v>
      </c>
      <c r="C34" s="149" t="s">
        <v>38</v>
      </c>
      <c r="D34" s="450" t="s">
        <v>342</v>
      </c>
      <c r="E34" s="451" t="s">
        <v>343</v>
      </c>
      <c r="F34" s="451" t="s">
        <v>45</v>
      </c>
      <c r="G34" s="452" t="s">
        <v>295</v>
      </c>
      <c r="H34" s="463" t="s">
        <v>326</v>
      </c>
      <c r="I34" s="453" t="s">
        <v>42</v>
      </c>
      <c r="J34" s="466">
        <f>1595553</f>
        <v>1595553</v>
      </c>
      <c r="K34" s="454">
        <f>87504</f>
        <v>87504</v>
      </c>
      <c r="L34" s="454">
        <f>19299</f>
        <v>19299</v>
      </c>
      <c r="M34" s="454">
        <f>0</f>
        <v>0</v>
      </c>
      <c r="N34" s="454">
        <v>210568</v>
      </c>
      <c r="O34" s="454">
        <v>102831</v>
      </c>
      <c r="P34" s="454">
        <f>1467+96165</f>
        <v>97632</v>
      </c>
      <c r="Q34" s="454">
        <f>1467+331103</f>
        <v>332570</v>
      </c>
      <c r="R34" s="472">
        <v>102105</v>
      </c>
      <c r="S34" s="454"/>
      <c r="T34" s="454"/>
      <c r="U34" s="454"/>
      <c r="V34" s="454"/>
      <c r="W34" s="454"/>
      <c r="X34" s="454"/>
      <c r="Y34" s="454">
        <f t="shared" si="0"/>
        <v>845706</v>
      </c>
      <c r="Z34" s="455">
        <f>15524+1469352</f>
        <v>1484876</v>
      </c>
      <c r="AA34" s="467" t="s">
        <v>296</v>
      </c>
      <c r="AB34" s="457">
        <v>44209</v>
      </c>
      <c r="AC34" s="458">
        <v>44243</v>
      </c>
      <c r="AD34" s="455">
        <v>45000</v>
      </c>
      <c r="AE34" s="459">
        <v>24</v>
      </c>
      <c r="AF34" s="457">
        <v>44363</v>
      </c>
      <c r="AG34" s="458">
        <v>44372</v>
      </c>
      <c r="AH34" s="455"/>
      <c r="AI34" s="456"/>
      <c r="AJ34" s="460"/>
      <c r="AK34" s="458"/>
      <c r="AL34" s="455"/>
      <c r="AM34" s="456"/>
      <c r="AN34" s="460"/>
      <c r="AO34" s="458"/>
      <c r="AP34" s="455"/>
      <c r="AQ34" s="456"/>
      <c r="AR34" s="460"/>
      <c r="AS34" s="458"/>
      <c r="AT34" s="154">
        <f t="shared" si="1"/>
        <v>1529876</v>
      </c>
      <c r="AU34" s="461">
        <f t="shared" si="2"/>
        <v>684170</v>
      </c>
    </row>
    <row r="35" spans="2:47" s="148" customFormat="1" x14ac:dyDescent="0.25">
      <c r="B35" s="149">
        <v>20</v>
      </c>
      <c r="C35" s="149" t="s">
        <v>38</v>
      </c>
      <c r="D35" s="450" t="s">
        <v>344</v>
      </c>
      <c r="E35" s="451" t="s">
        <v>345</v>
      </c>
      <c r="F35" s="451" t="s">
        <v>46</v>
      </c>
      <c r="G35" s="452" t="s">
        <v>295</v>
      </c>
      <c r="H35" s="463" t="s">
        <v>321</v>
      </c>
      <c r="I35" s="453" t="s">
        <v>42</v>
      </c>
      <c r="J35" s="466">
        <f>45143</f>
        <v>45143</v>
      </c>
      <c r="K35" s="454">
        <f>30893</f>
        <v>30893</v>
      </c>
      <c r="L35" s="454">
        <f>0</f>
        <v>0</v>
      </c>
      <c r="M35" s="454">
        <f>0</f>
        <v>0</v>
      </c>
      <c r="N35" s="454">
        <f>0</f>
        <v>0</v>
      </c>
      <c r="O35" s="454">
        <f>0</f>
        <v>0</v>
      </c>
      <c r="P35" s="454"/>
      <c r="Q35" s="454"/>
      <c r="R35" s="454"/>
      <c r="S35" s="454"/>
      <c r="T35" s="454"/>
      <c r="U35" s="454"/>
      <c r="V35" s="454"/>
      <c r="W35" s="454"/>
      <c r="X35" s="454"/>
      <c r="Y35" s="454">
        <f t="shared" si="0"/>
        <v>0</v>
      </c>
      <c r="Z35" s="455">
        <f>14250</f>
        <v>14250</v>
      </c>
      <c r="AA35" s="467" t="s">
        <v>296</v>
      </c>
      <c r="AB35" s="457">
        <v>44209</v>
      </c>
      <c r="AC35" s="458">
        <v>44243</v>
      </c>
      <c r="AD35" s="455"/>
      <c r="AE35" s="459"/>
      <c r="AF35" s="460"/>
      <c r="AG35" s="458"/>
      <c r="AH35" s="455"/>
      <c r="AI35" s="456"/>
      <c r="AJ35" s="460"/>
      <c r="AK35" s="458"/>
      <c r="AL35" s="455"/>
      <c r="AM35" s="456"/>
      <c r="AN35" s="460"/>
      <c r="AO35" s="458"/>
      <c r="AP35" s="455"/>
      <c r="AQ35" s="456"/>
      <c r="AR35" s="460"/>
      <c r="AS35" s="458"/>
      <c r="AT35" s="154">
        <f t="shared" si="1"/>
        <v>14250</v>
      </c>
      <c r="AU35" s="461">
        <f t="shared" si="2"/>
        <v>14250</v>
      </c>
    </row>
    <row r="36" spans="2:47" s="148" customFormat="1" x14ac:dyDescent="0.25">
      <c r="B36" s="149">
        <v>21</v>
      </c>
      <c r="C36" s="149" t="s">
        <v>38</v>
      </c>
      <c r="D36" s="450" t="s">
        <v>346</v>
      </c>
      <c r="E36" s="451" t="s">
        <v>347</v>
      </c>
      <c r="F36" s="451" t="s">
        <v>45</v>
      </c>
      <c r="G36" s="452" t="s">
        <v>295</v>
      </c>
      <c r="H36" s="463" t="s">
        <v>341</v>
      </c>
      <c r="I36" s="453" t="s">
        <v>42</v>
      </c>
      <c r="J36" s="466">
        <f>4639030</f>
        <v>4639030</v>
      </c>
      <c r="K36" s="454">
        <f>3916953</f>
        <v>3916953</v>
      </c>
      <c r="L36" s="454">
        <f>0</f>
        <v>0</v>
      </c>
      <c r="M36" s="454">
        <f>0</f>
        <v>0</v>
      </c>
      <c r="N36" s="454">
        <v>22491</v>
      </c>
      <c r="O36" s="454">
        <f>0</f>
        <v>0</v>
      </c>
      <c r="P36" s="454">
        <f>50114</f>
        <v>50114</v>
      </c>
      <c r="Q36" s="454">
        <f>118964</f>
        <v>118964</v>
      </c>
      <c r="R36" s="472">
        <v>67675</v>
      </c>
      <c r="S36" s="454"/>
      <c r="T36" s="454"/>
      <c r="U36" s="454"/>
      <c r="V36" s="454"/>
      <c r="W36" s="454"/>
      <c r="X36" s="454"/>
      <c r="Y36" s="454">
        <f t="shared" si="0"/>
        <v>259244</v>
      </c>
      <c r="Z36" s="455">
        <f>88259+600037</f>
        <v>688296</v>
      </c>
      <c r="AA36" s="467" t="s">
        <v>296</v>
      </c>
      <c r="AB36" s="457">
        <v>44209</v>
      </c>
      <c r="AC36" s="458">
        <v>44243</v>
      </c>
      <c r="AD36" s="455"/>
      <c r="AE36" s="459"/>
      <c r="AF36" s="460"/>
      <c r="AG36" s="458"/>
      <c r="AH36" s="455"/>
      <c r="AI36" s="456"/>
      <c r="AJ36" s="460"/>
      <c r="AK36" s="458"/>
      <c r="AL36" s="455"/>
      <c r="AM36" s="456"/>
      <c r="AN36" s="460"/>
      <c r="AO36" s="458"/>
      <c r="AP36" s="455"/>
      <c r="AQ36" s="456"/>
      <c r="AR36" s="460"/>
      <c r="AS36" s="458"/>
      <c r="AT36" s="154">
        <f t="shared" si="1"/>
        <v>688296</v>
      </c>
      <c r="AU36" s="461">
        <f t="shared" si="2"/>
        <v>429052</v>
      </c>
    </row>
    <row r="37" spans="2:47" s="148" customFormat="1" ht="22.5" x14ac:dyDescent="0.25">
      <c r="B37" s="149">
        <v>22</v>
      </c>
      <c r="C37" s="149" t="s">
        <v>38</v>
      </c>
      <c r="D37" s="450" t="s">
        <v>348</v>
      </c>
      <c r="E37" s="451" t="s">
        <v>349</v>
      </c>
      <c r="F37" s="451" t="s">
        <v>46</v>
      </c>
      <c r="G37" s="452" t="s">
        <v>295</v>
      </c>
      <c r="H37" s="463" t="s">
        <v>341</v>
      </c>
      <c r="I37" s="453" t="s">
        <v>42</v>
      </c>
      <c r="J37" s="466">
        <f>168053</f>
        <v>168053</v>
      </c>
      <c r="K37" s="454">
        <f>120328</f>
        <v>120328</v>
      </c>
      <c r="L37" s="454">
        <f>0</f>
        <v>0</v>
      </c>
      <c r="M37" s="454">
        <f>0</f>
        <v>0</v>
      </c>
      <c r="N37" s="454">
        <f>0</f>
        <v>0</v>
      </c>
      <c r="O37" s="454">
        <f>0</f>
        <v>0</v>
      </c>
      <c r="P37" s="454"/>
      <c r="Q37" s="454"/>
      <c r="R37" s="454"/>
      <c r="S37" s="454"/>
      <c r="T37" s="454"/>
      <c r="U37" s="454"/>
      <c r="V37" s="454"/>
      <c r="W37" s="454"/>
      <c r="X37" s="454"/>
      <c r="Y37" s="454">
        <f t="shared" si="0"/>
        <v>0</v>
      </c>
      <c r="Z37" s="455">
        <f>47725</f>
        <v>47725</v>
      </c>
      <c r="AA37" s="467" t="s">
        <v>296</v>
      </c>
      <c r="AB37" s="457">
        <v>44209</v>
      </c>
      <c r="AC37" s="458">
        <v>44243</v>
      </c>
      <c r="AD37" s="455">
        <v>-47725</v>
      </c>
      <c r="AE37" s="459">
        <v>24</v>
      </c>
      <c r="AF37" s="457">
        <v>44363</v>
      </c>
      <c r="AG37" s="458">
        <v>44372</v>
      </c>
      <c r="AH37" s="455"/>
      <c r="AI37" s="456"/>
      <c r="AJ37" s="460"/>
      <c r="AK37" s="458"/>
      <c r="AL37" s="455"/>
      <c r="AM37" s="456"/>
      <c r="AN37" s="460"/>
      <c r="AO37" s="458"/>
      <c r="AP37" s="455"/>
      <c r="AQ37" s="456"/>
      <c r="AR37" s="460"/>
      <c r="AS37" s="458"/>
      <c r="AT37" s="154">
        <f t="shared" si="1"/>
        <v>0</v>
      </c>
      <c r="AU37" s="461">
        <f t="shared" si="2"/>
        <v>0</v>
      </c>
    </row>
    <row r="38" spans="2:47" s="148" customFormat="1" ht="22.5" x14ac:dyDescent="0.25">
      <c r="B38" s="149">
        <v>23</v>
      </c>
      <c r="C38" s="149" t="s">
        <v>38</v>
      </c>
      <c r="D38" s="450" t="s">
        <v>350</v>
      </c>
      <c r="E38" s="451" t="s">
        <v>351</v>
      </c>
      <c r="F38" s="451" t="s">
        <v>45</v>
      </c>
      <c r="G38" s="452" t="s">
        <v>295</v>
      </c>
      <c r="H38" s="463" t="s">
        <v>341</v>
      </c>
      <c r="I38" s="453" t="s">
        <v>42</v>
      </c>
      <c r="J38" s="466">
        <f>3274336</f>
        <v>3274336</v>
      </c>
      <c r="K38" s="454">
        <f>2861590</f>
        <v>2861590</v>
      </c>
      <c r="L38" s="454">
        <f>20349</f>
        <v>20349</v>
      </c>
      <c r="M38" s="454">
        <f>0</f>
        <v>0</v>
      </c>
      <c r="N38" s="454">
        <f>0</f>
        <v>0</v>
      </c>
      <c r="O38" s="454">
        <f>0</f>
        <v>0</v>
      </c>
      <c r="P38" s="454">
        <f>0</f>
        <v>0</v>
      </c>
      <c r="Q38" s="454">
        <f>0</f>
        <v>0</v>
      </c>
      <c r="R38" s="454"/>
      <c r="S38" s="454"/>
      <c r="T38" s="454"/>
      <c r="U38" s="454"/>
      <c r="V38" s="454"/>
      <c r="W38" s="454"/>
      <c r="X38" s="454"/>
      <c r="Y38" s="454">
        <f t="shared" si="0"/>
        <v>0</v>
      </c>
      <c r="Z38" s="455">
        <f>377268</f>
        <v>377268</v>
      </c>
      <c r="AA38" s="467" t="s">
        <v>296</v>
      </c>
      <c r="AB38" s="457">
        <v>44209</v>
      </c>
      <c r="AC38" s="458">
        <v>44243</v>
      </c>
      <c r="AD38" s="455">
        <v>1</v>
      </c>
      <c r="AE38" s="459">
        <v>10</v>
      </c>
      <c r="AF38" s="457">
        <v>44299</v>
      </c>
      <c r="AG38" s="458">
        <v>44316</v>
      </c>
      <c r="AH38" s="455"/>
      <c r="AI38" s="456"/>
      <c r="AJ38" s="460"/>
      <c r="AK38" s="458"/>
      <c r="AL38" s="455"/>
      <c r="AM38" s="456"/>
      <c r="AN38" s="460"/>
      <c r="AO38" s="458"/>
      <c r="AP38" s="455"/>
      <c r="AQ38" s="456"/>
      <c r="AR38" s="460"/>
      <c r="AS38" s="458"/>
      <c r="AT38" s="154">
        <f t="shared" si="1"/>
        <v>377269</v>
      </c>
      <c r="AU38" s="461">
        <f t="shared" si="2"/>
        <v>377269</v>
      </c>
    </row>
    <row r="39" spans="2:47" s="148" customFormat="1" ht="22.5" x14ac:dyDescent="0.25">
      <c r="B39" s="149">
        <v>24</v>
      </c>
      <c r="C39" s="149" t="s">
        <v>38</v>
      </c>
      <c r="D39" s="450" t="s">
        <v>352</v>
      </c>
      <c r="E39" s="451" t="s">
        <v>353</v>
      </c>
      <c r="F39" s="451" t="s">
        <v>45</v>
      </c>
      <c r="G39" s="452" t="s">
        <v>295</v>
      </c>
      <c r="H39" s="463" t="s">
        <v>341</v>
      </c>
      <c r="I39" s="453" t="s">
        <v>42</v>
      </c>
      <c r="J39" s="466">
        <f>4545257</f>
        <v>4545257</v>
      </c>
      <c r="K39" s="454">
        <f>1248804</f>
        <v>1248804</v>
      </c>
      <c r="L39" s="454">
        <f>295433</f>
        <v>295433</v>
      </c>
      <c r="M39" s="454">
        <f>0</f>
        <v>0</v>
      </c>
      <c r="N39" s="454">
        <v>1755716</v>
      </c>
      <c r="O39" s="454">
        <f>0</f>
        <v>0</v>
      </c>
      <c r="P39" s="454">
        <f>0</f>
        <v>0</v>
      </c>
      <c r="Q39" s="454">
        <f>516414</f>
        <v>516414</v>
      </c>
      <c r="R39" s="454"/>
      <c r="S39" s="454"/>
      <c r="T39" s="454"/>
      <c r="U39" s="454"/>
      <c r="V39" s="454"/>
      <c r="W39" s="454"/>
      <c r="X39" s="454"/>
      <c r="Y39" s="454">
        <f t="shared" si="0"/>
        <v>2272130</v>
      </c>
      <c r="Z39" s="455">
        <f>2500000</f>
        <v>2500000</v>
      </c>
      <c r="AA39" s="467" t="s">
        <v>296</v>
      </c>
      <c r="AB39" s="457">
        <v>44209</v>
      </c>
      <c r="AC39" s="458">
        <v>44243</v>
      </c>
      <c r="AD39" s="455">
        <v>855344</v>
      </c>
      <c r="AE39" s="459">
        <v>24</v>
      </c>
      <c r="AF39" s="457">
        <v>44363</v>
      </c>
      <c r="AG39" s="458">
        <v>44372</v>
      </c>
      <c r="AH39" s="455"/>
      <c r="AI39" s="456"/>
      <c r="AJ39" s="460"/>
      <c r="AK39" s="458"/>
      <c r="AL39" s="455"/>
      <c r="AM39" s="456"/>
      <c r="AN39" s="460"/>
      <c r="AO39" s="458"/>
      <c r="AP39" s="455"/>
      <c r="AQ39" s="456"/>
      <c r="AR39" s="460"/>
      <c r="AS39" s="458"/>
      <c r="AT39" s="154">
        <f t="shared" si="1"/>
        <v>3355344</v>
      </c>
      <c r="AU39" s="461">
        <f t="shared" si="2"/>
        <v>1083214</v>
      </c>
    </row>
    <row r="40" spans="2:47" s="148" customFormat="1" ht="22.5" customHeight="1" x14ac:dyDescent="0.25">
      <c r="B40" s="149">
        <v>25</v>
      </c>
      <c r="C40" s="149" t="s">
        <v>38</v>
      </c>
      <c r="D40" s="450" t="s">
        <v>354</v>
      </c>
      <c r="E40" s="451" t="s">
        <v>355</v>
      </c>
      <c r="F40" s="451" t="s">
        <v>45</v>
      </c>
      <c r="G40" s="452" t="s">
        <v>295</v>
      </c>
      <c r="H40" s="452" t="s">
        <v>295</v>
      </c>
      <c r="I40" s="453" t="s">
        <v>42</v>
      </c>
      <c r="J40" s="466">
        <f>5623369</f>
        <v>5623369</v>
      </c>
      <c r="K40" s="454">
        <f>5407444</f>
        <v>5407444</v>
      </c>
      <c r="L40" s="454">
        <f>2</f>
        <v>2</v>
      </c>
      <c r="M40" s="454">
        <f>0</f>
        <v>0</v>
      </c>
      <c r="N40" s="454">
        <f>0</f>
        <v>0</v>
      </c>
      <c r="O40" s="454">
        <f>0</f>
        <v>0</v>
      </c>
      <c r="P40" s="454"/>
      <c r="Q40" s="454"/>
      <c r="R40" s="472">
        <v>114040</v>
      </c>
      <c r="S40" s="454"/>
      <c r="T40" s="454"/>
      <c r="U40" s="454"/>
      <c r="V40" s="454"/>
      <c r="W40" s="454"/>
      <c r="X40" s="454"/>
      <c r="Y40" s="454">
        <f t="shared" si="0"/>
        <v>114040</v>
      </c>
      <c r="Z40" s="455">
        <f>148564+67359</f>
        <v>215923</v>
      </c>
      <c r="AA40" s="467" t="s">
        <v>296</v>
      </c>
      <c r="AB40" s="457">
        <v>44209</v>
      </c>
      <c r="AC40" s="458">
        <v>44243</v>
      </c>
      <c r="AD40" s="455"/>
      <c r="AE40" s="459"/>
      <c r="AF40" s="460"/>
      <c r="AG40" s="458"/>
      <c r="AH40" s="455"/>
      <c r="AI40" s="456"/>
      <c r="AJ40" s="460"/>
      <c r="AK40" s="458"/>
      <c r="AL40" s="455"/>
      <c r="AM40" s="456"/>
      <c r="AN40" s="460"/>
      <c r="AO40" s="458"/>
      <c r="AP40" s="455"/>
      <c r="AQ40" s="456"/>
      <c r="AR40" s="460"/>
      <c r="AS40" s="458"/>
      <c r="AT40" s="154">
        <f t="shared" si="1"/>
        <v>215923</v>
      </c>
      <c r="AU40" s="461">
        <f t="shared" si="2"/>
        <v>101883</v>
      </c>
    </row>
    <row r="41" spans="2:47" s="148" customFormat="1" ht="22.5" x14ac:dyDescent="0.25">
      <c r="B41" s="149">
        <v>26</v>
      </c>
      <c r="C41" s="149" t="s">
        <v>38</v>
      </c>
      <c r="D41" s="450" t="s">
        <v>356</v>
      </c>
      <c r="E41" s="451" t="s">
        <v>357</v>
      </c>
      <c r="F41" s="451" t="s">
        <v>45</v>
      </c>
      <c r="G41" s="452" t="s">
        <v>295</v>
      </c>
      <c r="H41" s="463" t="s">
        <v>315</v>
      </c>
      <c r="I41" s="453" t="s">
        <v>42</v>
      </c>
      <c r="J41" s="466">
        <f>646779</f>
        <v>646779</v>
      </c>
      <c r="K41" s="454">
        <f>597258</f>
        <v>597258</v>
      </c>
      <c r="L41" s="454">
        <f>2</f>
        <v>2</v>
      </c>
      <c r="M41" s="454">
        <f>0</f>
        <v>0</v>
      </c>
      <c r="N41" s="454">
        <f>0</f>
        <v>0</v>
      </c>
      <c r="O41" s="454">
        <f>0</f>
        <v>0</v>
      </c>
      <c r="P41" s="454"/>
      <c r="Q41" s="454"/>
      <c r="R41" s="454"/>
      <c r="S41" s="454"/>
      <c r="T41" s="454"/>
      <c r="U41" s="454"/>
      <c r="V41" s="454"/>
      <c r="W41" s="454"/>
      <c r="X41" s="454"/>
      <c r="Y41" s="454">
        <f t="shared" si="0"/>
        <v>0</v>
      </c>
      <c r="Z41" s="455">
        <f>4494+3376+40731</f>
        <v>48601</v>
      </c>
      <c r="AA41" s="467" t="s">
        <v>296</v>
      </c>
      <c r="AB41" s="457">
        <v>44209</v>
      </c>
      <c r="AC41" s="458">
        <v>44243</v>
      </c>
      <c r="AD41" s="455"/>
      <c r="AE41" s="459"/>
      <c r="AF41" s="460"/>
      <c r="AG41" s="458"/>
      <c r="AH41" s="455"/>
      <c r="AI41" s="456"/>
      <c r="AJ41" s="460"/>
      <c r="AK41" s="458"/>
      <c r="AL41" s="455"/>
      <c r="AM41" s="456"/>
      <c r="AN41" s="460"/>
      <c r="AO41" s="458"/>
      <c r="AP41" s="455"/>
      <c r="AQ41" s="456"/>
      <c r="AR41" s="460"/>
      <c r="AS41" s="458"/>
      <c r="AT41" s="154">
        <f t="shared" si="1"/>
        <v>48601</v>
      </c>
      <c r="AU41" s="461">
        <f t="shared" si="2"/>
        <v>48601</v>
      </c>
    </row>
    <row r="42" spans="2:47" s="148" customFormat="1" ht="22.5" x14ac:dyDescent="0.25">
      <c r="B42" s="149">
        <v>27</v>
      </c>
      <c r="C42" s="149" t="s">
        <v>38</v>
      </c>
      <c r="D42" s="450" t="s">
        <v>358</v>
      </c>
      <c r="E42" s="451" t="s">
        <v>359</v>
      </c>
      <c r="F42" s="451" t="s">
        <v>45</v>
      </c>
      <c r="G42" s="452" t="s">
        <v>295</v>
      </c>
      <c r="H42" s="452" t="s">
        <v>295</v>
      </c>
      <c r="I42" s="453" t="s">
        <v>42</v>
      </c>
      <c r="J42" s="466">
        <f>7365450</f>
        <v>7365450</v>
      </c>
      <c r="K42" s="454">
        <f>6561753</f>
        <v>6561753</v>
      </c>
      <c r="L42" s="454">
        <f>2</f>
        <v>2</v>
      </c>
      <c r="M42" s="454">
        <f>0</f>
        <v>0</v>
      </c>
      <c r="N42" s="454">
        <f>0</f>
        <v>0</v>
      </c>
      <c r="O42" s="454">
        <f>0</f>
        <v>0</v>
      </c>
      <c r="P42" s="454">
        <f>0</f>
        <v>0</v>
      </c>
      <c r="Q42" s="454">
        <f>0</f>
        <v>0</v>
      </c>
      <c r="R42" s="472">
        <v>981958</v>
      </c>
      <c r="S42" s="454"/>
      <c r="T42" s="454"/>
      <c r="U42" s="454"/>
      <c r="V42" s="454"/>
      <c r="W42" s="454"/>
      <c r="X42" s="454"/>
      <c r="Y42" s="454">
        <f t="shared" si="0"/>
        <v>981958</v>
      </c>
      <c r="Z42" s="455">
        <f>240+693282+61012+49161</f>
        <v>803695</v>
      </c>
      <c r="AA42" s="467" t="s">
        <v>296</v>
      </c>
      <c r="AB42" s="457">
        <v>44209</v>
      </c>
      <c r="AC42" s="458">
        <v>44243</v>
      </c>
      <c r="AD42" s="455">
        <v>288677</v>
      </c>
      <c r="AE42" s="459">
        <v>10</v>
      </c>
      <c r="AF42" s="457">
        <v>44299</v>
      </c>
      <c r="AG42" s="458">
        <v>44316</v>
      </c>
      <c r="AH42" s="455"/>
      <c r="AI42" s="456"/>
      <c r="AJ42" s="460"/>
      <c r="AK42" s="458"/>
      <c r="AL42" s="455"/>
      <c r="AM42" s="456"/>
      <c r="AN42" s="460"/>
      <c r="AO42" s="458"/>
      <c r="AP42" s="455"/>
      <c r="AQ42" s="456"/>
      <c r="AR42" s="460"/>
      <c r="AS42" s="458"/>
      <c r="AT42" s="154">
        <f t="shared" si="1"/>
        <v>1092372</v>
      </c>
      <c r="AU42" s="461">
        <f t="shared" si="2"/>
        <v>110414</v>
      </c>
    </row>
    <row r="43" spans="2:47" s="148" customFormat="1" ht="22.5" customHeight="1" x14ac:dyDescent="0.25">
      <c r="B43" s="149">
        <v>28</v>
      </c>
      <c r="C43" s="149" t="s">
        <v>38</v>
      </c>
      <c r="D43" s="450" t="s">
        <v>360</v>
      </c>
      <c r="E43" s="451" t="s">
        <v>361</v>
      </c>
      <c r="F43" s="451" t="s">
        <v>46</v>
      </c>
      <c r="G43" s="452" t="s">
        <v>295</v>
      </c>
      <c r="H43" s="463" t="s">
        <v>315</v>
      </c>
      <c r="I43" s="453" t="s">
        <v>42</v>
      </c>
      <c r="J43" s="466">
        <f>412837</f>
        <v>412837</v>
      </c>
      <c r="K43" s="454">
        <f>333669</f>
        <v>333669</v>
      </c>
      <c r="L43" s="454">
        <f>0</f>
        <v>0</v>
      </c>
      <c r="M43" s="454">
        <f>0</f>
        <v>0</v>
      </c>
      <c r="N43" s="454">
        <f>0</f>
        <v>0</v>
      </c>
      <c r="O43" s="454">
        <f>0</f>
        <v>0</v>
      </c>
      <c r="P43" s="454"/>
      <c r="Q43" s="454"/>
      <c r="R43" s="454"/>
      <c r="S43" s="454"/>
      <c r="T43" s="454"/>
      <c r="U43" s="454"/>
      <c r="V43" s="454"/>
      <c r="W43" s="454"/>
      <c r="X43" s="454"/>
      <c r="Y43" s="454">
        <f t="shared" si="0"/>
        <v>0</v>
      </c>
      <c r="Z43" s="455">
        <f>79168</f>
        <v>79168</v>
      </c>
      <c r="AA43" s="467" t="s">
        <v>296</v>
      </c>
      <c r="AB43" s="457">
        <v>44209</v>
      </c>
      <c r="AC43" s="458">
        <v>44243</v>
      </c>
      <c r="AD43" s="455"/>
      <c r="AE43" s="459"/>
      <c r="AF43" s="460"/>
      <c r="AG43" s="458"/>
      <c r="AH43" s="455"/>
      <c r="AI43" s="456"/>
      <c r="AJ43" s="460"/>
      <c r="AK43" s="458"/>
      <c r="AL43" s="455"/>
      <c r="AM43" s="456"/>
      <c r="AN43" s="460"/>
      <c r="AO43" s="458"/>
      <c r="AP43" s="455"/>
      <c r="AQ43" s="456"/>
      <c r="AR43" s="460"/>
      <c r="AS43" s="458"/>
      <c r="AT43" s="154">
        <f t="shared" si="1"/>
        <v>79168</v>
      </c>
      <c r="AU43" s="461">
        <f t="shared" si="2"/>
        <v>79168</v>
      </c>
    </row>
    <row r="44" spans="2:47" s="148" customFormat="1" ht="22.5" customHeight="1" x14ac:dyDescent="0.25">
      <c r="B44" s="149">
        <v>29</v>
      </c>
      <c r="C44" s="149" t="s">
        <v>38</v>
      </c>
      <c r="D44" s="450" t="s">
        <v>362</v>
      </c>
      <c r="E44" s="451" t="s">
        <v>363</v>
      </c>
      <c r="F44" s="451" t="s">
        <v>45</v>
      </c>
      <c r="G44" s="452" t="s">
        <v>295</v>
      </c>
      <c r="H44" s="463" t="s">
        <v>364</v>
      </c>
      <c r="I44" s="453" t="s">
        <v>42</v>
      </c>
      <c r="J44" s="466">
        <f>2379612</f>
        <v>2379612</v>
      </c>
      <c r="K44" s="454">
        <f>2271443</f>
        <v>2271443</v>
      </c>
      <c r="L44" s="454">
        <f>0</f>
        <v>0</v>
      </c>
      <c r="M44" s="454">
        <f>0</f>
        <v>0</v>
      </c>
      <c r="N44" s="454">
        <v>10921</v>
      </c>
      <c r="O44" s="454">
        <f>0</f>
        <v>0</v>
      </c>
      <c r="P44" s="454"/>
      <c r="Q44" s="454"/>
      <c r="R44" s="454"/>
      <c r="S44" s="454"/>
      <c r="T44" s="454"/>
      <c r="U44" s="454"/>
      <c r="V44" s="454"/>
      <c r="W44" s="454"/>
      <c r="X44" s="454"/>
      <c r="Y44" s="454">
        <f t="shared" si="0"/>
        <v>10921</v>
      </c>
      <c r="Z44" s="455">
        <f>10922+60829+29169</f>
        <v>100920</v>
      </c>
      <c r="AA44" s="467" t="s">
        <v>296</v>
      </c>
      <c r="AB44" s="457">
        <v>44209</v>
      </c>
      <c r="AC44" s="458">
        <v>44243</v>
      </c>
      <c r="AD44" s="455"/>
      <c r="AE44" s="459"/>
      <c r="AF44" s="460"/>
      <c r="AG44" s="458"/>
      <c r="AH44" s="455"/>
      <c r="AI44" s="456"/>
      <c r="AJ44" s="460"/>
      <c r="AK44" s="458"/>
      <c r="AL44" s="455"/>
      <c r="AM44" s="456"/>
      <c r="AN44" s="460"/>
      <c r="AO44" s="458"/>
      <c r="AP44" s="455"/>
      <c r="AQ44" s="456"/>
      <c r="AR44" s="460"/>
      <c r="AS44" s="458"/>
      <c r="AT44" s="154">
        <f t="shared" si="1"/>
        <v>100920</v>
      </c>
      <c r="AU44" s="461">
        <f t="shared" si="2"/>
        <v>89999</v>
      </c>
    </row>
    <row r="45" spans="2:47" s="148" customFormat="1" ht="22.5" x14ac:dyDescent="0.25">
      <c r="B45" s="149">
        <v>30</v>
      </c>
      <c r="C45" s="149" t="s">
        <v>38</v>
      </c>
      <c r="D45" s="450" t="s">
        <v>365</v>
      </c>
      <c r="E45" s="451" t="s">
        <v>366</v>
      </c>
      <c r="F45" s="451" t="s">
        <v>45</v>
      </c>
      <c r="G45" s="452" t="s">
        <v>295</v>
      </c>
      <c r="H45" s="463" t="s">
        <v>312</v>
      </c>
      <c r="I45" s="453" t="s">
        <v>42</v>
      </c>
      <c r="J45" s="466">
        <f>848178</f>
        <v>848178</v>
      </c>
      <c r="K45" s="454">
        <f>1081</f>
        <v>1081</v>
      </c>
      <c r="L45" s="454">
        <f>190096-190096</f>
        <v>0</v>
      </c>
      <c r="M45" s="454">
        <f>0</f>
        <v>0</v>
      </c>
      <c r="N45" s="454">
        <f>456984</f>
        <v>456984</v>
      </c>
      <c r="O45" s="454">
        <v>104313</v>
      </c>
      <c r="P45" s="454">
        <f>38000</f>
        <v>38000</v>
      </c>
      <c r="Q45" s="454">
        <f>20281+72320</f>
        <v>92601</v>
      </c>
      <c r="R45" s="454"/>
      <c r="S45" s="454"/>
      <c r="T45" s="454"/>
      <c r="U45" s="454"/>
      <c r="V45" s="454"/>
      <c r="W45" s="454"/>
      <c r="X45" s="454"/>
      <c r="Y45" s="454">
        <f t="shared" si="0"/>
        <v>691898</v>
      </c>
      <c r="Z45" s="455">
        <f>17000+600000+23000</f>
        <v>640000</v>
      </c>
      <c r="AA45" s="467" t="s">
        <v>296</v>
      </c>
      <c r="AB45" s="457">
        <v>44209</v>
      </c>
      <c r="AC45" s="458">
        <v>44243</v>
      </c>
      <c r="AD45" s="455">
        <f>-17000+105472+52108</f>
        <v>140580</v>
      </c>
      <c r="AE45" s="459">
        <v>11</v>
      </c>
      <c r="AF45" s="457">
        <v>44323</v>
      </c>
      <c r="AG45" s="458">
        <v>44334</v>
      </c>
      <c r="AH45" s="455"/>
      <c r="AI45" s="456"/>
      <c r="AJ45" s="460"/>
      <c r="AK45" s="458"/>
      <c r="AL45" s="455"/>
      <c r="AM45" s="456"/>
      <c r="AN45" s="460"/>
      <c r="AO45" s="458"/>
      <c r="AP45" s="455"/>
      <c r="AQ45" s="456"/>
      <c r="AR45" s="460"/>
      <c r="AS45" s="458"/>
      <c r="AT45" s="154">
        <f t="shared" si="1"/>
        <v>780580</v>
      </c>
      <c r="AU45" s="461">
        <f t="shared" si="2"/>
        <v>88682</v>
      </c>
    </row>
    <row r="46" spans="2:47" s="148" customFormat="1" ht="22.5" x14ac:dyDescent="0.25">
      <c r="B46" s="149">
        <v>31</v>
      </c>
      <c r="C46" s="149" t="s">
        <v>38</v>
      </c>
      <c r="D46" s="450" t="s">
        <v>367</v>
      </c>
      <c r="E46" s="451" t="s">
        <v>368</v>
      </c>
      <c r="F46" s="451" t="s">
        <v>45</v>
      </c>
      <c r="G46" s="452" t="s">
        <v>295</v>
      </c>
      <c r="H46" s="463"/>
      <c r="I46" s="453" t="s">
        <v>42</v>
      </c>
      <c r="J46" s="466">
        <f>2618995</f>
        <v>2618995</v>
      </c>
      <c r="K46" s="454">
        <f>1960176</f>
        <v>1960176</v>
      </c>
      <c r="L46" s="454">
        <f>0</f>
        <v>0</v>
      </c>
      <c r="M46" s="454">
        <f>0</f>
        <v>0</v>
      </c>
      <c r="N46" s="454">
        <f>0</f>
        <v>0</v>
      </c>
      <c r="O46" s="454">
        <f>0</f>
        <v>0</v>
      </c>
      <c r="P46" s="454">
        <f>0</f>
        <v>0</v>
      </c>
      <c r="Q46" s="454">
        <f>2000+14920</f>
        <v>16920</v>
      </c>
      <c r="R46" s="472">
        <v>31534</v>
      </c>
      <c r="S46" s="454"/>
      <c r="T46" s="454"/>
      <c r="U46" s="454"/>
      <c r="V46" s="454"/>
      <c r="W46" s="454"/>
      <c r="X46" s="454"/>
      <c r="Y46" s="454">
        <f t="shared" si="0"/>
        <v>48454</v>
      </c>
      <c r="Z46" s="455">
        <f>18000+540000</f>
        <v>558000</v>
      </c>
      <c r="AA46" s="467" t="s">
        <v>296</v>
      </c>
      <c r="AB46" s="457">
        <v>44209</v>
      </c>
      <c r="AC46" s="458">
        <v>44243</v>
      </c>
      <c r="AD46" s="455">
        <v>-262000</v>
      </c>
      <c r="AE46" s="459">
        <v>24</v>
      </c>
      <c r="AF46" s="457">
        <v>44363</v>
      </c>
      <c r="AG46" s="458">
        <v>44372</v>
      </c>
      <c r="AH46" s="455"/>
      <c r="AI46" s="456"/>
      <c r="AJ46" s="460"/>
      <c r="AK46" s="458"/>
      <c r="AL46" s="455"/>
      <c r="AM46" s="456"/>
      <c r="AN46" s="460"/>
      <c r="AO46" s="458"/>
      <c r="AP46" s="455"/>
      <c r="AQ46" s="456"/>
      <c r="AR46" s="460"/>
      <c r="AS46" s="458"/>
      <c r="AT46" s="154">
        <f t="shared" si="1"/>
        <v>296000</v>
      </c>
      <c r="AU46" s="461">
        <f t="shared" si="2"/>
        <v>247546</v>
      </c>
    </row>
    <row r="47" spans="2:47" s="148" customFormat="1" ht="22.5" x14ac:dyDescent="0.25">
      <c r="B47" s="149">
        <v>32</v>
      </c>
      <c r="C47" s="149" t="s">
        <v>38</v>
      </c>
      <c r="D47" s="450" t="s">
        <v>369</v>
      </c>
      <c r="E47" s="451" t="s">
        <v>370</v>
      </c>
      <c r="F47" s="451" t="s">
        <v>45</v>
      </c>
      <c r="G47" s="452" t="s">
        <v>295</v>
      </c>
      <c r="H47" s="463" t="s">
        <v>338</v>
      </c>
      <c r="I47" s="453" t="s">
        <v>42</v>
      </c>
      <c r="J47" s="466">
        <f>419613</f>
        <v>419613</v>
      </c>
      <c r="K47" s="454">
        <f>135552</f>
        <v>135552</v>
      </c>
      <c r="L47" s="454">
        <f>3</f>
        <v>3</v>
      </c>
      <c r="M47" s="454">
        <f>0</f>
        <v>0</v>
      </c>
      <c r="N47" s="454">
        <f>97341</f>
        <v>97341</v>
      </c>
      <c r="O47" s="454">
        <f>5827</f>
        <v>5827</v>
      </c>
      <c r="P47" s="454">
        <f>113336+282</f>
        <v>113618</v>
      </c>
      <c r="Q47" s="454">
        <f>0</f>
        <v>0</v>
      </c>
      <c r="R47" s="454"/>
      <c r="S47" s="454"/>
      <c r="T47" s="454"/>
      <c r="U47" s="454"/>
      <c r="V47" s="454"/>
      <c r="W47" s="454"/>
      <c r="X47" s="454"/>
      <c r="Y47" s="454">
        <f t="shared" si="0"/>
        <v>216786</v>
      </c>
      <c r="Z47" s="455">
        <f>15218+222333+46225+282</f>
        <v>284058</v>
      </c>
      <c r="AA47" s="467" t="s">
        <v>296</v>
      </c>
      <c r="AB47" s="457">
        <v>44209</v>
      </c>
      <c r="AC47" s="458">
        <v>44243</v>
      </c>
      <c r="AD47" s="455">
        <f>-15218+1</f>
        <v>-15217</v>
      </c>
      <c r="AE47" s="459">
        <v>10</v>
      </c>
      <c r="AF47" s="457">
        <v>44299</v>
      </c>
      <c r="AG47" s="458">
        <v>44316</v>
      </c>
      <c r="AH47" s="455"/>
      <c r="AI47" s="456"/>
      <c r="AJ47" s="460"/>
      <c r="AK47" s="458"/>
      <c r="AL47" s="455"/>
      <c r="AM47" s="456"/>
      <c r="AN47" s="460"/>
      <c r="AO47" s="458"/>
      <c r="AP47" s="455"/>
      <c r="AQ47" s="456"/>
      <c r="AR47" s="460"/>
      <c r="AS47" s="458"/>
      <c r="AT47" s="154">
        <f t="shared" si="1"/>
        <v>268841</v>
      </c>
      <c r="AU47" s="461">
        <f t="shared" si="2"/>
        <v>52055</v>
      </c>
    </row>
    <row r="48" spans="2:47" s="148" customFormat="1" ht="22.5" x14ac:dyDescent="0.25">
      <c r="B48" s="149">
        <v>33</v>
      </c>
      <c r="C48" s="149" t="s">
        <v>38</v>
      </c>
      <c r="D48" s="450" t="s">
        <v>371</v>
      </c>
      <c r="E48" s="451" t="s">
        <v>372</v>
      </c>
      <c r="F48" s="451" t="s">
        <v>45</v>
      </c>
      <c r="G48" s="452" t="s">
        <v>295</v>
      </c>
      <c r="H48" s="463" t="s">
        <v>312</v>
      </c>
      <c r="I48" s="453" t="s">
        <v>42</v>
      </c>
      <c r="J48" s="466">
        <f>813467</f>
        <v>813467</v>
      </c>
      <c r="K48" s="454">
        <f>1945</f>
        <v>1945</v>
      </c>
      <c r="L48" s="454">
        <f>194522</f>
        <v>194522</v>
      </c>
      <c r="M48" s="454">
        <f>0</f>
        <v>0</v>
      </c>
      <c r="N48" s="454">
        <f>31562</f>
        <v>31562</v>
      </c>
      <c r="O48" s="454">
        <f>263012</f>
        <v>263012</v>
      </c>
      <c r="P48" s="454">
        <f>1950+65894</f>
        <v>67844</v>
      </c>
      <c r="Q48" s="454">
        <f>1950+117769</f>
        <v>119719</v>
      </c>
      <c r="R48" s="472">
        <v>127612</v>
      </c>
      <c r="S48" s="454"/>
      <c r="T48" s="454"/>
      <c r="U48" s="454"/>
      <c r="V48" s="454"/>
      <c r="W48" s="454"/>
      <c r="X48" s="454"/>
      <c r="Y48" s="454">
        <f t="shared" ref="Y48:Y79" si="3">SUM(M48:X48)</f>
        <v>609749</v>
      </c>
      <c r="Z48" s="455">
        <f>17000+600000</f>
        <v>617000</v>
      </c>
      <c r="AA48" s="467" t="s">
        <v>296</v>
      </c>
      <c r="AB48" s="457">
        <v>44209</v>
      </c>
      <c r="AC48" s="458">
        <v>44243</v>
      </c>
      <c r="AD48" s="455">
        <v>184294</v>
      </c>
      <c r="AE48" s="459">
        <v>24</v>
      </c>
      <c r="AF48" s="457">
        <v>44363</v>
      </c>
      <c r="AG48" s="458">
        <v>44372</v>
      </c>
      <c r="AH48" s="455"/>
      <c r="AI48" s="456"/>
      <c r="AJ48" s="460"/>
      <c r="AK48" s="458"/>
      <c r="AL48" s="455"/>
      <c r="AM48" s="456"/>
      <c r="AN48" s="460"/>
      <c r="AO48" s="458"/>
      <c r="AP48" s="455"/>
      <c r="AQ48" s="456"/>
      <c r="AR48" s="460"/>
      <c r="AS48" s="458"/>
      <c r="AT48" s="154">
        <f t="shared" si="1"/>
        <v>801294</v>
      </c>
      <c r="AU48" s="461">
        <f t="shared" si="2"/>
        <v>191545</v>
      </c>
    </row>
    <row r="49" spans="2:47" s="148" customFormat="1" ht="22.5" x14ac:dyDescent="0.25">
      <c r="B49" s="149">
        <v>34</v>
      </c>
      <c r="C49" s="149" t="s">
        <v>38</v>
      </c>
      <c r="D49" s="450" t="s">
        <v>373</v>
      </c>
      <c r="E49" s="451" t="s">
        <v>374</v>
      </c>
      <c r="F49" s="451" t="s">
        <v>46</v>
      </c>
      <c r="G49" s="452" t="s">
        <v>295</v>
      </c>
      <c r="H49" s="463" t="s">
        <v>341</v>
      </c>
      <c r="I49" s="453" t="s">
        <v>42</v>
      </c>
      <c r="J49" s="466">
        <f>174932</f>
        <v>174932</v>
      </c>
      <c r="K49" s="454">
        <f>135900</f>
        <v>135900</v>
      </c>
      <c r="L49" s="454">
        <f>0</f>
        <v>0</v>
      </c>
      <c r="M49" s="454">
        <f>0</f>
        <v>0</v>
      </c>
      <c r="N49" s="454">
        <f>0</f>
        <v>0</v>
      </c>
      <c r="O49" s="454">
        <f>0</f>
        <v>0</v>
      </c>
      <c r="P49" s="454"/>
      <c r="Q49" s="454">
        <f>0</f>
        <v>0</v>
      </c>
      <c r="R49" s="454"/>
      <c r="S49" s="454"/>
      <c r="T49" s="454"/>
      <c r="U49" s="454"/>
      <c r="V49" s="454"/>
      <c r="W49" s="454"/>
      <c r="X49" s="454"/>
      <c r="Y49" s="454">
        <f t="shared" si="3"/>
        <v>0</v>
      </c>
      <c r="Z49" s="455">
        <f>23936</f>
        <v>23936</v>
      </c>
      <c r="AA49" s="467" t="s">
        <v>296</v>
      </c>
      <c r="AB49" s="457">
        <v>44209</v>
      </c>
      <c r="AC49" s="458">
        <v>44243</v>
      </c>
      <c r="AD49" s="455">
        <v>-1496</v>
      </c>
      <c r="AE49" s="459">
        <v>10</v>
      </c>
      <c r="AF49" s="457">
        <v>44299</v>
      </c>
      <c r="AG49" s="458">
        <v>44316</v>
      </c>
      <c r="AH49" s="455"/>
      <c r="AI49" s="456"/>
      <c r="AJ49" s="460"/>
      <c r="AK49" s="458"/>
      <c r="AL49" s="455"/>
      <c r="AM49" s="456"/>
      <c r="AN49" s="460"/>
      <c r="AO49" s="458"/>
      <c r="AP49" s="455"/>
      <c r="AQ49" s="456"/>
      <c r="AR49" s="460"/>
      <c r="AS49" s="458"/>
      <c r="AT49" s="154">
        <f t="shared" si="1"/>
        <v>22440</v>
      </c>
      <c r="AU49" s="461">
        <f t="shared" si="2"/>
        <v>22440</v>
      </c>
    </row>
    <row r="50" spans="2:47" s="148" customFormat="1" ht="22.5" x14ac:dyDescent="0.25">
      <c r="B50" s="149">
        <v>35</v>
      </c>
      <c r="C50" s="149" t="s">
        <v>38</v>
      </c>
      <c r="D50" s="450" t="s">
        <v>375</v>
      </c>
      <c r="E50" s="451" t="s">
        <v>376</v>
      </c>
      <c r="F50" s="451" t="s">
        <v>45</v>
      </c>
      <c r="G50" s="452" t="s">
        <v>295</v>
      </c>
      <c r="H50" s="463" t="s">
        <v>295</v>
      </c>
      <c r="I50" s="453" t="s">
        <v>42</v>
      </c>
      <c r="J50" s="466">
        <f>996473</f>
        <v>996473</v>
      </c>
      <c r="K50" s="454">
        <f>256867</f>
        <v>256867</v>
      </c>
      <c r="L50" s="455">
        <f>80899-9999</f>
        <v>70900</v>
      </c>
      <c r="M50" s="454">
        <f>0</f>
        <v>0</v>
      </c>
      <c r="N50" s="454">
        <f>76888</f>
        <v>76888</v>
      </c>
      <c r="O50" s="454">
        <f>36947</f>
        <v>36947</v>
      </c>
      <c r="P50" s="454">
        <f>32880</f>
        <v>32880</v>
      </c>
      <c r="Q50" s="454">
        <f>12943</f>
        <v>12943</v>
      </c>
      <c r="R50" s="454"/>
      <c r="S50" s="454"/>
      <c r="T50" s="454"/>
      <c r="U50" s="454"/>
      <c r="V50" s="454"/>
      <c r="W50" s="454"/>
      <c r="X50" s="454"/>
      <c r="Y50" s="454">
        <f t="shared" si="3"/>
        <v>159658</v>
      </c>
      <c r="Z50" s="455">
        <f>15329+643377</f>
        <v>658706</v>
      </c>
      <c r="AA50" s="467" t="s">
        <v>296</v>
      </c>
      <c r="AB50" s="457">
        <v>44209</v>
      </c>
      <c r="AC50" s="458">
        <v>44243</v>
      </c>
      <c r="AD50" s="455">
        <f>5000+5000</f>
        <v>10000</v>
      </c>
      <c r="AE50" s="467" t="s">
        <v>309</v>
      </c>
      <c r="AF50" s="457">
        <v>44253</v>
      </c>
      <c r="AG50" s="458">
        <v>44281</v>
      </c>
      <c r="AH50" s="455">
        <v>-15000</v>
      </c>
      <c r="AI50" s="456">
        <v>10</v>
      </c>
      <c r="AJ50" s="457">
        <v>44299</v>
      </c>
      <c r="AK50" s="458">
        <v>44316</v>
      </c>
      <c r="AL50" s="455"/>
      <c r="AM50" s="456"/>
      <c r="AN50" s="460"/>
      <c r="AO50" s="458"/>
      <c r="AP50" s="455"/>
      <c r="AQ50" s="456"/>
      <c r="AR50" s="460"/>
      <c r="AS50" s="458"/>
      <c r="AT50" s="154">
        <f t="shared" si="1"/>
        <v>653706</v>
      </c>
      <c r="AU50" s="461">
        <f t="shared" si="2"/>
        <v>494048</v>
      </c>
    </row>
    <row r="51" spans="2:47" s="148" customFormat="1" ht="22.5" x14ac:dyDescent="0.25">
      <c r="B51" s="149">
        <v>36</v>
      </c>
      <c r="C51" s="149" t="s">
        <v>38</v>
      </c>
      <c r="D51" s="450" t="s">
        <v>377</v>
      </c>
      <c r="E51" s="451" t="s">
        <v>378</v>
      </c>
      <c r="F51" s="451" t="s">
        <v>45</v>
      </c>
      <c r="G51" s="452" t="s">
        <v>295</v>
      </c>
      <c r="H51" s="463" t="s">
        <v>315</v>
      </c>
      <c r="I51" s="453" t="s">
        <v>42</v>
      </c>
      <c r="J51" s="466">
        <f>1818236</f>
        <v>1818236</v>
      </c>
      <c r="K51" s="454">
        <f>1201431</f>
        <v>1201431</v>
      </c>
      <c r="L51" s="454">
        <f>2810</f>
        <v>2810</v>
      </c>
      <c r="M51" s="454">
        <f>0</f>
        <v>0</v>
      </c>
      <c r="N51" s="454">
        <f>116540</f>
        <v>116540</v>
      </c>
      <c r="O51" s="454">
        <f>59199</f>
        <v>59199</v>
      </c>
      <c r="P51" s="454">
        <f>47790</f>
        <v>47790</v>
      </c>
      <c r="Q51" s="454">
        <f>51425</f>
        <v>51425</v>
      </c>
      <c r="R51" s="454"/>
      <c r="S51" s="454"/>
      <c r="T51" s="454"/>
      <c r="U51" s="454"/>
      <c r="V51" s="454"/>
      <c r="W51" s="454"/>
      <c r="X51" s="454"/>
      <c r="Y51" s="454">
        <f t="shared" si="3"/>
        <v>274954</v>
      </c>
      <c r="Z51" s="455">
        <f>486750</f>
        <v>486750</v>
      </c>
      <c r="AA51" s="467" t="s">
        <v>296</v>
      </c>
      <c r="AB51" s="457">
        <v>44209</v>
      </c>
      <c r="AC51" s="458">
        <v>44243</v>
      </c>
      <c r="AD51" s="455">
        <f>2312+88749+36155</f>
        <v>127216</v>
      </c>
      <c r="AE51" s="459">
        <v>10</v>
      </c>
      <c r="AF51" s="457">
        <v>44299</v>
      </c>
      <c r="AG51" s="458">
        <v>44316</v>
      </c>
      <c r="AH51" s="455"/>
      <c r="AI51" s="456"/>
      <c r="AJ51" s="460"/>
      <c r="AK51" s="458"/>
      <c r="AL51" s="455"/>
      <c r="AM51" s="456"/>
      <c r="AN51" s="460"/>
      <c r="AO51" s="458"/>
      <c r="AP51" s="455"/>
      <c r="AQ51" s="456"/>
      <c r="AR51" s="460"/>
      <c r="AS51" s="458"/>
      <c r="AT51" s="154">
        <f t="shared" si="1"/>
        <v>613966</v>
      </c>
      <c r="AU51" s="461">
        <f t="shared" si="2"/>
        <v>339012</v>
      </c>
    </row>
    <row r="52" spans="2:47" s="148" customFormat="1" ht="22.5" x14ac:dyDescent="0.25">
      <c r="B52" s="149">
        <v>37</v>
      </c>
      <c r="C52" s="149" t="s">
        <v>38</v>
      </c>
      <c r="D52" s="450" t="s">
        <v>379</v>
      </c>
      <c r="E52" s="451" t="s">
        <v>380</v>
      </c>
      <c r="F52" s="451" t="s">
        <v>45</v>
      </c>
      <c r="G52" s="452" t="s">
        <v>295</v>
      </c>
      <c r="H52" s="463" t="s">
        <v>299</v>
      </c>
      <c r="I52" s="453" t="s">
        <v>42</v>
      </c>
      <c r="J52" s="466">
        <f>5854007</f>
        <v>5854007</v>
      </c>
      <c r="K52" s="454">
        <f>4429005</f>
        <v>4429005</v>
      </c>
      <c r="L52" s="454">
        <f>601925</f>
        <v>601925</v>
      </c>
      <c r="M52" s="454">
        <f>0</f>
        <v>0</v>
      </c>
      <c r="N52" s="454">
        <f>0</f>
        <v>0</v>
      </c>
      <c r="O52" s="454">
        <f>0</f>
        <v>0</v>
      </c>
      <c r="P52" s="454">
        <f>0</f>
        <v>0</v>
      </c>
      <c r="Q52" s="454">
        <f>0</f>
        <v>0</v>
      </c>
      <c r="R52" s="454"/>
      <c r="S52" s="454"/>
      <c r="T52" s="454"/>
      <c r="U52" s="454"/>
      <c r="V52" s="454"/>
      <c r="W52" s="454"/>
      <c r="X52" s="454"/>
      <c r="Y52" s="454">
        <f t="shared" si="3"/>
        <v>0</v>
      </c>
      <c r="Z52" s="455">
        <f>16000+337791+1000+1000</f>
        <v>355791</v>
      </c>
      <c r="AA52" s="467" t="s">
        <v>296</v>
      </c>
      <c r="AB52" s="457">
        <v>44209</v>
      </c>
      <c r="AC52" s="458">
        <v>44243</v>
      </c>
      <c r="AD52" s="455">
        <v>160000</v>
      </c>
      <c r="AE52" s="459">
        <v>11</v>
      </c>
      <c r="AF52" s="457">
        <v>44323</v>
      </c>
      <c r="AG52" s="458">
        <v>44334</v>
      </c>
      <c r="AH52" s="455"/>
      <c r="AI52" s="456"/>
      <c r="AJ52" s="460"/>
      <c r="AK52" s="458"/>
      <c r="AL52" s="455"/>
      <c r="AM52" s="456"/>
      <c r="AN52" s="460"/>
      <c r="AO52" s="458"/>
      <c r="AP52" s="455"/>
      <c r="AQ52" s="456"/>
      <c r="AR52" s="460"/>
      <c r="AS52" s="458"/>
      <c r="AT52" s="154">
        <f t="shared" si="1"/>
        <v>515791</v>
      </c>
      <c r="AU52" s="461">
        <f t="shared" si="2"/>
        <v>515791</v>
      </c>
    </row>
    <row r="53" spans="2:47" s="148" customFormat="1" ht="22.5" x14ac:dyDescent="0.25">
      <c r="B53" s="149">
        <v>38</v>
      </c>
      <c r="C53" s="149" t="s">
        <v>38</v>
      </c>
      <c r="D53" s="450" t="s">
        <v>381</v>
      </c>
      <c r="E53" s="451" t="s">
        <v>382</v>
      </c>
      <c r="F53" s="451" t="s">
        <v>45</v>
      </c>
      <c r="G53" s="452" t="s">
        <v>295</v>
      </c>
      <c r="H53" s="463" t="s">
        <v>315</v>
      </c>
      <c r="I53" s="453" t="s">
        <v>42</v>
      </c>
      <c r="J53" s="466">
        <f>480083</f>
        <v>480083</v>
      </c>
      <c r="K53" s="454">
        <f>428903</f>
        <v>428903</v>
      </c>
      <c r="L53" s="454">
        <f>2</f>
        <v>2</v>
      </c>
      <c r="M53" s="454">
        <f>0</f>
        <v>0</v>
      </c>
      <c r="N53" s="454">
        <f>0</f>
        <v>0</v>
      </c>
      <c r="O53" s="454">
        <f>0</f>
        <v>0</v>
      </c>
      <c r="P53" s="454">
        <f>0</f>
        <v>0</v>
      </c>
      <c r="Q53" s="454">
        <v>4100</v>
      </c>
      <c r="R53" s="454"/>
      <c r="S53" s="454"/>
      <c r="T53" s="454"/>
      <c r="U53" s="454"/>
      <c r="V53" s="454"/>
      <c r="W53" s="454"/>
      <c r="X53" s="454"/>
      <c r="Y53" s="454">
        <f t="shared" si="3"/>
        <v>4100</v>
      </c>
      <c r="Z53" s="455">
        <f>8329+38411</f>
        <v>46740</v>
      </c>
      <c r="AA53" s="467" t="s">
        <v>296</v>
      </c>
      <c r="AB53" s="457">
        <v>44209</v>
      </c>
      <c r="AC53" s="458">
        <v>44243</v>
      </c>
      <c r="AD53" s="455">
        <v>3575</v>
      </c>
      <c r="AE53" s="459">
        <v>10</v>
      </c>
      <c r="AF53" s="457">
        <v>44299</v>
      </c>
      <c r="AG53" s="458">
        <v>44316</v>
      </c>
      <c r="AH53" s="455"/>
      <c r="AI53" s="456"/>
      <c r="AJ53" s="460"/>
      <c r="AK53" s="458"/>
      <c r="AL53" s="455"/>
      <c r="AM53" s="456"/>
      <c r="AN53" s="460"/>
      <c r="AO53" s="458"/>
      <c r="AP53" s="455"/>
      <c r="AQ53" s="456"/>
      <c r="AR53" s="460"/>
      <c r="AS53" s="458"/>
      <c r="AT53" s="154">
        <f t="shared" si="1"/>
        <v>50315</v>
      </c>
      <c r="AU53" s="461">
        <f t="shared" si="2"/>
        <v>46215</v>
      </c>
    </row>
    <row r="54" spans="2:47" s="148" customFormat="1" x14ac:dyDescent="0.25">
      <c r="B54" s="149">
        <v>39</v>
      </c>
      <c r="C54" s="149" t="s">
        <v>38</v>
      </c>
      <c r="D54" s="450" t="s">
        <v>383</v>
      </c>
      <c r="E54" s="451" t="s">
        <v>384</v>
      </c>
      <c r="F54" s="451" t="s">
        <v>45</v>
      </c>
      <c r="G54" s="452" t="s">
        <v>295</v>
      </c>
      <c r="H54" s="463" t="s">
        <v>385</v>
      </c>
      <c r="I54" s="453" t="s">
        <v>42</v>
      </c>
      <c r="J54" s="466">
        <f>1406025</f>
        <v>1406025</v>
      </c>
      <c r="K54" s="454">
        <f>1359600</f>
        <v>1359600</v>
      </c>
      <c r="L54" s="454">
        <f>1</f>
        <v>1</v>
      </c>
      <c r="M54" s="454">
        <f>0</f>
        <v>0</v>
      </c>
      <c r="N54" s="454">
        <v>409</v>
      </c>
      <c r="O54" s="454">
        <f>0</f>
        <v>0</v>
      </c>
      <c r="P54" s="454"/>
      <c r="Q54" s="454">
        <f>0</f>
        <v>0</v>
      </c>
      <c r="R54" s="454"/>
      <c r="S54" s="454"/>
      <c r="T54" s="454"/>
      <c r="U54" s="454"/>
      <c r="V54" s="454"/>
      <c r="W54" s="454"/>
      <c r="X54" s="454"/>
      <c r="Y54" s="454">
        <f t="shared" si="3"/>
        <v>409</v>
      </c>
      <c r="Z54" s="455">
        <f>8329+17244</f>
        <v>25573</v>
      </c>
      <c r="AA54" s="467" t="s">
        <v>296</v>
      </c>
      <c r="AB54" s="457">
        <v>44209</v>
      </c>
      <c r="AC54" s="458">
        <v>44243</v>
      </c>
      <c r="AD54" s="455">
        <f>278</f>
        <v>278</v>
      </c>
      <c r="AE54" s="459">
        <v>10</v>
      </c>
      <c r="AF54" s="457">
        <v>44299</v>
      </c>
      <c r="AG54" s="458">
        <v>44316</v>
      </c>
      <c r="AH54" s="455"/>
      <c r="AI54" s="456"/>
      <c r="AJ54" s="460"/>
      <c r="AK54" s="458"/>
      <c r="AL54" s="455"/>
      <c r="AM54" s="456"/>
      <c r="AN54" s="460"/>
      <c r="AO54" s="458"/>
      <c r="AP54" s="455"/>
      <c r="AQ54" s="456"/>
      <c r="AR54" s="460"/>
      <c r="AS54" s="458"/>
      <c r="AT54" s="154">
        <f t="shared" si="1"/>
        <v>25851</v>
      </c>
      <c r="AU54" s="461">
        <f t="shared" si="2"/>
        <v>25442</v>
      </c>
    </row>
    <row r="55" spans="2:47" s="148" customFormat="1" ht="22.5" x14ac:dyDescent="0.25">
      <c r="B55" s="149">
        <v>40</v>
      </c>
      <c r="C55" s="149" t="s">
        <v>38</v>
      </c>
      <c r="D55" s="450" t="s">
        <v>386</v>
      </c>
      <c r="E55" s="451" t="s">
        <v>387</v>
      </c>
      <c r="F55" s="451" t="s">
        <v>45</v>
      </c>
      <c r="G55" s="452" t="s">
        <v>295</v>
      </c>
      <c r="H55" s="463" t="s">
        <v>388</v>
      </c>
      <c r="I55" s="453" t="s">
        <v>43</v>
      </c>
      <c r="J55" s="466">
        <f>397120</f>
        <v>397120</v>
      </c>
      <c r="K55" s="454">
        <f>3340</f>
        <v>3340</v>
      </c>
      <c r="L55" s="454">
        <f>940</f>
        <v>940</v>
      </c>
      <c r="M55" s="454">
        <f>0</f>
        <v>0</v>
      </c>
      <c r="N55" s="454">
        <f>1677</f>
        <v>1677</v>
      </c>
      <c r="O55" s="454">
        <v>2000</v>
      </c>
      <c r="P55" s="454">
        <f>3333</f>
        <v>3333</v>
      </c>
      <c r="Q55" s="454">
        <v>2000</v>
      </c>
      <c r="R55" s="472">
        <v>14575</v>
      </c>
      <c r="S55" s="454"/>
      <c r="T55" s="454"/>
      <c r="U55" s="454"/>
      <c r="V55" s="454"/>
      <c r="W55" s="454"/>
      <c r="X55" s="454"/>
      <c r="Y55" s="454">
        <f t="shared" si="3"/>
        <v>23585</v>
      </c>
      <c r="Z55" s="455">
        <f>25000+325519+18938+6333</f>
        <v>375790</v>
      </c>
      <c r="AA55" s="467" t="s">
        <v>296</v>
      </c>
      <c r="AB55" s="457">
        <v>44209</v>
      </c>
      <c r="AC55" s="458">
        <v>44243</v>
      </c>
      <c r="AD55" s="455">
        <v>-5000</v>
      </c>
      <c r="AE55" s="459">
        <v>10</v>
      </c>
      <c r="AF55" s="457">
        <v>44299</v>
      </c>
      <c r="AG55" s="458">
        <v>44316</v>
      </c>
      <c r="AH55" s="455">
        <v>-205271</v>
      </c>
      <c r="AI55" s="456">
        <v>24</v>
      </c>
      <c r="AJ55" s="457">
        <v>44363</v>
      </c>
      <c r="AK55" s="458">
        <v>44372</v>
      </c>
      <c r="AL55" s="455"/>
      <c r="AM55" s="456"/>
      <c r="AN55" s="460"/>
      <c r="AO55" s="458"/>
      <c r="AP55" s="455"/>
      <c r="AQ55" s="456"/>
      <c r="AR55" s="460"/>
      <c r="AS55" s="458"/>
      <c r="AT55" s="154">
        <f t="shared" si="1"/>
        <v>165519</v>
      </c>
      <c r="AU55" s="461">
        <f t="shared" si="2"/>
        <v>141934</v>
      </c>
    </row>
    <row r="56" spans="2:47" s="148" customFormat="1" x14ac:dyDescent="0.25">
      <c r="B56" s="149">
        <v>41</v>
      </c>
      <c r="C56" s="149" t="s">
        <v>38</v>
      </c>
      <c r="D56" s="450" t="s">
        <v>389</v>
      </c>
      <c r="E56" s="451" t="s">
        <v>390</v>
      </c>
      <c r="F56" s="451" t="s">
        <v>45</v>
      </c>
      <c r="G56" s="452" t="s">
        <v>295</v>
      </c>
      <c r="H56" s="463" t="s">
        <v>321</v>
      </c>
      <c r="I56" s="453" t="s">
        <v>43</v>
      </c>
      <c r="J56" s="466">
        <f>618443</f>
        <v>618443</v>
      </c>
      <c r="K56" s="454">
        <f>2776</f>
        <v>2776</v>
      </c>
      <c r="L56" s="454">
        <f>37432</f>
        <v>37432</v>
      </c>
      <c r="M56" s="454">
        <f>0</f>
        <v>0</v>
      </c>
      <c r="N56" s="454">
        <f>0</f>
        <v>0</v>
      </c>
      <c r="O56" s="454">
        <f>0</f>
        <v>0</v>
      </c>
      <c r="P56" s="454">
        <f>0</f>
        <v>0</v>
      </c>
      <c r="Q56" s="454">
        <f>0</f>
        <v>0</v>
      </c>
      <c r="R56" s="454"/>
      <c r="S56" s="454"/>
      <c r="T56" s="454"/>
      <c r="U56" s="454"/>
      <c r="V56" s="454"/>
      <c r="W56" s="454"/>
      <c r="X56" s="454"/>
      <c r="Y56" s="454">
        <f t="shared" si="3"/>
        <v>0</v>
      </c>
      <c r="Z56" s="455">
        <f>11539+472739</f>
        <v>484278</v>
      </c>
      <c r="AA56" s="467" t="s">
        <v>296</v>
      </c>
      <c r="AB56" s="457">
        <v>44209</v>
      </c>
      <c r="AC56" s="458">
        <v>44243</v>
      </c>
      <c r="AD56" s="455">
        <f>2825+45281+43841</f>
        <v>91947</v>
      </c>
      <c r="AE56" s="459">
        <v>10</v>
      </c>
      <c r="AF56" s="457">
        <v>44299</v>
      </c>
      <c r="AG56" s="458">
        <v>44316</v>
      </c>
      <c r="AH56" s="455">
        <f>-14364-322739-45281-43841</f>
        <v>-426225</v>
      </c>
      <c r="AI56" s="456">
        <v>11</v>
      </c>
      <c r="AJ56" s="457">
        <v>44323</v>
      </c>
      <c r="AK56" s="458">
        <v>44334</v>
      </c>
      <c r="AL56" s="455"/>
      <c r="AM56" s="456"/>
      <c r="AN56" s="460"/>
      <c r="AO56" s="458"/>
      <c r="AP56" s="455"/>
      <c r="AQ56" s="456"/>
      <c r="AR56" s="460"/>
      <c r="AS56" s="458"/>
      <c r="AT56" s="154">
        <f t="shared" si="1"/>
        <v>150000</v>
      </c>
      <c r="AU56" s="461">
        <f t="shared" si="2"/>
        <v>150000</v>
      </c>
    </row>
    <row r="57" spans="2:47" s="148" customFormat="1" ht="22.5" x14ac:dyDescent="0.25">
      <c r="B57" s="149">
        <v>42</v>
      </c>
      <c r="C57" s="149" t="s">
        <v>38</v>
      </c>
      <c r="D57" s="450" t="s">
        <v>391</v>
      </c>
      <c r="E57" s="451" t="s">
        <v>392</v>
      </c>
      <c r="F57" s="451" t="s">
        <v>45</v>
      </c>
      <c r="G57" s="452" t="s">
        <v>295</v>
      </c>
      <c r="H57" s="463" t="s">
        <v>341</v>
      </c>
      <c r="I57" s="453" t="s">
        <v>42</v>
      </c>
      <c r="J57" s="466">
        <f>1226241</f>
        <v>1226241</v>
      </c>
      <c r="K57" s="454">
        <f>59895</f>
        <v>59895</v>
      </c>
      <c r="L57" s="454">
        <f>240940</f>
        <v>240940</v>
      </c>
      <c r="M57" s="454">
        <f>0</f>
        <v>0</v>
      </c>
      <c r="N57" s="454">
        <v>44684</v>
      </c>
      <c r="O57" s="454">
        <f>62568</f>
        <v>62568</v>
      </c>
      <c r="P57" s="454">
        <f>44811</f>
        <v>44811</v>
      </c>
      <c r="Q57" s="454">
        <f>39141</f>
        <v>39141</v>
      </c>
      <c r="R57" s="454"/>
      <c r="S57" s="454"/>
      <c r="T57" s="454"/>
      <c r="U57" s="454"/>
      <c r="V57" s="454"/>
      <c r="W57" s="454"/>
      <c r="X57" s="454"/>
      <c r="Y57" s="454">
        <f t="shared" si="3"/>
        <v>191204</v>
      </c>
      <c r="Z57" s="455">
        <f>22000+903242</f>
        <v>925242</v>
      </c>
      <c r="AA57" s="467" t="s">
        <v>296</v>
      </c>
      <c r="AB57" s="457">
        <v>44209</v>
      </c>
      <c r="AC57" s="458">
        <v>44243</v>
      </c>
      <c r="AD57" s="455">
        <f>163</f>
        <v>163</v>
      </c>
      <c r="AE57" s="459">
        <v>10</v>
      </c>
      <c r="AF57" s="457">
        <v>44299</v>
      </c>
      <c r="AG57" s="458">
        <v>44316</v>
      </c>
      <c r="AH57" s="455"/>
      <c r="AI57" s="456"/>
      <c r="AJ57" s="460"/>
      <c r="AK57" s="458"/>
      <c r="AL57" s="455"/>
      <c r="AM57" s="456"/>
      <c r="AN57" s="460"/>
      <c r="AO57" s="458"/>
      <c r="AP57" s="455"/>
      <c r="AQ57" s="456"/>
      <c r="AR57" s="460"/>
      <c r="AS57" s="458"/>
      <c r="AT57" s="154">
        <f t="shared" si="1"/>
        <v>925405</v>
      </c>
      <c r="AU57" s="461">
        <f t="shared" si="2"/>
        <v>734201</v>
      </c>
    </row>
    <row r="58" spans="2:47" s="148" customFormat="1" ht="22.5" x14ac:dyDescent="0.25">
      <c r="B58" s="149">
        <v>43</v>
      </c>
      <c r="C58" s="149" t="s">
        <v>38</v>
      </c>
      <c r="D58" s="450" t="s">
        <v>393</v>
      </c>
      <c r="E58" s="451" t="s">
        <v>394</v>
      </c>
      <c r="F58" s="451" t="s">
        <v>45</v>
      </c>
      <c r="G58" s="452" t="s">
        <v>295</v>
      </c>
      <c r="H58" s="452" t="s">
        <v>295</v>
      </c>
      <c r="I58" s="453" t="s">
        <v>43</v>
      </c>
      <c r="J58" s="466">
        <f>841354</f>
        <v>841354</v>
      </c>
      <c r="K58" s="454">
        <f>7488</f>
        <v>7488</v>
      </c>
      <c r="L58" s="454">
        <f>0</f>
        <v>0</v>
      </c>
      <c r="M58" s="454">
        <f>0</f>
        <v>0</v>
      </c>
      <c r="N58" s="454">
        <f>0</f>
        <v>0</v>
      </c>
      <c r="O58" s="454">
        <f>75311</f>
        <v>75311</v>
      </c>
      <c r="P58" s="454">
        <f>42069</f>
        <v>42069</v>
      </c>
      <c r="Q58" s="454"/>
      <c r="R58" s="472">
        <v>78857</v>
      </c>
      <c r="S58" s="454"/>
      <c r="T58" s="454"/>
      <c r="U58" s="454"/>
      <c r="V58" s="454"/>
      <c r="W58" s="454"/>
      <c r="X58" s="454"/>
      <c r="Y58" s="454">
        <f t="shared" si="3"/>
        <v>196237</v>
      </c>
      <c r="Z58" s="455">
        <f>727133</f>
        <v>727133</v>
      </c>
      <c r="AA58" s="467" t="s">
        <v>296</v>
      </c>
      <c r="AB58" s="457">
        <v>44209</v>
      </c>
      <c r="AC58" s="458">
        <v>44243</v>
      </c>
      <c r="AD58" s="455"/>
      <c r="AE58" s="459"/>
      <c r="AF58" s="460"/>
      <c r="AG58" s="458"/>
      <c r="AH58" s="455"/>
      <c r="AI58" s="456"/>
      <c r="AJ58" s="460"/>
      <c r="AK58" s="458"/>
      <c r="AL58" s="455"/>
      <c r="AM58" s="456"/>
      <c r="AN58" s="460"/>
      <c r="AO58" s="458"/>
      <c r="AP58" s="455"/>
      <c r="AQ58" s="456"/>
      <c r="AR58" s="460"/>
      <c r="AS58" s="458"/>
      <c r="AT58" s="154">
        <f t="shared" si="1"/>
        <v>727133</v>
      </c>
      <c r="AU58" s="461">
        <f t="shared" si="2"/>
        <v>530896</v>
      </c>
    </row>
    <row r="59" spans="2:47" s="148" customFormat="1" ht="22.5" x14ac:dyDescent="0.25">
      <c r="B59" s="149">
        <v>44</v>
      </c>
      <c r="C59" s="149" t="s">
        <v>38</v>
      </c>
      <c r="D59" s="450" t="s">
        <v>395</v>
      </c>
      <c r="E59" s="451" t="s">
        <v>396</v>
      </c>
      <c r="F59" s="451" t="s">
        <v>45</v>
      </c>
      <c r="G59" s="452" t="s">
        <v>295</v>
      </c>
      <c r="H59" s="463" t="s">
        <v>315</v>
      </c>
      <c r="I59" s="453" t="s">
        <v>42</v>
      </c>
      <c r="J59" s="466">
        <f>632513</f>
        <v>632513</v>
      </c>
      <c r="K59" s="454">
        <f>632293</f>
        <v>632293</v>
      </c>
      <c r="L59" s="454">
        <f>0</f>
        <v>0</v>
      </c>
      <c r="M59" s="454">
        <f>0</f>
        <v>0</v>
      </c>
      <c r="N59" s="454">
        <f>0</f>
        <v>0</v>
      </c>
      <c r="O59" s="454">
        <f>0</f>
        <v>0</v>
      </c>
      <c r="P59" s="454"/>
      <c r="Q59" s="454"/>
      <c r="R59" s="454"/>
      <c r="S59" s="454"/>
      <c r="T59" s="454"/>
      <c r="U59" s="454"/>
      <c r="V59" s="454"/>
      <c r="W59" s="454"/>
      <c r="X59" s="454"/>
      <c r="Y59" s="454">
        <f t="shared" si="3"/>
        <v>0</v>
      </c>
      <c r="Z59" s="455">
        <f>218</f>
        <v>218</v>
      </c>
      <c r="AA59" s="467" t="s">
        <v>296</v>
      </c>
      <c r="AB59" s="457">
        <v>44209</v>
      </c>
      <c r="AC59" s="458">
        <v>44243</v>
      </c>
      <c r="AD59" s="455"/>
      <c r="AE59" s="459"/>
      <c r="AF59" s="460"/>
      <c r="AG59" s="458"/>
      <c r="AH59" s="455"/>
      <c r="AI59" s="456"/>
      <c r="AJ59" s="460"/>
      <c r="AK59" s="458"/>
      <c r="AL59" s="455"/>
      <c r="AM59" s="456"/>
      <c r="AN59" s="460"/>
      <c r="AO59" s="458"/>
      <c r="AP59" s="455"/>
      <c r="AQ59" s="456"/>
      <c r="AR59" s="460"/>
      <c r="AS59" s="458"/>
      <c r="AT59" s="154">
        <f t="shared" si="1"/>
        <v>218</v>
      </c>
      <c r="AU59" s="461">
        <f t="shared" si="2"/>
        <v>218</v>
      </c>
    </row>
    <row r="60" spans="2:47" s="148" customFormat="1" ht="22.5" x14ac:dyDescent="0.25">
      <c r="B60" s="149">
        <v>45</v>
      </c>
      <c r="C60" s="149" t="s">
        <v>38</v>
      </c>
      <c r="D60" s="450" t="s">
        <v>397</v>
      </c>
      <c r="E60" s="451" t="s">
        <v>398</v>
      </c>
      <c r="F60" s="451" t="s">
        <v>45</v>
      </c>
      <c r="G60" s="452" t="s">
        <v>295</v>
      </c>
      <c r="H60" s="452" t="s">
        <v>295</v>
      </c>
      <c r="I60" s="453" t="s">
        <v>42</v>
      </c>
      <c r="J60" s="466">
        <f>842374</f>
        <v>842374</v>
      </c>
      <c r="K60" s="454">
        <f>794316</f>
        <v>794316</v>
      </c>
      <c r="L60" s="454">
        <f>0</f>
        <v>0</v>
      </c>
      <c r="M60" s="454">
        <f>0</f>
        <v>0</v>
      </c>
      <c r="N60" s="454">
        <f>0</f>
        <v>0</v>
      </c>
      <c r="O60" s="454">
        <f>0</f>
        <v>0</v>
      </c>
      <c r="P60" s="454"/>
      <c r="Q60" s="454"/>
      <c r="R60" s="454"/>
      <c r="S60" s="454"/>
      <c r="T60" s="454"/>
      <c r="U60" s="454"/>
      <c r="V60" s="454"/>
      <c r="W60" s="454"/>
      <c r="X60" s="454"/>
      <c r="Y60" s="454">
        <f t="shared" si="3"/>
        <v>0</v>
      </c>
      <c r="Z60" s="455">
        <f>2412+44589</f>
        <v>47001</v>
      </c>
      <c r="AA60" s="467" t="s">
        <v>296</v>
      </c>
      <c r="AB60" s="457">
        <v>44209</v>
      </c>
      <c r="AC60" s="458">
        <v>44243</v>
      </c>
      <c r="AD60" s="455">
        <v>-45001</v>
      </c>
      <c r="AE60" s="459">
        <v>24</v>
      </c>
      <c r="AF60" s="457">
        <v>44363</v>
      </c>
      <c r="AG60" s="458">
        <v>44372</v>
      </c>
      <c r="AH60" s="455"/>
      <c r="AI60" s="456"/>
      <c r="AJ60" s="460"/>
      <c r="AK60" s="458"/>
      <c r="AL60" s="455"/>
      <c r="AM60" s="456"/>
      <c r="AN60" s="460"/>
      <c r="AO60" s="458"/>
      <c r="AP60" s="455"/>
      <c r="AQ60" s="456"/>
      <c r="AR60" s="460"/>
      <c r="AS60" s="458"/>
      <c r="AT60" s="154">
        <f t="shared" si="1"/>
        <v>2000</v>
      </c>
      <c r="AU60" s="461">
        <f t="shared" si="2"/>
        <v>2000</v>
      </c>
    </row>
    <row r="61" spans="2:47" s="148" customFormat="1" ht="22.5" x14ac:dyDescent="0.25">
      <c r="B61" s="149">
        <v>46</v>
      </c>
      <c r="C61" s="149" t="s">
        <v>38</v>
      </c>
      <c r="D61" s="450" t="s">
        <v>399</v>
      </c>
      <c r="E61" s="451" t="s">
        <v>400</v>
      </c>
      <c r="F61" s="451" t="s">
        <v>45</v>
      </c>
      <c r="G61" s="452" t="s">
        <v>295</v>
      </c>
      <c r="H61" s="463" t="s">
        <v>364</v>
      </c>
      <c r="I61" s="453" t="s">
        <v>42</v>
      </c>
      <c r="J61" s="466">
        <f>1335341</f>
        <v>1335341</v>
      </c>
      <c r="K61" s="454">
        <f>549947</f>
        <v>549947</v>
      </c>
      <c r="L61" s="454">
        <f>16797</f>
        <v>16797</v>
      </c>
      <c r="M61" s="454">
        <f>0</f>
        <v>0</v>
      </c>
      <c r="N61" s="454">
        <v>187748</v>
      </c>
      <c r="O61" s="454">
        <v>186182</v>
      </c>
      <c r="P61" s="454">
        <f>59872</f>
        <v>59872</v>
      </c>
      <c r="Q61" s="454">
        <f>91687</f>
        <v>91687</v>
      </c>
      <c r="R61" s="472">
        <v>77611</v>
      </c>
      <c r="S61" s="454"/>
      <c r="T61" s="454"/>
      <c r="U61" s="454"/>
      <c r="V61" s="454"/>
      <c r="W61" s="454"/>
      <c r="X61" s="454"/>
      <c r="Y61" s="454">
        <f t="shared" si="3"/>
        <v>603100</v>
      </c>
      <c r="Z61" s="455">
        <f>763353</f>
        <v>763353</v>
      </c>
      <c r="AA61" s="467" t="s">
        <v>296</v>
      </c>
      <c r="AB61" s="457">
        <v>44209</v>
      </c>
      <c r="AC61" s="458">
        <v>44243</v>
      </c>
      <c r="AD61" s="455"/>
      <c r="AE61" s="459"/>
      <c r="AF61" s="460"/>
      <c r="AG61" s="458"/>
      <c r="AH61" s="455"/>
      <c r="AI61" s="456"/>
      <c r="AJ61" s="460"/>
      <c r="AK61" s="458"/>
      <c r="AL61" s="455"/>
      <c r="AM61" s="456"/>
      <c r="AN61" s="460"/>
      <c r="AO61" s="458"/>
      <c r="AP61" s="455"/>
      <c r="AQ61" s="456"/>
      <c r="AR61" s="460"/>
      <c r="AS61" s="458"/>
      <c r="AT61" s="154">
        <f t="shared" si="1"/>
        <v>763353</v>
      </c>
      <c r="AU61" s="461">
        <f t="shared" si="2"/>
        <v>160253</v>
      </c>
    </row>
    <row r="62" spans="2:47" s="148" customFormat="1" ht="33.75" customHeight="1" x14ac:dyDescent="0.25">
      <c r="B62" s="149">
        <v>47</v>
      </c>
      <c r="C62" s="149" t="s">
        <v>38</v>
      </c>
      <c r="D62" s="450" t="s">
        <v>401</v>
      </c>
      <c r="E62" s="451" t="s">
        <v>402</v>
      </c>
      <c r="F62" s="451" t="s">
        <v>46</v>
      </c>
      <c r="G62" s="452" t="s">
        <v>295</v>
      </c>
      <c r="H62" s="463" t="s">
        <v>341</v>
      </c>
      <c r="I62" s="453" t="s">
        <v>42</v>
      </c>
      <c r="J62" s="466">
        <f>833063</f>
        <v>833063</v>
      </c>
      <c r="K62" s="454">
        <f>695566</f>
        <v>695566</v>
      </c>
      <c r="L62" s="454">
        <f>1</f>
        <v>1</v>
      </c>
      <c r="M62" s="454">
        <f>0</f>
        <v>0</v>
      </c>
      <c r="N62" s="454">
        <f>0</f>
        <v>0</v>
      </c>
      <c r="O62" s="454">
        <f>0</f>
        <v>0</v>
      </c>
      <c r="P62" s="454"/>
      <c r="Q62" s="454"/>
      <c r="R62" s="454"/>
      <c r="S62" s="454"/>
      <c r="T62" s="454"/>
      <c r="U62" s="454"/>
      <c r="V62" s="454"/>
      <c r="W62" s="454"/>
      <c r="X62" s="454"/>
      <c r="Y62" s="454">
        <f t="shared" si="3"/>
        <v>0</v>
      </c>
      <c r="Z62" s="455">
        <f>137496</f>
        <v>137496</v>
      </c>
      <c r="AA62" s="467" t="s">
        <v>296</v>
      </c>
      <c r="AB62" s="457">
        <v>44209</v>
      </c>
      <c r="AC62" s="458">
        <v>44243</v>
      </c>
      <c r="AD62" s="455">
        <v>-36496</v>
      </c>
      <c r="AE62" s="459">
        <v>24</v>
      </c>
      <c r="AF62" s="457">
        <v>44363</v>
      </c>
      <c r="AG62" s="458">
        <v>44372</v>
      </c>
      <c r="AH62" s="455"/>
      <c r="AI62" s="456"/>
      <c r="AJ62" s="460"/>
      <c r="AK62" s="458"/>
      <c r="AL62" s="455"/>
      <c r="AM62" s="456"/>
      <c r="AN62" s="460"/>
      <c r="AO62" s="458"/>
      <c r="AP62" s="455"/>
      <c r="AQ62" s="456"/>
      <c r="AR62" s="460"/>
      <c r="AS62" s="458"/>
      <c r="AT62" s="154">
        <f t="shared" si="1"/>
        <v>101000</v>
      </c>
      <c r="AU62" s="461">
        <f t="shared" si="2"/>
        <v>101000</v>
      </c>
    </row>
    <row r="63" spans="2:47" s="148" customFormat="1" ht="22.5" x14ac:dyDescent="0.25">
      <c r="B63" s="149">
        <v>48</v>
      </c>
      <c r="C63" s="149" t="s">
        <v>38</v>
      </c>
      <c r="D63" s="450" t="s">
        <v>403</v>
      </c>
      <c r="E63" s="451" t="s">
        <v>404</v>
      </c>
      <c r="F63" s="451" t="s">
        <v>45</v>
      </c>
      <c r="G63" s="452" t="s">
        <v>295</v>
      </c>
      <c r="H63" s="463" t="s">
        <v>326</v>
      </c>
      <c r="I63" s="453" t="s">
        <v>42</v>
      </c>
      <c r="J63" s="466">
        <f>1050903</f>
        <v>1050903</v>
      </c>
      <c r="K63" s="454">
        <f>966909</f>
        <v>966909</v>
      </c>
      <c r="L63" s="454">
        <f>0</f>
        <v>0</v>
      </c>
      <c r="M63" s="454">
        <f>0</f>
        <v>0</v>
      </c>
      <c r="N63" s="454">
        <f>0</f>
        <v>0</v>
      </c>
      <c r="O63" s="454">
        <f>0</f>
        <v>0</v>
      </c>
      <c r="P63" s="454"/>
      <c r="Q63" s="454"/>
      <c r="R63" s="454"/>
      <c r="S63" s="454"/>
      <c r="T63" s="454"/>
      <c r="U63" s="454"/>
      <c r="V63" s="454"/>
      <c r="W63" s="454"/>
      <c r="X63" s="454"/>
      <c r="Y63" s="454">
        <f t="shared" si="3"/>
        <v>0</v>
      </c>
      <c r="Z63" s="455">
        <f>11957+70189</f>
        <v>82146</v>
      </c>
      <c r="AA63" s="467" t="s">
        <v>296</v>
      </c>
      <c r="AB63" s="457">
        <v>44209</v>
      </c>
      <c r="AC63" s="458">
        <v>44243</v>
      </c>
      <c r="AD63" s="455">
        <v>-72146</v>
      </c>
      <c r="AE63" s="459">
        <v>24</v>
      </c>
      <c r="AF63" s="457">
        <v>44363</v>
      </c>
      <c r="AG63" s="458">
        <v>44372</v>
      </c>
      <c r="AH63" s="455"/>
      <c r="AI63" s="456"/>
      <c r="AJ63" s="460"/>
      <c r="AK63" s="458"/>
      <c r="AL63" s="455"/>
      <c r="AM63" s="456"/>
      <c r="AN63" s="460"/>
      <c r="AO63" s="458"/>
      <c r="AP63" s="455"/>
      <c r="AQ63" s="456"/>
      <c r="AR63" s="460"/>
      <c r="AS63" s="458"/>
      <c r="AT63" s="154">
        <f t="shared" si="1"/>
        <v>10000</v>
      </c>
      <c r="AU63" s="461">
        <f t="shared" si="2"/>
        <v>10000</v>
      </c>
    </row>
    <row r="64" spans="2:47" s="148" customFormat="1" ht="22.5" x14ac:dyDescent="0.25">
      <c r="B64" s="149">
        <v>49</v>
      </c>
      <c r="C64" s="149" t="s">
        <v>38</v>
      </c>
      <c r="D64" s="450" t="s">
        <v>405</v>
      </c>
      <c r="E64" s="451" t="s">
        <v>406</v>
      </c>
      <c r="F64" s="451" t="s">
        <v>46</v>
      </c>
      <c r="G64" s="452" t="s">
        <v>295</v>
      </c>
      <c r="H64" s="463" t="s">
        <v>326</v>
      </c>
      <c r="I64" s="453" t="s">
        <v>42</v>
      </c>
      <c r="J64" s="466">
        <f>62611</f>
        <v>62611</v>
      </c>
      <c r="K64" s="454">
        <f>51011</f>
        <v>51011</v>
      </c>
      <c r="L64" s="454">
        <f>0</f>
        <v>0</v>
      </c>
      <c r="M64" s="454">
        <f>0</f>
        <v>0</v>
      </c>
      <c r="N64" s="454">
        <v>11600</v>
      </c>
      <c r="O64" s="454">
        <f>0</f>
        <v>0</v>
      </c>
      <c r="P64" s="454"/>
      <c r="Q64" s="454"/>
      <c r="R64" s="454"/>
      <c r="S64" s="454"/>
      <c r="T64" s="454"/>
      <c r="U64" s="454"/>
      <c r="V64" s="454"/>
      <c r="W64" s="454"/>
      <c r="X64" s="454"/>
      <c r="Y64" s="454">
        <f t="shared" si="3"/>
        <v>11600</v>
      </c>
      <c r="Z64" s="455">
        <f>11600</f>
        <v>11600</v>
      </c>
      <c r="AA64" s="467" t="s">
        <v>296</v>
      </c>
      <c r="AB64" s="457">
        <v>44209</v>
      </c>
      <c r="AC64" s="458">
        <v>44243</v>
      </c>
      <c r="AD64" s="455"/>
      <c r="AE64" s="459"/>
      <c r="AF64" s="460"/>
      <c r="AG64" s="458"/>
      <c r="AH64" s="455"/>
      <c r="AI64" s="456"/>
      <c r="AJ64" s="460"/>
      <c r="AK64" s="458"/>
      <c r="AL64" s="455"/>
      <c r="AM64" s="456"/>
      <c r="AN64" s="460"/>
      <c r="AO64" s="458"/>
      <c r="AP64" s="455"/>
      <c r="AQ64" s="456"/>
      <c r="AR64" s="460"/>
      <c r="AS64" s="458"/>
      <c r="AT64" s="154">
        <f t="shared" si="1"/>
        <v>11600</v>
      </c>
      <c r="AU64" s="461">
        <f t="shared" si="2"/>
        <v>0</v>
      </c>
    </row>
    <row r="65" spans="2:47" s="148" customFormat="1" ht="22.5" x14ac:dyDescent="0.25">
      <c r="B65" s="149">
        <v>50</v>
      </c>
      <c r="C65" s="149" t="s">
        <v>38</v>
      </c>
      <c r="D65" s="450" t="s">
        <v>407</v>
      </c>
      <c r="E65" s="451" t="s">
        <v>408</v>
      </c>
      <c r="F65" s="451" t="s">
        <v>45</v>
      </c>
      <c r="G65" s="452" t="s">
        <v>295</v>
      </c>
      <c r="H65" s="463" t="s">
        <v>326</v>
      </c>
      <c r="I65" s="453" t="s">
        <v>42</v>
      </c>
      <c r="J65" s="471">
        <f>1178228</f>
        <v>1178228</v>
      </c>
      <c r="K65" s="454">
        <f>974603</f>
        <v>974603</v>
      </c>
      <c r="L65" s="454">
        <f>0</f>
        <v>0</v>
      </c>
      <c r="M65" s="454">
        <f>0</f>
        <v>0</v>
      </c>
      <c r="N65" s="454">
        <f>0</f>
        <v>0</v>
      </c>
      <c r="O65" s="454">
        <v>149856</v>
      </c>
      <c r="P65" s="454">
        <f>53768</f>
        <v>53768</v>
      </c>
      <c r="Q65" s="454">
        <f>0</f>
        <v>0</v>
      </c>
      <c r="R65" s="454"/>
      <c r="S65" s="454"/>
      <c r="T65" s="454"/>
      <c r="U65" s="454"/>
      <c r="V65" s="454"/>
      <c r="W65" s="454"/>
      <c r="X65" s="454"/>
      <c r="Y65" s="454">
        <f t="shared" si="3"/>
        <v>203624</v>
      </c>
      <c r="Z65" s="455">
        <f>53768+149855</f>
        <v>203623</v>
      </c>
      <c r="AA65" s="467" t="s">
        <v>296</v>
      </c>
      <c r="AB65" s="457">
        <v>44209</v>
      </c>
      <c r="AC65" s="458">
        <v>44243</v>
      </c>
      <c r="AD65" s="455">
        <v>1</v>
      </c>
      <c r="AE65" s="467" t="s">
        <v>309</v>
      </c>
      <c r="AF65" s="457">
        <v>44253</v>
      </c>
      <c r="AG65" s="458">
        <v>44281</v>
      </c>
      <c r="AH65" s="455">
        <v>1</v>
      </c>
      <c r="AI65" s="456">
        <v>10</v>
      </c>
      <c r="AJ65" s="457">
        <v>44299</v>
      </c>
      <c r="AK65" s="458">
        <v>44316</v>
      </c>
      <c r="AL65" s="455"/>
      <c r="AM65" s="456"/>
      <c r="AN65" s="460"/>
      <c r="AO65" s="458"/>
      <c r="AP65" s="455"/>
      <c r="AQ65" s="456"/>
      <c r="AR65" s="460"/>
      <c r="AS65" s="458"/>
      <c r="AT65" s="154">
        <f t="shared" si="1"/>
        <v>203625</v>
      </c>
      <c r="AU65" s="461">
        <f t="shared" si="2"/>
        <v>1</v>
      </c>
    </row>
    <row r="66" spans="2:47" s="148" customFormat="1" ht="22.5" x14ac:dyDescent="0.25">
      <c r="B66" s="149">
        <v>51</v>
      </c>
      <c r="C66" s="149" t="s">
        <v>38</v>
      </c>
      <c r="D66" s="450" t="s">
        <v>409</v>
      </c>
      <c r="E66" s="451" t="s">
        <v>410</v>
      </c>
      <c r="F66" s="451" t="s">
        <v>45</v>
      </c>
      <c r="G66" s="452" t="s">
        <v>295</v>
      </c>
      <c r="H66" s="463" t="s">
        <v>411</v>
      </c>
      <c r="I66" s="453" t="s">
        <v>42</v>
      </c>
      <c r="J66" s="466">
        <f>257232</f>
        <v>257232</v>
      </c>
      <c r="K66" s="454">
        <f>255732</f>
        <v>255732</v>
      </c>
      <c r="L66" s="454">
        <f>0</f>
        <v>0</v>
      </c>
      <c r="M66" s="454">
        <f>0</f>
        <v>0</v>
      </c>
      <c r="N66" s="454">
        <f>0</f>
        <v>0</v>
      </c>
      <c r="O66" s="454">
        <f>0</f>
        <v>0</v>
      </c>
      <c r="P66" s="454"/>
      <c r="Q66" s="454"/>
      <c r="R66" s="454"/>
      <c r="S66" s="454"/>
      <c r="T66" s="454"/>
      <c r="U66" s="454"/>
      <c r="V66" s="454"/>
      <c r="W66" s="454"/>
      <c r="X66" s="454"/>
      <c r="Y66" s="454">
        <f t="shared" si="3"/>
        <v>0</v>
      </c>
      <c r="Z66" s="455">
        <f>1500</f>
        <v>1500</v>
      </c>
      <c r="AA66" s="467" t="s">
        <v>296</v>
      </c>
      <c r="AB66" s="457">
        <v>44209</v>
      </c>
      <c r="AC66" s="458">
        <v>44243</v>
      </c>
      <c r="AD66" s="455"/>
      <c r="AE66" s="459"/>
      <c r="AF66" s="460"/>
      <c r="AG66" s="458"/>
      <c r="AH66" s="455"/>
      <c r="AI66" s="456"/>
      <c r="AJ66" s="460"/>
      <c r="AK66" s="458"/>
      <c r="AL66" s="455"/>
      <c r="AM66" s="456"/>
      <c r="AN66" s="460"/>
      <c r="AO66" s="458"/>
      <c r="AP66" s="455"/>
      <c r="AQ66" s="456"/>
      <c r="AR66" s="460"/>
      <c r="AS66" s="458"/>
      <c r="AT66" s="154">
        <f t="shared" si="1"/>
        <v>1500</v>
      </c>
      <c r="AU66" s="461">
        <f t="shared" si="2"/>
        <v>1500</v>
      </c>
    </row>
    <row r="67" spans="2:47" s="148" customFormat="1" ht="22.5" x14ac:dyDescent="0.25">
      <c r="B67" s="149">
        <v>52</v>
      </c>
      <c r="C67" s="149" t="s">
        <v>38</v>
      </c>
      <c r="D67" s="450" t="s">
        <v>412</v>
      </c>
      <c r="E67" s="451" t="s">
        <v>413</v>
      </c>
      <c r="F67" s="451" t="s">
        <v>45</v>
      </c>
      <c r="G67" s="452" t="s">
        <v>295</v>
      </c>
      <c r="H67" s="463" t="s">
        <v>411</v>
      </c>
      <c r="I67" s="453" t="s">
        <v>42</v>
      </c>
      <c r="J67" s="466">
        <f>487018</f>
        <v>487018</v>
      </c>
      <c r="K67" s="454">
        <f>1416</f>
        <v>1416</v>
      </c>
      <c r="L67" s="454">
        <f>49051</f>
        <v>49051</v>
      </c>
      <c r="M67" s="454">
        <f>0</f>
        <v>0</v>
      </c>
      <c r="N67" s="454">
        <f>0</f>
        <v>0</v>
      </c>
      <c r="O67" s="454">
        <f>0</f>
        <v>0</v>
      </c>
      <c r="P67" s="454"/>
      <c r="Q67" s="454">
        <f>0</f>
        <v>0</v>
      </c>
      <c r="R67" s="454"/>
      <c r="S67" s="454"/>
      <c r="T67" s="454"/>
      <c r="U67" s="454"/>
      <c r="V67" s="454"/>
      <c r="W67" s="454"/>
      <c r="X67" s="454"/>
      <c r="Y67" s="454">
        <f t="shared" si="3"/>
        <v>0</v>
      </c>
      <c r="Z67" s="455">
        <f>16000+361136+25000+911</f>
        <v>403047</v>
      </c>
      <c r="AA67" s="467" t="s">
        <v>296</v>
      </c>
      <c r="AB67" s="457">
        <v>44209</v>
      </c>
      <c r="AC67" s="458">
        <v>44243</v>
      </c>
      <c r="AD67" s="455">
        <f>-149018-25000-911</f>
        <v>-174929</v>
      </c>
      <c r="AE67" s="459">
        <v>10</v>
      </c>
      <c r="AF67" s="457">
        <v>44299</v>
      </c>
      <c r="AG67" s="458">
        <v>44316</v>
      </c>
      <c r="AH67" s="455">
        <v>-199848</v>
      </c>
      <c r="AI67" s="456">
        <v>24</v>
      </c>
      <c r="AJ67" s="457">
        <v>44363</v>
      </c>
      <c r="AK67" s="458">
        <v>44372</v>
      </c>
      <c r="AL67" s="455"/>
      <c r="AM67" s="456"/>
      <c r="AN67" s="460"/>
      <c r="AO67" s="458"/>
      <c r="AP67" s="455"/>
      <c r="AQ67" s="456"/>
      <c r="AR67" s="460"/>
      <c r="AS67" s="458"/>
      <c r="AT67" s="154">
        <f t="shared" si="1"/>
        <v>28270</v>
      </c>
      <c r="AU67" s="461">
        <f t="shared" si="2"/>
        <v>28270</v>
      </c>
    </row>
    <row r="68" spans="2:47" s="148" customFormat="1" ht="22.5" x14ac:dyDescent="0.25">
      <c r="B68" s="149">
        <v>53</v>
      </c>
      <c r="C68" s="149" t="s">
        <v>38</v>
      </c>
      <c r="D68" s="450" t="s">
        <v>414</v>
      </c>
      <c r="E68" s="451" t="s">
        <v>415</v>
      </c>
      <c r="F68" s="451" t="s">
        <v>45</v>
      </c>
      <c r="G68" s="452" t="s">
        <v>295</v>
      </c>
      <c r="H68" s="463" t="s">
        <v>364</v>
      </c>
      <c r="I68" s="453" t="s">
        <v>42</v>
      </c>
      <c r="J68" s="466">
        <f>419437</f>
        <v>419437</v>
      </c>
      <c r="K68" s="454">
        <f>385935</f>
        <v>385935</v>
      </c>
      <c r="L68" s="454">
        <f>0</f>
        <v>0</v>
      </c>
      <c r="M68" s="454">
        <f>0</f>
        <v>0</v>
      </c>
      <c r="N68" s="454">
        <f>0</f>
        <v>0</v>
      </c>
      <c r="O68" s="454">
        <f>1688</f>
        <v>1688</v>
      </c>
      <c r="P68" s="454"/>
      <c r="Q68" s="454">
        <f>0</f>
        <v>0</v>
      </c>
      <c r="R68" s="454"/>
      <c r="S68" s="454"/>
      <c r="T68" s="454"/>
      <c r="U68" s="454"/>
      <c r="V68" s="454"/>
      <c r="W68" s="454"/>
      <c r="X68" s="454"/>
      <c r="Y68" s="454">
        <f t="shared" si="3"/>
        <v>1688</v>
      </c>
      <c r="Z68" s="455">
        <f>31813</f>
        <v>31813</v>
      </c>
      <c r="AA68" s="467" t="s">
        <v>296</v>
      </c>
      <c r="AB68" s="457">
        <v>44209</v>
      </c>
      <c r="AC68" s="458">
        <v>44243</v>
      </c>
      <c r="AD68" s="455">
        <f>1688-1688</f>
        <v>0</v>
      </c>
      <c r="AE68" s="467" t="s">
        <v>309</v>
      </c>
      <c r="AF68" s="457">
        <v>44253</v>
      </c>
      <c r="AG68" s="458">
        <v>44281</v>
      </c>
      <c r="AH68" s="455">
        <v>-420</v>
      </c>
      <c r="AI68" s="456">
        <v>10</v>
      </c>
      <c r="AJ68" s="457">
        <v>44299</v>
      </c>
      <c r="AK68" s="458">
        <v>44316</v>
      </c>
      <c r="AL68" s="455"/>
      <c r="AM68" s="456"/>
      <c r="AN68" s="460"/>
      <c r="AO68" s="458"/>
      <c r="AP68" s="455"/>
      <c r="AQ68" s="456"/>
      <c r="AR68" s="460"/>
      <c r="AS68" s="458"/>
      <c r="AT68" s="154">
        <f t="shared" si="1"/>
        <v>31393</v>
      </c>
      <c r="AU68" s="461">
        <f t="shared" si="2"/>
        <v>29705</v>
      </c>
    </row>
    <row r="69" spans="2:47" s="148" customFormat="1" ht="22.5" x14ac:dyDescent="0.25">
      <c r="B69" s="149">
        <v>54</v>
      </c>
      <c r="C69" s="149" t="s">
        <v>38</v>
      </c>
      <c r="D69" s="450" t="s">
        <v>416</v>
      </c>
      <c r="E69" s="451" t="s">
        <v>417</v>
      </c>
      <c r="F69" s="451" t="s">
        <v>45</v>
      </c>
      <c r="G69" s="452" t="s">
        <v>295</v>
      </c>
      <c r="H69" s="463" t="s">
        <v>295</v>
      </c>
      <c r="I69" s="453" t="s">
        <v>42</v>
      </c>
      <c r="J69" s="466">
        <f>2934114</f>
        <v>2934114</v>
      </c>
      <c r="K69" s="454">
        <f>18526</f>
        <v>18526</v>
      </c>
      <c r="L69" s="454">
        <f>1309206</f>
        <v>1309206</v>
      </c>
      <c r="M69" s="454">
        <f>0</f>
        <v>0</v>
      </c>
      <c r="N69" s="454">
        <f>194392</f>
        <v>194392</v>
      </c>
      <c r="O69" s="454">
        <f>800</f>
        <v>800</v>
      </c>
      <c r="P69" s="454">
        <f>800+277703</f>
        <v>278503</v>
      </c>
      <c r="Q69" s="454">
        <f>0</f>
        <v>0</v>
      </c>
      <c r="R69" s="472">
        <v>15162</v>
      </c>
      <c r="S69" s="454"/>
      <c r="T69" s="454"/>
      <c r="U69" s="454"/>
      <c r="V69" s="454"/>
      <c r="W69" s="454"/>
      <c r="X69" s="454"/>
      <c r="Y69" s="454">
        <f t="shared" si="3"/>
        <v>488857</v>
      </c>
      <c r="Z69" s="455">
        <f>36838+1499599+15162</f>
        <v>1551599</v>
      </c>
      <c r="AA69" s="467" t="s">
        <v>296</v>
      </c>
      <c r="AB69" s="457">
        <v>44209</v>
      </c>
      <c r="AC69" s="458">
        <v>44243</v>
      </c>
      <c r="AD69" s="455">
        <f>-34438-305473</f>
        <v>-339911</v>
      </c>
      <c r="AE69" s="459">
        <v>10</v>
      </c>
      <c r="AF69" s="457">
        <v>44299</v>
      </c>
      <c r="AG69" s="458">
        <v>44316</v>
      </c>
      <c r="AH69" s="455">
        <v>-290540</v>
      </c>
      <c r="AI69" s="456">
        <v>11</v>
      </c>
      <c r="AJ69" s="457">
        <v>44323</v>
      </c>
      <c r="AK69" s="458">
        <v>44334</v>
      </c>
      <c r="AL69" s="455">
        <v>40925</v>
      </c>
      <c r="AM69" s="456">
        <v>24</v>
      </c>
      <c r="AN69" s="457">
        <v>44363</v>
      </c>
      <c r="AO69" s="458">
        <v>44372</v>
      </c>
      <c r="AP69" s="455"/>
      <c r="AQ69" s="456"/>
      <c r="AR69" s="460"/>
      <c r="AS69" s="458"/>
      <c r="AT69" s="154">
        <f t="shared" si="1"/>
        <v>962073</v>
      </c>
      <c r="AU69" s="461">
        <f t="shared" si="2"/>
        <v>473216</v>
      </c>
    </row>
    <row r="70" spans="2:47" s="148" customFormat="1" ht="22.5" customHeight="1" x14ac:dyDescent="0.25">
      <c r="B70" s="149">
        <v>55</v>
      </c>
      <c r="C70" s="149" t="s">
        <v>38</v>
      </c>
      <c r="D70" s="450" t="s">
        <v>418</v>
      </c>
      <c r="E70" s="451" t="s">
        <v>419</v>
      </c>
      <c r="F70" s="451" t="s">
        <v>45</v>
      </c>
      <c r="G70" s="452" t="s">
        <v>295</v>
      </c>
      <c r="H70" s="463" t="s">
        <v>335</v>
      </c>
      <c r="I70" s="453" t="s">
        <v>42</v>
      </c>
      <c r="J70" s="466">
        <f>3048659</f>
        <v>3048659</v>
      </c>
      <c r="K70" s="454">
        <f>395110</f>
        <v>395110</v>
      </c>
      <c r="L70" s="454">
        <f>1768534</f>
        <v>1768534</v>
      </c>
      <c r="M70" s="454">
        <f>0</f>
        <v>0</v>
      </c>
      <c r="N70" s="454">
        <f>279836</f>
        <v>279836</v>
      </c>
      <c r="O70" s="454">
        <f>83361</f>
        <v>83361</v>
      </c>
      <c r="P70" s="454">
        <f>2296+125939</f>
        <v>128235</v>
      </c>
      <c r="Q70" s="454">
        <f>1468+113098</f>
        <v>114566</v>
      </c>
      <c r="R70" s="472">
        <v>37395</v>
      </c>
      <c r="S70" s="454"/>
      <c r="T70" s="454"/>
      <c r="U70" s="454"/>
      <c r="V70" s="454"/>
      <c r="W70" s="454"/>
      <c r="X70" s="454"/>
      <c r="Y70" s="454">
        <f t="shared" si="3"/>
        <v>643393</v>
      </c>
      <c r="Z70" s="455">
        <f>17390+632319+1000+1000</f>
        <v>651709</v>
      </c>
      <c r="AA70" s="467" t="s">
        <v>296</v>
      </c>
      <c r="AB70" s="457">
        <v>44209</v>
      </c>
      <c r="AC70" s="458">
        <v>44243</v>
      </c>
      <c r="AD70" s="455"/>
      <c r="AE70" s="459"/>
      <c r="AF70" s="460"/>
      <c r="AG70" s="458"/>
      <c r="AH70" s="455"/>
      <c r="AI70" s="456"/>
      <c r="AJ70" s="460"/>
      <c r="AK70" s="458"/>
      <c r="AL70" s="455"/>
      <c r="AM70" s="456"/>
      <c r="AN70" s="460"/>
      <c r="AO70" s="458"/>
      <c r="AP70" s="455"/>
      <c r="AQ70" s="456"/>
      <c r="AR70" s="460"/>
      <c r="AS70" s="458"/>
      <c r="AT70" s="154">
        <f t="shared" si="1"/>
        <v>651709</v>
      </c>
      <c r="AU70" s="461">
        <f t="shared" si="2"/>
        <v>8316</v>
      </c>
    </row>
    <row r="71" spans="2:47" s="148" customFormat="1" ht="22.5" x14ac:dyDescent="0.25">
      <c r="B71" s="149">
        <v>56</v>
      </c>
      <c r="C71" s="149" t="s">
        <v>38</v>
      </c>
      <c r="D71" s="450" t="s">
        <v>420</v>
      </c>
      <c r="E71" s="451" t="s">
        <v>421</v>
      </c>
      <c r="F71" s="451" t="s">
        <v>46</v>
      </c>
      <c r="G71" s="452" t="s">
        <v>295</v>
      </c>
      <c r="H71" s="463" t="s">
        <v>422</v>
      </c>
      <c r="I71" s="453" t="s">
        <v>42</v>
      </c>
      <c r="J71" s="466">
        <f>22877</f>
        <v>22877</v>
      </c>
      <c r="K71" s="454">
        <f>21377</f>
        <v>21377</v>
      </c>
      <c r="L71" s="454">
        <f>0</f>
        <v>0</v>
      </c>
      <c r="M71" s="454">
        <f>0</f>
        <v>0</v>
      </c>
      <c r="N71" s="454">
        <f>0</f>
        <v>0</v>
      </c>
      <c r="O71" s="454">
        <f>0</f>
        <v>0</v>
      </c>
      <c r="P71" s="454"/>
      <c r="Q71" s="454"/>
      <c r="R71" s="454"/>
      <c r="S71" s="454"/>
      <c r="T71" s="454"/>
      <c r="U71" s="454"/>
      <c r="V71" s="454"/>
      <c r="W71" s="454"/>
      <c r="X71" s="454"/>
      <c r="Y71" s="454">
        <f t="shared" si="3"/>
        <v>0</v>
      </c>
      <c r="Z71" s="455">
        <f>1500</f>
        <v>1500</v>
      </c>
      <c r="AA71" s="467" t="s">
        <v>296</v>
      </c>
      <c r="AB71" s="457">
        <v>44209</v>
      </c>
      <c r="AC71" s="458">
        <v>44243</v>
      </c>
      <c r="AD71" s="455"/>
      <c r="AE71" s="459"/>
      <c r="AF71" s="460"/>
      <c r="AG71" s="458"/>
      <c r="AH71" s="455"/>
      <c r="AI71" s="456"/>
      <c r="AJ71" s="460"/>
      <c r="AK71" s="458"/>
      <c r="AL71" s="455"/>
      <c r="AM71" s="456"/>
      <c r="AN71" s="460"/>
      <c r="AO71" s="458"/>
      <c r="AP71" s="455"/>
      <c r="AQ71" s="456"/>
      <c r="AR71" s="460"/>
      <c r="AS71" s="458"/>
      <c r="AT71" s="154">
        <f t="shared" si="1"/>
        <v>1500</v>
      </c>
      <c r="AU71" s="461">
        <f t="shared" si="2"/>
        <v>1500</v>
      </c>
    </row>
    <row r="72" spans="2:47" s="148" customFormat="1" ht="22.5" x14ac:dyDescent="0.25">
      <c r="B72" s="149">
        <v>57</v>
      </c>
      <c r="C72" s="149" t="s">
        <v>38</v>
      </c>
      <c r="D72" s="450" t="s">
        <v>423</v>
      </c>
      <c r="E72" s="451" t="s">
        <v>424</v>
      </c>
      <c r="F72" s="451" t="s">
        <v>46</v>
      </c>
      <c r="G72" s="452" t="s">
        <v>295</v>
      </c>
      <c r="H72" s="463" t="s">
        <v>422</v>
      </c>
      <c r="I72" s="453" t="s">
        <v>42</v>
      </c>
      <c r="J72" s="466">
        <f>57030</f>
        <v>57030</v>
      </c>
      <c r="K72" s="454">
        <f>46536</f>
        <v>46536</v>
      </c>
      <c r="L72" s="454">
        <f>0</f>
        <v>0</v>
      </c>
      <c r="M72" s="454">
        <f>0</f>
        <v>0</v>
      </c>
      <c r="N72" s="454">
        <f>0</f>
        <v>0</v>
      </c>
      <c r="O72" s="454">
        <f>0</f>
        <v>0</v>
      </c>
      <c r="P72" s="454"/>
      <c r="Q72" s="454"/>
      <c r="R72" s="454"/>
      <c r="S72" s="454"/>
      <c r="T72" s="454"/>
      <c r="U72" s="454"/>
      <c r="V72" s="454"/>
      <c r="W72" s="454"/>
      <c r="X72" s="454"/>
      <c r="Y72" s="454">
        <f t="shared" si="3"/>
        <v>0</v>
      </c>
      <c r="Z72" s="455">
        <v>10493</v>
      </c>
      <c r="AA72" s="467" t="s">
        <v>296</v>
      </c>
      <c r="AB72" s="457">
        <v>44209</v>
      </c>
      <c r="AC72" s="458">
        <v>44243</v>
      </c>
      <c r="AD72" s="455"/>
      <c r="AE72" s="459"/>
      <c r="AF72" s="460"/>
      <c r="AG72" s="458"/>
      <c r="AH72" s="455"/>
      <c r="AI72" s="456"/>
      <c r="AJ72" s="460"/>
      <c r="AK72" s="458"/>
      <c r="AL72" s="455"/>
      <c r="AM72" s="456"/>
      <c r="AN72" s="460"/>
      <c r="AO72" s="458"/>
      <c r="AP72" s="455"/>
      <c r="AQ72" s="456"/>
      <c r="AR72" s="460"/>
      <c r="AS72" s="458"/>
      <c r="AT72" s="154">
        <f t="shared" si="1"/>
        <v>10493</v>
      </c>
      <c r="AU72" s="461">
        <f t="shared" si="2"/>
        <v>10493</v>
      </c>
    </row>
    <row r="73" spans="2:47" s="148" customFormat="1" ht="22.5" x14ac:dyDescent="0.25">
      <c r="B73" s="149">
        <v>58</v>
      </c>
      <c r="C73" s="149" t="s">
        <v>38</v>
      </c>
      <c r="D73" s="450" t="s">
        <v>425</v>
      </c>
      <c r="E73" s="451" t="s">
        <v>426</v>
      </c>
      <c r="F73" s="451" t="s">
        <v>46</v>
      </c>
      <c r="G73" s="452" t="s">
        <v>295</v>
      </c>
      <c r="H73" s="463" t="s">
        <v>422</v>
      </c>
      <c r="I73" s="453" t="s">
        <v>42</v>
      </c>
      <c r="J73" s="466">
        <f>22866</f>
        <v>22866</v>
      </c>
      <c r="K73" s="454">
        <f>21366</f>
        <v>21366</v>
      </c>
      <c r="L73" s="454">
        <f>0</f>
        <v>0</v>
      </c>
      <c r="M73" s="454">
        <f>0</f>
        <v>0</v>
      </c>
      <c r="N73" s="454">
        <f>0</f>
        <v>0</v>
      </c>
      <c r="O73" s="454">
        <f>0</f>
        <v>0</v>
      </c>
      <c r="P73" s="454"/>
      <c r="Q73" s="454"/>
      <c r="R73" s="454"/>
      <c r="S73" s="454"/>
      <c r="T73" s="454"/>
      <c r="U73" s="454"/>
      <c r="V73" s="454"/>
      <c r="W73" s="454"/>
      <c r="X73" s="454"/>
      <c r="Y73" s="454">
        <f t="shared" si="3"/>
        <v>0</v>
      </c>
      <c r="Z73" s="455">
        <f>1500</f>
        <v>1500</v>
      </c>
      <c r="AA73" s="467" t="s">
        <v>296</v>
      </c>
      <c r="AB73" s="457">
        <v>44209</v>
      </c>
      <c r="AC73" s="458">
        <v>44243</v>
      </c>
      <c r="AD73" s="455"/>
      <c r="AE73" s="459"/>
      <c r="AF73" s="460"/>
      <c r="AG73" s="458"/>
      <c r="AH73" s="455"/>
      <c r="AI73" s="456"/>
      <c r="AJ73" s="460"/>
      <c r="AK73" s="458"/>
      <c r="AL73" s="455"/>
      <c r="AM73" s="456"/>
      <c r="AN73" s="460"/>
      <c r="AO73" s="458"/>
      <c r="AP73" s="455"/>
      <c r="AQ73" s="456"/>
      <c r="AR73" s="460"/>
      <c r="AS73" s="458"/>
      <c r="AT73" s="154">
        <f t="shared" si="1"/>
        <v>1500</v>
      </c>
      <c r="AU73" s="461">
        <f t="shared" si="2"/>
        <v>1500</v>
      </c>
    </row>
    <row r="74" spans="2:47" s="148" customFormat="1" ht="22.5" customHeight="1" x14ac:dyDescent="0.25">
      <c r="B74" s="149">
        <v>59</v>
      </c>
      <c r="C74" s="149" t="s">
        <v>38</v>
      </c>
      <c r="D74" s="450" t="s">
        <v>427</v>
      </c>
      <c r="E74" s="451" t="s">
        <v>428</v>
      </c>
      <c r="F74" s="451" t="s">
        <v>45</v>
      </c>
      <c r="G74" s="452" t="s">
        <v>295</v>
      </c>
      <c r="H74" s="463" t="s">
        <v>299</v>
      </c>
      <c r="I74" s="453" t="s">
        <v>42</v>
      </c>
      <c r="J74" s="466">
        <f>166543</f>
        <v>166543</v>
      </c>
      <c r="K74" s="454">
        <f>81425</f>
        <v>81425</v>
      </c>
      <c r="L74" s="454">
        <f>0</f>
        <v>0</v>
      </c>
      <c r="M74" s="454">
        <f>0</f>
        <v>0</v>
      </c>
      <c r="N74" s="454">
        <f>15887</f>
        <v>15887</v>
      </c>
      <c r="O74" s="454">
        <f>2643</f>
        <v>2643</v>
      </c>
      <c r="P74" s="454"/>
      <c r="Q74" s="454"/>
      <c r="R74" s="454"/>
      <c r="S74" s="454"/>
      <c r="T74" s="454"/>
      <c r="U74" s="454"/>
      <c r="V74" s="454"/>
      <c r="W74" s="454"/>
      <c r="X74" s="454"/>
      <c r="Y74" s="454">
        <f t="shared" si="3"/>
        <v>18530</v>
      </c>
      <c r="Z74" s="455">
        <f>13738+26468+41596</f>
        <v>81802</v>
      </c>
      <c r="AA74" s="467" t="s">
        <v>296</v>
      </c>
      <c r="AB74" s="457">
        <v>44209</v>
      </c>
      <c r="AC74" s="458">
        <v>44243</v>
      </c>
      <c r="AD74" s="455">
        <v>-30738</v>
      </c>
      <c r="AE74" s="456">
        <v>23</v>
      </c>
      <c r="AF74" s="457">
        <v>44355</v>
      </c>
      <c r="AG74" s="458">
        <v>44369</v>
      </c>
      <c r="AH74" s="455"/>
      <c r="AI74" s="456"/>
      <c r="AJ74" s="460"/>
      <c r="AK74" s="458"/>
      <c r="AL74" s="469"/>
      <c r="AM74" s="469"/>
      <c r="AN74" s="469"/>
      <c r="AO74" s="469"/>
      <c r="AP74" s="455"/>
      <c r="AQ74" s="456"/>
      <c r="AR74" s="460"/>
      <c r="AS74" s="458"/>
      <c r="AT74" s="154">
        <f t="shared" si="1"/>
        <v>51064</v>
      </c>
      <c r="AU74" s="461">
        <f t="shared" si="2"/>
        <v>32534</v>
      </c>
    </row>
    <row r="75" spans="2:47" s="148" customFormat="1" ht="22.5" x14ac:dyDescent="0.25">
      <c r="B75" s="149">
        <v>60</v>
      </c>
      <c r="C75" s="149" t="s">
        <v>38</v>
      </c>
      <c r="D75" s="450" t="s">
        <v>429</v>
      </c>
      <c r="E75" s="451" t="s">
        <v>430</v>
      </c>
      <c r="F75" s="451" t="s">
        <v>45</v>
      </c>
      <c r="G75" s="452" t="s">
        <v>295</v>
      </c>
      <c r="H75" s="463" t="s">
        <v>341</v>
      </c>
      <c r="I75" s="453" t="s">
        <v>42</v>
      </c>
      <c r="J75" s="466">
        <f>9484372</f>
        <v>9484372</v>
      </c>
      <c r="K75" s="454">
        <f>5995901</f>
        <v>5995901</v>
      </c>
      <c r="L75" s="454">
        <v>28935</v>
      </c>
      <c r="M75" s="454">
        <f>0</f>
        <v>0</v>
      </c>
      <c r="N75" s="454">
        <f>468449</f>
        <v>468449</v>
      </c>
      <c r="O75" s="454">
        <f>411024</f>
        <v>411024</v>
      </c>
      <c r="P75" s="454">
        <f>1800+237368</f>
        <v>239168</v>
      </c>
      <c r="Q75" s="454">
        <f>1800+294721</f>
        <v>296521</v>
      </c>
      <c r="R75" s="472">
        <v>66214</v>
      </c>
      <c r="S75" s="454"/>
      <c r="T75" s="454"/>
      <c r="U75" s="454"/>
      <c r="V75" s="454"/>
      <c r="W75" s="454"/>
      <c r="X75" s="454"/>
      <c r="Y75" s="454">
        <f t="shared" si="3"/>
        <v>1481376</v>
      </c>
      <c r="Z75" s="455">
        <f>21600+1200000</f>
        <v>1221600</v>
      </c>
      <c r="AA75" s="467" t="s">
        <v>296</v>
      </c>
      <c r="AB75" s="457">
        <v>44209</v>
      </c>
      <c r="AC75" s="458">
        <v>44243</v>
      </c>
      <c r="AD75" s="455">
        <f>403309</f>
        <v>403309</v>
      </c>
      <c r="AE75" s="459">
        <v>10</v>
      </c>
      <c r="AF75" s="457">
        <v>44299</v>
      </c>
      <c r="AG75" s="458">
        <v>44316</v>
      </c>
      <c r="AH75" s="455">
        <v>528820</v>
      </c>
      <c r="AI75" s="456">
        <v>24</v>
      </c>
      <c r="AJ75" s="457">
        <v>44363</v>
      </c>
      <c r="AK75" s="458">
        <v>44372</v>
      </c>
      <c r="AL75" s="455"/>
      <c r="AM75" s="456"/>
      <c r="AN75" s="460"/>
      <c r="AO75" s="458"/>
      <c r="AP75" s="455"/>
      <c r="AQ75" s="456"/>
      <c r="AR75" s="460"/>
      <c r="AS75" s="458"/>
      <c r="AT75" s="154">
        <f t="shared" si="1"/>
        <v>2153729</v>
      </c>
      <c r="AU75" s="461">
        <f t="shared" si="2"/>
        <v>672353</v>
      </c>
    </row>
    <row r="76" spans="2:47" s="148" customFormat="1" ht="22.5" x14ac:dyDescent="0.25">
      <c r="B76" s="149">
        <v>61</v>
      </c>
      <c r="C76" s="149" t="s">
        <v>38</v>
      </c>
      <c r="D76" s="450" t="s">
        <v>431</v>
      </c>
      <c r="E76" s="451" t="s">
        <v>432</v>
      </c>
      <c r="F76" s="451" t="s">
        <v>45</v>
      </c>
      <c r="G76" s="452" t="s">
        <v>295</v>
      </c>
      <c r="H76" s="463" t="s">
        <v>388</v>
      </c>
      <c r="I76" s="453" t="s">
        <v>43</v>
      </c>
      <c r="J76" s="466">
        <f>2181514</f>
        <v>2181514</v>
      </c>
      <c r="K76" s="454">
        <f>4196</f>
        <v>4196</v>
      </c>
      <c r="L76" s="454">
        <f>351487</f>
        <v>351487</v>
      </c>
      <c r="M76" s="454">
        <f>0</f>
        <v>0</v>
      </c>
      <c r="N76" s="454">
        <f>513224</f>
        <v>513224</v>
      </c>
      <c r="O76" s="454">
        <f>205656</f>
        <v>205656</v>
      </c>
      <c r="P76" s="454">
        <f>270285</f>
        <v>270285</v>
      </c>
      <c r="Q76" s="454">
        <f>276947</f>
        <v>276947</v>
      </c>
      <c r="R76" s="472">
        <v>293419</v>
      </c>
      <c r="S76" s="454"/>
      <c r="T76" s="454"/>
      <c r="U76" s="454"/>
      <c r="V76" s="454"/>
      <c r="W76" s="454"/>
      <c r="X76" s="454"/>
      <c r="Y76" s="454">
        <f t="shared" si="3"/>
        <v>1559531</v>
      </c>
      <c r="Z76" s="455">
        <f>10002+720000</f>
        <v>730002</v>
      </c>
      <c r="AA76" s="467" t="s">
        <v>296</v>
      </c>
      <c r="AB76" s="457">
        <v>44209</v>
      </c>
      <c r="AC76" s="458">
        <v>44243</v>
      </c>
      <c r="AD76" s="455">
        <f>-10002+1095338</f>
        <v>1085336</v>
      </c>
      <c r="AE76" s="459">
        <v>10</v>
      </c>
      <c r="AF76" s="457">
        <v>44299</v>
      </c>
      <c r="AG76" s="458">
        <v>44316</v>
      </c>
      <c r="AH76" s="455"/>
      <c r="AI76" s="456"/>
      <c r="AJ76" s="460"/>
      <c r="AK76" s="458"/>
      <c r="AL76" s="455"/>
      <c r="AM76" s="456"/>
      <c r="AN76" s="460"/>
      <c r="AO76" s="458"/>
      <c r="AP76" s="455"/>
      <c r="AQ76" s="456"/>
      <c r="AR76" s="460"/>
      <c r="AS76" s="458"/>
      <c r="AT76" s="154">
        <f t="shared" si="1"/>
        <v>1815338</v>
      </c>
      <c r="AU76" s="461">
        <f t="shared" si="2"/>
        <v>255807</v>
      </c>
    </row>
    <row r="77" spans="2:47" s="148" customFormat="1" ht="22.5" customHeight="1" x14ac:dyDescent="0.25">
      <c r="B77" s="149">
        <v>62</v>
      </c>
      <c r="C77" s="149" t="s">
        <v>38</v>
      </c>
      <c r="D77" s="450" t="s">
        <v>433</v>
      </c>
      <c r="E77" s="451" t="s">
        <v>434</v>
      </c>
      <c r="F77" s="451" t="s">
        <v>46</v>
      </c>
      <c r="G77" s="452" t="s">
        <v>295</v>
      </c>
      <c r="H77" s="463" t="s">
        <v>435</v>
      </c>
      <c r="I77" s="453" t="s">
        <v>42</v>
      </c>
      <c r="J77" s="466">
        <f>59864</f>
        <v>59864</v>
      </c>
      <c r="K77" s="454">
        <f>47024</f>
        <v>47024</v>
      </c>
      <c r="L77" s="454">
        <f>0</f>
        <v>0</v>
      </c>
      <c r="M77" s="454">
        <f>0</f>
        <v>0</v>
      </c>
      <c r="N77" s="454">
        <f>0</f>
        <v>0</v>
      </c>
      <c r="O77" s="454">
        <f>0</f>
        <v>0</v>
      </c>
      <c r="P77" s="454"/>
      <c r="Q77" s="454"/>
      <c r="R77" s="472">
        <v>12840</v>
      </c>
      <c r="S77" s="454"/>
      <c r="T77" s="454"/>
      <c r="U77" s="454"/>
      <c r="V77" s="454"/>
      <c r="W77" s="454"/>
      <c r="X77" s="454"/>
      <c r="Y77" s="454">
        <f t="shared" si="3"/>
        <v>12840</v>
      </c>
      <c r="Z77" s="455">
        <f>12840</f>
        <v>12840</v>
      </c>
      <c r="AA77" s="467" t="s">
        <v>296</v>
      </c>
      <c r="AB77" s="457">
        <v>44209</v>
      </c>
      <c r="AC77" s="458">
        <v>44243</v>
      </c>
      <c r="AD77" s="455"/>
      <c r="AE77" s="459"/>
      <c r="AF77" s="460"/>
      <c r="AG77" s="458"/>
      <c r="AH77" s="455"/>
      <c r="AI77" s="456"/>
      <c r="AJ77" s="460"/>
      <c r="AK77" s="458"/>
      <c r="AL77" s="455"/>
      <c r="AM77" s="456"/>
      <c r="AN77" s="460"/>
      <c r="AO77" s="458"/>
      <c r="AP77" s="455"/>
      <c r="AQ77" s="456"/>
      <c r="AR77" s="460"/>
      <c r="AS77" s="458"/>
      <c r="AT77" s="154">
        <f t="shared" si="1"/>
        <v>12840</v>
      </c>
      <c r="AU77" s="461">
        <f t="shared" si="2"/>
        <v>0</v>
      </c>
    </row>
    <row r="78" spans="2:47" s="148" customFormat="1" ht="22.5" x14ac:dyDescent="0.25">
      <c r="B78" s="149">
        <v>63</v>
      </c>
      <c r="C78" s="149" t="s">
        <v>38</v>
      </c>
      <c r="D78" s="450" t="s">
        <v>436</v>
      </c>
      <c r="E78" s="451" t="s">
        <v>437</v>
      </c>
      <c r="F78" s="451" t="s">
        <v>46</v>
      </c>
      <c r="G78" s="452" t="s">
        <v>295</v>
      </c>
      <c r="H78" s="463" t="s">
        <v>422</v>
      </c>
      <c r="I78" s="453" t="s">
        <v>42</v>
      </c>
      <c r="J78" s="466">
        <f>21809</f>
        <v>21809</v>
      </c>
      <c r="K78" s="454">
        <f>20359</f>
        <v>20359</v>
      </c>
      <c r="L78" s="454">
        <f>0</f>
        <v>0</v>
      </c>
      <c r="M78" s="454">
        <f>0</f>
        <v>0</v>
      </c>
      <c r="N78" s="454">
        <f>0</f>
        <v>0</v>
      </c>
      <c r="O78" s="454">
        <f>0</f>
        <v>0</v>
      </c>
      <c r="P78" s="454"/>
      <c r="Q78" s="454"/>
      <c r="R78" s="454"/>
      <c r="S78" s="454"/>
      <c r="T78" s="454"/>
      <c r="U78" s="454"/>
      <c r="V78" s="454"/>
      <c r="W78" s="454"/>
      <c r="X78" s="454"/>
      <c r="Y78" s="454">
        <f t="shared" si="3"/>
        <v>0</v>
      </c>
      <c r="Z78" s="455">
        <v>1450</v>
      </c>
      <c r="AA78" s="467" t="s">
        <v>296</v>
      </c>
      <c r="AB78" s="457">
        <v>44209</v>
      </c>
      <c r="AC78" s="458">
        <v>44243</v>
      </c>
      <c r="AD78" s="455"/>
      <c r="AE78" s="459"/>
      <c r="AF78" s="460"/>
      <c r="AG78" s="458"/>
      <c r="AH78" s="455"/>
      <c r="AI78" s="456"/>
      <c r="AJ78" s="460"/>
      <c r="AK78" s="458"/>
      <c r="AL78" s="455"/>
      <c r="AM78" s="456"/>
      <c r="AN78" s="460"/>
      <c r="AO78" s="458"/>
      <c r="AP78" s="455"/>
      <c r="AQ78" s="456"/>
      <c r="AR78" s="460"/>
      <c r="AS78" s="458"/>
      <c r="AT78" s="154">
        <f t="shared" si="1"/>
        <v>1450</v>
      </c>
      <c r="AU78" s="461">
        <f t="shared" si="2"/>
        <v>1450</v>
      </c>
    </row>
    <row r="79" spans="2:47" s="148" customFormat="1" x14ac:dyDescent="0.25">
      <c r="B79" s="149">
        <v>64</v>
      </c>
      <c r="C79" s="149" t="s">
        <v>38</v>
      </c>
      <c r="D79" s="450" t="s">
        <v>438</v>
      </c>
      <c r="E79" s="451" t="s">
        <v>439</v>
      </c>
      <c r="F79" s="451" t="s">
        <v>45</v>
      </c>
      <c r="G79" s="452" t="s">
        <v>295</v>
      </c>
      <c r="H79" s="463" t="s">
        <v>435</v>
      </c>
      <c r="I79" s="453" t="s">
        <v>43</v>
      </c>
      <c r="J79" s="466">
        <f>1738357</f>
        <v>1738357</v>
      </c>
      <c r="K79" s="454">
        <f>14514</f>
        <v>14514</v>
      </c>
      <c r="L79" s="454">
        <f>990693</f>
        <v>990693</v>
      </c>
      <c r="M79" s="454">
        <f>0</f>
        <v>0</v>
      </c>
      <c r="N79" s="454">
        <f>0</f>
        <v>0</v>
      </c>
      <c r="O79" s="454">
        <f>0</f>
        <v>0</v>
      </c>
      <c r="P79" s="454"/>
      <c r="Q79" s="454"/>
      <c r="R79" s="454"/>
      <c r="S79" s="454"/>
      <c r="T79" s="454"/>
      <c r="U79" s="454"/>
      <c r="V79" s="454"/>
      <c r="W79" s="454"/>
      <c r="X79" s="454"/>
      <c r="Y79" s="454">
        <f t="shared" si="3"/>
        <v>0</v>
      </c>
      <c r="Z79" s="455">
        <f>12600+627098</f>
        <v>639698</v>
      </c>
      <c r="AA79" s="467" t="s">
        <v>296</v>
      </c>
      <c r="AB79" s="457">
        <v>44209</v>
      </c>
      <c r="AC79" s="458">
        <v>44243</v>
      </c>
      <c r="AD79" s="455">
        <v>-492626</v>
      </c>
      <c r="AE79" s="459">
        <v>24</v>
      </c>
      <c r="AF79" s="457">
        <v>44363</v>
      </c>
      <c r="AG79" s="458">
        <v>44372</v>
      </c>
      <c r="AH79" s="455"/>
      <c r="AI79" s="456"/>
      <c r="AJ79" s="460"/>
      <c r="AK79" s="458"/>
      <c r="AL79" s="455"/>
      <c r="AM79" s="456"/>
      <c r="AN79" s="460"/>
      <c r="AO79" s="458"/>
      <c r="AP79" s="455"/>
      <c r="AQ79" s="456"/>
      <c r="AR79" s="460"/>
      <c r="AS79" s="458"/>
      <c r="AT79" s="154">
        <f t="shared" si="1"/>
        <v>147072</v>
      </c>
      <c r="AU79" s="461">
        <f t="shared" si="2"/>
        <v>147072</v>
      </c>
    </row>
    <row r="80" spans="2:47" s="148" customFormat="1" ht="22.5" x14ac:dyDescent="0.25">
      <c r="B80" s="149">
        <v>65</v>
      </c>
      <c r="C80" s="149" t="s">
        <v>38</v>
      </c>
      <c r="D80" s="450" t="s">
        <v>440</v>
      </c>
      <c r="E80" s="451" t="s">
        <v>441</v>
      </c>
      <c r="F80" s="451" t="s">
        <v>129</v>
      </c>
      <c r="G80" s="452" t="s">
        <v>295</v>
      </c>
      <c r="H80" s="463"/>
      <c r="I80" s="453" t="s">
        <v>42</v>
      </c>
      <c r="J80" s="466">
        <f>160337</f>
        <v>160337</v>
      </c>
      <c r="K80" s="454">
        <f>5266</f>
        <v>5266</v>
      </c>
      <c r="L80" s="454">
        <f>42934</f>
        <v>42934</v>
      </c>
      <c r="M80" s="454">
        <f>0</f>
        <v>0</v>
      </c>
      <c r="N80" s="454">
        <f>7000</f>
        <v>7000</v>
      </c>
      <c r="O80" s="454">
        <v>14000</v>
      </c>
      <c r="P80" s="454">
        <f>14000</f>
        <v>14000</v>
      </c>
      <c r="Q80" s="454">
        <f>14000</f>
        <v>14000</v>
      </c>
      <c r="R80" s="454"/>
      <c r="S80" s="454"/>
      <c r="T80" s="454"/>
      <c r="U80" s="454"/>
      <c r="V80" s="454"/>
      <c r="W80" s="454"/>
      <c r="X80" s="454"/>
      <c r="Y80" s="454">
        <f t="shared" ref="Y80:Y111" si="4">SUM(M80:X80)</f>
        <v>49000</v>
      </c>
      <c r="Z80" s="455">
        <f>102400</f>
        <v>102400</v>
      </c>
      <c r="AA80" s="467" t="s">
        <v>296</v>
      </c>
      <c r="AB80" s="457">
        <v>44209</v>
      </c>
      <c r="AC80" s="458">
        <v>44243</v>
      </c>
      <c r="AD80" s="455">
        <v>-4400</v>
      </c>
      <c r="AE80" s="456">
        <v>23</v>
      </c>
      <c r="AF80" s="457">
        <v>44355</v>
      </c>
      <c r="AG80" s="458">
        <v>44369</v>
      </c>
      <c r="AH80" s="455"/>
      <c r="AI80" s="456"/>
      <c r="AJ80" s="460"/>
      <c r="AK80" s="458"/>
      <c r="AL80" s="469"/>
      <c r="AM80" s="469"/>
      <c r="AN80" s="469"/>
      <c r="AO80" s="469"/>
      <c r="AP80" s="455"/>
      <c r="AQ80" s="456"/>
      <c r="AR80" s="460"/>
      <c r="AS80" s="458"/>
      <c r="AT80" s="154">
        <f t="shared" si="1"/>
        <v>98000</v>
      </c>
      <c r="AU80" s="461">
        <f t="shared" si="2"/>
        <v>49000</v>
      </c>
    </row>
    <row r="81" spans="2:47" s="148" customFormat="1" ht="22.5" x14ac:dyDescent="0.25">
      <c r="B81" s="149">
        <v>66</v>
      </c>
      <c r="C81" s="149" t="s">
        <v>38</v>
      </c>
      <c r="D81" s="450" t="s">
        <v>442</v>
      </c>
      <c r="E81" s="451" t="s">
        <v>443</v>
      </c>
      <c r="F81" s="451" t="s">
        <v>45</v>
      </c>
      <c r="G81" s="452" t="s">
        <v>295</v>
      </c>
      <c r="H81" s="463" t="s">
        <v>422</v>
      </c>
      <c r="I81" s="453" t="s">
        <v>42</v>
      </c>
      <c r="J81" s="466">
        <f>787719</f>
        <v>787719</v>
      </c>
      <c r="K81" s="454">
        <f>673509</f>
        <v>673509</v>
      </c>
      <c r="L81" s="454">
        <f>0</f>
        <v>0</v>
      </c>
      <c r="M81" s="454">
        <f>0</f>
        <v>0</v>
      </c>
      <c r="N81" s="454">
        <v>111960</v>
      </c>
      <c r="O81" s="454">
        <f>0</f>
        <v>0</v>
      </c>
      <c r="P81" s="454"/>
      <c r="Q81" s="454"/>
      <c r="R81" s="454"/>
      <c r="S81" s="454"/>
      <c r="T81" s="454"/>
      <c r="U81" s="454"/>
      <c r="V81" s="454"/>
      <c r="W81" s="454"/>
      <c r="X81" s="454"/>
      <c r="Y81" s="454">
        <f t="shared" si="4"/>
        <v>111960</v>
      </c>
      <c r="Z81" s="455">
        <f>111960</f>
        <v>111960</v>
      </c>
      <c r="AA81" s="467" t="s">
        <v>296</v>
      </c>
      <c r="AB81" s="457">
        <v>44209</v>
      </c>
      <c r="AC81" s="458">
        <v>44243</v>
      </c>
      <c r="AD81" s="455"/>
      <c r="AE81" s="459"/>
      <c r="AF81" s="460"/>
      <c r="AG81" s="458"/>
      <c r="AH81" s="455"/>
      <c r="AI81" s="456"/>
      <c r="AJ81" s="460"/>
      <c r="AK81" s="458"/>
      <c r="AL81" s="455"/>
      <c r="AM81" s="456"/>
      <c r="AN81" s="460"/>
      <c r="AO81" s="458"/>
      <c r="AP81" s="455"/>
      <c r="AQ81" s="456"/>
      <c r="AR81" s="460"/>
      <c r="AS81" s="458"/>
      <c r="AT81" s="154">
        <f t="shared" ref="AT81:AT94" si="5">+Z81+AD81+AH81+AL81+AP81</f>
        <v>111960</v>
      </c>
      <c r="AU81" s="461">
        <f t="shared" ref="AU81:AU94" si="6">+AT81-Y81</f>
        <v>0</v>
      </c>
    </row>
    <row r="82" spans="2:47" s="148" customFormat="1" ht="22.5" x14ac:dyDescent="0.25">
      <c r="B82" s="149">
        <v>67</v>
      </c>
      <c r="C82" s="149" t="s">
        <v>38</v>
      </c>
      <c r="D82" s="450" t="s">
        <v>444</v>
      </c>
      <c r="E82" s="451" t="s">
        <v>445</v>
      </c>
      <c r="F82" s="451" t="s">
        <v>45</v>
      </c>
      <c r="G82" s="452" t="s">
        <v>295</v>
      </c>
      <c r="H82" s="463" t="s">
        <v>318</v>
      </c>
      <c r="I82" s="453" t="s">
        <v>42</v>
      </c>
      <c r="J82" s="466">
        <f>544402</f>
        <v>544402</v>
      </c>
      <c r="K82" s="454">
        <f>135631</f>
        <v>135631</v>
      </c>
      <c r="L82" s="454">
        <f>1</f>
        <v>1</v>
      </c>
      <c r="M82" s="454">
        <f>0</f>
        <v>0</v>
      </c>
      <c r="N82" s="454">
        <v>300370</v>
      </c>
      <c r="O82" s="454">
        <f>0</f>
        <v>0</v>
      </c>
      <c r="P82" s="454">
        <f>0</f>
        <v>0</v>
      </c>
      <c r="Q82" s="454">
        <f>0</f>
        <v>0</v>
      </c>
      <c r="R82" s="454"/>
      <c r="S82" s="454"/>
      <c r="T82" s="454"/>
      <c r="U82" s="454"/>
      <c r="V82" s="454"/>
      <c r="W82" s="454"/>
      <c r="X82" s="454"/>
      <c r="Y82" s="454">
        <f t="shared" si="4"/>
        <v>300370</v>
      </c>
      <c r="Z82" s="455">
        <f>8876+352431</f>
        <v>361307</v>
      </c>
      <c r="AA82" s="467" t="s">
        <v>296</v>
      </c>
      <c r="AB82" s="457">
        <v>44209</v>
      </c>
      <c r="AC82" s="458">
        <v>44243</v>
      </c>
      <c r="AD82" s="455">
        <v>-8876</v>
      </c>
      <c r="AE82" s="459">
        <v>10</v>
      </c>
      <c r="AF82" s="457">
        <v>44299</v>
      </c>
      <c r="AG82" s="458">
        <v>44316</v>
      </c>
      <c r="AH82" s="455"/>
      <c r="AI82" s="456"/>
      <c r="AJ82" s="460"/>
      <c r="AK82" s="458"/>
      <c r="AL82" s="455"/>
      <c r="AM82" s="456"/>
      <c r="AN82" s="460"/>
      <c r="AO82" s="458"/>
      <c r="AP82" s="455"/>
      <c r="AQ82" s="456"/>
      <c r="AR82" s="460"/>
      <c r="AS82" s="458"/>
      <c r="AT82" s="154">
        <f t="shared" si="5"/>
        <v>352431</v>
      </c>
      <c r="AU82" s="461">
        <f t="shared" si="6"/>
        <v>52061</v>
      </c>
    </row>
    <row r="83" spans="2:47" s="148" customFormat="1" ht="22.5" x14ac:dyDescent="0.25">
      <c r="B83" s="149">
        <v>68</v>
      </c>
      <c r="C83" s="149" t="s">
        <v>38</v>
      </c>
      <c r="D83" s="450" t="s">
        <v>446</v>
      </c>
      <c r="E83" s="451" t="s">
        <v>447</v>
      </c>
      <c r="F83" s="451" t="s">
        <v>45</v>
      </c>
      <c r="G83" s="452" t="s">
        <v>295</v>
      </c>
      <c r="H83" s="463" t="s">
        <v>422</v>
      </c>
      <c r="I83" s="453" t="s">
        <v>42</v>
      </c>
      <c r="J83" s="466">
        <f>129585</f>
        <v>129585</v>
      </c>
      <c r="K83" s="454">
        <f>0</f>
        <v>0</v>
      </c>
      <c r="L83" s="454">
        <f>0</f>
        <v>0</v>
      </c>
      <c r="M83" s="454">
        <f>0</f>
        <v>0</v>
      </c>
      <c r="N83" s="454">
        <f>0</f>
        <v>0</v>
      </c>
      <c r="O83" s="454">
        <f>0</f>
        <v>0</v>
      </c>
      <c r="P83" s="454"/>
      <c r="Q83" s="454">
        <f>0</f>
        <v>0</v>
      </c>
      <c r="R83" s="472">
        <v>9068</v>
      </c>
      <c r="S83" s="454"/>
      <c r="T83" s="454"/>
      <c r="U83" s="454"/>
      <c r="V83" s="454"/>
      <c r="W83" s="454"/>
      <c r="X83" s="454"/>
      <c r="Y83" s="454">
        <f t="shared" si="4"/>
        <v>9068</v>
      </c>
      <c r="Z83" s="455">
        <f>9071</f>
        <v>9071</v>
      </c>
      <c r="AA83" s="467" t="s">
        <v>296</v>
      </c>
      <c r="AB83" s="457">
        <v>44209</v>
      </c>
      <c r="AC83" s="458">
        <v>44243</v>
      </c>
      <c r="AD83" s="455">
        <v>120514</v>
      </c>
      <c r="AE83" s="459">
        <v>10</v>
      </c>
      <c r="AF83" s="457">
        <v>44299</v>
      </c>
      <c r="AG83" s="458">
        <v>44316</v>
      </c>
      <c r="AH83" s="455"/>
      <c r="AI83" s="456"/>
      <c r="AJ83" s="460"/>
      <c r="AK83" s="458"/>
      <c r="AL83" s="455"/>
      <c r="AM83" s="456"/>
      <c r="AN83" s="460"/>
      <c r="AO83" s="458"/>
      <c r="AP83" s="455"/>
      <c r="AQ83" s="456"/>
      <c r="AR83" s="460"/>
      <c r="AS83" s="458"/>
      <c r="AT83" s="154">
        <f t="shared" si="5"/>
        <v>129585</v>
      </c>
      <c r="AU83" s="461">
        <f t="shared" si="6"/>
        <v>120517</v>
      </c>
    </row>
    <row r="84" spans="2:47" s="148" customFormat="1" ht="22.5" x14ac:dyDescent="0.25">
      <c r="B84" s="149">
        <v>69</v>
      </c>
      <c r="C84" s="149" t="s">
        <v>38</v>
      </c>
      <c r="D84" s="450" t="s">
        <v>448</v>
      </c>
      <c r="E84" s="451" t="s">
        <v>449</v>
      </c>
      <c r="F84" s="451" t="s">
        <v>45</v>
      </c>
      <c r="G84" s="452" t="s">
        <v>295</v>
      </c>
      <c r="H84" s="463" t="s">
        <v>450</v>
      </c>
      <c r="I84" s="453" t="s">
        <v>42</v>
      </c>
      <c r="J84" s="466">
        <f>714135</f>
        <v>714135</v>
      </c>
      <c r="K84" s="454">
        <f>690353</f>
        <v>690353</v>
      </c>
      <c r="L84" s="454">
        <f>0</f>
        <v>0</v>
      </c>
      <c r="M84" s="454">
        <f>0</f>
        <v>0</v>
      </c>
      <c r="N84" s="454">
        <f>0</f>
        <v>0</v>
      </c>
      <c r="O84" s="454">
        <f>0</f>
        <v>0</v>
      </c>
      <c r="P84" s="454"/>
      <c r="Q84" s="454"/>
      <c r="R84" s="454"/>
      <c r="S84" s="454"/>
      <c r="T84" s="454"/>
      <c r="U84" s="454"/>
      <c r="V84" s="454"/>
      <c r="W84" s="454"/>
      <c r="X84" s="454"/>
      <c r="Y84" s="454">
        <f t="shared" si="4"/>
        <v>0</v>
      </c>
      <c r="Z84" s="455">
        <f>16242+7534</f>
        <v>23776</v>
      </c>
      <c r="AA84" s="467" t="s">
        <v>296</v>
      </c>
      <c r="AB84" s="457">
        <v>44209</v>
      </c>
      <c r="AC84" s="458">
        <v>44243</v>
      </c>
      <c r="AD84" s="455"/>
      <c r="AE84" s="459"/>
      <c r="AF84" s="460"/>
      <c r="AG84" s="458"/>
      <c r="AH84" s="455"/>
      <c r="AI84" s="456"/>
      <c r="AJ84" s="460"/>
      <c r="AK84" s="458"/>
      <c r="AL84" s="455"/>
      <c r="AM84" s="456"/>
      <c r="AN84" s="460"/>
      <c r="AO84" s="458"/>
      <c r="AP84" s="455"/>
      <c r="AQ84" s="456"/>
      <c r="AR84" s="460"/>
      <c r="AS84" s="458"/>
      <c r="AT84" s="154">
        <f t="shared" si="5"/>
        <v>23776</v>
      </c>
      <c r="AU84" s="461">
        <f t="shared" si="6"/>
        <v>23776</v>
      </c>
    </row>
    <row r="85" spans="2:47" s="148" customFormat="1" ht="22.5" customHeight="1" x14ac:dyDescent="0.25">
      <c r="B85" s="149">
        <v>70</v>
      </c>
      <c r="C85" s="149" t="s">
        <v>38</v>
      </c>
      <c r="D85" s="450" t="s">
        <v>451</v>
      </c>
      <c r="E85" s="451" t="s">
        <v>452</v>
      </c>
      <c r="F85" s="451" t="s">
        <v>45</v>
      </c>
      <c r="G85" s="452" t="s">
        <v>295</v>
      </c>
      <c r="H85" s="463" t="s">
        <v>335</v>
      </c>
      <c r="I85" s="453" t="s">
        <v>42</v>
      </c>
      <c r="J85" s="466">
        <v>1059676</v>
      </c>
      <c r="K85" s="454">
        <f>870941</f>
        <v>870941</v>
      </c>
      <c r="L85" s="454">
        <f>1</f>
        <v>1</v>
      </c>
      <c r="M85" s="454"/>
      <c r="N85" s="454">
        <f>188732</f>
        <v>188732</v>
      </c>
      <c r="O85" s="454"/>
      <c r="P85" s="454"/>
      <c r="Q85" s="454"/>
      <c r="R85" s="454"/>
      <c r="S85" s="454"/>
      <c r="T85" s="454"/>
      <c r="U85" s="454"/>
      <c r="V85" s="454"/>
      <c r="W85" s="454"/>
      <c r="X85" s="454"/>
      <c r="Y85" s="454">
        <f t="shared" si="4"/>
        <v>188732</v>
      </c>
      <c r="Z85" s="455">
        <f>188733</f>
        <v>188733</v>
      </c>
      <c r="AA85" s="467" t="s">
        <v>453</v>
      </c>
      <c r="AB85" s="457">
        <v>44246</v>
      </c>
      <c r="AC85" s="458">
        <v>44253</v>
      </c>
      <c r="AD85" s="455"/>
      <c r="AE85" s="459"/>
      <c r="AF85" s="460"/>
      <c r="AG85" s="458"/>
      <c r="AH85" s="455"/>
      <c r="AI85" s="456"/>
      <c r="AJ85" s="460"/>
      <c r="AK85" s="458"/>
      <c r="AL85" s="455"/>
      <c r="AM85" s="456"/>
      <c r="AN85" s="460"/>
      <c r="AO85" s="458"/>
      <c r="AP85" s="455"/>
      <c r="AQ85" s="456"/>
      <c r="AR85" s="460"/>
      <c r="AS85" s="458"/>
      <c r="AT85" s="154">
        <f t="shared" si="5"/>
        <v>188733</v>
      </c>
      <c r="AU85" s="461">
        <f t="shared" si="6"/>
        <v>1</v>
      </c>
    </row>
    <row r="86" spans="2:47" s="148" customFormat="1" ht="22.5" x14ac:dyDescent="0.25">
      <c r="B86" s="149">
        <v>71</v>
      </c>
      <c r="C86" s="149" t="s">
        <v>40</v>
      </c>
      <c r="D86" s="450" t="s">
        <v>454</v>
      </c>
      <c r="E86" s="451" t="s">
        <v>455</v>
      </c>
      <c r="F86" s="451" t="s">
        <v>45</v>
      </c>
      <c r="G86" s="452" t="s">
        <v>295</v>
      </c>
      <c r="H86" s="463" t="s">
        <v>456</v>
      </c>
      <c r="I86" s="453" t="s">
        <v>43</v>
      </c>
      <c r="J86" s="466">
        <v>314725</v>
      </c>
      <c r="K86" s="454">
        <f>0</f>
        <v>0</v>
      </c>
      <c r="L86" s="454">
        <f>222385</f>
        <v>222385</v>
      </c>
      <c r="M86" s="454"/>
      <c r="N86" s="454"/>
      <c r="O86" s="454">
        <f>0</f>
        <v>0</v>
      </c>
      <c r="P86" s="454"/>
      <c r="Q86" s="454"/>
      <c r="R86" s="454"/>
      <c r="S86" s="454"/>
      <c r="T86" s="454"/>
      <c r="U86" s="454"/>
      <c r="V86" s="454"/>
      <c r="W86" s="454"/>
      <c r="X86" s="454"/>
      <c r="Y86" s="454">
        <f t="shared" si="4"/>
        <v>0</v>
      </c>
      <c r="Z86" s="455">
        <f>92340</f>
        <v>92340</v>
      </c>
      <c r="AA86" s="467" t="s">
        <v>309</v>
      </c>
      <c r="AB86" s="457">
        <v>44253</v>
      </c>
      <c r="AC86" s="458">
        <v>44281</v>
      </c>
      <c r="AD86" s="455"/>
      <c r="AE86" s="459"/>
      <c r="AF86" s="460"/>
      <c r="AG86" s="458"/>
      <c r="AH86" s="455"/>
      <c r="AI86" s="456"/>
      <c r="AJ86" s="460"/>
      <c r="AK86" s="458"/>
      <c r="AL86" s="455"/>
      <c r="AM86" s="456"/>
      <c r="AN86" s="460"/>
      <c r="AO86" s="458"/>
      <c r="AP86" s="455"/>
      <c r="AQ86" s="456"/>
      <c r="AR86" s="460"/>
      <c r="AS86" s="458"/>
      <c r="AT86" s="154">
        <f t="shared" si="5"/>
        <v>92340</v>
      </c>
      <c r="AU86" s="461">
        <f t="shared" si="6"/>
        <v>92340</v>
      </c>
    </row>
    <row r="87" spans="2:47" s="148" customFormat="1" ht="22.5" x14ac:dyDescent="0.25">
      <c r="B87" s="149">
        <v>72</v>
      </c>
      <c r="C87" s="149" t="s">
        <v>38</v>
      </c>
      <c r="D87" s="450" t="s">
        <v>457</v>
      </c>
      <c r="E87" s="451" t="s">
        <v>458</v>
      </c>
      <c r="F87" s="451" t="s">
        <v>129</v>
      </c>
      <c r="G87" s="452" t="s">
        <v>295</v>
      </c>
      <c r="H87" s="463" t="s">
        <v>459</v>
      </c>
      <c r="I87" s="453" t="s">
        <v>42</v>
      </c>
      <c r="J87" s="466">
        <f>603780+538</f>
        <v>604318</v>
      </c>
      <c r="K87" s="454">
        <f>257383</f>
        <v>257383</v>
      </c>
      <c r="L87" s="454">
        <f>0</f>
        <v>0</v>
      </c>
      <c r="M87" s="454"/>
      <c r="N87" s="454">
        <f>0</f>
        <v>0</v>
      </c>
      <c r="O87" s="454">
        <f>0</f>
        <v>0</v>
      </c>
      <c r="P87" s="454"/>
      <c r="Q87" s="454">
        <f>0</f>
        <v>0</v>
      </c>
      <c r="R87" s="454"/>
      <c r="S87" s="454"/>
      <c r="T87" s="454"/>
      <c r="U87" s="454"/>
      <c r="V87" s="454"/>
      <c r="W87" s="454"/>
      <c r="X87" s="454"/>
      <c r="Y87" s="454">
        <f t="shared" si="4"/>
        <v>0</v>
      </c>
      <c r="Z87" s="455">
        <f>346930</f>
        <v>346930</v>
      </c>
      <c r="AA87" s="467" t="s">
        <v>309</v>
      </c>
      <c r="AB87" s="457">
        <v>44253</v>
      </c>
      <c r="AC87" s="458">
        <v>44281</v>
      </c>
      <c r="AD87" s="455">
        <v>-346930</v>
      </c>
      <c r="AE87" s="459">
        <v>10</v>
      </c>
      <c r="AF87" s="457">
        <v>44299</v>
      </c>
      <c r="AG87" s="458">
        <v>44316</v>
      </c>
      <c r="AH87" s="455"/>
      <c r="AI87" s="456"/>
      <c r="AJ87" s="460"/>
      <c r="AK87" s="458"/>
      <c r="AL87" s="455"/>
      <c r="AM87" s="456"/>
      <c r="AN87" s="460"/>
      <c r="AO87" s="458"/>
      <c r="AP87" s="455"/>
      <c r="AQ87" s="456"/>
      <c r="AR87" s="460"/>
      <c r="AS87" s="458"/>
      <c r="AT87" s="154">
        <f t="shared" si="5"/>
        <v>0</v>
      </c>
      <c r="AU87" s="461">
        <f t="shared" si="6"/>
        <v>0</v>
      </c>
    </row>
    <row r="88" spans="2:47" s="148" customFormat="1" ht="22.5" x14ac:dyDescent="0.25">
      <c r="B88" s="149">
        <v>73</v>
      </c>
      <c r="C88" s="149" t="s">
        <v>38</v>
      </c>
      <c r="D88" s="450" t="s">
        <v>460</v>
      </c>
      <c r="E88" s="451" t="s">
        <v>461</v>
      </c>
      <c r="F88" s="451" t="s">
        <v>45</v>
      </c>
      <c r="G88" s="452" t="s">
        <v>295</v>
      </c>
      <c r="H88" s="463" t="s">
        <v>312</v>
      </c>
      <c r="I88" s="453" t="s">
        <v>43</v>
      </c>
      <c r="J88" s="466">
        <f>1339361</f>
        <v>1339361</v>
      </c>
      <c r="K88" s="454">
        <f>0</f>
        <v>0</v>
      </c>
      <c r="L88" s="454">
        <f>737473</f>
        <v>737473</v>
      </c>
      <c r="M88" s="454"/>
      <c r="N88" s="454"/>
      <c r="O88" s="454">
        <f>0</f>
        <v>0</v>
      </c>
      <c r="P88" s="454"/>
      <c r="Q88" s="454"/>
      <c r="R88" s="454"/>
      <c r="S88" s="454"/>
      <c r="T88" s="454"/>
      <c r="U88" s="454"/>
      <c r="V88" s="454"/>
      <c r="W88" s="454"/>
      <c r="X88" s="454"/>
      <c r="Y88" s="454">
        <f t="shared" si="4"/>
        <v>0</v>
      </c>
      <c r="Z88" s="455">
        <f>1846+20000+120000</f>
        <v>141846</v>
      </c>
      <c r="AA88" s="467" t="s">
        <v>309</v>
      </c>
      <c r="AB88" s="457">
        <v>44253</v>
      </c>
      <c r="AC88" s="458">
        <v>44281</v>
      </c>
      <c r="AD88" s="455"/>
      <c r="AE88" s="459"/>
      <c r="AF88" s="460"/>
      <c r="AG88" s="458"/>
      <c r="AH88" s="455"/>
      <c r="AI88" s="456"/>
      <c r="AJ88" s="460"/>
      <c r="AK88" s="458"/>
      <c r="AL88" s="455"/>
      <c r="AM88" s="456"/>
      <c r="AN88" s="460"/>
      <c r="AO88" s="458"/>
      <c r="AP88" s="455"/>
      <c r="AQ88" s="456"/>
      <c r="AR88" s="460"/>
      <c r="AS88" s="458"/>
      <c r="AT88" s="154">
        <f t="shared" si="5"/>
        <v>141846</v>
      </c>
      <c r="AU88" s="461">
        <f t="shared" si="6"/>
        <v>141846</v>
      </c>
    </row>
    <row r="89" spans="2:47" s="148" customFormat="1" ht="22.5" x14ac:dyDescent="0.25">
      <c r="B89" s="149">
        <v>74</v>
      </c>
      <c r="C89" s="149" t="s">
        <v>38</v>
      </c>
      <c r="D89" s="450" t="s">
        <v>462</v>
      </c>
      <c r="E89" s="451" t="s">
        <v>463</v>
      </c>
      <c r="F89" s="451" t="s">
        <v>45</v>
      </c>
      <c r="G89" s="452" t="s">
        <v>295</v>
      </c>
      <c r="H89" s="463" t="s">
        <v>312</v>
      </c>
      <c r="I89" s="453" t="s">
        <v>43</v>
      </c>
      <c r="J89" s="466">
        <f>628737</f>
        <v>628737</v>
      </c>
      <c r="K89" s="454">
        <f>0</f>
        <v>0</v>
      </c>
      <c r="L89" s="454">
        <f>334429</f>
        <v>334429</v>
      </c>
      <c r="M89" s="454"/>
      <c r="N89" s="454"/>
      <c r="O89" s="454">
        <f>0</f>
        <v>0</v>
      </c>
      <c r="P89" s="454"/>
      <c r="Q89" s="454"/>
      <c r="R89" s="454"/>
      <c r="S89" s="454"/>
      <c r="T89" s="454"/>
      <c r="U89" s="454"/>
      <c r="V89" s="454"/>
      <c r="W89" s="454"/>
      <c r="X89" s="454"/>
      <c r="Y89" s="454">
        <f t="shared" si="4"/>
        <v>0</v>
      </c>
      <c r="Z89" s="455">
        <f>2257+12000+280000</f>
        <v>294257</v>
      </c>
      <c r="AA89" s="467" t="s">
        <v>309</v>
      </c>
      <c r="AB89" s="457">
        <v>44253</v>
      </c>
      <c r="AC89" s="458">
        <v>44281</v>
      </c>
      <c r="AD89" s="455"/>
      <c r="AE89" s="459"/>
      <c r="AF89" s="460"/>
      <c r="AG89" s="458"/>
      <c r="AH89" s="455"/>
      <c r="AI89" s="456"/>
      <c r="AJ89" s="460"/>
      <c r="AK89" s="458"/>
      <c r="AL89" s="455"/>
      <c r="AM89" s="456"/>
      <c r="AN89" s="460"/>
      <c r="AO89" s="458"/>
      <c r="AP89" s="455"/>
      <c r="AQ89" s="456"/>
      <c r="AR89" s="460"/>
      <c r="AS89" s="458"/>
      <c r="AT89" s="154">
        <f t="shared" si="5"/>
        <v>294257</v>
      </c>
      <c r="AU89" s="461">
        <f t="shared" si="6"/>
        <v>294257</v>
      </c>
    </row>
    <row r="90" spans="2:47" s="148" customFormat="1" x14ac:dyDescent="0.25">
      <c r="B90" s="149">
        <v>75</v>
      </c>
      <c r="C90" s="149" t="s">
        <v>38</v>
      </c>
      <c r="D90" s="450" t="s">
        <v>464</v>
      </c>
      <c r="E90" s="451" t="s">
        <v>465</v>
      </c>
      <c r="F90" s="451" t="s">
        <v>45</v>
      </c>
      <c r="G90" s="452" t="s">
        <v>295</v>
      </c>
      <c r="H90" s="463" t="s">
        <v>299</v>
      </c>
      <c r="I90" s="453" t="s">
        <v>42</v>
      </c>
      <c r="J90" s="466">
        <f>3008865</f>
        <v>3008865</v>
      </c>
      <c r="K90" s="454">
        <f>2790066</f>
        <v>2790066</v>
      </c>
      <c r="L90" s="454">
        <f>0</f>
        <v>0</v>
      </c>
      <c r="M90" s="454"/>
      <c r="N90" s="454"/>
      <c r="O90" s="454">
        <f>0</f>
        <v>0</v>
      </c>
      <c r="P90" s="454"/>
      <c r="Q90" s="454"/>
      <c r="R90" s="454"/>
      <c r="S90" s="454"/>
      <c r="T90" s="454"/>
      <c r="U90" s="454"/>
      <c r="V90" s="454"/>
      <c r="W90" s="454"/>
      <c r="X90" s="454"/>
      <c r="Y90" s="454">
        <f t="shared" si="4"/>
        <v>0</v>
      </c>
      <c r="Z90" s="455">
        <f>17787+201011</f>
        <v>218798</v>
      </c>
      <c r="AA90" s="467" t="s">
        <v>309</v>
      </c>
      <c r="AB90" s="457">
        <v>44253</v>
      </c>
      <c r="AC90" s="458">
        <v>44281</v>
      </c>
      <c r="AD90" s="455">
        <v>-196918</v>
      </c>
      <c r="AE90" s="456">
        <v>23</v>
      </c>
      <c r="AF90" s="457">
        <v>44355</v>
      </c>
      <c r="AG90" s="458">
        <v>44369</v>
      </c>
      <c r="AH90" s="455"/>
      <c r="AI90" s="456"/>
      <c r="AJ90" s="460"/>
      <c r="AK90" s="458"/>
      <c r="AL90" s="469"/>
      <c r="AM90" s="469"/>
      <c r="AN90" s="469"/>
      <c r="AO90" s="469"/>
      <c r="AP90" s="455"/>
      <c r="AQ90" s="456"/>
      <c r="AR90" s="460"/>
      <c r="AS90" s="458"/>
      <c r="AT90" s="154">
        <f t="shared" si="5"/>
        <v>21880</v>
      </c>
      <c r="AU90" s="461">
        <f t="shared" si="6"/>
        <v>21880</v>
      </c>
    </row>
    <row r="91" spans="2:47" s="148" customFormat="1" ht="22.5" x14ac:dyDescent="0.25">
      <c r="B91" s="149">
        <v>76</v>
      </c>
      <c r="C91" s="149" t="s">
        <v>38</v>
      </c>
      <c r="D91" s="450" t="s">
        <v>466</v>
      </c>
      <c r="E91" s="451" t="s">
        <v>467</v>
      </c>
      <c r="F91" s="451" t="s">
        <v>468</v>
      </c>
      <c r="G91" s="452" t="s">
        <v>295</v>
      </c>
      <c r="H91" s="463" t="s">
        <v>326</v>
      </c>
      <c r="I91" s="453" t="s">
        <v>42</v>
      </c>
      <c r="J91" s="466">
        <f>67823</f>
        <v>67823</v>
      </c>
      <c r="K91" s="454">
        <f>47791</f>
        <v>47791</v>
      </c>
      <c r="L91" s="454">
        <f>0</f>
        <v>0</v>
      </c>
      <c r="M91" s="454"/>
      <c r="N91" s="454"/>
      <c r="O91" s="454">
        <f>0</f>
        <v>0</v>
      </c>
      <c r="P91" s="454"/>
      <c r="Q91" s="454"/>
      <c r="R91" s="454"/>
      <c r="S91" s="454"/>
      <c r="T91" s="454"/>
      <c r="U91" s="454"/>
      <c r="V91" s="454"/>
      <c r="W91" s="454"/>
      <c r="X91" s="454"/>
      <c r="Y91" s="454">
        <f t="shared" si="4"/>
        <v>0</v>
      </c>
      <c r="Z91" s="455">
        <f>20031</f>
        <v>20031</v>
      </c>
      <c r="AA91" s="467" t="s">
        <v>309</v>
      </c>
      <c r="AB91" s="457">
        <v>44253</v>
      </c>
      <c r="AC91" s="458">
        <v>44281</v>
      </c>
      <c r="AD91" s="455"/>
      <c r="AE91" s="459"/>
      <c r="AF91" s="460"/>
      <c r="AG91" s="458"/>
      <c r="AH91" s="455"/>
      <c r="AI91" s="456"/>
      <c r="AJ91" s="460"/>
      <c r="AK91" s="458"/>
      <c r="AL91" s="455"/>
      <c r="AM91" s="456"/>
      <c r="AN91" s="460"/>
      <c r="AO91" s="458"/>
      <c r="AP91" s="455"/>
      <c r="AQ91" s="456"/>
      <c r="AR91" s="460"/>
      <c r="AS91" s="458"/>
      <c r="AT91" s="154">
        <f t="shared" si="5"/>
        <v>20031</v>
      </c>
      <c r="AU91" s="461">
        <f t="shared" si="6"/>
        <v>20031</v>
      </c>
    </row>
    <row r="92" spans="2:47" s="148" customFormat="1" ht="22.5" x14ac:dyDescent="0.25">
      <c r="B92" s="149">
        <v>77</v>
      </c>
      <c r="C92" s="149" t="s">
        <v>38</v>
      </c>
      <c r="D92" s="450" t="s">
        <v>469</v>
      </c>
      <c r="E92" s="451" t="s">
        <v>470</v>
      </c>
      <c r="F92" s="451" t="s">
        <v>468</v>
      </c>
      <c r="G92" s="452" t="s">
        <v>295</v>
      </c>
      <c r="H92" s="463" t="s">
        <v>326</v>
      </c>
      <c r="I92" s="453" t="s">
        <v>42</v>
      </c>
      <c r="J92" s="466">
        <f>69772</f>
        <v>69772</v>
      </c>
      <c r="K92" s="454">
        <f>48077</f>
        <v>48077</v>
      </c>
      <c r="L92" s="454">
        <f>0</f>
        <v>0</v>
      </c>
      <c r="M92" s="454"/>
      <c r="N92" s="454"/>
      <c r="O92" s="454">
        <f>0</f>
        <v>0</v>
      </c>
      <c r="P92" s="454"/>
      <c r="Q92" s="454"/>
      <c r="R92" s="454"/>
      <c r="S92" s="454"/>
      <c r="T92" s="454"/>
      <c r="U92" s="454"/>
      <c r="V92" s="454"/>
      <c r="W92" s="454"/>
      <c r="X92" s="454"/>
      <c r="Y92" s="454">
        <f t="shared" si="4"/>
        <v>0</v>
      </c>
      <c r="Z92" s="455">
        <f>19751</f>
        <v>19751</v>
      </c>
      <c r="AA92" s="467" t="s">
        <v>309</v>
      </c>
      <c r="AB92" s="457">
        <v>44253</v>
      </c>
      <c r="AC92" s="458">
        <v>44281</v>
      </c>
      <c r="AD92" s="455"/>
      <c r="AE92" s="459"/>
      <c r="AF92" s="460"/>
      <c r="AG92" s="458"/>
      <c r="AH92" s="455"/>
      <c r="AI92" s="456"/>
      <c r="AJ92" s="460"/>
      <c r="AK92" s="458"/>
      <c r="AL92" s="455"/>
      <c r="AM92" s="456"/>
      <c r="AN92" s="460"/>
      <c r="AO92" s="458"/>
      <c r="AP92" s="455"/>
      <c r="AQ92" s="456"/>
      <c r="AR92" s="460"/>
      <c r="AS92" s="458"/>
      <c r="AT92" s="154">
        <f t="shared" si="5"/>
        <v>19751</v>
      </c>
      <c r="AU92" s="461">
        <f t="shared" si="6"/>
        <v>19751</v>
      </c>
    </row>
    <row r="93" spans="2:47" s="148" customFormat="1" ht="22.5" x14ac:dyDescent="0.25">
      <c r="B93" s="149">
        <v>78</v>
      </c>
      <c r="C93" s="149" t="s">
        <v>38</v>
      </c>
      <c r="D93" s="450" t="s">
        <v>471</v>
      </c>
      <c r="E93" s="451" t="s">
        <v>472</v>
      </c>
      <c r="F93" s="451" t="s">
        <v>468</v>
      </c>
      <c r="G93" s="452" t="s">
        <v>295</v>
      </c>
      <c r="H93" s="463" t="s">
        <v>326</v>
      </c>
      <c r="I93" s="453" t="s">
        <v>42</v>
      </c>
      <c r="J93" s="466">
        <f>69461</f>
        <v>69461</v>
      </c>
      <c r="K93" s="454">
        <f>47576</f>
        <v>47576</v>
      </c>
      <c r="L93" s="454">
        <f>0</f>
        <v>0</v>
      </c>
      <c r="M93" s="454"/>
      <c r="N93" s="454"/>
      <c r="O93" s="454">
        <f>0</f>
        <v>0</v>
      </c>
      <c r="P93" s="454"/>
      <c r="Q93" s="454"/>
      <c r="R93" s="454"/>
      <c r="S93" s="454"/>
      <c r="T93" s="454"/>
      <c r="U93" s="454"/>
      <c r="V93" s="454"/>
      <c r="W93" s="454"/>
      <c r="X93" s="454"/>
      <c r="Y93" s="454">
        <f t="shared" si="4"/>
        <v>0</v>
      </c>
      <c r="Z93" s="455">
        <f>19941</f>
        <v>19941</v>
      </c>
      <c r="AA93" s="467" t="s">
        <v>309</v>
      </c>
      <c r="AB93" s="457">
        <v>44253</v>
      </c>
      <c r="AC93" s="458">
        <v>44281</v>
      </c>
      <c r="AD93" s="455"/>
      <c r="AE93" s="459"/>
      <c r="AF93" s="460"/>
      <c r="AG93" s="458"/>
      <c r="AH93" s="455"/>
      <c r="AI93" s="456"/>
      <c r="AJ93" s="460"/>
      <c r="AK93" s="458"/>
      <c r="AL93" s="455"/>
      <c r="AM93" s="456"/>
      <c r="AN93" s="460"/>
      <c r="AO93" s="458"/>
      <c r="AP93" s="455"/>
      <c r="AQ93" s="456"/>
      <c r="AR93" s="460"/>
      <c r="AS93" s="458"/>
      <c r="AT93" s="154">
        <f t="shared" si="5"/>
        <v>19941</v>
      </c>
      <c r="AU93" s="461">
        <f t="shared" si="6"/>
        <v>19941</v>
      </c>
    </row>
    <row r="94" spans="2:47" s="148" customFormat="1" ht="22.5" x14ac:dyDescent="0.25">
      <c r="B94" s="149">
        <v>79</v>
      </c>
      <c r="C94" s="149" t="s">
        <v>38</v>
      </c>
      <c r="D94" s="450" t="s">
        <v>473</v>
      </c>
      <c r="E94" s="451" t="s">
        <v>474</v>
      </c>
      <c r="F94" s="451" t="s">
        <v>45</v>
      </c>
      <c r="G94" s="452" t="s">
        <v>295</v>
      </c>
      <c r="H94" s="463" t="s">
        <v>318</v>
      </c>
      <c r="I94" s="453" t="s">
        <v>42</v>
      </c>
      <c r="J94" s="466">
        <f>201561</f>
        <v>201561</v>
      </c>
      <c r="K94" s="454">
        <f>0</f>
        <v>0</v>
      </c>
      <c r="L94" s="454">
        <f>0</f>
        <v>0</v>
      </c>
      <c r="M94" s="454"/>
      <c r="N94" s="454"/>
      <c r="O94" s="454">
        <f>0</f>
        <v>0</v>
      </c>
      <c r="P94" s="454"/>
      <c r="Q94" s="454"/>
      <c r="R94" s="454"/>
      <c r="S94" s="454"/>
      <c r="T94" s="454"/>
      <c r="U94" s="454"/>
      <c r="V94" s="454"/>
      <c r="W94" s="454"/>
      <c r="X94" s="454"/>
      <c r="Y94" s="454">
        <f t="shared" si="4"/>
        <v>0</v>
      </c>
      <c r="Z94" s="455">
        <f>197126</f>
        <v>197126</v>
      </c>
      <c r="AA94" s="467" t="s">
        <v>309</v>
      </c>
      <c r="AB94" s="457">
        <v>44253</v>
      </c>
      <c r="AC94" s="458">
        <v>44281</v>
      </c>
      <c r="AD94" s="455">
        <v>-186232</v>
      </c>
      <c r="AE94" s="459">
        <v>24</v>
      </c>
      <c r="AF94" s="457">
        <v>44363</v>
      </c>
      <c r="AG94" s="458">
        <v>44372</v>
      </c>
      <c r="AH94" s="455"/>
      <c r="AI94" s="456"/>
      <c r="AJ94" s="460"/>
      <c r="AK94" s="458"/>
      <c r="AL94" s="455"/>
      <c r="AM94" s="456"/>
      <c r="AN94" s="460"/>
      <c r="AO94" s="458"/>
      <c r="AP94" s="455"/>
      <c r="AQ94" s="456"/>
      <c r="AR94" s="460"/>
      <c r="AS94" s="458"/>
      <c r="AT94" s="154">
        <f t="shared" si="5"/>
        <v>10894</v>
      </c>
      <c r="AU94" s="461">
        <f t="shared" si="6"/>
        <v>10894</v>
      </c>
    </row>
    <row r="95" spans="2:47" s="148" customFormat="1" ht="22.5" customHeight="1" x14ac:dyDescent="0.25">
      <c r="B95" s="149"/>
      <c r="C95" s="149"/>
      <c r="D95" s="450"/>
      <c r="E95" s="451"/>
      <c r="F95" s="451"/>
      <c r="G95" s="452"/>
      <c r="H95" s="463"/>
      <c r="I95" s="453"/>
      <c r="J95" s="466"/>
      <c r="K95" s="454"/>
      <c r="L95" s="454"/>
      <c r="M95" s="454"/>
      <c r="N95" s="454"/>
      <c r="O95" s="454"/>
      <c r="P95" s="454"/>
      <c r="Q95" s="454"/>
      <c r="R95" s="454"/>
      <c r="S95" s="454"/>
      <c r="T95" s="454"/>
      <c r="U95" s="454"/>
      <c r="V95" s="454"/>
      <c r="W95" s="454"/>
      <c r="X95" s="454"/>
      <c r="Y95" s="454">
        <f t="shared" si="4"/>
        <v>0</v>
      </c>
      <c r="Z95" s="455"/>
      <c r="AA95" s="467"/>
      <c r="AB95" s="457"/>
      <c r="AC95" s="458"/>
      <c r="AD95" s="455"/>
      <c r="AE95" s="459"/>
      <c r="AF95" s="460"/>
      <c r="AG95" s="458"/>
      <c r="AH95" s="455"/>
      <c r="AI95" s="456"/>
      <c r="AJ95" s="460"/>
      <c r="AK95" s="458"/>
      <c r="AL95" s="455"/>
      <c r="AM95" s="456"/>
      <c r="AN95" s="460"/>
      <c r="AO95" s="458"/>
      <c r="AP95" s="455"/>
      <c r="AQ95" s="456"/>
      <c r="AR95" s="460"/>
      <c r="AS95" s="458"/>
      <c r="AT95" s="154">
        <f>+Z95+AD95+AH95+AL95+AP95</f>
        <v>0</v>
      </c>
      <c r="AU95" s="461">
        <f>+AT95-Y95</f>
        <v>0</v>
      </c>
    </row>
    <row r="96" spans="2:47" s="148" customFormat="1" ht="22.5" customHeight="1" x14ac:dyDescent="0.25">
      <c r="B96" s="149">
        <v>80</v>
      </c>
      <c r="C96" s="149" t="s">
        <v>38</v>
      </c>
      <c r="D96" s="450" t="s">
        <v>475</v>
      </c>
      <c r="E96" s="451" t="s">
        <v>476</v>
      </c>
      <c r="F96" s="451" t="s">
        <v>46</v>
      </c>
      <c r="G96" s="452" t="s">
        <v>295</v>
      </c>
      <c r="H96" s="463" t="s">
        <v>318</v>
      </c>
      <c r="I96" s="453" t="s">
        <v>42</v>
      </c>
      <c r="J96" s="466">
        <v>87737</v>
      </c>
      <c r="K96" s="454">
        <v>3146</v>
      </c>
      <c r="L96" s="454">
        <f>0</f>
        <v>0</v>
      </c>
      <c r="M96" s="454"/>
      <c r="N96" s="454"/>
      <c r="O96" s="454">
        <f>0</f>
        <v>0</v>
      </c>
      <c r="P96" s="454">
        <f>0</f>
        <v>0</v>
      </c>
      <c r="Q96" s="454">
        <f>0</f>
        <v>0</v>
      </c>
      <c r="R96" s="454"/>
      <c r="S96" s="454"/>
      <c r="T96" s="454"/>
      <c r="U96" s="454"/>
      <c r="V96" s="454"/>
      <c r="W96" s="454"/>
      <c r="X96" s="454"/>
      <c r="Y96" s="454">
        <f t="shared" si="4"/>
        <v>0</v>
      </c>
      <c r="Z96" s="455">
        <f>75940</f>
        <v>75940</v>
      </c>
      <c r="AA96" s="467" t="s">
        <v>477</v>
      </c>
      <c r="AB96" s="457">
        <v>44300</v>
      </c>
      <c r="AC96" s="458">
        <v>44316</v>
      </c>
      <c r="AD96" s="455"/>
      <c r="AE96" s="459"/>
      <c r="AF96" s="460"/>
      <c r="AG96" s="458"/>
      <c r="AH96" s="455"/>
      <c r="AI96" s="456"/>
      <c r="AJ96" s="460"/>
      <c r="AK96" s="458"/>
      <c r="AL96" s="455"/>
      <c r="AM96" s="456"/>
      <c r="AN96" s="460"/>
      <c r="AO96" s="458"/>
      <c r="AP96" s="455"/>
      <c r="AQ96" s="456"/>
      <c r="AR96" s="460"/>
      <c r="AS96" s="458"/>
      <c r="AT96" s="154">
        <f t="shared" ref="AT96:AT138" si="7">+Z96+AD96+AH96+AL96+AP96</f>
        <v>75940</v>
      </c>
      <c r="AU96" s="461">
        <f t="shared" ref="AU96:AU138" si="8">+AT96-Y96</f>
        <v>75940</v>
      </c>
    </row>
    <row r="97" spans="2:47" s="148" customFormat="1" ht="22.5" customHeight="1" x14ac:dyDescent="0.25">
      <c r="B97" s="149">
        <v>81</v>
      </c>
      <c r="C97" s="149" t="s">
        <v>38</v>
      </c>
      <c r="D97" s="450" t="s">
        <v>478</v>
      </c>
      <c r="E97" s="451" t="s">
        <v>479</v>
      </c>
      <c r="F97" s="451" t="s">
        <v>45</v>
      </c>
      <c r="G97" s="452" t="s">
        <v>295</v>
      </c>
      <c r="H97" s="452" t="s">
        <v>295</v>
      </c>
      <c r="I97" s="453" t="s">
        <v>43</v>
      </c>
      <c r="J97" s="466">
        <v>318306</v>
      </c>
      <c r="K97" s="454">
        <f>0</f>
        <v>0</v>
      </c>
      <c r="L97" s="454">
        <f>25561</f>
        <v>25561</v>
      </c>
      <c r="M97" s="454"/>
      <c r="N97" s="454"/>
      <c r="O97" s="454"/>
      <c r="P97" s="454">
        <f>25160</f>
        <v>25160</v>
      </c>
      <c r="Q97" s="454">
        <v>17164</v>
      </c>
      <c r="R97" s="472">
        <v>21951</v>
      </c>
      <c r="S97" s="454"/>
      <c r="T97" s="454"/>
      <c r="U97" s="454"/>
      <c r="V97" s="454"/>
      <c r="W97" s="454"/>
      <c r="X97" s="454"/>
      <c r="Y97" s="454">
        <f t="shared" si="4"/>
        <v>64275</v>
      </c>
      <c r="Z97" s="455">
        <f>190000</f>
        <v>190000</v>
      </c>
      <c r="AA97" s="467" t="s">
        <v>477</v>
      </c>
      <c r="AB97" s="457">
        <v>44300</v>
      </c>
      <c r="AC97" s="458">
        <v>44316</v>
      </c>
      <c r="AD97" s="455"/>
      <c r="AE97" s="459"/>
      <c r="AF97" s="460"/>
      <c r="AG97" s="458"/>
      <c r="AH97" s="455"/>
      <c r="AI97" s="456"/>
      <c r="AJ97" s="460"/>
      <c r="AK97" s="458"/>
      <c r="AL97" s="455"/>
      <c r="AM97" s="456"/>
      <c r="AN97" s="460"/>
      <c r="AO97" s="458"/>
      <c r="AP97" s="455"/>
      <c r="AQ97" s="456"/>
      <c r="AR97" s="460"/>
      <c r="AS97" s="458"/>
      <c r="AT97" s="154">
        <f t="shared" si="7"/>
        <v>190000</v>
      </c>
      <c r="AU97" s="461">
        <f t="shared" si="8"/>
        <v>125725</v>
      </c>
    </row>
    <row r="98" spans="2:47" s="148" customFormat="1" ht="22.5" customHeight="1" x14ac:dyDescent="0.25">
      <c r="B98" s="149">
        <v>82</v>
      </c>
      <c r="C98" s="149" t="s">
        <v>38</v>
      </c>
      <c r="D98" s="450" t="s">
        <v>480</v>
      </c>
      <c r="E98" s="451" t="s">
        <v>481</v>
      </c>
      <c r="F98" s="451" t="s">
        <v>45</v>
      </c>
      <c r="G98" s="452" t="s">
        <v>295</v>
      </c>
      <c r="H98" s="463" t="s">
        <v>364</v>
      </c>
      <c r="I98" s="453" t="s">
        <v>43</v>
      </c>
      <c r="J98" s="466">
        <f>606859</f>
        <v>606859</v>
      </c>
      <c r="K98" s="454">
        <f>0</f>
        <v>0</v>
      </c>
      <c r="L98" s="454">
        <f>13353</f>
        <v>13353</v>
      </c>
      <c r="M98" s="454"/>
      <c r="N98" s="454"/>
      <c r="O98" s="454"/>
      <c r="P98" s="454"/>
      <c r="Q98" s="454">
        <f>0</f>
        <v>0</v>
      </c>
      <c r="R98" s="454"/>
      <c r="S98" s="454"/>
      <c r="T98" s="454"/>
      <c r="U98" s="454"/>
      <c r="V98" s="454"/>
      <c r="W98" s="454"/>
      <c r="X98" s="454"/>
      <c r="Y98" s="454">
        <f t="shared" si="4"/>
        <v>0</v>
      </c>
      <c r="Z98" s="455">
        <f>73143</f>
        <v>73143</v>
      </c>
      <c r="AA98" s="467" t="s">
        <v>477</v>
      </c>
      <c r="AB98" s="457">
        <v>44300</v>
      </c>
      <c r="AC98" s="458">
        <v>44316</v>
      </c>
      <c r="AD98" s="455"/>
      <c r="AE98" s="459"/>
      <c r="AF98" s="460"/>
      <c r="AG98" s="458"/>
      <c r="AH98" s="455"/>
      <c r="AI98" s="456"/>
      <c r="AJ98" s="460"/>
      <c r="AK98" s="458"/>
      <c r="AL98" s="455"/>
      <c r="AM98" s="456"/>
      <c r="AN98" s="460"/>
      <c r="AO98" s="458"/>
      <c r="AP98" s="455"/>
      <c r="AQ98" s="456"/>
      <c r="AR98" s="460"/>
      <c r="AS98" s="458"/>
      <c r="AT98" s="154">
        <f t="shared" si="7"/>
        <v>73143</v>
      </c>
      <c r="AU98" s="461">
        <f t="shared" si="8"/>
        <v>73143</v>
      </c>
    </row>
    <row r="99" spans="2:47" s="148" customFormat="1" ht="22.5" customHeight="1" x14ac:dyDescent="0.25">
      <c r="B99" s="149">
        <v>83</v>
      </c>
      <c r="C99" s="149" t="s">
        <v>38</v>
      </c>
      <c r="D99" s="450" t="s">
        <v>482</v>
      </c>
      <c r="E99" s="451" t="s">
        <v>483</v>
      </c>
      <c r="F99" s="451" t="s">
        <v>45</v>
      </c>
      <c r="G99" s="452" t="s">
        <v>295</v>
      </c>
      <c r="H99" s="463" t="s">
        <v>385</v>
      </c>
      <c r="I99" s="453" t="s">
        <v>43</v>
      </c>
      <c r="J99" s="466">
        <f>290679</f>
        <v>290679</v>
      </c>
      <c r="K99" s="454">
        <f>0</f>
        <v>0</v>
      </c>
      <c r="L99" s="454">
        <f>6396</f>
        <v>6396</v>
      </c>
      <c r="M99" s="454"/>
      <c r="N99" s="454"/>
      <c r="O99" s="454"/>
      <c r="P99" s="454"/>
      <c r="Q99" s="454">
        <f>0</f>
        <v>0</v>
      </c>
      <c r="R99" s="454"/>
      <c r="S99" s="454"/>
      <c r="T99" s="454"/>
      <c r="U99" s="454"/>
      <c r="V99" s="454"/>
      <c r="W99" s="454"/>
      <c r="X99" s="454"/>
      <c r="Y99" s="454">
        <f t="shared" si="4"/>
        <v>0</v>
      </c>
      <c r="Z99" s="455">
        <v>59347</v>
      </c>
      <c r="AA99" s="467" t="s">
        <v>477</v>
      </c>
      <c r="AB99" s="457">
        <v>44300</v>
      </c>
      <c r="AC99" s="458">
        <v>44316</v>
      </c>
      <c r="AD99" s="455"/>
      <c r="AE99" s="459"/>
      <c r="AF99" s="460"/>
      <c r="AG99" s="458"/>
      <c r="AH99" s="455"/>
      <c r="AI99" s="456"/>
      <c r="AJ99" s="460"/>
      <c r="AK99" s="458"/>
      <c r="AL99" s="455"/>
      <c r="AM99" s="456"/>
      <c r="AN99" s="460"/>
      <c r="AO99" s="458"/>
      <c r="AP99" s="455"/>
      <c r="AQ99" s="456"/>
      <c r="AR99" s="460"/>
      <c r="AS99" s="458"/>
      <c r="AT99" s="154">
        <f t="shared" si="7"/>
        <v>59347</v>
      </c>
      <c r="AU99" s="461">
        <f t="shared" si="8"/>
        <v>59347</v>
      </c>
    </row>
    <row r="100" spans="2:47" s="148" customFormat="1" ht="22.5" customHeight="1" x14ac:dyDescent="0.25">
      <c r="B100" s="149">
        <v>84</v>
      </c>
      <c r="C100" s="149" t="s">
        <v>38</v>
      </c>
      <c r="D100" s="450" t="s">
        <v>484</v>
      </c>
      <c r="E100" s="451" t="s">
        <v>485</v>
      </c>
      <c r="F100" s="451" t="s">
        <v>45</v>
      </c>
      <c r="G100" s="452" t="s">
        <v>295</v>
      </c>
      <c r="H100" s="463" t="s">
        <v>335</v>
      </c>
      <c r="I100" s="453" t="s">
        <v>43</v>
      </c>
      <c r="J100" s="466">
        <f>120491</f>
        <v>120491</v>
      </c>
      <c r="K100" s="454">
        <f>0</f>
        <v>0</v>
      </c>
      <c r="L100" s="454">
        <f>1</f>
        <v>1</v>
      </c>
      <c r="M100" s="454"/>
      <c r="N100" s="454"/>
      <c r="O100" s="454"/>
      <c r="P100" s="454"/>
      <c r="Q100" s="454">
        <f>0</f>
        <v>0</v>
      </c>
      <c r="R100" s="454"/>
      <c r="S100" s="454"/>
      <c r="T100" s="454"/>
      <c r="U100" s="454"/>
      <c r="V100" s="454"/>
      <c r="W100" s="454"/>
      <c r="X100" s="454"/>
      <c r="Y100" s="454">
        <f t="shared" si="4"/>
        <v>0</v>
      </c>
      <c r="Z100" s="455">
        <v>117839</v>
      </c>
      <c r="AA100" s="467" t="s">
        <v>477</v>
      </c>
      <c r="AB100" s="457">
        <v>44300</v>
      </c>
      <c r="AC100" s="458">
        <v>44316</v>
      </c>
      <c r="AD100" s="455"/>
      <c r="AE100" s="459"/>
      <c r="AF100" s="460"/>
      <c r="AG100" s="458"/>
      <c r="AH100" s="455"/>
      <c r="AI100" s="456"/>
      <c r="AJ100" s="460"/>
      <c r="AK100" s="458"/>
      <c r="AL100" s="455"/>
      <c r="AM100" s="456"/>
      <c r="AN100" s="460"/>
      <c r="AO100" s="458"/>
      <c r="AP100" s="455"/>
      <c r="AQ100" s="456"/>
      <c r="AR100" s="460"/>
      <c r="AS100" s="458"/>
      <c r="AT100" s="154">
        <f t="shared" si="7"/>
        <v>117839</v>
      </c>
      <c r="AU100" s="461">
        <f t="shared" si="8"/>
        <v>117839</v>
      </c>
    </row>
    <row r="101" spans="2:47" s="148" customFormat="1" ht="22.5" customHeight="1" x14ac:dyDescent="0.25">
      <c r="B101" s="149">
        <v>85</v>
      </c>
      <c r="C101" s="149" t="s">
        <v>38</v>
      </c>
      <c r="D101" s="450" t="s">
        <v>486</v>
      </c>
      <c r="E101" s="451" t="s">
        <v>487</v>
      </c>
      <c r="F101" s="451" t="s">
        <v>45</v>
      </c>
      <c r="G101" s="452" t="s">
        <v>295</v>
      </c>
      <c r="H101" s="463" t="s">
        <v>335</v>
      </c>
      <c r="I101" s="453" t="s">
        <v>42</v>
      </c>
      <c r="J101" s="466">
        <v>51491</v>
      </c>
      <c r="K101" s="454">
        <f>0</f>
        <v>0</v>
      </c>
      <c r="L101" s="454">
        <f>0</f>
        <v>0</v>
      </c>
      <c r="M101" s="454"/>
      <c r="N101" s="454"/>
      <c r="O101" s="454"/>
      <c r="P101" s="454"/>
      <c r="Q101" s="454">
        <f>0</f>
        <v>0</v>
      </c>
      <c r="R101" s="454"/>
      <c r="S101" s="454"/>
      <c r="T101" s="454"/>
      <c r="U101" s="454"/>
      <c r="V101" s="454"/>
      <c r="W101" s="454"/>
      <c r="X101" s="454"/>
      <c r="Y101" s="454">
        <f t="shared" si="4"/>
        <v>0</v>
      </c>
      <c r="Z101" s="455">
        <f>51491</f>
        <v>51491</v>
      </c>
      <c r="AA101" s="467" t="s">
        <v>477</v>
      </c>
      <c r="AB101" s="457">
        <v>44300</v>
      </c>
      <c r="AC101" s="458">
        <v>44316</v>
      </c>
      <c r="AD101" s="455"/>
      <c r="AE101" s="459"/>
      <c r="AF101" s="460"/>
      <c r="AG101" s="458"/>
      <c r="AH101" s="455"/>
      <c r="AI101" s="456"/>
      <c r="AJ101" s="460"/>
      <c r="AK101" s="458"/>
      <c r="AL101" s="455"/>
      <c r="AM101" s="456"/>
      <c r="AN101" s="460"/>
      <c r="AO101" s="458"/>
      <c r="AP101" s="455"/>
      <c r="AQ101" s="456"/>
      <c r="AR101" s="460"/>
      <c r="AS101" s="458"/>
      <c r="AT101" s="154">
        <f t="shared" si="7"/>
        <v>51491</v>
      </c>
      <c r="AU101" s="461">
        <f t="shared" si="8"/>
        <v>51491</v>
      </c>
    </row>
    <row r="102" spans="2:47" s="148" customFormat="1" ht="22.5" customHeight="1" x14ac:dyDescent="0.25">
      <c r="B102" s="149">
        <v>86</v>
      </c>
      <c r="C102" s="149" t="s">
        <v>38</v>
      </c>
      <c r="D102" s="450" t="s">
        <v>488</v>
      </c>
      <c r="E102" s="451" t="s">
        <v>489</v>
      </c>
      <c r="F102" s="451" t="s">
        <v>468</v>
      </c>
      <c r="G102" s="452" t="s">
        <v>295</v>
      </c>
      <c r="H102" s="463" t="s">
        <v>326</v>
      </c>
      <c r="I102" s="453" t="s">
        <v>43</v>
      </c>
      <c r="J102" s="466">
        <f>75924</f>
        <v>75924</v>
      </c>
      <c r="K102" s="454">
        <f>0</f>
        <v>0</v>
      </c>
      <c r="L102" s="454">
        <f>1</f>
        <v>1</v>
      </c>
      <c r="M102" s="454"/>
      <c r="N102" s="454"/>
      <c r="O102" s="454"/>
      <c r="P102" s="454"/>
      <c r="Q102" s="454">
        <f>0</f>
        <v>0</v>
      </c>
      <c r="R102" s="454"/>
      <c r="S102" s="454"/>
      <c r="T102" s="454"/>
      <c r="U102" s="454"/>
      <c r="V102" s="454"/>
      <c r="W102" s="454"/>
      <c r="X102" s="454"/>
      <c r="Y102" s="454">
        <f t="shared" si="4"/>
        <v>0</v>
      </c>
      <c r="Z102" s="455">
        <f>1831+71400</f>
        <v>73231</v>
      </c>
      <c r="AA102" s="467" t="s">
        <v>477</v>
      </c>
      <c r="AB102" s="457">
        <v>44300</v>
      </c>
      <c r="AC102" s="458">
        <v>44316</v>
      </c>
      <c r="AD102" s="455"/>
      <c r="AE102" s="459"/>
      <c r="AF102" s="460"/>
      <c r="AG102" s="458"/>
      <c r="AH102" s="455"/>
      <c r="AI102" s="456"/>
      <c r="AJ102" s="460"/>
      <c r="AK102" s="458"/>
      <c r="AL102" s="455"/>
      <c r="AM102" s="456"/>
      <c r="AN102" s="460"/>
      <c r="AO102" s="458"/>
      <c r="AP102" s="455"/>
      <c r="AQ102" s="456"/>
      <c r="AR102" s="460"/>
      <c r="AS102" s="458"/>
      <c r="AT102" s="154">
        <f t="shared" si="7"/>
        <v>73231</v>
      </c>
      <c r="AU102" s="461">
        <f t="shared" si="8"/>
        <v>73231</v>
      </c>
    </row>
    <row r="103" spans="2:47" s="148" customFormat="1" ht="22.5" customHeight="1" x14ac:dyDescent="0.25">
      <c r="B103" s="149">
        <v>87</v>
      </c>
      <c r="C103" s="149" t="s">
        <v>38</v>
      </c>
      <c r="D103" s="450" t="s">
        <v>490</v>
      </c>
      <c r="E103" s="451" t="s">
        <v>491</v>
      </c>
      <c r="F103" s="451" t="s">
        <v>468</v>
      </c>
      <c r="G103" s="452" t="s">
        <v>295</v>
      </c>
      <c r="H103" s="463" t="s">
        <v>326</v>
      </c>
      <c r="I103" s="453" t="s">
        <v>43</v>
      </c>
      <c r="J103" s="466">
        <v>93799</v>
      </c>
      <c r="K103" s="454">
        <f>0</f>
        <v>0</v>
      </c>
      <c r="L103" s="454">
        <f>1</f>
        <v>1</v>
      </c>
      <c r="M103" s="454"/>
      <c r="N103" s="454"/>
      <c r="O103" s="454"/>
      <c r="P103" s="454"/>
      <c r="Q103" s="454">
        <f>0</f>
        <v>0</v>
      </c>
      <c r="R103" s="454"/>
      <c r="S103" s="454"/>
      <c r="T103" s="454"/>
      <c r="U103" s="454"/>
      <c r="V103" s="454"/>
      <c r="W103" s="454"/>
      <c r="X103" s="454"/>
      <c r="Y103" s="454">
        <f t="shared" si="4"/>
        <v>0</v>
      </c>
      <c r="Z103" s="455">
        <f>2075+89657</f>
        <v>91732</v>
      </c>
      <c r="AA103" s="467" t="s">
        <v>477</v>
      </c>
      <c r="AB103" s="457">
        <v>44300</v>
      </c>
      <c r="AC103" s="458">
        <v>44316</v>
      </c>
      <c r="AD103" s="455"/>
      <c r="AE103" s="459"/>
      <c r="AF103" s="460"/>
      <c r="AG103" s="458"/>
      <c r="AH103" s="455"/>
      <c r="AI103" s="456"/>
      <c r="AJ103" s="460"/>
      <c r="AK103" s="458"/>
      <c r="AL103" s="455"/>
      <c r="AM103" s="456"/>
      <c r="AN103" s="460"/>
      <c r="AO103" s="458"/>
      <c r="AP103" s="455"/>
      <c r="AQ103" s="456"/>
      <c r="AR103" s="460"/>
      <c r="AS103" s="458"/>
      <c r="AT103" s="154">
        <f t="shared" si="7"/>
        <v>91732</v>
      </c>
      <c r="AU103" s="461">
        <f t="shared" si="8"/>
        <v>91732</v>
      </c>
    </row>
    <row r="104" spans="2:47" s="148" customFormat="1" ht="22.5" customHeight="1" x14ac:dyDescent="0.25">
      <c r="B104" s="149">
        <v>88</v>
      </c>
      <c r="C104" s="149" t="s">
        <v>38</v>
      </c>
      <c r="D104" s="450" t="s">
        <v>492</v>
      </c>
      <c r="E104" s="451" t="s">
        <v>493</v>
      </c>
      <c r="F104" s="451" t="s">
        <v>45</v>
      </c>
      <c r="G104" s="452" t="s">
        <v>295</v>
      </c>
      <c r="H104" s="463" t="s">
        <v>364</v>
      </c>
      <c r="I104" s="453" t="s">
        <v>43</v>
      </c>
      <c r="J104" s="466">
        <f>826325</f>
        <v>826325</v>
      </c>
      <c r="K104" s="454">
        <f>5010</f>
        <v>5010</v>
      </c>
      <c r="L104" s="454">
        <f>686984</f>
        <v>686984</v>
      </c>
      <c r="M104" s="454"/>
      <c r="N104" s="454"/>
      <c r="O104" s="454"/>
      <c r="P104" s="454"/>
      <c r="Q104" s="454">
        <v>36384</v>
      </c>
      <c r="R104" s="472">
        <v>60053</v>
      </c>
      <c r="S104" s="454"/>
      <c r="T104" s="454"/>
      <c r="U104" s="454"/>
      <c r="V104" s="454"/>
      <c r="W104" s="454"/>
      <c r="X104" s="454"/>
      <c r="Y104" s="454">
        <f t="shared" si="4"/>
        <v>96437</v>
      </c>
      <c r="Z104" s="455">
        <f>1000+36386</f>
        <v>37386</v>
      </c>
      <c r="AA104" s="467" t="s">
        <v>477</v>
      </c>
      <c r="AB104" s="457">
        <v>44300</v>
      </c>
      <c r="AC104" s="458">
        <v>44316</v>
      </c>
      <c r="AD104" s="455">
        <v>189086</v>
      </c>
      <c r="AE104" s="459">
        <v>24</v>
      </c>
      <c r="AF104" s="457">
        <v>44363</v>
      </c>
      <c r="AG104" s="458">
        <v>44372</v>
      </c>
      <c r="AH104" s="455"/>
      <c r="AI104" s="456"/>
      <c r="AJ104" s="460"/>
      <c r="AK104" s="458"/>
      <c r="AL104" s="455"/>
      <c r="AM104" s="456"/>
      <c r="AN104" s="460"/>
      <c r="AO104" s="458"/>
      <c r="AP104" s="455"/>
      <c r="AQ104" s="456"/>
      <c r="AR104" s="460"/>
      <c r="AS104" s="458"/>
      <c r="AT104" s="154">
        <f t="shared" si="7"/>
        <v>226472</v>
      </c>
      <c r="AU104" s="461">
        <f t="shared" si="8"/>
        <v>130035</v>
      </c>
    </row>
    <row r="105" spans="2:47" s="148" customFormat="1" ht="22.5" customHeight="1" x14ac:dyDescent="0.25">
      <c r="B105" s="149">
        <v>89</v>
      </c>
      <c r="C105" s="149" t="s">
        <v>38</v>
      </c>
      <c r="D105" s="450" t="s">
        <v>494</v>
      </c>
      <c r="E105" s="451" t="s">
        <v>495</v>
      </c>
      <c r="F105" s="451" t="s">
        <v>45</v>
      </c>
      <c r="G105" s="452" t="s">
        <v>295</v>
      </c>
      <c r="H105" s="463" t="s">
        <v>364</v>
      </c>
      <c r="I105" s="453" t="s">
        <v>43</v>
      </c>
      <c r="J105" s="466">
        <f>1443611</f>
        <v>1443611</v>
      </c>
      <c r="K105" s="454">
        <f>5112</f>
        <v>5112</v>
      </c>
      <c r="L105" s="454">
        <f>699483</f>
        <v>699483</v>
      </c>
      <c r="M105" s="454"/>
      <c r="N105" s="454"/>
      <c r="O105" s="454"/>
      <c r="P105" s="454"/>
      <c r="Q105" s="454">
        <f>0</f>
        <v>0</v>
      </c>
      <c r="R105" s="454"/>
      <c r="S105" s="454"/>
      <c r="T105" s="454"/>
      <c r="U105" s="454"/>
      <c r="V105" s="454"/>
      <c r="W105" s="454"/>
      <c r="X105" s="454"/>
      <c r="Y105" s="454">
        <f t="shared" si="4"/>
        <v>0</v>
      </c>
      <c r="Z105" s="455">
        <f>1200+167353</f>
        <v>168553</v>
      </c>
      <c r="AA105" s="467" t="s">
        <v>477</v>
      </c>
      <c r="AB105" s="457">
        <v>44300</v>
      </c>
      <c r="AC105" s="458">
        <v>44316</v>
      </c>
      <c r="AD105" s="455"/>
      <c r="AE105" s="459"/>
      <c r="AF105" s="460"/>
      <c r="AG105" s="458"/>
      <c r="AH105" s="455"/>
      <c r="AI105" s="456"/>
      <c r="AJ105" s="460"/>
      <c r="AK105" s="458"/>
      <c r="AL105" s="455"/>
      <c r="AM105" s="456"/>
      <c r="AN105" s="460"/>
      <c r="AO105" s="458"/>
      <c r="AP105" s="455"/>
      <c r="AQ105" s="456"/>
      <c r="AR105" s="460"/>
      <c r="AS105" s="458"/>
      <c r="AT105" s="154">
        <f t="shared" si="7"/>
        <v>168553</v>
      </c>
      <c r="AU105" s="461">
        <f t="shared" si="8"/>
        <v>168553</v>
      </c>
    </row>
    <row r="106" spans="2:47" s="148" customFormat="1" ht="22.5" customHeight="1" x14ac:dyDescent="0.25">
      <c r="B106" s="149">
        <v>90</v>
      </c>
      <c r="C106" s="149" t="s">
        <v>38</v>
      </c>
      <c r="D106" s="450" t="s">
        <v>496</v>
      </c>
      <c r="E106" s="451" t="s">
        <v>497</v>
      </c>
      <c r="F106" s="451" t="s">
        <v>45</v>
      </c>
      <c r="G106" s="452" t="s">
        <v>295</v>
      </c>
      <c r="H106" s="463" t="s">
        <v>498</v>
      </c>
      <c r="I106" s="453" t="s">
        <v>42</v>
      </c>
      <c r="J106" s="466">
        <f>1707075</f>
        <v>1707075</v>
      </c>
      <c r="K106" s="454">
        <f>1697197</f>
        <v>1697197</v>
      </c>
      <c r="L106" s="454">
        <f>0</f>
        <v>0</v>
      </c>
      <c r="M106" s="454"/>
      <c r="N106" s="454"/>
      <c r="O106" s="454"/>
      <c r="P106" s="454"/>
      <c r="Q106" s="454">
        <f>0</f>
        <v>0</v>
      </c>
      <c r="R106" s="454"/>
      <c r="S106" s="454"/>
      <c r="T106" s="454"/>
      <c r="U106" s="454"/>
      <c r="V106" s="454"/>
      <c r="W106" s="454"/>
      <c r="X106" s="454"/>
      <c r="Y106" s="454">
        <f t="shared" si="4"/>
        <v>0</v>
      </c>
      <c r="Z106" s="455">
        <f>4915</f>
        <v>4915</v>
      </c>
      <c r="AA106" s="467" t="s">
        <v>477</v>
      </c>
      <c r="AB106" s="457">
        <v>44300</v>
      </c>
      <c r="AC106" s="458">
        <v>44316</v>
      </c>
      <c r="AD106" s="455"/>
      <c r="AE106" s="459"/>
      <c r="AF106" s="460"/>
      <c r="AG106" s="458"/>
      <c r="AH106" s="455"/>
      <c r="AI106" s="456"/>
      <c r="AJ106" s="460"/>
      <c r="AK106" s="458"/>
      <c r="AL106" s="455"/>
      <c r="AM106" s="456"/>
      <c r="AN106" s="460"/>
      <c r="AO106" s="458"/>
      <c r="AP106" s="455"/>
      <c r="AQ106" s="456"/>
      <c r="AR106" s="460"/>
      <c r="AS106" s="458"/>
      <c r="AT106" s="154">
        <f t="shared" si="7"/>
        <v>4915</v>
      </c>
      <c r="AU106" s="461">
        <f t="shared" si="8"/>
        <v>4915</v>
      </c>
    </row>
    <row r="107" spans="2:47" s="148" customFormat="1" ht="22.5" customHeight="1" x14ac:dyDescent="0.25">
      <c r="B107" s="149">
        <v>91</v>
      </c>
      <c r="C107" s="149" t="s">
        <v>38</v>
      </c>
      <c r="D107" s="450" t="s">
        <v>499</v>
      </c>
      <c r="E107" s="451" t="s">
        <v>500</v>
      </c>
      <c r="F107" s="451" t="s">
        <v>45</v>
      </c>
      <c r="G107" s="452" t="s">
        <v>295</v>
      </c>
      <c r="H107" s="463" t="s">
        <v>341</v>
      </c>
      <c r="I107" s="453" t="s">
        <v>42</v>
      </c>
      <c r="J107" s="466">
        <f>787690</f>
        <v>787690</v>
      </c>
      <c r="K107" s="454">
        <f>2140</f>
        <v>2140</v>
      </c>
      <c r="L107" s="454">
        <f>34753</f>
        <v>34753</v>
      </c>
      <c r="M107" s="454"/>
      <c r="N107" s="454"/>
      <c r="O107" s="454"/>
      <c r="P107" s="454">
        <f>0</f>
        <v>0</v>
      </c>
      <c r="Q107" s="454">
        <v>77097</v>
      </c>
      <c r="R107" s="472">
        <v>53516</v>
      </c>
      <c r="S107" s="454"/>
      <c r="T107" s="454"/>
      <c r="U107" s="454"/>
      <c r="V107" s="454"/>
      <c r="W107" s="454"/>
      <c r="X107" s="454"/>
      <c r="Y107" s="454">
        <f t="shared" si="4"/>
        <v>130613</v>
      </c>
      <c r="Z107" s="455">
        <f>24000+126000</f>
        <v>150000</v>
      </c>
      <c r="AA107" s="467" t="s">
        <v>477</v>
      </c>
      <c r="AB107" s="457">
        <v>44300</v>
      </c>
      <c r="AC107" s="458">
        <v>44316</v>
      </c>
      <c r="AD107" s="455">
        <f>20000-20000</f>
        <v>0</v>
      </c>
      <c r="AE107" s="459">
        <v>16</v>
      </c>
      <c r="AF107" s="457">
        <v>44330</v>
      </c>
      <c r="AG107" s="458">
        <v>44347</v>
      </c>
      <c r="AH107" s="455">
        <v>155930</v>
      </c>
      <c r="AI107" s="456">
        <v>24</v>
      </c>
      <c r="AJ107" s="457">
        <v>44363</v>
      </c>
      <c r="AK107" s="458">
        <v>44372</v>
      </c>
      <c r="AL107" s="455"/>
      <c r="AM107" s="456"/>
      <c r="AN107" s="460"/>
      <c r="AO107" s="458"/>
      <c r="AP107" s="455"/>
      <c r="AQ107" s="456"/>
      <c r="AR107" s="460"/>
      <c r="AS107" s="458"/>
      <c r="AT107" s="154">
        <f t="shared" si="7"/>
        <v>305930</v>
      </c>
      <c r="AU107" s="461">
        <f t="shared" si="8"/>
        <v>175317</v>
      </c>
    </row>
    <row r="108" spans="2:47" s="148" customFormat="1" ht="22.5" customHeight="1" x14ac:dyDescent="0.25">
      <c r="B108" s="149">
        <v>92</v>
      </c>
      <c r="C108" s="149" t="s">
        <v>38</v>
      </c>
      <c r="D108" s="450" t="s">
        <v>501</v>
      </c>
      <c r="E108" s="451" t="s">
        <v>502</v>
      </c>
      <c r="F108" s="451" t="s">
        <v>45</v>
      </c>
      <c r="G108" s="452" t="s">
        <v>295</v>
      </c>
      <c r="H108" s="463" t="s">
        <v>338</v>
      </c>
      <c r="I108" s="453" t="s">
        <v>42</v>
      </c>
      <c r="J108" s="466">
        <f>969521</f>
        <v>969521</v>
      </c>
      <c r="K108" s="454">
        <f>851126</f>
        <v>851126</v>
      </c>
      <c r="L108" s="454">
        <f>1</f>
        <v>1</v>
      </c>
      <c r="M108" s="454"/>
      <c r="N108" s="454"/>
      <c r="O108" s="454"/>
      <c r="P108" s="454"/>
      <c r="Q108" s="454">
        <f>0</f>
        <v>0</v>
      </c>
      <c r="R108" s="454"/>
      <c r="S108" s="454"/>
      <c r="T108" s="454"/>
      <c r="U108" s="454"/>
      <c r="V108" s="454"/>
      <c r="W108" s="454"/>
      <c r="X108" s="454"/>
      <c r="Y108" s="454">
        <f t="shared" si="4"/>
        <v>0</v>
      </c>
      <c r="Z108" s="455">
        <f>108734+367</f>
        <v>109101</v>
      </c>
      <c r="AA108" s="467" t="s">
        <v>477</v>
      </c>
      <c r="AB108" s="457">
        <v>44300</v>
      </c>
      <c r="AC108" s="458">
        <v>44316</v>
      </c>
      <c r="AD108" s="455"/>
      <c r="AE108" s="459"/>
      <c r="AF108" s="460"/>
      <c r="AG108" s="458"/>
      <c r="AH108" s="455"/>
      <c r="AI108" s="456"/>
      <c r="AJ108" s="460"/>
      <c r="AK108" s="458"/>
      <c r="AL108" s="455"/>
      <c r="AM108" s="456"/>
      <c r="AN108" s="460"/>
      <c r="AO108" s="458"/>
      <c r="AP108" s="455"/>
      <c r="AQ108" s="456"/>
      <c r="AR108" s="460"/>
      <c r="AS108" s="458"/>
      <c r="AT108" s="154">
        <f t="shared" si="7"/>
        <v>109101</v>
      </c>
      <c r="AU108" s="461">
        <f t="shared" si="8"/>
        <v>109101</v>
      </c>
    </row>
    <row r="109" spans="2:47" s="148" customFormat="1" ht="22.5" customHeight="1" x14ac:dyDescent="0.25">
      <c r="B109" s="149">
        <v>93</v>
      </c>
      <c r="C109" s="149" t="s">
        <v>38</v>
      </c>
      <c r="D109" s="450" t="s">
        <v>503</v>
      </c>
      <c r="E109" s="451" t="s">
        <v>504</v>
      </c>
      <c r="F109" s="451" t="s">
        <v>45</v>
      </c>
      <c r="G109" s="452" t="s">
        <v>295</v>
      </c>
      <c r="H109" s="463" t="s">
        <v>338</v>
      </c>
      <c r="I109" s="453" t="s">
        <v>42</v>
      </c>
      <c r="J109" s="466">
        <f>592430</f>
        <v>592430</v>
      </c>
      <c r="K109" s="454">
        <f>409536</f>
        <v>409536</v>
      </c>
      <c r="L109" s="454">
        <f>0</f>
        <v>0</v>
      </c>
      <c r="M109" s="454"/>
      <c r="N109" s="454"/>
      <c r="O109" s="454"/>
      <c r="P109" s="454"/>
      <c r="Q109" s="454">
        <f>0</f>
        <v>0</v>
      </c>
      <c r="R109" s="454"/>
      <c r="S109" s="454"/>
      <c r="T109" s="454"/>
      <c r="U109" s="454"/>
      <c r="V109" s="454"/>
      <c r="W109" s="454"/>
      <c r="X109" s="454"/>
      <c r="Y109" s="454">
        <f t="shared" si="4"/>
        <v>0</v>
      </c>
      <c r="Z109" s="455">
        <f>119978+8211</f>
        <v>128189</v>
      </c>
      <c r="AA109" s="467" t="s">
        <v>477</v>
      </c>
      <c r="AB109" s="457">
        <v>44300</v>
      </c>
      <c r="AC109" s="458">
        <v>44316</v>
      </c>
      <c r="AD109" s="455"/>
      <c r="AE109" s="459"/>
      <c r="AF109" s="460"/>
      <c r="AG109" s="458"/>
      <c r="AH109" s="455"/>
      <c r="AI109" s="456"/>
      <c r="AJ109" s="460"/>
      <c r="AK109" s="458"/>
      <c r="AL109" s="455"/>
      <c r="AM109" s="456"/>
      <c r="AN109" s="460"/>
      <c r="AO109" s="458"/>
      <c r="AP109" s="455"/>
      <c r="AQ109" s="456"/>
      <c r="AR109" s="460"/>
      <c r="AS109" s="458"/>
      <c r="AT109" s="154">
        <f t="shared" si="7"/>
        <v>128189</v>
      </c>
      <c r="AU109" s="461">
        <f t="shared" si="8"/>
        <v>128189</v>
      </c>
    </row>
    <row r="110" spans="2:47" s="148" customFormat="1" ht="22.5" customHeight="1" x14ac:dyDescent="0.25">
      <c r="B110" s="149">
        <v>94</v>
      </c>
      <c r="C110" s="149" t="s">
        <v>38</v>
      </c>
      <c r="D110" s="450" t="s">
        <v>505</v>
      </c>
      <c r="E110" s="451" t="s">
        <v>506</v>
      </c>
      <c r="F110" s="451" t="s">
        <v>45</v>
      </c>
      <c r="G110" s="452" t="s">
        <v>295</v>
      </c>
      <c r="H110" s="463" t="s">
        <v>338</v>
      </c>
      <c r="I110" s="453" t="s">
        <v>42</v>
      </c>
      <c r="J110" s="466">
        <f>712703</f>
        <v>712703</v>
      </c>
      <c r="K110" s="454">
        <f>418980</f>
        <v>418980</v>
      </c>
      <c r="L110" s="454">
        <f>71</f>
        <v>71</v>
      </c>
      <c r="M110" s="454"/>
      <c r="N110" s="454"/>
      <c r="O110" s="454"/>
      <c r="P110" s="454"/>
      <c r="Q110" s="454">
        <f>0</f>
        <v>0</v>
      </c>
      <c r="R110" s="454"/>
      <c r="S110" s="454"/>
      <c r="T110" s="454"/>
      <c r="U110" s="454"/>
      <c r="V110" s="454"/>
      <c r="W110" s="454"/>
      <c r="X110" s="454"/>
      <c r="Y110" s="454">
        <f t="shared" si="4"/>
        <v>0</v>
      </c>
      <c r="Z110" s="455">
        <f>53196+107</f>
        <v>53303</v>
      </c>
      <c r="AA110" s="467" t="s">
        <v>477</v>
      </c>
      <c r="AB110" s="457">
        <v>44300</v>
      </c>
      <c r="AC110" s="458">
        <v>44316</v>
      </c>
      <c r="AD110" s="455"/>
      <c r="AE110" s="459"/>
      <c r="AF110" s="460"/>
      <c r="AG110" s="458"/>
      <c r="AH110" s="455"/>
      <c r="AI110" s="456"/>
      <c r="AJ110" s="460"/>
      <c r="AK110" s="458"/>
      <c r="AL110" s="455"/>
      <c r="AM110" s="456"/>
      <c r="AN110" s="460"/>
      <c r="AO110" s="458"/>
      <c r="AP110" s="455"/>
      <c r="AQ110" s="456"/>
      <c r="AR110" s="460"/>
      <c r="AS110" s="458"/>
      <c r="AT110" s="154">
        <f t="shared" si="7"/>
        <v>53303</v>
      </c>
      <c r="AU110" s="461">
        <f t="shared" si="8"/>
        <v>53303</v>
      </c>
    </row>
    <row r="111" spans="2:47" s="148" customFormat="1" ht="22.5" customHeight="1" x14ac:dyDescent="0.25">
      <c r="B111" s="149">
        <v>95</v>
      </c>
      <c r="C111" s="149"/>
      <c r="D111" s="450"/>
      <c r="E111" s="451"/>
      <c r="F111" s="451"/>
      <c r="G111" s="452"/>
      <c r="H111" s="463"/>
      <c r="I111" s="453"/>
      <c r="J111" s="466"/>
      <c r="K111" s="454"/>
      <c r="L111" s="454"/>
      <c r="M111" s="454"/>
      <c r="N111" s="454"/>
      <c r="O111" s="454"/>
      <c r="P111" s="454"/>
      <c r="Q111" s="454"/>
      <c r="R111" s="454"/>
      <c r="S111" s="454"/>
      <c r="T111" s="454"/>
      <c r="U111" s="454"/>
      <c r="V111" s="454"/>
      <c r="W111" s="454"/>
      <c r="X111" s="454"/>
      <c r="Y111" s="454">
        <f t="shared" si="4"/>
        <v>0</v>
      </c>
      <c r="Z111" s="455"/>
      <c r="AA111" s="467"/>
      <c r="AB111" s="460"/>
      <c r="AC111" s="458"/>
      <c r="AD111" s="455"/>
      <c r="AE111" s="459"/>
      <c r="AF111" s="460"/>
      <c r="AG111" s="458"/>
      <c r="AH111" s="455"/>
      <c r="AI111" s="456"/>
      <c r="AJ111" s="460"/>
      <c r="AK111" s="458"/>
      <c r="AL111" s="455"/>
      <c r="AM111" s="456"/>
      <c r="AN111" s="460"/>
      <c r="AO111" s="458"/>
      <c r="AP111" s="455"/>
      <c r="AQ111" s="456"/>
      <c r="AR111" s="460"/>
      <c r="AS111" s="458"/>
      <c r="AT111" s="154">
        <f t="shared" si="7"/>
        <v>0</v>
      </c>
      <c r="AU111" s="461">
        <f t="shared" si="8"/>
        <v>0</v>
      </c>
    </row>
    <row r="112" spans="2:47" s="148" customFormat="1" ht="33" customHeight="1" x14ac:dyDescent="0.25">
      <c r="B112" s="149">
        <v>96</v>
      </c>
      <c r="C112" s="149" t="s">
        <v>38</v>
      </c>
      <c r="D112" s="450" t="s">
        <v>507</v>
      </c>
      <c r="E112" s="451" t="s">
        <v>508</v>
      </c>
      <c r="F112" s="451" t="s">
        <v>45</v>
      </c>
      <c r="G112" s="452" t="s">
        <v>295</v>
      </c>
      <c r="H112" s="452" t="s">
        <v>295</v>
      </c>
      <c r="I112" s="453" t="s">
        <v>43</v>
      </c>
      <c r="J112" s="466">
        <f>2046055</f>
        <v>2046055</v>
      </c>
      <c r="K112" s="454">
        <f>0</f>
        <v>0</v>
      </c>
      <c r="L112" s="454">
        <f>1863328</f>
        <v>1863328</v>
      </c>
      <c r="M112" s="454"/>
      <c r="N112" s="454"/>
      <c r="O112" s="454"/>
      <c r="P112" s="454">
        <f>0</f>
        <v>0</v>
      </c>
      <c r="Q112" s="454">
        <f>0</f>
        <v>0</v>
      </c>
      <c r="R112" s="454"/>
      <c r="S112" s="454"/>
      <c r="T112" s="454"/>
      <c r="U112" s="454"/>
      <c r="V112" s="454"/>
      <c r="W112" s="454"/>
      <c r="X112" s="454"/>
      <c r="Y112" s="454">
        <f t="shared" ref="Y112:Y115" si="9">SUM(M112:X112)</f>
        <v>0</v>
      </c>
      <c r="Z112" s="455">
        <f>180000+2727</f>
        <v>182727</v>
      </c>
      <c r="AA112" s="467" t="s">
        <v>509</v>
      </c>
      <c r="AB112" s="457">
        <v>44326</v>
      </c>
      <c r="AC112" s="458">
        <v>44334</v>
      </c>
      <c r="AD112" s="455"/>
      <c r="AE112" s="459"/>
      <c r="AF112" s="460"/>
      <c r="AG112" s="458"/>
      <c r="AH112" s="455"/>
      <c r="AI112" s="456"/>
      <c r="AJ112" s="460"/>
      <c r="AK112" s="458"/>
      <c r="AL112" s="455"/>
      <c r="AM112" s="456"/>
      <c r="AN112" s="460"/>
      <c r="AO112" s="458"/>
      <c r="AP112" s="455"/>
      <c r="AQ112" s="456"/>
      <c r="AR112" s="460"/>
      <c r="AS112" s="458"/>
      <c r="AT112" s="154">
        <f t="shared" si="7"/>
        <v>182727</v>
      </c>
      <c r="AU112" s="461">
        <f t="shared" si="8"/>
        <v>182727</v>
      </c>
    </row>
    <row r="113" spans="2:47" s="148" customFormat="1" ht="22.5" customHeight="1" x14ac:dyDescent="0.25">
      <c r="B113" s="149">
        <v>97</v>
      </c>
      <c r="C113" s="149" t="s">
        <v>38</v>
      </c>
      <c r="D113" s="450" t="s">
        <v>510</v>
      </c>
      <c r="E113" s="451" t="s">
        <v>511</v>
      </c>
      <c r="F113" s="451" t="s">
        <v>45</v>
      </c>
      <c r="G113" s="452" t="s">
        <v>295</v>
      </c>
      <c r="H113" s="463" t="s">
        <v>318</v>
      </c>
      <c r="I113" s="453" t="s">
        <v>42</v>
      </c>
      <c r="J113" s="466">
        <f>920010</f>
        <v>920010</v>
      </c>
      <c r="K113" s="454">
        <f>282</f>
        <v>282</v>
      </c>
      <c r="L113" s="454">
        <f>849572</f>
        <v>849572</v>
      </c>
      <c r="M113" s="454"/>
      <c r="N113" s="454"/>
      <c r="O113" s="454"/>
      <c r="P113" s="454">
        <f>0</f>
        <v>0</v>
      </c>
      <c r="Q113" s="454">
        <f>0</f>
        <v>0</v>
      </c>
      <c r="R113" s="454"/>
      <c r="S113" s="454"/>
      <c r="T113" s="454"/>
      <c r="U113" s="454"/>
      <c r="V113" s="454"/>
      <c r="W113" s="454"/>
      <c r="X113" s="454"/>
      <c r="Y113" s="454">
        <f t="shared" si="9"/>
        <v>0</v>
      </c>
      <c r="Z113" s="455">
        <v>45000</v>
      </c>
      <c r="AA113" s="467" t="s">
        <v>509</v>
      </c>
      <c r="AB113" s="457">
        <v>44326</v>
      </c>
      <c r="AC113" s="458">
        <v>44334</v>
      </c>
      <c r="AD113" s="455"/>
      <c r="AE113" s="459"/>
      <c r="AF113" s="460"/>
      <c r="AG113" s="458"/>
      <c r="AH113" s="455"/>
      <c r="AI113" s="456"/>
      <c r="AJ113" s="460"/>
      <c r="AK113" s="458"/>
      <c r="AL113" s="455"/>
      <c r="AM113" s="456"/>
      <c r="AN113" s="460"/>
      <c r="AO113" s="458"/>
      <c r="AP113" s="455"/>
      <c r="AQ113" s="456"/>
      <c r="AR113" s="460"/>
      <c r="AS113" s="458"/>
      <c r="AT113" s="154">
        <f t="shared" si="7"/>
        <v>45000</v>
      </c>
      <c r="AU113" s="461">
        <f t="shared" si="8"/>
        <v>45000</v>
      </c>
    </row>
    <row r="114" spans="2:47" s="148" customFormat="1" ht="22.5" customHeight="1" x14ac:dyDescent="0.25">
      <c r="B114" s="149">
        <v>98</v>
      </c>
      <c r="C114" s="149" t="s">
        <v>38</v>
      </c>
      <c r="D114" s="450" t="s">
        <v>512</v>
      </c>
      <c r="E114" s="451" t="s">
        <v>513</v>
      </c>
      <c r="F114" s="451" t="s">
        <v>45</v>
      </c>
      <c r="G114" s="452" t="s">
        <v>295</v>
      </c>
      <c r="H114" s="452" t="s">
        <v>295</v>
      </c>
      <c r="I114" s="453" t="s">
        <v>43</v>
      </c>
      <c r="J114" s="466">
        <f>45594</f>
        <v>45594</v>
      </c>
      <c r="K114" s="454">
        <f>0</f>
        <v>0</v>
      </c>
      <c r="L114" s="454">
        <f>1</f>
        <v>1</v>
      </c>
      <c r="M114" s="454"/>
      <c r="N114" s="454"/>
      <c r="O114" s="454"/>
      <c r="P114" s="454">
        <f>0</f>
        <v>0</v>
      </c>
      <c r="Q114" s="454">
        <f>3029+1618</f>
        <v>4647</v>
      </c>
      <c r="R114" s="472">
        <v>737</v>
      </c>
      <c r="S114" s="454"/>
      <c r="T114" s="454"/>
      <c r="U114" s="454"/>
      <c r="V114" s="454"/>
      <c r="W114" s="454"/>
      <c r="X114" s="454"/>
      <c r="Y114" s="454">
        <f t="shared" si="9"/>
        <v>5384</v>
      </c>
      <c r="Z114" s="455">
        <f>37645+5284+1981</f>
        <v>44910</v>
      </c>
      <c r="AA114" s="467" t="s">
        <v>509</v>
      </c>
      <c r="AB114" s="457">
        <v>44326</v>
      </c>
      <c r="AC114" s="458">
        <v>44334</v>
      </c>
      <c r="AD114" s="455">
        <v>0</v>
      </c>
      <c r="AE114" s="456">
        <v>23</v>
      </c>
      <c r="AF114" s="457">
        <v>44355</v>
      </c>
      <c r="AG114" s="458">
        <v>44369</v>
      </c>
      <c r="AH114" s="455"/>
      <c r="AI114" s="456"/>
      <c r="AJ114" s="460"/>
      <c r="AK114" s="458"/>
      <c r="AL114" s="469"/>
      <c r="AM114" s="469"/>
      <c r="AN114" s="469"/>
      <c r="AO114" s="469"/>
      <c r="AP114" s="455"/>
      <c r="AQ114" s="456"/>
      <c r="AR114" s="460"/>
      <c r="AS114" s="458"/>
      <c r="AT114" s="154">
        <f t="shared" si="7"/>
        <v>44910</v>
      </c>
      <c r="AU114" s="461">
        <f t="shared" si="8"/>
        <v>39526</v>
      </c>
    </row>
    <row r="115" spans="2:47" s="148" customFormat="1" ht="22.5" customHeight="1" x14ac:dyDescent="0.25">
      <c r="B115" s="149">
        <v>99</v>
      </c>
      <c r="C115" s="149" t="s">
        <v>38</v>
      </c>
      <c r="D115" s="450" t="s">
        <v>514</v>
      </c>
      <c r="E115" s="451" t="s">
        <v>515</v>
      </c>
      <c r="F115" s="451" t="s">
        <v>46</v>
      </c>
      <c r="G115" s="452" t="s">
        <v>295</v>
      </c>
      <c r="H115" s="463" t="s">
        <v>341</v>
      </c>
      <c r="I115" s="453" t="s">
        <v>43</v>
      </c>
      <c r="J115" s="466">
        <f>105559</f>
        <v>105559</v>
      </c>
      <c r="K115" s="454">
        <f>0</f>
        <v>0</v>
      </c>
      <c r="L115" s="454">
        <f>77559</f>
        <v>77559</v>
      </c>
      <c r="M115" s="454"/>
      <c r="N115" s="454"/>
      <c r="O115" s="454"/>
      <c r="P115" s="454">
        <f>0</f>
        <v>0</v>
      </c>
      <c r="Q115" s="454">
        <f>0</f>
        <v>0</v>
      </c>
      <c r="R115" s="454"/>
      <c r="S115" s="454"/>
      <c r="T115" s="454"/>
      <c r="U115" s="454"/>
      <c r="V115" s="454"/>
      <c r="W115" s="454"/>
      <c r="X115" s="454"/>
      <c r="Y115" s="454">
        <f t="shared" si="9"/>
        <v>0</v>
      </c>
      <c r="Z115" s="455">
        <f>28000</f>
        <v>28000</v>
      </c>
      <c r="AA115" s="467" t="s">
        <v>509</v>
      </c>
      <c r="AB115" s="457">
        <v>44326</v>
      </c>
      <c r="AC115" s="458">
        <v>44334</v>
      </c>
      <c r="AD115" s="455"/>
      <c r="AE115" s="459"/>
      <c r="AF115" s="460"/>
      <c r="AG115" s="458"/>
      <c r="AH115" s="455"/>
      <c r="AI115" s="456"/>
      <c r="AJ115" s="460"/>
      <c r="AK115" s="458"/>
      <c r="AL115" s="455"/>
      <c r="AM115" s="456"/>
      <c r="AN115" s="460"/>
      <c r="AO115" s="458"/>
      <c r="AP115" s="455"/>
      <c r="AQ115" s="456"/>
      <c r="AR115" s="460"/>
      <c r="AS115" s="458"/>
      <c r="AT115" s="154">
        <f t="shared" si="7"/>
        <v>28000</v>
      </c>
      <c r="AU115" s="461">
        <f t="shared" si="8"/>
        <v>28000</v>
      </c>
    </row>
    <row r="116" spans="2:47" s="148" customFormat="1" ht="22.5" customHeight="1" x14ac:dyDescent="0.25">
      <c r="B116" s="149">
        <v>100</v>
      </c>
      <c r="C116" s="149" t="s">
        <v>38</v>
      </c>
      <c r="D116" s="450" t="s">
        <v>516</v>
      </c>
      <c r="E116" s="451" t="s">
        <v>517</v>
      </c>
      <c r="F116" s="451" t="s">
        <v>45</v>
      </c>
      <c r="G116" s="452" t="s">
        <v>295</v>
      </c>
      <c r="H116" s="463" t="s">
        <v>518</v>
      </c>
      <c r="I116" s="453" t="s">
        <v>42</v>
      </c>
      <c r="J116" s="466">
        <v>2788359</v>
      </c>
      <c r="K116" s="454">
        <v>2699577</v>
      </c>
      <c r="L116" s="454">
        <v>88782</v>
      </c>
      <c r="M116" s="454"/>
      <c r="N116" s="454"/>
      <c r="O116" s="454"/>
      <c r="P116" s="454"/>
      <c r="Q116" s="454"/>
      <c r="R116" s="454"/>
      <c r="S116" s="454"/>
      <c r="T116" s="454"/>
      <c r="U116" s="454"/>
      <c r="V116" s="454"/>
      <c r="W116" s="454"/>
      <c r="X116" s="454"/>
      <c r="Y116" s="454">
        <f t="shared" ref="Y116:Y138" si="10">SUM(M116:X116)</f>
        <v>0</v>
      </c>
      <c r="Z116" s="455">
        <v>79828</v>
      </c>
      <c r="AA116" s="467" t="s">
        <v>519</v>
      </c>
      <c r="AB116" s="457">
        <v>44363</v>
      </c>
      <c r="AC116" s="458">
        <v>44372</v>
      </c>
      <c r="AD116" s="455"/>
      <c r="AE116" s="459"/>
      <c r="AF116" s="460"/>
      <c r="AG116" s="458"/>
      <c r="AH116" s="455"/>
      <c r="AI116" s="456"/>
      <c r="AJ116" s="460"/>
      <c r="AK116" s="458"/>
      <c r="AL116" s="455"/>
      <c r="AM116" s="456"/>
      <c r="AN116" s="460"/>
      <c r="AO116" s="458"/>
      <c r="AP116" s="455"/>
      <c r="AQ116" s="456"/>
      <c r="AR116" s="460"/>
      <c r="AS116" s="458"/>
      <c r="AT116" s="154">
        <f t="shared" si="7"/>
        <v>79828</v>
      </c>
      <c r="AU116" s="461">
        <f t="shared" si="8"/>
        <v>79828</v>
      </c>
    </row>
    <row r="117" spans="2:47" s="148" customFormat="1" ht="22.5" x14ac:dyDescent="0.25">
      <c r="B117" s="149">
        <v>101</v>
      </c>
      <c r="C117" s="149" t="s">
        <v>38</v>
      </c>
      <c r="D117" s="450" t="s">
        <v>520</v>
      </c>
      <c r="E117" s="451" t="s">
        <v>521</v>
      </c>
      <c r="F117" s="451" t="s">
        <v>45</v>
      </c>
      <c r="G117" s="452" t="s">
        <v>295</v>
      </c>
      <c r="H117" s="463" t="s">
        <v>338</v>
      </c>
      <c r="I117" s="453" t="s">
        <v>42</v>
      </c>
      <c r="J117" s="466">
        <v>1106378</v>
      </c>
      <c r="K117" s="454">
        <v>600189</v>
      </c>
      <c r="L117" s="454">
        <v>506189</v>
      </c>
      <c r="M117" s="454"/>
      <c r="N117" s="454"/>
      <c r="O117" s="454"/>
      <c r="P117" s="454"/>
      <c r="Q117" s="454"/>
      <c r="R117" s="454"/>
      <c r="S117" s="454"/>
      <c r="T117" s="454"/>
      <c r="U117" s="454"/>
      <c r="V117" s="454"/>
      <c r="W117" s="454"/>
      <c r="X117" s="454"/>
      <c r="Y117" s="454">
        <f t="shared" si="10"/>
        <v>0</v>
      </c>
      <c r="Z117" s="455">
        <v>195000</v>
      </c>
      <c r="AA117" s="467" t="s">
        <v>519</v>
      </c>
      <c r="AB117" s="457">
        <v>44363</v>
      </c>
      <c r="AC117" s="458">
        <v>44372</v>
      </c>
      <c r="AD117" s="455"/>
      <c r="AE117" s="459"/>
      <c r="AF117" s="460"/>
      <c r="AG117" s="458"/>
      <c r="AH117" s="455"/>
      <c r="AI117" s="456"/>
      <c r="AJ117" s="460"/>
      <c r="AK117" s="458"/>
      <c r="AL117" s="455"/>
      <c r="AM117" s="456"/>
      <c r="AN117" s="460"/>
      <c r="AO117" s="458"/>
      <c r="AP117" s="455"/>
      <c r="AQ117" s="456"/>
      <c r="AR117" s="460"/>
      <c r="AS117" s="458"/>
      <c r="AT117" s="154">
        <f t="shared" si="7"/>
        <v>195000</v>
      </c>
      <c r="AU117" s="461">
        <f t="shared" si="8"/>
        <v>195000</v>
      </c>
    </row>
    <row r="118" spans="2:47" s="148" customFormat="1" x14ac:dyDescent="0.25">
      <c r="B118" s="149"/>
      <c r="C118" s="149"/>
      <c r="D118" s="450"/>
      <c r="E118" s="451"/>
      <c r="F118" s="451"/>
      <c r="G118" s="452"/>
      <c r="H118" s="463"/>
      <c r="I118" s="453"/>
      <c r="J118" s="466"/>
      <c r="K118" s="454"/>
      <c r="L118" s="454"/>
      <c r="M118" s="454"/>
      <c r="N118" s="454"/>
      <c r="O118" s="454"/>
      <c r="P118" s="454"/>
      <c r="Q118" s="454"/>
      <c r="R118" s="454"/>
      <c r="S118" s="454"/>
      <c r="T118" s="454"/>
      <c r="U118" s="454"/>
      <c r="V118" s="454"/>
      <c r="W118" s="454"/>
      <c r="X118" s="454"/>
      <c r="Y118" s="454">
        <f t="shared" si="10"/>
        <v>0</v>
      </c>
      <c r="Z118" s="455"/>
      <c r="AA118" s="467"/>
      <c r="AB118" s="460"/>
      <c r="AC118" s="458"/>
      <c r="AD118" s="455"/>
      <c r="AE118" s="459"/>
      <c r="AF118" s="460"/>
      <c r="AG118" s="458"/>
      <c r="AH118" s="455"/>
      <c r="AI118" s="456"/>
      <c r="AJ118" s="460"/>
      <c r="AK118" s="458"/>
      <c r="AL118" s="455"/>
      <c r="AM118" s="456"/>
      <c r="AN118" s="460"/>
      <c r="AO118" s="458"/>
      <c r="AP118" s="455"/>
      <c r="AQ118" s="456"/>
      <c r="AR118" s="460"/>
      <c r="AS118" s="458"/>
      <c r="AT118" s="154">
        <f t="shared" si="7"/>
        <v>0</v>
      </c>
      <c r="AU118" s="461">
        <f t="shared" si="8"/>
        <v>0</v>
      </c>
    </row>
    <row r="119" spans="2:47" s="148" customFormat="1" x14ac:dyDescent="0.25">
      <c r="B119" s="149"/>
      <c r="C119" s="149"/>
      <c r="D119" s="450"/>
      <c r="E119" s="451"/>
      <c r="F119" s="451"/>
      <c r="G119" s="452"/>
      <c r="H119" s="463"/>
      <c r="I119" s="453"/>
      <c r="J119" s="466"/>
      <c r="K119" s="454"/>
      <c r="L119" s="454"/>
      <c r="M119" s="454"/>
      <c r="N119" s="454"/>
      <c r="O119" s="454"/>
      <c r="P119" s="454"/>
      <c r="Q119" s="454"/>
      <c r="R119" s="454"/>
      <c r="S119" s="454"/>
      <c r="T119" s="454"/>
      <c r="U119" s="454"/>
      <c r="V119" s="454"/>
      <c r="W119" s="454"/>
      <c r="X119" s="454"/>
      <c r="Y119" s="454">
        <f t="shared" si="10"/>
        <v>0</v>
      </c>
      <c r="Z119" s="455"/>
      <c r="AA119" s="467"/>
      <c r="AB119" s="460"/>
      <c r="AC119" s="458"/>
      <c r="AD119" s="455"/>
      <c r="AE119" s="459"/>
      <c r="AF119" s="460"/>
      <c r="AG119" s="458"/>
      <c r="AH119" s="455"/>
      <c r="AI119" s="456"/>
      <c r="AJ119" s="460"/>
      <c r="AK119" s="458"/>
      <c r="AL119" s="455"/>
      <c r="AM119" s="456"/>
      <c r="AN119" s="460"/>
      <c r="AO119" s="458"/>
      <c r="AP119" s="455"/>
      <c r="AQ119" s="456"/>
      <c r="AR119" s="460"/>
      <c r="AS119" s="458"/>
      <c r="AT119" s="154">
        <f t="shared" si="7"/>
        <v>0</v>
      </c>
      <c r="AU119" s="461">
        <f t="shared" si="8"/>
        <v>0</v>
      </c>
    </row>
    <row r="120" spans="2:47" s="148" customFormat="1" x14ac:dyDescent="0.25">
      <c r="B120" s="149"/>
      <c r="C120" s="149"/>
      <c r="D120" s="450"/>
      <c r="E120" s="451"/>
      <c r="F120" s="451"/>
      <c r="G120" s="452"/>
      <c r="H120" s="463"/>
      <c r="I120" s="453"/>
      <c r="J120" s="466"/>
      <c r="K120" s="454"/>
      <c r="L120" s="454"/>
      <c r="M120" s="454"/>
      <c r="N120" s="454"/>
      <c r="O120" s="454"/>
      <c r="P120" s="454"/>
      <c r="Q120" s="454"/>
      <c r="R120" s="454"/>
      <c r="S120" s="454"/>
      <c r="T120" s="454"/>
      <c r="U120" s="454"/>
      <c r="V120" s="454"/>
      <c r="W120" s="454"/>
      <c r="X120" s="454"/>
      <c r="Y120" s="454">
        <f t="shared" si="10"/>
        <v>0</v>
      </c>
      <c r="Z120" s="455"/>
      <c r="AA120" s="467"/>
      <c r="AB120" s="460"/>
      <c r="AC120" s="458"/>
      <c r="AD120" s="455"/>
      <c r="AE120" s="459"/>
      <c r="AF120" s="460"/>
      <c r="AG120" s="458"/>
      <c r="AH120" s="455"/>
      <c r="AI120" s="456"/>
      <c r="AJ120" s="460"/>
      <c r="AK120" s="458"/>
      <c r="AL120" s="455"/>
      <c r="AM120" s="456"/>
      <c r="AN120" s="460"/>
      <c r="AO120" s="458"/>
      <c r="AP120" s="455"/>
      <c r="AQ120" s="456"/>
      <c r="AR120" s="460"/>
      <c r="AS120" s="458"/>
      <c r="AT120" s="154">
        <f t="shared" si="7"/>
        <v>0</v>
      </c>
      <c r="AU120" s="461">
        <f t="shared" si="8"/>
        <v>0</v>
      </c>
    </row>
    <row r="121" spans="2:47" s="148" customFormat="1" x14ac:dyDescent="0.25">
      <c r="B121" s="149"/>
      <c r="C121" s="149"/>
      <c r="D121" s="450"/>
      <c r="E121" s="451"/>
      <c r="F121" s="451"/>
      <c r="G121" s="452"/>
      <c r="H121" s="463"/>
      <c r="I121" s="453"/>
      <c r="J121" s="466"/>
      <c r="K121" s="454"/>
      <c r="L121" s="454"/>
      <c r="M121" s="454"/>
      <c r="N121" s="454"/>
      <c r="O121" s="454"/>
      <c r="P121" s="454"/>
      <c r="Q121" s="454"/>
      <c r="R121" s="454"/>
      <c r="S121" s="454"/>
      <c r="T121" s="454"/>
      <c r="U121" s="454"/>
      <c r="V121" s="454"/>
      <c r="W121" s="454"/>
      <c r="X121" s="454"/>
      <c r="Y121" s="454">
        <f t="shared" si="10"/>
        <v>0</v>
      </c>
      <c r="Z121" s="455"/>
      <c r="AA121" s="467"/>
      <c r="AB121" s="460"/>
      <c r="AC121" s="458"/>
      <c r="AD121" s="455"/>
      <c r="AE121" s="459"/>
      <c r="AF121" s="460"/>
      <c r="AG121" s="458"/>
      <c r="AH121" s="455"/>
      <c r="AI121" s="456"/>
      <c r="AJ121" s="460"/>
      <c r="AK121" s="458"/>
      <c r="AL121" s="455"/>
      <c r="AM121" s="456"/>
      <c r="AN121" s="460"/>
      <c r="AO121" s="458"/>
      <c r="AP121" s="455"/>
      <c r="AQ121" s="456"/>
      <c r="AR121" s="460"/>
      <c r="AS121" s="458"/>
      <c r="AT121" s="154">
        <f t="shared" si="7"/>
        <v>0</v>
      </c>
      <c r="AU121" s="461">
        <f t="shared" si="8"/>
        <v>0</v>
      </c>
    </row>
    <row r="122" spans="2:47" s="148" customFormat="1" x14ac:dyDescent="0.25">
      <c r="B122" s="149"/>
      <c r="C122" s="149"/>
      <c r="D122" s="450"/>
      <c r="E122" s="451"/>
      <c r="F122" s="451"/>
      <c r="G122" s="452"/>
      <c r="H122" s="463"/>
      <c r="I122" s="453"/>
      <c r="J122" s="466"/>
      <c r="K122" s="454"/>
      <c r="L122" s="454"/>
      <c r="M122" s="454"/>
      <c r="N122" s="454"/>
      <c r="O122" s="454"/>
      <c r="P122" s="454"/>
      <c r="Q122" s="454"/>
      <c r="R122" s="454"/>
      <c r="S122" s="454"/>
      <c r="T122" s="454"/>
      <c r="U122" s="454"/>
      <c r="V122" s="454"/>
      <c r="W122" s="454"/>
      <c r="X122" s="454"/>
      <c r="Y122" s="454">
        <f t="shared" si="10"/>
        <v>0</v>
      </c>
      <c r="Z122" s="455"/>
      <c r="AA122" s="467"/>
      <c r="AB122" s="460"/>
      <c r="AC122" s="458"/>
      <c r="AD122" s="455"/>
      <c r="AE122" s="459"/>
      <c r="AF122" s="460"/>
      <c r="AG122" s="458"/>
      <c r="AH122" s="455"/>
      <c r="AI122" s="456"/>
      <c r="AJ122" s="460"/>
      <c r="AK122" s="458"/>
      <c r="AL122" s="455"/>
      <c r="AM122" s="456"/>
      <c r="AN122" s="460"/>
      <c r="AO122" s="458"/>
      <c r="AP122" s="455"/>
      <c r="AQ122" s="456"/>
      <c r="AR122" s="460"/>
      <c r="AS122" s="458"/>
      <c r="AT122" s="154">
        <f t="shared" si="7"/>
        <v>0</v>
      </c>
      <c r="AU122" s="461">
        <f t="shared" si="8"/>
        <v>0</v>
      </c>
    </row>
    <row r="123" spans="2:47" s="148" customFormat="1" x14ac:dyDescent="0.25">
      <c r="B123" s="149"/>
      <c r="C123" s="149"/>
      <c r="D123" s="450"/>
      <c r="E123" s="451"/>
      <c r="F123" s="451"/>
      <c r="G123" s="452"/>
      <c r="H123" s="463"/>
      <c r="I123" s="453"/>
      <c r="J123" s="466"/>
      <c r="K123" s="454"/>
      <c r="L123" s="454"/>
      <c r="M123" s="454"/>
      <c r="N123" s="454"/>
      <c r="O123" s="454"/>
      <c r="P123" s="454"/>
      <c r="Q123" s="454"/>
      <c r="R123" s="454"/>
      <c r="S123" s="454"/>
      <c r="T123" s="454"/>
      <c r="U123" s="454"/>
      <c r="V123" s="454"/>
      <c r="W123" s="454"/>
      <c r="X123" s="454"/>
      <c r="Y123" s="454">
        <f t="shared" si="10"/>
        <v>0</v>
      </c>
      <c r="Z123" s="455"/>
      <c r="AA123" s="467"/>
      <c r="AB123" s="460"/>
      <c r="AC123" s="458"/>
      <c r="AD123" s="455"/>
      <c r="AE123" s="459"/>
      <c r="AF123" s="460"/>
      <c r="AG123" s="458"/>
      <c r="AH123" s="455"/>
      <c r="AI123" s="456"/>
      <c r="AJ123" s="460"/>
      <c r="AK123" s="458"/>
      <c r="AL123" s="455"/>
      <c r="AM123" s="456"/>
      <c r="AN123" s="460"/>
      <c r="AO123" s="458"/>
      <c r="AP123" s="455"/>
      <c r="AQ123" s="456"/>
      <c r="AR123" s="460"/>
      <c r="AS123" s="458"/>
      <c r="AT123" s="154">
        <f t="shared" si="7"/>
        <v>0</v>
      </c>
      <c r="AU123" s="461">
        <f t="shared" si="8"/>
        <v>0</v>
      </c>
    </row>
    <row r="124" spans="2:47" s="148" customFormat="1" x14ac:dyDescent="0.25">
      <c r="B124" s="149"/>
      <c r="C124" s="149"/>
      <c r="D124" s="450"/>
      <c r="E124" s="451"/>
      <c r="F124" s="451"/>
      <c r="G124" s="452"/>
      <c r="H124" s="463"/>
      <c r="I124" s="453"/>
      <c r="J124" s="466"/>
      <c r="K124" s="454"/>
      <c r="L124" s="454"/>
      <c r="M124" s="454"/>
      <c r="N124" s="454"/>
      <c r="O124" s="454"/>
      <c r="P124" s="454"/>
      <c r="Q124" s="454"/>
      <c r="R124" s="454"/>
      <c r="S124" s="454"/>
      <c r="T124" s="454"/>
      <c r="U124" s="454"/>
      <c r="V124" s="454"/>
      <c r="W124" s="454"/>
      <c r="X124" s="454"/>
      <c r="Y124" s="454">
        <f t="shared" si="10"/>
        <v>0</v>
      </c>
      <c r="Z124" s="455"/>
      <c r="AA124" s="467"/>
      <c r="AB124" s="460"/>
      <c r="AC124" s="458"/>
      <c r="AD124" s="455"/>
      <c r="AE124" s="459"/>
      <c r="AF124" s="460"/>
      <c r="AG124" s="458"/>
      <c r="AH124" s="455"/>
      <c r="AI124" s="456"/>
      <c r="AJ124" s="460"/>
      <c r="AK124" s="458"/>
      <c r="AL124" s="455"/>
      <c r="AM124" s="456"/>
      <c r="AN124" s="460"/>
      <c r="AO124" s="458"/>
      <c r="AP124" s="455"/>
      <c r="AQ124" s="456"/>
      <c r="AR124" s="460"/>
      <c r="AS124" s="458"/>
      <c r="AT124" s="154">
        <f t="shared" si="7"/>
        <v>0</v>
      </c>
      <c r="AU124" s="461">
        <f t="shared" si="8"/>
        <v>0</v>
      </c>
    </row>
    <row r="125" spans="2:47" s="148" customFormat="1" x14ac:dyDescent="0.25">
      <c r="B125" s="149"/>
      <c r="C125" s="149"/>
      <c r="D125" s="450"/>
      <c r="E125" s="451"/>
      <c r="F125" s="451"/>
      <c r="G125" s="452"/>
      <c r="H125" s="463"/>
      <c r="I125" s="453"/>
      <c r="J125" s="466"/>
      <c r="K125" s="454"/>
      <c r="L125" s="454"/>
      <c r="M125" s="454"/>
      <c r="N125" s="454"/>
      <c r="O125" s="454"/>
      <c r="P125" s="454"/>
      <c r="Q125" s="454"/>
      <c r="R125" s="454"/>
      <c r="S125" s="454"/>
      <c r="T125" s="454"/>
      <c r="U125" s="454"/>
      <c r="V125" s="454"/>
      <c r="W125" s="454"/>
      <c r="X125" s="454"/>
      <c r="Y125" s="454">
        <f t="shared" si="10"/>
        <v>0</v>
      </c>
      <c r="Z125" s="455"/>
      <c r="AA125" s="467"/>
      <c r="AB125" s="460"/>
      <c r="AC125" s="458"/>
      <c r="AD125" s="455"/>
      <c r="AE125" s="459"/>
      <c r="AF125" s="460"/>
      <c r="AG125" s="458"/>
      <c r="AH125" s="455"/>
      <c r="AI125" s="456"/>
      <c r="AJ125" s="460"/>
      <c r="AK125" s="458"/>
      <c r="AL125" s="455"/>
      <c r="AM125" s="456"/>
      <c r="AN125" s="460"/>
      <c r="AO125" s="458"/>
      <c r="AP125" s="455"/>
      <c r="AQ125" s="456"/>
      <c r="AR125" s="460"/>
      <c r="AS125" s="458"/>
      <c r="AT125" s="154">
        <f t="shared" si="7"/>
        <v>0</v>
      </c>
      <c r="AU125" s="461">
        <f t="shared" si="8"/>
        <v>0</v>
      </c>
    </row>
    <row r="126" spans="2:47" s="148" customFormat="1" x14ac:dyDescent="0.25">
      <c r="B126" s="149"/>
      <c r="C126" s="149"/>
      <c r="D126" s="450"/>
      <c r="E126" s="451"/>
      <c r="F126" s="451"/>
      <c r="G126" s="452"/>
      <c r="H126" s="463"/>
      <c r="I126" s="453"/>
      <c r="J126" s="466"/>
      <c r="K126" s="454"/>
      <c r="L126" s="454"/>
      <c r="M126" s="454"/>
      <c r="N126" s="454"/>
      <c r="O126" s="454"/>
      <c r="P126" s="454"/>
      <c r="Q126" s="454"/>
      <c r="R126" s="454"/>
      <c r="S126" s="454"/>
      <c r="T126" s="454"/>
      <c r="U126" s="454"/>
      <c r="V126" s="454"/>
      <c r="W126" s="454"/>
      <c r="X126" s="454"/>
      <c r="Y126" s="454">
        <f t="shared" si="10"/>
        <v>0</v>
      </c>
      <c r="Z126" s="455"/>
      <c r="AA126" s="467"/>
      <c r="AB126" s="460"/>
      <c r="AC126" s="458"/>
      <c r="AD126" s="455"/>
      <c r="AE126" s="459"/>
      <c r="AF126" s="460"/>
      <c r="AG126" s="458"/>
      <c r="AH126" s="455"/>
      <c r="AI126" s="456"/>
      <c r="AJ126" s="460"/>
      <c r="AK126" s="458"/>
      <c r="AL126" s="455"/>
      <c r="AM126" s="456"/>
      <c r="AN126" s="460"/>
      <c r="AO126" s="458"/>
      <c r="AP126" s="455"/>
      <c r="AQ126" s="456"/>
      <c r="AR126" s="460"/>
      <c r="AS126" s="458"/>
      <c r="AT126" s="154">
        <f t="shared" si="7"/>
        <v>0</v>
      </c>
      <c r="AU126" s="461">
        <f t="shared" si="8"/>
        <v>0</v>
      </c>
    </row>
    <row r="127" spans="2:47" s="148" customFormat="1" x14ac:dyDescent="0.25">
      <c r="B127" s="149"/>
      <c r="C127" s="149"/>
      <c r="D127" s="450"/>
      <c r="E127" s="451"/>
      <c r="F127" s="451"/>
      <c r="G127" s="452"/>
      <c r="H127" s="463"/>
      <c r="I127" s="453"/>
      <c r="J127" s="466"/>
      <c r="K127" s="454"/>
      <c r="L127" s="454"/>
      <c r="M127" s="454"/>
      <c r="N127" s="454"/>
      <c r="O127" s="454"/>
      <c r="P127" s="454"/>
      <c r="Q127" s="454"/>
      <c r="R127" s="454"/>
      <c r="S127" s="454"/>
      <c r="T127" s="454"/>
      <c r="U127" s="454"/>
      <c r="V127" s="454"/>
      <c r="W127" s="454"/>
      <c r="X127" s="454"/>
      <c r="Y127" s="454">
        <f t="shared" si="10"/>
        <v>0</v>
      </c>
      <c r="Z127" s="455"/>
      <c r="AA127" s="467"/>
      <c r="AB127" s="460"/>
      <c r="AC127" s="458"/>
      <c r="AD127" s="455"/>
      <c r="AE127" s="459"/>
      <c r="AF127" s="460"/>
      <c r="AG127" s="458"/>
      <c r="AH127" s="455"/>
      <c r="AI127" s="456"/>
      <c r="AJ127" s="460"/>
      <c r="AK127" s="458"/>
      <c r="AL127" s="455"/>
      <c r="AM127" s="456"/>
      <c r="AN127" s="460"/>
      <c r="AO127" s="458"/>
      <c r="AP127" s="455"/>
      <c r="AQ127" s="456"/>
      <c r="AR127" s="460"/>
      <c r="AS127" s="458"/>
      <c r="AT127" s="154">
        <f t="shared" si="7"/>
        <v>0</v>
      </c>
      <c r="AU127" s="461">
        <f t="shared" si="8"/>
        <v>0</v>
      </c>
    </row>
    <row r="128" spans="2:47" s="148" customFormat="1" x14ac:dyDescent="0.25">
      <c r="B128" s="149"/>
      <c r="C128" s="149"/>
      <c r="D128" s="450"/>
      <c r="E128" s="451"/>
      <c r="F128" s="451"/>
      <c r="G128" s="452"/>
      <c r="H128" s="463"/>
      <c r="I128" s="453"/>
      <c r="J128" s="466"/>
      <c r="K128" s="454"/>
      <c r="L128" s="454"/>
      <c r="M128" s="454"/>
      <c r="N128" s="454"/>
      <c r="O128" s="454"/>
      <c r="P128" s="454"/>
      <c r="Q128" s="454"/>
      <c r="R128" s="454"/>
      <c r="S128" s="454"/>
      <c r="T128" s="454"/>
      <c r="U128" s="454"/>
      <c r="V128" s="454"/>
      <c r="W128" s="454"/>
      <c r="X128" s="454"/>
      <c r="Y128" s="454">
        <f t="shared" si="10"/>
        <v>0</v>
      </c>
      <c r="Z128" s="455"/>
      <c r="AA128" s="467"/>
      <c r="AB128" s="460"/>
      <c r="AC128" s="458"/>
      <c r="AD128" s="455"/>
      <c r="AE128" s="459"/>
      <c r="AF128" s="460"/>
      <c r="AG128" s="458"/>
      <c r="AH128" s="455"/>
      <c r="AI128" s="456"/>
      <c r="AJ128" s="460"/>
      <c r="AK128" s="458"/>
      <c r="AL128" s="455"/>
      <c r="AM128" s="456"/>
      <c r="AN128" s="460"/>
      <c r="AO128" s="458"/>
      <c r="AP128" s="455"/>
      <c r="AQ128" s="456"/>
      <c r="AR128" s="460"/>
      <c r="AS128" s="458"/>
      <c r="AT128" s="154">
        <f t="shared" si="7"/>
        <v>0</v>
      </c>
      <c r="AU128" s="461">
        <f t="shared" si="8"/>
        <v>0</v>
      </c>
    </row>
    <row r="129" spans="2:47" s="148" customFormat="1" x14ac:dyDescent="0.25">
      <c r="B129" s="149"/>
      <c r="C129" s="149"/>
      <c r="D129" s="450"/>
      <c r="E129" s="451"/>
      <c r="F129" s="451"/>
      <c r="G129" s="452"/>
      <c r="H129" s="463"/>
      <c r="I129" s="453"/>
      <c r="J129" s="466"/>
      <c r="K129" s="454"/>
      <c r="L129" s="454"/>
      <c r="M129" s="454"/>
      <c r="N129" s="454"/>
      <c r="O129" s="454"/>
      <c r="P129" s="454"/>
      <c r="Q129" s="454"/>
      <c r="R129" s="454"/>
      <c r="S129" s="454"/>
      <c r="T129" s="454"/>
      <c r="U129" s="454"/>
      <c r="V129" s="454"/>
      <c r="W129" s="454"/>
      <c r="X129" s="454"/>
      <c r="Y129" s="454">
        <f t="shared" si="10"/>
        <v>0</v>
      </c>
      <c r="Z129" s="455"/>
      <c r="AA129" s="467"/>
      <c r="AB129" s="460"/>
      <c r="AC129" s="458"/>
      <c r="AD129" s="455"/>
      <c r="AE129" s="459"/>
      <c r="AF129" s="460"/>
      <c r="AG129" s="458"/>
      <c r="AH129" s="455"/>
      <c r="AI129" s="456"/>
      <c r="AJ129" s="460"/>
      <c r="AK129" s="458"/>
      <c r="AL129" s="455"/>
      <c r="AM129" s="456"/>
      <c r="AN129" s="460"/>
      <c r="AO129" s="458"/>
      <c r="AP129" s="455"/>
      <c r="AQ129" s="456"/>
      <c r="AR129" s="460"/>
      <c r="AS129" s="458"/>
      <c r="AT129" s="154">
        <f t="shared" si="7"/>
        <v>0</v>
      </c>
      <c r="AU129" s="461">
        <f t="shared" si="8"/>
        <v>0</v>
      </c>
    </row>
    <row r="130" spans="2:47" s="148" customFormat="1" x14ac:dyDescent="0.25">
      <c r="B130" s="149"/>
      <c r="C130" s="149"/>
      <c r="D130" s="450"/>
      <c r="E130" s="451"/>
      <c r="F130" s="451"/>
      <c r="G130" s="452"/>
      <c r="H130" s="463"/>
      <c r="I130" s="453"/>
      <c r="J130" s="466"/>
      <c r="K130" s="454"/>
      <c r="L130" s="454"/>
      <c r="M130" s="454"/>
      <c r="N130" s="454"/>
      <c r="O130" s="454"/>
      <c r="P130" s="454"/>
      <c r="Q130" s="454"/>
      <c r="R130" s="454"/>
      <c r="S130" s="454"/>
      <c r="T130" s="454"/>
      <c r="U130" s="454"/>
      <c r="V130" s="454"/>
      <c r="W130" s="454"/>
      <c r="X130" s="454"/>
      <c r="Y130" s="454">
        <f t="shared" si="10"/>
        <v>0</v>
      </c>
      <c r="Z130" s="455"/>
      <c r="AA130" s="467"/>
      <c r="AB130" s="460"/>
      <c r="AC130" s="458"/>
      <c r="AD130" s="455"/>
      <c r="AE130" s="459"/>
      <c r="AF130" s="460"/>
      <c r="AG130" s="458"/>
      <c r="AH130" s="455"/>
      <c r="AI130" s="456"/>
      <c r="AJ130" s="460"/>
      <c r="AK130" s="458"/>
      <c r="AL130" s="455"/>
      <c r="AM130" s="456"/>
      <c r="AN130" s="460"/>
      <c r="AO130" s="458"/>
      <c r="AP130" s="455"/>
      <c r="AQ130" s="456"/>
      <c r="AR130" s="460"/>
      <c r="AS130" s="458"/>
      <c r="AT130" s="154">
        <f t="shared" si="7"/>
        <v>0</v>
      </c>
      <c r="AU130" s="461">
        <f t="shared" si="8"/>
        <v>0</v>
      </c>
    </row>
    <row r="131" spans="2:47" s="148" customFormat="1" x14ac:dyDescent="0.25">
      <c r="B131" s="149"/>
      <c r="C131" s="149"/>
      <c r="D131" s="450"/>
      <c r="E131" s="451"/>
      <c r="F131" s="451"/>
      <c r="G131" s="452"/>
      <c r="H131" s="463"/>
      <c r="I131" s="453"/>
      <c r="J131" s="466"/>
      <c r="K131" s="454"/>
      <c r="L131" s="454"/>
      <c r="M131" s="454"/>
      <c r="N131" s="454"/>
      <c r="O131" s="454"/>
      <c r="P131" s="454"/>
      <c r="Q131" s="454"/>
      <c r="R131" s="454"/>
      <c r="S131" s="454"/>
      <c r="T131" s="454"/>
      <c r="U131" s="454"/>
      <c r="V131" s="454"/>
      <c r="W131" s="454"/>
      <c r="X131" s="454"/>
      <c r="Y131" s="454">
        <f t="shared" si="10"/>
        <v>0</v>
      </c>
      <c r="Z131" s="455"/>
      <c r="AA131" s="467"/>
      <c r="AB131" s="460"/>
      <c r="AC131" s="458"/>
      <c r="AD131" s="455"/>
      <c r="AE131" s="459"/>
      <c r="AF131" s="460"/>
      <c r="AG131" s="458"/>
      <c r="AH131" s="455"/>
      <c r="AI131" s="456"/>
      <c r="AJ131" s="460"/>
      <c r="AK131" s="458"/>
      <c r="AL131" s="455"/>
      <c r="AM131" s="456"/>
      <c r="AN131" s="460"/>
      <c r="AO131" s="458"/>
      <c r="AP131" s="455"/>
      <c r="AQ131" s="456"/>
      <c r="AR131" s="460"/>
      <c r="AS131" s="458"/>
      <c r="AT131" s="154">
        <f t="shared" si="7"/>
        <v>0</v>
      </c>
      <c r="AU131" s="461">
        <f t="shared" si="8"/>
        <v>0</v>
      </c>
    </row>
    <row r="132" spans="2:47" s="148" customFormat="1" x14ac:dyDescent="0.25">
      <c r="B132" s="149"/>
      <c r="C132" s="149"/>
      <c r="D132" s="450"/>
      <c r="E132" s="451"/>
      <c r="F132" s="451"/>
      <c r="G132" s="452"/>
      <c r="H132" s="463"/>
      <c r="I132" s="453"/>
      <c r="J132" s="466"/>
      <c r="K132" s="454"/>
      <c r="L132" s="454"/>
      <c r="M132" s="454"/>
      <c r="N132" s="454"/>
      <c r="O132" s="454"/>
      <c r="P132" s="454"/>
      <c r="Q132" s="454"/>
      <c r="R132" s="454"/>
      <c r="S132" s="454"/>
      <c r="T132" s="454"/>
      <c r="U132" s="454"/>
      <c r="V132" s="454"/>
      <c r="W132" s="454"/>
      <c r="X132" s="454"/>
      <c r="Y132" s="454">
        <f t="shared" si="10"/>
        <v>0</v>
      </c>
      <c r="Z132" s="455"/>
      <c r="AA132" s="467"/>
      <c r="AB132" s="460"/>
      <c r="AC132" s="458"/>
      <c r="AD132" s="455"/>
      <c r="AE132" s="459"/>
      <c r="AF132" s="460"/>
      <c r="AG132" s="458"/>
      <c r="AH132" s="455"/>
      <c r="AI132" s="456"/>
      <c r="AJ132" s="460"/>
      <c r="AK132" s="458"/>
      <c r="AL132" s="455"/>
      <c r="AM132" s="456"/>
      <c r="AN132" s="460"/>
      <c r="AO132" s="458"/>
      <c r="AP132" s="455"/>
      <c r="AQ132" s="456"/>
      <c r="AR132" s="460"/>
      <c r="AS132" s="458"/>
      <c r="AT132" s="154">
        <f t="shared" si="7"/>
        <v>0</v>
      </c>
      <c r="AU132" s="461">
        <f t="shared" si="8"/>
        <v>0</v>
      </c>
    </row>
    <row r="133" spans="2:47" s="148" customFormat="1" x14ac:dyDescent="0.25">
      <c r="B133" s="149"/>
      <c r="C133" s="149"/>
      <c r="D133" s="450"/>
      <c r="E133" s="451"/>
      <c r="F133" s="451"/>
      <c r="G133" s="452"/>
      <c r="H133" s="463"/>
      <c r="I133" s="453"/>
      <c r="J133" s="466"/>
      <c r="K133" s="454"/>
      <c r="L133" s="454"/>
      <c r="M133" s="454"/>
      <c r="N133" s="454"/>
      <c r="O133" s="454"/>
      <c r="P133" s="454"/>
      <c r="Q133" s="454"/>
      <c r="R133" s="454"/>
      <c r="S133" s="454"/>
      <c r="T133" s="454"/>
      <c r="U133" s="454"/>
      <c r="V133" s="454"/>
      <c r="W133" s="454"/>
      <c r="X133" s="454"/>
      <c r="Y133" s="454">
        <f t="shared" si="10"/>
        <v>0</v>
      </c>
      <c r="Z133" s="455"/>
      <c r="AA133" s="467"/>
      <c r="AB133" s="460"/>
      <c r="AC133" s="458"/>
      <c r="AD133" s="455"/>
      <c r="AE133" s="459"/>
      <c r="AF133" s="460"/>
      <c r="AG133" s="458"/>
      <c r="AH133" s="455"/>
      <c r="AI133" s="456"/>
      <c r="AJ133" s="460"/>
      <c r="AK133" s="458"/>
      <c r="AL133" s="455"/>
      <c r="AM133" s="456"/>
      <c r="AN133" s="460"/>
      <c r="AO133" s="458"/>
      <c r="AP133" s="455"/>
      <c r="AQ133" s="456"/>
      <c r="AR133" s="460"/>
      <c r="AS133" s="458"/>
      <c r="AT133" s="154">
        <f t="shared" si="7"/>
        <v>0</v>
      </c>
      <c r="AU133" s="461">
        <f t="shared" si="8"/>
        <v>0</v>
      </c>
    </row>
    <row r="134" spans="2:47" s="148" customFormat="1" x14ac:dyDescent="0.25">
      <c r="B134" s="149"/>
      <c r="C134" s="149"/>
      <c r="D134" s="450"/>
      <c r="E134" s="451"/>
      <c r="F134" s="451"/>
      <c r="G134" s="452"/>
      <c r="H134" s="463"/>
      <c r="I134" s="453"/>
      <c r="J134" s="466"/>
      <c r="K134" s="454"/>
      <c r="L134" s="454"/>
      <c r="M134" s="454"/>
      <c r="N134" s="454"/>
      <c r="O134" s="454"/>
      <c r="P134" s="454"/>
      <c r="Q134" s="454"/>
      <c r="R134" s="454"/>
      <c r="S134" s="454"/>
      <c r="T134" s="454"/>
      <c r="U134" s="454"/>
      <c r="V134" s="454"/>
      <c r="W134" s="454"/>
      <c r="X134" s="454"/>
      <c r="Y134" s="454">
        <f t="shared" si="10"/>
        <v>0</v>
      </c>
      <c r="Z134" s="455"/>
      <c r="AA134" s="467"/>
      <c r="AB134" s="460"/>
      <c r="AC134" s="458"/>
      <c r="AD134" s="455"/>
      <c r="AE134" s="459"/>
      <c r="AF134" s="460"/>
      <c r="AG134" s="458"/>
      <c r="AH134" s="455"/>
      <c r="AI134" s="456"/>
      <c r="AJ134" s="460"/>
      <c r="AK134" s="458"/>
      <c r="AL134" s="455"/>
      <c r="AM134" s="456"/>
      <c r="AN134" s="460"/>
      <c r="AO134" s="458"/>
      <c r="AP134" s="455"/>
      <c r="AQ134" s="456"/>
      <c r="AR134" s="460"/>
      <c r="AS134" s="458"/>
      <c r="AT134" s="154">
        <f t="shared" si="7"/>
        <v>0</v>
      </c>
      <c r="AU134" s="461">
        <f t="shared" si="8"/>
        <v>0</v>
      </c>
    </row>
    <row r="135" spans="2:47" s="148" customFormat="1" x14ac:dyDescent="0.25">
      <c r="B135" s="149"/>
      <c r="C135" s="149"/>
      <c r="D135" s="450"/>
      <c r="E135" s="451"/>
      <c r="F135" s="451"/>
      <c r="G135" s="452"/>
      <c r="H135" s="463"/>
      <c r="I135" s="453"/>
      <c r="J135" s="466"/>
      <c r="K135" s="454"/>
      <c r="L135" s="454"/>
      <c r="M135" s="454"/>
      <c r="N135" s="454"/>
      <c r="O135" s="454"/>
      <c r="P135" s="454"/>
      <c r="Q135" s="454"/>
      <c r="R135" s="454"/>
      <c r="S135" s="454"/>
      <c r="T135" s="454"/>
      <c r="U135" s="454"/>
      <c r="V135" s="454"/>
      <c r="W135" s="454"/>
      <c r="X135" s="454"/>
      <c r="Y135" s="454">
        <f t="shared" si="10"/>
        <v>0</v>
      </c>
      <c r="Z135" s="455"/>
      <c r="AA135" s="467"/>
      <c r="AB135" s="460"/>
      <c r="AC135" s="458"/>
      <c r="AD135" s="455"/>
      <c r="AE135" s="459"/>
      <c r="AF135" s="460"/>
      <c r="AG135" s="458"/>
      <c r="AH135" s="455"/>
      <c r="AI135" s="456"/>
      <c r="AJ135" s="460"/>
      <c r="AK135" s="458"/>
      <c r="AL135" s="455"/>
      <c r="AM135" s="456"/>
      <c r="AN135" s="460"/>
      <c r="AO135" s="458"/>
      <c r="AP135" s="455"/>
      <c r="AQ135" s="456"/>
      <c r="AR135" s="460"/>
      <c r="AS135" s="458"/>
      <c r="AT135" s="154">
        <f t="shared" si="7"/>
        <v>0</v>
      </c>
      <c r="AU135" s="461">
        <f t="shared" si="8"/>
        <v>0</v>
      </c>
    </row>
    <row r="136" spans="2:47" s="148" customFormat="1" x14ac:dyDescent="0.25">
      <c r="B136" s="149"/>
      <c r="C136" s="149"/>
      <c r="D136" s="450"/>
      <c r="E136" s="451"/>
      <c r="F136" s="451"/>
      <c r="G136" s="452"/>
      <c r="H136" s="463"/>
      <c r="I136" s="453"/>
      <c r="J136" s="466"/>
      <c r="K136" s="454"/>
      <c r="L136" s="454"/>
      <c r="M136" s="454"/>
      <c r="N136" s="454"/>
      <c r="O136" s="454"/>
      <c r="P136" s="454"/>
      <c r="Q136" s="454"/>
      <c r="R136" s="454"/>
      <c r="S136" s="454"/>
      <c r="T136" s="454"/>
      <c r="U136" s="454"/>
      <c r="V136" s="454"/>
      <c r="W136" s="454"/>
      <c r="X136" s="454"/>
      <c r="Y136" s="454">
        <f t="shared" si="10"/>
        <v>0</v>
      </c>
      <c r="Z136" s="455"/>
      <c r="AA136" s="467"/>
      <c r="AB136" s="460"/>
      <c r="AC136" s="458"/>
      <c r="AD136" s="455"/>
      <c r="AE136" s="459"/>
      <c r="AF136" s="460"/>
      <c r="AG136" s="458"/>
      <c r="AH136" s="455"/>
      <c r="AI136" s="456"/>
      <c r="AJ136" s="460"/>
      <c r="AK136" s="458"/>
      <c r="AL136" s="455"/>
      <c r="AM136" s="456"/>
      <c r="AN136" s="460"/>
      <c r="AO136" s="458"/>
      <c r="AP136" s="455"/>
      <c r="AQ136" s="456"/>
      <c r="AR136" s="460"/>
      <c r="AS136" s="458"/>
      <c r="AT136" s="154">
        <f t="shared" si="7"/>
        <v>0</v>
      </c>
      <c r="AU136" s="461">
        <f t="shared" si="8"/>
        <v>0</v>
      </c>
    </row>
    <row r="137" spans="2:47" s="148" customFormat="1" x14ac:dyDescent="0.25">
      <c r="B137" s="149"/>
      <c r="C137" s="149"/>
      <c r="D137" s="450"/>
      <c r="E137" s="451"/>
      <c r="F137" s="451"/>
      <c r="G137" s="452"/>
      <c r="H137" s="463"/>
      <c r="I137" s="453"/>
      <c r="J137" s="466"/>
      <c r="K137" s="454"/>
      <c r="L137" s="454"/>
      <c r="M137" s="454"/>
      <c r="N137" s="454"/>
      <c r="O137" s="454"/>
      <c r="P137" s="454"/>
      <c r="Q137" s="454"/>
      <c r="R137" s="454"/>
      <c r="S137" s="454"/>
      <c r="T137" s="454"/>
      <c r="U137" s="454"/>
      <c r="V137" s="454"/>
      <c r="W137" s="454"/>
      <c r="X137" s="454"/>
      <c r="Y137" s="454">
        <f t="shared" si="10"/>
        <v>0</v>
      </c>
      <c r="Z137" s="455"/>
      <c r="AA137" s="467"/>
      <c r="AB137" s="460"/>
      <c r="AC137" s="458"/>
      <c r="AD137" s="455"/>
      <c r="AE137" s="459"/>
      <c r="AF137" s="460"/>
      <c r="AG137" s="458"/>
      <c r="AH137" s="455"/>
      <c r="AI137" s="456"/>
      <c r="AJ137" s="460"/>
      <c r="AK137" s="458"/>
      <c r="AL137" s="455"/>
      <c r="AM137" s="456"/>
      <c r="AN137" s="460"/>
      <c r="AO137" s="458"/>
      <c r="AP137" s="455"/>
      <c r="AQ137" s="456"/>
      <c r="AR137" s="460"/>
      <c r="AS137" s="458"/>
      <c r="AT137" s="154">
        <f t="shared" si="7"/>
        <v>0</v>
      </c>
      <c r="AU137" s="461">
        <f t="shared" si="8"/>
        <v>0</v>
      </c>
    </row>
    <row r="138" spans="2:47" s="148" customFormat="1" x14ac:dyDescent="0.25">
      <c r="B138" s="149"/>
      <c r="C138" s="149"/>
      <c r="D138" s="450"/>
      <c r="E138" s="451"/>
      <c r="F138" s="451"/>
      <c r="G138" s="452"/>
      <c r="H138" s="463"/>
      <c r="I138" s="450"/>
      <c r="J138" s="466"/>
      <c r="K138" s="454"/>
      <c r="L138" s="454"/>
      <c r="M138" s="454"/>
      <c r="N138" s="454"/>
      <c r="O138" s="454"/>
      <c r="P138" s="454"/>
      <c r="Q138" s="454"/>
      <c r="R138" s="454"/>
      <c r="S138" s="454"/>
      <c r="T138" s="454"/>
      <c r="U138" s="454"/>
      <c r="V138" s="454"/>
      <c r="W138" s="454"/>
      <c r="X138" s="454"/>
      <c r="Y138" s="454">
        <f t="shared" si="10"/>
        <v>0</v>
      </c>
      <c r="Z138" s="455"/>
      <c r="AA138" s="467"/>
      <c r="AB138" s="460"/>
      <c r="AC138" s="458"/>
      <c r="AD138" s="455"/>
      <c r="AE138" s="459"/>
      <c r="AF138" s="460"/>
      <c r="AG138" s="458"/>
      <c r="AH138" s="455"/>
      <c r="AI138" s="456"/>
      <c r="AJ138" s="460"/>
      <c r="AK138" s="458"/>
      <c r="AL138" s="455"/>
      <c r="AM138" s="456"/>
      <c r="AN138" s="460"/>
      <c r="AO138" s="458"/>
      <c r="AP138" s="455"/>
      <c r="AQ138" s="456"/>
      <c r="AR138" s="460"/>
      <c r="AS138" s="458"/>
      <c r="AT138" s="154">
        <f t="shared" si="7"/>
        <v>0</v>
      </c>
      <c r="AU138" s="461">
        <f t="shared" si="8"/>
        <v>0</v>
      </c>
    </row>
    <row r="139" spans="2:47" s="3" customFormat="1" ht="15" customHeight="1" x14ac:dyDescent="0.25">
      <c r="B139" s="746" t="s">
        <v>39</v>
      </c>
      <c r="C139" s="747"/>
      <c r="D139" s="747"/>
      <c r="E139" s="747"/>
      <c r="F139" s="747"/>
      <c r="G139" s="747"/>
      <c r="H139" s="747"/>
      <c r="I139" s="748"/>
      <c r="J139" s="167"/>
      <c r="K139" s="24">
        <f>SUBTOTAL(9,K16:K135)</f>
        <v>96397514</v>
      </c>
      <c r="L139" s="24">
        <f t="shared" ref="L139:X139" si="11">SUBTOTAL(9,L16:L135)</f>
        <v>15518628</v>
      </c>
      <c r="M139" s="24">
        <f t="shared" si="11"/>
        <v>0</v>
      </c>
      <c r="N139" s="24">
        <f t="shared" si="11"/>
        <v>9168843</v>
      </c>
      <c r="O139" s="24">
        <f t="shared" si="11"/>
        <v>2817710</v>
      </c>
      <c r="P139" s="24">
        <f t="shared" si="11"/>
        <v>2353730</v>
      </c>
      <c r="Q139" s="24">
        <f t="shared" si="11"/>
        <v>3088889</v>
      </c>
      <c r="R139" s="24">
        <f t="shared" si="11"/>
        <v>3012449</v>
      </c>
      <c r="S139" s="24">
        <f t="shared" si="11"/>
        <v>0</v>
      </c>
      <c r="T139" s="24">
        <f t="shared" si="11"/>
        <v>0</v>
      </c>
      <c r="U139" s="24">
        <f t="shared" si="11"/>
        <v>0</v>
      </c>
      <c r="V139" s="24">
        <f t="shared" si="11"/>
        <v>0</v>
      </c>
      <c r="W139" s="24">
        <f t="shared" si="11"/>
        <v>0</v>
      </c>
      <c r="X139" s="24">
        <f t="shared" si="11"/>
        <v>0</v>
      </c>
      <c r="Y139" s="24">
        <f>SUBTOTAL(9,Y16:Y135)</f>
        <v>20441621</v>
      </c>
      <c r="Z139" s="24">
        <f>SUBTOTAL(9,Z16:Z134)</f>
        <v>34481718</v>
      </c>
      <c r="AA139" s="24"/>
      <c r="AB139" s="24"/>
      <c r="AC139" s="24"/>
      <c r="AD139" s="24">
        <f>SUBTOTAL(9,AD16:AD134)</f>
        <v>1221048</v>
      </c>
      <c r="AE139" s="24"/>
      <c r="AF139" s="24"/>
      <c r="AG139" s="24"/>
      <c r="AH139" s="24">
        <f>SUBTOTAL(9,AH16:AH134)</f>
        <v>170701</v>
      </c>
      <c r="AI139" s="24"/>
      <c r="AJ139" s="24"/>
      <c r="AK139" s="24"/>
      <c r="AL139" s="24">
        <f>SUBTOTAL(9,AL16:AL134)</f>
        <v>78276</v>
      </c>
      <c r="AM139" s="24"/>
      <c r="AN139" s="24"/>
      <c r="AO139" s="24"/>
      <c r="AP139" s="24">
        <f t="shared" ref="AP139" si="12">SUBTOTAL(9,AP16:AP41)</f>
        <v>0</v>
      </c>
      <c r="AQ139" s="24"/>
      <c r="AR139" s="24"/>
      <c r="AS139" s="24"/>
      <c r="AT139" s="24">
        <f>SUM(AT16:AT136)</f>
        <v>35951743</v>
      </c>
      <c r="AU139" s="24">
        <f>SUM(AU16:AU136)</f>
        <v>15510122</v>
      </c>
    </row>
    <row r="140" spans="2:47" ht="20.25" customHeight="1" x14ac:dyDescent="0.2">
      <c r="B140" s="749"/>
      <c r="C140" s="749"/>
      <c r="D140" s="749"/>
      <c r="E140" s="749"/>
      <c r="F140" s="160"/>
      <c r="G140" s="145"/>
      <c r="H140" s="145"/>
    </row>
    <row r="141" spans="2:47" x14ac:dyDescent="0.2">
      <c r="B141" s="750"/>
      <c r="C141" s="750"/>
      <c r="D141" s="750"/>
      <c r="E141" s="750"/>
      <c r="F141" s="750"/>
      <c r="G141" s="750"/>
      <c r="H141" s="750"/>
      <c r="I141" s="750"/>
      <c r="J141" s="750"/>
      <c r="K141" s="750"/>
      <c r="L141" s="750"/>
      <c r="M141" s="750"/>
      <c r="N141" s="750"/>
      <c r="O141" s="750"/>
      <c r="P141" s="750"/>
      <c r="Q141" s="750"/>
      <c r="R141" s="750"/>
      <c r="S141" s="750"/>
      <c r="T141" s="750"/>
      <c r="U141" s="750"/>
      <c r="V141" s="750"/>
      <c r="W141" s="750"/>
      <c r="X141" s="750"/>
      <c r="Y141" s="750"/>
      <c r="Z141" s="750"/>
      <c r="AA141" s="750"/>
      <c r="AB141" s="750"/>
      <c r="AC141" s="750"/>
      <c r="AD141" s="162"/>
      <c r="AE141" s="161"/>
      <c r="AF141" s="162"/>
      <c r="AG141" s="162"/>
      <c r="AH141" s="162"/>
      <c r="AI141" s="163"/>
      <c r="AJ141" s="162"/>
      <c r="AK141" s="162"/>
      <c r="AL141" s="162"/>
      <c r="AM141" s="163"/>
      <c r="AN141" s="162"/>
      <c r="AO141" s="162"/>
      <c r="AP141" s="162"/>
      <c r="AQ141" s="163"/>
      <c r="AR141" s="162"/>
      <c r="AS141" s="162"/>
    </row>
    <row r="144" spans="2:47" x14ac:dyDescent="0.2">
      <c r="Y144" s="169"/>
    </row>
  </sheetData>
  <autoFilter ref="B15:AU15"/>
  <mergeCells count="16">
    <mergeCell ref="AT14:AU14"/>
    <mergeCell ref="B139:I139"/>
    <mergeCell ref="B140:E140"/>
    <mergeCell ref="B141:AC141"/>
    <mergeCell ref="B9:AC10"/>
    <mergeCell ref="Z14:AC14"/>
    <mergeCell ref="AD14:AG14"/>
    <mergeCell ref="AH14:AK14"/>
    <mergeCell ref="AL14:AO14"/>
    <mergeCell ref="AP14:AS14"/>
    <mergeCell ref="B8:AC8"/>
    <mergeCell ref="B1:AC2"/>
    <mergeCell ref="B3:AC4"/>
    <mergeCell ref="B5:AC5"/>
    <mergeCell ref="B6:AC6"/>
    <mergeCell ref="B7:AC7"/>
  </mergeCells>
  <conditionalFormatting sqref="D16:D37">
    <cfRule type="duplicateValues" dxfId="112" priority="2"/>
  </conditionalFormatting>
  <conditionalFormatting sqref="D16:D37">
    <cfRule type="duplicateValues" dxfId="111" priority="3"/>
  </conditionalFormatting>
  <conditionalFormatting sqref="D138">
    <cfRule type="duplicateValues" dxfId="110" priority="4"/>
  </conditionalFormatting>
  <conditionalFormatting sqref="D38:D115 D117:D137">
    <cfRule type="duplicateValues" dxfId="109" priority="5"/>
  </conditionalFormatting>
  <conditionalFormatting sqref="D116">
    <cfRule type="duplicateValues" dxfId="108" priority="1"/>
  </conditionalFormatting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E3731"/>
  <sheetViews>
    <sheetView topLeftCell="X1" workbookViewId="0">
      <selection activeCell="AJ13" sqref="AJ13"/>
    </sheetView>
  </sheetViews>
  <sheetFormatPr baseColWidth="10" defaultRowHeight="11.25" x14ac:dyDescent="0.2"/>
  <cols>
    <col min="1" max="1" width="6" style="134" bestFit="1" customWidth="1"/>
    <col min="2" max="2" width="9.85546875" style="12" bestFit="1" customWidth="1"/>
    <col min="3" max="3" width="9.85546875" style="3" customWidth="1"/>
    <col min="4" max="4" width="11.140625" style="12" bestFit="1" customWidth="1"/>
    <col min="5" max="5" width="46.28515625" style="3" customWidth="1"/>
    <col min="6" max="6" width="12.42578125" style="3" bestFit="1" customWidth="1"/>
    <col min="7" max="7" width="10.7109375" style="3" bestFit="1" customWidth="1"/>
    <col min="8" max="8" width="13.42578125" style="3" bestFit="1" customWidth="1"/>
    <col min="9" max="9" width="8.85546875" style="3" bestFit="1" customWidth="1"/>
    <col min="10" max="10" width="14.140625" style="3" bestFit="1" customWidth="1"/>
    <col min="11" max="11" width="11.7109375" style="3" bestFit="1" customWidth="1"/>
    <col min="12" max="12" width="12" style="3" customWidth="1"/>
    <col min="13" max="20" width="10.28515625" style="3" bestFit="1" customWidth="1"/>
    <col min="21" max="21" width="11.42578125" style="3" bestFit="1" customWidth="1"/>
    <col min="22" max="22" width="10.28515625" style="3" bestFit="1" customWidth="1"/>
    <col min="23" max="23" width="11" style="3" bestFit="1" customWidth="1"/>
    <col min="24" max="24" width="10.28515625" style="3" bestFit="1" customWidth="1"/>
    <col min="25" max="25" width="11" style="3" bestFit="1" customWidth="1"/>
    <col min="26" max="26" width="13.7109375" style="201" customWidth="1"/>
    <col min="27" max="27" width="12.85546875" style="204" customWidth="1"/>
    <col min="28" max="28" width="17.28515625" style="118" customWidth="1"/>
    <col min="29" max="29" width="10.140625" style="205" customWidth="1"/>
    <col min="30" max="30" width="13" style="201" customWidth="1"/>
    <col min="31" max="31" width="10.140625" style="201" customWidth="1"/>
    <col min="32" max="33" width="10.140625" style="118" customWidth="1"/>
    <col min="34" max="34" width="10.140625" style="201" customWidth="1"/>
    <col min="35" max="35" width="10.140625" style="204" customWidth="1"/>
    <col min="36" max="36" width="10.140625" style="118" customWidth="1"/>
    <col min="37" max="37" width="10.140625" style="205" customWidth="1"/>
    <col min="38" max="38" width="10.140625" style="201" customWidth="1"/>
    <col min="39" max="39" width="10.140625" style="204" customWidth="1"/>
    <col min="40" max="42" width="10.140625" style="205" customWidth="1"/>
    <col min="43" max="43" width="10.140625" style="204" customWidth="1"/>
    <col min="44" max="45" width="10.140625" style="205" customWidth="1"/>
    <col min="46" max="46" width="10.140625" style="6" hidden="1" customWidth="1"/>
    <col min="47" max="49" width="10.140625" style="3" hidden="1" customWidth="1"/>
    <col min="50" max="50" width="10.140625" style="6" hidden="1" customWidth="1"/>
    <col min="51" max="53" width="10.140625" style="3" hidden="1" customWidth="1"/>
    <col min="54" max="55" width="11.42578125" style="205"/>
    <col min="56" max="291" width="11.42578125" style="134"/>
    <col min="292" max="16384" width="11.42578125" style="3"/>
  </cols>
  <sheetData>
    <row r="1" spans="1:291" s="134" customFormat="1" x14ac:dyDescent="0.2">
      <c r="B1" s="743"/>
      <c r="C1" s="743"/>
      <c r="D1" s="744"/>
      <c r="E1" s="744"/>
      <c r="F1" s="744"/>
      <c r="G1" s="744"/>
      <c r="H1" s="744"/>
      <c r="I1" s="744"/>
      <c r="J1" s="744"/>
      <c r="K1" s="744"/>
      <c r="L1" s="744"/>
      <c r="M1" s="744"/>
      <c r="N1" s="744"/>
      <c r="O1" s="744"/>
      <c r="P1" s="744"/>
      <c r="Q1" s="744"/>
      <c r="R1" s="744"/>
      <c r="S1" s="744"/>
      <c r="T1" s="744"/>
      <c r="U1" s="744"/>
      <c r="V1" s="744"/>
      <c r="W1" s="744"/>
      <c r="X1" s="744"/>
      <c r="Y1" s="744"/>
      <c r="Z1" s="744"/>
      <c r="AA1" s="744"/>
      <c r="AB1" s="744"/>
      <c r="AC1" s="744"/>
      <c r="AD1" s="170"/>
      <c r="AE1" s="170"/>
      <c r="AF1" s="130"/>
      <c r="AG1" s="130"/>
      <c r="AH1" s="170"/>
      <c r="AI1" s="171"/>
      <c r="AJ1" s="130"/>
      <c r="AK1" s="172"/>
      <c r="AL1" s="170"/>
      <c r="AM1" s="171"/>
      <c r="AN1" s="172"/>
      <c r="AO1" s="172"/>
      <c r="AP1" s="172"/>
      <c r="AQ1" s="171"/>
      <c r="AR1" s="172"/>
      <c r="AS1" s="172"/>
      <c r="AT1" s="131"/>
      <c r="AU1" s="132"/>
      <c r="AV1" s="132"/>
      <c r="AW1" s="132"/>
      <c r="AX1" s="131"/>
      <c r="AY1" s="132"/>
      <c r="AZ1" s="132"/>
      <c r="BA1" s="132"/>
      <c r="BB1" s="173"/>
      <c r="BC1" s="173"/>
    </row>
    <row r="2" spans="1:291" s="134" customFormat="1" x14ac:dyDescent="0.2">
      <c r="B2" s="744"/>
      <c r="C2" s="744"/>
      <c r="D2" s="744"/>
      <c r="E2" s="744"/>
      <c r="F2" s="744"/>
      <c r="G2" s="744"/>
      <c r="H2" s="744"/>
      <c r="I2" s="744"/>
      <c r="J2" s="744"/>
      <c r="K2" s="744"/>
      <c r="L2" s="744"/>
      <c r="M2" s="744"/>
      <c r="N2" s="744"/>
      <c r="O2" s="744"/>
      <c r="P2" s="744"/>
      <c r="Q2" s="744"/>
      <c r="R2" s="744"/>
      <c r="S2" s="744"/>
      <c r="T2" s="744"/>
      <c r="U2" s="744"/>
      <c r="V2" s="744"/>
      <c r="W2" s="744"/>
      <c r="X2" s="744"/>
      <c r="Y2" s="744"/>
      <c r="Z2" s="744"/>
      <c r="AA2" s="744"/>
      <c r="AB2" s="744"/>
      <c r="AC2" s="744"/>
      <c r="AD2" s="170"/>
      <c r="AE2" s="170"/>
      <c r="AF2" s="130"/>
      <c r="AG2" s="130"/>
      <c r="AH2" s="170"/>
      <c r="AI2" s="171"/>
      <c r="AJ2" s="130"/>
      <c r="AK2" s="172"/>
      <c r="AL2" s="170"/>
      <c r="AM2" s="171"/>
      <c r="AN2" s="172"/>
      <c r="AO2" s="172"/>
      <c r="AP2" s="172"/>
      <c r="AQ2" s="171"/>
      <c r="AR2" s="172"/>
      <c r="AS2" s="172"/>
      <c r="AT2" s="131"/>
      <c r="AU2" s="132"/>
      <c r="AV2" s="132"/>
      <c r="AW2" s="132"/>
      <c r="AX2" s="131"/>
      <c r="AY2" s="132"/>
      <c r="AZ2" s="132"/>
      <c r="BA2" s="132"/>
      <c r="BB2" s="173"/>
      <c r="BC2" s="173"/>
    </row>
    <row r="3" spans="1:291" s="134" customFormat="1" x14ac:dyDescent="0.2">
      <c r="B3" s="742"/>
      <c r="C3" s="742"/>
      <c r="D3" s="742"/>
      <c r="E3" s="742"/>
      <c r="F3" s="742"/>
      <c r="G3" s="742"/>
      <c r="H3" s="742"/>
      <c r="I3" s="742"/>
      <c r="J3" s="742"/>
      <c r="K3" s="742"/>
      <c r="L3" s="742"/>
      <c r="M3" s="742"/>
      <c r="N3" s="742"/>
      <c r="O3" s="742"/>
      <c r="P3" s="742"/>
      <c r="Q3" s="742"/>
      <c r="R3" s="742"/>
      <c r="S3" s="742"/>
      <c r="T3" s="742"/>
      <c r="U3" s="742"/>
      <c r="V3" s="742"/>
      <c r="W3" s="742"/>
      <c r="X3" s="742"/>
      <c r="Y3" s="742"/>
      <c r="Z3" s="742"/>
      <c r="AA3" s="742"/>
      <c r="AB3" s="742"/>
      <c r="AC3" s="742"/>
      <c r="AD3" s="174"/>
      <c r="AE3" s="174"/>
      <c r="AF3" s="135"/>
      <c r="AG3" s="135"/>
      <c r="AH3" s="174"/>
      <c r="AI3" s="175"/>
      <c r="AJ3" s="135"/>
      <c r="AK3" s="176"/>
      <c r="AL3" s="174"/>
      <c r="AM3" s="175"/>
      <c r="AN3" s="176"/>
      <c r="AO3" s="176"/>
      <c r="AP3" s="176"/>
      <c r="AQ3" s="175"/>
      <c r="AR3" s="176"/>
      <c r="AS3" s="176"/>
      <c r="AT3" s="136"/>
      <c r="AU3" s="137"/>
      <c r="AV3" s="137"/>
      <c r="AW3" s="137"/>
      <c r="AX3" s="136"/>
      <c r="AY3" s="137"/>
      <c r="AZ3" s="137"/>
      <c r="BA3" s="137"/>
      <c r="BB3" s="173"/>
      <c r="BC3" s="173"/>
    </row>
    <row r="4" spans="1:291" s="134" customFormat="1" x14ac:dyDescent="0.2">
      <c r="B4" s="742"/>
      <c r="C4" s="742"/>
      <c r="D4" s="742"/>
      <c r="E4" s="742"/>
      <c r="F4" s="742"/>
      <c r="G4" s="742"/>
      <c r="H4" s="742"/>
      <c r="I4" s="742"/>
      <c r="J4" s="742"/>
      <c r="K4" s="742"/>
      <c r="L4" s="742"/>
      <c r="M4" s="742"/>
      <c r="N4" s="742"/>
      <c r="O4" s="742"/>
      <c r="P4" s="742"/>
      <c r="Q4" s="742"/>
      <c r="R4" s="742"/>
      <c r="S4" s="742"/>
      <c r="T4" s="742"/>
      <c r="U4" s="742"/>
      <c r="V4" s="742"/>
      <c r="W4" s="742"/>
      <c r="X4" s="742"/>
      <c r="Y4" s="742"/>
      <c r="Z4" s="742"/>
      <c r="AA4" s="742"/>
      <c r="AB4" s="742"/>
      <c r="AC4" s="742"/>
      <c r="AD4" s="174"/>
      <c r="AE4" s="174"/>
      <c r="AF4" s="135"/>
      <c r="AG4" s="135"/>
      <c r="AH4" s="174"/>
      <c r="AI4" s="175"/>
      <c r="AJ4" s="135"/>
      <c r="AK4" s="176"/>
      <c r="AL4" s="174"/>
      <c r="AM4" s="175"/>
      <c r="AN4" s="176"/>
      <c r="AO4" s="176"/>
      <c r="AP4" s="176"/>
      <c r="AQ4" s="175"/>
      <c r="AR4" s="176"/>
      <c r="AS4" s="176"/>
      <c r="AT4" s="136"/>
      <c r="AU4" s="137"/>
      <c r="AV4" s="137"/>
      <c r="AW4" s="137"/>
      <c r="AX4" s="136"/>
      <c r="AY4" s="137"/>
      <c r="AZ4" s="137"/>
      <c r="BA4" s="137"/>
      <c r="BB4" s="173"/>
      <c r="BC4" s="173"/>
    </row>
    <row r="5" spans="1:291" s="134" customFormat="1" x14ac:dyDescent="0.2">
      <c r="B5" s="742"/>
      <c r="C5" s="742"/>
      <c r="D5" s="742"/>
      <c r="E5" s="742"/>
      <c r="F5" s="742"/>
      <c r="G5" s="742"/>
      <c r="H5" s="742"/>
      <c r="I5" s="742"/>
      <c r="J5" s="742"/>
      <c r="K5" s="742"/>
      <c r="L5" s="742"/>
      <c r="M5" s="742"/>
      <c r="N5" s="742"/>
      <c r="O5" s="742"/>
      <c r="P5" s="742"/>
      <c r="Q5" s="742"/>
      <c r="R5" s="742"/>
      <c r="S5" s="742"/>
      <c r="T5" s="742"/>
      <c r="U5" s="742"/>
      <c r="V5" s="742"/>
      <c r="W5" s="742"/>
      <c r="X5" s="742"/>
      <c r="Y5" s="742"/>
      <c r="Z5" s="742"/>
      <c r="AA5" s="742"/>
      <c r="AB5" s="742"/>
      <c r="AC5" s="742"/>
      <c r="AD5" s="174"/>
      <c r="AE5" s="174"/>
      <c r="AF5" s="135"/>
      <c r="AG5" s="135"/>
      <c r="AH5" s="174"/>
      <c r="AI5" s="175"/>
      <c r="AJ5" s="135"/>
      <c r="AK5" s="176"/>
      <c r="AL5" s="174"/>
      <c r="AM5" s="175"/>
      <c r="AN5" s="176"/>
      <c r="AO5" s="176"/>
      <c r="AP5" s="176"/>
      <c r="AQ5" s="175"/>
      <c r="AR5" s="176"/>
      <c r="AS5" s="176"/>
      <c r="AT5" s="136"/>
      <c r="AU5" s="137"/>
      <c r="AV5" s="137"/>
      <c r="AW5" s="137"/>
      <c r="AX5" s="136"/>
      <c r="AY5" s="137"/>
      <c r="AZ5" s="137"/>
      <c r="BA5" s="137"/>
      <c r="BB5" s="173"/>
      <c r="BC5" s="173"/>
    </row>
    <row r="6" spans="1:291" s="134" customFormat="1" x14ac:dyDescent="0.2">
      <c r="B6" s="742"/>
      <c r="C6" s="742"/>
      <c r="D6" s="742"/>
      <c r="E6" s="742"/>
      <c r="F6" s="742"/>
      <c r="G6" s="742"/>
      <c r="H6" s="742"/>
      <c r="I6" s="742"/>
      <c r="J6" s="742"/>
      <c r="K6" s="742"/>
      <c r="L6" s="742"/>
      <c r="M6" s="742"/>
      <c r="N6" s="742"/>
      <c r="O6" s="742"/>
      <c r="P6" s="742"/>
      <c r="Q6" s="742"/>
      <c r="R6" s="742"/>
      <c r="S6" s="742"/>
      <c r="T6" s="742"/>
      <c r="U6" s="742"/>
      <c r="V6" s="742"/>
      <c r="W6" s="742"/>
      <c r="X6" s="742"/>
      <c r="Y6" s="742"/>
      <c r="Z6" s="742"/>
      <c r="AA6" s="742"/>
      <c r="AB6" s="742"/>
      <c r="AC6" s="742"/>
      <c r="AD6" s="174"/>
      <c r="AE6" s="174"/>
      <c r="AF6" s="135"/>
      <c r="AG6" s="135"/>
      <c r="AH6" s="174"/>
      <c r="AI6" s="175"/>
      <c r="AJ6" s="135"/>
      <c r="AK6" s="176"/>
      <c r="AL6" s="174"/>
      <c r="AM6" s="175"/>
      <c r="AN6" s="176"/>
      <c r="AO6" s="176"/>
      <c r="AP6" s="176"/>
      <c r="AQ6" s="175"/>
      <c r="AR6" s="176"/>
      <c r="AS6" s="176"/>
      <c r="AT6" s="136"/>
      <c r="AU6" s="137"/>
      <c r="AV6" s="137"/>
      <c r="AW6" s="137"/>
      <c r="AX6" s="136"/>
      <c r="AY6" s="137"/>
      <c r="AZ6" s="137"/>
      <c r="BA6" s="137"/>
      <c r="BB6" s="173"/>
      <c r="BC6" s="173"/>
    </row>
    <row r="7" spans="1:291" s="134" customFormat="1" x14ac:dyDescent="0.2">
      <c r="B7" s="742"/>
      <c r="C7" s="742"/>
      <c r="D7" s="742"/>
      <c r="E7" s="742"/>
      <c r="F7" s="742"/>
      <c r="G7" s="742"/>
      <c r="H7" s="742"/>
      <c r="I7" s="742"/>
      <c r="J7" s="742"/>
      <c r="K7" s="742"/>
      <c r="L7" s="742"/>
      <c r="M7" s="742"/>
      <c r="N7" s="742"/>
      <c r="O7" s="742"/>
      <c r="P7" s="742"/>
      <c r="Q7" s="742"/>
      <c r="R7" s="742"/>
      <c r="S7" s="742"/>
      <c r="T7" s="742"/>
      <c r="U7" s="742"/>
      <c r="V7" s="742"/>
      <c r="W7" s="742"/>
      <c r="X7" s="742"/>
      <c r="Y7" s="742"/>
      <c r="Z7" s="742"/>
      <c r="AA7" s="742"/>
      <c r="AB7" s="742"/>
      <c r="AC7" s="742"/>
      <c r="AD7" s="174"/>
      <c r="AE7" s="174"/>
      <c r="AF7" s="135"/>
      <c r="AG7" s="135"/>
      <c r="AH7" s="174"/>
      <c r="AI7" s="175"/>
      <c r="AJ7" s="135"/>
      <c r="AK7" s="176"/>
      <c r="AL7" s="174"/>
      <c r="AM7" s="175"/>
      <c r="AN7" s="176"/>
      <c r="AO7" s="176"/>
      <c r="AP7" s="176"/>
      <c r="AQ7" s="175"/>
      <c r="AR7" s="176"/>
      <c r="AS7" s="176"/>
      <c r="AT7" s="136"/>
      <c r="AU7" s="137"/>
      <c r="AV7" s="137"/>
      <c r="AW7" s="137"/>
      <c r="AX7" s="136"/>
      <c r="AY7" s="137"/>
      <c r="AZ7" s="137"/>
      <c r="BA7" s="137"/>
      <c r="BB7" s="173"/>
      <c r="BC7" s="173"/>
    </row>
    <row r="8" spans="1:291" s="134" customFormat="1" x14ac:dyDescent="0.2">
      <c r="B8" s="742"/>
      <c r="C8" s="742"/>
      <c r="D8" s="742"/>
      <c r="E8" s="742"/>
      <c r="F8" s="742"/>
      <c r="G8" s="742"/>
      <c r="H8" s="742"/>
      <c r="I8" s="742"/>
      <c r="J8" s="742"/>
      <c r="K8" s="742"/>
      <c r="L8" s="742"/>
      <c r="M8" s="742"/>
      <c r="N8" s="742"/>
      <c r="O8" s="742"/>
      <c r="P8" s="742"/>
      <c r="Q8" s="742"/>
      <c r="R8" s="742"/>
      <c r="S8" s="742"/>
      <c r="T8" s="742"/>
      <c r="U8" s="742"/>
      <c r="V8" s="742"/>
      <c r="W8" s="742"/>
      <c r="X8" s="742"/>
      <c r="Y8" s="742"/>
      <c r="Z8" s="742"/>
      <c r="AA8" s="742"/>
      <c r="AB8" s="742"/>
      <c r="AC8" s="742"/>
      <c r="AD8" s="174"/>
      <c r="AE8" s="174"/>
      <c r="AF8" s="135"/>
      <c r="AG8" s="135"/>
      <c r="AH8" s="174"/>
      <c r="AI8" s="175"/>
      <c r="AJ8" s="135"/>
      <c r="AK8" s="176"/>
      <c r="AL8" s="174"/>
      <c r="AM8" s="175"/>
      <c r="AN8" s="176"/>
      <c r="AO8" s="176"/>
      <c r="AP8" s="176"/>
      <c r="AQ8" s="175"/>
      <c r="AR8" s="176"/>
      <c r="AS8" s="176"/>
      <c r="AT8" s="136"/>
      <c r="AU8" s="137"/>
      <c r="AV8" s="137"/>
      <c r="AW8" s="137"/>
      <c r="AX8" s="136"/>
      <c r="AY8" s="137"/>
      <c r="AZ8" s="137"/>
      <c r="BA8" s="137"/>
      <c r="BB8" s="173"/>
      <c r="BC8" s="173"/>
    </row>
    <row r="9" spans="1:291" s="134" customFormat="1" x14ac:dyDescent="0.2">
      <c r="B9" s="751" t="s">
        <v>0</v>
      </c>
      <c r="C9" s="751"/>
      <c r="D9" s="751"/>
      <c r="E9" s="751"/>
      <c r="F9" s="751"/>
      <c r="G9" s="751"/>
      <c r="H9" s="751"/>
      <c r="I9" s="751"/>
      <c r="J9" s="751"/>
      <c r="K9" s="751"/>
      <c r="L9" s="751"/>
      <c r="M9" s="751"/>
      <c r="N9" s="751"/>
      <c r="O9" s="751"/>
      <c r="P9" s="751"/>
      <c r="Q9" s="751"/>
      <c r="R9" s="751"/>
      <c r="S9" s="751"/>
      <c r="T9" s="751"/>
      <c r="U9" s="751"/>
      <c r="V9" s="751"/>
      <c r="W9" s="751"/>
      <c r="X9" s="751"/>
      <c r="Y9" s="751"/>
      <c r="Z9" s="751"/>
      <c r="AA9" s="751"/>
      <c r="AB9" s="751"/>
      <c r="AC9" s="751"/>
      <c r="AD9" s="174"/>
      <c r="AE9" s="174"/>
      <c r="AF9" s="135"/>
      <c r="AG9" s="135"/>
      <c r="AH9" s="174"/>
      <c r="AI9" s="175"/>
      <c r="AJ9" s="135"/>
      <c r="AK9" s="176"/>
      <c r="AL9" s="174"/>
      <c r="AM9" s="175"/>
      <c r="AN9" s="176"/>
      <c r="AO9" s="176"/>
      <c r="AP9" s="176"/>
      <c r="AQ9" s="175"/>
      <c r="AR9" s="176"/>
      <c r="AS9" s="176"/>
      <c r="AT9" s="136"/>
      <c r="AU9" s="137"/>
      <c r="AV9" s="137"/>
      <c r="AW9" s="137"/>
      <c r="AX9" s="136"/>
      <c r="AY9" s="137"/>
      <c r="AZ9" s="137"/>
      <c r="BA9" s="137"/>
      <c r="BB9" s="173"/>
      <c r="BC9" s="173"/>
    </row>
    <row r="10" spans="1:291" s="134" customFormat="1" x14ac:dyDescent="0.2">
      <c r="B10" s="751"/>
      <c r="C10" s="751"/>
      <c r="D10" s="751"/>
      <c r="E10" s="751"/>
      <c r="F10" s="751"/>
      <c r="G10" s="751"/>
      <c r="H10" s="751"/>
      <c r="I10" s="751"/>
      <c r="J10" s="751"/>
      <c r="K10" s="751"/>
      <c r="L10" s="751"/>
      <c r="M10" s="751"/>
      <c r="N10" s="751"/>
      <c r="O10" s="751"/>
      <c r="P10" s="751"/>
      <c r="Q10" s="751"/>
      <c r="R10" s="751"/>
      <c r="S10" s="751"/>
      <c r="T10" s="751"/>
      <c r="U10" s="751"/>
      <c r="V10" s="751"/>
      <c r="W10" s="751"/>
      <c r="X10" s="751"/>
      <c r="Y10" s="751"/>
      <c r="Z10" s="751"/>
      <c r="AA10" s="751"/>
      <c r="AB10" s="751"/>
      <c r="AC10" s="751"/>
      <c r="AD10" s="177"/>
      <c r="AE10" s="177"/>
      <c r="AF10" s="139"/>
      <c r="AG10" s="139"/>
      <c r="AH10" s="177"/>
      <c r="AI10" s="178"/>
      <c r="AJ10" s="139"/>
      <c r="AK10" s="173"/>
      <c r="AL10" s="177"/>
      <c r="AM10" s="178"/>
      <c r="AN10" s="173"/>
      <c r="AO10" s="173"/>
      <c r="AP10" s="173"/>
      <c r="AQ10" s="178"/>
      <c r="AR10" s="173"/>
      <c r="AS10" s="173"/>
      <c r="AT10" s="140"/>
      <c r="AX10" s="140"/>
      <c r="BB10" s="173"/>
      <c r="BC10" s="173"/>
    </row>
    <row r="11" spans="1:291" s="134" customFormat="1" ht="15" x14ac:dyDescent="0.2">
      <c r="B11" s="751" t="s">
        <v>522</v>
      </c>
      <c r="C11" s="751"/>
      <c r="D11" s="751"/>
      <c r="E11" s="751"/>
      <c r="F11" s="751"/>
      <c r="G11" s="751"/>
      <c r="H11" s="751"/>
      <c r="I11" s="751"/>
      <c r="J11" s="751"/>
      <c r="K11" s="751"/>
      <c r="L11" s="751"/>
      <c r="M11" s="751"/>
      <c r="N11" s="751"/>
      <c r="O11" s="751"/>
      <c r="P11" s="751"/>
      <c r="Q11" s="751"/>
      <c r="R11" s="751"/>
      <c r="S11" s="751"/>
      <c r="T11" s="751"/>
      <c r="U11" s="751"/>
      <c r="V11" s="751"/>
      <c r="W11" s="751"/>
      <c r="X11" s="751"/>
      <c r="Y11" s="751"/>
      <c r="Z11" s="751"/>
      <c r="AA11" s="751"/>
      <c r="AB11" s="751"/>
      <c r="AC11" s="751"/>
      <c r="AD11" s="177"/>
      <c r="AE11" s="177"/>
      <c r="AF11" s="139"/>
      <c r="AG11" s="139"/>
      <c r="AH11" s="177"/>
      <c r="AI11" s="178"/>
      <c r="AJ11" s="139"/>
      <c r="AK11" s="173"/>
      <c r="AL11" s="177"/>
      <c r="AM11" s="178"/>
      <c r="AN11" s="173"/>
      <c r="AO11" s="173"/>
      <c r="AP11" s="173"/>
      <c r="AQ11" s="178"/>
      <c r="AR11" s="173"/>
      <c r="AS11" s="173"/>
      <c r="AT11" s="140"/>
      <c r="AX11" s="140"/>
      <c r="BB11" s="173"/>
      <c r="BC11" s="173"/>
    </row>
    <row r="12" spans="1:291" s="134" customFormat="1" ht="18.75" x14ac:dyDescent="0.2">
      <c r="B12" s="142"/>
      <c r="C12" s="142"/>
      <c r="D12" s="142"/>
      <c r="E12" s="142"/>
      <c r="F12" s="142"/>
      <c r="G12" s="142"/>
      <c r="H12" s="142"/>
      <c r="I12" s="142"/>
      <c r="J12" s="142"/>
      <c r="K12" s="142"/>
      <c r="L12" s="142"/>
      <c r="M12" s="142"/>
      <c r="N12" s="142"/>
      <c r="O12" s="142"/>
      <c r="P12" s="142"/>
      <c r="Q12" s="142"/>
      <c r="R12" s="142"/>
      <c r="S12" s="142"/>
      <c r="T12" s="142"/>
      <c r="U12" s="142"/>
      <c r="V12" s="142"/>
      <c r="W12" s="142"/>
      <c r="X12" s="142"/>
      <c r="Y12" s="142"/>
      <c r="Z12" s="179"/>
      <c r="AA12" s="180"/>
      <c r="AB12" s="181"/>
      <c r="AC12" s="180"/>
      <c r="AD12" s="177"/>
      <c r="AE12" s="177"/>
      <c r="AF12" s="139"/>
      <c r="AG12" s="139"/>
      <c r="AH12" s="177"/>
      <c r="AI12" s="178"/>
      <c r="AJ12" s="139"/>
      <c r="AK12" s="173"/>
      <c r="AL12" s="177"/>
      <c r="AM12" s="178"/>
      <c r="AN12" s="173"/>
      <c r="AO12" s="173"/>
      <c r="AP12" s="173"/>
      <c r="AQ12" s="178"/>
      <c r="AR12" s="173"/>
      <c r="AS12" s="173"/>
      <c r="AT12" s="140"/>
      <c r="AX12" s="140"/>
      <c r="BB12" s="173"/>
      <c r="BC12" s="173"/>
    </row>
    <row r="13" spans="1:291" ht="22.5" x14ac:dyDescent="0.2">
      <c r="B13" s="8" t="s">
        <v>1</v>
      </c>
      <c r="C13" s="8" t="s">
        <v>2</v>
      </c>
      <c r="D13" s="9" t="s">
        <v>3</v>
      </c>
      <c r="E13" s="10" t="s">
        <v>523</v>
      </c>
      <c r="F13" s="119"/>
      <c r="G13" s="142"/>
      <c r="H13" s="142"/>
      <c r="I13" s="142"/>
      <c r="J13" s="142"/>
      <c r="K13" s="142"/>
      <c r="L13" s="142"/>
      <c r="M13" s="142"/>
      <c r="N13" s="142"/>
      <c r="O13" s="142"/>
      <c r="P13" s="142"/>
      <c r="Q13" s="142"/>
      <c r="R13" s="142"/>
      <c r="S13" s="142"/>
      <c r="T13" s="142"/>
      <c r="U13" s="142"/>
      <c r="V13" s="142"/>
      <c r="W13" s="142"/>
      <c r="X13" s="142"/>
      <c r="Y13" s="142"/>
      <c r="Z13" s="179"/>
      <c r="AA13" s="180"/>
      <c r="AB13" s="181"/>
      <c r="AC13" s="180"/>
      <c r="AD13" s="177"/>
      <c r="AE13" s="177"/>
      <c r="AF13" s="139"/>
      <c r="AG13" s="139"/>
      <c r="AH13" s="177"/>
      <c r="AI13" s="178"/>
      <c r="AJ13" s="139"/>
      <c r="AK13" s="173"/>
      <c r="AL13" s="177"/>
      <c r="AM13" s="178"/>
      <c r="AN13" s="173"/>
      <c r="AO13" s="173"/>
      <c r="AP13" s="173"/>
      <c r="AQ13" s="178"/>
      <c r="AR13" s="173"/>
      <c r="AS13" s="173"/>
      <c r="AT13" s="140"/>
      <c r="AU13" s="134"/>
      <c r="AV13" s="134"/>
      <c r="AW13" s="134"/>
      <c r="AX13" s="140"/>
      <c r="AY13" s="134"/>
      <c r="AZ13" s="134"/>
      <c r="BA13" s="134"/>
      <c r="BB13" s="173"/>
      <c r="BC13" s="173"/>
    </row>
    <row r="14" spans="1:291" ht="18.75" x14ac:dyDescent="0.2">
      <c r="B14" s="11">
        <v>57190327</v>
      </c>
      <c r="C14" s="11">
        <v>48242089</v>
      </c>
      <c r="D14" s="11">
        <f>C14</f>
        <v>48242089</v>
      </c>
      <c r="E14" s="11">
        <f>+Y337</f>
        <v>16882349.184</v>
      </c>
      <c r="F14" s="120"/>
      <c r="G14" s="182"/>
      <c r="H14" s="142"/>
      <c r="I14" s="142"/>
      <c r="J14" s="142"/>
      <c r="K14" s="142"/>
      <c r="L14" s="142"/>
      <c r="M14" s="142"/>
      <c r="N14" s="142"/>
      <c r="O14" s="142"/>
      <c r="P14" s="142"/>
      <c r="Q14" s="142"/>
      <c r="R14" s="142"/>
      <c r="S14" s="142"/>
      <c r="T14" s="142"/>
      <c r="U14" s="142"/>
      <c r="V14" s="142"/>
      <c r="W14" s="142"/>
      <c r="X14" s="142"/>
      <c r="Y14" s="142"/>
      <c r="Z14" s="179"/>
      <c r="AA14" s="180"/>
      <c r="AB14" s="181"/>
      <c r="AC14" s="180"/>
      <c r="AD14" s="177"/>
      <c r="AE14" s="177"/>
      <c r="AF14" s="139"/>
      <c r="AG14" s="139"/>
      <c r="AH14" s="177"/>
      <c r="AI14" s="178"/>
      <c r="AJ14" s="139"/>
      <c r="AK14" s="173"/>
      <c r="AL14" s="177"/>
      <c r="AM14" s="178"/>
      <c r="AN14" s="173"/>
      <c r="AO14" s="173"/>
      <c r="AP14" s="173"/>
      <c r="AQ14" s="178"/>
      <c r="AR14" s="173"/>
      <c r="AS14" s="173"/>
      <c r="AT14" s="140"/>
      <c r="AU14" s="134"/>
      <c r="AV14" s="134"/>
      <c r="AW14" s="134"/>
      <c r="AX14" s="140"/>
      <c r="AY14" s="134"/>
      <c r="AZ14" s="134"/>
      <c r="BA14" s="134"/>
      <c r="BB14" s="173"/>
      <c r="BC14" s="173"/>
    </row>
    <row r="15" spans="1:291" s="134" customFormat="1" ht="15" customHeight="1" x14ac:dyDescent="0.2">
      <c r="B15" s="145"/>
      <c r="C15" s="146"/>
      <c r="D15" s="147"/>
      <c r="E15" s="146"/>
      <c r="F15" s="146"/>
      <c r="Z15" s="752" t="s">
        <v>5</v>
      </c>
      <c r="AA15" s="753"/>
      <c r="AB15" s="753"/>
      <c r="AC15" s="754"/>
      <c r="AD15" s="755" t="s">
        <v>6</v>
      </c>
      <c r="AE15" s="755"/>
      <c r="AF15" s="755"/>
      <c r="AG15" s="755"/>
      <c r="AH15" s="755" t="s">
        <v>6</v>
      </c>
      <c r="AI15" s="755"/>
      <c r="AJ15" s="755"/>
      <c r="AK15" s="755"/>
      <c r="AL15" s="755" t="s">
        <v>6</v>
      </c>
      <c r="AM15" s="755"/>
      <c r="AN15" s="755"/>
      <c r="AO15" s="755"/>
      <c r="AP15" s="755" t="s">
        <v>6</v>
      </c>
      <c r="AQ15" s="755"/>
      <c r="AR15" s="755"/>
      <c r="AS15" s="755"/>
      <c r="AT15" s="756" t="s">
        <v>6</v>
      </c>
      <c r="AU15" s="756"/>
      <c r="AV15" s="756"/>
      <c r="AW15" s="756"/>
      <c r="AX15" s="756" t="s">
        <v>6</v>
      </c>
      <c r="AY15" s="756"/>
      <c r="AZ15" s="756"/>
      <c r="BA15" s="756"/>
      <c r="BB15" s="755" t="s">
        <v>7</v>
      </c>
      <c r="BC15" s="755"/>
    </row>
    <row r="16" spans="1:291" s="58" customFormat="1" ht="60" x14ac:dyDescent="0.25">
      <c r="A16" s="132"/>
      <c r="B16" s="81" t="s">
        <v>8</v>
      </c>
      <c r="C16" s="81" t="s">
        <v>9</v>
      </c>
      <c r="D16" s="81" t="s">
        <v>10</v>
      </c>
      <c r="E16" s="83" t="s">
        <v>11</v>
      </c>
      <c r="F16" s="83" t="s">
        <v>12</v>
      </c>
      <c r="G16" s="83" t="s">
        <v>13</v>
      </c>
      <c r="H16" s="83" t="s">
        <v>14</v>
      </c>
      <c r="I16" s="83" t="s">
        <v>122</v>
      </c>
      <c r="J16" s="83" t="s">
        <v>15</v>
      </c>
      <c r="K16" s="83" t="s">
        <v>16</v>
      </c>
      <c r="L16" s="83" t="s">
        <v>17</v>
      </c>
      <c r="M16" s="121" t="s">
        <v>18</v>
      </c>
      <c r="N16" s="121" t="s">
        <v>19</v>
      </c>
      <c r="O16" s="121" t="s">
        <v>20</v>
      </c>
      <c r="P16" s="121" t="s">
        <v>21</v>
      </c>
      <c r="Q16" s="121" t="s">
        <v>22</v>
      </c>
      <c r="R16" s="166" t="s">
        <v>23</v>
      </c>
      <c r="S16" s="166" t="s">
        <v>24</v>
      </c>
      <c r="T16" s="166" t="s">
        <v>25</v>
      </c>
      <c r="U16" s="166" t="s">
        <v>26</v>
      </c>
      <c r="V16" s="166" t="s">
        <v>27</v>
      </c>
      <c r="W16" s="166" t="s">
        <v>28</v>
      </c>
      <c r="X16" s="166" t="s">
        <v>29</v>
      </c>
      <c r="Y16" s="123" t="s">
        <v>30</v>
      </c>
      <c r="Z16" s="183" t="s">
        <v>31</v>
      </c>
      <c r="AA16" s="86" t="s">
        <v>32</v>
      </c>
      <c r="AB16" s="184" t="s">
        <v>33</v>
      </c>
      <c r="AC16" s="85" t="s">
        <v>34</v>
      </c>
      <c r="AD16" s="87" t="s">
        <v>35</v>
      </c>
      <c r="AE16" s="88" t="s">
        <v>32</v>
      </c>
      <c r="AF16" s="87" t="s">
        <v>33</v>
      </c>
      <c r="AG16" s="87" t="s">
        <v>34</v>
      </c>
      <c r="AH16" s="88" t="s">
        <v>35</v>
      </c>
      <c r="AI16" s="88" t="s">
        <v>32</v>
      </c>
      <c r="AJ16" s="124" t="s">
        <v>33</v>
      </c>
      <c r="AK16" s="87" t="s">
        <v>34</v>
      </c>
      <c r="AL16" s="88" t="s">
        <v>35</v>
      </c>
      <c r="AM16" s="88" t="s">
        <v>32</v>
      </c>
      <c r="AN16" s="87" t="s">
        <v>33</v>
      </c>
      <c r="AO16" s="87" t="s">
        <v>34</v>
      </c>
      <c r="AP16" s="87" t="s">
        <v>35</v>
      </c>
      <c r="AQ16" s="88" t="s">
        <v>32</v>
      </c>
      <c r="AR16" s="87" t="s">
        <v>33</v>
      </c>
      <c r="AS16" s="87" t="s">
        <v>34</v>
      </c>
      <c r="AT16" s="88" t="s">
        <v>35</v>
      </c>
      <c r="AU16" s="88" t="s">
        <v>32</v>
      </c>
      <c r="AV16" s="87" t="s">
        <v>33</v>
      </c>
      <c r="AW16" s="87" t="s">
        <v>34</v>
      </c>
      <c r="AX16" s="88" t="s">
        <v>35</v>
      </c>
      <c r="AY16" s="88" t="s">
        <v>32</v>
      </c>
      <c r="AZ16" s="87" t="s">
        <v>33</v>
      </c>
      <c r="BA16" s="87" t="s">
        <v>34</v>
      </c>
      <c r="BB16" s="89" t="s">
        <v>36</v>
      </c>
      <c r="BC16" s="89" t="s">
        <v>37</v>
      </c>
      <c r="BD16" s="132"/>
      <c r="BE16" s="132"/>
      <c r="BF16" s="132"/>
      <c r="BG16" s="132"/>
      <c r="BH16" s="132"/>
      <c r="BI16" s="132"/>
      <c r="BJ16" s="132"/>
      <c r="BK16" s="132"/>
      <c r="BL16" s="132"/>
      <c r="BM16" s="132"/>
      <c r="BN16" s="132"/>
      <c r="BO16" s="132"/>
      <c r="BP16" s="132"/>
      <c r="BQ16" s="132"/>
      <c r="BR16" s="132"/>
      <c r="BS16" s="132"/>
      <c r="BT16" s="132"/>
      <c r="BU16" s="132"/>
      <c r="BV16" s="132"/>
      <c r="BW16" s="132"/>
      <c r="BX16" s="132"/>
      <c r="BY16" s="132"/>
      <c r="BZ16" s="132"/>
      <c r="CA16" s="132"/>
      <c r="CB16" s="132"/>
      <c r="CC16" s="132"/>
      <c r="CD16" s="132"/>
      <c r="CE16" s="132"/>
      <c r="CF16" s="132"/>
      <c r="CG16" s="132"/>
      <c r="CH16" s="132"/>
      <c r="CI16" s="132"/>
      <c r="CJ16" s="132"/>
      <c r="CK16" s="132"/>
      <c r="CL16" s="132"/>
      <c r="CM16" s="132"/>
      <c r="CN16" s="132"/>
      <c r="CO16" s="132"/>
      <c r="CP16" s="132"/>
      <c r="CQ16" s="132"/>
      <c r="CR16" s="132"/>
      <c r="CS16" s="132"/>
      <c r="CT16" s="132"/>
      <c r="CU16" s="132"/>
      <c r="CV16" s="132"/>
      <c r="CW16" s="132"/>
      <c r="CX16" s="132"/>
      <c r="CY16" s="132"/>
      <c r="CZ16" s="132"/>
      <c r="DA16" s="132"/>
      <c r="DB16" s="132"/>
      <c r="DC16" s="132"/>
      <c r="DD16" s="132"/>
      <c r="DE16" s="132"/>
      <c r="DF16" s="132"/>
      <c r="DG16" s="132"/>
      <c r="DH16" s="132"/>
      <c r="DI16" s="132"/>
      <c r="DJ16" s="132"/>
      <c r="DK16" s="132"/>
      <c r="DL16" s="132"/>
      <c r="DM16" s="132"/>
      <c r="DN16" s="132"/>
      <c r="DO16" s="132"/>
      <c r="DP16" s="132"/>
      <c r="DQ16" s="132"/>
      <c r="DR16" s="132"/>
      <c r="DS16" s="132"/>
      <c r="DT16" s="132"/>
      <c r="DU16" s="132"/>
      <c r="DV16" s="132"/>
      <c r="DW16" s="132"/>
      <c r="DX16" s="132"/>
      <c r="DY16" s="132"/>
      <c r="DZ16" s="132"/>
      <c r="EA16" s="132"/>
      <c r="EB16" s="132"/>
      <c r="EC16" s="132"/>
      <c r="ED16" s="132"/>
      <c r="EE16" s="132"/>
      <c r="EF16" s="132"/>
      <c r="EG16" s="132"/>
      <c r="EH16" s="132"/>
      <c r="EI16" s="132"/>
      <c r="EJ16" s="132"/>
      <c r="EK16" s="132"/>
      <c r="EL16" s="132"/>
      <c r="EM16" s="132"/>
      <c r="EN16" s="132"/>
      <c r="EO16" s="132"/>
      <c r="EP16" s="132"/>
      <c r="EQ16" s="132"/>
      <c r="ER16" s="132"/>
      <c r="ES16" s="132"/>
      <c r="ET16" s="132"/>
      <c r="EU16" s="132"/>
      <c r="EV16" s="132"/>
      <c r="EW16" s="132"/>
      <c r="EX16" s="132"/>
      <c r="EY16" s="132"/>
      <c r="EZ16" s="132"/>
      <c r="FA16" s="132"/>
      <c r="FB16" s="132"/>
      <c r="FC16" s="132"/>
      <c r="FD16" s="132"/>
      <c r="FE16" s="132"/>
      <c r="FF16" s="132"/>
      <c r="FG16" s="132"/>
      <c r="FH16" s="132"/>
      <c r="FI16" s="132"/>
      <c r="FJ16" s="132"/>
      <c r="FK16" s="132"/>
      <c r="FL16" s="132"/>
      <c r="FM16" s="132"/>
      <c r="FN16" s="132"/>
      <c r="FO16" s="132"/>
      <c r="FP16" s="132"/>
      <c r="FQ16" s="132"/>
      <c r="FR16" s="132"/>
      <c r="FS16" s="132"/>
      <c r="FT16" s="132"/>
      <c r="FU16" s="132"/>
      <c r="FV16" s="132"/>
      <c r="FW16" s="132"/>
      <c r="FX16" s="132"/>
      <c r="FY16" s="132"/>
      <c r="FZ16" s="132"/>
      <c r="GA16" s="132"/>
      <c r="GB16" s="132"/>
      <c r="GC16" s="132"/>
      <c r="GD16" s="132"/>
      <c r="GE16" s="132"/>
      <c r="GF16" s="132"/>
      <c r="GG16" s="132"/>
      <c r="GH16" s="132"/>
      <c r="GI16" s="132"/>
      <c r="GJ16" s="132"/>
      <c r="GK16" s="132"/>
      <c r="GL16" s="132"/>
      <c r="GM16" s="132"/>
      <c r="GN16" s="132"/>
      <c r="GO16" s="132"/>
      <c r="GP16" s="132"/>
      <c r="GQ16" s="132"/>
      <c r="GR16" s="132"/>
      <c r="GS16" s="132"/>
      <c r="GT16" s="132"/>
      <c r="GU16" s="132"/>
      <c r="GV16" s="132"/>
      <c r="GW16" s="132"/>
      <c r="GX16" s="132"/>
      <c r="GY16" s="132"/>
      <c r="GZ16" s="132"/>
      <c r="HA16" s="132"/>
      <c r="HB16" s="132"/>
      <c r="HC16" s="132"/>
      <c r="HD16" s="132"/>
      <c r="HE16" s="132"/>
      <c r="HF16" s="132"/>
      <c r="HG16" s="132"/>
      <c r="HH16" s="132"/>
      <c r="HI16" s="132"/>
      <c r="HJ16" s="132"/>
      <c r="HK16" s="132"/>
      <c r="HL16" s="132"/>
      <c r="HM16" s="132"/>
      <c r="HN16" s="132"/>
      <c r="HO16" s="132"/>
      <c r="HP16" s="132"/>
      <c r="HQ16" s="132"/>
      <c r="HR16" s="132"/>
      <c r="HS16" s="132"/>
      <c r="HT16" s="132"/>
      <c r="HU16" s="132"/>
      <c r="HV16" s="132"/>
      <c r="HW16" s="132"/>
      <c r="HX16" s="132"/>
      <c r="HY16" s="132"/>
      <c r="HZ16" s="132"/>
      <c r="IA16" s="132"/>
      <c r="IB16" s="132"/>
      <c r="IC16" s="132"/>
      <c r="ID16" s="132"/>
      <c r="IE16" s="132"/>
      <c r="IF16" s="132"/>
      <c r="IG16" s="132"/>
      <c r="IH16" s="132"/>
      <c r="II16" s="132"/>
      <c r="IJ16" s="132"/>
      <c r="IK16" s="132"/>
      <c r="IL16" s="132"/>
      <c r="IM16" s="132"/>
      <c r="IN16" s="132"/>
      <c r="IO16" s="132"/>
      <c r="IP16" s="132"/>
      <c r="IQ16" s="132"/>
      <c r="IR16" s="132"/>
      <c r="IS16" s="132"/>
      <c r="IT16" s="132"/>
      <c r="IU16" s="132"/>
      <c r="IV16" s="132"/>
      <c r="IW16" s="132"/>
      <c r="IX16" s="132"/>
      <c r="IY16" s="132"/>
      <c r="IZ16" s="132"/>
      <c r="JA16" s="132"/>
      <c r="JB16" s="132"/>
      <c r="JC16" s="132"/>
      <c r="JD16" s="132"/>
      <c r="JE16" s="132"/>
      <c r="JF16" s="132"/>
      <c r="JG16" s="132"/>
      <c r="JH16" s="132"/>
      <c r="JI16" s="132"/>
      <c r="JJ16" s="132"/>
      <c r="JK16" s="132"/>
      <c r="JL16" s="132"/>
      <c r="JM16" s="132"/>
      <c r="JN16" s="132"/>
      <c r="JO16" s="132"/>
      <c r="JP16" s="132"/>
      <c r="JQ16" s="132"/>
      <c r="JR16" s="132"/>
      <c r="JS16" s="132"/>
      <c r="JT16" s="132"/>
      <c r="JU16" s="132"/>
      <c r="JV16" s="132"/>
      <c r="JW16" s="132"/>
      <c r="JX16" s="132"/>
      <c r="JY16" s="132"/>
      <c r="JZ16" s="132"/>
      <c r="KA16" s="132"/>
      <c r="KB16" s="132"/>
      <c r="KC16" s="132"/>
      <c r="KD16" s="132"/>
      <c r="KE16" s="132"/>
    </row>
    <row r="17" spans="1:55" s="195" customFormat="1" x14ac:dyDescent="0.25">
      <c r="A17" s="185"/>
      <c r="B17" s="186">
        <v>1</v>
      </c>
      <c r="C17" s="186" t="s">
        <v>38</v>
      </c>
      <c r="D17" s="450">
        <v>30464945</v>
      </c>
      <c r="E17" s="451" t="s">
        <v>524</v>
      </c>
      <c r="F17" s="451" t="s">
        <v>200</v>
      </c>
      <c r="G17" s="473" t="s">
        <v>525</v>
      </c>
      <c r="H17" s="451" t="s">
        <v>526</v>
      </c>
      <c r="I17" s="451" t="s">
        <v>42</v>
      </c>
      <c r="J17" s="474">
        <v>3753377</v>
      </c>
      <c r="K17" s="474">
        <v>3048174</v>
      </c>
      <c r="L17" s="474">
        <v>705203</v>
      </c>
      <c r="M17" s="475"/>
      <c r="N17" s="475"/>
      <c r="O17" s="475"/>
      <c r="P17" s="475"/>
      <c r="Q17" s="475"/>
      <c r="R17" s="475"/>
      <c r="S17" s="475"/>
      <c r="T17" s="475"/>
      <c r="U17" s="475"/>
      <c r="V17" s="475"/>
      <c r="W17" s="475"/>
      <c r="X17" s="475"/>
      <c r="Y17" s="475">
        <f>SUM(M17:X17)</f>
        <v>0</v>
      </c>
      <c r="Z17" s="476">
        <v>522100</v>
      </c>
      <c r="AA17" s="477">
        <v>5</v>
      </c>
      <c r="AB17" s="478">
        <v>44216</v>
      </c>
      <c r="AC17" s="479">
        <v>44225</v>
      </c>
      <c r="AD17" s="476">
        <v>7230</v>
      </c>
      <c r="AE17" s="477">
        <v>27</v>
      </c>
      <c r="AF17" s="478">
        <v>44274</v>
      </c>
      <c r="AG17" s="478">
        <v>44279</v>
      </c>
      <c r="AH17" s="476"/>
      <c r="AI17" s="477"/>
      <c r="AJ17" s="478"/>
      <c r="AK17" s="477"/>
      <c r="AL17" s="476"/>
      <c r="AM17" s="477"/>
      <c r="AN17" s="477"/>
      <c r="AO17" s="477"/>
      <c r="AP17" s="477"/>
      <c r="AQ17" s="477"/>
      <c r="AR17" s="477"/>
      <c r="AS17" s="477"/>
      <c r="AT17" s="480"/>
      <c r="AU17" s="475"/>
      <c r="AV17" s="475"/>
      <c r="AW17" s="475"/>
      <c r="AX17" s="480"/>
      <c r="AY17" s="475"/>
      <c r="AZ17" s="475"/>
      <c r="BA17" s="475"/>
      <c r="BB17" s="477">
        <f>Z17+AD17+AH17+AL17+AT17+AX17+AP17</f>
        <v>529330</v>
      </c>
      <c r="BC17" s="477">
        <f t="shared" ref="BC17:BC80" si="0">BB17-Y17</f>
        <v>529330</v>
      </c>
    </row>
    <row r="18" spans="1:55" s="195" customFormat="1" ht="22.5" x14ac:dyDescent="0.25">
      <c r="B18" s="186">
        <f>B17+1</f>
        <v>2</v>
      </c>
      <c r="C18" s="186" t="s">
        <v>38</v>
      </c>
      <c r="D18" s="450">
        <v>30444822</v>
      </c>
      <c r="E18" s="451" t="s">
        <v>527</v>
      </c>
      <c r="F18" s="451" t="s">
        <v>200</v>
      </c>
      <c r="G18" s="473" t="s">
        <v>525</v>
      </c>
      <c r="H18" s="451" t="s">
        <v>528</v>
      </c>
      <c r="I18" s="451" t="s">
        <v>42</v>
      </c>
      <c r="J18" s="474">
        <v>2598725</v>
      </c>
      <c r="K18" s="474">
        <v>2463382</v>
      </c>
      <c r="L18" s="474">
        <v>135343</v>
      </c>
      <c r="M18" s="475">
        <v>126474.239</v>
      </c>
      <c r="N18" s="475"/>
      <c r="O18" s="475"/>
      <c r="P18" s="475">
        <v>0</v>
      </c>
      <c r="Q18" s="475">
        <v>0</v>
      </c>
      <c r="R18" s="475">
        <v>0</v>
      </c>
      <c r="S18" s="475"/>
      <c r="T18" s="475"/>
      <c r="U18" s="475"/>
      <c r="V18" s="475"/>
      <c r="W18" s="475"/>
      <c r="X18" s="475"/>
      <c r="Y18" s="475">
        <f t="shared" ref="Y18:Y81" si="1">SUM(M18:X18)</f>
        <v>126474.239</v>
      </c>
      <c r="Z18" s="476">
        <v>133520</v>
      </c>
      <c r="AA18" s="477">
        <v>5</v>
      </c>
      <c r="AB18" s="478">
        <v>44216</v>
      </c>
      <c r="AC18" s="479">
        <v>44225</v>
      </c>
      <c r="AD18" s="476"/>
      <c r="AE18" s="477"/>
      <c r="AF18" s="478"/>
      <c r="AG18" s="478"/>
      <c r="AH18" s="476"/>
      <c r="AI18" s="477"/>
      <c r="AJ18" s="478"/>
      <c r="AK18" s="477"/>
      <c r="AL18" s="476"/>
      <c r="AM18" s="477"/>
      <c r="AN18" s="477"/>
      <c r="AO18" s="477"/>
      <c r="AP18" s="477"/>
      <c r="AQ18" s="477"/>
      <c r="AR18" s="477"/>
      <c r="AS18" s="477"/>
      <c r="AT18" s="480"/>
      <c r="AU18" s="475"/>
      <c r="AV18" s="475"/>
      <c r="AW18" s="475"/>
      <c r="AX18" s="480"/>
      <c r="AY18" s="475"/>
      <c r="AZ18" s="475"/>
      <c r="BA18" s="475"/>
      <c r="BB18" s="477">
        <f t="shared" ref="BB18:BB81" si="2">Z18+AD18+AH18+AL18+AT18+AX18+AP18</f>
        <v>133520</v>
      </c>
      <c r="BC18" s="477">
        <f t="shared" si="0"/>
        <v>7045.7609999999986</v>
      </c>
    </row>
    <row r="19" spans="1:55" s="195" customFormat="1" x14ac:dyDescent="0.25">
      <c r="B19" s="186">
        <f t="shared" ref="B19:B82" si="3">B18+1</f>
        <v>3</v>
      </c>
      <c r="C19" s="186" t="s">
        <v>38</v>
      </c>
      <c r="D19" s="450">
        <v>20039270</v>
      </c>
      <c r="E19" s="451" t="s">
        <v>529</v>
      </c>
      <c r="F19" s="451" t="s">
        <v>200</v>
      </c>
      <c r="G19" s="473" t="s">
        <v>525</v>
      </c>
      <c r="H19" s="451" t="s">
        <v>530</v>
      </c>
      <c r="I19" s="451" t="s">
        <v>42</v>
      </c>
      <c r="J19" s="474">
        <v>2466772</v>
      </c>
      <c r="K19" s="474">
        <v>2293335</v>
      </c>
      <c r="L19" s="474">
        <v>173437</v>
      </c>
      <c r="M19" s="475"/>
      <c r="N19" s="475"/>
      <c r="O19" s="475">
        <v>7019.3029999999999</v>
      </c>
      <c r="P19" s="475">
        <v>90542.225999999995</v>
      </c>
      <c r="Q19" s="475">
        <v>4258.1659999999993</v>
      </c>
      <c r="R19" s="475">
        <v>21372.521000000001</v>
      </c>
      <c r="S19" s="475"/>
      <c r="T19" s="475"/>
      <c r="U19" s="475"/>
      <c r="V19" s="475"/>
      <c r="W19" s="475"/>
      <c r="X19" s="475"/>
      <c r="Y19" s="475">
        <f t="shared" si="1"/>
        <v>123192.21599999999</v>
      </c>
      <c r="Z19" s="476">
        <v>173437</v>
      </c>
      <c r="AA19" s="477">
        <v>5</v>
      </c>
      <c r="AB19" s="478">
        <v>44216</v>
      </c>
      <c r="AC19" s="479">
        <v>44225</v>
      </c>
      <c r="AD19" s="476"/>
      <c r="AE19" s="477"/>
      <c r="AF19" s="478"/>
      <c r="AG19" s="478"/>
      <c r="AH19" s="476"/>
      <c r="AI19" s="477"/>
      <c r="AJ19" s="478"/>
      <c r="AK19" s="477"/>
      <c r="AL19" s="476"/>
      <c r="AM19" s="477"/>
      <c r="AN19" s="477"/>
      <c r="AO19" s="477"/>
      <c r="AP19" s="477"/>
      <c r="AQ19" s="477"/>
      <c r="AR19" s="477"/>
      <c r="AS19" s="477"/>
      <c r="AT19" s="480"/>
      <c r="AU19" s="475"/>
      <c r="AV19" s="475"/>
      <c r="AW19" s="475"/>
      <c r="AX19" s="480"/>
      <c r="AY19" s="475"/>
      <c r="AZ19" s="475"/>
      <c r="BA19" s="475"/>
      <c r="BB19" s="477">
        <f t="shared" si="2"/>
        <v>173437</v>
      </c>
      <c r="BC19" s="477">
        <f t="shared" si="0"/>
        <v>50244.784000000014</v>
      </c>
    </row>
    <row r="20" spans="1:55" s="195" customFormat="1" x14ac:dyDescent="0.25">
      <c r="B20" s="186">
        <f t="shared" si="3"/>
        <v>4</v>
      </c>
      <c r="C20" s="186" t="s">
        <v>38</v>
      </c>
      <c r="D20" s="450">
        <v>30102811</v>
      </c>
      <c r="E20" s="451" t="s">
        <v>531</v>
      </c>
      <c r="F20" s="451" t="s">
        <v>200</v>
      </c>
      <c r="G20" s="473" t="s">
        <v>525</v>
      </c>
      <c r="H20" s="451" t="s">
        <v>530</v>
      </c>
      <c r="I20" s="451" t="s">
        <v>42</v>
      </c>
      <c r="J20" s="474">
        <v>1014086</v>
      </c>
      <c r="K20" s="474">
        <v>983851</v>
      </c>
      <c r="L20" s="474">
        <v>30235</v>
      </c>
      <c r="M20" s="475">
        <v>482</v>
      </c>
      <c r="N20" s="475">
        <v>29752.972000000002</v>
      </c>
      <c r="O20" s="475"/>
      <c r="P20" s="475">
        <v>0</v>
      </c>
      <c r="Q20" s="475">
        <v>0</v>
      </c>
      <c r="R20" s="475">
        <v>0</v>
      </c>
      <c r="S20" s="475"/>
      <c r="T20" s="475"/>
      <c r="U20" s="475"/>
      <c r="V20" s="475"/>
      <c r="W20" s="475"/>
      <c r="X20" s="475"/>
      <c r="Y20" s="475">
        <f t="shared" si="1"/>
        <v>30234.972000000002</v>
      </c>
      <c r="Z20" s="476">
        <v>30235</v>
      </c>
      <c r="AA20" s="477">
        <v>5</v>
      </c>
      <c r="AB20" s="478">
        <v>44216</v>
      </c>
      <c r="AC20" s="479">
        <v>44225</v>
      </c>
      <c r="AD20" s="476"/>
      <c r="AE20" s="477"/>
      <c r="AF20" s="478"/>
      <c r="AG20" s="478"/>
      <c r="AH20" s="476"/>
      <c r="AI20" s="477"/>
      <c r="AJ20" s="478"/>
      <c r="AK20" s="477"/>
      <c r="AL20" s="476"/>
      <c r="AM20" s="477"/>
      <c r="AN20" s="477"/>
      <c r="AO20" s="477"/>
      <c r="AP20" s="477"/>
      <c r="AQ20" s="477"/>
      <c r="AR20" s="477"/>
      <c r="AS20" s="477"/>
      <c r="AT20" s="480"/>
      <c r="AU20" s="475"/>
      <c r="AV20" s="475"/>
      <c r="AW20" s="475"/>
      <c r="AX20" s="480"/>
      <c r="AY20" s="475"/>
      <c r="AZ20" s="475"/>
      <c r="BA20" s="475"/>
      <c r="BB20" s="477">
        <f t="shared" si="2"/>
        <v>30235</v>
      </c>
      <c r="BC20" s="477">
        <f t="shared" si="0"/>
        <v>2.7999999998428393E-2</v>
      </c>
    </row>
    <row r="21" spans="1:55" s="195" customFormat="1" x14ac:dyDescent="0.25">
      <c r="B21" s="186">
        <f t="shared" si="3"/>
        <v>5</v>
      </c>
      <c r="C21" s="186" t="s">
        <v>40</v>
      </c>
      <c r="D21" s="450">
        <v>30132855</v>
      </c>
      <c r="E21" s="451" t="s">
        <v>532</v>
      </c>
      <c r="F21" s="451" t="s">
        <v>200</v>
      </c>
      <c r="G21" s="473" t="s">
        <v>525</v>
      </c>
      <c r="H21" s="451" t="s">
        <v>533</v>
      </c>
      <c r="I21" s="451" t="s">
        <v>42</v>
      </c>
      <c r="J21" s="474">
        <v>138089</v>
      </c>
      <c r="K21" s="474">
        <v>69274</v>
      </c>
      <c r="L21" s="474">
        <v>68815</v>
      </c>
      <c r="M21" s="475"/>
      <c r="N21" s="475"/>
      <c r="O21" s="475"/>
      <c r="P21" s="475">
        <v>19500</v>
      </c>
      <c r="Q21" s="475">
        <v>0</v>
      </c>
      <c r="R21" s="475">
        <v>0</v>
      </c>
      <c r="S21" s="475"/>
      <c r="T21" s="475"/>
      <c r="U21" s="475"/>
      <c r="V21" s="475"/>
      <c r="W21" s="475"/>
      <c r="X21" s="475"/>
      <c r="Y21" s="475">
        <f t="shared" si="1"/>
        <v>19500</v>
      </c>
      <c r="Z21" s="476">
        <v>65001</v>
      </c>
      <c r="AA21" s="477">
        <v>5</v>
      </c>
      <c r="AB21" s="478">
        <v>44216</v>
      </c>
      <c r="AC21" s="479">
        <v>44225</v>
      </c>
      <c r="AD21" s="476"/>
      <c r="AE21" s="477"/>
      <c r="AF21" s="478"/>
      <c r="AG21" s="478"/>
      <c r="AH21" s="476"/>
      <c r="AI21" s="477"/>
      <c r="AJ21" s="478"/>
      <c r="AK21" s="477"/>
      <c r="AL21" s="476"/>
      <c r="AM21" s="477"/>
      <c r="AN21" s="477"/>
      <c r="AO21" s="477"/>
      <c r="AP21" s="477"/>
      <c r="AQ21" s="477"/>
      <c r="AR21" s="477"/>
      <c r="AS21" s="477"/>
      <c r="AT21" s="480"/>
      <c r="AU21" s="475"/>
      <c r="AV21" s="475"/>
      <c r="AW21" s="475"/>
      <c r="AX21" s="480"/>
      <c r="AY21" s="475"/>
      <c r="AZ21" s="475"/>
      <c r="BA21" s="475"/>
      <c r="BB21" s="477">
        <f t="shared" si="2"/>
        <v>65001</v>
      </c>
      <c r="BC21" s="477">
        <f t="shared" si="0"/>
        <v>45501</v>
      </c>
    </row>
    <row r="22" spans="1:55" s="195" customFormat="1" x14ac:dyDescent="0.25">
      <c r="B22" s="186">
        <f t="shared" si="3"/>
        <v>6</v>
      </c>
      <c r="C22" s="186" t="s">
        <v>38</v>
      </c>
      <c r="D22" s="450">
        <v>30134987</v>
      </c>
      <c r="E22" s="451" t="s">
        <v>534</v>
      </c>
      <c r="F22" s="451" t="s">
        <v>200</v>
      </c>
      <c r="G22" s="473" t="s">
        <v>525</v>
      </c>
      <c r="H22" s="451" t="s">
        <v>535</v>
      </c>
      <c r="I22" s="451" t="s">
        <v>42</v>
      </c>
      <c r="J22" s="474">
        <v>238414</v>
      </c>
      <c r="K22" s="474">
        <v>226120</v>
      </c>
      <c r="L22" s="474">
        <v>12294</v>
      </c>
      <c r="M22" s="475">
        <v>820.89099999999996</v>
      </c>
      <c r="N22" s="475">
        <v>5082.7629999999999</v>
      </c>
      <c r="O22" s="475"/>
      <c r="P22" s="475">
        <v>4577.3149999999996</v>
      </c>
      <c r="Q22" s="475">
        <v>0</v>
      </c>
      <c r="R22" s="475">
        <v>0</v>
      </c>
      <c r="S22" s="475"/>
      <c r="T22" s="475"/>
      <c r="U22" s="475"/>
      <c r="V22" s="475"/>
      <c r="W22" s="475"/>
      <c r="X22" s="475"/>
      <c r="Y22" s="475">
        <f t="shared" si="1"/>
        <v>10480.968999999999</v>
      </c>
      <c r="Z22" s="476">
        <v>12294</v>
      </c>
      <c r="AA22" s="477">
        <v>5</v>
      </c>
      <c r="AB22" s="478">
        <v>44216</v>
      </c>
      <c r="AC22" s="479">
        <v>44225</v>
      </c>
      <c r="AD22" s="476"/>
      <c r="AE22" s="477"/>
      <c r="AF22" s="478"/>
      <c r="AG22" s="478"/>
      <c r="AH22" s="476"/>
      <c r="AI22" s="477"/>
      <c r="AJ22" s="478"/>
      <c r="AK22" s="477"/>
      <c r="AL22" s="476"/>
      <c r="AM22" s="477"/>
      <c r="AN22" s="477"/>
      <c r="AO22" s="477"/>
      <c r="AP22" s="477"/>
      <c r="AQ22" s="477"/>
      <c r="AR22" s="477"/>
      <c r="AS22" s="477"/>
      <c r="AT22" s="480"/>
      <c r="AU22" s="475"/>
      <c r="AV22" s="475"/>
      <c r="AW22" s="475"/>
      <c r="AX22" s="480"/>
      <c r="AY22" s="475"/>
      <c r="AZ22" s="475"/>
      <c r="BA22" s="475"/>
      <c r="BB22" s="477">
        <f t="shared" si="2"/>
        <v>12294</v>
      </c>
      <c r="BC22" s="477">
        <f t="shared" si="0"/>
        <v>1813.0310000000009</v>
      </c>
    </row>
    <row r="23" spans="1:55" s="195" customFormat="1" x14ac:dyDescent="0.25">
      <c r="B23" s="186">
        <f t="shared" si="3"/>
        <v>7</v>
      </c>
      <c r="C23" s="186" t="s">
        <v>38</v>
      </c>
      <c r="D23" s="450">
        <v>30129952</v>
      </c>
      <c r="E23" s="451" t="s">
        <v>536</v>
      </c>
      <c r="F23" s="451" t="s">
        <v>200</v>
      </c>
      <c r="G23" s="473" t="s">
        <v>525</v>
      </c>
      <c r="H23" s="451" t="s">
        <v>537</v>
      </c>
      <c r="I23" s="451" t="s">
        <v>42</v>
      </c>
      <c r="J23" s="474">
        <v>2525528</v>
      </c>
      <c r="K23" s="474">
        <v>2225816</v>
      </c>
      <c r="L23" s="474">
        <v>299712</v>
      </c>
      <c r="M23" s="475"/>
      <c r="N23" s="475">
        <v>164006.09000000003</v>
      </c>
      <c r="O23" s="475"/>
      <c r="P23" s="475">
        <v>24328.36</v>
      </c>
      <c r="Q23" s="475">
        <v>35234.561000000002</v>
      </c>
      <c r="R23" s="475">
        <v>7053.7250000000004</v>
      </c>
      <c r="S23" s="475"/>
      <c r="T23" s="475"/>
      <c r="U23" s="475"/>
      <c r="V23" s="475"/>
      <c r="W23" s="475"/>
      <c r="X23" s="475"/>
      <c r="Y23" s="475">
        <f t="shared" si="1"/>
        <v>230622.736</v>
      </c>
      <c r="Z23" s="476">
        <v>299712</v>
      </c>
      <c r="AA23" s="477">
        <v>5</v>
      </c>
      <c r="AB23" s="478">
        <v>44216</v>
      </c>
      <c r="AC23" s="479">
        <v>44225</v>
      </c>
      <c r="AD23" s="476"/>
      <c r="AE23" s="477"/>
      <c r="AF23" s="478"/>
      <c r="AG23" s="478"/>
      <c r="AH23" s="476"/>
      <c r="AI23" s="477"/>
      <c r="AJ23" s="478"/>
      <c r="AK23" s="477"/>
      <c r="AL23" s="476"/>
      <c r="AM23" s="477"/>
      <c r="AN23" s="477"/>
      <c r="AO23" s="477"/>
      <c r="AP23" s="477"/>
      <c r="AQ23" s="477"/>
      <c r="AR23" s="477"/>
      <c r="AS23" s="477"/>
      <c r="AT23" s="480"/>
      <c r="AU23" s="475"/>
      <c r="AV23" s="475"/>
      <c r="AW23" s="475"/>
      <c r="AX23" s="480"/>
      <c r="AY23" s="475"/>
      <c r="AZ23" s="475"/>
      <c r="BA23" s="475"/>
      <c r="BB23" s="477">
        <f t="shared" si="2"/>
        <v>299712</v>
      </c>
      <c r="BC23" s="477">
        <f t="shared" si="0"/>
        <v>69089.263999999996</v>
      </c>
    </row>
    <row r="24" spans="1:55" s="195" customFormat="1" ht="22.5" x14ac:dyDescent="0.25">
      <c r="B24" s="186">
        <f t="shared" si="3"/>
        <v>8</v>
      </c>
      <c r="C24" s="186" t="s">
        <v>38</v>
      </c>
      <c r="D24" s="450">
        <v>30480266</v>
      </c>
      <c r="E24" s="451" t="s">
        <v>538</v>
      </c>
      <c r="F24" s="451" t="s">
        <v>539</v>
      </c>
      <c r="G24" s="473" t="s">
        <v>525</v>
      </c>
      <c r="H24" s="451" t="s">
        <v>44</v>
      </c>
      <c r="I24" s="451" t="s">
        <v>42</v>
      </c>
      <c r="J24" s="474">
        <v>182653</v>
      </c>
      <c r="K24" s="474">
        <v>156178</v>
      </c>
      <c r="L24" s="474">
        <v>26475</v>
      </c>
      <c r="M24" s="475"/>
      <c r="N24" s="475">
        <v>26475</v>
      </c>
      <c r="O24" s="475"/>
      <c r="P24" s="475">
        <v>0</v>
      </c>
      <c r="Q24" s="475">
        <v>0</v>
      </c>
      <c r="R24" s="475">
        <v>0</v>
      </c>
      <c r="S24" s="475"/>
      <c r="T24" s="475"/>
      <c r="U24" s="475"/>
      <c r="V24" s="475"/>
      <c r="W24" s="475"/>
      <c r="X24" s="475"/>
      <c r="Y24" s="475">
        <f t="shared" si="1"/>
        <v>26475</v>
      </c>
      <c r="Z24" s="476">
        <v>26475</v>
      </c>
      <c r="AA24" s="477">
        <v>5</v>
      </c>
      <c r="AB24" s="478">
        <v>44216</v>
      </c>
      <c r="AC24" s="479">
        <v>44225</v>
      </c>
      <c r="AD24" s="476"/>
      <c r="AE24" s="477"/>
      <c r="AF24" s="478"/>
      <c r="AG24" s="478"/>
      <c r="AH24" s="476"/>
      <c r="AI24" s="477"/>
      <c r="AJ24" s="478"/>
      <c r="AK24" s="477"/>
      <c r="AL24" s="476"/>
      <c r="AM24" s="477"/>
      <c r="AN24" s="477"/>
      <c r="AO24" s="477"/>
      <c r="AP24" s="477"/>
      <c r="AQ24" s="477"/>
      <c r="AR24" s="477"/>
      <c r="AS24" s="477"/>
      <c r="AT24" s="480"/>
      <c r="AU24" s="475"/>
      <c r="AV24" s="475"/>
      <c r="AW24" s="475"/>
      <c r="AX24" s="480"/>
      <c r="AY24" s="475"/>
      <c r="AZ24" s="475"/>
      <c r="BA24" s="475"/>
      <c r="BB24" s="477">
        <f t="shared" si="2"/>
        <v>26475</v>
      </c>
      <c r="BC24" s="477">
        <f t="shared" si="0"/>
        <v>0</v>
      </c>
    </row>
    <row r="25" spans="1:55" s="195" customFormat="1" ht="22.5" x14ac:dyDescent="0.25">
      <c r="B25" s="186">
        <f t="shared" si="3"/>
        <v>9</v>
      </c>
      <c r="C25" s="186" t="s">
        <v>38</v>
      </c>
      <c r="D25" s="450">
        <v>30453472</v>
      </c>
      <c r="E25" s="451" t="s">
        <v>540</v>
      </c>
      <c r="F25" s="451" t="s">
        <v>200</v>
      </c>
      <c r="G25" s="473" t="s">
        <v>525</v>
      </c>
      <c r="H25" s="451" t="s">
        <v>541</v>
      </c>
      <c r="I25" s="451" t="s">
        <v>42</v>
      </c>
      <c r="J25" s="474">
        <v>3425131</v>
      </c>
      <c r="K25" s="474">
        <v>2672181</v>
      </c>
      <c r="L25" s="474">
        <v>752950</v>
      </c>
      <c r="M25" s="475">
        <v>2052</v>
      </c>
      <c r="N25" s="475"/>
      <c r="O25" s="475"/>
      <c r="P25" s="475">
        <v>0</v>
      </c>
      <c r="Q25" s="475">
        <v>0</v>
      </c>
      <c r="R25" s="475">
        <v>0</v>
      </c>
      <c r="S25" s="475"/>
      <c r="T25" s="475"/>
      <c r="U25" s="475"/>
      <c r="V25" s="475"/>
      <c r="W25" s="475"/>
      <c r="X25" s="475"/>
      <c r="Y25" s="475">
        <f t="shared" si="1"/>
        <v>2052</v>
      </c>
      <c r="Z25" s="476">
        <v>751843</v>
      </c>
      <c r="AA25" s="477">
        <v>5</v>
      </c>
      <c r="AB25" s="478">
        <v>44216</v>
      </c>
      <c r="AC25" s="479">
        <v>44225</v>
      </c>
      <c r="AD25" s="476"/>
      <c r="AE25" s="477"/>
      <c r="AF25" s="478"/>
      <c r="AG25" s="478"/>
      <c r="AH25" s="476"/>
      <c r="AI25" s="477"/>
      <c r="AJ25" s="478"/>
      <c r="AK25" s="477"/>
      <c r="AL25" s="476"/>
      <c r="AM25" s="477"/>
      <c r="AN25" s="477"/>
      <c r="AO25" s="477"/>
      <c r="AP25" s="477"/>
      <c r="AQ25" s="477"/>
      <c r="AR25" s="477"/>
      <c r="AS25" s="477"/>
      <c r="AT25" s="480"/>
      <c r="AU25" s="475"/>
      <c r="AV25" s="475"/>
      <c r="AW25" s="475"/>
      <c r="AX25" s="480"/>
      <c r="AY25" s="475"/>
      <c r="AZ25" s="475"/>
      <c r="BA25" s="475"/>
      <c r="BB25" s="477">
        <f t="shared" si="2"/>
        <v>751843</v>
      </c>
      <c r="BC25" s="477">
        <f t="shared" si="0"/>
        <v>749791</v>
      </c>
    </row>
    <row r="26" spans="1:55" s="195" customFormat="1" ht="22.5" x14ac:dyDescent="0.25">
      <c r="B26" s="186">
        <f t="shared" si="3"/>
        <v>10</v>
      </c>
      <c r="C26" s="186" t="s">
        <v>38</v>
      </c>
      <c r="D26" s="450">
        <v>40000834</v>
      </c>
      <c r="E26" s="451" t="s">
        <v>542</v>
      </c>
      <c r="F26" s="451" t="s">
        <v>543</v>
      </c>
      <c r="G26" s="473" t="s">
        <v>525</v>
      </c>
      <c r="H26" s="451" t="s">
        <v>544</v>
      </c>
      <c r="I26" s="451" t="s">
        <v>42</v>
      </c>
      <c r="J26" s="474">
        <v>98881</v>
      </c>
      <c r="K26" s="474">
        <v>79861</v>
      </c>
      <c r="L26" s="474">
        <v>19020</v>
      </c>
      <c r="M26" s="475"/>
      <c r="N26" s="475"/>
      <c r="O26" s="475"/>
      <c r="P26" s="475"/>
      <c r="Q26" s="475"/>
      <c r="R26" s="475"/>
      <c r="S26" s="475"/>
      <c r="T26" s="475"/>
      <c r="U26" s="475"/>
      <c r="V26" s="475"/>
      <c r="W26" s="475"/>
      <c r="X26" s="475"/>
      <c r="Y26" s="475">
        <f t="shared" si="1"/>
        <v>0</v>
      </c>
      <c r="Z26" s="476">
        <v>19020</v>
      </c>
      <c r="AA26" s="477">
        <v>5</v>
      </c>
      <c r="AB26" s="478">
        <v>44216</v>
      </c>
      <c r="AC26" s="479">
        <v>44225</v>
      </c>
      <c r="AD26" s="476"/>
      <c r="AE26" s="477"/>
      <c r="AF26" s="478"/>
      <c r="AG26" s="478"/>
      <c r="AH26" s="476"/>
      <c r="AI26" s="477"/>
      <c r="AJ26" s="478"/>
      <c r="AK26" s="477"/>
      <c r="AL26" s="476"/>
      <c r="AM26" s="477"/>
      <c r="AN26" s="477"/>
      <c r="AO26" s="477"/>
      <c r="AP26" s="477"/>
      <c r="AQ26" s="477"/>
      <c r="AR26" s="477"/>
      <c r="AS26" s="477"/>
      <c r="AT26" s="480"/>
      <c r="AU26" s="475"/>
      <c r="AV26" s="475"/>
      <c r="AW26" s="475"/>
      <c r="AX26" s="480"/>
      <c r="AY26" s="475"/>
      <c r="AZ26" s="475"/>
      <c r="BA26" s="475"/>
      <c r="BB26" s="477">
        <f t="shared" si="2"/>
        <v>19020</v>
      </c>
      <c r="BC26" s="477">
        <f t="shared" si="0"/>
        <v>19020</v>
      </c>
    </row>
    <row r="27" spans="1:55" s="195" customFormat="1" ht="22.5" x14ac:dyDescent="0.25">
      <c r="B27" s="186">
        <f t="shared" si="3"/>
        <v>11</v>
      </c>
      <c r="C27" s="186" t="s">
        <v>38</v>
      </c>
      <c r="D27" s="450">
        <v>40001982</v>
      </c>
      <c r="E27" s="451" t="s">
        <v>545</v>
      </c>
      <c r="F27" s="451" t="s">
        <v>200</v>
      </c>
      <c r="G27" s="473" t="s">
        <v>525</v>
      </c>
      <c r="H27" s="451" t="s">
        <v>525</v>
      </c>
      <c r="I27" s="451" t="s">
        <v>42</v>
      </c>
      <c r="J27" s="474">
        <v>2997357</v>
      </c>
      <c r="K27" s="474">
        <v>1257402</v>
      </c>
      <c r="L27" s="474">
        <v>1739955</v>
      </c>
      <c r="M27" s="475">
        <v>17634.953000000001</v>
      </c>
      <c r="N27" s="475">
        <v>530913.59100000001</v>
      </c>
      <c r="O27" s="475"/>
      <c r="P27" s="475">
        <v>233917.745</v>
      </c>
      <c r="Q27" s="475">
        <v>14667.119000000001</v>
      </c>
      <c r="R27" s="475">
        <v>645481.03999999992</v>
      </c>
      <c r="S27" s="475"/>
      <c r="T27" s="475"/>
      <c r="U27" s="475"/>
      <c r="V27" s="475"/>
      <c r="W27" s="475"/>
      <c r="X27" s="475"/>
      <c r="Y27" s="475">
        <f t="shared" si="1"/>
        <v>1442614.4479999999</v>
      </c>
      <c r="Z27" s="476">
        <v>1739955</v>
      </c>
      <c r="AA27" s="477">
        <v>5</v>
      </c>
      <c r="AB27" s="478">
        <v>44216</v>
      </c>
      <c r="AC27" s="479">
        <v>44225</v>
      </c>
      <c r="AD27" s="476"/>
      <c r="AE27" s="477"/>
      <c r="AF27" s="478"/>
      <c r="AG27" s="478"/>
      <c r="AH27" s="476"/>
      <c r="AI27" s="477"/>
      <c r="AJ27" s="478"/>
      <c r="AK27" s="477"/>
      <c r="AL27" s="476"/>
      <c r="AM27" s="477"/>
      <c r="AN27" s="477"/>
      <c r="AO27" s="477"/>
      <c r="AP27" s="477"/>
      <c r="AQ27" s="477"/>
      <c r="AR27" s="477"/>
      <c r="AS27" s="477"/>
      <c r="AT27" s="480"/>
      <c r="AU27" s="475"/>
      <c r="AV27" s="475"/>
      <c r="AW27" s="475"/>
      <c r="AX27" s="480"/>
      <c r="AY27" s="475"/>
      <c r="AZ27" s="475"/>
      <c r="BA27" s="475"/>
      <c r="BB27" s="477">
        <f t="shared" si="2"/>
        <v>1739955</v>
      </c>
      <c r="BC27" s="477">
        <f t="shared" si="0"/>
        <v>297340.55200000014</v>
      </c>
    </row>
    <row r="28" spans="1:55" s="195" customFormat="1" x14ac:dyDescent="0.25">
      <c r="B28" s="186">
        <f t="shared" si="3"/>
        <v>12</v>
      </c>
      <c r="C28" s="186" t="s">
        <v>38</v>
      </c>
      <c r="D28" s="450">
        <v>30244322</v>
      </c>
      <c r="E28" s="451" t="s">
        <v>546</v>
      </c>
      <c r="F28" s="451" t="s">
        <v>200</v>
      </c>
      <c r="G28" s="473" t="s">
        <v>525</v>
      </c>
      <c r="H28" s="451" t="s">
        <v>547</v>
      </c>
      <c r="I28" s="451" t="s">
        <v>42</v>
      </c>
      <c r="J28" s="474">
        <v>675648</v>
      </c>
      <c r="K28" s="474">
        <v>288606</v>
      </c>
      <c r="L28" s="474">
        <v>387042</v>
      </c>
      <c r="M28" s="475">
        <v>64741.338000000003</v>
      </c>
      <c r="N28" s="475">
        <v>1759.5840000000001</v>
      </c>
      <c r="O28" s="475"/>
      <c r="P28" s="475">
        <v>0</v>
      </c>
      <c r="Q28" s="475">
        <v>0</v>
      </c>
      <c r="R28" s="475">
        <v>0</v>
      </c>
      <c r="S28" s="475"/>
      <c r="T28" s="475"/>
      <c r="U28" s="475"/>
      <c r="V28" s="475"/>
      <c r="W28" s="475"/>
      <c r="X28" s="475"/>
      <c r="Y28" s="475">
        <f t="shared" si="1"/>
        <v>66500.922000000006</v>
      </c>
      <c r="Z28" s="476">
        <v>385963</v>
      </c>
      <c r="AA28" s="477">
        <v>5</v>
      </c>
      <c r="AB28" s="478">
        <v>44216</v>
      </c>
      <c r="AC28" s="479">
        <v>44225</v>
      </c>
      <c r="AD28" s="476"/>
      <c r="AE28" s="477"/>
      <c r="AF28" s="478"/>
      <c r="AG28" s="478"/>
      <c r="AH28" s="476"/>
      <c r="AI28" s="477"/>
      <c r="AJ28" s="478"/>
      <c r="AK28" s="477"/>
      <c r="AL28" s="476"/>
      <c r="AM28" s="477"/>
      <c r="AN28" s="477"/>
      <c r="AO28" s="477"/>
      <c r="AP28" s="477"/>
      <c r="AQ28" s="477"/>
      <c r="AR28" s="477"/>
      <c r="AS28" s="477"/>
      <c r="AT28" s="480"/>
      <c r="AU28" s="475"/>
      <c r="AV28" s="475"/>
      <c r="AW28" s="475"/>
      <c r="AX28" s="480"/>
      <c r="AY28" s="475"/>
      <c r="AZ28" s="475"/>
      <c r="BA28" s="475"/>
      <c r="BB28" s="477">
        <f t="shared" si="2"/>
        <v>385963</v>
      </c>
      <c r="BC28" s="477">
        <f t="shared" si="0"/>
        <v>319462.07799999998</v>
      </c>
    </row>
    <row r="29" spans="1:55" s="195" customFormat="1" x14ac:dyDescent="0.25">
      <c r="B29" s="186">
        <f t="shared" si="3"/>
        <v>13</v>
      </c>
      <c r="C29" s="186" t="s">
        <v>38</v>
      </c>
      <c r="D29" s="450">
        <v>40000335</v>
      </c>
      <c r="E29" s="451" t="s">
        <v>548</v>
      </c>
      <c r="F29" s="451" t="s">
        <v>200</v>
      </c>
      <c r="G29" s="473" t="s">
        <v>525</v>
      </c>
      <c r="H29" s="451" t="s">
        <v>549</v>
      </c>
      <c r="I29" s="451" t="s">
        <v>42</v>
      </c>
      <c r="J29" s="474">
        <v>627082</v>
      </c>
      <c r="K29" s="474">
        <v>421822</v>
      </c>
      <c r="L29" s="474">
        <v>205260</v>
      </c>
      <c r="M29" s="475"/>
      <c r="N29" s="475"/>
      <c r="O29" s="475">
        <v>44475.321000000004</v>
      </c>
      <c r="P29" s="475">
        <v>0</v>
      </c>
      <c r="Q29" s="475">
        <v>51648.957999999999</v>
      </c>
      <c r="R29" s="475">
        <v>0</v>
      </c>
      <c r="S29" s="475"/>
      <c r="T29" s="475"/>
      <c r="U29" s="475"/>
      <c r="V29" s="475"/>
      <c r="W29" s="475"/>
      <c r="X29" s="475"/>
      <c r="Y29" s="475">
        <f t="shared" si="1"/>
        <v>96124.27900000001</v>
      </c>
      <c r="Z29" s="476">
        <v>202560</v>
      </c>
      <c r="AA29" s="477">
        <v>5</v>
      </c>
      <c r="AB29" s="478">
        <v>44216</v>
      </c>
      <c r="AC29" s="479">
        <v>44225</v>
      </c>
      <c r="AD29" s="476"/>
      <c r="AE29" s="477"/>
      <c r="AF29" s="478"/>
      <c r="AG29" s="478"/>
      <c r="AH29" s="476"/>
      <c r="AI29" s="477"/>
      <c r="AJ29" s="478"/>
      <c r="AK29" s="477"/>
      <c r="AL29" s="476"/>
      <c r="AM29" s="477"/>
      <c r="AN29" s="477"/>
      <c r="AO29" s="477"/>
      <c r="AP29" s="477"/>
      <c r="AQ29" s="477"/>
      <c r="AR29" s="477"/>
      <c r="AS29" s="477"/>
      <c r="AT29" s="480"/>
      <c r="AU29" s="475"/>
      <c r="AV29" s="475"/>
      <c r="AW29" s="475"/>
      <c r="AX29" s="480"/>
      <c r="AY29" s="475"/>
      <c r="AZ29" s="475"/>
      <c r="BA29" s="475"/>
      <c r="BB29" s="477">
        <f t="shared" si="2"/>
        <v>202560</v>
      </c>
      <c r="BC29" s="477">
        <f t="shared" si="0"/>
        <v>106435.72099999999</v>
      </c>
    </row>
    <row r="30" spans="1:55" s="195" customFormat="1" x14ac:dyDescent="0.25">
      <c r="B30" s="186">
        <f t="shared" si="3"/>
        <v>14</v>
      </c>
      <c r="C30" s="186" t="s">
        <v>38</v>
      </c>
      <c r="D30" s="450">
        <v>30134815</v>
      </c>
      <c r="E30" s="451" t="s">
        <v>550</v>
      </c>
      <c r="F30" s="451" t="s">
        <v>200</v>
      </c>
      <c r="G30" s="473" t="s">
        <v>525</v>
      </c>
      <c r="H30" s="451" t="s">
        <v>528</v>
      </c>
      <c r="I30" s="451" t="s">
        <v>42</v>
      </c>
      <c r="J30" s="474">
        <v>306300</v>
      </c>
      <c r="K30" s="474">
        <v>160531</v>
      </c>
      <c r="L30" s="474">
        <v>145769</v>
      </c>
      <c r="M30" s="475">
        <v>79379.148000000001</v>
      </c>
      <c r="N30" s="475">
        <v>30023.366999999998</v>
      </c>
      <c r="O30" s="475"/>
      <c r="P30" s="475">
        <v>29742.573</v>
      </c>
      <c r="Q30" s="475">
        <v>0</v>
      </c>
      <c r="R30" s="475">
        <v>0</v>
      </c>
      <c r="S30" s="475"/>
      <c r="T30" s="475"/>
      <c r="U30" s="475"/>
      <c r="V30" s="475"/>
      <c r="W30" s="475"/>
      <c r="X30" s="475"/>
      <c r="Y30" s="475">
        <f t="shared" si="1"/>
        <v>139145.08799999999</v>
      </c>
      <c r="Z30" s="476">
        <v>145769</v>
      </c>
      <c r="AA30" s="477">
        <v>5</v>
      </c>
      <c r="AB30" s="478">
        <v>44216</v>
      </c>
      <c r="AC30" s="479">
        <v>44225</v>
      </c>
      <c r="AD30" s="476"/>
      <c r="AE30" s="477"/>
      <c r="AF30" s="478"/>
      <c r="AG30" s="478"/>
      <c r="AH30" s="476"/>
      <c r="AI30" s="477"/>
      <c r="AJ30" s="478"/>
      <c r="AK30" s="477"/>
      <c r="AL30" s="476"/>
      <c r="AM30" s="477"/>
      <c r="AN30" s="477"/>
      <c r="AO30" s="477"/>
      <c r="AP30" s="477"/>
      <c r="AQ30" s="477"/>
      <c r="AR30" s="477"/>
      <c r="AS30" s="477"/>
      <c r="AT30" s="480"/>
      <c r="AU30" s="475"/>
      <c r="AV30" s="475"/>
      <c r="AW30" s="475"/>
      <c r="AX30" s="480"/>
      <c r="AY30" s="475"/>
      <c r="AZ30" s="475"/>
      <c r="BA30" s="475"/>
      <c r="BB30" s="477">
        <f t="shared" si="2"/>
        <v>145769</v>
      </c>
      <c r="BC30" s="477">
        <f t="shared" si="0"/>
        <v>6623.9120000000112</v>
      </c>
    </row>
    <row r="31" spans="1:55" s="195" customFormat="1" x14ac:dyDescent="0.25">
      <c r="B31" s="186">
        <f t="shared" si="3"/>
        <v>15</v>
      </c>
      <c r="C31" s="186" t="s">
        <v>38</v>
      </c>
      <c r="D31" s="450">
        <v>40000111</v>
      </c>
      <c r="E31" s="451" t="s">
        <v>551</v>
      </c>
      <c r="F31" s="451" t="s">
        <v>200</v>
      </c>
      <c r="G31" s="473" t="s">
        <v>525</v>
      </c>
      <c r="H31" s="451" t="s">
        <v>528</v>
      </c>
      <c r="I31" s="451" t="s">
        <v>42</v>
      </c>
      <c r="J31" s="474">
        <v>199839</v>
      </c>
      <c r="K31" s="474">
        <v>104264</v>
      </c>
      <c r="L31" s="474">
        <v>95575</v>
      </c>
      <c r="M31" s="475"/>
      <c r="N31" s="475"/>
      <c r="O31" s="475"/>
      <c r="P31" s="475">
        <v>33891.112999999998</v>
      </c>
      <c r="Q31" s="475">
        <v>41214.481</v>
      </c>
      <c r="R31" s="475">
        <v>0</v>
      </c>
      <c r="S31" s="475"/>
      <c r="T31" s="475"/>
      <c r="U31" s="475"/>
      <c r="V31" s="475"/>
      <c r="W31" s="475"/>
      <c r="X31" s="475"/>
      <c r="Y31" s="475">
        <f t="shared" si="1"/>
        <v>75105.593999999997</v>
      </c>
      <c r="Z31" s="476">
        <v>88409</v>
      </c>
      <c r="AA31" s="477">
        <v>5</v>
      </c>
      <c r="AB31" s="478">
        <v>44216</v>
      </c>
      <c r="AC31" s="479">
        <v>44225</v>
      </c>
      <c r="AD31" s="476"/>
      <c r="AE31" s="477"/>
      <c r="AF31" s="478"/>
      <c r="AG31" s="478"/>
      <c r="AH31" s="476"/>
      <c r="AI31" s="477"/>
      <c r="AJ31" s="478"/>
      <c r="AK31" s="477"/>
      <c r="AL31" s="476"/>
      <c r="AM31" s="477"/>
      <c r="AN31" s="477"/>
      <c r="AO31" s="477"/>
      <c r="AP31" s="477"/>
      <c r="AQ31" s="477"/>
      <c r="AR31" s="477"/>
      <c r="AS31" s="477"/>
      <c r="AT31" s="480"/>
      <c r="AU31" s="475"/>
      <c r="AV31" s="475"/>
      <c r="AW31" s="475"/>
      <c r="AX31" s="480"/>
      <c r="AY31" s="475"/>
      <c r="AZ31" s="475"/>
      <c r="BA31" s="475"/>
      <c r="BB31" s="477">
        <f t="shared" si="2"/>
        <v>88409</v>
      </c>
      <c r="BC31" s="477">
        <f t="shared" si="0"/>
        <v>13303.406000000003</v>
      </c>
    </row>
    <row r="32" spans="1:55" s="195" customFormat="1" x14ac:dyDescent="0.25">
      <c r="B32" s="186">
        <f t="shared" si="3"/>
        <v>16</v>
      </c>
      <c r="C32" s="186" t="s">
        <v>38</v>
      </c>
      <c r="D32" s="450">
        <v>30473436</v>
      </c>
      <c r="E32" s="451" t="s">
        <v>552</v>
      </c>
      <c r="F32" s="451" t="s">
        <v>200</v>
      </c>
      <c r="G32" s="473" t="s">
        <v>525</v>
      </c>
      <c r="H32" s="451" t="s">
        <v>528</v>
      </c>
      <c r="I32" s="451" t="s">
        <v>42</v>
      </c>
      <c r="J32" s="474">
        <v>63498</v>
      </c>
      <c r="K32" s="474">
        <v>46485</v>
      </c>
      <c r="L32" s="474">
        <v>17013</v>
      </c>
      <c r="M32" s="475"/>
      <c r="N32" s="475"/>
      <c r="O32" s="475">
        <v>17012.834999999999</v>
      </c>
      <c r="P32" s="475">
        <v>0</v>
      </c>
      <c r="Q32" s="475">
        <v>0</v>
      </c>
      <c r="R32" s="475">
        <v>0</v>
      </c>
      <c r="S32" s="475"/>
      <c r="T32" s="475"/>
      <c r="U32" s="475"/>
      <c r="V32" s="475"/>
      <c r="W32" s="475"/>
      <c r="X32" s="475"/>
      <c r="Y32" s="475">
        <f t="shared" si="1"/>
        <v>17012.834999999999</v>
      </c>
      <c r="Z32" s="476">
        <v>17013</v>
      </c>
      <c r="AA32" s="477">
        <v>5</v>
      </c>
      <c r="AB32" s="478">
        <v>44216</v>
      </c>
      <c r="AC32" s="479">
        <v>44225</v>
      </c>
      <c r="AD32" s="476"/>
      <c r="AE32" s="477"/>
      <c r="AF32" s="478"/>
      <c r="AG32" s="478"/>
      <c r="AH32" s="476"/>
      <c r="AI32" s="477"/>
      <c r="AJ32" s="478"/>
      <c r="AK32" s="477"/>
      <c r="AL32" s="476"/>
      <c r="AM32" s="477"/>
      <c r="AN32" s="477"/>
      <c r="AO32" s="477"/>
      <c r="AP32" s="477"/>
      <c r="AQ32" s="477"/>
      <c r="AR32" s="477"/>
      <c r="AS32" s="477"/>
      <c r="AT32" s="480"/>
      <c r="AU32" s="475"/>
      <c r="AV32" s="475"/>
      <c r="AW32" s="475"/>
      <c r="AX32" s="480"/>
      <c r="AY32" s="475"/>
      <c r="AZ32" s="475"/>
      <c r="BA32" s="475"/>
      <c r="BB32" s="477">
        <f t="shared" si="2"/>
        <v>17013</v>
      </c>
      <c r="BC32" s="477">
        <f t="shared" si="0"/>
        <v>0.16500000000087311</v>
      </c>
    </row>
    <row r="33" spans="1:55" s="195" customFormat="1" ht="22.5" x14ac:dyDescent="0.25">
      <c r="B33" s="186">
        <f t="shared" si="3"/>
        <v>17</v>
      </c>
      <c r="C33" s="186" t="s">
        <v>38</v>
      </c>
      <c r="D33" s="450">
        <v>30484334</v>
      </c>
      <c r="E33" s="451" t="s">
        <v>553</v>
      </c>
      <c r="F33" s="451" t="s">
        <v>200</v>
      </c>
      <c r="G33" s="473" t="s">
        <v>525</v>
      </c>
      <c r="H33" s="451" t="s">
        <v>549</v>
      </c>
      <c r="I33" s="451" t="s">
        <v>42</v>
      </c>
      <c r="J33" s="474">
        <v>1486168</v>
      </c>
      <c r="K33" s="474">
        <v>1228192</v>
      </c>
      <c r="L33" s="474">
        <v>257976</v>
      </c>
      <c r="M33" s="475"/>
      <c r="N33" s="475">
        <v>37847.01</v>
      </c>
      <c r="O33" s="475"/>
      <c r="P33" s="475">
        <v>160243.50599999999</v>
      </c>
      <c r="Q33" s="475">
        <v>0</v>
      </c>
      <c r="R33" s="475">
        <v>0</v>
      </c>
      <c r="S33" s="475"/>
      <c r="T33" s="475"/>
      <c r="U33" s="475"/>
      <c r="V33" s="475"/>
      <c r="W33" s="475"/>
      <c r="X33" s="475"/>
      <c r="Y33" s="475">
        <f t="shared" si="1"/>
        <v>198090.516</v>
      </c>
      <c r="Z33" s="476">
        <v>256869</v>
      </c>
      <c r="AA33" s="477">
        <v>5</v>
      </c>
      <c r="AB33" s="478">
        <v>44216</v>
      </c>
      <c r="AC33" s="479">
        <v>44225</v>
      </c>
      <c r="AD33" s="476"/>
      <c r="AE33" s="477"/>
      <c r="AF33" s="478"/>
      <c r="AG33" s="478"/>
      <c r="AH33" s="476"/>
      <c r="AI33" s="477"/>
      <c r="AJ33" s="478"/>
      <c r="AK33" s="477"/>
      <c r="AL33" s="476"/>
      <c r="AM33" s="477"/>
      <c r="AN33" s="477"/>
      <c r="AO33" s="477"/>
      <c r="AP33" s="477"/>
      <c r="AQ33" s="477"/>
      <c r="AR33" s="477"/>
      <c r="AS33" s="477"/>
      <c r="AT33" s="480"/>
      <c r="AU33" s="475"/>
      <c r="AV33" s="475"/>
      <c r="AW33" s="475"/>
      <c r="AX33" s="480"/>
      <c r="AY33" s="475"/>
      <c r="AZ33" s="475"/>
      <c r="BA33" s="475"/>
      <c r="BB33" s="477">
        <f t="shared" si="2"/>
        <v>256869</v>
      </c>
      <c r="BC33" s="477">
        <f t="shared" si="0"/>
        <v>58778.483999999997</v>
      </c>
    </row>
    <row r="34" spans="1:55" s="195" customFormat="1" ht="22.5" x14ac:dyDescent="0.25">
      <c r="B34" s="186">
        <f t="shared" si="3"/>
        <v>18</v>
      </c>
      <c r="C34" s="186" t="s">
        <v>38</v>
      </c>
      <c r="D34" s="450">
        <v>30477089</v>
      </c>
      <c r="E34" s="451" t="s">
        <v>554</v>
      </c>
      <c r="F34" s="451" t="s">
        <v>200</v>
      </c>
      <c r="G34" s="473" t="s">
        <v>525</v>
      </c>
      <c r="H34" s="451" t="s">
        <v>533</v>
      </c>
      <c r="I34" s="451" t="s">
        <v>42</v>
      </c>
      <c r="J34" s="474">
        <v>946374</v>
      </c>
      <c r="K34" s="474">
        <v>851976</v>
      </c>
      <c r="L34" s="474">
        <v>94398</v>
      </c>
      <c r="M34" s="475"/>
      <c r="N34" s="475"/>
      <c r="O34" s="475"/>
      <c r="P34" s="475"/>
      <c r="Q34" s="475"/>
      <c r="R34" s="475"/>
      <c r="S34" s="475"/>
      <c r="T34" s="475"/>
      <c r="U34" s="475"/>
      <c r="V34" s="475"/>
      <c r="W34" s="475"/>
      <c r="X34" s="475"/>
      <c r="Y34" s="475">
        <f t="shared" si="1"/>
        <v>0</v>
      </c>
      <c r="Z34" s="476">
        <v>93351</v>
      </c>
      <c r="AA34" s="477">
        <v>5</v>
      </c>
      <c r="AB34" s="478">
        <v>44216</v>
      </c>
      <c r="AC34" s="479">
        <v>44225</v>
      </c>
      <c r="AD34" s="476"/>
      <c r="AE34" s="477"/>
      <c r="AF34" s="478"/>
      <c r="AG34" s="478"/>
      <c r="AH34" s="476"/>
      <c r="AI34" s="477"/>
      <c r="AJ34" s="478"/>
      <c r="AK34" s="477"/>
      <c r="AL34" s="476"/>
      <c r="AM34" s="477"/>
      <c r="AN34" s="477"/>
      <c r="AO34" s="477"/>
      <c r="AP34" s="477"/>
      <c r="AQ34" s="477"/>
      <c r="AR34" s="477"/>
      <c r="AS34" s="477"/>
      <c r="AT34" s="480"/>
      <c r="AU34" s="475"/>
      <c r="AV34" s="475"/>
      <c r="AW34" s="475"/>
      <c r="AX34" s="480"/>
      <c r="AY34" s="475"/>
      <c r="AZ34" s="475"/>
      <c r="BA34" s="475"/>
      <c r="BB34" s="477">
        <f t="shared" si="2"/>
        <v>93351</v>
      </c>
      <c r="BC34" s="477">
        <f t="shared" si="0"/>
        <v>93351</v>
      </c>
    </row>
    <row r="35" spans="1:55" s="195" customFormat="1" ht="22.5" x14ac:dyDescent="0.25">
      <c r="B35" s="186">
        <f t="shared" si="3"/>
        <v>19</v>
      </c>
      <c r="C35" s="186" t="s">
        <v>38</v>
      </c>
      <c r="D35" s="450">
        <v>40009356</v>
      </c>
      <c r="E35" s="451" t="s">
        <v>555</v>
      </c>
      <c r="F35" s="451" t="s">
        <v>200</v>
      </c>
      <c r="G35" s="473" t="s">
        <v>525</v>
      </c>
      <c r="H35" s="451" t="s">
        <v>528</v>
      </c>
      <c r="I35" s="451" t="s">
        <v>42</v>
      </c>
      <c r="J35" s="474">
        <v>984084</v>
      </c>
      <c r="K35" s="474">
        <v>203999</v>
      </c>
      <c r="L35" s="474">
        <v>780085</v>
      </c>
      <c r="M35" s="475"/>
      <c r="N35" s="475">
        <v>78003.323000000004</v>
      </c>
      <c r="O35" s="475"/>
      <c r="P35" s="475">
        <v>197029.28899999999</v>
      </c>
      <c r="Q35" s="475">
        <v>119430.04800000001</v>
      </c>
      <c r="R35" s="475">
        <v>28750.508999999998</v>
      </c>
      <c r="S35" s="475"/>
      <c r="T35" s="475"/>
      <c r="U35" s="475"/>
      <c r="V35" s="475"/>
      <c r="W35" s="475"/>
      <c r="X35" s="475"/>
      <c r="Y35" s="475">
        <f t="shared" si="1"/>
        <v>423213.16899999999</v>
      </c>
      <c r="Z35" s="476">
        <v>763825</v>
      </c>
      <c r="AA35" s="477">
        <v>5</v>
      </c>
      <c r="AB35" s="478">
        <v>44216</v>
      </c>
      <c r="AC35" s="479">
        <v>44225</v>
      </c>
      <c r="AD35" s="476"/>
      <c r="AE35" s="477"/>
      <c r="AF35" s="478"/>
      <c r="AG35" s="478"/>
      <c r="AH35" s="476"/>
      <c r="AI35" s="477"/>
      <c r="AJ35" s="478"/>
      <c r="AK35" s="477"/>
      <c r="AL35" s="476"/>
      <c r="AM35" s="477"/>
      <c r="AN35" s="477"/>
      <c r="AO35" s="477"/>
      <c r="AP35" s="477"/>
      <c r="AQ35" s="477"/>
      <c r="AR35" s="477"/>
      <c r="AS35" s="477"/>
      <c r="AT35" s="480"/>
      <c r="AU35" s="475"/>
      <c r="AV35" s="475"/>
      <c r="AW35" s="475"/>
      <c r="AX35" s="480"/>
      <c r="AY35" s="475"/>
      <c r="AZ35" s="475"/>
      <c r="BA35" s="475"/>
      <c r="BB35" s="477">
        <f t="shared" si="2"/>
        <v>763825</v>
      </c>
      <c r="BC35" s="477">
        <f t="shared" si="0"/>
        <v>340611.83100000001</v>
      </c>
    </row>
    <row r="36" spans="1:55" s="195" customFormat="1" ht="22.5" x14ac:dyDescent="0.25">
      <c r="B36" s="186">
        <f t="shared" si="3"/>
        <v>20</v>
      </c>
      <c r="C36" s="186" t="s">
        <v>38</v>
      </c>
      <c r="D36" s="450">
        <v>40006121</v>
      </c>
      <c r="E36" s="451" t="s">
        <v>556</v>
      </c>
      <c r="F36" s="451" t="s">
        <v>200</v>
      </c>
      <c r="G36" s="473" t="s">
        <v>525</v>
      </c>
      <c r="H36" s="451" t="s">
        <v>528</v>
      </c>
      <c r="I36" s="451" t="s">
        <v>42</v>
      </c>
      <c r="J36" s="474">
        <v>120780</v>
      </c>
      <c r="K36" s="474">
        <v>109394</v>
      </c>
      <c r="L36" s="474">
        <v>11386</v>
      </c>
      <c r="M36" s="475"/>
      <c r="N36" s="475"/>
      <c r="O36" s="475"/>
      <c r="P36" s="475">
        <v>0</v>
      </c>
      <c r="Q36" s="475">
        <v>2554.5300000000002</v>
      </c>
      <c r="R36" s="475">
        <v>0</v>
      </c>
      <c r="S36" s="475"/>
      <c r="T36" s="475"/>
      <c r="U36" s="475"/>
      <c r="V36" s="475"/>
      <c r="W36" s="475"/>
      <c r="X36" s="475"/>
      <c r="Y36" s="475">
        <f t="shared" si="1"/>
        <v>2554.5300000000002</v>
      </c>
      <c r="Z36" s="476">
        <v>10739</v>
      </c>
      <c r="AA36" s="477">
        <v>5</v>
      </c>
      <c r="AB36" s="478">
        <v>44216</v>
      </c>
      <c r="AC36" s="479">
        <v>44225</v>
      </c>
      <c r="AD36" s="476"/>
      <c r="AE36" s="477"/>
      <c r="AF36" s="478"/>
      <c r="AG36" s="478"/>
      <c r="AH36" s="476"/>
      <c r="AI36" s="477"/>
      <c r="AJ36" s="478"/>
      <c r="AK36" s="477"/>
      <c r="AL36" s="476"/>
      <c r="AM36" s="477"/>
      <c r="AN36" s="477"/>
      <c r="AO36" s="477"/>
      <c r="AP36" s="477"/>
      <c r="AQ36" s="477"/>
      <c r="AR36" s="477"/>
      <c r="AS36" s="477"/>
      <c r="AT36" s="480"/>
      <c r="AU36" s="475"/>
      <c r="AV36" s="475"/>
      <c r="AW36" s="475"/>
      <c r="AX36" s="480"/>
      <c r="AY36" s="475"/>
      <c r="AZ36" s="475"/>
      <c r="BA36" s="475"/>
      <c r="BB36" s="477">
        <f t="shared" si="2"/>
        <v>10739</v>
      </c>
      <c r="BC36" s="477">
        <f t="shared" si="0"/>
        <v>8184.4699999999993</v>
      </c>
    </row>
    <row r="37" spans="1:55" s="195" customFormat="1" ht="22.5" x14ac:dyDescent="0.25">
      <c r="B37" s="186">
        <f t="shared" si="3"/>
        <v>21</v>
      </c>
      <c r="C37" s="186" t="s">
        <v>38</v>
      </c>
      <c r="D37" s="450">
        <v>40008126</v>
      </c>
      <c r="E37" s="451" t="s">
        <v>557</v>
      </c>
      <c r="F37" s="451" t="s">
        <v>200</v>
      </c>
      <c r="G37" s="473" t="s">
        <v>525</v>
      </c>
      <c r="H37" s="451" t="s">
        <v>528</v>
      </c>
      <c r="I37" s="451" t="s">
        <v>42</v>
      </c>
      <c r="J37" s="474">
        <v>687849</v>
      </c>
      <c r="K37" s="474">
        <v>85081</v>
      </c>
      <c r="L37" s="474">
        <v>602768</v>
      </c>
      <c r="M37" s="475"/>
      <c r="N37" s="475">
        <v>52877.677000000003</v>
      </c>
      <c r="O37" s="475">
        <v>103672.681</v>
      </c>
      <c r="P37" s="475">
        <v>133421.40900000001</v>
      </c>
      <c r="Q37" s="475">
        <v>76717.784</v>
      </c>
      <c r="R37" s="475">
        <v>68620.269</v>
      </c>
      <c r="S37" s="475"/>
      <c r="T37" s="475"/>
      <c r="U37" s="475"/>
      <c r="V37" s="475"/>
      <c r="W37" s="475"/>
      <c r="X37" s="475"/>
      <c r="Y37" s="475">
        <f t="shared" si="1"/>
        <v>435309.81999999995</v>
      </c>
      <c r="Z37" s="476">
        <v>601041</v>
      </c>
      <c r="AA37" s="477">
        <v>5</v>
      </c>
      <c r="AB37" s="478">
        <v>44216</v>
      </c>
      <c r="AC37" s="479">
        <v>44225</v>
      </c>
      <c r="AD37" s="476"/>
      <c r="AE37" s="477"/>
      <c r="AF37" s="478"/>
      <c r="AG37" s="478"/>
      <c r="AH37" s="476"/>
      <c r="AI37" s="477"/>
      <c r="AJ37" s="478"/>
      <c r="AK37" s="477"/>
      <c r="AL37" s="476"/>
      <c r="AM37" s="477"/>
      <c r="AN37" s="477"/>
      <c r="AO37" s="477"/>
      <c r="AP37" s="477"/>
      <c r="AQ37" s="477"/>
      <c r="AR37" s="477"/>
      <c r="AS37" s="477"/>
      <c r="AT37" s="480"/>
      <c r="AU37" s="475"/>
      <c r="AV37" s="475"/>
      <c r="AW37" s="475"/>
      <c r="AX37" s="480"/>
      <c r="AY37" s="475"/>
      <c r="AZ37" s="475"/>
      <c r="BA37" s="475"/>
      <c r="BB37" s="477">
        <f t="shared" si="2"/>
        <v>601041</v>
      </c>
      <c r="BC37" s="477">
        <f t="shared" si="0"/>
        <v>165731.18000000005</v>
      </c>
    </row>
    <row r="38" spans="1:55" s="195" customFormat="1" x14ac:dyDescent="0.25">
      <c r="B38" s="186">
        <f t="shared" si="3"/>
        <v>22</v>
      </c>
      <c r="C38" s="186" t="s">
        <v>38</v>
      </c>
      <c r="D38" s="450">
        <v>40008092</v>
      </c>
      <c r="E38" s="451" t="s">
        <v>558</v>
      </c>
      <c r="F38" s="451" t="s">
        <v>200</v>
      </c>
      <c r="G38" s="473" t="s">
        <v>525</v>
      </c>
      <c r="H38" s="451" t="s">
        <v>559</v>
      </c>
      <c r="I38" s="451" t="s">
        <v>42</v>
      </c>
      <c r="J38" s="474">
        <v>248578</v>
      </c>
      <c r="K38" s="474">
        <v>77824</v>
      </c>
      <c r="L38" s="474">
        <v>170754</v>
      </c>
      <c r="M38" s="475"/>
      <c r="N38" s="475"/>
      <c r="O38" s="475"/>
      <c r="P38" s="475">
        <v>0</v>
      </c>
      <c r="Q38" s="475">
        <v>122070.942</v>
      </c>
      <c r="R38" s="475">
        <v>0</v>
      </c>
      <c r="S38" s="475"/>
      <c r="T38" s="475"/>
      <c r="U38" s="475"/>
      <c r="V38" s="475"/>
      <c r="W38" s="475"/>
      <c r="X38" s="475"/>
      <c r="Y38" s="475">
        <f t="shared" si="1"/>
        <v>122070.942</v>
      </c>
      <c r="Z38" s="476">
        <v>170754</v>
      </c>
      <c r="AA38" s="477">
        <v>5</v>
      </c>
      <c r="AB38" s="478">
        <v>44216</v>
      </c>
      <c r="AC38" s="479">
        <v>44225</v>
      </c>
      <c r="AD38" s="476"/>
      <c r="AE38" s="477"/>
      <c r="AF38" s="478"/>
      <c r="AG38" s="478"/>
      <c r="AH38" s="476"/>
      <c r="AI38" s="477"/>
      <c r="AJ38" s="478"/>
      <c r="AK38" s="477"/>
      <c r="AL38" s="476"/>
      <c r="AM38" s="477"/>
      <c r="AN38" s="477"/>
      <c r="AO38" s="477"/>
      <c r="AP38" s="477"/>
      <c r="AQ38" s="477"/>
      <c r="AR38" s="477"/>
      <c r="AS38" s="477"/>
      <c r="AT38" s="480"/>
      <c r="AU38" s="475"/>
      <c r="AV38" s="475"/>
      <c r="AW38" s="475"/>
      <c r="AX38" s="480"/>
      <c r="AY38" s="475"/>
      <c r="AZ38" s="475"/>
      <c r="BA38" s="475"/>
      <c r="BB38" s="477">
        <f t="shared" si="2"/>
        <v>170754</v>
      </c>
      <c r="BC38" s="477">
        <f t="shared" si="0"/>
        <v>48683.058000000005</v>
      </c>
    </row>
    <row r="39" spans="1:55" s="195" customFormat="1" ht="22.5" x14ac:dyDescent="0.25">
      <c r="B39" s="186">
        <f t="shared" si="3"/>
        <v>23</v>
      </c>
      <c r="C39" s="186" t="s">
        <v>38</v>
      </c>
      <c r="D39" s="450">
        <v>30291122</v>
      </c>
      <c r="E39" s="451" t="s">
        <v>560</v>
      </c>
      <c r="F39" s="451" t="s">
        <v>200</v>
      </c>
      <c r="G39" s="473" t="s">
        <v>525</v>
      </c>
      <c r="H39" s="451" t="s">
        <v>561</v>
      </c>
      <c r="I39" s="451" t="s">
        <v>42</v>
      </c>
      <c r="J39" s="474">
        <v>306739</v>
      </c>
      <c r="K39" s="474">
        <v>75270</v>
      </c>
      <c r="L39" s="474">
        <v>231469</v>
      </c>
      <c r="M39" s="475">
        <v>22006.146000000001</v>
      </c>
      <c r="N39" s="475">
        <v>37886.618999999999</v>
      </c>
      <c r="O39" s="475"/>
      <c r="P39" s="475">
        <v>0</v>
      </c>
      <c r="Q39" s="475">
        <v>37060.678999999996</v>
      </c>
      <c r="R39" s="475">
        <v>1800</v>
      </c>
      <c r="S39" s="475"/>
      <c r="T39" s="475"/>
      <c r="U39" s="475"/>
      <c r="V39" s="475"/>
      <c r="W39" s="475"/>
      <c r="X39" s="475"/>
      <c r="Y39" s="475">
        <f t="shared" si="1"/>
        <v>98753.443999999989</v>
      </c>
      <c r="Z39" s="476">
        <v>229162</v>
      </c>
      <c r="AA39" s="477">
        <v>5</v>
      </c>
      <c r="AB39" s="478">
        <v>44216</v>
      </c>
      <c r="AC39" s="479">
        <v>44225</v>
      </c>
      <c r="AD39" s="476"/>
      <c r="AE39" s="477"/>
      <c r="AF39" s="478"/>
      <c r="AG39" s="478"/>
      <c r="AH39" s="476"/>
      <c r="AI39" s="477"/>
      <c r="AJ39" s="478"/>
      <c r="AK39" s="477"/>
      <c r="AL39" s="476"/>
      <c r="AM39" s="477"/>
      <c r="AN39" s="477"/>
      <c r="AO39" s="477"/>
      <c r="AP39" s="477"/>
      <c r="AQ39" s="477"/>
      <c r="AR39" s="477"/>
      <c r="AS39" s="477"/>
      <c r="AT39" s="480"/>
      <c r="AU39" s="475"/>
      <c r="AV39" s="475"/>
      <c r="AW39" s="475"/>
      <c r="AX39" s="480"/>
      <c r="AY39" s="475"/>
      <c r="AZ39" s="475"/>
      <c r="BA39" s="475"/>
      <c r="BB39" s="477">
        <f t="shared" si="2"/>
        <v>229162</v>
      </c>
      <c r="BC39" s="477">
        <f t="shared" si="0"/>
        <v>130408.55600000001</v>
      </c>
    </row>
    <row r="40" spans="1:55" s="195" customFormat="1" x14ac:dyDescent="0.25">
      <c r="B40" s="186">
        <f t="shared" si="3"/>
        <v>24</v>
      </c>
      <c r="C40" s="186" t="s">
        <v>38</v>
      </c>
      <c r="D40" s="450">
        <v>40008090</v>
      </c>
      <c r="E40" s="451" t="s">
        <v>562</v>
      </c>
      <c r="F40" s="451" t="s">
        <v>200</v>
      </c>
      <c r="G40" s="473" t="s">
        <v>525</v>
      </c>
      <c r="H40" s="451" t="s">
        <v>559</v>
      </c>
      <c r="I40" s="451" t="s">
        <v>42</v>
      </c>
      <c r="J40" s="474">
        <v>173927</v>
      </c>
      <c r="K40" s="474">
        <v>41778</v>
      </c>
      <c r="L40" s="474">
        <v>132149</v>
      </c>
      <c r="M40" s="475">
        <v>13812.052</v>
      </c>
      <c r="N40" s="475"/>
      <c r="O40" s="475"/>
      <c r="P40" s="475">
        <v>0</v>
      </c>
      <c r="Q40" s="475">
        <v>63441.036</v>
      </c>
      <c r="R40" s="475">
        <v>0</v>
      </c>
      <c r="S40" s="475"/>
      <c r="T40" s="475"/>
      <c r="U40" s="475"/>
      <c r="V40" s="475"/>
      <c r="W40" s="475"/>
      <c r="X40" s="475"/>
      <c r="Y40" s="475">
        <f t="shared" si="1"/>
        <v>77253.088000000003</v>
      </c>
      <c r="Z40" s="476">
        <v>132149</v>
      </c>
      <c r="AA40" s="477">
        <v>5</v>
      </c>
      <c r="AB40" s="478">
        <v>44216</v>
      </c>
      <c r="AC40" s="479">
        <v>44225</v>
      </c>
      <c r="AD40" s="476"/>
      <c r="AE40" s="477"/>
      <c r="AF40" s="478"/>
      <c r="AG40" s="478"/>
      <c r="AH40" s="476"/>
      <c r="AI40" s="477"/>
      <c r="AJ40" s="478"/>
      <c r="AK40" s="477"/>
      <c r="AL40" s="476"/>
      <c r="AM40" s="477"/>
      <c r="AN40" s="477"/>
      <c r="AO40" s="477"/>
      <c r="AP40" s="477"/>
      <c r="AQ40" s="477"/>
      <c r="AR40" s="477"/>
      <c r="AS40" s="477"/>
      <c r="AT40" s="480"/>
      <c r="AU40" s="475"/>
      <c r="AV40" s="475"/>
      <c r="AW40" s="475"/>
      <c r="AX40" s="480"/>
      <c r="AY40" s="475"/>
      <c r="AZ40" s="475"/>
      <c r="BA40" s="475"/>
      <c r="BB40" s="477">
        <f t="shared" si="2"/>
        <v>132149</v>
      </c>
      <c r="BC40" s="477">
        <f t="shared" si="0"/>
        <v>54895.911999999997</v>
      </c>
    </row>
    <row r="41" spans="1:55" s="195" customFormat="1" ht="22.5" x14ac:dyDescent="0.25">
      <c r="B41" s="186">
        <f t="shared" si="3"/>
        <v>25</v>
      </c>
      <c r="C41" s="186" t="s">
        <v>38</v>
      </c>
      <c r="D41" s="450">
        <v>30285272</v>
      </c>
      <c r="E41" s="451" t="s">
        <v>563</v>
      </c>
      <c r="F41" s="451" t="s">
        <v>543</v>
      </c>
      <c r="G41" s="473" t="s">
        <v>525</v>
      </c>
      <c r="H41" s="451" t="s">
        <v>541</v>
      </c>
      <c r="I41" s="451" t="s">
        <v>42</v>
      </c>
      <c r="J41" s="474">
        <v>200900</v>
      </c>
      <c r="K41" s="474">
        <v>40900</v>
      </c>
      <c r="L41" s="474">
        <v>160000</v>
      </c>
      <c r="M41" s="475"/>
      <c r="N41" s="475"/>
      <c r="O41" s="475">
        <v>40000</v>
      </c>
      <c r="P41" s="475">
        <v>0</v>
      </c>
      <c r="Q41" s="475">
        <v>0</v>
      </c>
      <c r="R41" s="475">
        <v>0</v>
      </c>
      <c r="S41" s="475"/>
      <c r="T41" s="475"/>
      <c r="U41" s="475"/>
      <c r="V41" s="475"/>
      <c r="W41" s="475"/>
      <c r="X41" s="475"/>
      <c r="Y41" s="475">
        <f t="shared" si="1"/>
        <v>40000</v>
      </c>
      <c r="Z41" s="476">
        <v>160000</v>
      </c>
      <c r="AA41" s="477">
        <v>5</v>
      </c>
      <c r="AB41" s="478">
        <v>44216</v>
      </c>
      <c r="AC41" s="479">
        <v>44225</v>
      </c>
      <c r="AD41" s="476"/>
      <c r="AE41" s="477"/>
      <c r="AF41" s="478"/>
      <c r="AG41" s="478"/>
      <c r="AH41" s="476"/>
      <c r="AI41" s="477"/>
      <c r="AJ41" s="478"/>
      <c r="AK41" s="477"/>
      <c r="AL41" s="476"/>
      <c r="AM41" s="477"/>
      <c r="AN41" s="477"/>
      <c r="AO41" s="477"/>
      <c r="AP41" s="477"/>
      <c r="AQ41" s="477"/>
      <c r="AR41" s="477"/>
      <c r="AS41" s="477"/>
      <c r="AT41" s="480"/>
      <c r="AU41" s="475"/>
      <c r="AV41" s="475"/>
      <c r="AW41" s="475"/>
      <c r="AX41" s="480"/>
      <c r="AY41" s="475"/>
      <c r="AZ41" s="475"/>
      <c r="BA41" s="475"/>
      <c r="BB41" s="477">
        <f t="shared" si="2"/>
        <v>160000</v>
      </c>
      <c r="BC41" s="477">
        <f t="shared" si="0"/>
        <v>120000</v>
      </c>
    </row>
    <row r="42" spans="1:55" s="195" customFormat="1" x14ac:dyDescent="0.25">
      <c r="B42" s="186">
        <f t="shared" si="3"/>
        <v>26</v>
      </c>
      <c r="C42" s="186" t="s">
        <v>38</v>
      </c>
      <c r="D42" s="450">
        <v>40008952</v>
      </c>
      <c r="E42" s="451" t="s">
        <v>564</v>
      </c>
      <c r="F42" s="451" t="s">
        <v>200</v>
      </c>
      <c r="G42" s="473" t="s">
        <v>525</v>
      </c>
      <c r="H42" s="451" t="s">
        <v>561</v>
      </c>
      <c r="I42" s="451" t="s">
        <v>43</v>
      </c>
      <c r="J42" s="474">
        <v>1126260</v>
      </c>
      <c r="K42" s="474"/>
      <c r="L42" s="474">
        <v>1126260</v>
      </c>
      <c r="M42" s="475"/>
      <c r="N42" s="475">
        <v>27144.548999999999</v>
      </c>
      <c r="O42" s="475"/>
      <c r="P42" s="475">
        <v>0</v>
      </c>
      <c r="Q42" s="475">
        <v>4250</v>
      </c>
      <c r="R42" s="475">
        <v>45624.141000000003</v>
      </c>
      <c r="S42" s="475"/>
      <c r="T42" s="475"/>
      <c r="U42" s="475"/>
      <c r="V42" s="475"/>
      <c r="W42" s="475"/>
      <c r="X42" s="475"/>
      <c r="Y42" s="475">
        <f t="shared" si="1"/>
        <v>77018.69</v>
      </c>
      <c r="Z42" s="476">
        <v>523512</v>
      </c>
      <c r="AA42" s="477">
        <v>5</v>
      </c>
      <c r="AB42" s="478">
        <v>44216</v>
      </c>
      <c r="AC42" s="479">
        <v>44225</v>
      </c>
      <c r="AD42" s="476"/>
      <c r="AE42" s="477"/>
      <c r="AF42" s="478"/>
      <c r="AG42" s="478"/>
      <c r="AH42" s="476"/>
      <c r="AI42" s="477"/>
      <c r="AJ42" s="478"/>
      <c r="AK42" s="477"/>
      <c r="AL42" s="476"/>
      <c r="AM42" s="477"/>
      <c r="AN42" s="477"/>
      <c r="AO42" s="477"/>
      <c r="AP42" s="477"/>
      <c r="AQ42" s="477"/>
      <c r="AR42" s="477"/>
      <c r="AS42" s="477"/>
      <c r="AT42" s="480"/>
      <c r="AU42" s="475"/>
      <c r="AV42" s="475"/>
      <c r="AW42" s="475"/>
      <c r="AX42" s="480"/>
      <c r="AY42" s="475"/>
      <c r="AZ42" s="475"/>
      <c r="BA42" s="475"/>
      <c r="BB42" s="477">
        <f t="shared" si="2"/>
        <v>523512</v>
      </c>
      <c r="BC42" s="477">
        <f t="shared" si="0"/>
        <v>446493.31</v>
      </c>
    </row>
    <row r="43" spans="1:55" s="195" customFormat="1" ht="22.5" x14ac:dyDescent="0.25">
      <c r="B43" s="186">
        <f t="shared" si="3"/>
        <v>27</v>
      </c>
      <c r="C43" s="186" t="s">
        <v>38</v>
      </c>
      <c r="D43" s="450">
        <v>40002873</v>
      </c>
      <c r="E43" s="451" t="s">
        <v>565</v>
      </c>
      <c r="F43" s="451" t="s">
        <v>200</v>
      </c>
      <c r="G43" s="473" t="s">
        <v>525</v>
      </c>
      <c r="H43" s="451" t="s">
        <v>541</v>
      </c>
      <c r="I43" s="451" t="s">
        <v>43</v>
      </c>
      <c r="J43" s="474">
        <v>599354</v>
      </c>
      <c r="K43" s="474"/>
      <c r="L43" s="474">
        <v>599354</v>
      </c>
      <c r="M43" s="475"/>
      <c r="N43" s="475">
        <v>6075</v>
      </c>
      <c r="O43" s="475"/>
      <c r="P43" s="475">
        <v>382490.70600000001</v>
      </c>
      <c r="Q43" s="475">
        <v>76401.539000000004</v>
      </c>
      <c r="R43" s="475">
        <v>54934.504999999997</v>
      </c>
      <c r="S43" s="475"/>
      <c r="T43" s="475"/>
      <c r="U43" s="475"/>
      <c r="V43" s="475"/>
      <c r="W43" s="475"/>
      <c r="X43" s="475"/>
      <c r="Y43" s="475">
        <f t="shared" si="1"/>
        <v>519901.75</v>
      </c>
      <c r="Z43" s="476">
        <v>598306</v>
      </c>
      <c r="AA43" s="477">
        <v>5</v>
      </c>
      <c r="AB43" s="478">
        <v>44216</v>
      </c>
      <c r="AC43" s="479">
        <v>44225</v>
      </c>
      <c r="AD43" s="476"/>
      <c r="AE43" s="477"/>
      <c r="AF43" s="478"/>
      <c r="AG43" s="478"/>
      <c r="AH43" s="476"/>
      <c r="AI43" s="477"/>
      <c r="AJ43" s="478"/>
      <c r="AK43" s="477"/>
      <c r="AL43" s="476"/>
      <c r="AM43" s="477"/>
      <c r="AN43" s="477"/>
      <c r="AO43" s="477"/>
      <c r="AP43" s="477"/>
      <c r="AQ43" s="477"/>
      <c r="AR43" s="477"/>
      <c r="AS43" s="477"/>
      <c r="AT43" s="480"/>
      <c r="AU43" s="475"/>
      <c r="AV43" s="475"/>
      <c r="AW43" s="475"/>
      <c r="AX43" s="480"/>
      <c r="AY43" s="475"/>
      <c r="AZ43" s="475"/>
      <c r="BA43" s="475"/>
      <c r="BB43" s="477">
        <f t="shared" si="2"/>
        <v>598306</v>
      </c>
      <c r="BC43" s="477">
        <f t="shared" si="0"/>
        <v>78404.25</v>
      </c>
    </row>
    <row r="44" spans="1:55" s="195" customFormat="1" ht="22.5" x14ac:dyDescent="0.25">
      <c r="B44" s="186">
        <f t="shared" si="3"/>
        <v>28</v>
      </c>
      <c r="C44" s="186" t="s">
        <v>40</v>
      </c>
      <c r="D44" s="450">
        <v>40013035</v>
      </c>
      <c r="E44" s="451" t="s">
        <v>566</v>
      </c>
      <c r="F44" s="451" t="s">
        <v>200</v>
      </c>
      <c r="G44" s="473" t="s">
        <v>525</v>
      </c>
      <c r="H44" s="451" t="s">
        <v>525</v>
      </c>
      <c r="I44" s="451" t="s">
        <v>42</v>
      </c>
      <c r="J44" s="474">
        <v>35668</v>
      </c>
      <c r="K44" s="474">
        <v>14458</v>
      </c>
      <c r="L44" s="474">
        <v>21210</v>
      </c>
      <c r="M44" s="475"/>
      <c r="N44" s="475"/>
      <c r="O44" s="475">
        <v>5302.5</v>
      </c>
      <c r="P44" s="475">
        <v>0</v>
      </c>
      <c r="Q44" s="475">
        <v>0</v>
      </c>
      <c r="R44" s="475">
        <v>10605</v>
      </c>
      <c r="S44" s="475"/>
      <c r="T44" s="475"/>
      <c r="U44" s="475"/>
      <c r="V44" s="475"/>
      <c r="W44" s="475"/>
      <c r="X44" s="475"/>
      <c r="Y44" s="475">
        <f t="shared" si="1"/>
        <v>15907.5</v>
      </c>
      <c r="Z44" s="476">
        <v>21210</v>
      </c>
      <c r="AA44" s="477">
        <v>5</v>
      </c>
      <c r="AB44" s="478">
        <v>44216</v>
      </c>
      <c r="AC44" s="479">
        <v>44225</v>
      </c>
      <c r="AD44" s="476"/>
      <c r="AE44" s="477"/>
      <c r="AF44" s="478"/>
      <c r="AG44" s="478"/>
      <c r="AH44" s="476"/>
      <c r="AI44" s="477"/>
      <c r="AJ44" s="478"/>
      <c r="AK44" s="477"/>
      <c r="AL44" s="476"/>
      <c r="AM44" s="477"/>
      <c r="AN44" s="477"/>
      <c r="AO44" s="477"/>
      <c r="AP44" s="477"/>
      <c r="AQ44" s="477"/>
      <c r="AR44" s="477"/>
      <c r="AS44" s="477"/>
      <c r="AT44" s="480"/>
      <c r="AU44" s="475"/>
      <c r="AV44" s="475"/>
      <c r="AW44" s="475"/>
      <c r="AX44" s="480"/>
      <c r="AY44" s="475"/>
      <c r="AZ44" s="475"/>
      <c r="BA44" s="475"/>
      <c r="BB44" s="477">
        <f t="shared" si="2"/>
        <v>21210</v>
      </c>
      <c r="BC44" s="477">
        <f t="shared" si="0"/>
        <v>5302.5</v>
      </c>
    </row>
    <row r="45" spans="1:55" s="195" customFormat="1" x14ac:dyDescent="0.25">
      <c r="B45" s="186">
        <f t="shared" si="3"/>
        <v>29</v>
      </c>
      <c r="C45" s="186" t="s">
        <v>38</v>
      </c>
      <c r="D45" s="450">
        <v>40015828</v>
      </c>
      <c r="E45" s="451" t="s">
        <v>567</v>
      </c>
      <c r="F45" s="451" t="s">
        <v>200</v>
      </c>
      <c r="G45" s="473" t="s">
        <v>525</v>
      </c>
      <c r="H45" s="451" t="s">
        <v>530</v>
      </c>
      <c r="I45" s="451" t="s">
        <v>42</v>
      </c>
      <c r="J45" s="474">
        <v>210512</v>
      </c>
      <c r="K45" s="474">
        <v>136833</v>
      </c>
      <c r="L45" s="474">
        <v>73679</v>
      </c>
      <c r="M45" s="475">
        <v>2655</v>
      </c>
      <c r="N45" s="475">
        <v>35137.949000000001</v>
      </c>
      <c r="O45" s="475"/>
      <c r="P45" s="475">
        <v>2655</v>
      </c>
      <c r="Q45" s="475">
        <v>11255.726000000001</v>
      </c>
      <c r="R45" s="475">
        <v>0</v>
      </c>
      <c r="S45" s="475"/>
      <c r="T45" s="475"/>
      <c r="U45" s="475"/>
      <c r="V45" s="475"/>
      <c r="W45" s="475"/>
      <c r="X45" s="475"/>
      <c r="Y45" s="475">
        <f t="shared" si="1"/>
        <v>51703.675000000003</v>
      </c>
      <c r="Z45" s="476">
        <v>73679</v>
      </c>
      <c r="AA45" s="477">
        <v>5</v>
      </c>
      <c r="AB45" s="478">
        <v>44216</v>
      </c>
      <c r="AC45" s="479">
        <v>44225</v>
      </c>
      <c r="AD45" s="476"/>
      <c r="AE45" s="477"/>
      <c r="AF45" s="478"/>
      <c r="AG45" s="478"/>
      <c r="AH45" s="476"/>
      <c r="AI45" s="477"/>
      <c r="AJ45" s="478"/>
      <c r="AK45" s="477"/>
      <c r="AL45" s="476"/>
      <c r="AM45" s="477"/>
      <c r="AN45" s="477"/>
      <c r="AO45" s="477"/>
      <c r="AP45" s="477"/>
      <c r="AQ45" s="477"/>
      <c r="AR45" s="477"/>
      <c r="AS45" s="477"/>
      <c r="AT45" s="480"/>
      <c r="AU45" s="475"/>
      <c r="AV45" s="475"/>
      <c r="AW45" s="475"/>
      <c r="AX45" s="480"/>
      <c r="AY45" s="475"/>
      <c r="AZ45" s="475"/>
      <c r="BA45" s="475"/>
      <c r="BB45" s="477">
        <f t="shared" si="2"/>
        <v>73679</v>
      </c>
      <c r="BC45" s="477">
        <f t="shared" si="0"/>
        <v>21975.324999999997</v>
      </c>
    </row>
    <row r="46" spans="1:55" s="195" customFormat="1" ht="22.5" x14ac:dyDescent="0.25">
      <c r="A46" s="185">
        <v>14001</v>
      </c>
      <c r="B46" s="186">
        <f t="shared" si="3"/>
        <v>30</v>
      </c>
      <c r="C46" s="186" t="s">
        <v>38</v>
      </c>
      <c r="D46" s="450">
        <v>40009610</v>
      </c>
      <c r="E46" s="451" t="s">
        <v>568</v>
      </c>
      <c r="F46" s="451" t="s">
        <v>200</v>
      </c>
      <c r="G46" s="473" t="s">
        <v>525</v>
      </c>
      <c r="H46" s="451" t="s">
        <v>549</v>
      </c>
      <c r="I46" s="451" t="s">
        <v>42</v>
      </c>
      <c r="J46" s="474">
        <v>1199735</v>
      </c>
      <c r="K46" s="474">
        <v>3076</v>
      </c>
      <c r="L46" s="474">
        <v>1196659</v>
      </c>
      <c r="M46" s="475">
        <v>3008</v>
      </c>
      <c r="N46" s="475">
        <v>3008</v>
      </c>
      <c r="O46" s="475">
        <v>21200.99</v>
      </c>
      <c r="P46" s="475">
        <v>11402.099</v>
      </c>
      <c r="Q46" s="475">
        <v>39873.275999999998</v>
      </c>
      <c r="R46" s="475">
        <v>39863.025000000001</v>
      </c>
      <c r="S46" s="475"/>
      <c r="T46" s="475"/>
      <c r="U46" s="475"/>
      <c r="V46" s="475"/>
      <c r="W46" s="475"/>
      <c r="X46" s="475"/>
      <c r="Y46" s="475">
        <f t="shared" si="1"/>
        <v>118355.38999999998</v>
      </c>
      <c r="Z46" s="476">
        <v>1177043</v>
      </c>
      <c r="AA46" s="477">
        <v>5</v>
      </c>
      <c r="AB46" s="478">
        <v>44216</v>
      </c>
      <c r="AC46" s="479">
        <v>44225</v>
      </c>
      <c r="AD46" s="476">
        <v>-500000</v>
      </c>
      <c r="AE46" s="477">
        <v>38</v>
      </c>
      <c r="AF46" s="478">
        <v>44316</v>
      </c>
      <c r="AG46" s="478">
        <v>44328</v>
      </c>
      <c r="AH46" s="476"/>
      <c r="AI46" s="477"/>
      <c r="AJ46" s="478"/>
      <c r="AK46" s="477"/>
      <c r="AL46" s="476"/>
      <c r="AM46" s="477"/>
      <c r="AN46" s="477"/>
      <c r="AO46" s="477"/>
      <c r="AP46" s="477"/>
      <c r="AQ46" s="477"/>
      <c r="AR46" s="477"/>
      <c r="AS46" s="477"/>
      <c r="AT46" s="480"/>
      <c r="AU46" s="475"/>
      <c r="AV46" s="475"/>
      <c r="AW46" s="475"/>
      <c r="AX46" s="480"/>
      <c r="AY46" s="475"/>
      <c r="AZ46" s="475"/>
      <c r="BA46" s="475"/>
      <c r="BB46" s="477">
        <f t="shared" si="2"/>
        <v>677043</v>
      </c>
      <c r="BC46" s="477">
        <f t="shared" si="0"/>
        <v>558687.61</v>
      </c>
    </row>
    <row r="47" spans="1:55" s="195" customFormat="1" ht="22.5" x14ac:dyDescent="0.25">
      <c r="B47" s="186">
        <f t="shared" si="3"/>
        <v>31</v>
      </c>
      <c r="C47" s="186" t="s">
        <v>40</v>
      </c>
      <c r="D47" s="450">
        <v>40016456</v>
      </c>
      <c r="E47" s="451" t="s">
        <v>569</v>
      </c>
      <c r="F47" s="451" t="s">
        <v>200</v>
      </c>
      <c r="G47" s="473" t="s">
        <v>525</v>
      </c>
      <c r="H47" s="451" t="s">
        <v>541</v>
      </c>
      <c r="I47" s="451" t="s">
        <v>43</v>
      </c>
      <c r="J47" s="474">
        <v>55182</v>
      </c>
      <c r="K47" s="474"/>
      <c r="L47" s="474">
        <v>55182</v>
      </c>
      <c r="M47" s="475"/>
      <c r="N47" s="475"/>
      <c r="O47" s="475"/>
      <c r="P47" s="475">
        <v>0</v>
      </c>
      <c r="Q47" s="475">
        <v>4857</v>
      </c>
      <c r="R47" s="475">
        <v>0</v>
      </c>
      <c r="S47" s="475"/>
      <c r="T47" s="475"/>
      <c r="U47" s="475"/>
      <c r="V47" s="475"/>
      <c r="W47" s="475"/>
      <c r="X47" s="475"/>
      <c r="Y47" s="475">
        <f t="shared" si="1"/>
        <v>4857</v>
      </c>
      <c r="Z47" s="476">
        <v>41386</v>
      </c>
      <c r="AA47" s="477">
        <v>5</v>
      </c>
      <c r="AB47" s="478">
        <v>44216</v>
      </c>
      <c r="AC47" s="479">
        <v>44225</v>
      </c>
      <c r="AD47" s="476"/>
      <c r="AE47" s="477"/>
      <c r="AF47" s="478"/>
      <c r="AG47" s="478"/>
      <c r="AH47" s="476"/>
      <c r="AI47" s="477"/>
      <c r="AJ47" s="478"/>
      <c r="AK47" s="477"/>
      <c r="AL47" s="476"/>
      <c r="AM47" s="477"/>
      <c r="AN47" s="477"/>
      <c r="AO47" s="477"/>
      <c r="AP47" s="477"/>
      <c r="AQ47" s="477"/>
      <c r="AR47" s="477"/>
      <c r="AS47" s="477"/>
      <c r="AT47" s="480"/>
      <c r="AU47" s="475"/>
      <c r="AV47" s="475"/>
      <c r="AW47" s="475"/>
      <c r="AX47" s="480"/>
      <c r="AY47" s="475"/>
      <c r="AZ47" s="475"/>
      <c r="BA47" s="475"/>
      <c r="BB47" s="477">
        <f t="shared" si="2"/>
        <v>41386</v>
      </c>
      <c r="BC47" s="477">
        <f t="shared" si="0"/>
        <v>36529</v>
      </c>
    </row>
    <row r="48" spans="1:55" s="195" customFormat="1" x14ac:dyDescent="0.25">
      <c r="B48" s="186">
        <f t="shared" si="3"/>
        <v>32</v>
      </c>
      <c r="C48" s="186" t="s">
        <v>38</v>
      </c>
      <c r="D48" s="450">
        <v>30409472</v>
      </c>
      <c r="E48" s="451" t="s">
        <v>570</v>
      </c>
      <c r="F48" s="451" t="s">
        <v>200</v>
      </c>
      <c r="G48" s="473" t="s">
        <v>525</v>
      </c>
      <c r="H48" s="451" t="s">
        <v>544</v>
      </c>
      <c r="I48" s="451" t="s">
        <v>42</v>
      </c>
      <c r="J48" s="474">
        <v>4236502</v>
      </c>
      <c r="K48" s="474">
        <v>2705185</v>
      </c>
      <c r="L48" s="474">
        <v>1531317</v>
      </c>
      <c r="M48" s="475"/>
      <c r="N48" s="475">
        <v>181849.37100000001</v>
      </c>
      <c r="O48" s="475">
        <v>263443.66800000001</v>
      </c>
      <c r="P48" s="475">
        <v>268670.75399999996</v>
      </c>
      <c r="Q48" s="475">
        <v>290850.02999999997</v>
      </c>
      <c r="R48" s="475">
        <v>145280.72899999999</v>
      </c>
      <c r="S48" s="475"/>
      <c r="T48" s="475"/>
      <c r="U48" s="475"/>
      <c r="V48" s="475"/>
      <c r="W48" s="475"/>
      <c r="X48" s="475"/>
      <c r="Y48" s="475">
        <f t="shared" si="1"/>
        <v>1150094.5519999999</v>
      </c>
      <c r="Z48" s="476">
        <v>1398914</v>
      </c>
      <c r="AA48" s="477">
        <v>5</v>
      </c>
      <c r="AB48" s="478">
        <v>44216</v>
      </c>
      <c r="AC48" s="479">
        <v>44225</v>
      </c>
      <c r="AD48" s="476">
        <v>126208</v>
      </c>
      <c r="AE48" s="477">
        <v>35</v>
      </c>
      <c r="AF48" s="478">
        <v>44314</v>
      </c>
      <c r="AG48" s="478">
        <v>44327</v>
      </c>
      <c r="AH48" s="476"/>
      <c r="AI48" s="477"/>
      <c r="AJ48" s="478"/>
      <c r="AK48" s="477"/>
      <c r="AL48" s="476"/>
      <c r="AM48" s="477"/>
      <c r="AN48" s="477"/>
      <c r="AO48" s="477"/>
      <c r="AP48" s="477"/>
      <c r="AQ48" s="477"/>
      <c r="AR48" s="477"/>
      <c r="AS48" s="477"/>
      <c r="AT48" s="480"/>
      <c r="AU48" s="475"/>
      <c r="AV48" s="475"/>
      <c r="AW48" s="475"/>
      <c r="AX48" s="480"/>
      <c r="AY48" s="475"/>
      <c r="AZ48" s="475"/>
      <c r="BA48" s="475"/>
      <c r="BB48" s="477">
        <f t="shared" si="2"/>
        <v>1525122</v>
      </c>
      <c r="BC48" s="477">
        <f t="shared" si="0"/>
        <v>375027.44800000009</v>
      </c>
    </row>
    <row r="49" spans="2:55" s="195" customFormat="1" ht="22.5" x14ac:dyDescent="0.25">
      <c r="B49" s="186">
        <f t="shared" si="3"/>
        <v>33</v>
      </c>
      <c r="C49" s="186" t="s">
        <v>38</v>
      </c>
      <c r="D49" s="450">
        <v>30467193</v>
      </c>
      <c r="E49" s="451" t="s">
        <v>571</v>
      </c>
      <c r="F49" s="451" t="s">
        <v>200</v>
      </c>
      <c r="G49" s="473" t="s">
        <v>525</v>
      </c>
      <c r="H49" s="451" t="s">
        <v>525</v>
      </c>
      <c r="I49" s="451" t="s">
        <v>42</v>
      </c>
      <c r="J49" s="474">
        <v>2268765</v>
      </c>
      <c r="K49" s="474">
        <v>1140003</v>
      </c>
      <c r="L49" s="474">
        <v>1128762</v>
      </c>
      <c r="M49" s="475">
        <v>106653.28</v>
      </c>
      <c r="N49" s="475">
        <v>4827.6450000000004</v>
      </c>
      <c r="O49" s="475"/>
      <c r="P49" s="475">
        <v>75377.843999999997</v>
      </c>
      <c r="Q49" s="475">
        <v>198160.649</v>
      </c>
      <c r="R49" s="475">
        <v>160222.62899999999</v>
      </c>
      <c r="S49" s="475"/>
      <c r="T49" s="475"/>
      <c r="U49" s="475"/>
      <c r="V49" s="475"/>
      <c r="W49" s="475"/>
      <c r="X49" s="475"/>
      <c r="Y49" s="475">
        <f t="shared" si="1"/>
        <v>545242.04700000002</v>
      </c>
      <c r="Z49" s="476">
        <v>1128761</v>
      </c>
      <c r="AA49" s="477">
        <v>6</v>
      </c>
      <c r="AB49" s="478">
        <v>44221</v>
      </c>
      <c r="AC49" s="479">
        <v>44225</v>
      </c>
      <c r="AD49" s="476"/>
      <c r="AE49" s="477"/>
      <c r="AF49" s="478"/>
      <c r="AG49" s="478"/>
      <c r="AH49" s="476"/>
      <c r="AI49" s="477"/>
      <c r="AJ49" s="478"/>
      <c r="AK49" s="477"/>
      <c r="AL49" s="476"/>
      <c r="AM49" s="477"/>
      <c r="AN49" s="477"/>
      <c r="AO49" s="477"/>
      <c r="AP49" s="477"/>
      <c r="AQ49" s="477"/>
      <c r="AR49" s="477"/>
      <c r="AS49" s="477"/>
      <c r="AT49" s="480"/>
      <c r="AU49" s="475"/>
      <c r="AV49" s="475"/>
      <c r="AW49" s="475"/>
      <c r="AX49" s="480"/>
      <c r="AY49" s="475"/>
      <c r="AZ49" s="475"/>
      <c r="BA49" s="475"/>
      <c r="BB49" s="477">
        <f t="shared" si="2"/>
        <v>1128761</v>
      </c>
      <c r="BC49" s="477">
        <f t="shared" si="0"/>
        <v>583518.95299999998</v>
      </c>
    </row>
    <row r="50" spans="2:55" s="195" customFormat="1" ht="22.5" x14ac:dyDescent="0.25">
      <c r="B50" s="186">
        <f t="shared" si="3"/>
        <v>34</v>
      </c>
      <c r="C50" s="186" t="s">
        <v>38</v>
      </c>
      <c r="D50" s="450">
        <v>30482595</v>
      </c>
      <c r="E50" s="451" t="s">
        <v>572</v>
      </c>
      <c r="F50" s="451" t="s">
        <v>200</v>
      </c>
      <c r="G50" s="473" t="s">
        <v>525</v>
      </c>
      <c r="H50" s="451" t="s">
        <v>547</v>
      </c>
      <c r="I50" s="451" t="s">
        <v>42</v>
      </c>
      <c r="J50" s="474">
        <v>1834771</v>
      </c>
      <c r="K50" s="474">
        <v>1044720</v>
      </c>
      <c r="L50" s="474">
        <v>790051</v>
      </c>
      <c r="M50" s="475"/>
      <c r="N50" s="475">
        <v>105071.382</v>
      </c>
      <c r="O50" s="475"/>
      <c r="P50" s="475">
        <v>100329.83900000001</v>
      </c>
      <c r="Q50" s="475">
        <v>166547.872</v>
      </c>
      <c r="R50" s="475">
        <v>0</v>
      </c>
      <c r="S50" s="475"/>
      <c r="T50" s="475"/>
      <c r="U50" s="475"/>
      <c r="V50" s="475"/>
      <c r="W50" s="475"/>
      <c r="X50" s="475"/>
      <c r="Y50" s="475">
        <f t="shared" si="1"/>
        <v>371949.09299999999</v>
      </c>
      <c r="Z50" s="476">
        <v>790051</v>
      </c>
      <c r="AA50" s="477">
        <v>6</v>
      </c>
      <c r="AB50" s="478">
        <v>44221</v>
      </c>
      <c r="AC50" s="479">
        <v>44225</v>
      </c>
      <c r="AD50" s="476"/>
      <c r="AE50" s="477"/>
      <c r="AF50" s="478"/>
      <c r="AG50" s="478"/>
      <c r="AH50" s="476"/>
      <c r="AI50" s="477"/>
      <c r="AJ50" s="478"/>
      <c r="AK50" s="477"/>
      <c r="AL50" s="476"/>
      <c r="AM50" s="477"/>
      <c r="AN50" s="477"/>
      <c r="AO50" s="477"/>
      <c r="AP50" s="477"/>
      <c r="AQ50" s="477"/>
      <c r="AR50" s="477"/>
      <c r="AS50" s="477"/>
      <c r="AT50" s="480"/>
      <c r="AU50" s="475"/>
      <c r="AV50" s="475"/>
      <c r="AW50" s="475"/>
      <c r="AX50" s="480"/>
      <c r="AY50" s="475"/>
      <c r="AZ50" s="475"/>
      <c r="BA50" s="475"/>
      <c r="BB50" s="477">
        <f t="shared" si="2"/>
        <v>790051</v>
      </c>
      <c r="BC50" s="477">
        <f t="shared" si="0"/>
        <v>418101.90700000001</v>
      </c>
    </row>
    <row r="51" spans="2:55" s="195" customFormat="1" ht="22.5" x14ac:dyDescent="0.25">
      <c r="B51" s="186">
        <f t="shared" si="3"/>
        <v>35</v>
      </c>
      <c r="C51" s="186" t="s">
        <v>38</v>
      </c>
      <c r="D51" s="450">
        <v>30405274</v>
      </c>
      <c r="E51" s="451" t="s">
        <v>573</v>
      </c>
      <c r="F51" s="451" t="s">
        <v>200</v>
      </c>
      <c r="G51" s="473" t="s">
        <v>525</v>
      </c>
      <c r="H51" s="451" t="s">
        <v>574</v>
      </c>
      <c r="I51" s="451" t="s">
        <v>42</v>
      </c>
      <c r="J51" s="474">
        <v>1280709</v>
      </c>
      <c r="K51" s="474">
        <v>1001865</v>
      </c>
      <c r="L51" s="474">
        <v>278844</v>
      </c>
      <c r="M51" s="475">
        <v>39760.423000000003</v>
      </c>
      <c r="N51" s="475"/>
      <c r="O51" s="475">
        <v>25437.598000000002</v>
      </c>
      <c r="P51" s="475">
        <v>0</v>
      </c>
      <c r="Q51" s="475">
        <v>0</v>
      </c>
      <c r="R51" s="475">
        <v>0</v>
      </c>
      <c r="S51" s="475"/>
      <c r="T51" s="475"/>
      <c r="U51" s="475"/>
      <c r="V51" s="475"/>
      <c r="W51" s="475"/>
      <c r="X51" s="475"/>
      <c r="Y51" s="475">
        <f t="shared" si="1"/>
        <v>65198.021000000008</v>
      </c>
      <c r="Z51" s="476">
        <v>278844</v>
      </c>
      <c r="AA51" s="477">
        <v>6</v>
      </c>
      <c r="AB51" s="478">
        <v>44221</v>
      </c>
      <c r="AC51" s="479">
        <v>44225</v>
      </c>
      <c r="AD51" s="476"/>
      <c r="AE51" s="477"/>
      <c r="AF51" s="478"/>
      <c r="AG51" s="478"/>
      <c r="AH51" s="476"/>
      <c r="AI51" s="477"/>
      <c r="AJ51" s="478"/>
      <c r="AK51" s="477"/>
      <c r="AL51" s="476"/>
      <c r="AM51" s="477"/>
      <c r="AN51" s="477"/>
      <c r="AO51" s="477"/>
      <c r="AP51" s="477"/>
      <c r="AQ51" s="477"/>
      <c r="AR51" s="477"/>
      <c r="AS51" s="477"/>
      <c r="AT51" s="480"/>
      <c r="AU51" s="475"/>
      <c r="AV51" s="475"/>
      <c r="AW51" s="475"/>
      <c r="AX51" s="480"/>
      <c r="AY51" s="475"/>
      <c r="AZ51" s="475"/>
      <c r="BA51" s="475"/>
      <c r="BB51" s="477">
        <f t="shared" si="2"/>
        <v>278844</v>
      </c>
      <c r="BC51" s="477">
        <f t="shared" si="0"/>
        <v>213645.97899999999</v>
      </c>
    </row>
    <row r="52" spans="2:55" s="195" customFormat="1" x14ac:dyDescent="0.25">
      <c r="B52" s="186">
        <f t="shared" si="3"/>
        <v>36</v>
      </c>
      <c r="C52" s="186" t="s">
        <v>38</v>
      </c>
      <c r="D52" s="450">
        <v>40002424</v>
      </c>
      <c r="E52" s="451" t="s">
        <v>575</v>
      </c>
      <c r="F52" s="451" t="s">
        <v>200</v>
      </c>
      <c r="G52" s="473" t="s">
        <v>525</v>
      </c>
      <c r="H52" s="451" t="s">
        <v>574</v>
      </c>
      <c r="I52" s="451" t="s">
        <v>42</v>
      </c>
      <c r="J52" s="474">
        <v>1546910</v>
      </c>
      <c r="K52" s="474">
        <v>879185</v>
      </c>
      <c r="L52" s="474">
        <v>667725</v>
      </c>
      <c r="M52" s="475"/>
      <c r="N52" s="475">
        <v>210431.47</v>
      </c>
      <c r="O52" s="475"/>
      <c r="P52" s="475">
        <v>311475.36700000003</v>
      </c>
      <c r="Q52" s="475">
        <v>140252.40299999999</v>
      </c>
      <c r="R52" s="475">
        <v>0</v>
      </c>
      <c r="S52" s="475"/>
      <c r="T52" s="475"/>
      <c r="U52" s="475"/>
      <c r="V52" s="475"/>
      <c r="W52" s="475"/>
      <c r="X52" s="475"/>
      <c r="Y52" s="475">
        <f t="shared" si="1"/>
        <v>662159.24</v>
      </c>
      <c r="Z52" s="476">
        <v>667136</v>
      </c>
      <c r="AA52" s="477">
        <v>6</v>
      </c>
      <c r="AB52" s="478">
        <v>44221</v>
      </c>
      <c r="AC52" s="479">
        <v>44225</v>
      </c>
      <c r="AD52" s="476">
        <v>8089</v>
      </c>
      <c r="AE52" s="477">
        <v>38</v>
      </c>
      <c r="AF52" s="478">
        <v>44316</v>
      </c>
      <c r="AG52" s="478">
        <v>44328</v>
      </c>
      <c r="AH52" s="476"/>
      <c r="AI52" s="477"/>
      <c r="AJ52" s="478"/>
      <c r="AK52" s="477"/>
      <c r="AL52" s="476"/>
      <c r="AM52" s="477"/>
      <c r="AN52" s="477"/>
      <c r="AO52" s="477"/>
      <c r="AP52" s="477"/>
      <c r="AQ52" s="477"/>
      <c r="AR52" s="477"/>
      <c r="AS52" s="477"/>
      <c r="AT52" s="480"/>
      <c r="AU52" s="475"/>
      <c r="AV52" s="475"/>
      <c r="AW52" s="475"/>
      <c r="AX52" s="480"/>
      <c r="AY52" s="475"/>
      <c r="AZ52" s="475"/>
      <c r="BA52" s="475"/>
      <c r="BB52" s="477">
        <f t="shared" si="2"/>
        <v>675225</v>
      </c>
      <c r="BC52" s="477">
        <f t="shared" si="0"/>
        <v>13065.760000000009</v>
      </c>
    </row>
    <row r="53" spans="2:55" s="195" customFormat="1" ht="22.5" x14ac:dyDescent="0.25">
      <c r="B53" s="186">
        <f t="shared" si="3"/>
        <v>37</v>
      </c>
      <c r="C53" s="186" t="s">
        <v>38</v>
      </c>
      <c r="D53" s="450">
        <v>40004162</v>
      </c>
      <c r="E53" s="451" t="s">
        <v>576</v>
      </c>
      <c r="F53" s="451" t="s">
        <v>200</v>
      </c>
      <c r="G53" s="473" t="s">
        <v>525</v>
      </c>
      <c r="H53" s="451" t="s">
        <v>528</v>
      </c>
      <c r="I53" s="451" t="s">
        <v>42</v>
      </c>
      <c r="J53" s="474">
        <v>949615</v>
      </c>
      <c r="K53" s="474">
        <v>790296</v>
      </c>
      <c r="L53" s="474">
        <v>159319</v>
      </c>
      <c r="M53" s="475"/>
      <c r="N53" s="475"/>
      <c r="O53" s="475"/>
      <c r="P53" s="475"/>
      <c r="Q53" s="475"/>
      <c r="R53" s="475"/>
      <c r="S53" s="475"/>
      <c r="T53" s="475"/>
      <c r="U53" s="475"/>
      <c r="V53" s="475"/>
      <c r="W53" s="475"/>
      <c r="X53" s="475"/>
      <c r="Y53" s="475">
        <f t="shared" si="1"/>
        <v>0</v>
      </c>
      <c r="Z53" s="476">
        <v>159319</v>
      </c>
      <c r="AA53" s="477">
        <v>6</v>
      </c>
      <c r="AB53" s="478">
        <v>44221</v>
      </c>
      <c r="AC53" s="479">
        <v>44225</v>
      </c>
      <c r="AD53" s="476"/>
      <c r="AE53" s="477"/>
      <c r="AF53" s="478"/>
      <c r="AG53" s="478"/>
      <c r="AH53" s="476"/>
      <c r="AI53" s="477"/>
      <c r="AJ53" s="478"/>
      <c r="AK53" s="477"/>
      <c r="AL53" s="476"/>
      <c r="AM53" s="477"/>
      <c r="AN53" s="477"/>
      <c r="AO53" s="477"/>
      <c r="AP53" s="477"/>
      <c r="AQ53" s="477"/>
      <c r="AR53" s="477"/>
      <c r="AS53" s="477"/>
      <c r="AT53" s="480"/>
      <c r="AU53" s="475"/>
      <c r="AV53" s="475"/>
      <c r="AW53" s="475"/>
      <c r="AX53" s="480"/>
      <c r="AY53" s="475"/>
      <c r="AZ53" s="475"/>
      <c r="BA53" s="475"/>
      <c r="BB53" s="477">
        <f t="shared" si="2"/>
        <v>159319</v>
      </c>
      <c r="BC53" s="477">
        <f t="shared" si="0"/>
        <v>159319</v>
      </c>
    </row>
    <row r="54" spans="2:55" s="195" customFormat="1" ht="22.5" x14ac:dyDescent="0.25">
      <c r="B54" s="186">
        <f t="shared" si="3"/>
        <v>38</v>
      </c>
      <c r="C54" s="186" t="s">
        <v>38</v>
      </c>
      <c r="D54" s="450">
        <v>40000095</v>
      </c>
      <c r="E54" s="451" t="s">
        <v>577</v>
      </c>
      <c r="F54" s="451" t="s">
        <v>200</v>
      </c>
      <c r="G54" s="473" t="s">
        <v>525</v>
      </c>
      <c r="H54" s="451" t="s">
        <v>544</v>
      </c>
      <c r="I54" s="451" t="s">
        <v>42</v>
      </c>
      <c r="J54" s="474">
        <v>847589</v>
      </c>
      <c r="K54" s="474">
        <v>756066</v>
      </c>
      <c r="L54" s="474">
        <v>91523</v>
      </c>
      <c r="M54" s="475"/>
      <c r="N54" s="475"/>
      <c r="O54" s="475">
        <v>3328</v>
      </c>
      <c r="P54" s="475">
        <v>65045.133000000002</v>
      </c>
      <c r="Q54" s="475">
        <v>0</v>
      </c>
      <c r="R54" s="475">
        <v>0</v>
      </c>
      <c r="S54" s="475"/>
      <c r="T54" s="475"/>
      <c r="U54" s="475"/>
      <c r="V54" s="475"/>
      <c r="W54" s="475"/>
      <c r="X54" s="475"/>
      <c r="Y54" s="475">
        <f t="shared" si="1"/>
        <v>68373.133000000002</v>
      </c>
      <c r="Z54" s="476">
        <v>89525</v>
      </c>
      <c r="AA54" s="477">
        <v>6</v>
      </c>
      <c r="AB54" s="478">
        <v>44221</v>
      </c>
      <c r="AC54" s="479">
        <v>44225</v>
      </c>
      <c r="AD54" s="476">
        <v>1997</v>
      </c>
      <c r="AE54" s="477">
        <v>28</v>
      </c>
      <c r="AF54" s="478">
        <v>44295</v>
      </c>
      <c r="AG54" s="479">
        <v>44301</v>
      </c>
      <c r="AH54" s="476"/>
      <c r="AI54" s="477"/>
      <c r="AJ54" s="478"/>
      <c r="AK54" s="477"/>
      <c r="AL54" s="476"/>
      <c r="AM54" s="477"/>
      <c r="AN54" s="477"/>
      <c r="AO54" s="477"/>
      <c r="AP54" s="477"/>
      <c r="AQ54" s="477"/>
      <c r="AR54" s="477"/>
      <c r="AS54" s="477"/>
      <c r="AT54" s="480"/>
      <c r="AU54" s="475"/>
      <c r="AV54" s="475"/>
      <c r="AW54" s="475"/>
      <c r="AX54" s="480"/>
      <c r="AY54" s="475"/>
      <c r="AZ54" s="475"/>
      <c r="BA54" s="475"/>
      <c r="BB54" s="477">
        <f t="shared" si="2"/>
        <v>91522</v>
      </c>
      <c r="BC54" s="477">
        <f t="shared" si="0"/>
        <v>23148.866999999998</v>
      </c>
    </row>
    <row r="55" spans="2:55" s="195" customFormat="1" ht="22.5" x14ac:dyDescent="0.25">
      <c r="B55" s="186">
        <f t="shared" si="3"/>
        <v>39</v>
      </c>
      <c r="C55" s="186" t="s">
        <v>38</v>
      </c>
      <c r="D55" s="450">
        <v>40003136</v>
      </c>
      <c r="E55" s="451" t="s">
        <v>578</v>
      </c>
      <c r="F55" s="451" t="s">
        <v>200</v>
      </c>
      <c r="G55" s="473" t="s">
        <v>525</v>
      </c>
      <c r="H55" s="451" t="s">
        <v>579</v>
      </c>
      <c r="I55" s="451" t="s">
        <v>42</v>
      </c>
      <c r="J55" s="474">
        <v>802952</v>
      </c>
      <c r="K55" s="474">
        <v>702606</v>
      </c>
      <c r="L55" s="474">
        <v>100346</v>
      </c>
      <c r="M55" s="475"/>
      <c r="N55" s="475"/>
      <c r="O55" s="475"/>
      <c r="P55" s="475">
        <v>0</v>
      </c>
      <c r="Q55" s="475">
        <v>75295.123999999996</v>
      </c>
      <c r="R55" s="475">
        <v>0</v>
      </c>
      <c r="S55" s="475"/>
      <c r="T55" s="475"/>
      <c r="U55" s="475"/>
      <c r="V55" s="475"/>
      <c r="W55" s="475"/>
      <c r="X55" s="475"/>
      <c r="Y55" s="475">
        <f t="shared" si="1"/>
        <v>75295.123999999996</v>
      </c>
      <c r="Z55" s="476">
        <v>75296</v>
      </c>
      <c r="AA55" s="477">
        <v>6</v>
      </c>
      <c r="AB55" s="478">
        <v>44221</v>
      </c>
      <c r="AC55" s="479">
        <v>44225</v>
      </c>
      <c r="AD55" s="476">
        <v>185</v>
      </c>
      <c r="AE55" s="477">
        <v>33</v>
      </c>
      <c r="AF55" s="478">
        <v>44307</v>
      </c>
      <c r="AG55" s="479">
        <v>44327</v>
      </c>
      <c r="AH55" s="476"/>
      <c r="AI55" s="477"/>
      <c r="AJ55" s="478"/>
      <c r="AK55" s="477"/>
      <c r="AL55" s="476"/>
      <c r="AM55" s="477"/>
      <c r="AN55" s="477"/>
      <c r="AO55" s="477"/>
      <c r="AP55" s="477"/>
      <c r="AQ55" s="477"/>
      <c r="AR55" s="477"/>
      <c r="AS55" s="477"/>
      <c r="AT55" s="480"/>
      <c r="AU55" s="475"/>
      <c r="AV55" s="475"/>
      <c r="AW55" s="475"/>
      <c r="AX55" s="480"/>
      <c r="AY55" s="475"/>
      <c r="AZ55" s="475"/>
      <c r="BA55" s="475"/>
      <c r="BB55" s="477">
        <f t="shared" si="2"/>
        <v>75481</v>
      </c>
      <c r="BC55" s="477">
        <f t="shared" si="0"/>
        <v>185.87600000000384</v>
      </c>
    </row>
    <row r="56" spans="2:55" s="195" customFormat="1" x14ac:dyDescent="0.25">
      <c r="B56" s="186">
        <f t="shared" si="3"/>
        <v>40</v>
      </c>
      <c r="C56" s="186" t="s">
        <v>38</v>
      </c>
      <c r="D56" s="450">
        <v>40011327</v>
      </c>
      <c r="E56" s="451" t="s">
        <v>580</v>
      </c>
      <c r="F56" s="451" t="s">
        <v>200</v>
      </c>
      <c r="G56" s="473" t="s">
        <v>525</v>
      </c>
      <c r="H56" s="451" t="s">
        <v>544</v>
      </c>
      <c r="I56" s="451" t="s">
        <v>42</v>
      </c>
      <c r="J56" s="474">
        <v>723640</v>
      </c>
      <c r="K56" s="474">
        <v>665598</v>
      </c>
      <c r="L56" s="474">
        <v>58042</v>
      </c>
      <c r="M56" s="475">
        <v>1800</v>
      </c>
      <c r="N56" s="475"/>
      <c r="O56" s="475"/>
      <c r="P56" s="475">
        <v>0</v>
      </c>
      <c r="Q56" s="475">
        <v>0</v>
      </c>
      <c r="R56" s="475">
        <v>0</v>
      </c>
      <c r="S56" s="475"/>
      <c r="T56" s="475"/>
      <c r="U56" s="475"/>
      <c r="V56" s="475"/>
      <c r="W56" s="475"/>
      <c r="X56" s="475"/>
      <c r="Y56" s="475">
        <f t="shared" si="1"/>
        <v>1800</v>
      </c>
      <c r="Z56" s="476">
        <v>58042</v>
      </c>
      <c r="AA56" s="477">
        <v>6</v>
      </c>
      <c r="AB56" s="478">
        <v>44221</v>
      </c>
      <c r="AC56" s="479">
        <v>44225</v>
      </c>
      <c r="AD56" s="476"/>
      <c r="AE56" s="477"/>
      <c r="AF56" s="478"/>
      <c r="AG56" s="478"/>
      <c r="AH56" s="476"/>
      <c r="AI56" s="477"/>
      <c r="AJ56" s="478"/>
      <c r="AK56" s="477"/>
      <c r="AL56" s="476"/>
      <c r="AM56" s="477"/>
      <c r="AN56" s="477"/>
      <c r="AO56" s="477"/>
      <c r="AP56" s="477"/>
      <c r="AQ56" s="477"/>
      <c r="AR56" s="477"/>
      <c r="AS56" s="477"/>
      <c r="AT56" s="480"/>
      <c r="AU56" s="475"/>
      <c r="AV56" s="475"/>
      <c r="AW56" s="475"/>
      <c r="AX56" s="480"/>
      <c r="AY56" s="475"/>
      <c r="AZ56" s="475"/>
      <c r="BA56" s="475"/>
      <c r="BB56" s="477">
        <f t="shared" si="2"/>
        <v>58042</v>
      </c>
      <c r="BC56" s="477">
        <f t="shared" si="0"/>
        <v>56242</v>
      </c>
    </row>
    <row r="57" spans="2:55" s="195" customFormat="1" ht="22.5" x14ac:dyDescent="0.25">
      <c r="B57" s="186">
        <f t="shared" si="3"/>
        <v>41</v>
      </c>
      <c r="C57" s="186" t="s">
        <v>38</v>
      </c>
      <c r="D57" s="450">
        <v>40005398</v>
      </c>
      <c r="E57" s="451" t="s">
        <v>581</v>
      </c>
      <c r="F57" s="451" t="s">
        <v>200</v>
      </c>
      <c r="G57" s="473" t="s">
        <v>525</v>
      </c>
      <c r="H57" s="451" t="s">
        <v>582</v>
      </c>
      <c r="I57" s="451" t="s">
        <v>42</v>
      </c>
      <c r="J57" s="474">
        <v>1853127</v>
      </c>
      <c r="K57" s="474">
        <v>621872</v>
      </c>
      <c r="L57" s="474">
        <v>1231255</v>
      </c>
      <c r="M57" s="475"/>
      <c r="N57" s="475">
        <v>1846.154</v>
      </c>
      <c r="O57" s="475">
        <v>1846.154</v>
      </c>
      <c r="P57" s="475">
        <v>442392.81599999999</v>
      </c>
      <c r="Q57" s="475">
        <v>180860.41699999999</v>
      </c>
      <c r="R57" s="475">
        <v>123587.451</v>
      </c>
      <c r="S57" s="475"/>
      <c r="T57" s="475"/>
      <c r="U57" s="475"/>
      <c r="V57" s="475"/>
      <c r="W57" s="475"/>
      <c r="X57" s="475"/>
      <c r="Y57" s="475">
        <f t="shared" si="1"/>
        <v>750532.99199999997</v>
      </c>
      <c r="Z57" s="476">
        <v>1231255</v>
      </c>
      <c r="AA57" s="477">
        <v>6</v>
      </c>
      <c r="AB57" s="478">
        <v>44221</v>
      </c>
      <c r="AC57" s="479">
        <v>44225</v>
      </c>
      <c r="AD57" s="481"/>
      <c r="AE57" s="482"/>
      <c r="AF57" s="465"/>
      <c r="AG57" s="478"/>
      <c r="AH57" s="476"/>
      <c r="AI57" s="477"/>
      <c r="AJ57" s="478"/>
      <c r="AK57" s="477"/>
      <c r="AL57" s="476"/>
      <c r="AM57" s="477"/>
      <c r="AN57" s="477"/>
      <c r="AO57" s="477"/>
      <c r="AP57" s="477"/>
      <c r="AQ57" s="477"/>
      <c r="AR57" s="477"/>
      <c r="AS57" s="477"/>
      <c r="AT57" s="480"/>
      <c r="AU57" s="475"/>
      <c r="AV57" s="475"/>
      <c r="AW57" s="475"/>
      <c r="AX57" s="480"/>
      <c r="AY57" s="475"/>
      <c r="AZ57" s="475"/>
      <c r="BA57" s="475"/>
      <c r="BB57" s="477">
        <f t="shared" si="2"/>
        <v>1231255</v>
      </c>
      <c r="BC57" s="477">
        <f t="shared" si="0"/>
        <v>480722.00800000003</v>
      </c>
    </row>
    <row r="58" spans="2:55" s="195" customFormat="1" x14ac:dyDescent="0.25">
      <c r="B58" s="186">
        <f t="shared" si="3"/>
        <v>42</v>
      </c>
      <c r="C58" s="186" t="s">
        <v>38</v>
      </c>
      <c r="D58" s="450">
        <v>30485847</v>
      </c>
      <c r="E58" s="451" t="s">
        <v>583</v>
      </c>
      <c r="F58" s="451" t="s">
        <v>200</v>
      </c>
      <c r="G58" s="473" t="s">
        <v>525</v>
      </c>
      <c r="H58" s="451" t="s">
        <v>584</v>
      </c>
      <c r="I58" s="451" t="s">
        <v>42</v>
      </c>
      <c r="J58" s="474">
        <v>783593</v>
      </c>
      <c r="K58" s="474">
        <v>551680</v>
      </c>
      <c r="L58" s="474">
        <v>231913</v>
      </c>
      <c r="M58" s="475"/>
      <c r="N58" s="475"/>
      <c r="O58" s="475"/>
      <c r="P58" s="475">
        <v>73233.600999999995</v>
      </c>
      <c r="Q58" s="475">
        <v>0</v>
      </c>
      <c r="R58" s="475">
        <v>0</v>
      </c>
      <c r="S58" s="475"/>
      <c r="T58" s="475"/>
      <c r="U58" s="475"/>
      <c r="V58" s="475"/>
      <c r="W58" s="475"/>
      <c r="X58" s="475"/>
      <c r="Y58" s="475">
        <f t="shared" si="1"/>
        <v>73233.600999999995</v>
      </c>
      <c r="Z58" s="476">
        <v>122923</v>
      </c>
      <c r="AA58" s="477">
        <v>6</v>
      </c>
      <c r="AB58" s="478">
        <v>44221</v>
      </c>
      <c r="AC58" s="479">
        <v>44225</v>
      </c>
      <c r="AD58" s="476">
        <v>2851</v>
      </c>
      <c r="AE58" s="477">
        <v>33</v>
      </c>
      <c r="AF58" s="478">
        <v>44307</v>
      </c>
      <c r="AG58" s="479">
        <v>44327</v>
      </c>
      <c r="AH58" s="476"/>
      <c r="AI58" s="477"/>
      <c r="AJ58" s="478"/>
      <c r="AK58" s="477"/>
      <c r="AL58" s="476"/>
      <c r="AM58" s="477"/>
      <c r="AN58" s="477"/>
      <c r="AO58" s="477"/>
      <c r="AP58" s="477"/>
      <c r="AQ58" s="477"/>
      <c r="AR58" s="477"/>
      <c r="AS58" s="477"/>
      <c r="AT58" s="480"/>
      <c r="AU58" s="475"/>
      <c r="AV58" s="475"/>
      <c r="AW58" s="475"/>
      <c r="AX58" s="480"/>
      <c r="AY58" s="475"/>
      <c r="AZ58" s="475"/>
      <c r="BA58" s="475"/>
      <c r="BB58" s="477">
        <f t="shared" si="2"/>
        <v>125774</v>
      </c>
      <c r="BC58" s="477">
        <f t="shared" si="0"/>
        <v>52540.399000000005</v>
      </c>
    </row>
    <row r="59" spans="2:55" s="195" customFormat="1" x14ac:dyDescent="0.25">
      <c r="B59" s="186">
        <f t="shared" si="3"/>
        <v>43</v>
      </c>
      <c r="C59" s="186" t="s">
        <v>38</v>
      </c>
      <c r="D59" s="450">
        <v>30184622</v>
      </c>
      <c r="E59" s="451" t="s">
        <v>585</v>
      </c>
      <c r="F59" s="451" t="s">
        <v>200</v>
      </c>
      <c r="G59" s="473" t="s">
        <v>525</v>
      </c>
      <c r="H59" s="451" t="s">
        <v>574</v>
      </c>
      <c r="I59" s="451" t="s">
        <v>42</v>
      </c>
      <c r="J59" s="474">
        <v>1120747</v>
      </c>
      <c r="K59" s="474">
        <v>513901</v>
      </c>
      <c r="L59" s="474">
        <v>606846</v>
      </c>
      <c r="M59" s="475"/>
      <c r="N59" s="475">
        <v>176623.948</v>
      </c>
      <c r="O59" s="475">
        <v>115479.367</v>
      </c>
      <c r="P59" s="475">
        <v>0</v>
      </c>
      <c r="Q59" s="475">
        <v>0</v>
      </c>
      <c r="R59" s="475">
        <v>235918.924</v>
      </c>
      <c r="S59" s="475"/>
      <c r="T59" s="475"/>
      <c r="U59" s="475"/>
      <c r="V59" s="475"/>
      <c r="W59" s="475"/>
      <c r="X59" s="475"/>
      <c r="Y59" s="475">
        <f t="shared" si="1"/>
        <v>528022.23900000006</v>
      </c>
      <c r="Z59" s="476">
        <v>606846</v>
      </c>
      <c r="AA59" s="477">
        <v>6</v>
      </c>
      <c r="AB59" s="478">
        <v>44221</v>
      </c>
      <c r="AC59" s="479">
        <v>44225</v>
      </c>
      <c r="AD59" s="476"/>
      <c r="AE59" s="477"/>
      <c r="AF59" s="478"/>
      <c r="AG59" s="478"/>
      <c r="AH59" s="476"/>
      <c r="AI59" s="477"/>
      <c r="AJ59" s="478"/>
      <c r="AK59" s="477"/>
      <c r="AL59" s="476"/>
      <c r="AM59" s="477"/>
      <c r="AN59" s="477"/>
      <c r="AO59" s="477"/>
      <c r="AP59" s="477"/>
      <c r="AQ59" s="477"/>
      <c r="AR59" s="477"/>
      <c r="AS59" s="477"/>
      <c r="AT59" s="480"/>
      <c r="AU59" s="475"/>
      <c r="AV59" s="475"/>
      <c r="AW59" s="475"/>
      <c r="AX59" s="480"/>
      <c r="AY59" s="475"/>
      <c r="AZ59" s="475"/>
      <c r="BA59" s="475"/>
      <c r="BB59" s="477">
        <f t="shared" si="2"/>
        <v>606846</v>
      </c>
      <c r="BC59" s="477">
        <f t="shared" si="0"/>
        <v>78823.76099999994</v>
      </c>
    </row>
    <row r="60" spans="2:55" s="195" customFormat="1" x14ac:dyDescent="0.25">
      <c r="B60" s="186">
        <f t="shared" si="3"/>
        <v>44</v>
      </c>
      <c r="C60" s="186" t="s">
        <v>38</v>
      </c>
      <c r="D60" s="450">
        <v>30482139</v>
      </c>
      <c r="E60" s="451" t="s">
        <v>586</v>
      </c>
      <c r="F60" s="451" t="s">
        <v>200</v>
      </c>
      <c r="G60" s="473" t="s">
        <v>525</v>
      </c>
      <c r="H60" s="451" t="s">
        <v>587</v>
      </c>
      <c r="I60" s="451" t="s">
        <v>42</v>
      </c>
      <c r="J60" s="474">
        <v>487234</v>
      </c>
      <c r="K60" s="474">
        <v>348776</v>
      </c>
      <c r="L60" s="474">
        <v>138458</v>
      </c>
      <c r="M60" s="475"/>
      <c r="N60" s="475"/>
      <c r="O60" s="475"/>
      <c r="P60" s="475">
        <v>65307.154000000002</v>
      </c>
      <c r="Q60" s="475">
        <v>0</v>
      </c>
      <c r="R60" s="475">
        <v>0</v>
      </c>
      <c r="S60" s="475"/>
      <c r="T60" s="475"/>
      <c r="U60" s="475"/>
      <c r="V60" s="475"/>
      <c r="W60" s="475"/>
      <c r="X60" s="475"/>
      <c r="Y60" s="475">
        <f t="shared" si="1"/>
        <v>65307.154000000002</v>
      </c>
      <c r="Z60" s="476">
        <v>138458</v>
      </c>
      <c r="AA60" s="477">
        <v>6</v>
      </c>
      <c r="AB60" s="478">
        <v>44221</v>
      </c>
      <c r="AC60" s="479">
        <v>44225</v>
      </c>
      <c r="AD60" s="476"/>
      <c r="AE60" s="477"/>
      <c r="AF60" s="478"/>
      <c r="AG60" s="478"/>
      <c r="AH60" s="476"/>
      <c r="AI60" s="477"/>
      <c r="AJ60" s="478"/>
      <c r="AK60" s="477"/>
      <c r="AL60" s="476"/>
      <c r="AM60" s="477"/>
      <c r="AN60" s="477"/>
      <c r="AO60" s="477"/>
      <c r="AP60" s="477"/>
      <c r="AQ60" s="477"/>
      <c r="AR60" s="477"/>
      <c r="AS60" s="477"/>
      <c r="AT60" s="480"/>
      <c r="AU60" s="475"/>
      <c r="AV60" s="475"/>
      <c r="AW60" s="475"/>
      <c r="AX60" s="480"/>
      <c r="AY60" s="475"/>
      <c r="AZ60" s="475"/>
      <c r="BA60" s="475"/>
      <c r="BB60" s="477">
        <f t="shared" si="2"/>
        <v>138458</v>
      </c>
      <c r="BC60" s="477">
        <f t="shared" si="0"/>
        <v>73150.84599999999</v>
      </c>
    </row>
    <row r="61" spans="2:55" s="195" customFormat="1" ht="22.5" x14ac:dyDescent="0.25">
      <c r="B61" s="186">
        <f t="shared" si="3"/>
        <v>45</v>
      </c>
      <c r="C61" s="186" t="s">
        <v>38</v>
      </c>
      <c r="D61" s="450">
        <v>30103817</v>
      </c>
      <c r="E61" s="451" t="s">
        <v>588</v>
      </c>
      <c r="F61" s="451" t="s">
        <v>200</v>
      </c>
      <c r="G61" s="473" t="s">
        <v>525</v>
      </c>
      <c r="H61" s="451" t="s">
        <v>589</v>
      </c>
      <c r="I61" s="451" t="s">
        <v>42</v>
      </c>
      <c r="J61" s="474">
        <v>445903</v>
      </c>
      <c r="K61" s="474">
        <v>333235</v>
      </c>
      <c r="L61" s="474">
        <v>112668</v>
      </c>
      <c r="M61" s="475"/>
      <c r="N61" s="475">
        <v>1725.68</v>
      </c>
      <c r="O61" s="475"/>
      <c r="P61" s="475">
        <v>108816.61500000001</v>
      </c>
      <c r="Q61" s="475">
        <v>0</v>
      </c>
      <c r="R61" s="475">
        <v>1613.68</v>
      </c>
      <c r="S61" s="475"/>
      <c r="T61" s="475"/>
      <c r="U61" s="475"/>
      <c r="V61" s="475"/>
      <c r="W61" s="475"/>
      <c r="X61" s="475"/>
      <c r="Y61" s="475">
        <f t="shared" si="1"/>
        <v>112155.97499999999</v>
      </c>
      <c r="Z61" s="476">
        <v>112668</v>
      </c>
      <c r="AA61" s="477">
        <v>6</v>
      </c>
      <c r="AB61" s="478">
        <v>44221</v>
      </c>
      <c r="AC61" s="479">
        <v>44225</v>
      </c>
      <c r="AD61" s="476"/>
      <c r="AE61" s="477"/>
      <c r="AF61" s="478"/>
      <c r="AG61" s="478"/>
      <c r="AH61" s="476"/>
      <c r="AI61" s="477"/>
      <c r="AJ61" s="478"/>
      <c r="AK61" s="477"/>
      <c r="AL61" s="476"/>
      <c r="AM61" s="477"/>
      <c r="AN61" s="477"/>
      <c r="AO61" s="477"/>
      <c r="AP61" s="477"/>
      <c r="AQ61" s="477"/>
      <c r="AR61" s="477"/>
      <c r="AS61" s="477"/>
      <c r="AT61" s="480"/>
      <c r="AU61" s="475"/>
      <c r="AV61" s="475"/>
      <c r="AW61" s="475"/>
      <c r="AX61" s="480"/>
      <c r="AY61" s="475"/>
      <c r="AZ61" s="475"/>
      <c r="BA61" s="475"/>
      <c r="BB61" s="477">
        <f t="shared" si="2"/>
        <v>112668</v>
      </c>
      <c r="BC61" s="477">
        <f t="shared" si="0"/>
        <v>512.02500000000873</v>
      </c>
    </row>
    <row r="62" spans="2:55" s="195" customFormat="1" x14ac:dyDescent="0.25">
      <c r="B62" s="186">
        <f t="shared" si="3"/>
        <v>46</v>
      </c>
      <c r="C62" s="186" t="s">
        <v>38</v>
      </c>
      <c r="D62" s="450">
        <v>30485565</v>
      </c>
      <c r="E62" s="451" t="s">
        <v>590</v>
      </c>
      <c r="F62" s="451" t="s">
        <v>200</v>
      </c>
      <c r="G62" s="473" t="s">
        <v>525</v>
      </c>
      <c r="H62" s="451" t="s">
        <v>591</v>
      </c>
      <c r="I62" s="451" t="s">
        <v>42</v>
      </c>
      <c r="J62" s="474">
        <v>4177210</v>
      </c>
      <c r="K62" s="474">
        <v>543377</v>
      </c>
      <c r="L62" s="474">
        <v>3633833</v>
      </c>
      <c r="M62" s="475"/>
      <c r="N62" s="475"/>
      <c r="O62" s="475"/>
      <c r="P62" s="475">
        <v>6627.2</v>
      </c>
      <c r="Q62" s="475">
        <v>0</v>
      </c>
      <c r="R62" s="475">
        <v>0</v>
      </c>
      <c r="S62" s="475"/>
      <c r="T62" s="475"/>
      <c r="U62" s="475"/>
      <c r="V62" s="475"/>
      <c r="W62" s="475"/>
      <c r="X62" s="475"/>
      <c r="Y62" s="475">
        <f t="shared" si="1"/>
        <v>6627.2</v>
      </c>
      <c r="Z62" s="476">
        <v>3633833</v>
      </c>
      <c r="AA62" s="477">
        <v>6</v>
      </c>
      <c r="AB62" s="478">
        <v>44221</v>
      </c>
      <c r="AC62" s="479">
        <v>44225</v>
      </c>
      <c r="AD62" s="476">
        <v>-1700000</v>
      </c>
      <c r="AE62" s="477">
        <v>23</v>
      </c>
      <c r="AF62" s="478">
        <v>44253</v>
      </c>
      <c r="AG62" s="479">
        <v>44286</v>
      </c>
      <c r="AH62" s="476">
        <v>-400000</v>
      </c>
      <c r="AI62" s="477">
        <v>49</v>
      </c>
      <c r="AJ62" s="478">
        <v>44348</v>
      </c>
      <c r="AK62" s="479">
        <v>44354</v>
      </c>
      <c r="AL62" s="476"/>
      <c r="AM62" s="477"/>
      <c r="AN62" s="477"/>
      <c r="AO62" s="477"/>
      <c r="AP62" s="477"/>
      <c r="AQ62" s="477"/>
      <c r="AR62" s="477"/>
      <c r="AS62" s="477"/>
      <c r="AT62" s="480"/>
      <c r="AU62" s="475"/>
      <c r="AV62" s="475"/>
      <c r="AW62" s="475"/>
      <c r="AX62" s="480"/>
      <c r="AY62" s="475"/>
      <c r="AZ62" s="475"/>
      <c r="BA62" s="475"/>
      <c r="BB62" s="477">
        <f t="shared" si="2"/>
        <v>1533833</v>
      </c>
      <c r="BC62" s="477">
        <f t="shared" si="0"/>
        <v>1527205.8</v>
      </c>
    </row>
    <row r="63" spans="2:55" s="195" customFormat="1" ht="22.5" x14ac:dyDescent="0.25">
      <c r="B63" s="186">
        <f t="shared" si="3"/>
        <v>47</v>
      </c>
      <c r="C63" s="186" t="s">
        <v>38</v>
      </c>
      <c r="D63" s="450">
        <v>30200172</v>
      </c>
      <c r="E63" s="451" t="s">
        <v>592</v>
      </c>
      <c r="F63" s="451" t="s">
        <v>200</v>
      </c>
      <c r="G63" s="473" t="s">
        <v>525</v>
      </c>
      <c r="H63" s="451" t="s">
        <v>574</v>
      </c>
      <c r="I63" s="451" t="s">
        <v>42</v>
      </c>
      <c r="J63" s="474">
        <v>331080</v>
      </c>
      <c r="K63" s="474">
        <v>268444</v>
      </c>
      <c r="L63" s="474">
        <v>62636</v>
      </c>
      <c r="M63" s="475"/>
      <c r="N63" s="475">
        <v>24331.522000000001</v>
      </c>
      <c r="O63" s="475"/>
      <c r="P63" s="475">
        <v>0</v>
      </c>
      <c r="Q63" s="475">
        <v>0</v>
      </c>
      <c r="R63" s="475">
        <v>0</v>
      </c>
      <c r="S63" s="475"/>
      <c r="T63" s="475"/>
      <c r="U63" s="475"/>
      <c r="V63" s="475"/>
      <c r="W63" s="475"/>
      <c r="X63" s="475"/>
      <c r="Y63" s="475">
        <f t="shared" si="1"/>
        <v>24331.522000000001</v>
      </c>
      <c r="Z63" s="476">
        <v>62636</v>
      </c>
      <c r="AA63" s="477">
        <v>6</v>
      </c>
      <c r="AB63" s="478">
        <v>44221</v>
      </c>
      <c r="AC63" s="479">
        <v>44225</v>
      </c>
      <c r="AD63" s="476"/>
      <c r="AE63" s="477"/>
      <c r="AF63" s="478"/>
      <c r="AG63" s="478"/>
      <c r="AH63" s="476"/>
      <c r="AI63" s="477"/>
      <c r="AJ63" s="478"/>
      <c r="AK63" s="477"/>
      <c r="AL63" s="476"/>
      <c r="AM63" s="477"/>
      <c r="AN63" s="477"/>
      <c r="AO63" s="477"/>
      <c r="AP63" s="477"/>
      <c r="AQ63" s="477"/>
      <c r="AR63" s="477"/>
      <c r="AS63" s="477"/>
      <c r="AT63" s="480"/>
      <c r="AU63" s="475"/>
      <c r="AV63" s="475"/>
      <c r="AW63" s="475"/>
      <c r="AX63" s="480"/>
      <c r="AY63" s="475"/>
      <c r="AZ63" s="475"/>
      <c r="BA63" s="475"/>
      <c r="BB63" s="477">
        <f t="shared" si="2"/>
        <v>62636</v>
      </c>
      <c r="BC63" s="477">
        <f t="shared" si="0"/>
        <v>38304.478000000003</v>
      </c>
    </row>
    <row r="64" spans="2:55" s="195" customFormat="1" ht="22.5" x14ac:dyDescent="0.25">
      <c r="B64" s="186">
        <f t="shared" si="3"/>
        <v>48</v>
      </c>
      <c r="C64" s="186" t="s">
        <v>38</v>
      </c>
      <c r="D64" s="450">
        <v>40001489</v>
      </c>
      <c r="E64" s="451" t="s">
        <v>593</v>
      </c>
      <c r="F64" s="451" t="s">
        <v>200</v>
      </c>
      <c r="G64" s="473" t="s">
        <v>525</v>
      </c>
      <c r="H64" s="451" t="s">
        <v>541</v>
      </c>
      <c r="I64" s="451" t="s">
        <v>42</v>
      </c>
      <c r="J64" s="474">
        <v>538466</v>
      </c>
      <c r="K64" s="474">
        <v>265727</v>
      </c>
      <c r="L64" s="474">
        <v>272739</v>
      </c>
      <c r="M64" s="475"/>
      <c r="N64" s="475">
        <v>65300.252999999997</v>
      </c>
      <c r="O64" s="475">
        <v>46980.321000000004</v>
      </c>
      <c r="P64" s="475">
        <v>0</v>
      </c>
      <c r="Q64" s="475">
        <v>44020.86</v>
      </c>
      <c r="R64" s="475">
        <v>0</v>
      </c>
      <c r="S64" s="475"/>
      <c r="T64" s="475"/>
      <c r="U64" s="475"/>
      <c r="V64" s="475"/>
      <c r="W64" s="475"/>
      <c r="X64" s="475"/>
      <c r="Y64" s="475">
        <f t="shared" si="1"/>
        <v>156301.43400000001</v>
      </c>
      <c r="Z64" s="476">
        <v>272739</v>
      </c>
      <c r="AA64" s="477">
        <v>6</v>
      </c>
      <c r="AB64" s="478">
        <v>44221</v>
      </c>
      <c r="AC64" s="479">
        <v>44225</v>
      </c>
      <c r="AD64" s="476"/>
      <c r="AE64" s="477"/>
      <c r="AF64" s="478"/>
      <c r="AG64" s="478"/>
      <c r="AH64" s="476"/>
      <c r="AI64" s="477"/>
      <c r="AJ64" s="478"/>
      <c r="AK64" s="477"/>
      <c r="AL64" s="476"/>
      <c r="AM64" s="477"/>
      <c r="AN64" s="477"/>
      <c r="AO64" s="477"/>
      <c r="AP64" s="477"/>
      <c r="AQ64" s="477"/>
      <c r="AR64" s="477"/>
      <c r="AS64" s="477"/>
      <c r="AT64" s="480"/>
      <c r="AU64" s="475"/>
      <c r="AV64" s="475"/>
      <c r="AW64" s="475"/>
      <c r="AX64" s="480"/>
      <c r="AY64" s="475"/>
      <c r="AZ64" s="475"/>
      <c r="BA64" s="475"/>
      <c r="BB64" s="477">
        <f t="shared" si="2"/>
        <v>272739</v>
      </c>
      <c r="BC64" s="477">
        <f t="shared" si="0"/>
        <v>116437.56599999999</v>
      </c>
    </row>
    <row r="65" spans="2:55" s="195" customFormat="1" x14ac:dyDescent="0.25">
      <c r="B65" s="186">
        <f t="shared" si="3"/>
        <v>49</v>
      </c>
      <c r="C65" s="186" t="s">
        <v>38</v>
      </c>
      <c r="D65" s="450">
        <v>40007619</v>
      </c>
      <c r="E65" s="451" t="s">
        <v>594</v>
      </c>
      <c r="F65" s="451" t="s">
        <v>200</v>
      </c>
      <c r="G65" s="473" t="s">
        <v>525</v>
      </c>
      <c r="H65" s="451" t="s">
        <v>595</v>
      </c>
      <c r="I65" s="451" t="s">
        <v>42</v>
      </c>
      <c r="J65" s="474">
        <v>1105460</v>
      </c>
      <c r="K65" s="474">
        <v>259065</v>
      </c>
      <c r="L65" s="474">
        <v>846395</v>
      </c>
      <c r="M65" s="475">
        <v>2736</v>
      </c>
      <c r="N65" s="475">
        <v>688859.48400000005</v>
      </c>
      <c r="O65" s="475">
        <v>1915.2</v>
      </c>
      <c r="P65" s="475">
        <v>76961.697</v>
      </c>
      <c r="Q65" s="475">
        <v>0</v>
      </c>
      <c r="R65" s="475">
        <v>0</v>
      </c>
      <c r="S65" s="475"/>
      <c r="T65" s="475"/>
      <c r="U65" s="475"/>
      <c r="V65" s="475"/>
      <c r="W65" s="475"/>
      <c r="X65" s="475"/>
      <c r="Y65" s="475">
        <f t="shared" si="1"/>
        <v>770472.38100000005</v>
      </c>
      <c r="Z65" s="476">
        <v>846395</v>
      </c>
      <c r="AA65" s="477">
        <v>6</v>
      </c>
      <c r="AB65" s="478">
        <v>44221</v>
      </c>
      <c r="AC65" s="479">
        <v>44225</v>
      </c>
      <c r="AD65" s="476"/>
      <c r="AE65" s="477"/>
      <c r="AF65" s="478"/>
      <c r="AG65" s="478"/>
      <c r="AH65" s="476"/>
      <c r="AI65" s="477"/>
      <c r="AJ65" s="478"/>
      <c r="AK65" s="477"/>
      <c r="AL65" s="476"/>
      <c r="AM65" s="477"/>
      <c r="AN65" s="477"/>
      <c r="AO65" s="477"/>
      <c r="AP65" s="477"/>
      <c r="AQ65" s="477"/>
      <c r="AR65" s="477"/>
      <c r="AS65" s="477"/>
      <c r="AT65" s="480"/>
      <c r="AU65" s="475"/>
      <c r="AV65" s="475"/>
      <c r="AW65" s="475"/>
      <c r="AX65" s="480"/>
      <c r="AY65" s="475"/>
      <c r="AZ65" s="475"/>
      <c r="BA65" s="475"/>
      <c r="BB65" s="477">
        <f t="shared" si="2"/>
        <v>846395</v>
      </c>
      <c r="BC65" s="477">
        <f t="shared" si="0"/>
        <v>75922.618999999948</v>
      </c>
    </row>
    <row r="66" spans="2:55" s="195" customFormat="1" ht="22.5" x14ac:dyDescent="0.25">
      <c r="B66" s="186">
        <f t="shared" si="3"/>
        <v>50</v>
      </c>
      <c r="C66" s="186" t="s">
        <v>38</v>
      </c>
      <c r="D66" s="450">
        <v>40017976</v>
      </c>
      <c r="E66" s="451" t="s">
        <v>596</v>
      </c>
      <c r="F66" s="451" t="s">
        <v>200</v>
      </c>
      <c r="G66" s="473" t="s">
        <v>525</v>
      </c>
      <c r="H66" s="451" t="s">
        <v>530</v>
      </c>
      <c r="I66" s="451" t="s">
        <v>42</v>
      </c>
      <c r="J66" s="474">
        <v>1067898</v>
      </c>
      <c r="K66" s="474">
        <v>248477</v>
      </c>
      <c r="L66" s="474">
        <v>819421</v>
      </c>
      <c r="M66" s="475"/>
      <c r="N66" s="475">
        <v>149389.88800000001</v>
      </c>
      <c r="O66" s="475">
        <v>142280.84599999999</v>
      </c>
      <c r="P66" s="475">
        <v>407637.21299999999</v>
      </c>
      <c r="Q66" s="475">
        <v>2216</v>
      </c>
      <c r="R66" s="475">
        <v>2216</v>
      </c>
      <c r="S66" s="475"/>
      <c r="T66" s="475"/>
      <c r="U66" s="475"/>
      <c r="V66" s="475"/>
      <c r="W66" s="475"/>
      <c r="X66" s="475"/>
      <c r="Y66" s="475">
        <f t="shared" si="1"/>
        <v>703739.94699999993</v>
      </c>
      <c r="Z66" s="476">
        <v>819421</v>
      </c>
      <c r="AA66" s="477">
        <v>6</v>
      </c>
      <c r="AB66" s="478">
        <v>44221</v>
      </c>
      <c r="AC66" s="479">
        <v>44225</v>
      </c>
      <c r="AD66" s="476"/>
      <c r="AE66" s="477"/>
      <c r="AF66" s="478"/>
      <c r="AG66" s="478"/>
      <c r="AH66" s="476"/>
      <c r="AI66" s="477"/>
      <c r="AJ66" s="478"/>
      <c r="AK66" s="477"/>
      <c r="AL66" s="476"/>
      <c r="AM66" s="477"/>
      <c r="AN66" s="477"/>
      <c r="AO66" s="477"/>
      <c r="AP66" s="477"/>
      <c r="AQ66" s="477"/>
      <c r="AR66" s="477"/>
      <c r="AS66" s="477"/>
      <c r="AT66" s="480"/>
      <c r="AU66" s="475"/>
      <c r="AV66" s="475"/>
      <c r="AW66" s="475"/>
      <c r="AX66" s="480"/>
      <c r="AY66" s="475"/>
      <c r="AZ66" s="475"/>
      <c r="BA66" s="475"/>
      <c r="BB66" s="477">
        <f t="shared" si="2"/>
        <v>819421</v>
      </c>
      <c r="BC66" s="477">
        <f t="shared" si="0"/>
        <v>115681.05300000007</v>
      </c>
    </row>
    <row r="67" spans="2:55" s="195" customFormat="1" x14ac:dyDescent="0.25">
      <c r="B67" s="186">
        <f t="shared" si="3"/>
        <v>51</v>
      </c>
      <c r="C67" s="186" t="s">
        <v>38</v>
      </c>
      <c r="D67" s="450">
        <v>40000378</v>
      </c>
      <c r="E67" s="451" t="s">
        <v>597</v>
      </c>
      <c r="F67" s="451" t="s">
        <v>200</v>
      </c>
      <c r="G67" s="473" t="s">
        <v>525</v>
      </c>
      <c r="H67" s="451" t="s">
        <v>598</v>
      </c>
      <c r="I67" s="451" t="s">
        <v>42</v>
      </c>
      <c r="J67" s="474">
        <v>526798</v>
      </c>
      <c r="K67" s="474">
        <v>247030</v>
      </c>
      <c r="L67" s="474">
        <v>279768</v>
      </c>
      <c r="M67" s="475"/>
      <c r="N67" s="475"/>
      <c r="O67" s="475">
        <v>30091.504000000001</v>
      </c>
      <c r="P67" s="475">
        <v>0</v>
      </c>
      <c r="Q67" s="475">
        <v>0</v>
      </c>
      <c r="R67" s="475">
        <v>0</v>
      </c>
      <c r="S67" s="475"/>
      <c r="T67" s="475"/>
      <c r="U67" s="475"/>
      <c r="V67" s="475"/>
      <c r="W67" s="475"/>
      <c r="X67" s="475"/>
      <c r="Y67" s="475">
        <f t="shared" si="1"/>
        <v>30091.504000000001</v>
      </c>
      <c r="Z67" s="476">
        <v>279768</v>
      </c>
      <c r="AA67" s="477">
        <v>6</v>
      </c>
      <c r="AB67" s="478">
        <v>44221</v>
      </c>
      <c r="AC67" s="479">
        <v>44225</v>
      </c>
      <c r="AD67" s="476"/>
      <c r="AE67" s="477"/>
      <c r="AF67" s="478"/>
      <c r="AG67" s="478"/>
      <c r="AH67" s="476"/>
      <c r="AI67" s="477"/>
      <c r="AJ67" s="478"/>
      <c r="AK67" s="477"/>
      <c r="AL67" s="476"/>
      <c r="AM67" s="477"/>
      <c r="AN67" s="477"/>
      <c r="AO67" s="477"/>
      <c r="AP67" s="477"/>
      <c r="AQ67" s="477"/>
      <c r="AR67" s="477"/>
      <c r="AS67" s="477"/>
      <c r="AT67" s="480"/>
      <c r="AU67" s="475"/>
      <c r="AV67" s="475"/>
      <c r="AW67" s="475"/>
      <c r="AX67" s="480"/>
      <c r="AY67" s="475"/>
      <c r="AZ67" s="475"/>
      <c r="BA67" s="475"/>
      <c r="BB67" s="477">
        <f t="shared" si="2"/>
        <v>279768</v>
      </c>
      <c r="BC67" s="477">
        <f t="shared" si="0"/>
        <v>249676.49599999998</v>
      </c>
    </row>
    <row r="68" spans="2:55" s="195" customFormat="1" ht="22.5" x14ac:dyDescent="0.25">
      <c r="B68" s="186">
        <f t="shared" si="3"/>
        <v>52</v>
      </c>
      <c r="C68" s="186" t="s">
        <v>38</v>
      </c>
      <c r="D68" s="450">
        <v>30388223</v>
      </c>
      <c r="E68" s="451" t="s">
        <v>599</v>
      </c>
      <c r="F68" s="451" t="s">
        <v>200</v>
      </c>
      <c r="G68" s="473" t="s">
        <v>525</v>
      </c>
      <c r="H68" s="451" t="s">
        <v>600</v>
      </c>
      <c r="I68" s="451" t="s">
        <v>42</v>
      </c>
      <c r="J68" s="474">
        <v>250580</v>
      </c>
      <c r="K68" s="474">
        <v>217947</v>
      </c>
      <c r="L68" s="474">
        <v>32633</v>
      </c>
      <c r="M68" s="475"/>
      <c r="N68" s="475"/>
      <c r="O68" s="475"/>
      <c r="P68" s="475">
        <v>20791.623</v>
      </c>
      <c r="Q68" s="475">
        <v>0</v>
      </c>
      <c r="R68" s="475">
        <v>1598.8009999999999</v>
      </c>
      <c r="S68" s="475"/>
      <c r="T68" s="475"/>
      <c r="U68" s="475"/>
      <c r="V68" s="475"/>
      <c r="W68" s="475"/>
      <c r="X68" s="475"/>
      <c r="Y68" s="475">
        <f t="shared" si="1"/>
        <v>22390.423999999999</v>
      </c>
      <c r="Z68" s="476">
        <v>32632</v>
      </c>
      <c r="AA68" s="477">
        <v>6</v>
      </c>
      <c r="AB68" s="478">
        <v>44221</v>
      </c>
      <c r="AC68" s="479">
        <v>44225</v>
      </c>
      <c r="AD68" s="476"/>
      <c r="AE68" s="477"/>
      <c r="AF68" s="478"/>
      <c r="AG68" s="478"/>
      <c r="AH68" s="476"/>
      <c r="AI68" s="477"/>
      <c r="AJ68" s="478"/>
      <c r="AK68" s="477"/>
      <c r="AL68" s="476"/>
      <c r="AM68" s="477"/>
      <c r="AN68" s="477"/>
      <c r="AO68" s="477"/>
      <c r="AP68" s="477"/>
      <c r="AQ68" s="477"/>
      <c r="AR68" s="477"/>
      <c r="AS68" s="477"/>
      <c r="AT68" s="480"/>
      <c r="AU68" s="475"/>
      <c r="AV68" s="475"/>
      <c r="AW68" s="475"/>
      <c r="AX68" s="480"/>
      <c r="AY68" s="475"/>
      <c r="AZ68" s="475"/>
      <c r="BA68" s="475"/>
      <c r="BB68" s="477">
        <f t="shared" si="2"/>
        <v>32632</v>
      </c>
      <c r="BC68" s="477">
        <f t="shared" si="0"/>
        <v>10241.576000000001</v>
      </c>
    </row>
    <row r="69" spans="2:55" s="195" customFormat="1" ht="22.5" x14ac:dyDescent="0.25">
      <c r="B69" s="186">
        <f t="shared" si="3"/>
        <v>53</v>
      </c>
      <c r="C69" s="186" t="s">
        <v>38</v>
      </c>
      <c r="D69" s="450">
        <v>40001444</v>
      </c>
      <c r="E69" s="451" t="s">
        <v>601</v>
      </c>
      <c r="F69" s="451" t="s">
        <v>200</v>
      </c>
      <c r="G69" s="473" t="s">
        <v>525</v>
      </c>
      <c r="H69" s="451" t="s">
        <v>602</v>
      </c>
      <c r="I69" s="451" t="s">
        <v>42</v>
      </c>
      <c r="J69" s="474">
        <v>742904</v>
      </c>
      <c r="K69" s="474">
        <v>194166</v>
      </c>
      <c r="L69" s="474">
        <v>548738</v>
      </c>
      <c r="M69" s="475"/>
      <c r="N69" s="475"/>
      <c r="O69" s="475">
        <v>27592.923999999999</v>
      </c>
      <c r="P69" s="475">
        <v>0</v>
      </c>
      <c r="Q69" s="475">
        <v>0</v>
      </c>
      <c r="R69" s="475">
        <v>36019.411</v>
      </c>
      <c r="S69" s="475"/>
      <c r="T69" s="475"/>
      <c r="U69" s="475"/>
      <c r="V69" s="475"/>
      <c r="W69" s="475"/>
      <c r="X69" s="475"/>
      <c r="Y69" s="475">
        <f t="shared" si="1"/>
        <v>63612.334999999999</v>
      </c>
      <c r="Z69" s="476">
        <v>548738</v>
      </c>
      <c r="AA69" s="477">
        <v>6</v>
      </c>
      <c r="AB69" s="478">
        <v>44221</v>
      </c>
      <c r="AC69" s="479">
        <v>44225</v>
      </c>
      <c r="AD69" s="476"/>
      <c r="AE69" s="477"/>
      <c r="AF69" s="478"/>
      <c r="AG69" s="478"/>
      <c r="AH69" s="476"/>
      <c r="AI69" s="477"/>
      <c r="AJ69" s="478"/>
      <c r="AK69" s="477"/>
      <c r="AL69" s="476"/>
      <c r="AM69" s="477"/>
      <c r="AN69" s="477"/>
      <c r="AO69" s="477"/>
      <c r="AP69" s="477"/>
      <c r="AQ69" s="477"/>
      <c r="AR69" s="477"/>
      <c r="AS69" s="477"/>
      <c r="AT69" s="480"/>
      <c r="AU69" s="475"/>
      <c r="AV69" s="475"/>
      <c r="AW69" s="475"/>
      <c r="AX69" s="480"/>
      <c r="AY69" s="475"/>
      <c r="AZ69" s="475"/>
      <c r="BA69" s="475"/>
      <c r="BB69" s="477">
        <f t="shared" si="2"/>
        <v>548738</v>
      </c>
      <c r="BC69" s="477">
        <f t="shared" si="0"/>
        <v>485125.66499999998</v>
      </c>
    </row>
    <row r="70" spans="2:55" s="195" customFormat="1" ht="22.5" x14ac:dyDescent="0.25">
      <c r="B70" s="186">
        <f t="shared" si="3"/>
        <v>54</v>
      </c>
      <c r="C70" s="186" t="s">
        <v>38</v>
      </c>
      <c r="D70" s="450">
        <v>30486584</v>
      </c>
      <c r="E70" s="451" t="s">
        <v>603</v>
      </c>
      <c r="F70" s="451" t="s">
        <v>200</v>
      </c>
      <c r="G70" s="473" t="s">
        <v>525</v>
      </c>
      <c r="H70" s="451" t="s">
        <v>598</v>
      </c>
      <c r="I70" s="451" t="s">
        <v>42</v>
      </c>
      <c r="J70" s="474">
        <v>245082</v>
      </c>
      <c r="K70" s="474">
        <v>172678</v>
      </c>
      <c r="L70" s="474">
        <v>72404</v>
      </c>
      <c r="M70" s="475"/>
      <c r="N70" s="475"/>
      <c r="O70" s="475"/>
      <c r="P70" s="475"/>
      <c r="Q70" s="475"/>
      <c r="R70" s="475"/>
      <c r="S70" s="475"/>
      <c r="T70" s="475"/>
      <c r="U70" s="475"/>
      <c r="V70" s="475"/>
      <c r="W70" s="475"/>
      <c r="X70" s="475"/>
      <c r="Y70" s="475">
        <f t="shared" si="1"/>
        <v>0</v>
      </c>
      <c r="Z70" s="476">
        <v>72404</v>
      </c>
      <c r="AA70" s="477">
        <v>6</v>
      </c>
      <c r="AB70" s="478">
        <v>44221</v>
      </c>
      <c r="AC70" s="479">
        <v>44225</v>
      </c>
      <c r="AD70" s="476"/>
      <c r="AE70" s="477"/>
      <c r="AF70" s="478"/>
      <c r="AG70" s="478"/>
      <c r="AH70" s="476"/>
      <c r="AI70" s="477"/>
      <c r="AJ70" s="478"/>
      <c r="AK70" s="477"/>
      <c r="AL70" s="476"/>
      <c r="AM70" s="477"/>
      <c r="AN70" s="477"/>
      <c r="AO70" s="477"/>
      <c r="AP70" s="477"/>
      <c r="AQ70" s="477"/>
      <c r="AR70" s="477"/>
      <c r="AS70" s="477"/>
      <c r="AT70" s="480"/>
      <c r="AU70" s="475"/>
      <c r="AV70" s="475"/>
      <c r="AW70" s="475"/>
      <c r="AX70" s="480"/>
      <c r="AY70" s="475"/>
      <c r="AZ70" s="475"/>
      <c r="BA70" s="475"/>
      <c r="BB70" s="477">
        <f t="shared" si="2"/>
        <v>72404</v>
      </c>
      <c r="BC70" s="477">
        <f t="shared" si="0"/>
        <v>72404</v>
      </c>
    </row>
    <row r="71" spans="2:55" s="195" customFormat="1" ht="22.5" x14ac:dyDescent="0.25">
      <c r="B71" s="186">
        <f t="shared" si="3"/>
        <v>55</v>
      </c>
      <c r="C71" s="186" t="s">
        <v>38</v>
      </c>
      <c r="D71" s="450">
        <v>30436672</v>
      </c>
      <c r="E71" s="451" t="s">
        <v>604</v>
      </c>
      <c r="F71" s="451" t="s">
        <v>200</v>
      </c>
      <c r="G71" s="473" t="s">
        <v>525</v>
      </c>
      <c r="H71" s="451" t="s">
        <v>605</v>
      </c>
      <c r="I71" s="451" t="s">
        <v>42</v>
      </c>
      <c r="J71" s="474">
        <v>561546</v>
      </c>
      <c r="K71" s="474">
        <v>405508</v>
      </c>
      <c r="L71" s="474">
        <v>156038</v>
      </c>
      <c r="M71" s="475"/>
      <c r="N71" s="475"/>
      <c r="O71" s="475"/>
      <c r="P71" s="475">
        <v>40297.313999999998</v>
      </c>
      <c r="Q71" s="475">
        <v>153.54</v>
      </c>
      <c r="R71" s="475">
        <v>0</v>
      </c>
      <c r="S71" s="475"/>
      <c r="T71" s="475"/>
      <c r="U71" s="475"/>
      <c r="V71" s="475"/>
      <c r="W71" s="475"/>
      <c r="X71" s="475"/>
      <c r="Y71" s="475">
        <f t="shared" si="1"/>
        <v>40450.853999999999</v>
      </c>
      <c r="Z71" s="476">
        <v>156038</v>
      </c>
      <c r="AA71" s="477">
        <v>6</v>
      </c>
      <c r="AB71" s="478">
        <v>44221</v>
      </c>
      <c r="AC71" s="479">
        <v>44225</v>
      </c>
      <c r="AD71" s="476"/>
      <c r="AE71" s="477"/>
      <c r="AF71" s="478"/>
      <c r="AG71" s="478"/>
      <c r="AH71" s="476"/>
      <c r="AI71" s="477"/>
      <c r="AJ71" s="478"/>
      <c r="AK71" s="477"/>
      <c r="AL71" s="476"/>
      <c r="AM71" s="477"/>
      <c r="AN71" s="477"/>
      <c r="AO71" s="477"/>
      <c r="AP71" s="477"/>
      <c r="AQ71" s="477"/>
      <c r="AR71" s="477"/>
      <c r="AS71" s="477"/>
      <c r="AT71" s="480"/>
      <c r="AU71" s="475"/>
      <c r="AV71" s="475"/>
      <c r="AW71" s="475"/>
      <c r="AX71" s="480"/>
      <c r="AY71" s="475"/>
      <c r="AZ71" s="475"/>
      <c r="BA71" s="475"/>
      <c r="BB71" s="477">
        <f t="shared" si="2"/>
        <v>156038</v>
      </c>
      <c r="BC71" s="477">
        <f t="shared" si="0"/>
        <v>115587.14600000001</v>
      </c>
    </row>
    <row r="72" spans="2:55" s="195" customFormat="1" x14ac:dyDescent="0.25">
      <c r="B72" s="186">
        <f t="shared" si="3"/>
        <v>56</v>
      </c>
      <c r="C72" s="186" t="s">
        <v>38</v>
      </c>
      <c r="D72" s="450">
        <v>30347022</v>
      </c>
      <c r="E72" s="451" t="s">
        <v>606</v>
      </c>
      <c r="F72" s="451" t="s">
        <v>200</v>
      </c>
      <c r="G72" s="473" t="s">
        <v>525</v>
      </c>
      <c r="H72" s="451" t="s">
        <v>579</v>
      </c>
      <c r="I72" s="451" t="s">
        <v>42</v>
      </c>
      <c r="J72" s="474">
        <v>449279</v>
      </c>
      <c r="K72" s="474">
        <v>416373</v>
      </c>
      <c r="L72" s="474">
        <v>32906</v>
      </c>
      <c r="M72" s="475"/>
      <c r="N72" s="475">
        <v>4800</v>
      </c>
      <c r="O72" s="475"/>
      <c r="P72" s="475">
        <v>0</v>
      </c>
      <c r="Q72" s="475">
        <v>0</v>
      </c>
      <c r="R72" s="475">
        <v>0</v>
      </c>
      <c r="S72" s="475"/>
      <c r="T72" s="475"/>
      <c r="U72" s="475"/>
      <c r="V72" s="475"/>
      <c r="W72" s="475"/>
      <c r="X72" s="475"/>
      <c r="Y72" s="475">
        <f t="shared" si="1"/>
        <v>4800</v>
      </c>
      <c r="Z72" s="476">
        <v>32906</v>
      </c>
      <c r="AA72" s="477">
        <v>6</v>
      </c>
      <c r="AB72" s="478">
        <v>44221</v>
      </c>
      <c r="AC72" s="479">
        <v>44225</v>
      </c>
      <c r="AD72" s="476"/>
      <c r="AE72" s="477"/>
      <c r="AF72" s="478"/>
      <c r="AG72" s="478"/>
      <c r="AH72" s="476"/>
      <c r="AI72" s="477"/>
      <c r="AJ72" s="478"/>
      <c r="AK72" s="477"/>
      <c r="AL72" s="476"/>
      <c r="AM72" s="477"/>
      <c r="AN72" s="477"/>
      <c r="AO72" s="477"/>
      <c r="AP72" s="477"/>
      <c r="AQ72" s="477"/>
      <c r="AR72" s="477"/>
      <c r="AS72" s="477"/>
      <c r="AT72" s="480"/>
      <c r="AU72" s="475"/>
      <c r="AV72" s="475"/>
      <c r="AW72" s="475"/>
      <c r="AX72" s="480"/>
      <c r="AY72" s="475"/>
      <c r="AZ72" s="475"/>
      <c r="BA72" s="475"/>
      <c r="BB72" s="477">
        <f t="shared" si="2"/>
        <v>32906</v>
      </c>
      <c r="BC72" s="477">
        <f t="shared" si="0"/>
        <v>28106</v>
      </c>
    </row>
    <row r="73" spans="2:55" s="195" customFormat="1" ht="22.5" x14ac:dyDescent="0.25">
      <c r="B73" s="186">
        <f t="shared" si="3"/>
        <v>57</v>
      </c>
      <c r="C73" s="186" t="s">
        <v>38</v>
      </c>
      <c r="D73" s="450">
        <v>30124753</v>
      </c>
      <c r="E73" s="451" t="s">
        <v>607</v>
      </c>
      <c r="F73" s="451" t="s">
        <v>200</v>
      </c>
      <c r="G73" s="473" t="s">
        <v>525</v>
      </c>
      <c r="H73" s="451" t="s">
        <v>525</v>
      </c>
      <c r="I73" s="451" t="s">
        <v>42</v>
      </c>
      <c r="J73" s="474">
        <v>530475</v>
      </c>
      <c r="K73" s="474">
        <v>513072</v>
      </c>
      <c r="L73" s="474">
        <v>17403</v>
      </c>
      <c r="M73" s="475">
        <v>2256.7640000000001</v>
      </c>
      <c r="N73" s="475"/>
      <c r="O73" s="475"/>
      <c r="P73" s="475">
        <v>0</v>
      </c>
      <c r="Q73" s="475">
        <v>0</v>
      </c>
      <c r="R73" s="475">
        <v>0</v>
      </c>
      <c r="S73" s="475"/>
      <c r="T73" s="475"/>
      <c r="U73" s="475"/>
      <c r="V73" s="475"/>
      <c r="W73" s="475"/>
      <c r="X73" s="475"/>
      <c r="Y73" s="475">
        <f t="shared" si="1"/>
        <v>2256.7640000000001</v>
      </c>
      <c r="Z73" s="476">
        <v>17401</v>
      </c>
      <c r="AA73" s="477">
        <v>6</v>
      </c>
      <c r="AB73" s="478">
        <v>44221</v>
      </c>
      <c r="AC73" s="479">
        <v>44225</v>
      </c>
      <c r="AD73" s="476"/>
      <c r="AE73" s="477"/>
      <c r="AF73" s="478"/>
      <c r="AG73" s="478"/>
      <c r="AH73" s="476"/>
      <c r="AI73" s="477"/>
      <c r="AJ73" s="478"/>
      <c r="AK73" s="477"/>
      <c r="AL73" s="476"/>
      <c r="AM73" s="477"/>
      <c r="AN73" s="477"/>
      <c r="AO73" s="477"/>
      <c r="AP73" s="477"/>
      <c r="AQ73" s="477"/>
      <c r="AR73" s="477"/>
      <c r="AS73" s="477"/>
      <c r="AT73" s="480"/>
      <c r="AU73" s="475"/>
      <c r="AV73" s="475"/>
      <c r="AW73" s="475"/>
      <c r="AX73" s="480"/>
      <c r="AY73" s="475"/>
      <c r="AZ73" s="475"/>
      <c r="BA73" s="475"/>
      <c r="BB73" s="477">
        <f t="shared" si="2"/>
        <v>17401</v>
      </c>
      <c r="BC73" s="477">
        <f t="shared" si="0"/>
        <v>15144.236000000001</v>
      </c>
    </row>
    <row r="74" spans="2:55" s="195" customFormat="1" x14ac:dyDescent="0.25">
      <c r="B74" s="186">
        <f t="shared" si="3"/>
        <v>58</v>
      </c>
      <c r="C74" s="186" t="s">
        <v>38</v>
      </c>
      <c r="D74" s="450">
        <v>30477693</v>
      </c>
      <c r="E74" s="451" t="s">
        <v>608</v>
      </c>
      <c r="F74" s="451" t="s">
        <v>200</v>
      </c>
      <c r="G74" s="473" t="s">
        <v>525</v>
      </c>
      <c r="H74" s="451" t="s">
        <v>526</v>
      </c>
      <c r="I74" s="451" t="s">
        <v>42</v>
      </c>
      <c r="J74" s="474">
        <v>576659</v>
      </c>
      <c r="K74" s="474">
        <v>243751</v>
      </c>
      <c r="L74" s="474">
        <v>332908</v>
      </c>
      <c r="M74" s="475"/>
      <c r="N74" s="475"/>
      <c r="O74" s="475"/>
      <c r="P74" s="475"/>
      <c r="Q74" s="475"/>
      <c r="R74" s="475"/>
      <c r="S74" s="475"/>
      <c r="T74" s="475"/>
      <c r="U74" s="475"/>
      <c r="V74" s="475"/>
      <c r="W74" s="475"/>
      <c r="X74" s="475"/>
      <c r="Y74" s="475">
        <f t="shared" si="1"/>
        <v>0</v>
      </c>
      <c r="Z74" s="476">
        <v>332908</v>
      </c>
      <c r="AA74" s="477">
        <v>6</v>
      </c>
      <c r="AB74" s="478">
        <v>44221</v>
      </c>
      <c r="AC74" s="479">
        <v>44225</v>
      </c>
      <c r="AD74" s="476"/>
      <c r="AE74" s="477"/>
      <c r="AF74" s="478"/>
      <c r="AG74" s="478"/>
      <c r="AH74" s="476"/>
      <c r="AI74" s="477"/>
      <c r="AJ74" s="478"/>
      <c r="AK74" s="477"/>
      <c r="AL74" s="476"/>
      <c r="AM74" s="477"/>
      <c r="AN74" s="477"/>
      <c r="AO74" s="477"/>
      <c r="AP74" s="477"/>
      <c r="AQ74" s="477"/>
      <c r="AR74" s="477"/>
      <c r="AS74" s="477"/>
      <c r="AT74" s="480"/>
      <c r="AU74" s="475"/>
      <c r="AV74" s="475"/>
      <c r="AW74" s="475"/>
      <c r="AX74" s="480"/>
      <c r="AY74" s="475"/>
      <c r="AZ74" s="475"/>
      <c r="BA74" s="475"/>
      <c r="BB74" s="477">
        <f t="shared" si="2"/>
        <v>332908</v>
      </c>
      <c r="BC74" s="477">
        <f t="shared" si="0"/>
        <v>332908</v>
      </c>
    </row>
    <row r="75" spans="2:55" s="195" customFormat="1" ht="22.5" x14ac:dyDescent="0.25">
      <c r="B75" s="186">
        <f t="shared" si="3"/>
        <v>59</v>
      </c>
      <c r="C75" s="186" t="s">
        <v>38</v>
      </c>
      <c r="D75" s="450">
        <v>40002892</v>
      </c>
      <c r="E75" s="451" t="s">
        <v>609</v>
      </c>
      <c r="F75" s="451" t="s">
        <v>200</v>
      </c>
      <c r="G75" s="473" t="s">
        <v>525</v>
      </c>
      <c r="H75" s="451" t="s">
        <v>549</v>
      </c>
      <c r="I75" s="451" t="s">
        <v>42</v>
      </c>
      <c r="J75" s="474">
        <v>208262</v>
      </c>
      <c r="K75" s="474">
        <v>126694</v>
      </c>
      <c r="L75" s="474">
        <v>81568</v>
      </c>
      <c r="M75" s="475"/>
      <c r="N75" s="475"/>
      <c r="O75" s="475">
        <v>14656.097</v>
      </c>
      <c r="P75" s="475">
        <v>32628.473999999998</v>
      </c>
      <c r="Q75" s="475">
        <v>0</v>
      </c>
      <c r="R75" s="475">
        <v>16368.49</v>
      </c>
      <c r="S75" s="475"/>
      <c r="T75" s="475"/>
      <c r="U75" s="475"/>
      <c r="V75" s="475"/>
      <c r="W75" s="475"/>
      <c r="X75" s="475"/>
      <c r="Y75" s="475">
        <f t="shared" si="1"/>
        <v>63653.060999999994</v>
      </c>
      <c r="Z75" s="476">
        <v>81568</v>
      </c>
      <c r="AA75" s="477">
        <v>6</v>
      </c>
      <c r="AB75" s="478">
        <v>44221</v>
      </c>
      <c r="AC75" s="479">
        <v>44225</v>
      </c>
      <c r="AD75" s="476"/>
      <c r="AE75" s="477"/>
      <c r="AF75" s="478"/>
      <c r="AG75" s="478"/>
      <c r="AH75" s="476"/>
      <c r="AI75" s="477"/>
      <c r="AJ75" s="478"/>
      <c r="AK75" s="477"/>
      <c r="AL75" s="476"/>
      <c r="AM75" s="477"/>
      <c r="AN75" s="477"/>
      <c r="AO75" s="477"/>
      <c r="AP75" s="477"/>
      <c r="AQ75" s="477"/>
      <c r="AR75" s="477"/>
      <c r="AS75" s="477"/>
      <c r="AT75" s="480"/>
      <c r="AU75" s="475"/>
      <c r="AV75" s="475"/>
      <c r="AW75" s="475"/>
      <c r="AX75" s="480"/>
      <c r="AY75" s="475"/>
      <c r="AZ75" s="475"/>
      <c r="BA75" s="475"/>
      <c r="BB75" s="477">
        <f t="shared" si="2"/>
        <v>81568</v>
      </c>
      <c r="BC75" s="477">
        <f t="shared" si="0"/>
        <v>17914.939000000006</v>
      </c>
    </row>
    <row r="76" spans="2:55" s="195" customFormat="1" ht="22.5" x14ac:dyDescent="0.25">
      <c r="B76" s="186">
        <f t="shared" si="3"/>
        <v>60</v>
      </c>
      <c r="C76" s="186" t="s">
        <v>38</v>
      </c>
      <c r="D76" s="450">
        <v>30086944</v>
      </c>
      <c r="E76" s="451" t="s">
        <v>610</v>
      </c>
      <c r="F76" s="451" t="s">
        <v>200</v>
      </c>
      <c r="G76" s="473" t="s">
        <v>525</v>
      </c>
      <c r="H76" s="451" t="s">
        <v>591</v>
      </c>
      <c r="I76" s="451" t="s">
        <v>42</v>
      </c>
      <c r="J76" s="474">
        <v>792960</v>
      </c>
      <c r="K76" s="474">
        <v>754335</v>
      </c>
      <c r="L76" s="474">
        <v>38625</v>
      </c>
      <c r="M76" s="475"/>
      <c r="N76" s="475"/>
      <c r="O76" s="475"/>
      <c r="P76" s="475">
        <v>28854.965</v>
      </c>
      <c r="Q76" s="475">
        <v>0</v>
      </c>
      <c r="R76" s="475">
        <v>16157.494000000001</v>
      </c>
      <c r="S76" s="475"/>
      <c r="T76" s="475"/>
      <c r="U76" s="475"/>
      <c r="V76" s="475"/>
      <c r="W76" s="475"/>
      <c r="X76" s="475"/>
      <c r="Y76" s="475">
        <f t="shared" si="1"/>
        <v>45012.459000000003</v>
      </c>
      <c r="Z76" s="476">
        <v>38625</v>
      </c>
      <c r="AA76" s="477">
        <v>6</v>
      </c>
      <c r="AB76" s="478">
        <v>44221</v>
      </c>
      <c r="AC76" s="479">
        <v>44225</v>
      </c>
      <c r="AD76" s="476">
        <v>20000</v>
      </c>
      <c r="AE76" s="477">
        <v>54</v>
      </c>
      <c r="AF76" s="478">
        <v>44363</v>
      </c>
      <c r="AG76" s="478">
        <v>44369</v>
      </c>
      <c r="AH76" s="476"/>
      <c r="AI76" s="477"/>
      <c r="AJ76" s="478"/>
      <c r="AK76" s="477"/>
      <c r="AL76" s="476"/>
      <c r="AM76" s="477"/>
      <c r="AN76" s="477"/>
      <c r="AO76" s="477"/>
      <c r="AP76" s="477"/>
      <c r="AQ76" s="477"/>
      <c r="AR76" s="477"/>
      <c r="AS76" s="477"/>
      <c r="AT76" s="480"/>
      <c r="AU76" s="475"/>
      <c r="AV76" s="475"/>
      <c r="AW76" s="475"/>
      <c r="AX76" s="480"/>
      <c r="AY76" s="475"/>
      <c r="AZ76" s="475"/>
      <c r="BA76" s="475"/>
      <c r="BB76" s="477">
        <f t="shared" si="2"/>
        <v>58625</v>
      </c>
      <c r="BC76" s="477">
        <f t="shared" si="0"/>
        <v>13612.540999999997</v>
      </c>
    </row>
    <row r="77" spans="2:55" s="195" customFormat="1" ht="22.5" x14ac:dyDescent="0.25">
      <c r="B77" s="186">
        <f t="shared" si="3"/>
        <v>61</v>
      </c>
      <c r="C77" s="186" t="s">
        <v>38</v>
      </c>
      <c r="D77" s="450">
        <v>40007750</v>
      </c>
      <c r="E77" s="451" t="s">
        <v>611</v>
      </c>
      <c r="F77" s="451" t="s">
        <v>200</v>
      </c>
      <c r="G77" s="473" t="s">
        <v>525</v>
      </c>
      <c r="H77" s="451" t="s">
        <v>612</v>
      </c>
      <c r="I77" s="451" t="s">
        <v>42</v>
      </c>
      <c r="J77" s="474">
        <v>699008</v>
      </c>
      <c r="K77" s="474">
        <v>109175</v>
      </c>
      <c r="L77" s="474">
        <v>589833</v>
      </c>
      <c r="M77" s="475">
        <v>6055.8119999999999</v>
      </c>
      <c r="N77" s="475">
        <v>250966.24600000001</v>
      </c>
      <c r="O77" s="475"/>
      <c r="P77" s="475">
        <v>221247.299</v>
      </c>
      <c r="Q77" s="475">
        <v>0</v>
      </c>
      <c r="R77" s="475">
        <v>1009.302</v>
      </c>
      <c r="S77" s="475"/>
      <c r="T77" s="475"/>
      <c r="U77" s="475"/>
      <c r="V77" s="475"/>
      <c r="W77" s="475"/>
      <c r="X77" s="475"/>
      <c r="Y77" s="475">
        <f t="shared" si="1"/>
        <v>479278.65900000004</v>
      </c>
      <c r="Z77" s="476">
        <v>589833</v>
      </c>
      <c r="AA77" s="477">
        <v>6</v>
      </c>
      <c r="AB77" s="478">
        <v>44221</v>
      </c>
      <c r="AC77" s="479">
        <v>44225</v>
      </c>
      <c r="AD77" s="476"/>
      <c r="AE77" s="477"/>
      <c r="AF77" s="478"/>
      <c r="AG77" s="478"/>
      <c r="AH77" s="476"/>
      <c r="AI77" s="477"/>
      <c r="AJ77" s="478"/>
      <c r="AK77" s="477"/>
      <c r="AL77" s="476"/>
      <c r="AM77" s="477"/>
      <c r="AN77" s="477"/>
      <c r="AO77" s="477"/>
      <c r="AP77" s="477"/>
      <c r="AQ77" s="477"/>
      <c r="AR77" s="477"/>
      <c r="AS77" s="477"/>
      <c r="AT77" s="480"/>
      <c r="AU77" s="475"/>
      <c r="AV77" s="475"/>
      <c r="AW77" s="475"/>
      <c r="AX77" s="480"/>
      <c r="AY77" s="475"/>
      <c r="AZ77" s="475"/>
      <c r="BA77" s="475"/>
      <c r="BB77" s="477">
        <f t="shared" si="2"/>
        <v>589833</v>
      </c>
      <c r="BC77" s="477">
        <f t="shared" si="0"/>
        <v>110554.34099999996</v>
      </c>
    </row>
    <row r="78" spans="2:55" s="195" customFormat="1" x14ac:dyDescent="0.25">
      <c r="B78" s="186">
        <f t="shared" si="3"/>
        <v>62</v>
      </c>
      <c r="C78" s="186" t="s">
        <v>40</v>
      </c>
      <c r="D78" s="450">
        <v>40005147</v>
      </c>
      <c r="E78" s="451" t="s">
        <v>613</v>
      </c>
      <c r="F78" s="451" t="s">
        <v>200</v>
      </c>
      <c r="G78" s="473" t="s">
        <v>525</v>
      </c>
      <c r="H78" s="451" t="s">
        <v>614</v>
      </c>
      <c r="I78" s="451" t="s">
        <v>42</v>
      </c>
      <c r="J78" s="474">
        <v>37290</v>
      </c>
      <c r="K78" s="474">
        <v>13190</v>
      </c>
      <c r="L78" s="474">
        <v>24100</v>
      </c>
      <c r="M78" s="475"/>
      <c r="N78" s="475"/>
      <c r="O78" s="475"/>
      <c r="P78" s="475">
        <v>11100</v>
      </c>
      <c r="Q78" s="475">
        <v>0</v>
      </c>
      <c r="R78" s="475">
        <v>13000</v>
      </c>
      <c r="S78" s="475"/>
      <c r="T78" s="475"/>
      <c r="U78" s="475"/>
      <c r="V78" s="475"/>
      <c r="W78" s="475"/>
      <c r="X78" s="475"/>
      <c r="Y78" s="475">
        <f t="shared" si="1"/>
        <v>24100</v>
      </c>
      <c r="Z78" s="476">
        <v>24100</v>
      </c>
      <c r="AA78" s="477">
        <v>6</v>
      </c>
      <c r="AB78" s="478">
        <v>44221</v>
      </c>
      <c r="AC78" s="479">
        <v>44225</v>
      </c>
      <c r="AD78" s="476"/>
      <c r="AE78" s="477"/>
      <c r="AF78" s="478"/>
      <c r="AG78" s="478"/>
      <c r="AH78" s="476"/>
      <c r="AI78" s="477"/>
      <c r="AJ78" s="478"/>
      <c r="AK78" s="477"/>
      <c r="AL78" s="476"/>
      <c r="AM78" s="477"/>
      <c r="AN78" s="477"/>
      <c r="AO78" s="477"/>
      <c r="AP78" s="477"/>
      <c r="AQ78" s="477"/>
      <c r="AR78" s="477"/>
      <c r="AS78" s="477"/>
      <c r="AT78" s="480"/>
      <c r="AU78" s="475"/>
      <c r="AV78" s="475"/>
      <c r="AW78" s="475"/>
      <c r="AX78" s="480"/>
      <c r="AY78" s="475"/>
      <c r="AZ78" s="475"/>
      <c r="BA78" s="475"/>
      <c r="BB78" s="477">
        <f t="shared" si="2"/>
        <v>24100</v>
      </c>
      <c r="BC78" s="477">
        <f t="shared" si="0"/>
        <v>0</v>
      </c>
    </row>
    <row r="79" spans="2:55" s="195" customFormat="1" ht="22.5" x14ac:dyDescent="0.25">
      <c r="B79" s="186">
        <f t="shared" si="3"/>
        <v>63</v>
      </c>
      <c r="C79" s="186" t="s">
        <v>38</v>
      </c>
      <c r="D79" s="450">
        <v>40011201</v>
      </c>
      <c r="E79" s="451" t="s">
        <v>615</v>
      </c>
      <c r="F79" s="451" t="s">
        <v>200</v>
      </c>
      <c r="G79" s="473" t="s">
        <v>525</v>
      </c>
      <c r="H79" s="451" t="s">
        <v>614</v>
      </c>
      <c r="I79" s="451" t="s">
        <v>42</v>
      </c>
      <c r="J79" s="474">
        <v>508156</v>
      </c>
      <c r="K79" s="474">
        <v>25652</v>
      </c>
      <c r="L79" s="474">
        <v>482504</v>
      </c>
      <c r="M79" s="475"/>
      <c r="N79" s="475">
        <v>41677.296999999999</v>
      </c>
      <c r="O79" s="475">
        <v>16159.04</v>
      </c>
      <c r="P79" s="475">
        <v>98916.161999999997</v>
      </c>
      <c r="Q79" s="475">
        <v>0</v>
      </c>
      <c r="R79" s="475">
        <v>0</v>
      </c>
      <c r="S79" s="475"/>
      <c r="T79" s="475"/>
      <c r="U79" s="475"/>
      <c r="V79" s="475"/>
      <c r="W79" s="475"/>
      <c r="X79" s="475"/>
      <c r="Y79" s="475">
        <f t="shared" si="1"/>
        <v>156752.49900000001</v>
      </c>
      <c r="Z79" s="476">
        <v>482504</v>
      </c>
      <c r="AA79" s="477">
        <v>6</v>
      </c>
      <c r="AB79" s="478">
        <v>44221</v>
      </c>
      <c r="AC79" s="479">
        <v>44225</v>
      </c>
      <c r="AD79" s="476"/>
      <c r="AE79" s="477"/>
      <c r="AF79" s="478"/>
      <c r="AG79" s="478"/>
      <c r="AH79" s="476"/>
      <c r="AI79" s="477"/>
      <c r="AJ79" s="478"/>
      <c r="AK79" s="477"/>
      <c r="AL79" s="476"/>
      <c r="AM79" s="477"/>
      <c r="AN79" s="477"/>
      <c r="AO79" s="477"/>
      <c r="AP79" s="477"/>
      <c r="AQ79" s="477"/>
      <c r="AR79" s="477"/>
      <c r="AS79" s="477"/>
      <c r="AT79" s="480"/>
      <c r="AU79" s="475"/>
      <c r="AV79" s="475"/>
      <c r="AW79" s="475"/>
      <c r="AX79" s="480"/>
      <c r="AY79" s="475"/>
      <c r="AZ79" s="475"/>
      <c r="BA79" s="475"/>
      <c r="BB79" s="477">
        <f t="shared" si="2"/>
        <v>482504</v>
      </c>
      <c r="BC79" s="477">
        <f t="shared" si="0"/>
        <v>325751.50099999999</v>
      </c>
    </row>
    <row r="80" spans="2:55" s="195" customFormat="1" x14ac:dyDescent="0.25">
      <c r="B80" s="186">
        <f t="shared" si="3"/>
        <v>64</v>
      </c>
      <c r="C80" s="186" t="s">
        <v>38</v>
      </c>
      <c r="D80" s="450">
        <v>40006613</v>
      </c>
      <c r="E80" s="451" t="s">
        <v>616</v>
      </c>
      <c r="F80" s="451" t="s">
        <v>200</v>
      </c>
      <c r="G80" s="473" t="s">
        <v>525</v>
      </c>
      <c r="H80" s="451" t="s">
        <v>614</v>
      </c>
      <c r="I80" s="451" t="s">
        <v>42</v>
      </c>
      <c r="J80" s="474">
        <v>452730</v>
      </c>
      <c r="K80" s="474">
        <v>3067</v>
      </c>
      <c r="L80" s="474">
        <v>449663</v>
      </c>
      <c r="M80" s="475"/>
      <c r="N80" s="475">
        <v>1500</v>
      </c>
      <c r="O80" s="475">
        <v>23992.017</v>
      </c>
      <c r="P80" s="475">
        <v>79764.216</v>
      </c>
      <c r="Q80" s="475">
        <v>61393.815999999999</v>
      </c>
      <c r="R80" s="475">
        <v>1500</v>
      </c>
      <c r="S80" s="475"/>
      <c r="T80" s="475"/>
      <c r="U80" s="475"/>
      <c r="V80" s="475"/>
      <c r="W80" s="475"/>
      <c r="X80" s="475"/>
      <c r="Y80" s="475">
        <f t="shared" si="1"/>
        <v>168150.049</v>
      </c>
      <c r="Z80" s="476">
        <v>449663</v>
      </c>
      <c r="AA80" s="477">
        <v>6</v>
      </c>
      <c r="AB80" s="478">
        <v>44221</v>
      </c>
      <c r="AC80" s="479">
        <v>44225</v>
      </c>
      <c r="AD80" s="476"/>
      <c r="AE80" s="477"/>
      <c r="AF80" s="478"/>
      <c r="AG80" s="478"/>
      <c r="AH80" s="476"/>
      <c r="AI80" s="477"/>
      <c r="AJ80" s="478"/>
      <c r="AK80" s="477"/>
      <c r="AL80" s="476"/>
      <c r="AM80" s="477"/>
      <c r="AN80" s="477"/>
      <c r="AO80" s="477"/>
      <c r="AP80" s="477"/>
      <c r="AQ80" s="477"/>
      <c r="AR80" s="477"/>
      <c r="AS80" s="477"/>
      <c r="AT80" s="480"/>
      <c r="AU80" s="475"/>
      <c r="AV80" s="475"/>
      <c r="AW80" s="475"/>
      <c r="AX80" s="480"/>
      <c r="AY80" s="475"/>
      <c r="AZ80" s="475"/>
      <c r="BA80" s="475"/>
      <c r="BB80" s="477">
        <f t="shared" si="2"/>
        <v>449663</v>
      </c>
      <c r="BC80" s="477">
        <f t="shared" si="0"/>
        <v>281512.951</v>
      </c>
    </row>
    <row r="81" spans="2:55" s="195" customFormat="1" ht="22.5" x14ac:dyDescent="0.25">
      <c r="B81" s="186">
        <f t="shared" si="3"/>
        <v>65</v>
      </c>
      <c r="C81" s="186" t="s">
        <v>38</v>
      </c>
      <c r="D81" s="450">
        <v>30240624</v>
      </c>
      <c r="E81" s="451" t="s">
        <v>617</v>
      </c>
      <c r="F81" s="451" t="s">
        <v>200</v>
      </c>
      <c r="G81" s="473" t="s">
        <v>525</v>
      </c>
      <c r="H81" s="451" t="s">
        <v>547</v>
      </c>
      <c r="I81" s="451" t="s">
        <v>42</v>
      </c>
      <c r="J81" s="474">
        <v>2365836</v>
      </c>
      <c r="K81" s="474">
        <v>2226197</v>
      </c>
      <c r="L81" s="474">
        <v>139639</v>
      </c>
      <c r="M81" s="475"/>
      <c r="N81" s="475"/>
      <c r="O81" s="475"/>
      <c r="P81" s="475"/>
      <c r="Q81" s="475"/>
      <c r="R81" s="475"/>
      <c r="S81" s="475"/>
      <c r="T81" s="475"/>
      <c r="U81" s="475"/>
      <c r="V81" s="475"/>
      <c r="W81" s="475"/>
      <c r="X81" s="475"/>
      <c r="Y81" s="475">
        <f t="shared" si="1"/>
        <v>0</v>
      </c>
      <c r="Z81" s="476">
        <v>139639</v>
      </c>
      <c r="AA81" s="477">
        <v>6</v>
      </c>
      <c r="AB81" s="478">
        <v>44221</v>
      </c>
      <c r="AC81" s="479">
        <v>44225</v>
      </c>
      <c r="AD81" s="476"/>
      <c r="AE81" s="477"/>
      <c r="AF81" s="478"/>
      <c r="AG81" s="478"/>
      <c r="AH81" s="476"/>
      <c r="AI81" s="477"/>
      <c r="AJ81" s="478"/>
      <c r="AK81" s="477"/>
      <c r="AL81" s="476"/>
      <c r="AM81" s="477"/>
      <c r="AN81" s="477"/>
      <c r="AO81" s="477"/>
      <c r="AP81" s="477"/>
      <c r="AQ81" s="477"/>
      <c r="AR81" s="477"/>
      <c r="AS81" s="477"/>
      <c r="AT81" s="480"/>
      <c r="AU81" s="475"/>
      <c r="AV81" s="475"/>
      <c r="AW81" s="475"/>
      <c r="AX81" s="480"/>
      <c r="AY81" s="475"/>
      <c r="AZ81" s="475"/>
      <c r="BA81" s="475"/>
      <c r="BB81" s="477">
        <f t="shared" si="2"/>
        <v>139639</v>
      </c>
      <c r="BC81" s="477">
        <f t="shared" ref="BC81:BC144" si="4">BB81-Y81</f>
        <v>139639</v>
      </c>
    </row>
    <row r="82" spans="2:55" s="195" customFormat="1" x14ac:dyDescent="0.25">
      <c r="B82" s="186">
        <f t="shared" si="3"/>
        <v>66</v>
      </c>
      <c r="C82" s="186" t="s">
        <v>38</v>
      </c>
      <c r="D82" s="450">
        <v>40010609</v>
      </c>
      <c r="E82" s="451" t="s">
        <v>618</v>
      </c>
      <c r="F82" s="451" t="s">
        <v>200</v>
      </c>
      <c r="G82" s="473" t="s">
        <v>525</v>
      </c>
      <c r="H82" s="451" t="s">
        <v>614</v>
      </c>
      <c r="I82" s="451" t="s">
        <v>43</v>
      </c>
      <c r="J82" s="474">
        <v>138531</v>
      </c>
      <c r="K82" s="474"/>
      <c r="L82" s="474">
        <v>138531</v>
      </c>
      <c r="M82" s="475"/>
      <c r="N82" s="475">
        <v>47089.055999999997</v>
      </c>
      <c r="O82" s="475"/>
      <c r="P82" s="475">
        <v>0</v>
      </c>
      <c r="Q82" s="475">
        <v>0</v>
      </c>
      <c r="R82" s="475">
        <v>71275.244000000006</v>
      </c>
      <c r="S82" s="475"/>
      <c r="T82" s="475"/>
      <c r="U82" s="475"/>
      <c r="V82" s="475"/>
      <c r="W82" s="475"/>
      <c r="X82" s="475"/>
      <c r="Y82" s="475">
        <f t="shared" ref="Y82:Y145" si="5">SUM(M82:X82)</f>
        <v>118364.3</v>
      </c>
      <c r="Z82" s="476">
        <v>93364</v>
      </c>
      <c r="AA82" s="477">
        <v>6</v>
      </c>
      <c r="AB82" s="478">
        <v>44221</v>
      </c>
      <c r="AC82" s="479">
        <v>44225</v>
      </c>
      <c r="AD82" s="476">
        <v>7543</v>
      </c>
      <c r="AE82" s="477">
        <v>32</v>
      </c>
      <c r="AF82" s="478">
        <v>44306</v>
      </c>
      <c r="AG82" s="478">
        <v>44314</v>
      </c>
      <c r="AH82" s="476">
        <v>28644</v>
      </c>
      <c r="AI82" s="477">
        <v>38</v>
      </c>
      <c r="AJ82" s="478">
        <v>44316</v>
      </c>
      <c r="AK82" s="478">
        <v>44328</v>
      </c>
      <c r="AL82" s="476"/>
      <c r="AM82" s="477"/>
      <c r="AN82" s="477"/>
      <c r="AO82" s="477"/>
      <c r="AP82" s="477"/>
      <c r="AQ82" s="477"/>
      <c r="AR82" s="477"/>
      <c r="AS82" s="477"/>
      <c r="AT82" s="480"/>
      <c r="AU82" s="475"/>
      <c r="AV82" s="475"/>
      <c r="AW82" s="475"/>
      <c r="AX82" s="480"/>
      <c r="AY82" s="475"/>
      <c r="AZ82" s="475"/>
      <c r="BA82" s="475"/>
      <c r="BB82" s="477">
        <f t="shared" ref="BB82:BB145" si="6">Z82+AD82+AH82+AL82+AT82+AX82+AP82</f>
        <v>129551</v>
      </c>
      <c r="BC82" s="477">
        <f t="shared" si="4"/>
        <v>11186.699999999997</v>
      </c>
    </row>
    <row r="83" spans="2:55" s="195" customFormat="1" ht="22.5" x14ac:dyDescent="0.25">
      <c r="B83" s="186">
        <f t="shared" ref="B83:B146" si="7">B82+1</f>
        <v>67</v>
      </c>
      <c r="C83" s="186" t="s">
        <v>38</v>
      </c>
      <c r="D83" s="450">
        <v>40002856</v>
      </c>
      <c r="E83" s="451" t="s">
        <v>619</v>
      </c>
      <c r="F83" s="451" t="s">
        <v>200</v>
      </c>
      <c r="G83" s="473" t="s">
        <v>525</v>
      </c>
      <c r="H83" s="451" t="s">
        <v>547</v>
      </c>
      <c r="I83" s="451" t="s">
        <v>43</v>
      </c>
      <c r="J83" s="474">
        <v>473993</v>
      </c>
      <c r="K83" s="474"/>
      <c r="L83" s="474">
        <v>473993</v>
      </c>
      <c r="M83" s="475"/>
      <c r="N83" s="475"/>
      <c r="O83" s="475">
        <v>215861.33799999999</v>
      </c>
      <c r="P83" s="475">
        <v>0</v>
      </c>
      <c r="Q83" s="475">
        <v>0</v>
      </c>
      <c r="R83" s="475">
        <v>0</v>
      </c>
      <c r="S83" s="475"/>
      <c r="T83" s="475"/>
      <c r="U83" s="475"/>
      <c r="V83" s="475"/>
      <c r="W83" s="475"/>
      <c r="X83" s="475"/>
      <c r="Y83" s="475">
        <f t="shared" si="5"/>
        <v>215861.33799999999</v>
      </c>
      <c r="Z83" s="476">
        <v>473993</v>
      </c>
      <c r="AA83" s="477">
        <v>6</v>
      </c>
      <c r="AB83" s="478">
        <v>44221</v>
      </c>
      <c r="AC83" s="479">
        <v>44225</v>
      </c>
      <c r="AD83" s="476"/>
      <c r="AE83" s="477"/>
      <c r="AF83" s="478"/>
      <c r="AG83" s="478"/>
      <c r="AH83" s="476"/>
      <c r="AI83" s="477"/>
      <c r="AJ83" s="478"/>
      <c r="AK83" s="477"/>
      <c r="AL83" s="476"/>
      <c r="AM83" s="477"/>
      <c r="AN83" s="477"/>
      <c r="AO83" s="477"/>
      <c r="AP83" s="477"/>
      <c r="AQ83" s="477"/>
      <c r="AR83" s="477"/>
      <c r="AS83" s="477"/>
      <c r="AT83" s="480"/>
      <c r="AU83" s="475"/>
      <c r="AV83" s="475"/>
      <c r="AW83" s="475"/>
      <c r="AX83" s="480"/>
      <c r="AY83" s="475"/>
      <c r="AZ83" s="475"/>
      <c r="BA83" s="475"/>
      <c r="BB83" s="477">
        <f t="shared" si="6"/>
        <v>473993</v>
      </c>
      <c r="BC83" s="477">
        <f t="shared" si="4"/>
        <v>258131.66200000001</v>
      </c>
    </row>
    <row r="84" spans="2:55" s="195" customFormat="1" ht="22.5" x14ac:dyDescent="0.25">
      <c r="B84" s="186">
        <f t="shared" si="7"/>
        <v>68</v>
      </c>
      <c r="C84" s="186" t="s">
        <v>38</v>
      </c>
      <c r="D84" s="450">
        <v>40006021</v>
      </c>
      <c r="E84" s="451" t="s">
        <v>620</v>
      </c>
      <c r="F84" s="451" t="s">
        <v>200</v>
      </c>
      <c r="G84" s="473" t="s">
        <v>525</v>
      </c>
      <c r="H84" s="451" t="s">
        <v>549</v>
      </c>
      <c r="I84" s="451" t="s">
        <v>43</v>
      </c>
      <c r="J84" s="474">
        <v>608140</v>
      </c>
      <c r="K84" s="474"/>
      <c r="L84" s="474">
        <v>608140</v>
      </c>
      <c r="M84" s="475"/>
      <c r="N84" s="475">
        <v>196053.334</v>
      </c>
      <c r="O84" s="475"/>
      <c r="P84" s="475">
        <v>0</v>
      </c>
      <c r="Q84" s="475">
        <v>0</v>
      </c>
      <c r="R84" s="475">
        <v>0</v>
      </c>
      <c r="S84" s="475"/>
      <c r="T84" s="475"/>
      <c r="U84" s="475"/>
      <c r="V84" s="475"/>
      <c r="W84" s="475"/>
      <c r="X84" s="475"/>
      <c r="Y84" s="475">
        <f t="shared" si="5"/>
        <v>196053.334</v>
      </c>
      <c r="Z84" s="476">
        <v>608140</v>
      </c>
      <c r="AA84" s="477">
        <v>6</v>
      </c>
      <c r="AB84" s="478">
        <v>44221</v>
      </c>
      <c r="AC84" s="479">
        <v>44225</v>
      </c>
      <c r="AD84" s="476">
        <v>0</v>
      </c>
      <c r="AE84" s="477"/>
      <c r="AF84" s="478"/>
      <c r="AG84" s="478"/>
      <c r="AH84" s="476"/>
      <c r="AI84" s="477"/>
      <c r="AJ84" s="478"/>
      <c r="AK84" s="477"/>
      <c r="AL84" s="476"/>
      <c r="AM84" s="477"/>
      <c r="AN84" s="477"/>
      <c r="AO84" s="477"/>
      <c r="AP84" s="477"/>
      <c r="AQ84" s="477"/>
      <c r="AR84" s="477"/>
      <c r="AS84" s="477"/>
      <c r="AT84" s="480"/>
      <c r="AU84" s="475"/>
      <c r="AV84" s="475"/>
      <c r="AW84" s="475"/>
      <c r="AX84" s="480"/>
      <c r="AY84" s="475"/>
      <c r="AZ84" s="475"/>
      <c r="BA84" s="475"/>
      <c r="BB84" s="477">
        <f t="shared" si="6"/>
        <v>608140</v>
      </c>
      <c r="BC84" s="477">
        <f t="shared" si="4"/>
        <v>412086.66599999997</v>
      </c>
    </row>
    <row r="85" spans="2:55" s="195" customFormat="1" ht="22.5" x14ac:dyDescent="0.25">
      <c r="B85" s="186">
        <f t="shared" si="7"/>
        <v>69</v>
      </c>
      <c r="C85" s="186" t="s">
        <v>40</v>
      </c>
      <c r="D85" s="450">
        <v>30130360</v>
      </c>
      <c r="E85" s="451" t="s">
        <v>621</v>
      </c>
      <c r="F85" s="451" t="s">
        <v>200</v>
      </c>
      <c r="G85" s="473" t="s">
        <v>525</v>
      </c>
      <c r="H85" s="451" t="s">
        <v>535</v>
      </c>
      <c r="I85" s="451" t="s">
        <v>42</v>
      </c>
      <c r="J85" s="474">
        <v>67674</v>
      </c>
      <c r="K85" s="474">
        <v>48204</v>
      </c>
      <c r="L85" s="474">
        <v>19470</v>
      </c>
      <c r="M85" s="475"/>
      <c r="N85" s="475"/>
      <c r="O85" s="475">
        <v>19470</v>
      </c>
      <c r="P85" s="475">
        <v>0</v>
      </c>
      <c r="Q85" s="475">
        <v>0</v>
      </c>
      <c r="R85" s="475">
        <v>0</v>
      </c>
      <c r="S85" s="475"/>
      <c r="T85" s="475"/>
      <c r="U85" s="475"/>
      <c r="V85" s="475"/>
      <c r="W85" s="475"/>
      <c r="X85" s="475"/>
      <c r="Y85" s="475">
        <f t="shared" si="5"/>
        <v>19470</v>
      </c>
      <c r="Z85" s="476">
        <v>19470</v>
      </c>
      <c r="AA85" s="477">
        <v>6</v>
      </c>
      <c r="AB85" s="478">
        <v>44221</v>
      </c>
      <c r="AC85" s="479">
        <v>44225</v>
      </c>
      <c r="AD85" s="476"/>
      <c r="AE85" s="477"/>
      <c r="AF85" s="478"/>
      <c r="AG85" s="478"/>
      <c r="AH85" s="476"/>
      <c r="AI85" s="477"/>
      <c r="AJ85" s="478"/>
      <c r="AK85" s="477"/>
      <c r="AL85" s="476"/>
      <c r="AM85" s="477"/>
      <c r="AN85" s="477"/>
      <c r="AO85" s="477"/>
      <c r="AP85" s="477"/>
      <c r="AQ85" s="477"/>
      <c r="AR85" s="477"/>
      <c r="AS85" s="477"/>
      <c r="AT85" s="480"/>
      <c r="AU85" s="475"/>
      <c r="AV85" s="475"/>
      <c r="AW85" s="475"/>
      <c r="AX85" s="480"/>
      <c r="AY85" s="475"/>
      <c r="AZ85" s="475"/>
      <c r="BA85" s="475"/>
      <c r="BB85" s="477">
        <f t="shared" si="6"/>
        <v>19470</v>
      </c>
      <c r="BC85" s="477">
        <f t="shared" si="4"/>
        <v>0</v>
      </c>
    </row>
    <row r="86" spans="2:55" s="195" customFormat="1" x14ac:dyDescent="0.25">
      <c r="B86" s="186">
        <f t="shared" si="7"/>
        <v>70</v>
      </c>
      <c r="C86" s="186" t="s">
        <v>40</v>
      </c>
      <c r="D86" s="450">
        <v>30317322</v>
      </c>
      <c r="E86" s="451" t="s">
        <v>622</v>
      </c>
      <c r="F86" s="451" t="s">
        <v>200</v>
      </c>
      <c r="G86" s="473" t="s">
        <v>525</v>
      </c>
      <c r="H86" s="451" t="s">
        <v>623</v>
      </c>
      <c r="I86" s="451" t="s">
        <v>42</v>
      </c>
      <c r="J86" s="474">
        <v>203015</v>
      </c>
      <c r="K86" s="474">
        <v>30675</v>
      </c>
      <c r="L86" s="474">
        <v>172340</v>
      </c>
      <c r="M86" s="475"/>
      <c r="N86" s="475">
        <v>40000</v>
      </c>
      <c r="O86" s="475"/>
      <c r="P86" s="475">
        <v>0</v>
      </c>
      <c r="Q86" s="475">
        <v>0</v>
      </c>
      <c r="R86" s="475">
        <v>0</v>
      </c>
      <c r="S86" s="475"/>
      <c r="T86" s="475"/>
      <c r="U86" s="475"/>
      <c r="V86" s="475"/>
      <c r="W86" s="475"/>
      <c r="X86" s="475"/>
      <c r="Y86" s="475">
        <f t="shared" si="5"/>
        <v>40000</v>
      </c>
      <c r="Z86" s="476">
        <v>172339</v>
      </c>
      <c r="AA86" s="477">
        <v>6</v>
      </c>
      <c r="AB86" s="478">
        <v>44221</v>
      </c>
      <c r="AC86" s="479">
        <v>44225</v>
      </c>
      <c r="AD86" s="476"/>
      <c r="AE86" s="477"/>
      <c r="AF86" s="478"/>
      <c r="AG86" s="478"/>
      <c r="AH86" s="476"/>
      <c r="AI86" s="477"/>
      <c r="AJ86" s="478"/>
      <c r="AK86" s="477"/>
      <c r="AL86" s="476"/>
      <c r="AM86" s="477"/>
      <c r="AN86" s="477"/>
      <c r="AO86" s="477"/>
      <c r="AP86" s="477"/>
      <c r="AQ86" s="477"/>
      <c r="AR86" s="477"/>
      <c r="AS86" s="477"/>
      <c r="AT86" s="480"/>
      <c r="AU86" s="475"/>
      <c r="AV86" s="475"/>
      <c r="AW86" s="475"/>
      <c r="AX86" s="480"/>
      <c r="AY86" s="475"/>
      <c r="AZ86" s="475"/>
      <c r="BA86" s="475"/>
      <c r="BB86" s="477">
        <f t="shared" si="6"/>
        <v>172339</v>
      </c>
      <c r="BC86" s="477">
        <f t="shared" si="4"/>
        <v>132339</v>
      </c>
    </row>
    <row r="87" spans="2:55" s="195" customFormat="1" x14ac:dyDescent="0.25">
      <c r="B87" s="186">
        <f t="shared" si="7"/>
        <v>71</v>
      </c>
      <c r="C87" s="186" t="s">
        <v>38</v>
      </c>
      <c r="D87" s="450">
        <v>30465933</v>
      </c>
      <c r="E87" s="451" t="s">
        <v>624</v>
      </c>
      <c r="F87" s="451" t="s">
        <v>200</v>
      </c>
      <c r="G87" s="473" t="s">
        <v>525</v>
      </c>
      <c r="H87" s="451" t="s">
        <v>584</v>
      </c>
      <c r="I87" s="451" t="s">
        <v>42</v>
      </c>
      <c r="J87" s="474">
        <v>565423</v>
      </c>
      <c r="K87" s="474">
        <v>57432</v>
      </c>
      <c r="L87" s="474">
        <v>507991</v>
      </c>
      <c r="M87" s="475"/>
      <c r="N87" s="475"/>
      <c r="O87" s="475"/>
      <c r="P87" s="475"/>
      <c r="Q87" s="475"/>
      <c r="R87" s="475"/>
      <c r="S87" s="475"/>
      <c r="T87" s="475"/>
      <c r="U87" s="475"/>
      <c r="V87" s="475"/>
      <c r="W87" s="475"/>
      <c r="X87" s="475"/>
      <c r="Y87" s="475">
        <f t="shared" si="5"/>
        <v>0</v>
      </c>
      <c r="Z87" s="476">
        <v>507991</v>
      </c>
      <c r="AA87" s="477">
        <v>6</v>
      </c>
      <c r="AB87" s="478">
        <v>44221</v>
      </c>
      <c r="AC87" s="479">
        <v>44225</v>
      </c>
      <c r="AD87" s="476"/>
      <c r="AE87" s="477"/>
      <c r="AF87" s="478"/>
      <c r="AG87" s="478"/>
      <c r="AH87" s="476"/>
      <c r="AI87" s="477"/>
      <c r="AJ87" s="478"/>
      <c r="AK87" s="477"/>
      <c r="AL87" s="476"/>
      <c r="AM87" s="477"/>
      <c r="AN87" s="477"/>
      <c r="AO87" s="477"/>
      <c r="AP87" s="477"/>
      <c r="AQ87" s="477"/>
      <c r="AR87" s="477"/>
      <c r="AS87" s="477"/>
      <c r="AT87" s="480"/>
      <c r="AU87" s="475"/>
      <c r="AV87" s="475"/>
      <c r="AW87" s="475"/>
      <c r="AX87" s="480"/>
      <c r="AY87" s="475"/>
      <c r="AZ87" s="475"/>
      <c r="BA87" s="475"/>
      <c r="BB87" s="477">
        <f t="shared" si="6"/>
        <v>507991</v>
      </c>
      <c r="BC87" s="477">
        <f t="shared" si="4"/>
        <v>507991</v>
      </c>
    </row>
    <row r="88" spans="2:55" s="195" customFormat="1" x14ac:dyDescent="0.25">
      <c r="B88" s="186">
        <f t="shared" si="7"/>
        <v>72</v>
      </c>
      <c r="C88" s="186" t="s">
        <v>38</v>
      </c>
      <c r="D88" s="450">
        <v>30465049</v>
      </c>
      <c r="E88" s="451" t="s">
        <v>625</v>
      </c>
      <c r="F88" s="451" t="s">
        <v>200</v>
      </c>
      <c r="G88" s="473" t="s">
        <v>525</v>
      </c>
      <c r="H88" s="451" t="s">
        <v>525</v>
      </c>
      <c r="I88" s="451" t="s">
        <v>42</v>
      </c>
      <c r="J88" s="474">
        <v>1416994</v>
      </c>
      <c r="K88" s="474">
        <v>14230</v>
      </c>
      <c r="L88" s="474">
        <v>1402764</v>
      </c>
      <c r="M88" s="475"/>
      <c r="N88" s="475"/>
      <c r="O88" s="475"/>
      <c r="P88" s="475"/>
      <c r="Q88" s="475"/>
      <c r="R88" s="475"/>
      <c r="S88" s="475"/>
      <c r="T88" s="475"/>
      <c r="U88" s="475"/>
      <c r="V88" s="475"/>
      <c r="W88" s="475"/>
      <c r="X88" s="475"/>
      <c r="Y88" s="475">
        <f t="shared" si="5"/>
        <v>0</v>
      </c>
      <c r="Z88" s="476">
        <v>1402764</v>
      </c>
      <c r="AA88" s="477">
        <v>6</v>
      </c>
      <c r="AB88" s="478">
        <v>44221</v>
      </c>
      <c r="AC88" s="479">
        <v>44225</v>
      </c>
      <c r="AD88" s="476">
        <v>-1402763</v>
      </c>
      <c r="AE88" s="477">
        <v>23</v>
      </c>
      <c r="AF88" s="478">
        <v>44253</v>
      </c>
      <c r="AG88" s="479">
        <v>44286</v>
      </c>
      <c r="AH88" s="476"/>
      <c r="AI88" s="477"/>
      <c r="AJ88" s="478"/>
      <c r="AK88" s="477"/>
      <c r="AL88" s="476"/>
      <c r="AM88" s="477"/>
      <c r="AN88" s="477"/>
      <c r="AO88" s="477"/>
      <c r="AP88" s="477"/>
      <c r="AQ88" s="477"/>
      <c r="AR88" s="477"/>
      <c r="AS88" s="477"/>
      <c r="AT88" s="480"/>
      <c r="AU88" s="475"/>
      <c r="AV88" s="475"/>
      <c r="AW88" s="475"/>
      <c r="AX88" s="480"/>
      <c r="AY88" s="475"/>
      <c r="AZ88" s="475"/>
      <c r="BA88" s="475"/>
      <c r="BB88" s="477">
        <f t="shared" si="6"/>
        <v>1</v>
      </c>
      <c r="BC88" s="477">
        <f t="shared" si="4"/>
        <v>1</v>
      </c>
    </row>
    <row r="89" spans="2:55" s="195" customFormat="1" ht="22.5" x14ac:dyDescent="0.25">
      <c r="B89" s="186">
        <f t="shared" si="7"/>
        <v>73</v>
      </c>
      <c r="C89" s="186" t="s">
        <v>38</v>
      </c>
      <c r="D89" s="450">
        <v>30103864</v>
      </c>
      <c r="E89" s="451" t="s">
        <v>626</v>
      </c>
      <c r="F89" s="451" t="s">
        <v>200</v>
      </c>
      <c r="G89" s="473" t="s">
        <v>525</v>
      </c>
      <c r="H89" s="451" t="s">
        <v>627</v>
      </c>
      <c r="I89" s="451" t="s">
        <v>42</v>
      </c>
      <c r="J89" s="474">
        <v>333587</v>
      </c>
      <c r="K89" s="474">
        <v>255569</v>
      </c>
      <c r="L89" s="474">
        <v>78018</v>
      </c>
      <c r="M89" s="475"/>
      <c r="N89" s="475"/>
      <c r="O89" s="475"/>
      <c r="P89" s="475">
        <v>2212.33</v>
      </c>
      <c r="Q89" s="475">
        <v>0</v>
      </c>
      <c r="R89" s="475">
        <v>0</v>
      </c>
      <c r="S89" s="475"/>
      <c r="T89" s="475"/>
      <c r="U89" s="475"/>
      <c r="V89" s="475"/>
      <c r="W89" s="475"/>
      <c r="X89" s="475"/>
      <c r="Y89" s="475">
        <f t="shared" si="5"/>
        <v>2212.33</v>
      </c>
      <c r="Z89" s="476">
        <v>65018</v>
      </c>
      <c r="AA89" s="477">
        <v>6</v>
      </c>
      <c r="AB89" s="478">
        <v>44221</v>
      </c>
      <c r="AC89" s="479">
        <v>44225</v>
      </c>
      <c r="AD89" s="476"/>
      <c r="AE89" s="477"/>
      <c r="AF89" s="478"/>
      <c r="AG89" s="478"/>
      <c r="AH89" s="476"/>
      <c r="AI89" s="477"/>
      <c r="AJ89" s="478"/>
      <c r="AK89" s="477"/>
      <c r="AL89" s="476"/>
      <c r="AM89" s="477"/>
      <c r="AN89" s="477"/>
      <c r="AO89" s="477"/>
      <c r="AP89" s="477"/>
      <c r="AQ89" s="477"/>
      <c r="AR89" s="477"/>
      <c r="AS89" s="477"/>
      <c r="AT89" s="480"/>
      <c r="AU89" s="475"/>
      <c r="AV89" s="475"/>
      <c r="AW89" s="475"/>
      <c r="AX89" s="480"/>
      <c r="AY89" s="475"/>
      <c r="AZ89" s="475"/>
      <c r="BA89" s="475"/>
      <c r="BB89" s="477">
        <f t="shared" si="6"/>
        <v>65018</v>
      </c>
      <c r="BC89" s="477">
        <f t="shared" si="4"/>
        <v>62805.67</v>
      </c>
    </row>
    <row r="90" spans="2:55" s="195" customFormat="1" ht="22.5" x14ac:dyDescent="0.25">
      <c r="B90" s="186">
        <f t="shared" si="7"/>
        <v>74</v>
      </c>
      <c r="C90" s="186" t="s">
        <v>38</v>
      </c>
      <c r="D90" s="450">
        <v>30078248</v>
      </c>
      <c r="E90" s="451" t="s">
        <v>628</v>
      </c>
      <c r="F90" s="451" t="s">
        <v>200</v>
      </c>
      <c r="G90" s="473" t="s">
        <v>525</v>
      </c>
      <c r="H90" s="451" t="s">
        <v>525</v>
      </c>
      <c r="I90" s="451" t="s">
        <v>42</v>
      </c>
      <c r="J90" s="474">
        <v>5325527</v>
      </c>
      <c r="K90" s="474">
        <v>36501</v>
      </c>
      <c r="L90" s="474">
        <v>5289026</v>
      </c>
      <c r="M90" s="475"/>
      <c r="N90" s="475">
        <v>5854.2</v>
      </c>
      <c r="O90" s="475"/>
      <c r="P90" s="475">
        <v>8781.2999999999993</v>
      </c>
      <c r="Q90" s="475">
        <v>2927.1</v>
      </c>
      <c r="R90" s="475">
        <v>0</v>
      </c>
      <c r="S90" s="475"/>
      <c r="T90" s="475"/>
      <c r="U90" s="475"/>
      <c r="V90" s="475"/>
      <c r="W90" s="475"/>
      <c r="X90" s="475"/>
      <c r="Y90" s="475">
        <f t="shared" si="5"/>
        <v>17562.599999999999</v>
      </c>
      <c r="Z90" s="476">
        <v>2649486</v>
      </c>
      <c r="AA90" s="477">
        <v>7</v>
      </c>
      <c r="AB90" s="478">
        <v>44221</v>
      </c>
      <c r="AC90" s="479">
        <v>44225</v>
      </c>
      <c r="AD90" s="476">
        <v>-2476973</v>
      </c>
      <c r="AE90" s="477">
        <v>24</v>
      </c>
      <c r="AF90" s="478">
        <v>44253</v>
      </c>
      <c r="AG90" s="478">
        <v>44263</v>
      </c>
      <c r="AH90" s="476"/>
      <c r="AI90" s="477"/>
      <c r="AJ90" s="478"/>
      <c r="AK90" s="477"/>
      <c r="AL90" s="476"/>
      <c r="AM90" s="477"/>
      <c r="AN90" s="477"/>
      <c r="AO90" s="477"/>
      <c r="AP90" s="477"/>
      <c r="AQ90" s="477"/>
      <c r="AR90" s="477"/>
      <c r="AS90" s="477"/>
      <c r="AT90" s="480"/>
      <c r="AU90" s="475"/>
      <c r="AV90" s="475"/>
      <c r="AW90" s="475"/>
      <c r="AX90" s="480"/>
      <c r="AY90" s="475"/>
      <c r="AZ90" s="475"/>
      <c r="BA90" s="475"/>
      <c r="BB90" s="477">
        <f t="shared" si="6"/>
        <v>172513</v>
      </c>
      <c r="BC90" s="477">
        <f t="shared" si="4"/>
        <v>154950.39999999999</v>
      </c>
    </row>
    <row r="91" spans="2:55" s="195" customFormat="1" ht="22.5" x14ac:dyDescent="0.25">
      <c r="B91" s="186">
        <f t="shared" si="7"/>
        <v>75</v>
      </c>
      <c r="C91" s="186" t="s">
        <v>41</v>
      </c>
      <c r="D91" s="450">
        <v>40001122</v>
      </c>
      <c r="E91" s="451" t="s">
        <v>629</v>
      </c>
      <c r="F91" s="451" t="s">
        <v>200</v>
      </c>
      <c r="G91" s="473" t="s">
        <v>525</v>
      </c>
      <c r="H91" s="451" t="s">
        <v>535</v>
      </c>
      <c r="I91" s="451" t="s">
        <v>42</v>
      </c>
      <c r="J91" s="474">
        <v>466026</v>
      </c>
      <c r="K91" s="474">
        <v>314981</v>
      </c>
      <c r="L91" s="474">
        <v>151045</v>
      </c>
      <c r="M91" s="475"/>
      <c r="N91" s="475"/>
      <c r="O91" s="475"/>
      <c r="P91" s="475"/>
      <c r="Q91" s="475"/>
      <c r="R91" s="475"/>
      <c r="S91" s="475"/>
      <c r="T91" s="475"/>
      <c r="U91" s="475"/>
      <c r="V91" s="475"/>
      <c r="W91" s="475"/>
      <c r="X91" s="475"/>
      <c r="Y91" s="475">
        <f t="shared" si="5"/>
        <v>0</v>
      </c>
      <c r="Z91" s="476">
        <v>151045</v>
      </c>
      <c r="AA91" s="477">
        <v>8</v>
      </c>
      <c r="AB91" s="478">
        <v>44221</v>
      </c>
      <c r="AC91" s="479">
        <v>44225</v>
      </c>
      <c r="AD91" s="476"/>
      <c r="AE91" s="477"/>
      <c r="AF91" s="478"/>
      <c r="AG91" s="478"/>
      <c r="AH91" s="476"/>
      <c r="AI91" s="477"/>
      <c r="AJ91" s="478"/>
      <c r="AK91" s="477"/>
      <c r="AL91" s="476"/>
      <c r="AM91" s="477"/>
      <c r="AN91" s="477"/>
      <c r="AO91" s="477"/>
      <c r="AP91" s="477"/>
      <c r="AQ91" s="477"/>
      <c r="AR91" s="477"/>
      <c r="AS91" s="477"/>
      <c r="AT91" s="480"/>
      <c r="AU91" s="475"/>
      <c r="AV91" s="475"/>
      <c r="AW91" s="475"/>
      <c r="AX91" s="480"/>
      <c r="AY91" s="475"/>
      <c r="AZ91" s="475"/>
      <c r="BA91" s="475"/>
      <c r="BB91" s="477">
        <f t="shared" si="6"/>
        <v>151045</v>
      </c>
      <c r="BC91" s="477">
        <f t="shared" si="4"/>
        <v>151045</v>
      </c>
    </row>
    <row r="92" spans="2:55" s="195" customFormat="1" ht="22.5" x14ac:dyDescent="0.25">
      <c r="B92" s="186">
        <f t="shared" si="7"/>
        <v>76</v>
      </c>
      <c r="C92" s="186" t="s">
        <v>38</v>
      </c>
      <c r="D92" s="450">
        <v>30484096</v>
      </c>
      <c r="E92" s="451" t="s">
        <v>630</v>
      </c>
      <c r="F92" s="451" t="s">
        <v>543</v>
      </c>
      <c r="G92" s="473" t="s">
        <v>525</v>
      </c>
      <c r="H92" s="451" t="s">
        <v>535</v>
      </c>
      <c r="I92" s="451" t="s">
        <v>42</v>
      </c>
      <c r="J92" s="474">
        <v>251775</v>
      </c>
      <c r="K92" s="474">
        <v>105175</v>
      </c>
      <c r="L92" s="474">
        <v>146600</v>
      </c>
      <c r="M92" s="475"/>
      <c r="N92" s="475"/>
      <c r="O92" s="475"/>
      <c r="P92" s="475"/>
      <c r="Q92" s="475"/>
      <c r="R92" s="475"/>
      <c r="S92" s="475"/>
      <c r="T92" s="475"/>
      <c r="U92" s="475"/>
      <c r="V92" s="475"/>
      <c r="W92" s="475"/>
      <c r="X92" s="475"/>
      <c r="Y92" s="475">
        <f t="shared" si="5"/>
        <v>0</v>
      </c>
      <c r="Z92" s="476">
        <v>146600</v>
      </c>
      <c r="AA92" s="477">
        <v>8</v>
      </c>
      <c r="AB92" s="478">
        <v>44221</v>
      </c>
      <c r="AC92" s="479">
        <v>44225</v>
      </c>
      <c r="AD92" s="476"/>
      <c r="AE92" s="477"/>
      <c r="AF92" s="478"/>
      <c r="AG92" s="478"/>
      <c r="AH92" s="476"/>
      <c r="AI92" s="477"/>
      <c r="AJ92" s="478"/>
      <c r="AK92" s="477"/>
      <c r="AL92" s="476"/>
      <c r="AM92" s="477"/>
      <c r="AN92" s="477"/>
      <c r="AO92" s="477"/>
      <c r="AP92" s="477"/>
      <c r="AQ92" s="477"/>
      <c r="AR92" s="477"/>
      <c r="AS92" s="477"/>
      <c r="AT92" s="480"/>
      <c r="AU92" s="475"/>
      <c r="AV92" s="475"/>
      <c r="AW92" s="475"/>
      <c r="AX92" s="480"/>
      <c r="AY92" s="475"/>
      <c r="AZ92" s="475"/>
      <c r="BA92" s="475"/>
      <c r="BB92" s="477">
        <f t="shared" si="6"/>
        <v>146600</v>
      </c>
      <c r="BC92" s="477">
        <f t="shared" si="4"/>
        <v>146600</v>
      </c>
    </row>
    <row r="93" spans="2:55" s="195" customFormat="1" x14ac:dyDescent="0.25">
      <c r="B93" s="186">
        <f t="shared" si="7"/>
        <v>77</v>
      </c>
      <c r="C93" s="186" t="s">
        <v>38</v>
      </c>
      <c r="D93" s="450">
        <v>40009852</v>
      </c>
      <c r="E93" s="451" t="s">
        <v>631</v>
      </c>
      <c r="F93" s="451" t="s">
        <v>200</v>
      </c>
      <c r="G93" s="473" t="s">
        <v>525</v>
      </c>
      <c r="H93" s="451" t="s">
        <v>632</v>
      </c>
      <c r="I93" s="451" t="s">
        <v>42</v>
      </c>
      <c r="J93" s="474">
        <v>176959</v>
      </c>
      <c r="K93" s="474">
        <v>77196</v>
      </c>
      <c r="L93" s="474">
        <v>99763</v>
      </c>
      <c r="M93" s="475"/>
      <c r="N93" s="475"/>
      <c r="O93" s="475"/>
      <c r="P93" s="475"/>
      <c r="Q93" s="475"/>
      <c r="R93" s="475"/>
      <c r="S93" s="475"/>
      <c r="T93" s="475"/>
      <c r="U93" s="475"/>
      <c r="V93" s="475"/>
      <c r="W93" s="475"/>
      <c r="X93" s="475"/>
      <c r="Y93" s="475">
        <f t="shared" si="5"/>
        <v>0</v>
      </c>
      <c r="Z93" s="476">
        <v>99763</v>
      </c>
      <c r="AA93" s="477">
        <v>8</v>
      </c>
      <c r="AB93" s="478">
        <v>44221</v>
      </c>
      <c r="AC93" s="479">
        <v>44225</v>
      </c>
      <c r="AD93" s="476"/>
      <c r="AE93" s="477"/>
      <c r="AF93" s="478"/>
      <c r="AG93" s="478"/>
      <c r="AH93" s="476"/>
      <c r="AI93" s="477"/>
      <c r="AJ93" s="478"/>
      <c r="AK93" s="477"/>
      <c r="AL93" s="476"/>
      <c r="AM93" s="477"/>
      <c r="AN93" s="477"/>
      <c r="AO93" s="477"/>
      <c r="AP93" s="477"/>
      <c r="AQ93" s="477"/>
      <c r="AR93" s="477"/>
      <c r="AS93" s="477"/>
      <c r="AT93" s="480"/>
      <c r="AU93" s="475"/>
      <c r="AV93" s="475"/>
      <c r="AW93" s="475"/>
      <c r="AX93" s="480"/>
      <c r="AY93" s="475"/>
      <c r="AZ93" s="475"/>
      <c r="BA93" s="475"/>
      <c r="BB93" s="477">
        <f t="shared" si="6"/>
        <v>99763</v>
      </c>
      <c r="BC93" s="477">
        <f t="shared" si="4"/>
        <v>99763</v>
      </c>
    </row>
    <row r="94" spans="2:55" s="195" customFormat="1" x14ac:dyDescent="0.25">
      <c r="B94" s="186">
        <f t="shared" si="7"/>
        <v>78</v>
      </c>
      <c r="C94" s="186" t="s">
        <v>38</v>
      </c>
      <c r="D94" s="450">
        <v>30459960</v>
      </c>
      <c r="E94" s="451" t="s">
        <v>633</v>
      </c>
      <c r="F94" s="451" t="s">
        <v>200</v>
      </c>
      <c r="G94" s="473" t="s">
        <v>525</v>
      </c>
      <c r="H94" s="451" t="s">
        <v>634</v>
      </c>
      <c r="I94" s="451" t="s">
        <v>42</v>
      </c>
      <c r="J94" s="474">
        <v>3109346</v>
      </c>
      <c r="K94" s="474">
        <v>1974112</v>
      </c>
      <c r="L94" s="474">
        <v>1135234</v>
      </c>
      <c r="M94" s="475"/>
      <c r="N94" s="475"/>
      <c r="O94" s="475"/>
      <c r="P94" s="475">
        <v>10500</v>
      </c>
      <c r="Q94" s="475">
        <v>0</v>
      </c>
      <c r="R94" s="475">
        <v>0</v>
      </c>
      <c r="S94" s="475"/>
      <c r="T94" s="475"/>
      <c r="U94" s="475"/>
      <c r="V94" s="475"/>
      <c r="W94" s="475"/>
      <c r="X94" s="475"/>
      <c r="Y94" s="475">
        <f t="shared" si="5"/>
        <v>10500</v>
      </c>
      <c r="Z94" s="476">
        <v>1135234</v>
      </c>
      <c r="AA94" s="477">
        <v>8</v>
      </c>
      <c r="AB94" s="478">
        <v>44221</v>
      </c>
      <c r="AC94" s="479">
        <v>44225</v>
      </c>
      <c r="AD94" s="476">
        <v>-200000</v>
      </c>
      <c r="AE94" s="477">
        <v>49</v>
      </c>
      <c r="AF94" s="478">
        <v>44348</v>
      </c>
      <c r="AG94" s="479">
        <v>44354</v>
      </c>
      <c r="AH94" s="476"/>
      <c r="AI94" s="477"/>
      <c r="AJ94" s="478"/>
      <c r="AK94" s="477"/>
      <c r="AL94" s="476"/>
      <c r="AM94" s="477"/>
      <c r="AN94" s="477"/>
      <c r="AO94" s="477"/>
      <c r="AP94" s="477"/>
      <c r="AQ94" s="477"/>
      <c r="AR94" s="477"/>
      <c r="AS94" s="477"/>
      <c r="AT94" s="480"/>
      <c r="AU94" s="475"/>
      <c r="AV94" s="475"/>
      <c r="AW94" s="475"/>
      <c r="AX94" s="480"/>
      <c r="AY94" s="475"/>
      <c r="AZ94" s="475"/>
      <c r="BA94" s="475"/>
      <c r="BB94" s="477">
        <f t="shared" si="6"/>
        <v>935234</v>
      </c>
      <c r="BC94" s="477">
        <f t="shared" si="4"/>
        <v>924734</v>
      </c>
    </row>
    <row r="95" spans="2:55" s="195" customFormat="1" ht="22.5" x14ac:dyDescent="0.25">
      <c r="B95" s="186">
        <f t="shared" si="7"/>
        <v>79</v>
      </c>
      <c r="C95" s="186" t="s">
        <v>38</v>
      </c>
      <c r="D95" s="450">
        <v>40005875</v>
      </c>
      <c r="E95" s="451" t="s">
        <v>635</v>
      </c>
      <c r="F95" s="451" t="s">
        <v>200</v>
      </c>
      <c r="G95" s="473" t="s">
        <v>525</v>
      </c>
      <c r="H95" s="451" t="s">
        <v>528</v>
      </c>
      <c r="I95" s="451" t="s">
        <v>42</v>
      </c>
      <c r="J95" s="474">
        <v>79371</v>
      </c>
      <c r="K95" s="474">
        <v>71407</v>
      </c>
      <c r="L95" s="474">
        <v>7964</v>
      </c>
      <c r="M95" s="475"/>
      <c r="N95" s="475"/>
      <c r="O95" s="475"/>
      <c r="P95" s="475">
        <v>0</v>
      </c>
      <c r="Q95" s="475">
        <v>0</v>
      </c>
      <c r="R95" s="475">
        <v>4057.904</v>
      </c>
      <c r="S95" s="475"/>
      <c r="T95" s="475"/>
      <c r="U95" s="475"/>
      <c r="V95" s="475"/>
      <c r="W95" s="475"/>
      <c r="X95" s="475"/>
      <c r="Y95" s="475">
        <f t="shared" si="5"/>
        <v>4057.904</v>
      </c>
      <c r="Z95" s="476">
        <v>7964</v>
      </c>
      <c r="AA95" s="477">
        <v>8</v>
      </c>
      <c r="AB95" s="478">
        <v>44221</v>
      </c>
      <c r="AC95" s="479">
        <v>44225</v>
      </c>
      <c r="AD95" s="476"/>
      <c r="AE95" s="477"/>
      <c r="AF95" s="478"/>
      <c r="AG95" s="478"/>
      <c r="AH95" s="476"/>
      <c r="AI95" s="477"/>
      <c r="AJ95" s="478"/>
      <c r="AK95" s="477"/>
      <c r="AL95" s="476"/>
      <c r="AM95" s="477"/>
      <c r="AN95" s="477"/>
      <c r="AO95" s="477"/>
      <c r="AP95" s="477"/>
      <c r="AQ95" s="477"/>
      <c r="AR95" s="477"/>
      <c r="AS95" s="477"/>
      <c r="AT95" s="480"/>
      <c r="AU95" s="475"/>
      <c r="AV95" s="475"/>
      <c r="AW95" s="475"/>
      <c r="AX95" s="480"/>
      <c r="AY95" s="475"/>
      <c r="AZ95" s="475"/>
      <c r="BA95" s="475"/>
      <c r="BB95" s="477">
        <f t="shared" si="6"/>
        <v>7964</v>
      </c>
      <c r="BC95" s="477">
        <f t="shared" si="4"/>
        <v>3906.096</v>
      </c>
    </row>
    <row r="96" spans="2:55" s="195" customFormat="1" x14ac:dyDescent="0.25">
      <c r="B96" s="186">
        <f t="shared" si="7"/>
        <v>80</v>
      </c>
      <c r="C96" s="186" t="s">
        <v>38</v>
      </c>
      <c r="D96" s="450">
        <v>30444424</v>
      </c>
      <c r="E96" s="451" t="s">
        <v>636</v>
      </c>
      <c r="F96" s="451" t="s">
        <v>543</v>
      </c>
      <c r="G96" s="473" t="s">
        <v>525</v>
      </c>
      <c r="H96" s="451" t="s">
        <v>637</v>
      </c>
      <c r="I96" s="451" t="s">
        <v>42</v>
      </c>
      <c r="J96" s="474">
        <v>93892</v>
      </c>
      <c r="K96" s="474">
        <v>66161</v>
      </c>
      <c r="L96" s="474">
        <v>27731</v>
      </c>
      <c r="M96" s="475"/>
      <c r="N96" s="475"/>
      <c r="O96" s="475"/>
      <c r="P96" s="475"/>
      <c r="Q96" s="475"/>
      <c r="R96" s="475"/>
      <c r="S96" s="475"/>
      <c r="T96" s="475"/>
      <c r="U96" s="475"/>
      <c r="V96" s="475"/>
      <c r="W96" s="475"/>
      <c r="X96" s="475"/>
      <c r="Y96" s="475">
        <f t="shared" si="5"/>
        <v>0</v>
      </c>
      <c r="Z96" s="476">
        <v>27731</v>
      </c>
      <c r="AA96" s="477">
        <v>8</v>
      </c>
      <c r="AB96" s="478">
        <v>44221</v>
      </c>
      <c r="AC96" s="479">
        <v>44225</v>
      </c>
      <c r="AD96" s="476"/>
      <c r="AE96" s="477"/>
      <c r="AF96" s="478"/>
      <c r="AG96" s="478"/>
      <c r="AH96" s="476"/>
      <c r="AI96" s="477"/>
      <c r="AJ96" s="478"/>
      <c r="AK96" s="477"/>
      <c r="AL96" s="476"/>
      <c r="AM96" s="477"/>
      <c r="AN96" s="477"/>
      <c r="AO96" s="477"/>
      <c r="AP96" s="477"/>
      <c r="AQ96" s="477"/>
      <c r="AR96" s="477"/>
      <c r="AS96" s="477"/>
      <c r="AT96" s="480"/>
      <c r="AU96" s="475"/>
      <c r="AV96" s="475"/>
      <c r="AW96" s="475"/>
      <c r="AX96" s="480"/>
      <c r="AY96" s="475"/>
      <c r="AZ96" s="475"/>
      <c r="BA96" s="475"/>
      <c r="BB96" s="477">
        <f t="shared" si="6"/>
        <v>27731</v>
      </c>
      <c r="BC96" s="477">
        <f t="shared" si="4"/>
        <v>27731</v>
      </c>
    </row>
    <row r="97" spans="2:55" s="195" customFormat="1" ht="22.5" x14ac:dyDescent="0.25">
      <c r="B97" s="186">
        <f t="shared" si="7"/>
        <v>81</v>
      </c>
      <c r="C97" s="186" t="s">
        <v>38</v>
      </c>
      <c r="D97" s="450">
        <v>40005869</v>
      </c>
      <c r="E97" s="451" t="s">
        <v>638</v>
      </c>
      <c r="F97" s="451" t="s">
        <v>543</v>
      </c>
      <c r="G97" s="473" t="s">
        <v>525</v>
      </c>
      <c r="H97" s="451" t="s">
        <v>537</v>
      </c>
      <c r="I97" s="451" t="s">
        <v>42</v>
      </c>
      <c r="J97" s="474">
        <v>168627</v>
      </c>
      <c r="K97" s="474">
        <v>59876</v>
      </c>
      <c r="L97" s="474">
        <v>108751</v>
      </c>
      <c r="M97" s="475"/>
      <c r="N97" s="475"/>
      <c r="O97" s="475">
        <v>16730.89</v>
      </c>
      <c r="P97" s="475">
        <v>0</v>
      </c>
      <c r="Q97" s="475">
        <v>0</v>
      </c>
      <c r="R97" s="475">
        <v>0</v>
      </c>
      <c r="S97" s="475"/>
      <c r="T97" s="475"/>
      <c r="U97" s="475"/>
      <c r="V97" s="475"/>
      <c r="W97" s="475"/>
      <c r="X97" s="475"/>
      <c r="Y97" s="475">
        <f t="shared" si="5"/>
        <v>16730.89</v>
      </c>
      <c r="Z97" s="476">
        <v>108751</v>
      </c>
      <c r="AA97" s="477">
        <v>8</v>
      </c>
      <c r="AB97" s="478">
        <v>44221</v>
      </c>
      <c r="AC97" s="479">
        <v>44225</v>
      </c>
      <c r="AD97" s="476"/>
      <c r="AE97" s="477"/>
      <c r="AF97" s="478"/>
      <c r="AG97" s="478"/>
      <c r="AH97" s="476"/>
      <c r="AI97" s="477"/>
      <c r="AJ97" s="478"/>
      <c r="AK97" s="477"/>
      <c r="AL97" s="476"/>
      <c r="AM97" s="477"/>
      <c r="AN97" s="477"/>
      <c r="AO97" s="477"/>
      <c r="AP97" s="477"/>
      <c r="AQ97" s="477"/>
      <c r="AR97" s="477"/>
      <c r="AS97" s="477"/>
      <c r="AT97" s="480"/>
      <c r="AU97" s="475"/>
      <c r="AV97" s="475"/>
      <c r="AW97" s="475"/>
      <c r="AX97" s="480"/>
      <c r="AY97" s="475"/>
      <c r="AZ97" s="475"/>
      <c r="BA97" s="475"/>
      <c r="BB97" s="477">
        <f t="shared" si="6"/>
        <v>108751</v>
      </c>
      <c r="BC97" s="477">
        <f t="shared" si="4"/>
        <v>92020.11</v>
      </c>
    </row>
    <row r="98" spans="2:55" s="195" customFormat="1" x14ac:dyDescent="0.25">
      <c r="B98" s="186">
        <f t="shared" si="7"/>
        <v>82</v>
      </c>
      <c r="C98" s="186" t="s">
        <v>38</v>
      </c>
      <c r="D98" s="450">
        <v>30482540</v>
      </c>
      <c r="E98" s="451" t="s">
        <v>639</v>
      </c>
      <c r="F98" s="451" t="s">
        <v>200</v>
      </c>
      <c r="G98" s="473" t="s">
        <v>525</v>
      </c>
      <c r="H98" s="451" t="s">
        <v>528</v>
      </c>
      <c r="I98" s="451" t="s">
        <v>42</v>
      </c>
      <c r="J98" s="474">
        <v>711980</v>
      </c>
      <c r="K98" s="474">
        <v>686330</v>
      </c>
      <c r="L98" s="474">
        <v>25650</v>
      </c>
      <c r="M98" s="475"/>
      <c r="N98" s="475"/>
      <c r="O98" s="475"/>
      <c r="P98" s="475">
        <v>24397.508999999998</v>
      </c>
      <c r="Q98" s="475">
        <v>0</v>
      </c>
      <c r="R98" s="475">
        <v>0</v>
      </c>
      <c r="S98" s="475"/>
      <c r="T98" s="475"/>
      <c r="U98" s="475"/>
      <c r="V98" s="475"/>
      <c r="W98" s="475"/>
      <c r="X98" s="475"/>
      <c r="Y98" s="475">
        <f t="shared" si="5"/>
        <v>24397.508999999998</v>
      </c>
      <c r="Z98" s="476">
        <v>25650</v>
      </c>
      <c r="AA98" s="477">
        <v>8</v>
      </c>
      <c r="AB98" s="478">
        <v>44221</v>
      </c>
      <c r="AC98" s="479">
        <v>44225</v>
      </c>
      <c r="AD98" s="476"/>
      <c r="AE98" s="477"/>
      <c r="AF98" s="478"/>
      <c r="AG98" s="478"/>
      <c r="AH98" s="476"/>
      <c r="AI98" s="477"/>
      <c r="AJ98" s="478"/>
      <c r="AK98" s="477"/>
      <c r="AL98" s="476"/>
      <c r="AM98" s="477"/>
      <c r="AN98" s="477"/>
      <c r="AO98" s="477"/>
      <c r="AP98" s="477"/>
      <c r="AQ98" s="477"/>
      <c r="AR98" s="477"/>
      <c r="AS98" s="477"/>
      <c r="AT98" s="480"/>
      <c r="AU98" s="475"/>
      <c r="AV98" s="475"/>
      <c r="AW98" s="475"/>
      <c r="AX98" s="480"/>
      <c r="AY98" s="475"/>
      <c r="AZ98" s="475"/>
      <c r="BA98" s="475"/>
      <c r="BB98" s="477">
        <f t="shared" si="6"/>
        <v>25650</v>
      </c>
      <c r="BC98" s="477">
        <f t="shared" si="4"/>
        <v>1252.4910000000018</v>
      </c>
    </row>
    <row r="99" spans="2:55" s="195" customFormat="1" x14ac:dyDescent="0.25">
      <c r="B99" s="186">
        <f t="shared" si="7"/>
        <v>83</v>
      </c>
      <c r="C99" s="186" t="s">
        <v>38</v>
      </c>
      <c r="D99" s="450">
        <v>40010661</v>
      </c>
      <c r="E99" s="451" t="s">
        <v>640</v>
      </c>
      <c r="F99" s="451" t="s">
        <v>200</v>
      </c>
      <c r="G99" s="473" t="s">
        <v>525</v>
      </c>
      <c r="H99" s="451" t="s">
        <v>632</v>
      </c>
      <c r="I99" s="451" t="s">
        <v>42</v>
      </c>
      <c r="J99" s="474">
        <v>129178</v>
      </c>
      <c r="K99" s="474">
        <v>57513</v>
      </c>
      <c r="L99" s="474">
        <v>71665</v>
      </c>
      <c r="M99" s="475"/>
      <c r="N99" s="475">
        <v>33724.555</v>
      </c>
      <c r="O99" s="475"/>
      <c r="P99" s="475">
        <v>0</v>
      </c>
      <c r="Q99" s="475">
        <v>0</v>
      </c>
      <c r="R99" s="475">
        <v>0</v>
      </c>
      <c r="S99" s="475"/>
      <c r="T99" s="475"/>
      <c r="U99" s="475"/>
      <c r="V99" s="475"/>
      <c r="W99" s="475"/>
      <c r="X99" s="475"/>
      <c r="Y99" s="475">
        <f t="shared" si="5"/>
        <v>33724.555</v>
      </c>
      <c r="Z99" s="476">
        <v>71665</v>
      </c>
      <c r="AA99" s="477">
        <v>8</v>
      </c>
      <c r="AB99" s="478">
        <v>44221</v>
      </c>
      <c r="AC99" s="479">
        <v>44225</v>
      </c>
      <c r="AD99" s="476"/>
      <c r="AE99" s="477"/>
      <c r="AF99" s="478"/>
      <c r="AG99" s="478"/>
      <c r="AH99" s="476"/>
      <c r="AI99" s="477"/>
      <c r="AJ99" s="478"/>
      <c r="AK99" s="477"/>
      <c r="AL99" s="476"/>
      <c r="AM99" s="477"/>
      <c r="AN99" s="477"/>
      <c r="AO99" s="477"/>
      <c r="AP99" s="477"/>
      <c r="AQ99" s="477"/>
      <c r="AR99" s="477"/>
      <c r="AS99" s="477"/>
      <c r="AT99" s="480"/>
      <c r="AU99" s="475"/>
      <c r="AV99" s="475"/>
      <c r="AW99" s="475"/>
      <c r="AX99" s="480"/>
      <c r="AY99" s="475"/>
      <c r="AZ99" s="475"/>
      <c r="BA99" s="475"/>
      <c r="BB99" s="477">
        <f t="shared" si="6"/>
        <v>71665</v>
      </c>
      <c r="BC99" s="477">
        <f t="shared" si="4"/>
        <v>37940.445</v>
      </c>
    </row>
    <row r="100" spans="2:55" s="195" customFormat="1" ht="22.5" x14ac:dyDescent="0.25">
      <c r="B100" s="186">
        <f t="shared" si="7"/>
        <v>84</v>
      </c>
      <c r="C100" s="186" t="s">
        <v>38</v>
      </c>
      <c r="D100" s="450">
        <v>40008168</v>
      </c>
      <c r="E100" s="451" t="s">
        <v>641</v>
      </c>
      <c r="F100" s="451" t="s">
        <v>200</v>
      </c>
      <c r="G100" s="473" t="s">
        <v>525</v>
      </c>
      <c r="H100" s="451" t="s">
        <v>632</v>
      </c>
      <c r="I100" s="451" t="s">
        <v>42</v>
      </c>
      <c r="J100" s="474">
        <v>329121</v>
      </c>
      <c r="K100" s="474">
        <v>57435</v>
      </c>
      <c r="L100" s="474">
        <v>271686</v>
      </c>
      <c r="M100" s="475"/>
      <c r="N100" s="475"/>
      <c r="O100" s="475"/>
      <c r="P100" s="475">
        <v>1320</v>
      </c>
      <c r="Q100" s="475">
        <v>0</v>
      </c>
      <c r="R100" s="475">
        <v>108743.251</v>
      </c>
      <c r="S100" s="475"/>
      <c r="T100" s="475"/>
      <c r="U100" s="475"/>
      <c r="V100" s="475"/>
      <c r="W100" s="475"/>
      <c r="X100" s="475"/>
      <c r="Y100" s="475">
        <f t="shared" si="5"/>
        <v>110063.251</v>
      </c>
      <c r="Z100" s="476">
        <v>271686</v>
      </c>
      <c r="AA100" s="477">
        <v>8</v>
      </c>
      <c r="AB100" s="478">
        <v>44221</v>
      </c>
      <c r="AC100" s="479">
        <v>44225</v>
      </c>
      <c r="AD100" s="476"/>
      <c r="AE100" s="477"/>
      <c r="AF100" s="478"/>
      <c r="AG100" s="478"/>
      <c r="AH100" s="476"/>
      <c r="AI100" s="477"/>
      <c r="AJ100" s="478"/>
      <c r="AK100" s="477"/>
      <c r="AL100" s="476"/>
      <c r="AM100" s="477"/>
      <c r="AN100" s="477"/>
      <c r="AO100" s="477"/>
      <c r="AP100" s="477"/>
      <c r="AQ100" s="477"/>
      <c r="AR100" s="477"/>
      <c r="AS100" s="477"/>
      <c r="AT100" s="480"/>
      <c r="AU100" s="475"/>
      <c r="AV100" s="475"/>
      <c r="AW100" s="475"/>
      <c r="AX100" s="480"/>
      <c r="AY100" s="475"/>
      <c r="AZ100" s="475"/>
      <c r="BA100" s="475"/>
      <c r="BB100" s="477">
        <f t="shared" si="6"/>
        <v>271686</v>
      </c>
      <c r="BC100" s="477">
        <f t="shared" si="4"/>
        <v>161622.74900000001</v>
      </c>
    </row>
    <row r="101" spans="2:55" s="195" customFormat="1" ht="22.5" x14ac:dyDescent="0.25">
      <c r="B101" s="186">
        <f t="shared" si="7"/>
        <v>85</v>
      </c>
      <c r="C101" s="186" t="s">
        <v>38</v>
      </c>
      <c r="D101" s="450">
        <v>30133162</v>
      </c>
      <c r="E101" s="451" t="s">
        <v>642</v>
      </c>
      <c r="F101" s="451" t="s">
        <v>539</v>
      </c>
      <c r="G101" s="473" t="s">
        <v>525</v>
      </c>
      <c r="H101" s="451" t="s">
        <v>528</v>
      </c>
      <c r="I101" s="451" t="s">
        <v>42</v>
      </c>
      <c r="J101" s="474">
        <v>163600</v>
      </c>
      <c r="K101" s="474">
        <v>144546</v>
      </c>
      <c r="L101" s="474">
        <v>19054</v>
      </c>
      <c r="M101" s="475"/>
      <c r="N101" s="475"/>
      <c r="O101" s="475"/>
      <c r="P101" s="475"/>
      <c r="Q101" s="475"/>
      <c r="R101" s="475"/>
      <c r="S101" s="475"/>
      <c r="T101" s="475"/>
      <c r="U101" s="475"/>
      <c r="V101" s="475"/>
      <c r="W101" s="475"/>
      <c r="X101" s="475"/>
      <c r="Y101" s="475">
        <f t="shared" si="5"/>
        <v>0</v>
      </c>
      <c r="Z101" s="476">
        <v>19054</v>
      </c>
      <c r="AA101" s="477">
        <v>8</v>
      </c>
      <c r="AB101" s="478">
        <v>44221</v>
      </c>
      <c r="AC101" s="479">
        <v>44225</v>
      </c>
      <c r="AD101" s="476"/>
      <c r="AE101" s="477"/>
      <c r="AF101" s="478"/>
      <c r="AG101" s="478"/>
      <c r="AH101" s="476"/>
      <c r="AI101" s="477"/>
      <c r="AJ101" s="478"/>
      <c r="AK101" s="477"/>
      <c r="AL101" s="476"/>
      <c r="AM101" s="477"/>
      <c r="AN101" s="477"/>
      <c r="AO101" s="477"/>
      <c r="AP101" s="477"/>
      <c r="AQ101" s="477"/>
      <c r="AR101" s="477"/>
      <c r="AS101" s="477"/>
      <c r="AT101" s="480"/>
      <c r="AU101" s="475"/>
      <c r="AV101" s="475"/>
      <c r="AW101" s="475"/>
      <c r="AX101" s="480"/>
      <c r="AY101" s="475"/>
      <c r="AZ101" s="475"/>
      <c r="BA101" s="475"/>
      <c r="BB101" s="477">
        <f t="shared" si="6"/>
        <v>19054</v>
      </c>
      <c r="BC101" s="477">
        <f t="shared" si="4"/>
        <v>19054</v>
      </c>
    </row>
    <row r="102" spans="2:55" s="195" customFormat="1" ht="22.5" x14ac:dyDescent="0.25">
      <c r="B102" s="186">
        <f t="shared" si="7"/>
        <v>86</v>
      </c>
      <c r="C102" s="186" t="s">
        <v>38</v>
      </c>
      <c r="D102" s="450">
        <v>40005872</v>
      </c>
      <c r="E102" s="451" t="s">
        <v>643</v>
      </c>
      <c r="F102" s="451" t="s">
        <v>200</v>
      </c>
      <c r="G102" s="473" t="s">
        <v>525</v>
      </c>
      <c r="H102" s="451" t="s">
        <v>528</v>
      </c>
      <c r="I102" s="451" t="s">
        <v>42</v>
      </c>
      <c r="J102" s="474">
        <v>70606</v>
      </c>
      <c r="K102" s="474">
        <v>35441</v>
      </c>
      <c r="L102" s="474">
        <v>35165</v>
      </c>
      <c r="M102" s="475"/>
      <c r="N102" s="475"/>
      <c r="O102" s="475"/>
      <c r="P102" s="475">
        <v>0</v>
      </c>
      <c r="Q102" s="475">
        <v>23690.109</v>
      </c>
      <c r="R102" s="475">
        <v>0</v>
      </c>
      <c r="S102" s="475"/>
      <c r="T102" s="475"/>
      <c r="U102" s="475"/>
      <c r="V102" s="475"/>
      <c r="W102" s="475"/>
      <c r="X102" s="475"/>
      <c r="Y102" s="475">
        <f t="shared" si="5"/>
        <v>23690.109</v>
      </c>
      <c r="Z102" s="476">
        <v>35165</v>
      </c>
      <c r="AA102" s="477">
        <v>8</v>
      </c>
      <c r="AB102" s="478">
        <v>44221</v>
      </c>
      <c r="AC102" s="479">
        <v>44225</v>
      </c>
      <c r="AD102" s="476"/>
      <c r="AE102" s="477"/>
      <c r="AF102" s="478"/>
      <c r="AG102" s="478"/>
      <c r="AH102" s="476"/>
      <c r="AI102" s="477"/>
      <c r="AJ102" s="478"/>
      <c r="AK102" s="477"/>
      <c r="AL102" s="476"/>
      <c r="AM102" s="477"/>
      <c r="AN102" s="477"/>
      <c r="AO102" s="477"/>
      <c r="AP102" s="477"/>
      <c r="AQ102" s="477"/>
      <c r="AR102" s="477"/>
      <c r="AS102" s="477"/>
      <c r="AT102" s="480"/>
      <c r="AU102" s="475"/>
      <c r="AV102" s="475"/>
      <c r="AW102" s="475"/>
      <c r="AX102" s="480"/>
      <c r="AY102" s="475"/>
      <c r="AZ102" s="475"/>
      <c r="BA102" s="475"/>
      <c r="BB102" s="477">
        <f t="shared" si="6"/>
        <v>35165</v>
      </c>
      <c r="BC102" s="477">
        <f t="shared" si="4"/>
        <v>11474.891</v>
      </c>
    </row>
    <row r="103" spans="2:55" s="195" customFormat="1" ht="22.5" x14ac:dyDescent="0.25">
      <c r="B103" s="186">
        <f t="shared" si="7"/>
        <v>87</v>
      </c>
      <c r="C103" s="186" t="s">
        <v>38</v>
      </c>
      <c r="D103" s="450">
        <v>30125456</v>
      </c>
      <c r="E103" s="451" t="s">
        <v>644</v>
      </c>
      <c r="F103" s="451" t="s">
        <v>543</v>
      </c>
      <c r="G103" s="473" t="s">
        <v>525</v>
      </c>
      <c r="H103" s="451" t="s">
        <v>544</v>
      </c>
      <c r="I103" s="451" t="s">
        <v>42</v>
      </c>
      <c r="J103" s="474">
        <v>115140</v>
      </c>
      <c r="K103" s="474">
        <v>104257</v>
      </c>
      <c r="L103" s="474">
        <v>10883</v>
      </c>
      <c r="M103" s="475"/>
      <c r="N103" s="475"/>
      <c r="O103" s="475"/>
      <c r="P103" s="475"/>
      <c r="Q103" s="475"/>
      <c r="R103" s="475"/>
      <c r="S103" s="475"/>
      <c r="T103" s="475"/>
      <c r="U103" s="475"/>
      <c r="V103" s="475"/>
      <c r="W103" s="475"/>
      <c r="X103" s="475"/>
      <c r="Y103" s="475">
        <f t="shared" si="5"/>
        <v>0</v>
      </c>
      <c r="Z103" s="476">
        <v>10883</v>
      </c>
      <c r="AA103" s="477">
        <v>8</v>
      </c>
      <c r="AB103" s="478">
        <v>44221</v>
      </c>
      <c r="AC103" s="479">
        <v>44225</v>
      </c>
      <c r="AD103" s="476"/>
      <c r="AE103" s="477"/>
      <c r="AF103" s="478"/>
      <c r="AG103" s="478"/>
      <c r="AH103" s="476"/>
      <c r="AI103" s="477"/>
      <c r="AJ103" s="478"/>
      <c r="AK103" s="477"/>
      <c r="AL103" s="476"/>
      <c r="AM103" s="477"/>
      <c r="AN103" s="477"/>
      <c r="AO103" s="477"/>
      <c r="AP103" s="477"/>
      <c r="AQ103" s="477"/>
      <c r="AR103" s="477"/>
      <c r="AS103" s="477"/>
      <c r="AT103" s="480"/>
      <c r="AU103" s="475"/>
      <c r="AV103" s="475"/>
      <c r="AW103" s="475"/>
      <c r="AX103" s="480"/>
      <c r="AY103" s="475"/>
      <c r="AZ103" s="475"/>
      <c r="BA103" s="475"/>
      <c r="BB103" s="477">
        <f t="shared" si="6"/>
        <v>10883</v>
      </c>
      <c r="BC103" s="477">
        <f t="shared" si="4"/>
        <v>10883</v>
      </c>
    </row>
    <row r="104" spans="2:55" s="195" customFormat="1" x14ac:dyDescent="0.25">
      <c r="B104" s="186">
        <f t="shared" si="7"/>
        <v>88</v>
      </c>
      <c r="C104" s="186" t="s">
        <v>38</v>
      </c>
      <c r="D104" s="450">
        <v>30438672</v>
      </c>
      <c r="E104" s="451" t="s">
        <v>645</v>
      </c>
      <c r="F104" s="451" t="s">
        <v>200</v>
      </c>
      <c r="G104" s="473" t="s">
        <v>525</v>
      </c>
      <c r="H104" s="451" t="s">
        <v>537</v>
      </c>
      <c r="I104" s="451" t="s">
        <v>42</v>
      </c>
      <c r="J104" s="474">
        <v>154110</v>
      </c>
      <c r="K104" s="474">
        <v>85909</v>
      </c>
      <c r="L104" s="474">
        <v>68201</v>
      </c>
      <c r="M104" s="475">
        <v>40792.794000000002</v>
      </c>
      <c r="N104" s="475"/>
      <c r="O104" s="475"/>
      <c r="P104" s="475">
        <v>0</v>
      </c>
      <c r="Q104" s="475">
        <v>0</v>
      </c>
      <c r="R104" s="475">
        <v>0</v>
      </c>
      <c r="S104" s="475"/>
      <c r="T104" s="475"/>
      <c r="U104" s="475"/>
      <c r="V104" s="475"/>
      <c r="W104" s="475"/>
      <c r="X104" s="475"/>
      <c r="Y104" s="475">
        <f t="shared" si="5"/>
        <v>40792.794000000002</v>
      </c>
      <c r="Z104" s="476">
        <v>54345</v>
      </c>
      <c r="AA104" s="477">
        <v>8</v>
      </c>
      <c r="AB104" s="478">
        <v>44221</v>
      </c>
      <c r="AC104" s="479">
        <v>44225</v>
      </c>
      <c r="AD104" s="476"/>
      <c r="AE104" s="477"/>
      <c r="AF104" s="478"/>
      <c r="AG104" s="478"/>
      <c r="AH104" s="476"/>
      <c r="AI104" s="477"/>
      <c r="AJ104" s="478"/>
      <c r="AK104" s="477"/>
      <c r="AL104" s="476"/>
      <c r="AM104" s="477"/>
      <c r="AN104" s="477"/>
      <c r="AO104" s="477"/>
      <c r="AP104" s="477"/>
      <c r="AQ104" s="477"/>
      <c r="AR104" s="477"/>
      <c r="AS104" s="477"/>
      <c r="AT104" s="480"/>
      <c r="AU104" s="475"/>
      <c r="AV104" s="475"/>
      <c r="AW104" s="475"/>
      <c r="AX104" s="480"/>
      <c r="AY104" s="475"/>
      <c r="AZ104" s="475"/>
      <c r="BA104" s="475"/>
      <c r="BB104" s="477">
        <f t="shared" si="6"/>
        <v>54345</v>
      </c>
      <c r="BC104" s="477">
        <f t="shared" si="4"/>
        <v>13552.205999999998</v>
      </c>
    </row>
    <row r="105" spans="2:55" s="195" customFormat="1" x14ac:dyDescent="0.25">
      <c r="B105" s="186">
        <f t="shared" si="7"/>
        <v>89</v>
      </c>
      <c r="C105" s="186" t="s">
        <v>38</v>
      </c>
      <c r="D105" s="450">
        <v>40008163</v>
      </c>
      <c r="E105" s="451" t="s">
        <v>646</v>
      </c>
      <c r="F105" s="451" t="s">
        <v>200</v>
      </c>
      <c r="G105" s="473" t="s">
        <v>525</v>
      </c>
      <c r="H105" s="451" t="s">
        <v>632</v>
      </c>
      <c r="I105" s="451" t="s">
        <v>42</v>
      </c>
      <c r="J105" s="474">
        <v>308292</v>
      </c>
      <c r="K105" s="474">
        <v>24717</v>
      </c>
      <c r="L105" s="474">
        <v>283575</v>
      </c>
      <c r="M105" s="475"/>
      <c r="N105" s="475"/>
      <c r="O105" s="475">
        <v>27775.702000000001</v>
      </c>
      <c r="P105" s="475">
        <v>1620</v>
      </c>
      <c r="Q105" s="475">
        <v>0</v>
      </c>
      <c r="R105" s="475">
        <v>40983.013999999996</v>
      </c>
      <c r="S105" s="475"/>
      <c r="T105" s="475"/>
      <c r="U105" s="475"/>
      <c r="V105" s="475"/>
      <c r="W105" s="475"/>
      <c r="X105" s="475"/>
      <c r="Y105" s="475">
        <f t="shared" si="5"/>
        <v>70378.716</v>
      </c>
      <c r="Z105" s="476">
        <v>283575</v>
      </c>
      <c r="AA105" s="477">
        <v>8</v>
      </c>
      <c r="AB105" s="478">
        <v>44221</v>
      </c>
      <c r="AC105" s="479">
        <v>44225</v>
      </c>
      <c r="AD105" s="476"/>
      <c r="AE105" s="477"/>
      <c r="AF105" s="478"/>
      <c r="AG105" s="478"/>
      <c r="AH105" s="476"/>
      <c r="AI105" s="477"/>
      <c r="AJ105" s="478"/>
      <c r="AK105" s="477"/>
      <c r="AL105" s="476"/>
      <c r="AM105" s="477"/>
      <c r="AN105" s="477"/>
      <c r="AO105" s="477"/>
      <c r="AP105" s="477"/>
      <c r="AQ105" s="477"/>
      <c r="AR105" s="477"/>
      <c r="AS105" s="477"/>
      <c r="AT105" s="480"/>
      <c r="AU105" s="475"/>
      <c r="AV105" s="475"/>
      <c r="AW105" s="475"/>
      <c r="AX105" s="480"/>
      <c r="AY105" s="475"/>
      <c r="AZ105" s="475"/>
      <c r="BA105" s="475"/>
      <c r="BB105" s="477">
        <f t="shared" si="6"/>
        <v>283575</v>
      </c>
      <c r="BC105" s="477">
        <f t="shared" si="4"/>
        <v>213196.28399999999</v>
      </c>
    </row>
    <row r="106" spans="2:55" s="195" customFormat="1" x14ac:dyDescent="0.25">
      <c r="B106" s="186">
        <f t="shared" si="7"/>
        <v>90</v>
      </c>
      <c r="C106" s="186" t="s">
        <v>38</v>
      </c>
      <c r="D106" s="450">
        <v>30446772</v>
      </c>
      <c r="E106" s="451" t="s">
        <v>647</v>
      </c>
      <c r="F106" s="451" t="s">
        <v>543</v>
      </c>
      <c r="G106" s="473" t="s">
        <v>525</v>
      </c>
      <c r="H106" s="451" t="s">
        <v>584</v>
      </c>
      <c r="I106" s="451" t="s">
        <v>42</v>
      </c>
      <c r="J106" s="474">
        <v>264332</v>
      </c>
      <c r="K106" s="474">
        <v>247508</v>
      </c>
      <c r="L106" s="474">
        <v>16824</v>
      </c>
      <c r="M106" s="475"/>
      <c r="N106" s="475"/>
      <c r="O106" s="475"/>
      <c r="P106" s="475"/>
      <c r="Q106" s="475"/>
      <c r="R106" s="475"/>
      <c r="S106" s="475"/>
      <c r="T106" s="475"/>
      <c r="U106" s="475"/>
      <c r="V106" s="475"/>
      <c r="W106" s="475"/>
      <c r="X106" s="475"/>
      <c r="Y106" s="475">
        <f t="shared" si="5"/>
        <v>0</v>
      </c>
      <c r="Z106" s="476">
        <v>16824</v>
      </c>
      <c r="AA106" s="477">
        <v>8</v>
      </c>
      <c r="AB106" s="478">
        <v>44221</v>
      </c>
      <c r="AC106" s="479">
        <v>44225</v>
      </c>
      <c r="AD106" s="476"/>
      <c r="AE106" s="477"/>
      <c r="AF106" s="478"/>
      <c r="AG106" s="478"/>
      <c r="AH106" s="476"/>
      <c r="AI106" s="477"/>
      <c r="AJ106" s="478"/>
      <c r="AK106" s="477"/>
      <c r="AL106" s="476"/>
      <c r="AM106" s="477"/>
      <c r="AN106" s="477"/>
      <c r="AO106" s="477"/>
      <c r="AP106" s="477"/>
      <c r="AQ106" s="477"/>
      <c r="AR106" s="477"/>
      <c r="AS106" s="477"/>
      <c r="AT106" s="480"/>
      <c r="AU106" s="475"/>
      <c r="AV106" s="475"/>
      <c r="AW106" s="475"/>
      <c r="AX106" s="480"/>
      <c r="AY106" s="475"/>
      <c r="AZ106" s="475"/>
      <c r="BA106" s="475"/>
      <c r="BB106" s="477">
        <f t="shared" si="6"/>
        <v>16824</v>
      </c>
      <c r="BC106" s="477">
        <f t="shared" si="4"/>
        <v>16824</v>
      </c>
    </row>
    <row r="107" spans="2:55" s="195" customFormat="1" ht="22.5" x14ac:dyDescent="0.25">
      <c r="B107" s="186">
        <f t="shared" si="7"/>
        <v>91</v>
      </c>
      <c r="C107" s="186" t="s">
        <v>38</v>
      </c>
      <c r="D107" s="450">
        <v>40002933</v>
      </c>
      <c r="E107" s="451" t="s">
        <v>648</v>
      </c>
      <c r="F107" s="451" t="s">
        <v>543</v>
      </c>
      <c r="G107" s="473" t="s">
        <v>525</v>
      </c>
      <c r="H107" s="451" t="s">
        <v>649</v>
      </c>
      <c r="I107" s="451" t="s">
        <v>42</v>
      </c>
      <c r="J107" s="474">
        <v>67334</v>
      </c>
      <c r="K107" s="474">
        <v>19693</v>
      </c>
      <c r="L107" s="474">
        <v>47641</v>
      </c>
      <c r="M107" s="475"/>
      <c r="N107" s="475"/>
      <c r="O107" s="475"/>
      <c r="P107" s="475"/>
      <c r="Q107" s="475"/>
      <c r="R107" s="475"/>
      <c r="S107" s="475"/>
      <c r="T107" s="475"/>
      <c r="U107" s="475"/>
      <c r="V107" s="475"/>
      <c r="W107" s="475"/>
      <c r="X107" s="475"/>
      <c r="Y107" s="475">
        <f t="shared" si="5"/>
        <v>0</v>
      </c>
      <c r="Z107" s="476">
        <v>47641</v>
      </c>
      <c r="AA107" s="477">
        <v>8</v>
      </c>
      <c r="AB107" s="478">
        <v>44221</v>
      </c>
      <c r="AC107" s="479">
        <v>44225</v>
      </c>
      <c r="AD107" s="476"/>
      <c r="AE107" s="477"/>
      <c r="AF107" s="478"/>
      <c r="AG107" s="478"/>
      <c r="AH107" s="476"/>
      <c r="AI107" s="477"/>
      <c r="AJ107" s="478"/>
      <c r="AK107" s="477"/>
      <c r="AL107" s="476"/>
      <c r="AM107" s="477"/>
      <c r="AN107" s="477"/>
      <c r="AO107" s="477"/>
      <c r="AP107" s="477"/>
      <c r="AQ107" s="477"/>
      <c r="AR107" s="477"/>
      <c r="AS107" s="477"/>
      <c r="AT107" s="480"/>
      <c r="AU107" s="475"/>
      <c r="AV107" s="475"/>
      <c r="AW107" s="475"/>
      <c r="AX107" s="480"/>
      <c r="AY107" s="475"/>
      <c r="AZ107" s="475"/>
      <c r="BA107" s="475"/>
      <c r="BB107" s="477">
        <f t="shared" si="6"/>
        <v>47641</v>
      </c>
      <c r="BC107" s="477">
        <f t="shared" si="4"/>
        <v>47641</v>
      </c>
    </row>
    <row r="108" spans="2:55" s="195" customFormat="1" ht="22.5" x14ac:dyDescent="0.25">
      <c r="B108" s="186">
        <f t="shared" si="7"/>
        <v>92</v>
      </c>
      <c r="C108" s="186" t="s">
        <v>38</v>
      </c>
      <c r="D108" s="450">
        <v>40000019</v>
      </c>
      <c r="E108" s="451" t="s">
        <v>650</v>
      </c>
      <c r="F108" s="451" t="s">
        <v>543</v>
      </c>
      <c r="G108" s="473" t="s">
        <v>525</v>
      </c>
      <c r="H108" s="451" t="s">
        <v>528</v>
      </c>
      <c r="I108" s="451" t="s">
        <v>42</v>
      </c>
      <c r="J108" s="474">
        <v>127136</v>
      </c>
      <c r="K108" s="474">
        <v>19579</v>
      </c>
      <c r="L108" s="474">
        <v>107557</v>
      </c>
      <c r="M108" s="475"/>
      <c r="N108" s="475"/>
      <c r="O108" s="475"/>
      <c r="P108" s="475">
        <v>25307.200000000001</v>
      </c>
      <c r="Q108" s="475">
        <v>0</v>
      </c>
      <c r="R108" s="475">
        <v>0</v>
      </c>
      <c r="S108" s="475"/>
      <c r="T108" s="475"/>
      <c r="U108" s="475"/>
      <c r="V108" s="475"/>
      <c r="W108" s="475"/>
      <c r="X108" s="475"/>
      <c r="Y108" s="475">
        <f t="shared" si="5"/>
        <v>25307.200000000001</v>
      </c>
      <c r="Z108" s="476">
        <v>107557</v>
      </c>
      <c r="AA108" s="477">
        <v>8</v>
      </c>
      <c r="AB108" s="478">
        <v>44221</v>
      </c>
      <c r="AC108" s="479">
        <v>44225</v>
      </c>
      <c r="AD108" s="476"/>
      <c r="AE108" s="477"/>
      <c r="AF108" s="478"/>
      <c r="AG108" s="478"/>
      <c r="AH108" s="476"/>
      <c r="AI108" s="477"/>
      <c r="AJ108" s="478"/>
      <c r="AK108" s="477"/>
      <c r="AL108" s="476"/>
      <c r="AM108" s="477"/>
      <c r="AN108" s="477"/>
      <c r="AO108" s="477"/>
      <c r="AP108" s="477"/>
      <c r="AQ108" s="477"/>
      <c r="AR108" s="477"/>
      <c r="AS108" s="477"/>
      <c r="AT108" s="480"/>
      <c r="AU108" s="475"/>
      <c r="AV108" s="475"/>
      <c r="AW108" s="475"/>
      <c r="AX108" s="480"/>
      <c r="AY108" s="475"/>
      <c r="AZ108" s="475"/>
      <c r="BA108" s="475"/>
      <c r="BB108" s="477">
        <f t="shared" si="6"/>
        <v>107557</v>
      </c>
      <c r="BC108" s="477">
        <f t="shared" si="4"/>
        <v>82249.8</v>
      </c>
    </row>
    <row r="109" spans="2:55" s="195" customFormat="1" ht="22.5" x14ac:dyDescent="0.25">
      <c r="B109" s="186">
        <f t="shared" si="7"/>
        <v>93</v>
      </c>
      <c r="C109" s="186" t="s">
        <v>38</v>
      </c>
      <c r="D109" s="450">
        <v>30137138</v>
      </c>
      <c r="E109" s="451" t="s">
        <v>651</v>
      </c>
      <c r="F109" s="451" t="s">
        <v>543</v>
      </c>
      <c r="G109" s="473" t="s">
        <v>525</v>
      </c>
      <c r="H109" s="451" t="s">
        <v>584</v>
      </c>
      <c r="I109" s="451" t="s">
        <v>42</v>
      </c>
      <c r="J109" s="474">
        <v>61070</v>
      </c>
      <c r="K109" s="474">
        <v>38786</v>
      </c>
      <c r="L109" s="474">
        <v>22284</v>
      </c>
      <c r="M109" s="475"/>
      <c r="N109" s="475"/>
      <c r="O109" s="475"/>
      <c r="P109" s="475"/>
      <c r="Q109" s="475"/>
      <c r="R109" s="475"/>
      <c r="S109" s="475"/>
      <c r="T109" s="475"/>
      <c r="U109" s="475"/>
      <c r="V109" s="475"/>
      <c r="W109" s="475"/>
      <c r="X109" s="475"/>
      <c r="Y109" s="475">
        <f t="shared" si="5"/>
        <v>0</v>
      </c>
      <c r="Z109" s="476">
        <v>22284</v>
      </c>
      <c r="AA109" s="477">
        <v>8</v>
      </c>
      <c r="AB109" s="478">
        <v>44221</v>
      </c>
      <c r="AC109" s="479">
        <v>44225</v>
      </c>
      <c r="AD109" s="476"/>
      <c r="AE109" s="477"/>
      <c r="AF109" s="478"/>
      <c r="AG109" s="478"/>
      <c r="AH109" s="476"/>
      <c r="AI109" s="477"/>
      <c r="AJ109" s="478"/>
      <c r="AK109" s="477"/>
      <c r="AL109" s="476"/>
      <c r="AM109" s="477"/>
      <c r="AN109" s="477"/>
      <c r="AO109" s="477"/>
      <c r="AP109" s="477"/>
      <c r="AQ109" s="477"/>
      <c r="AR109" s="477"/>
      <c r="AS109" s="477"/>
      <c r="AT109" s="480"/>
      <c r="AU109" s="475"/>
      <c r="AV109" s="475"/>
      <c r="AW109" s="475"/>
      <c r="AX109" s="480"/>
      <c r="AY109" s="475"/>
      <c r="AZ109" s="475"/>
      <c r="BA109" s="475"/>
      <c r="BB109" s="477">
        <f t="shared" si="6"/>
        <v>22284</v>
      </c>
      <c r="BC109" s="477">
        <f t="shared" si="4"/>
        <v>22284</v>
      </c>
    </row>
    <row r="110" spans="2:55" s="195" customFormat="1" ht="22.5" x14ac:dyDescent="0.25">
      <c r="B110" s="186">
        <f t="shared" si="7"/>
        <v>94</v>
      </c>
      <c r="C110" s="186" t="s">
        <v>38</v>
      </c>
      <c r="D110" s="450">
        <v>30381122</v>
      </c>
      <c r="E110" s="451" t="s">
        <v>652</v>
      </c>
      <c r="F110" s="451" t="s">
        <v>543</v>
      </c>
      <c r="G110" s="473" t="s">
        <v>525</v>
      </c>
      <c r="H110" s="451" t="s">
        <v>528</v>
      </c>
      <c r="I110" s="451" t="s">
        <v>42</v>
      </c>
      <c r="J110" s="474">
        <v>37664</v>
      </c>
      <c r="K110" s="474">
        <v>27584</v>
      </c>
      <c r="L110" s="474">
        <v>10080</v>
      </c>
      <c r="M110" s="475"/>
      <c r="N110" s="475"/>
      <c r="O110" s="475"/>
      <c r="P110" s="475"/>
      <c r="Q110" s="475"/>
      <c r="R110" s="475"/>
      <c r="S110" s="475"/>
      <c r="T110" s="475"/>
      <c r="U110" s="475"/>
      <c r="V110" s="475"/>
      <c r="W110" s="475"/>
      <c r="X110" s="475"/>
      <c r="Y110" s="475">
        <f t="shared" si="5"/>
        <v>0</v>
      </c>
      <c r="Z110" s="476">
        <v>10080</v>
      </c>
      <c r="AA110" s="477">
        <v>8</v>
      </c>
      <c r="AB110" s="478">
        <v>44221</v>
      </c>
      <c r="AC110" s="479">
        <v>44225</v>
      </c>
      <c r="AD110" s="476"/>
      <c r="AE110" s="477"/>
      <c r="AF110" s="478"/>
      <c r="AG110" s="478"/>
      <c r="AH110" s="476"/>
      <c r="AI110" s="477"/>
      <c r="AJ110" s="478"/>
      <c r="AK110" s="477"/>
      <c r="AL110" s="476"/>
      <c r="AM110" s="477"/>
      <c r="AN110" s="477"/>
      <c r="AO110" s="477"/>
      <c r="AP110" s="477"/>
      <c r="AQ110" s="477"/>
      <c r="AR110" s="477"/>
      <c r="AS110" s="477"/>
      <c r="AT110" s="480"/>
      <c r="AU110" s="475"/>
      <c r="AV110" s="475"/>
      <c r="AW110" s="475"/>
      <c r="AX110" s="480"/>
      <c r="AY110" s="475"/>
      <c r="AZ110" s="475"/>
      <c r="BA110" s="475"/>
      <c r="BB110" s="477">
        <f t="shared" si="6"/>
        <v>10080</v>
      </c>
      <c r="BC110" s="477">
        <f t="shared" si="4"/>
        <v>10080</v>
      </c>
    </row>
    <row r="111" spans="2:55" s="195" customFormat="1" ht="22.5" x14ac:dyDescent="0.25">
      <c r="B111" s="186">
        <f t="shared" si="7"/>
        <v>95</v>
      </c>
      <c r="C111" s="186" t="s">
        <v>38</v>
      </c>
      <c r="D111" s="450">
        <v>40014969</v>
      </c>
      <c r="E111" s="451" t="s">
        <v>653</v>
      </c>
      <c r="F111" s="451" t="s">
        <v>200</v>
      </c>
      <c r="G111" s="473" t="s">
        <v>525</v>
      </c>
      <c r="H111" s="451" t="s">
        <v>654</v>
      </c>
      <c r="I111" s="451" t="s">
        <v>43</v>
      </c>
      <c r="J111" s="474">
        <v>970472</v>
      </c>
      <c r="K111" s="474"/>
      <c r="L111" s="474">
        <v>970472</v>
      </c>
      <c r="M111" s="475"/>
      <c r="N111" s="475"/>
      <c r="O111" s="475"/>
      <c r="P111" s="475"/>
      <c r="Q111" s="475"/>
      <c r="R111" s="475"/>
      <c r="S111" s="475"/>
      <c r="T111" s="475"/>
      <c r="U111" s="475"/>
      <c r="V111" s="475"/>
      <c r="W111" s="475"/>
      <c r="X111" s="475"/>
      <c r="Y111" s="475">
        <f t="shared" si="5"/>
        <v>0</v>
      </c>
      <c r="Z111" s="476">
        <v>1</v>
      </c>
      <c r="AA111" s="477">
        <v>12</v>
      </c>
      <c r="AB111" s="478">
        <v>44225</v>
      </c>
      <c r="AC111" s="479">
        <v>44244</v>
      </c>
      <c r="AD111" s="476"/>
      <c r="AE111" s="477"/>
      <c r="AF111" s="478"/>
      <c r="AG111" s="478"/>
      <c r="AH111" s="476"/>
      <c r="AI111" s="477"/>
      <c r="AJ111" s="478"/>
      <c r="AK111" s="477"/>
      <c r="AL111" s="476"/>
      <c r="AM111" s="477"/>
      <c r="AN111" s="477"/>
      <c r="AO111" s="477"/>
      <c r="AP111" s="477"/>
      <c r="AQ111" s="477"/>
      <c r="AR111" s="477"/>
      <c r="AS111" s="477"/>
      <c r="AT111" s="480"/>
      <c r="AU111" s="475"/>
      <c r="AV111" s="475"/>
      <c r="AW111" s="475"/>
      <c r="AX111" s="480"/>
      <c r="AY111" s="475"/>
      <c r="AZ111" s="475"/>
      <c r="BA111" s="475"/>
      <c r="BB111" s="477">
        <f t="shared" si="6"/>
        <v>1</v>
      </c>
      <c r="BC111" s="477">
        <f t="shared" si="4"/>
        <v>1</v>
      </c>
    </row>
    <row r="112" spans="2:55" s="195" customFormat="1" ht="22.5" x14ac:dyDescent="0.25">
      <c r="B112" s="186">
        <f t="shared" si="7"/>
        <v>96</v>
      </c>
      <c r="C112" s="186" t="s">
        <v>38</v>
      </c>
      <c r="D112" s="450">
        <v>40017092</v>
      </c>
      <c r="E112" s="451" t="s">
        <v>655</v>
      </c>
      <c r="F112" s="451" t="s">
        <v>543</v>
      </c>
      <c r="G112" s="473" t="s">
        <v>525</v>
      </c>
      <c r="H112" s="451" t="s">
        <v>574</v>
      </c>
      <c r="I112" s="451" t="s">
        <v>43</v>
      </c>
      <c r="J112" s="474">
        <v>31952</v>
      </c>
      <c r="K112" s="474"/>
      <c r="L112" s="474">
        <v>31952</v>
      </c>
      <c r="M112" s="475"/>
      <c r="N112" s="475"/>
      <c r="O112" s="475"/>
      <c r="P112" s="475"/>
      <c r="Q112" s="475"/>
      <c r="R112" s="475"/>
      <c r="S112" s="475"/>
      <c r="T112" s="475"/>
      <c r="U112" s="475"/>
      <c r="V112" s="475"/>
      <c r="W112" s="475"/>
      <c r="X112" s="475"/>
      <c r="Y112" s="475">
        <f t="shared" si="5"/>
        <v>0</v>
      </c>
      <c r="Z112" s="476">
        <v>1</v>
      </c>
      <c r="AA112" s="477">
        <v>12</v>
      </c>
      <c r="AB112" s="478">
        <v>44225</v>
      </c>
      <c r="AC112" s="479">
        <v>44244</v>
      </c>
      <c r="AD112" s="476"/>
      <c r="AE112" s="477"/>
      <c r="AF112" s="478"/>
      <c r="AG112" s="478"/>
      <c r="AH112" s="476"/>
      <c r="AI112" s="477"/>
      <c r="AJ112" s="478"/>
      <c r="AK112" s="477"/>
      <c r="AL112" s="476"/>
      <c r="AM112" s="477"/>
      <c r="AN112" s="477"/>
      <c r="AO112" s="477"/>
      <c r="AP112" s="477"/>
      <c r="AQ112" s="477"/>
      <c r="AR112" s="477"/>
      <c r="AS112" s="477"/>
      <c r="AT112" s="480"/>
      <c r="AU112" s="475"/>
      <c r="AV112" s="475"/>
      <c r="AW112" s="475"/>
      <c r="AX112" s="480"/>
      <c r="AY112" s="475"/>
      <c r="AZ112" s="475"/>
      <c r="BA112" s="475"/>
      <c r="BB112" s="477">
        <f t="shared" si="6"/>
        <v>1</v>
      </c>
      <c r="BC112" s="477">
        <f t="shared" si="4"/>
        <v>1</v>
      </c>
    </row>
    <row r="113" spans="2:55" s="195" customFormat="1" ht="22.5" x14ac:dyDescent="0.25">
      <c r="B113" s="186">
        <f t="shared" si="7"/>
        <v>97</v>
      </c>
      <c r="C113" s="186" t="s">
        <v>38</v>
      </c>
      <c r="D113" s="450">
        <v>30484277</v>
      </c>
      <c r="E113" s="451" t="s">
        <v>656</v>
      </c>
      <c r="F113" s="451" t="s">
        <v>200</v>
      </c>
      <c r="G113" s="473" t="s">
        <v>525</v>
      </c>
      <c r="H113" s="451" t="s">
        <v>574</v>
      </c>
      <c r="I113" s="451" t="s">
        <v>43</v>
      </c>
      <c r="J113" s="474">
        <v>92302</v>
      </c>
      <c r="K113" s="474"/>
      <c r="L113" s="474">
        <v>92302</v>
      </c>
      <c r="M113" s="475"/>
      <c r="N113" s="475"/>
      <c r="O113" s="475"/>
      <c r="P113" s="475">
        <v>0</v>
      </c>
      <c r="Q113" s="475">
        <v>0</v>
      </c>
      <c r="R113" s="475">
        <v>0</v>
      </c>
      <c r="S113" s="475"/>
      <c r="T113" s="475"/>
      <c r="U113" s="475"/>
      <c r="V113" s="475"/>
      <c r="W113" s="475"/>
      <c r="X113" s="475"/>
      <c r="Y113" s="475">
        <f t="shared" si="5"/>
        <v>0</v>
      </c>
      <c r="Z113" s="476">
        <v>2</v>
      </c>
      <c r="AA113" s="477">
        <v>12</v>
      </c>
      <c r="AB113" s="478">
        <v>44225</v>
      </c>
      <c r="AC113" s="479">
        <v>44244</v>
      </c>
      <c r="AD113" s="476"/>
      <c r="AE113" s="477"/>
      <c r="AF113" s="478"/>
      <c r="AG113" s="478"/>
      <c r="AH113" s="476"/>
      <c r="AI113" s="477"/>
      <c r="AJ113" s="478"/>
      <c r="AK113" s="477"/>
      <c r="AL113" s="476"/>
      <c r="AM113" s="477"/>
      <c r="AN113" s="477"/>
      <c r="AO113" s="477"/>
      <c r="AP113" s="477"/>
      <c r="AQ113" s="477"/>
      <c r="AR113" s="477"/>
      <c r="AS113" s="477"/>
      <c r="AT113" s="480"/>
      <c r="AU113" s="475"/>
      <c r="AV113" s="475"/>
      <c r="AW113" s="475"/>
      <c r="AX113" s="480"/>
      <c r="AY113" s="475"/>
      <c r="AZ113" s="475"/>
      <c r="BA113" s="475"/>
      <c r="BB113" s="477">
        <f t="shared" si="6"/>
        <v>2</v>
      </c>
      <c r="BC113" s="477">
        <f t="shared" si="4"/>
        <v>2</v>
      </c>
    </row>
    <row r="114" spans="2:55" s="195" customFormat="1" ht="22.5" x14ac:dyDescent="0.25">
      <c r="B114" s="186">
        <f t="shared" si="7"/>
        <v>98</v>
      </c>
      <c r="C114" s="186" t="s">
        <v>38</v>
      </c>
      <c r="D114" s="450">
        <v>30482162</v>
      </c>
      <c r="E114" s="451" t="s">
        <v>657</v>
      </c>
      <c r="F114" s="451" t="s">
        <v>200</v>
      </c>
      <c r="G114" s="473" t="s">
        <v>525</v>
      </c>
      <c r="H114" s="451" t="s">
        <v>574</v>
      </c>
      <c r="I114" s="451" t="s">
        <v>43</v>
      </c>
      <c r="J114" s="474">
        <v>216309</v>
      </c>
      <c r="K114" s="474"/>
      <c r="L114" s="474">
        <v>216309</v>
      </c>
      <c r="M114" s="475"/>
      <c r="N114" s="475"/>
      <c r="O114" s="475"/>
      <c r="P114" s="475"/>
      <c r="Q114" s="475"/>
      <c r="R114" s="475"/>
      <c r="S114" s="475"/>
      <c r="T114" s="475"/>
      <c r="U114" s="475"/>
      <c r="V114" s="475"/>
      <c r="W114" s="475"/>
      <c r="X114" s="475"/>
      <c r="Y114" s="475">
        <f t="shared" si="5"/>
        <v>0</v>
      </c>
      <c r="Z114" s="476">
        <v>2</v>
      </c>
      <c r="AA114" s="477">
        <v>12</v>
      </c>
      <c r="AB114" s="478">
        <v>44225</v>
      </c>
      <c r="AC114" s="479">
        <v>44244</v>
      </c>
      <c r="AD114" s="476"/>
      <c r="AE114" s="477"/>
      <c r="AF114" s="478"/>
      <c r="AG114" s="478"/>
      <c r="AH114" s="476"/>
      <c r="AI114" s="477"/>
      <c r="AJ114" s="478"/>
      <c r="AK114" s="477"/>
      <c r="AL114" s="476"/>
      <c r="AM114" s="477"/>
      <c r="AN114" s="477"/>
      <c r="AO114" s="477"/>
      <c r="AP114" s="477"/>
      <c r="AQ114" s="477"/>
      <c r="AR114" s="477"/>
      <c r="AS114" s="477"/>
      <c r="AT114" s="480"/>
      <c r="AU114" s="475"/>
      <c r="AV114" s="475"/>
      <c r="AW114" s="475"/>
      <c r="AX114" s="480"/>
      <c r="AY114" s="475"/>
      <c r="AZ114" s="475"/>
      <c r="BA114" s="475"/>
      <c r="BB114" s="477">
        <f t="shared" si="6"/>
        <v>2</v>
      </c>
      <c r="BC114" s="477">
        <f t="shared" si="4"/>
        <v>2</v>
      </c>
    </row>
    <row r="115" spans="2:55" s="195" customFormat="1" ht="22.5" x14ac:dyDescent="0.25">
      <c r="B115" s="186">
        <f t="shared" si="7"/>
        <v>99</v>
      </c>
      <c r="C115" s="186" t="s">
        <v>38</v>
      </c>
      <c r="D115" s="450">
        <v>30476440</v>
      </c>
      <c r="E115" s="451" t="s">
        <v>658</v>
      </c>
      <c r="F115" s="451" t="s">
        <v>200</v>
      </c>
      <c r="G115" s="473" t="s">
        <v>525</v>
      </c>
      <c r="H115" s="451" t="s">
        <v>574</v>
      </c>
      <c r="I115" s="451" t="s">
        <v>43</v>
      </c>
      <c r="J115" s="474">
        <v>159612</v>
      </c>
      <c r="K115" s="474"/>
      <c r="L115" s="474">
        <v>159612</v>
      </c>
      <c r="M115" s="475"/>
      <c r="N115" s="475"/>
      <c r="O115" s="475"/>
      <c r="P115" s="475"/>
      <c r="Q115" s="475"/>
      <c r="R115" s="475"/>
      <c r="S115" s="475"/>
      <c r="T115" s="475"/>
      <c r="U115" s="475"/>
      <c r="V115" s="475"/>
      <c r="W115" s="475"/>
      <c r="X115" s="475"/>
      <c r="Y115" s="475">
        <f t="shared" si="5"/>
        <v>0</v>
      </c>
      <c r="Z115" s="476">
        <v>2</v>
      </c>
      <c r="AA115" s="477">
        <v>12</v>
      </c>
      <c r="AB115" s="478">
        <v>44225</v>
      </c>
      <c r="AC115" s="479">
        <v>44244</v>
      </c>
      <c r="AD115" s="476"/>
      <c r="AE115" s="477"/>
      <c r="AF115" s="478"/>
      <c r="AG115" s="478"/>
      <c r="AH115" s="476"/>
      <c r="AI115" s="477"/>
      <c r="AJ115" s="478"/>
      <c r="AK115" s="477"/>
      <c r="AL115" s="476"/>
      <c r="AM115" s="477"/>
      <c r="AN115" s="477"/>
      <c r="AO115" s="477"/>
      <c r="AP115" s="477"/>
      <c r="AQ115" s="477"/>
      <c r="AR115" s="477"/>
      <c r="AS115" s="477"/>
      <c r="AT115" s="480"/>
      <c r="AU115" s="475"/>
      <c r="AV115" s="475"/>
      <c r="AW115" s="475"/>
      <c r="AX115" s="480"/>
      <c r="AY115" s="475"/>
      <c r="AZ115" s="475"/>
      <c r="BA115" s="475"/>
      <c r="BB115" s="477">
        <f t="shared" si="6"/>
        <v>2</v>
      </c>
      <c r="BC115" s="477">
        <f t="shared" si="4"/>
        <v>2</v>
      </c>
    </row>
    <row r="116" spans="2:55" s="195" customFormat="1" ht="22.5" x14ac:dyDescent="0.25">
      <c r="B116" s="186">
        <f t="shared" si="7"/>
        <v>100</v>
      </c>
      <c r="C116" s="186" t="s">
        <v>38</v>
      </c>
      <c r="D116" s="450">
        <v>40019993</v>
      </c>
      <c r="E116" s="451" t="s">
        <v>659</v>
      </c>
      <c r="F116" s="451" t="s">
        <v>543</v>
      </c>
      <c r="G116" s="473" t="s">
        <v>525</v>
      </c>
      <c r="H116" s="451" t="s">
        <v>579</v>
      </c>
      <c r="I116" s="451" t="s">
        <v>43</v>
      </c>
      <c r="J116" s="474">
        <v>100972</v>
      </c>
      <c r="K116" s="474"/>
      <c r="L116" s="474">
        <v>100972</v>
      </c>
      <c r="M116" s="475"/>
      <c r="N116" s="475"/>
      <c r="O116" s="475"/>
      <c r="P116" s="475"/>
      <c r="Q116" s="475"/>
      <c r="R116" s="475"/>
      <c r="S116" s="475"/>
      <c r="T116" s="475"/>
      <c r="U116" s="475"/>
      <c r="V116" s="475"/>
      <c r="W116" s="475"/>
      <c r="X116" s="475"/>
      <c r="Y116" s="475">
        <f t="shared" si="5"/>
        <v>0</v>
      </c>
      <c r="Z116" s="476">
        <v>1</v>
      </c>
      <c r="AA116" s="477">
        <v>12</v>
      </c>
      <c r="AB116" s="478">
        <v>44225</v>
      </c>
      <c r="AC116" s="479">
        <v>44244</v>
      </c>
      <c r="AD116" s="476"/>
      <c r="AE116" s="477"/>
      <c r="AF116" s="478"/>
      <c r="AG116" s="478"/>
      <c r="AH116" s="476"/>
      <c r="AI116" s="477"/>
      <c r="AJ116" s="478"/>
      <c r="AK116" s="477"/>
      <c r="AL116" s="476"/>
      <c r="AM116" s="477"/>
      <c r="AN116" s="477"/>
      <c r="AO116" s="477"/>
      <c r="AP116" s="477"/>
      <c r="AQ116" s="477"/>
      <c r="AR116" s="477"/>
      <c r="AS116" s="477"/>
      <c r="AT116" s="480"/>
      <c r="AU116" s="475"/>
      <c r="AV116" s="475"/>
      <c r="AW116" s="475"/>
      <c r="AX116" s="480"/>
      <c r="AY116" s="475"/>
      <c r="AZ116" s="475"/>
      <c r="BA116" s="475"/>
      <c r="BB116" s="477">
        <f t="shared" si="6"/>
        <v>1</v>
      </c>
      <c r="BC116" s="477">
        <f t="shared" si="4"/>
        <v>1</v>
      </c>
    </row>
    <row r="117" spans="2:55" s="195" customFormat="1" x14ac:dyDescent="0.25">
      <c r="B117" s="186">
        <f t="shared" si="7"/>
        <v>101</v>
      </c>
      <c r="C117" s="186" t="s">
        <v>40</v>
      </c>
      <c r="D117" s="450">
        <v>40024349</v>
      </c>
      <c r="E117" s="451" t="s">
        <v>660</v>
      </c>
      <c r="F117" s="451" t="s">
        <v>200</v>
      </c>
      <c r="G117" s="473" t="s">
        <v>525</v>
      </c>
      <c r="H117" s="451" t="s">
        <v>632</v>
      </c>
      <c r="I117" s="451" t="s">
        <v>43</v>
      </c>
      <c r="J117" s="474">
        <v>58303</v>
      </c>
      <c r="K117" s="474"/>
      <c r="L117" s="474">
        <v>58303</v>
      </c>
      <c r="M117" s="475"/>
      <c r="N117" s="475"/>
      <c r="O117" s="475"/>
      <c r="P117" s="475"/>
      <c r="Q117" s="475"/>
      <c r="R117" s="475"/>
      <c r="S117" s="475"/>
      <c r="T117" s="475"/>
      <c r="U117" s="475"/>
      <c r="V117" s="475"/>
      <c r="W117" s="475"/>
      <c r="X117" s="475"/>
      <c r="Y117" s="475">
        <f t="shared" si="5"/>
        <v>0</v>
      </c>
      <c r="Z117" s="476">
        <v>1</v>
      </c>
      <c r="AA117" s="477">
        <v>12</v>
      </c>
      <c r="AB117" s="478">
        <v>44225</v>
      </c>
      <c r="AC117" s="479">
        <v>44244</v>
      </c>
      <c r="AD117" s="476"/>
      <c r="AE117" s="477"/>
      <c r="AF117" s="478"/>
      <c r="AG117" s="478"/>
      <c r="AH117" s="476"/>
      <c r="AI117" s="477"/>
      <c r="AJ117" s="478"/>
      <c r="AK117" s="477"/>
      <c r="AL117" s="476"/>
      <c r="AM117" s="477"/>
      <c r="AN117" s="477"/>
      <c r="AO117" s="477"/>
      <c r="AP117" s="477"/>
      <c r="AQ117" s="477"/>
      <c r="AR117" s="477"/>
      <c r="AS117" s="477"/>
      <c r="AT117" s="480"/>
      <c r="AU117" s="475"/>
      <c r="AV117" s="475"/>
      <c r="AW117" s="475"/>
      <c r="AX117" s="480"/>
      <c r="AY117" s="475"/>
      <c r="AZ117" s="475"/>
      <c r="BA117" s="475"/>
      <c r="BB117" s="477">
        <f t="shared" si="6"/>
        <v>1</v>
      </c>
      <c r="BC117" s="477">
        <f t="shared" si="4"/>
        <v>1</v>
      </c>
    </row>
    <row r="118" spans="2:55" s="195" customFormat="1" x14ac:dyDescent="0.25">
      <c r="B118" s="186">
        <f t="shared" si="7"/>
        <v>102</v>
      </c>
      <c r="C118" s="186" t="s">
        <v>38</v>
      </c>
      <c r="D118" s="450">
        <v>40009328</v>
      </c>
      <c r="E118" s="451" t="s">
        <v>661</v>
      </c>
      <c r="F118" s="451" t="s">
        <v>200</v>
      </c>
      <c r="G118" s="473" t="s">
        <v>525</v>
      </c>
      <c r="H118" s="451" t="s">
        <v>632</v>
      </c>
      <c r="I118" s="451" t="s">
        <v>43</v>
      </c>
      <c r="J118" s="474">
        <v>346406</v>
      </c>
      <c r="K118" s="474"/>
      <c r="L118" s="474">
        <v>346406</v>
      </c>
      <c r="M118" s="475"/>
      <c r="N118" s="475"/>
      <c r="O118" s="475"/>
      <c r="P118" s="475"/>
      <c r="Q118" s="475"/>
      <c r="R118" s="475"/>
      <c r="S118" s="475"/>
      <c r="T118" s="475"/>
      <c r="U118" s="475"/>
      <c r="V118" s="475"/>
      <c r="W118" s="475"/>
      <c r="X118" s="475"/>
      <c r="Y118" s="475">
        <f t="shared" si="5"/>
        <v>0</v>
      </c>
      <c r="Z118" s="476">
        <v>3</v>
      </c>
      <c r="AA118" s="477">
        <v>12</v>
      </c>
      <c r="AB118" s="478">
        <v>44225</v>
      </c>
      <c r="AC118" s="479">
        <v>44244</v>
      </c>
      <c r="AD118" s="476"/>
      <c r="AE118" s="477"/>
      <c r="AF118" s="478"/>
      <c r="AG118" s="478"/>
      <c r="AH118" s="476"/>
      <c r="AI118" s="477"/>
      <c r="AJ118" s="478"/>
      <c r="AK118" s="477"/>
      <c r="AL118" s="476"/>
      <c r="AM118" s="477"/>
      <c r="AN118" s="477"/>
      <c r="AO118" s="477"/>
      <c r="AP118" s="477"/>
      <c r="AQ118" s="477"/>
      <c r="AR118" s="477"/>
      <c r="AS118" s="477"/>
      <c r="AT118" s="480"/>
      <c r="AU118" s="475"/>
      <c r="AV118" s="475"/>
      <c r="AW118" s="475"/>
      <c r="AX118" s="480"/>
      <c r="AY118" s="475"/>
      <c r="AZ118" s="475"/>
      <c r="BA118" s="475"/>
      <c r="BB118" s="477">
        <f t="shared" si="6"/>
        <v>3</v>
      </c>
      <c r="BC118" s="477">
        <f t="shared" si="4"/>
        <v>3</v>
      </c>
    </row>
    <row r="119" spans="2:55" s="195" customFormat="1" ht="22.5" x14ac:dyDescent="0.25">
      <c r="B119" s="186">
        <f t="shared" si="7"/>
        <v>103</v>
      </c>
      <c r="C119" s="186" t="s">
        <v>38</v>
      </c>
      <c r="D119" s="450">
        <v>40025097</v>
      </c>
      <c r="E119" s="451" t="s">
        <v>662</v>
      </c>
      <c r="F119" s="451" t="s">
        <v>543</v>
      </c>
      <c r="G119" s="473" t="s">
        <v>525</v>
      </c>
      <c r="H119" s="451" t="s">
        <v>535</v>
      </c>
      <c r="I119" s="451" t="s">
        <v>43</v>
      </c>
      <c r="J119" s="474">
        <v>23093</v>
      </c>
      <c r="K119" s="474"/>
      <c r="L119" s="474">
        <v>23093</v>
      </c>
      <c r="M119" s="475"/>
      <c r="N119" s="475"/>
      <c r="O119" s="475"/>
      <c r="P119" s="475"/>
      <c r="Q119" s="475"/>
      <c r="R119" s="475"/>
      <c r="S119" s="475"/>
      <c r="T119" s="475"/>
      <c r="U119" s="475"/>
      <c r="V119" s="475"/>
      <c r="W119" s="475"/>
      <c r="X119" s="475"/>
      <c r="Y119" s="475">
        <f t="shared" si="5"/>
        <v>0</v>
      </c>
      <c r="Z119" s="476">
        <v>2</v>
      </c>
      <c r="AA119" s="477">
        <v>12</v>
      </c>
      <c r="AB119" s="478">
        <v>44225</v>
      </c>
      <c r="AC119" s="479">
        <v>44244</v>
      </c>
      <c r="AD119" s="476"/>
      <c r="AE119" s="477"/>
      <c r="AF119" s="478"/>
      <c r="AG119" s="478"/>
      <c r="AH119" s="476"/>
      <c r="AI119" s="477"/>
      <c r="AJ119" s="478"/>
      <c r="AK119" s="477"/>
      <c r="AL119" s="476"/>
      <c r="AM119" s="477"/>
      <c r="AN119" s="477"/>
      <c r="AO119" s="477"/>
      <c r="AP119" s="477"/>
      <c r="AQ119" s="477"/>
      <c r="AR119" s="477"/>
      <c r="AS119" s="477"/>
      <c r="AT119" s="480"/>
      <c r="AU119" s="475"/>
      <c r="AV119" s="475"/>
      <c r="AW119" s="475"/>
      <c r="AX119" s="480"/>
      <c r="AY119" s="475"/>
      <c r="AZ119" s="475"/>
      <c r="BA119" s="475"/>
      <c r="BB119" s="477">
        <f t="shared" si="6"/>
        <v>2</v>
      </c>
      <c r="BC119" s="477">
        <f t="shared" si="4"/>
        <v>2</v>
      </c>
    </row>
    <row r="120" spans="2:55" s="195" customFormat="1" ht="22.5" x14ac:dyDescent="0.25">
      <c r="B120" s="186">
        <f t="shared" si="7"/>
        <v>104</v>
      </c>
      <c r="C120" s="186" t="s">
        <v>38</v>
      </c>
      <c r="D120" s="450">
        <v>40019627</v>
      </c>
      <c r="E120" s="451" t="s">
        <v>663</v>
      </c>
      <c r="F120" s="451" t="s">
        <v>200</v>
      </c>
      <c r="G120" s="473" t="s">
        <v>525</v>
      </c>
      <c r="H120" s="451" t="s">
        <v>535</v>
      </c>
      <c r="I120" s="451" t="s">
        <v>43</v>
      </c>
      <c r="J120" s="474">
        <v>82988</v>
      </c>
      <c r="K120" s="474"/>
      <c r="L120" s="474">
        <v>82988</v>
      </c>
      <c r="M120" s="475"/>
      <c r="N120" s="475"/>
      <c r="O120" s="475"/>
      <c r="P120" s="475"/>
      <c r="Q120" s="475"/>
      <c r="R120" s="475"/>
      <c r="S120" s="475"/>
      <c r="T120" s="475"/>
      <c r="U120" s="475"/>
      <c r="V120" s="475"/>
      <c r="W120" s="475"/>
      <c r="X120" s="475"/>
      <c r="Y120" s="475">
        <f t="shared" si="5"/>
        <v>0</v>
      </c>
      <c r="Z120" s="476">
        <v>2</v>
      </c>
      <c r="AA120" s="477">
        <v>12</v>
      </c>
      <c r="AB120" s="478">
        <v>44225</v>
      </c>
      <c r="AC120" s="479">
        <v>44244</v>
      </c>
      <c r="AD120" s="476"/>
      <c r="AE120" s="477"/>
      <c r="AF120" s="478"/>
      <c r="AG120" s="478"/>
      <c r="AH120" s="476"/>
      <c r="AI120" s="477"/>
      <c r="AJ120" s="478"/>
      <c r="AK120" s="477"/>
      <c r="AL120" s="476"/>
      <c r="AM120" s="477"/>
      <c r="AN120" s="477"/>
      <c r="AO120" s="477"/>
      <c r="AP120" s="477"/>
      <c r="AQ120" s="477"/>
      <c r="AR120" s="477"/>
      <c r="AS120" s="477"/>
      <c r="AT120" s="480"/>
      <c r="AU120" s="475"/>
      <c r="AV120" s="475"/>
      <c r="AW120" s="475"/>
      <c r="AX120" s="480"/>
      <c r="AY120" s="475"/>
      <c r="AZ120" s="475"/>
      <c r="BA120" s="475"/>
      <c r="BB120" s="477">
        <f t="shared" si="6"/>
        <v>2</v>
      </c>
      <c r="BC120" s="477">
        <f t="shared" si="4"/>
        <v>2</v>
      </c>
    </row>
    <row r="121" spans="2:55" s="195" customFormat="1" ht="22.5" x14ac:dyDescent="0.25">
      <c r="B121" s="186">
        <f t="shared" si="7"/>
        <v>105</v>
      </c>
      <c r="C121" s="186" t="s">
        <v>38</v>
      </c>
      <c r="D121" s="450">
        <v>40009196</v>
      </c>
      <c r="E121" s="451" t="s">
        <v>664</v>
      </c>
      <c r="F121" s="451" t="s">
        <v>543</v>
      </c>
      <c r="G121" s="473" t="s">
        <v>525</v>
      </c>
      <c r="H121" s="451" t="s">
        <v>535</v>
      </c>
      <c r="I121" s="451" t="s">
        <v>43</v>
      </c>
      <c r="J121" s="474">
        <v>87737</v>
      </c>
      <c r="K121" s="474"/>
      <c r="L121" s="474">
        <v>87737</v>
      </c>
      <c r="M121" s="475"/>
      <c r="N121" s="475"/>
      <c r="O121" s="475"/>
      <c r="P121" s="475"/>
      <c r="Q121" s="475"/>
      <c r="R121" s="475"/>
      <c r="S121" s="475"/>
      <c r="T121" s="475"/>
      <c r="U121" s="475"/>
      <c r="V121" s="475"/>
      <c r="W121" s="475"/>
      <c r="X121" s="475"/>
      <c r="Y121" s="475">
        <f t="shared" si="5"/>
        <v>0</v>
      </c>
      <c r="Z121" s="476">
        <v>2</v>
      </c>
      <c r="AA121" s="477">
        <v>12</v>
      </c>
      <c r="AB121" s="478">
        <v>44225</v>
      </c>
      <c r="AC121" s="479">
        <v>44244</v>
      </c>
      <c r="AD121" s="476"/>
      <c r="AE121" s="477"/>
      <c r="AF121" s="478"/>
      <c r="AG121" s="478"/>
      <c r="AH121" s="476"/>
      <c r="AI121" s="477"/>
      <c r="AJ121" s="478"/>
      <c r="AK121" s="477"/>
      <c r="AL121" s="476"/>
      <c r="AM121" s="477"/>
      <c r="AN121" s="477"/>
      <c r="AO121" s="477"/>
      <c r="AP121" s="477"/>
      <c r="AQ121" s="477"/>
      <c r="AR121" s="477"/>
      <c r="AS121" s="477"/>
      <c r="AT121" s="480"/>
      <c r="AU121" s="475"/>
      <c r="AV121" s="475"/>
      <c r="AW121" s="475"/>
      <c r="AX121" s="480"/>
      <c r="AY121" s="475"/>
      <c r="AZ121" s="475"/>
      <c r="BA121" s="475"/>
      <c r="BB121" s="477">
        <f t="shared" si="6"/>
        <v>2</v>
      </c>
      <c r="BC121" s="477">
        <f t="shared" si="4"/>
        <v>2</v>
      </c>
    </row>
    <row r="122" spans="2:55" s="195" customFormat="1" x14ac:dyDescent="0.25">
      <c r="B122" s="186">
        <f t="shared" si="7"/>
        <v>106</v>
      </c>
      <c r="C122" s="186" t="s">
        <v>38</v>
      </c>
      <c r="D122" s="450">
        <v>30480150</v>
      </c>
      <c r="E122" s="451" t="s">
        <v>665</v>
      </c>
      <c r="F122" s="451" t="s">
        <v>200</v>
      </c>
      <c r="G122" s="473" t="s">
        <v>525</v>
      </c>
      <c r="H122" s="451" t="s">
        <v>535</v>
      </c>
      <c r="I122" s="451" t="s">
        <v>43</v>
      </c>
      <c r="J122" s="474">
        <v>872827</v>
      </c>
      <c r="K122" s="474"/>
      <c r="L122" s="474">
        <v>872827</v>
      </c>
      <c r="M122" s="475"/>
      <c r="N122" s="475"/>
      <c r="O122" s="475"/>
      <c r="P122" s="475"/>
      <c r="Q122" s="475"/>
      <c r="R122" s="475"/>
      <c r="S122" s="475"/>
      <c r="T122" s="475"/>
      <c r="U122" s="475"/>
      <c r="V122" s="475"/>
      <c r="W122" s="475"/>
      <c r="X122" s="475"/>
      <c r="Y122" s="475">
        <f t="shared" si="5"/>
        <v>0</v>
      </c>
      <c r="Z122" s="476">
        <v>4</v>
      </c>
      <c r="AA122" s="477">
        <v>12</v>
      </c>
      <c r="AB122" s="478">
        <v>44225</v>
      </c>
      <c r="AC122" s="479">
        <v>44244</v>
      </c>
      <c r="AD122" s="476"/>
      <c r="AE122" s="477"/>
      <c r="AF122" s="478"/>
      <c r="AG122" s="478"/>
      <c r="AH122" s="476"/>
      <c r="AI122" s="477"/>
      <c r="AJ122" s="478"/>
      <c r="AK122" s="477"/>
      <c r="AL122" s="476"/>
      <c r="AM122" s="477"/>
      <c r="AN122" s="477"/>
      <c r="AO122" s="477"/>
      <c r="AP122" s="477"/>
      <c r="AQ122" s="477"/>
      <c r="AR122" s="477"/>
      <c r="AS122" s="477"/>
      <c r="AT122" s="480"/>
      <c r="AU122" s="475"/>
      <c r="AV122" s="475"/>
      <c r="AW122" s="475"/>
      <c r="AX122" s="480"/>
      <c r="AY122" s="475"/>
      <c r="AZ122" s="475"/>
      <c r="BA122" s="475"/>
      <c r="BB122" s="477">
        <f t="shared" si="6"/>
        <v>4</v>
      </c>
      <c r="BC122" s="477">
        <f t="shared" si="4"/>
        <v>4</v>
      </c>
    </row>
    <row r="123" spans="2:55" s="195" customFormat="1" ht="22.5" x14ac:dyDescent="0.25">
      <c r="B123" s="186">
        <f t="shared" si="7"/>
        <v>107</v>
      </c>
      <c r="C123" s="186" t="s">
        <v>40</v>
      </c>
      <c r="D123" s="450">
        <v>40015277</v>
      </c>
      <c r="E123" s="451" t="s">
        <v>666</v>
      </c>
      <c r="F123" s="451" t="s">
        <v>200</v>
      </c>
      <c r="G123" s="473" t="s">
        <v>525</v>
      </c>
      <c r="H123" s="451" t="s">
        <v>667</v>
      </c>
      <c r="I123" s="451" t="s">
        <v>43</v>
      </c>
      <c r="J123" s="474">
        <v>58993</v>
      </c>
      <c r="K123" s="474"/>
      <c r="L123" s="474">
        <v>58993</v>
      </c>
      <c r="M123" s="475"/>
      <c r="N123" s="475"/>
      <c r="O123" s="475"/>
      <c r="P123" s="475"/>
      <c r="Q123" s="475"/>
      <c r="R123" s="475"/>
      <c r="S123" s="475"/>
      <c r="T123" s="475"/>
      <c r="U123" s="475"/>
      <c r="V123" s="475"/>
      <c r="W123" s="475"/>
      <c r="X123" s="475"/>
      <c r="Y123" s="475">
        <f t="shared" si="5"/>
        <v>0</v>
      </c>
      <c r="Z123" s="476">
        <v>2</v>
      </c>
      <c r="AA123" s="477">
        <v>12</v>
      </c>
      <c r="AB123" s="478">
        <v>44225</v>
      </c>
      <c r="AC123" s="479">
        <v>44244</v>
      </c>
      <c r="AD123" s="476"/>
      <c r="AE123" s="477"/>
      <c r="AF123" s="478"/>
      <c r="AG123" s="478"/>
      <c r="AH123" s="476"/>
      <c r="AI123" s="477"/>
      <c r="AJ123" s="478"/>
      <c r="AK123" s="477"/>
      <c r="AL123" s="476"/>
      <c r="AM123" s="477"/>
      <c r="AN123" s="477"/>
      <c r="AO123" s="477"/>
      <c r="AP123" s="477"/>
      <c r="AQ123" s="477"/>
      <c r="AR123" s="477"/>
      <c r="AS123" s="477"/>
      <c r="AT123" s="480"/>
      <c r="AU123" s="475"/>
      <c r="AV123" s="475"/>
      <c r="AW123" s="475"/>
      <c r="AX123" s="480"/>
      <c r="AY123" s="475"/>
      <c r="AZ123" s="475"/>
      <c r="BA123" s="475"/>
      <c r="BB123" s="477">
        <f t="shared" si="6"/>
        <v>2</v>
      </c>
      <c r="BC123" s="477">
        <f t="shared" si="4"/>
        <v>2</v>
      </c>
    </row>
    <row r="124" spans="2:55" s="195" customFormat="1" x14ac:dyDescent="0.25">
      <c r="B124" s="186">
        <f t="shared" si="7"/>
        <v>108</v>
      </c>
      <c r="C124" s="186" t="s">
        <v>40</v>
      </c>
      <c r="D124" s="450">
        <v>40015269</v>
      </c>
      <c r="E124" s="451" t="s">
        <v>668</v>
      </c>
      <c r="F124" s="451" t="s">
        <v>200</v>
      </c>
      <c r="G124" s="473" t="s">
        <v>525</v>
      </c>
      <c r="H124" s="451" t="s">
        <v>667</v>
      </c>
      <c r="I124" s="451" t="s">
        <v>43</v>
      </c>
      <c r="J124" s="474">
        <v>47014</v>
      </c>
      <c r="K124" s="474"/>
      <c r="L124" s="474">
        <v>47014</v>
      </c>
      <c r="M124" s="475"/>
      <c r="N124" s="475"/>
      <c r="O124" s="475"/>
      <c r="P124" s="475"/>
      <c r="Q124" s="475"/>
      <c r="R124" s="475"/>
      <c r="S124" s="475"/>
      <c r="T124" s="475"/>
      <c r="U124" s="475"/>
      <c r="V124" s="475"/>
      <c r="W124" s="475"/>
      <c r="X124" s="475"/>
      <c r="Y124" s="475">
        <f t="shared" si="5"/>
        <v>0</v>
      </c>
      <c r="Z124" s="476">
        <v>2</v>
      </c>
      <c r="AA124" s="477">
        <v>12</v>
      </c>
      <c r="AB124" s="478">
        <v>44225</v>
      </c>
      <c r="AC124" s="479">
        <v>44244</v>
      </c>
      <c r="AD124" s="476"/>
      <c r="AE124" s="477"/>
      <c r="AF124" s="478"/>
      <c r="AG124" s="478"/>
      <c r="AH124" s="476"/>
      <c r="AI124" s="477"/>
      <c r="AJ124" s="478"/>
      <c r="AK124" s="477"/>
      <c r="AL124" s="476"/>
      <c r="AM124" s="477"/>
      <c r="AN124" s="477"/>
      <c r="AO124" s="477"/>
      <c r="AP124" s="477"/>
      <c r="AQ124" s="477"/>
      <c r="AR124" s="477"/>
      <c r="AS124" s="477"/>
      <c r="AT124" s="480"/>
      <c r="AU124" s="475"/>
      <c r="AV124" s="475"/>
      <c r="AW124" s="475"/>
      <c r="AX124" s="480"/>
      <c r="AY124" s="475"/>
      <c r="AZ124" s="475"/>
      <c r="BA124" s="475"/>
      <c r="BB124" s="477">
        <f t="shared" si="6"/>
        <v>2</v>
      </c>
      <c r="BC124" s="477">
        <f t="shared" si="4"/>
        <v>2</v>
      </c>
    </row>
    <row r="125" spans="2:55" s="195" customFormat="1" x14ac:dyDescent="0.25">
      <c r="B125" s="186">
        <f t="shared" si="7"/>
        <v>109</v>
      </c>
      <c r="C125" s="186" t="s">
        <v>38</v>
      </c>
      <c r="D125" s="450">
        <v>40001686</v>
      </c>
      <c r="E125" s="451" t="s">
        <v>669</v>
      </c>
      <c r="F125" s="451" t="s">
        <v>543</v>
      </c>
      <c r="G125" s="473" t="s">
        <v>525</v>
      </c>
      <c r="H125" s="451" t="s">
        <v>561</v>
      </c>
      <c r="I125" s="451" t="s">
        <v>43</v>
      </c>
      <c r="J125" s="474">
        <v>47208</v>
      </c>
      <c r="K125" s="474"/>
      <c r="L125" s="474">
        <v>47208</v>
      </c>
      <c r="M125" s="475"/>
      <c r="N125" s="475"/>
      <c r="O125" s="475"/>
      <c r="P125" s="475"/>
      <c r="Q125" s="475"/>
      <c r="R125" s="475"/>
      <c r="S125" s="475"/>
      <c r="T125" s="475"/>
      <c r="U125" s="475"/>
      <c r="V125" s="475"/>
      <c r="W125" s="475"/>
      <c r="X125" s="475"/>
      <c r="Y125" s="475">
        <f t="shared" si="5"/>
        <v>0</v>
      </c>
      <c r="Z125" s="476">
        <v>1</v>
      </c>
      <c r="AA125" s="477">
        <v>12</v>
      </c>
      <c r="AB125" s="478">
        <v>44225</v>
      </c>
      <c r="AC125" s="479">
        <v>44244</v>
      </c>
      <c r="AD125" s="476"/>
      <c r="AE125" s="477"/>
      <c r="AF125" s="478"/>
      <c r="AG125" s="478"/>
      <c r="AH125" s="476"/>
      <c r="AI125" s="477"/>
      <c r="AJ125" s="478"/>
      <c r="AK125" s="477"/>
      <c r="AL125" s="476"/>
      <c r="AM125" s="477"/>
      <c r="AN125" s="477"/>
      <c r="AO125" s="477"/>
      <c r="AP125" s="477"/>
      <c r="AQ125" s="477"/>
      <c r="AR125" s="477"/>
      <c r="AS125" s="477"/>
      <c r="AT125" s="480"/>
      <c r="AU125" s="475"/>
      <c r="AV125" s="475"/>
      <c r="AW125" s="475"/>
      <c r="AX125" s="480"/>
      <c r="AY125" s="475"/>
      <c r="AZ125" s="475"/>
      <c r="BA125" s="475"/>
      <c r="BB125" s="477">
        <f t="shared" si="6"/>
        <v>1</v>
      </c>
      <c r="BC125" s="477">
        <f t="shared" si="4"/>
        <v>1</v>
      </c>
    </row>
    <row r="126" spans="2:55" s="195" customFormat="1" ht="22.5" x14ac:dyDescent="0.25">
      <c r="B126" s="186">
        <f t="shared" si="7"/>
        <v>110</v>
      </c>
      <c r="C126" s="186" t="s">
        <v>38</v>
      </c>
      <c r="D126" s="450">
        <v>40008485</v>
      </c>
      <c r="E126" s="451" t="s">
        <v>670</v>
      </c>
      <c r="F126" s="451" t="s">
        <v>200</v>
      </c>
      <c r="G126" s="473" t="s">
        <v>525</v>
      </c>
      <c r="H126" s="451" t="s">
        <v>623</v>
      </c>
      <c r="I126" s="451" t="s">
        <v>43</v>
      </c>
      <c r="J126" s="474">
        <v>367563</v>
      </c>
      <c r="K126" s="474"/>
      <c r="L126" s="474">
        <v>367563</v>
      </c>
      <c r="M126" s="475"/>
      <c r="N126" s="475"/>
      <c r="O126" s="475"/>
      <c r="P126" s="475"/>
      <c r="Q126" s="475"/>
      <c r="R126" s="475"/>
      <c r="S126" s="475"/>
      <c r="T126" s="475"/>
      <c r="U126" s="475"/>
      <c r="V126" s="475"/>
      <c r="W126" s="475"/>
      <c r="X126" s="475"/>
      <c r="Y126" s="475">
        <f t="shared" si="5"/>
        <v>0</v>
      </c>
      <c r="Z126" s="476">
        <v>3</v>
      </c>
      <c r="AA126" s="477">
        <v>12</v>
      </c>
      <c r="AB126" s="478">
        <v>44225</v>
      </c>
      <c r="AC126" s="479">
        <v>44244</v>
      </c>
      <c r="AD126" s="476"/>
      <c r="AE126" s="477"/>
      <c r="AF126" s="478"/>
      <c r="AG126" s="478"/>
      <c r="AH126" s="476"/>
      <c r="AI126" s="477"/>
      <c r="AJ126" s="478"/>
      <c r="AK126" s="477"/>
      <c r="AL126" s="476"/>
      <c r="AM126" s="477"/>
      <c r="AN126" s="477"/>
      <c r="AO126" s="477"/>
      <c r="AP126" s="477"/>
      <c r="AQ126" s="477"/>
      <c r="AR126" s="477"/>
      <c r="AS126" s="477"/>
      <c r="AT126" s="480"/>
      <c r="AU126" s="475"/>
      <c r="AV126" s="475"/>
      <c r="AW126" s="475"/>
      <c r="AX126" s="480"/>
      <c r="AY126" s="475"/>
      <c r="AZ126" s="475"/>
      <c r="BA126" s="475"/>
      <c r="BB126" s="477">
        <f t="shared" si="6"/>
        <v>3</v>
      </c>
      <c r="BC126" s="477">
        <f t="shared" si="4"/>
        <v>3</v>
      </c>
    </row>
    <row r="127" spans="2:55" s="195" customFormat="1" ht="22.5" x14ac:dyDescent="0.25">
      <c r="B127" s="186">
        <f t="shared" si="7"/>
        <v>111</v>
      </c>
      <c r="C127" s="186" t="s">
        <v>38</v>
      </c>
      <c r="D127" s="450">
        <v>40014202</v>
      </c>
      <c r="E127" s="451" t="s">
        <v>671</v>
      </c>
      <c r="F127" s="451" t="s">
        <v>200</v>
      </c>
      <c r="G127" s="473" t="s">
        <v>525</v>
      </c>
      <c r="H127" s="451" t="s">
        <v>672</v>
      </c>
      <c r="I127" s="451" t="s">
        <v>43</v>
      </c>
      <c r="J127" s="474">
        <v>619095</v>
      </c>
      <c r="K127" s="474"/>
      <c r="L127" s="474">
        <v>619095</v>
      </c>
      <c r="M127" s="475"/>
      <c r="N127" s="475"/>
      <c r="O127" s="475"/>
      <c r="P127" s="475"/>
      <c r="Q127" s="475"/>
      <c r="R127" s="475"/>
      <c r="S127" s="475"/>
      <c r="T127" s="475"/>
      <c r="U127" s="475"/>
      <c r="V127" s="475"/>
      <c r="W127" s="475"/>
      <c r="X127" s="475"/>
      <c r="Y127" s="475">
        <f t="shared" si="5"/>
        <v>0</v>
      </c>
      <c r="Z127" s="476">
        <v>3</v>
      </c>
      <c r="AA127" s="477">
        <v>12</v>
      </c>
      <c r="AB127" s="478">
        <v>44225</v>
      </c>
      <c r="AC127" s="479">
        <v>44244</v>
      </c>
      <c r="AD127" s="476"/>
      <c r="AE127" s="477"/>
      <c r="AF127" s="478"/>
      <c r="AG127" s="478"/>
      <c r="AH127" s="476"/>
      <c r="AI127" s="477"/>
      <c r="AJ127" s="478"/>
      <c r="AK127" s="477"/>
      <c r="AL127" s="476"/>
      <c r="AM127" s="477"/>
      <c r="AN127" s="477"/>
      <c r="AO127" s="477"/>
      <c r="AP127" s="477"/>
      <c r="AQ127" s="477"/>
      <c r="AR127" s="477"/>
      <c r="AS127" s="477"/>
      <c r="AT127" s="480"/>
      <c r="AU127" s="475"/>
      <c r="AV127" s="475"/>
      <c r="AW127" s="475"/>
      <c r="AX127" s="480"/>
      <c r="AY127" s="475"/>
      <c r="AZ127" s="475"/>
      <c r="BA127" s="475"/>
      <c r="BB127" s="477">
        <f t="shared" si="6"/>
        <v>3</v>
      </c>
      <c r="BC127" s="477">
        <f t="shared" si="4"/>
        <v>3</v>
      </c>
    </row>
    <row r="128" spans="2:55" s="195" customFormat="1" ht="22.5" x14ac:dyDescent="0.25">
      <c r="B128" s="186">
        <f t="shared" si="7"/>
        <v>112</v>
      </c>
      <c r="C128" s="186" t="s">
        <v>38</v>
      </c>
      <c r="D128" s="450">
        <v>40016795</v>
      </c>
      <c r="E128" s="451" t="s">
        <v>673</v>
      </c>
      <c r="F128" s="451" t="s">
        <v>200</v>
      </c>
      <c r="G128" s="473" t="s">
        <v>525</v>
      </c>
      <c r="H128" s="451" t="s">
        <v>674</v>
      </c>
      <c r="I128" s="451" t="s">
        <v>43</v>
      </c>
      <c r="J128" s="474">
        <v>267608</v>
      </c>
      <c r="K128" s="474"/>
      <c r="L128" s="474">
        <v>267608</v>
      </c>
      <c r="M128" s="475"/>
      <c r="N128" s="475"/>
      <c r="O128" s="475"/>
      <c r="P128" s="475"/>
      <c r="Q128" s="475"/>
      <c r="R128" s="475"/>
      <c r="S128" s="475"/>
      <c r="T128" s="475"/>
      <c r="U128" s="475"/>
      <c r="V128" s="475"/>
      <c r="W128" s="475"/>
      <c r="X128" s="475"/>
      <c r="Y128" s="475">
        <f t="shared" si="5"/>
        <v>0</v>
      </c>
      <c r="Z128" s="476">
        <v>3</v>
      </c>
      <c r="AA128" s="477">
        <v>12</v>
      </c>
      <c r="AB128" s="478">
        <v>44225</v>
      </c>
      <c r="AC128" s="479">
        <v>44244</v>
      </c>
      <c r="AD128" s="476"/>
      <c r="AE128" s="477"/>
      <c r="AF128" s="478"/>
      <c r="AG128" s="478"/>
      <c r="AH128" s="476"/>
      <c r="AI128" s="477"/>
      <c r="AJ128" s="478"/>
      <c r="AK128" s="477"/>
      <c r="AL128" s="476"/>
      <c r="AM128" s="477"/>
      <c r="AN128" s="477"/>
      <c r="AO128" s="477"/>
      <c r="AP128" s="477"/>
      <c r="AQ128" s="477"/>
      <c r="AR128" s="477"/>
      <c r="AS128" s="477"/>
      <c r="AT128" s="480"/>
      <c r="AU128" s="475"/>
      <c r="AV128" s="475"/>
      <c r="AW128" s="475"/>
      <c r="AX128" s="480"/>
      <c r="AY128" s="475"/>
      <c r="AZ128" s="475"/>
      <c r="BA128" s="475"/>
      <c r="BB128" s="477">
        <f t="shared" si="6"/>
        <v>3</v>
      </c>
      <c r="BC128" s="477">
        <f t="shared" si="4"/>
        <v>3</v>
      </c>
    </row>
    <row r="129" spans="2:55" s="195" customFormat="1" ht="22.5" x14ac:dyDescent="0.25">
      <c r="B129" s="186">
        <f t="shared" si="7"/>
        <v>113</v>
      </c>
      <c r="C129" s="186" t="s">
        <v>38</v>
      </c>
      <c r="D129" s="450">
        <v>40026474</v>
      </c>
      <c r="E129" s="451" t="s">
        <v>675</v>
      </c>
      <c r="F129" s="451" t="s">
        <v>200</v>
      </c>
      <c r="G129" s="473" t="s">
        <v>525</v>
      </c>
      <c r="H129" s="451" t="s">
        <v>525</v>
      </c>
      <c r="I129" s="451" t="s">
        <v>43</v>
      </c>
      <c r="J129" s="474">
        <v>99999</v>
      </c>
      <c r="K129" s="474"/>
      <c r="L129" s="474">
        <v>99999</v>
      </c>
      <c r="M129" s="475"/>
      <c r="N129" s="475"/>
      <c r="O129" s="475"/>
      <c r="P129" s="475"/>
      <c r="Q129" s="475"/>
      <c r="R129" s="475"/>
      <c r="S129" s="475"/>
      <c r="T129" s="475"/>
      <c r="U129" s="475"/>
      <c r="V129" s="475"/>
      <c r="W129" s="475"/>
      <c r="X129" s="475"/>
      <c r="Y129" s="475">
        <f t="shared" si="5"/>
        <v>0</v>
      </c>
      <c r="Z129" s="476">
        <v>1</v>
      </c>
      <c r="AA129" s="477">
        <v>12</v>
      </c>
      <c r="AB129" s="478">
        <v>44225</v>
      </c>
      <c r="AC129" s="479">
        <v>44244</v>
      </c>
      <c r="AD129" s="476"/>
      <c r="AE129" s="477"/>
      <c r="AF129" s="478"/>
      <c r="AG129" s="478"/>
      <c r="AH129" s="476"/>
      <c r="AI129" s="477"/>
      <c r="AJ129" s="478"/>
      <c r="AK129" s="477"/>
      <c r="AL129" s="476"/>
      <c r="AM129" s="477"/>
      <c r="AN129" s="477"/>
      <c r="AO129" s="477"/>
      <c r="AP129" s="477"/>
      <c r="AQ129" s="477"/>
      <c r="AR129" s="477"/>
      <c r="AS129" s="477"/>
      <c r="AT129" s="480"/>
      <c r="AU129" s="475"/>
      <c r="AV129" s="475"/>
      <c r="AW129" s="475"/>
      <c r="AX129" s="480"/>
      <c r="AY129" s="475"/>
      <c r="AZ129" s="475"/>
      <c r="BA129" s="475"/>
      <c r="BB129" s="477">
        <f t="shared" si="6"/>
        <v>1</v>
      </c>
      <c r="BC129" s="477">
        <f t="shared" si="4"/>
        <v>1</v>
      </c>
    </row>
    <row r="130" spans="2:55" s="195" customFormat="1" ht="22.5" x14ac:dyDescent="0.25">
      <c r="B130" s="186">
        <f t="shared" si="7"/>
        <v>114</v>
      </c>
      <c r="C130" s="186" t="s">
        <v>38</v>
      </c>
      <c r="D130" s="450">
        <v>40026019</v>
      </c>
      <c r="E130" s="451" t="s">
        <v>676</v>
      </c>
      <c r="F130" s="451" t="s">
        <v>200</v>
      </c>
      <c r="G130" s="473" t="s">
        <v>525</v>
      </c>
      <c r="H130" s="451" t="s">
        <v>525</v>
      </c>
      <c r="I130" s="451" t="s">
        <v>43</v>
      </c>
      <c r="J130" s="474">
        <v>246272</v>
      </c>
      <c r="K130" s="474"/>
      <c r="L130" s="474">
        <v>246272</v>
      </c>
      <c r="M130" s="475"/>
      <c r="N130" s="475"/>
      <c r="O130" s="475"/>
      <c r="P130" s="475"/>
      <c r="Q130" s="475"/>
      <c r="R130" s="475"/>
      <c r="S130" s="475"/>
      <c r="T130" s="475"/>
      <c r="U130" s="475"/>
      <c r="V130" s="475"/>
      <c r="W130" s="475"/>
      <c r="X130" s="475"/>
      <c r="Y130" s="475">
        <f t="shared" si="5"/>
        <v>0</v>
      </c>
      <c r="Z130" s="476">
        <v>1</v>
      </c>
      <c r="AA130" s="477">
        <v>12</v>
      </c>
      <c r="AB130" s="478">
        <v>44225</v>
      </c>
      <c r="AC130" s="479">
        <v>44244</v>
      </c>
      <c r="AD130" s="476"/>
      <c r="AE130" s="477"/>
      <c r="AF130" s="478"/>
      <c r="AG130" s="478"/>
      <c r="AH130" s="476"/>
      <c r="AI130" s="477"/>
      <c r="AJ130" s="478"/>
      <c r="AK130" s="477"/>
      <c r="AL130" s="476"/>
      <c r="AM130" s="477"/>
      <c r="AN130" s="477"/>
      <c r="AO130" s="477"/>
      <c r="AP130" s="477"/>
      <c r="AQ130" s="477"/>
      <c r="AR130" s="477"/>
      <c r="AS130" s="477"/>
      <c r="AT130" s="480"/>
      <c r="AU130" s="475"/>
      <c r="AV130" s="475"/>
      <c r="AW130" s="475"/>
      <c r="AX130" s="480"/>
      <c r="AY130" s="475"/>
      <c r="AZ130" s="475"/>
      <c r="BA130" s="475"/>
      <c r="BB130" s="477">
        <f t="shared" si="6"/>
        <v>1</v>
      </c>
      <c r="BC130" s="477">
        <f t="shared" si="4"/>
        <v>1</v>
      </c>
    </row>
    <row r="131" spans="2:55" s="195" customFormat="1" ht="22.5" x14ac:dyDescent="0.25">
      <c r="B131" s="186">
        <f t="shared" si="7"/>
        <v>115</v>
      </c>
      <c r="C131" s="186" t="s">
        <v>38</v>
      </c>
      <c r="D131" s="450">
        <v>40020848</v>
      </c>
      <c r="E131" s="451" t="s">
        <v>677</v>
      </c>
      <c r="F131" s="451" t="s">
        <v>200</v>
      </c>
      <c r="G131" s="473" t="s">
        <v>525</v>
      </c>
      <c r="H131" s="451" t="s">
        <v>525</v>
      </c>
      <c r="I131" s="451" t="s">
        <v>43</v>
      </c>
      <c r="J131" s="474">
        <v>499224</v>
      </c>
      <c r="K131" s="474"/>
      <c r="L131" s="474">
        <v>499224</v>
      </c>
      <c r="M131" s="475"/>
      <c r="N131" s="475"/>
      <c r="O131" s="475"/>
      <c r="P131" s="475"/>
      <c r="Q131" s="475"/>
      <c r="R131" s="475"/>
      <c r="S131" s="475"/>
      <c r="T131" s="475"/>
      <c r="U131" s="475"/>
      <c r="V131" s="475"/>
      <c r="W131" s="475"/>
      <c r="X131" s="475"/>
      <c r="Y131" s="475">
        <f t="shared" si="5"/>
        <v>0</v>
      </c>
      <c r="Z131" s="476">
        <v>2</v>
      </c>
      <c r="AA131" s="477">
        <v>12</v>
      </c>
      <c r="AB131" s="478">
        <v>44225</v>
      </c>
      <c r="AC131" s="479">
        <v>44244</v>
      </c>
      <c r="AD131" s="476"/>
      <c r="AE131" s="477"/>
      <c r="AF131" s="478"/>
      <c r="AG131" s="478"/>
      <c r="AH131" s="476"/>
      <c r="AI131" s="477"/>
      <c r="AJ131" s="478"/>
      <c r="AK131" s="477"/>
      <c r="AL131" s="476"/>
      <c r="AM131" s="477"/>
      <c r="AN131" s="477"/>
      <c r="AO131" s="477"/>
      <c r="AP131" s="477"/>
      <c r="AQ131" s="477"/>
      <c r="AR131" s="477"/>
      <c r="AS131" s="477"/>
      <c r="AT131" s="480"/>
      <c r="AU131" s="475"/>
      <c r="AV131" s="475"/>
      <c r="AW131" s="475"/>
      <c r="AX131" s="480"/>
      <c r="AY131" s="475"/>
      <c r="AZ131" s="475"/>
      <c r="BA131" s="475"/>
      <c r="BB131" s="477">
        <f t="shared" si="6"/>
        <v>2</v>
      </c>
      <c r="BC131" s="477">
        <f t="shared" si="4"/>
        <v>2</v>
      </c>
    </row>
    <row r="132" spans="2:55" s="195" customFormat="1" ht="22.5" x14ac:dyDescent="0.25">
      <c r="B132" s="186">
        <f t="shared" si="7"/>
        <v>116</v>
      </c>
      <c r="C132" s="186" t="s">
        <v>38</v>
      </c>
      <c r="D132" s="450">
        <v>40009258</v>
      </c>
      <c r="E132" s="451" t="s">
        <v>678</v>
      </c>
      <c r="F132" s="451" t="s">
        <v>200</v>
      </c>
      <c r="G132" s="473" t="s">
        <v>525</v>
      </c>
      <c r="H132" s="451" t="s">
        <v>525</v>
      </c>
      <c r="I132" s="451" t="s">
        <v>43</v>
      </c>
      <c r="J132" s="474">
        <v>168170</v>
      </c>
      <c r="K132" s="474"/>
      <c r="L132" s="474">
        <v>168170</v>
      </c>
      <c r="M132" s="475"/>
      <c r="N132" s="475"/>
      <c r="O132" s="475"/>
      <c r="P132" s="475"/>
      <c r="Q132" s="475"/>
      <c r="R132" s="475"/>
      <c r="S132" s="475"/>
      <c r="T132" s="475"/>
      <c r="U132" s="475"/>
      <c r="V132" s="475"/>
      <c r="W132" s="475"/>
      <c r="X132" s="475"/>
      <c r="Y132" s="475">
        <f t="shared" si="5"/>
        <v>0</v>
      </c>
      <c r="Z132" s="476">
        <v>2</v>
      </c>
      <c r="AA132" s="477">
        <v>12</v>
      </c>
      <c r="AB132" s="478">
        <v>44225</v>
      </c>
      <c r="AC132" s="479">
        <v>44244</v>
      </c>
      <c r="AD132" s="476"/>
      <c r="AE132" s="477"/>
      <c r="AF132" s="478"/>
      <c r="AG132" s="478"/>
      <c r="AH132" s="476"/>
      <c r="AI132" s="477"/>
      <c r="AJ132" s="478"/>
      <c r="AK132" s="477"/>
      <c r="AL132" s="476"/>
      <c r="AM132" s="477"/>
      <c r="AN132" s="477"/>
      <c r="AO132" s="477"/>
      <c r="AP132" s="477"/>
      <c r="AQ132" s="477"/>
      <c r="AR132" s="477"/>
      <c r="AS132" s="477"/>
      <c r="AT132" s="480"/>
      <c r="AU132" s="475"/>
      <c r="AV132" s="475"/>
      <c r="AW132" s="475"/>
      <c r="AX132" s="480"/>
      <c r="AY132" s="475"/>
      <c r="AZ132" s="475"/>
      <c r="BA132" s="475"/>
      <c r="BB132" s="477">
        <f t="shared" si="6"/>
        <v>2</v>
      </c>
      <c r="BC132" s="477">
        <f t="shared" si="4"/>
        <v>2</v>
      </c>
    </row>
    <row r="133" spans="2:55" s="195" customFormat="1" x14ac:dyDescent="0.25">
      <c r="B133" s="186">
        <f t="shared" si="7"/>
        <v>117</v>
      </c>
      <c r="C133" s="186" t="s">
        <v>38</v>
      </c>
      <c r="D133" s="450">
        <v>40018853</v>
      </c>
      <c r="E133" s="451" t="s">
        <v>679</v>
      </c>
      <c r="F133" s="451" t="s">
        <v>543</v>
      </c>
      <c r="G133" s="473" t="s">
        <v>525</v>
      </c>
      <c r="H133" s="451" t="s">
        <v>525</v>
      </c>
      <c r="I133" s="451" t="s">
        <v>43</v>
      </c>
      <c r="J133" s="474">
        <v>1034474</v>
      </c>
      <c r="K133" s="474"/>
      <c r="L133" s="474">
        <v>1034474</v>
      </c>
      <c r="M133" s="475"/>
      <c r="N133" s="475"/>
      <c r="O133" s="475"/>
      <c r="P133" s="475"/>
      <c r="Q133" s="475"/>
      <c r="R133" s="475"/>
      <c r="S133" s="475"/>
      <c r="T133" s="475"/>
      <c r="U133" s="475"/>
      <c r="V133" s="475"/>
      <c r="W133" s="475"/>
      <c r="X133" s="475"/>
      <c r="Y133" s="475">
        <f t="shared" si="5"/>
        <v>0</v>
      </c>
      <c r="Z133" s="476">
        <v>3</v>
      </c>
      <c r="AA133" s="477">
        <v>12</v>
      </c>
      <c r="AB133" s="478">
        <v>44225</v>
      </c>
      <c r="AC133" s="479">
        <v>44244</v>
      </c>
      <c r="AD133" s="476"/>
      <c r="AE133" s="477"/>
      <c r="AF133" s="478"/>
      <c r="AG133" s="478"/>
      <c r="AH133" s="476"/>
      <c r="AI133" s="477"/>
      <c r="AJ133" s="478"/>
      <c r="AK133" s="477"/>
      <c r="AL133" s="476"/>
      <c r="AM133" s="477"/>
      <c r="AN133" s="477"/>
      <c r="AO133" s="477"/>
      <c r="AP133" s="477"/>
      <c r="AQ133" s="477"/>
      <c r="AR133" s="477"/>
      <c r="AS133" s="477"/>
      <c r="AT133" s="480"/>
      <c r="AU133" s="475"/>
      <c r="AV133" s="475"/>
      <c r="AW133" s="475"/>
      <c r="AX133" s="480"/>
      <c r="AY133" s="475"/>
      <c r="AZ133" s="475"/>
      <c r="BA133" s="475"/>
      <c r="BB133" s="477">
        <f t="shared" si="6"/>
        <v>3</v>
      </c>
      <c r="BC133" s="477">
        <f t="shared" si="4"/>
        <v>3</v>
      </c>
    </row>
    <row r="134" spans="2:55" s="195" customFormat="1" ht="22.5" x14ac:dyDescent="0.25">
      <c r="B134" s="186">
        <f t="shared" si="7"/>
        <v>118</v>
      </c>
      <c r="C134" s="186" t="s">
        <v>40</v>
      </c>
      <c r="D134" s="450">
        <v>40006811</v>
      </c>
      <c r="E134" s="451" t="s">
        <v>680</v>
      </c>
      <c r="F134" s="451" t="s">
        <v>200</v>
      </c>
      <c r="G134" s="473" t="s">
        <v>525</v>
      </c>
      <c r="H134" s="451" t="s">
        <v>528</v>
      </c>
      <c r="I134" s="451" t="s">
        <v>43</v>
      </c>
      <c r="J134" s="474">
        <v>104135</v>
      </c>
      <c r="K134" s="474"/>
      <c r="L134" s="474">
        <v>104135</v>
      </c>
      <c r="M134" s="475"/>
      <c r="N134" s="475"/>
      <c r="O134" s="475"/>
      <c r="P134" s="475"/>
      <c r="Q134" s="475"/>
      <c r="R134" s="475"/>
      <c r="S134" s="475"/>
      <c r="T134" s="475"/>
      <c r="U134" s="475"/>
      <c r="V134" s="475"/>
      <c r="W134" s="475"/>
      <c r="X134" s="475"/>
      <c r="Y134" s="475">
        <f t="shared" si="5"/>
        <v>0</v>
      </c>
      <c r="Z134" s="476">
        <v>1</v>
      </c>
      <c r="AA134" s="477">
        <v>12</v>
      </c>
      <c r="AB134" s="478">
        <v>44225</v>
      </c>
      <c r="AC134" s="479">
        <v>44244</v>
      </c>
      <c r="AD134" s="476"/>
      <c r="AE134" s="477"/>
      <c r="AF134" s="478"/>
      <c r="AG134" s="478"/>
      <c r="AH134" s="476"/>
      <c r="AI134" s="477"/>
      <c r="AJ134" s="478"/>
      <c r="AK134" s="477"/>
      <c r="AL134" s="476"/>
      <c r="AM134" s="477"/>
      <c r="AN134" s="477"/>
      <c r="AO134" s="477"/>
      <c r="AP134" s="477"/>
      <c r="AQ134" s="477"/>
      <c r="AR134" s="477"/>
      <c r="AS134" s="477"/>
      <c r="AT134" s="480"/>
      <c r="AU134" s="475"/>
      <c r="AV134" s="475"/>
      <c r="AW134" s="475"/>
      <c r="AX134" s="480"/>
      <c r="AY134" s="475"/>
      <c r="AZ134" s="475"/>
      <c r="BA134" s="475"/>
      <c r="BB134" s="477">
        <f t="shared" si="6"/>
        <v>1</v>
      </c>
      <c r="BC134" s="477">
        <f t="shared" si="4"/>
        <v>1</v>
      </c>
    </row>
    <row r="135" spans="2:55" s="195" customFormat="1" ht="22.5" x14ac:dyDescent="0.25">
      <c r="B135" s="186">
        <f t="shared" si="7"/>
        <v>119</v>
      </c>
      <c r="C135" s="186" t="s">
        <v>38</v>
      </c>
      <c r="D135" s="450">
        <v>40016324</v>
      </c>
      <c r="E135" s="451" t="s">
        <v>681</v>
      </c>
      <c r="F135" s="451" t="s">
        <v>200</v>
      </c>
      <c r="G135" s="473" t="s">
        <v>525</v>
      </c>
      <c r="H135" s="451" t="s">
        <v>528</v>
      </c>
      <c r="I135" s="451" t="s">
        <v>43</v>
      </c>
      <c r="J135" s="474">
        <v>186309</v>
      </c>
      <c r="K135" s="474"/>
      <c r="L135" s="474">
        <v>186309</v>
      </c>
      <c r="M135" s="475"/>
      <c r="N135" s="475"/>
      <c r="O135" s="475"/>
      <c r="P135" s="475"/>
      <c r="Q135" s="475"/>
      <c r="R135" s="475"/>
      <c r="S135" s="475"/>
      <c r="T135" s="475"/>
      <c r="U135" s="475"/>
      <c r="V135" s="475"/>
      <c r="W135" s="475"/>
      <c r="X135" s="475"/>
      <c r="Y135" s="475">
        <f t="shared" si="5"/>
        <v>0</v>
      </c>
      <c r="Z135" s="476">
        <v>5</v>
      </c>
      <c r="AA135" s="477">
        <v>12</v>
      </c>
      <c r="AB135" s="478">
        <v>44225</v>
      </c>
      <c r="AC135" s="479">
        <v>44244</v>
      </c>
      <c r="AD135" s="476"/>
      <c r="AE135" s="477"/>
      <c r="AF135" s="478"/>
      <c r="AG135" s="478"/>
      <c r="AH135" s="476"/>
      <c r="AI135" s="477"/>
      <c r="AJ135" s="478"/>
      <c r="AK135" s="477"/>
      <c r="AL135" s="476"/>
      <c r="AM135" s="477"/>
      <c r="AN135" s="477"/>
      <c r="AO135" s="477"/>
      <c r="AP135" s="477"/>
      <c r="AQ135" s="477"/>
      <c r="AR135" s="477"/>
      <c r="AS135" s="477"/>
      <c r="AT135" s="480"/>
      <c r="AU135" s="475"/>
      <c r="AV135" s="475"/>
      <c r="AW135" s="475"/>
      <c r="AX135" s="480"/>
      <c r="AY135" s="475"/>
      <c r="AZ135" s="475"/>
      <c r="BA135" s="475"/>
      <c r="BB135" s="477">
        <f t="shared" si="6"/>
        <v>5</v>
      </c>
      <c r="BC135" s="477">
        <f t="shared" si="4"/>
        <v>5</v>
      </c>
    </row>
    <row r="136" spans="2:55" s="195" customFormat="1" ht="22.5" x14ac:dyDescent="0.25">
      <c r="B136" s="186">
        <f t="shared" si="7"/>
        <v>120</v>
      </c>
      <c r="C136" s="186" t="s">
        <v>38</v>
      </c>
      <c r="D136" s="450">
        <v>30465434</v>
      </c>
      <c r="E136" s="451" t="s">
        <v>682</v>
      </c>
      <c r="F136" s="451" t="s">
        <v>200</v>
      </c>
      <c r="G136" s="473" t="s">
        <v>525</v>
      </c>
      <c r="H136" s="451" t="s">
        <v>528</v>
      </c>
      <c r="I136" s="451" t="s">
        <v>43</v>
      </c>
      <c r="J136" s="474">
        <v>2332181</v>
      </c>
      <c r="K136" s="474"/>
      <c r="L136" s="474">
        <v>2332181</v>
      </c>
      <c r="M136" s="475"/>
      <c r="N136" s="475"/>
      <c r="O136" s="475"/>
      <c r="P136" s="475"/>
      <c r="Q136" s="475"/>
      <c r="R136" s="475"/>
      <c r="S136" s="475"/>
      <c r="T136" s="475"/>
      <c r="U136" s="475"/>
      <c r="V136" s="475"/>
      <c r="W136" s="475"/>
      <c r="X136" s="475"/>
      <c r="Y136" s="475">
        <f t="shared" si="5"/>
        <v>0</v>
      </c>
      <c r="Z136" s="476">
        <v>3</v>
      </c>
      <c r="AA136" s="477">
        <v>12</v>
      </c>
      <c r="AB136" s="478">
        <v>44225</v>
      </c>
      <c r="AC136" s="479">
        <v>44244</v>
      </c>
      <c r="AD136" s="476"/>
      <c r="AE136" s="477"/>
      <c r="AF136" s="478"/>
      <c r="AG136" s="478"/>
      <c r="AH136" s="476"/>
      <c r="AI136" s="477"/>
      <c r="AJ136" s="478"/>
      <c r="AK136" s="477"/>
      <c r="AL136" s="476"/>
      <c r="AM136" s="477"/>
      <c r="AN136" s="477"/>
      <c r="AO136" s="477"/>
      <c r="AP136" s="477"/>
      <c r="AQ136" s="477"/>
      <c r="AR136" s="477"/>
      <c r="AS136" s="477"/>
      <c r="AT136" s="480"/>
      <c r="AU136" s="475"/>
      <c r="AV136" s="475"/>
      <c r="AW136" s="475"/>
      <c r="AX136" s="480"/>
      <c r="AY136" s="475"/>
      <c r="AZ136" s="475"/>
      <c r="BA136" s="475"/>
      <c r="BB136" s="477">
        <f t="shared" si="6"/>
        <v>3</v>
      </c>
      <c r="BC136" s="477">
        <f t="shared" si="4"/>
        <v>3</v>
      </c>
    </row>
    <row r="137" spans="2:55" s="195" customFormat="1" x14ac:dyDescent="0.25">
      <c r="B137" s="186">
        <f t="shared" si="7"/>
        <v>121</v>
      </c>
      <c r="C137" s="186" t="s">
        <v>38</v>
      </c>
      <c r="D137" s="450">
        <v>40016707</v>
      </c>
      <c r="E137" s="451" t="s">
        <v>683</v>
      </c>
      <c r="F137" s="451" t="s">
        <v>200</v>
      </c>
      <c r="G137" s="473" t="s">
        <v>525</v>
      </c>
      <c r="H137" s="451" t="s">
        <v>528</v>
      </c>
      <c r="I137" s="451" t="s">
        <v>43</v>
      </c>
      <c r="J137" s="474">
        <v>279176</v>
      </c>
      <c r="K137" s="474"/>
      <c r="L137" s="474">
        <v>279176</v>
      </c>
      <c r="M137" s="475"/>
      <c r="N137" s="475"/>
      <c r="O137" s="475"/>
      <c r="P137" s="475"/>
      <c r="Q137" s="475"/>
      <c r="R137" s="475"/>
      <c r="S137" s="475"/>
      <c r="T137" s="475"/>
      <c r="U137" s="475"/>
      <c r="V137" s="475"/>
      <c r="W137" s="475"/>
      <c r="X137" s="475"/>
      <c r="Y137" s="475">
        <f t="shared" si="5"/>
        <v>0</v>
      </c>
      <c r="Z137" s="476">
        <v>3</v>
      </c>
      <c r="AA137" s="477">
        <v>12</v>
      </c>
      <c r="AB137" s="478">
        <v>44225</v>
      </c>
      <c r="AC137" s="479">
        <v>44244</v>
      </c>
      <c r="AD137" s="476"/>
      <c r="AE137" s="477"/>
      <c r="AF137" s="478"/>
      <c r="AG137" s="478"/>
      <c r="AH137" s="476"/>
      <c r="AI137" s="477"/>
      <c r="AJ137" s="478"/>
      <c r="AK137" s="477"/>
      <c r="AL137" s="476"/>
      <c r="AM137" s="477"/>
      <c r="AN137" s="477"/>
      <c r="AO137" s="477"/>
      <c r="AP137" s="477"/>
      <c r="AQ137" s="477"/>
      <c r="AR137" s="477"/>
      <c r="AS137" s="477"/>
      <c r="AT137" s="480"/>
      <c r="AU137" s="475"/>
      <c r="AV137" s="475"/>
      <c r="AW137" s="475"/>
      <c r="AX137" s="480"/>
      <c r="AY137" s="475"/>
      <c r="AZ137" s="475"/>
      <c r="BA137" s="475"/>
      <c r="BB137" s="477">
        <f t="shared" si="6"/>
        <v>3</v>
      </c>
      <c r="BC137" s="477">
        <f t="shared" si="4"/>
        <v>3</v>
      </c>
    </row>
    <row r="138" spans="2:55" s="195" customFormat="1" ht="22.5" x14ac:dyDescent="0.25">
      <c r="B138" s="186">
        <f t="shared" si="7"/>
        <v>122</v>
      </c>
      <c r="C138" s="186" t="s">
        <v>38</v>
      </c>
      <c r="D138" s="450">
        <v>40016947</v>
      </c>
      <c r="E138" s="451" t="s">
        <v>684</v>
      </c>
      <c r="F138" s="451" t="s">
        <v>543</v>
      </c>
      <c r="G138" s="473" t="s">
        <v>525</v>
      </c>
      <c r="H138" s="451" t="s">
        <v>649</v>
      </c>
      <c r="I138" s="451" t="s">
        <v>43</v>
      </c>
      <c r="J138" s="474">
        <v>37745</v>
      </c>
      <c r="K138" s="474"/>
      <c r="L138" s="474">
        <v>37745</v>
      </c>
      <c r="M138" s="475"/>
      <c r="N138" s="475"/>
      <c r="O138" s="475"/>
      <c r="P138" s="475"/>
      <c r="Q138" s="475"/>
      <c r="R138" s="475"/>
      <c r="S138" s="475"/>
      <c r="T138" s="475"/>
      <c r="U138" s="475"/>
      <c r="V138" s="475"/>
      <c r="W138" s="475"/>
      <c r="X138" s="475"/>
      <c r="Y138" s="475">
        <f t="shared" si="5"/>
        <v>0</v>
      </c>
      <c r="Z138" s="476">
        <v>2</v>
      </c>
      <c r="AA138" s="477">
        <v>12</v>
      </c>
      <c r="AB138" s="478">
        <v>44225</v>
      </c>
      <c r="AC138" s="479">
        <v>44244</v>
      </c>
      <c r="AD138" s="476"/>
      <c r="AE138" s="477"/>
      <c r="AF138" s="478"/>
      <c r="AG138" s="478"/>
      <c r="AH138" s="476"/>
      <c r="AI138" s="477"/>
      <c r="AJ138" s="478"/>
      <c r="AK138" s="477"/>
      <c r="AL138" s="476"/>
      <c r="AM138" s="477"/>
      <c r="AN138" s="477"/>
      <c r="AO138" s="477"/>
      <c r="AP138" s="477"/>
      <c r="AQ138" s="477"/>
      <c r="AR138" s="477"/>
      <c r="AS138" s="477"/>
      <c r="AT138" s="480"/>
      <c r="AU138" s="475"/>
      <c r="AV138" s="475"/>
      <c r="AW138" s="475"/>
      <c r="AX138" s="480"/>
      <c r="AY138" s="475"/>
      <c r="AZ138" s="475"/>
      <c r="BA138" s="475"/>
      <c r="BB138" s="477">
        <f t="shared" si="6"/>
        <v>2</v>
      </c>
      <c r="BC138" s="477">
        <f t="shared" si="4"/>
        <v>2</v>
      </c>
    </row>
    <row r="139" spans="2:55" s="195" customFormat="1" ht="22.5" x14ac:dyDescent="0.25">
      <c r="B139" s="186">
        <f t="shared" si="7"/>
        <v>123</v>
      </c>
      <c r="C139" s="186" t="s">
        <v>38</v>
      </c>
      <c r="D139" s="450">
        <v>40020856</v>
      </c>
      <c r="E139" s="451" t="s">
        <v>685</v>
      </c>
      <c r="F139" s="451" t="s">
        <v>543</v>
      </c>
      <c r="G139" s="473" t="s">
        <v>525</v>
      </c>
      <c r="H139" s="451" t="s">
        <v>547</v>
      </c>
      <c r="I139" s="451" t="s">
        <v>43</v>
      </c>
      <c r="J139" s="474">
        <v>484209</v>
      </c>
      <c r="K139" s="474"/>
      <c r="L139" s="474">
        <v>484209</v>
      </c>
      <c r="M139" s="475"/>
      <c r="N139" s="475"/>
      <c r="O139" s="475"/>
      <c r="P139" s="475"/>
      <c r="Q139" s="475"/>
      <c r="R139" s="475"/>
      <c r="S139" s="475"/>
      <c r="T139" s="475"/>
      <c r="U139" s="475"/>
      <c r="V139" s="475"/>
      <c r="W139" s="475"/>
      <c r="X139" s="475"/>
      <c r="Y139" s="475">
        <f t="shared" si="5"/>
        <v>0</v>
      </c>
      <c r="Z139" s="476">
        <v>2</v>
      </c>
      <c r="AA139" s="477">
        <v>12</v>
      </c>
      <c r="AB139" s="478">
        <v>44225</v>
      </c>
      <c r="AC139" s="479">
        <v>44244</v>
      </c>
      <c r="AD139" s="476"/>
      <c r="AE139" s="477"/>
      <c r="AF139" s="478"/>
      <c r="AG139" s="478"/>
      <c r="AH139" s="476"/>
      <c r="AI139" s="477"/>
      <c r="AJ139" s="478"/>
      <c r="AK139" s="477"/>
      <c r="AL139" s="476"/>
      <c r="AM139" s="477"/>
      <c r="AN139" s="477"/>
      <c r="AO139" s="477"/>
      <c r="AP139" s="477"/>
      <c r="AQ139" s="477"/>
      <c r="AR139" s="477"/>
      <c r="AS139" s="477"/>
      <c r="AT139" s="480"/>
      <c r="AU139" s="475"/>
      <c r="AV139" s="475"/>
      <c r="AW139" s="475"/>
      <c r="AX139" s="480"/>
      <c r="AY139" s="475"/>
      <c r="AZ139" s="475"/>
      <c r="BA139" s="475"/>
      <c r="BB139" s="477">
        <f t="shared" si="6"/>
        <v>2</v>
      </c>
      <c r="BC139" s="477">
        <f t="shared" si="4"/>
        <v>2</v>
      </c>
    </row>
    <row r="140" spans="2:55" s="195" customFormat="1" x14ac:dyDescent="0.25">
      <c r="B140" s="186">
        <f t="shared" si="7"/>
        <v>124</v>
      </c>
      <c r="C140" s="186" t="s">
        <v>38</v>
      </c>
      <c r="D140" s="450">
        <v>30459154</v>
      </c>
      <c r="E140" s="451" t="s">
        <v>686</v>
      </c>
      <c r="F140" s="451" t="s">
        <v>200</v>
      </c>
      <c r="G140" s="473" t="s">
        <v>525</v>
      </c>
      <c r="H140" s="451" t="s">
        <v>547</v>
      </c>
      <c r="I140" s="451" t="s">
        <v>43</v>
      </c>
      <c r="J140" s="474">
        <v>617248</v>
      </c>
      <c r="K140" s="474"/>
      <c r="L140" s="474">
        <v>617248</v>
      </c>
      <c r="M140" s="475"/>
      <c r="N140" s="475"/>
      <c r="O140" s="475"/>
      <c r="P140" s="475"/>
      <c r="Q140" s="475"/>
      <c r="R140" s="475"/>
      <c r="S140" s="475"/>
      <c r="T140" s="475"/>
      <c r="U140" s="475"/>
      <c r="V140" s="475"/>
      <c r="W140" s="475"/>
      <c r="X140" s="475"/>
      <c r="Y140" s="475">
        <f t="shared" si="5"/>
        <v>0</v>
      </c>
      <c r="Z140" s="476">
        <v>4</v>
      </c>
      <c r="AA140" s="477">
        <v>12</v>
      </c>
      <c r="AB140" s="478">
        <v>44225</v>
      </c>
      <c r="AC140" s="479">
        <v>44244</v>
      </c>
      <c r="AD140" s="476"/>
      <c r="AE140" s="477"/>
      <c r="AF140" s="478"/>
      <c r="AG140" s="478"/>
      <c r="AH140" s="476"/>
      <c r="AI140" s="477"/>
      <c r="AJ140" s="478"/>
      <c r="AK140" s="477"/>
      <c r="AL140" s="476"/>
      <c r="AM140" s="477"/>
      <c r="AN140" s="477"/>
      <c r="AO140" s="477"/>
      <c r="AP140" s="477"/>
      <c r="AQ140" s="477"/>
      <c r="AR140" s="477"/>
      <c r="AS140" s="477"/>
      <c r="AT140" s="480"/>
      <c r="AU140" s="475"/>
      <c r="AV140" s="475"/>
      <c r="AW140" s="475"/>
      <c r="AX140" s="480"/>
      <c r="AY140" s="475"/>
      <c r="AZ140" s="475"/>
      <c r="BA140" s="475"/>
      <c r="BB140" s="477">
        <f t="shared" si="6"/>
        <v>4</v>
      </c>
      <c r="BC140" s="477">
        <f t="shared" si="4"/>
        <v>4</v>
      </c>
    </row>
    <row r="141" spans="2:55" s="195" customFormat="1" ht="22.5" x14ac:dyDescent="0.25">
      <c r="B141" s="186">
        <f t="shared" si="7"/>
        <v>125</v>
      </c>
      <c r="C141" s="186" t="s">
        <v>38</v>
      </c>
      <c r="D141" s="450">
        <v>40018735</v>
      </c>
      <c r="E141" s="451" t="s">
        <v>687</v>
      </c>
      <c r="F141" s="451" t="s">
        <v>200</v>
      </c>
      <c r="G141" s="473" t="s">
        <v>525</v>
      </c>
      <c r="H141" s="451" t="s">
        <v>602</v>
      </c>
      <c r="I141" s="451" t="s">
        <v>43</v>
      </c>
      <c r="J141" s="474">
        <v>142593</v>
      </c>
      <c r="K141" s="474"/>
      <c r="L141" s="474">
        <v>142593</v>
      </c>
      <c r="M141" s="475"/>
      <c r="N141" s="475"/>
      <c r="O141" s="475"/>
      <c r="P141" s="475"/>
      <c r="Q141" s="475"/>
      <c r="R141" s="475"/>
      <c r="S141" s="475"/>
      <c r="T141" s="475"/>
      <c r="U141" s="475"/>
      <c r="V141" s="475"/>
      <c r="W141" s="475"/>
      <c r="X141" s="475"/>
      <c r="Y141" s="475">
        <f t="shared" si="5"/>
        <v>0</v>
      </c>
      <c r="Z141" s="476">
        <v>3</v>
      </c>
      <c r="AA141" s="477">
        <v>12</v>
      </c>
      <c r="AB141" s="478">
        <v>44225</v>
      </c>
      <c r="AC141" s="479">
        <v>44244</v>
      </c>
      <c r="AD141" s="476"/>
      <c r="AE141" s="477"/>
      <c r="AF141" s="478"/>
      <c r="AG141" s="478"/>
      <c r="AH141" s="476"/>
      <c r="AI141" s="477"/>
      <c r="AJ141" s="478"/>
      <c r="AK141" s="477"/>
      <c r="AL141" s="476"/>
      <c r="AM141" s="477"/>
      <c r="AN141" s="477"/>
      <c r="AO141" s="477"/>
      <c r="AP141" s="477"/>
      <c r="AQ141" s="477"/>
      <c r="AR141" s="477"/>
      <c r="AS141" s="477"/>
      <c r="AT141" s="480"/>
      <c r="AU141" s="475"/>
      <c r="AV141" s="475"/>
      <c r="AW141" s="475"/>
      <c r="AX141" s="480"/>
      <c r="AY141" s="475"/>
      <c r="AZ141" s="475"/>
      <c r="BA141" s="475"/>
      <c r="BB141" s="477">
        <f t="shared" si="6"/>
        <v>3</v>
      </c>
      <c r="BC141" s="477">
        <f t="shared" si="4"/>
        <v>3</v>
      </c>
    </row>
    <row r="142" spans="2:55" s="195" customFormat="1" ht="22.5" x14ac:dyDescent="0.25">
      <c r="B142" s="186">
        <f t="shared" si="7"/>
        <v>126</v>
      </c>
      <c r="C142" s="186" t="s">
        <v>38</v>
      </c>
      <c r="D142" s="450">
        <v>40019434</v>
      </c>
      <c r="E142" s="451" t="s">
        <v>688</v>
      </c>
      <c r="F142" s="451" t="s">
        <v>200</v>
      </c>
      <c r="G142" s="473" t="s">
        <v>525</v>
      </c>
      <c r="H142" s="451" t="s">
        <v>602</v>
      </c>
      <c r="I142" s="451" t="s">
        <v>43</v>
      </c>
      <c r="J142" s="474">
        <v>150428</v>
      </c>
      <c r="K142" s="474"/>
      <c r="L142" s="474">
        <v>150428</v>
      </c>
      <c r="M142" s="475"/>
      <c r="N142" s="475"/>
      <c r="O142" s="475"/>
      <c r="P142" s="475"/>
      <c r="Q142" s="475"/>
      <c r="R142" s="475"/>
      <c r="S142" s="475"/>
      <c r="T142" s="475"/>
      <c r="U142" s="475"/>
      <c r="V142" s="475"/>
      <c r="W142" s="475"/>
      <c r="X142" s="475"/>
      <c r="Y142" s="475">
        <f t="shared" si="5"/>
        <v>0</v>
      </c>
      <c r="Z142" s="476">
        <v>3</v>
      </c>
      <c r="AA142" s="477">
        <v>12</v>
      </c>
      <c r="AB142" s="478">
        <v>44225</v>
      </c>
      <c r="AC142" s="479">
        <v>44244</v>
      </c>
      <c r="AD142" s="476"/>
      <c r="AE142" s="477"/>
      <c r="AF142" s="478"/>
      <c r="AG142" s="478"/>
      <c r="AH142" s="476"/>
      <c r="AI142" s="477"/>
      <c r="AJ142" s="478"/>
      <c r="AK142" s="477"/>
      <c r="AL142" s="476"/>
      <c r="AM142" s="477"/>
      <c r="AN142" s="477"/>
      <c r="AO142" s="477"/>
      <c r="AP142" s="477"/>
      <c r="AQ142" s="477"/>
      <c r="AR142" s="477"/>
      <c r="AS142" s="477"/>
      <c r="AT142" s="480"/>
      <c r="AU142" s="475"/>
      <c r="AV142" s="475"/>
      <c r="AW142" s="475"/>
      <c r="AX142" s="480"/>
      <c r="AY142" s="475"/>
      <c r="AZ142" s="475"/>
      <c r="BA142" s="475"/>
      <c r="BB142" s="477">
        <f t="shared" si="6"/>
        <v>3</v>
      </c>
      <c r="BC142" s="477">
        <f t="shared" si="4"/>
        <v>3</v>
      </c>
    </row>
    <row r="143" spans="2:55" s="195" customFormat="1" x14ac:dyDescent="0.25">
      <c r="B143" s="186">
        <f t="shared" si="7"/>
        <v>127</v>
      </c>
      <c r="C143" s="186" t="s">
        <v>40</v>
      </c>
      <c r="D143" s="450">
        <v>40017055</v>
      </c>
      <c r="E143" s="451" t="s">
        <v>689</v>
      </c>
      <c r="F143" s="451" t="s">
        <v>200</v>
      </c>
      <c r="G143" s="473" t="s">
        <v>525</v>
      </c>
      <c r="H143" s="451" t="s">
        <v>584</v>
      </c>
      <c r="I143" s="451" t="s">
        <v>43</v>
      </c>
      <c r="J143" s="474">
        <v>79887</v>
      </c>
      <c r="K143" s="474"/>
      <c r="L143" s="474">
        <v>79887</v>
      </c>
      <c r="M143" s="475"/>
      <c r="N143" s="475"/>
      <c r="O143" s="475"/>
      <c r="P143" s="475"/>
      <c r="Q143" s="475"/>
      <c r="R143" s="475"/>
      <c r="S143" s="475"/>
      <c r="T143" s="475"/>
      <c r="U143" s="475"/>
      <c r="V143" s="475"/>
      <c r="W143" s="475"/>
      <c r="X143" s="475"/>
      <c r="Y143" s="475">
        <f t="shared" si="5"/>
        <v>0</v>
      </c>
      <c r="Z143" s="476">
        <v>1</v>
      </c>
      <c r="AA143" s="477">
        <v>12</v>
      </c>
      <c r="AB143" s="478">
        <v>44225</v>
      </c>
      <c r="AC143" s="479">
        <v>44244</v>
      </c>
      <c r="AD143" s="476"/>
      <c r="AE143" s="477"/>
      <c r="AF143" s="478"/>
      <c r="AG143" s="478"/>
      <c r="AH143" s="476"/>
      <c r="AI143" s="477"/>
      <c r="AJ143" s="478"/>
      <c r="AK143" s="477"/>
      <c r="AL143" s="476"/>
      <c r="AM143" s="477"/>
      <c r="AN143" s="477"/>
      <c r="AO143" s="477"/>
      <c r="AP143" s="477"/>
      <c r="AQ143" s="477"/>
      <c r="AR143" s="477"/>
      <c r="AS143" s="477"/>
      <c r="AT143" s="480"/>
      <c r="AU143" s="475"/>
      <c r="AV143" s="475"/>
      <c r="AW143" s="475"/>
      <c r="AX143" s="480"/>
      <c r="AY143" s="475"/>
      <c r="AZ143" s="475"/>
      <c r="BA143" s="475"/>
      <c r="BB143" s="477">
        <f t="shared" si="6"/>
        <v>1</v>
      </c>
      <c r="BC143" s="477">
        <f t="shared" si="4"/>
        <v>1</v>
      </c>
    </row>
    <row r="144" spans="2:55" s="195" customFormat="1" ht="22.5" x14ac:dyDescent="0.25">
      <c r="B144" s="186">
        <f t="shared" si="7"/>
        <v>128</v>
      </c>
      <c r="C144" s="186" t="s">
        <v>38</v>
      </c>
      <c r="D144" s="450">
        <v>40010504</v>
      </c>
      <c r="E144" s="451" t="s">
        <v>690</v>
      </c>
      <c r="F144" s="451" t="s">
        <v>200</v>
      </c>
      <c r="G144" s="473" t="s">
        <v>525</v>
      </c>
      <c r="H144" s="451" t="s">
        <v>549</v>
      </c>
      <c r="I144" s="451" t="s">
        <v>43</v>
      </c>
      <c r="J144" s="474">
        <v>1850234</v>
      </c>
      <c r="K144" s="474"/>
      <c r="L144" s="474">
        <v>1850234</v>
      </c>
      <c r="M144" s="475"/>
      <c r="N144" s="475"/>
      <c r="O144" s="475"/>
      <c r="P144" s="475"/>
      <c r="Q144" s="475"/>
      <c r="R144" s="475"/>
      <c r="S144" s="475"/>
      <c r="T144" s="475"/>
      <c r="U144" s="475"/>
      <c r="V144" s="475"/>
      <c r="W144" s="475"/>
      <c r="X144" s="475"/>
      <c r="Y144" s="475">
        <f t="shared" si="5"/>
        <v>0</v>
      </c>
      <c r="Z144" s="476">
        <v>3</v>
      </c>
      <c r="AA144" s="477">
        <v>12</v>
      </c>
      <c r="AB144" s="478">
        <v>44225</v>
      </c>
      <c r="AC144" s="479">
        <v>44244</v>
      </c>
      <c r="AD144" s="476"/>
      <c r="AE144" s="477"/>
      <c r="AF144" s="478"/>
      <c r="AG144" s="478"/>
      <c r="AH144" s="476"/>
      <c r="AI144" s="477"/>
      <c r="AJ144" s="478"/>
      <c r="AK144" s="477"/>
      <c r="AL144" s="476"/>
      <c r="AM144" s="477"/>
      <c r="AN144" s="477"/>
      <c r="AO144" s="477"/>
      <c r="AP144" s="477"/>
      <c r="AQ144" s="477"/>
      <c r="AR144" s="477"/>
      <c r="AS144" s="477"/>
      <c r="AT144" s="480"/>
      <c r="AU144" s="475"/>
      <c r="AV144" s="475"/>
      <c r="AW144" s="475"/>
      <c r="AX144" s="480"/>
      <c r="AY144" s="475"/>
      <c r="AZ144" s="475"/>
      <c r="BA144" s="475"/>
      <c r="BB144" s="477">
        <f t="shared" si="6"/>
        <v>3</v>
      </c>
      <c r="BC144" s="477">
        <f t="shared" si="4"/>
        <v>3</v>
      </c>
    </row>
    <row r="145" spans="2:55" s="195" customFormat="1" ht="22.5" x14ac:dyDescent="0.25">
      <c r="B145" s="186">
        <f t="shared" si="7"/>
        <v>129</v>
      </c>
      <c r="C145" s="186" t="s">
        <v>38</v>
      </c>
      <c r="D145" s="450">
        <v>40017812</v>
      </c>
      <c r="E145" s="451" t="s">
        <v>691</v>
      </c>
      <c r="F145" s="451" t="s">
        <v>200</v>
      </c>
      <c r="G145" s="473" t="s">
        <v>525</v>
      </c>
      <c r="H145" s="451" t="s">
        <v>612</v>
      </c>
      <c r="I145" s="451" t="s">
        <v>43</v>
      </c>
      <c r="J145" s="474">
        <v>521002</v>
      </c>
      <c r="K145" s="474"/>
      <c r="L145" s="474">
        <v>521002</v>
      </c>
      <c r="M145" s="475"/>
      <c r="N145" s="475"/>
      <c r="O145" s="475"/>
      <c r="P145" s="475"/>
      <c r="Q145" s="475"/>
      <c r="R145" s="475"/>
      <c r="S145" s="475"/>
      <c r="T145" s="475"/>
      <c r="U145" s="475"/>
      <c r="V145" s="475"/>
      <c r="W145" s="475"/>
      <c r="X145" s="475"/>
      <c r="Y145" s="475">
        <f t="shared" si="5"/>
        <v>0</v>
      </c>
      <c r="Z145" s="476">
        <v>3</v>
      </c>
      <c r="AA145" s="477">
        <v>12</v>
      </c>
      <c r="AB145" s="478">
        <v>44225</v>
      </c>
      <c r="AC145" s="479">
        <v>44244</v>
      </c>
      <c r="AD145" s="476"/>
      <c r="AE145" s="477"/>
      <c r="AF145" s="478"/>
      <c r="AG145" s="478"/>
      <c r="AH145" s="476"/>
      <c r="AI145" s="477"/>
      <c r="AJ145" s="478"/>
      <c r="AK145" s="477"/>
      <c r="AL145" s="476"/>
      <c r="AM145" s="477"/>
      <c r="AN145" s="477"/>
      <c r="AO145" s="477"/>
      <c r="AP145" s="477"/>
      <c r="AQ145" s="477"/>
      <c r="AR145" s="477"/>
      <c r="AS145" s="477"/>
      <c r="AT145" s="480"/>
      <c r="AU145" s="475"/>
      <c r="AV145" s="475"/>
      <c r="AW145" s="475"/>
      <c r="AX145" s="480"/>
      <c r="AY145" s="475"/>
      <c r="AZ145" s="475"/>
      <c r="BA145" s="475"/>
      <c r="BB145" s="477">
        <f t="shared" si="6"/>
        <v>3</v>
      </c>
      <c r="BC145" s="477">
        <f t="shared" ref="BC145:BC208" si="8">BB145-Y145</f>
        <v>3</v>
      </c>
    </row>
    <row r="146" spans="2:55" s="195" customFormat="1" ht="22.5" x14ac:dyDescent="0.25">
      <c r="B146" s="186">
        <f t="shared" si="7"/>
        <v>130</v>
      </c>
      <c r="C146" s="186" t="s">
        <v>38</v>
      </c>
      <c r="D146" s="450">
        <v>30118479</v>
      </c>
      <c r="E146" s="451" t="s">
        <v>692</v>
      </c>
      <c r="F146" s="451" t="s">
        <v>200</v>
      </c>
      <c r="G146" s="473" t="s">
        <v>525</v>
      </c>
      <c r="H146" s="451" t="s">
        <v>627</v>
      </c>
      <c r="I146" s="451" t="s">
        <v>43</v>
      </c>
      <c r="J146" s="474">
        <v>232308</v>
      </c>
      <c r="K146" s="474"/>
      <c r="L146" s="474">
        <v>232308</v>
      </c>
      <c r="M146" s="475"/>
      <c r="N146" s="475"/>
      <c r="O146" s="475"/>
      <c r="P146" s="475"/>
      <c r="Q146" s="475"/>
      <c r="R146" s="475"/>
      <c r="S146" s="475"/>
      <c r="T146" s="475"/>
      <c r="U146" s="475"/>
      <c r="V146" s="475"/>
      <c r="W146" s="475"/>
      <c r="X146" s="475"/>
      <c r="Y146" s="475">
        <f t="shared" ref="Y146:Y209" si="9">SUM(M146:X146)</f>
        <v>0</v>
      </c>
      <c r="Z146" s="476">
        <v>3</v>
      </c>
      <c r="AA146" s="477">
        <v>12</v>
      </c>
      <c r="AB146" s="478">
        <v>44225</v>
      </c>
      <c r="AC146" s="479">
        <v>44244</v>
      </c>
      <c r="AD146" s="476"/>
      <c r="AE146" s="477"/>
      <c r="AF146" s="478"/>
      <c r="AG146" s="478"/>
      <c r="AH146" s="476"/>
      <c r="AI146" s="477"/>
      <c r="AJ146" s="478"/>
      <c r="AK146" s="477"/>
      <c r="AL146" s="476"/>
      <c r="AM146" s="477"/>
      <c r="AN146" s="477"/>
      <c r="AO146" s="477"/>
      <c r="AP146" s="477"/>
      <c r="AQ146" s="477"/>
      <c r="AR146" s="477"/>
      <c r="AS146" s="477"/>
      <c r="AT146" s="480"/>
      <c r="AU146" s="475"/>
      <c r="AV146" s="475"/>
      <c r="AW146" s="475"/>
      <c r="AX146" s="480"/>
      <c r="AY146" s="475"/>
      <c r="AZ146" s="475"/>
      <c r="BA146" s="475"/>
      <c r="BB146" s="477">
        <f t="shared" ref="BB146:BB209" si="10">Z146+AD146+AH146+AL146+AT146+AX146+AP146</f>
        <v>3</v>
      </c>
      <c r="BC146" s="477">
        <f t="shared" si="8"/>
        <v>3</v>
      </c>
    </row>
    <row r="147" spans="2:55" s="195" customFormat="1" ht="22.5" x14ac:dyDescent="0.25">
      <c r="B147" s="186">
        <f t="shared" ref="B147:B210" si="11">B146+1</f>
        <v>131</v>
      </c>
      <c r="C147" s="186" t="s">
        <v>38</v>
      </c>
      <c r="D147" s="450">
        <v>30482567</v>
      </c>
      <c r="E147" s="451" t="s">
        <v>693</v>
      </c>
      <c r="F147" s="451" t="s">
        <v>543</v>
      </c>
      <c r="G147" s="473" t="s">
        <v>525</v>
      </c>
      <c r="H147" s="451" t="s">
        <v>525</v>
      </c>
      <c r="I147" s="451" t="s">
        <v>43</v>
      </c>
      <c r="J147" s="474">
        <v>386199</v>
      </c>
      <c r="K147" s="474"/>
      <c r="L147" s="474">
        <v>386199</v>
      </c>
      <c r="M147" s="475"/>
      <c r="N147" s="475"/>
      <c r="O147" s="475"/>
      <c r="P147" s="475"/>
      <c r="Q147" s="475"/>
      <c r="R147" s="475"/>
      <c r="S147" s="475"/>
      <c r="T147" s="475"/>
      <c r="U147" s="475"/>
      <c r="V147" s="475"/>
      <c r="W147" s="475"/>
      <c r="X147" s="475"/>
      <c r="Y147" s="475">
        <f t="shared" si="9"/>
        <v>0</v>
      </c>
      <c r="Z147" s="476">
        <v>2</v>
      </c>
      <c r="AA147" s="477">
        <v>12</v>
      </c>
      <c r="AB147" s="478">
        <v>44225</v>
      </c>
      <c r="AC147" s="479">
        <v>44244</v>
      </c>
      <c r="AD147" s="476"/>
      <c r="AE147" s="477"/>
      <c r="AF147" s="478"/>
      <c r="AG147" s="478"/>
      <c r="AH147" s="476"/>
      <c r="AI147" s="477"/>
      <c r="AJ147" s="478"/>
      <c r="AK147" s="477"/>
      <c r="AL147" s="476"/>
      <c r="AM147" s="477"/>
      <c r="AN147" s="477"/>
      <c r="AO147" s="477"/>
      <c r="AP147" s="477"/>
      <c r="AQ147" s="477"/>
      <c r="AR147" s="477"/>
      <c r="AS147" s="477"/>
      <c r="AT147" s="480"/>
      <c r="AU147" s="475"/>
      <c r="AV147" s="475"/>
      <c r="AW147" s="475"/>
      <c r="AX147" s="480"/>
      <c r="AY147" s="475"/>
      <c r="AZ147" s="475"/>
      <c r="BA147" s="475"/>
      <c r="BB147" s="477">
        <f t="shared" si="10"/>
        <v>2</v>
      </c>
      <c r="BC147" s="477">
        <f t="shared" si="8"/>
        <v>2</v>
      </c>
    </row>
    <row r="148" spans="2:55" s="195" customFormat="1" ht="22.5" x14ac:dyDescent="0.25">
      <c r="B148" s="186">
        <f t="shared" si="11"/>
        <v>132</v>
      </c>
      <c r="C148" s="186" t="s">
        <v>38</v>
      </c>
      <c r="D148" s="450">
        <v>30459937</v>
      </c>
      <c r="E148" s="451" t="s">
        <v>694</v>
      </c>
      <c r="F148" s="451" t="s">
        <v>200</v>
      </c>
      <c r="G148" s="473" t="s">
        <v>525</v>
      </c>
      <c r="H148" s="451" t="s">
        <v>574</v>
      </c>
      <c r="I148" s="451" t="s">
        <v>43</v>
      </c>
      <c r="J148" s="474">
        <v>182535</v>
      </c>
      <c r="K148" s="474"/>
      <c r="L148" s="474">
        <v>182535</v>
      </c>
      <c r="M148" s="475"/>
      <c r="N148" s="475"/>
      <c r="O148" s="475"/>
      <c r="P148" s="475">
        <v>0</v>
      </c>
      <c r="Q148" s="475">
        <v>0</v>
      </c>
      <c r="R148" s="475">
        <v>0</v>
      </c>
      <c r="S148" s="475"/>
      <c r="T148" s="475"/>
      <c r="U148" s="475"/>
      <c r="V148" s="475"/>
      <c r="W148" s="475"/>
      <c r="X148" s="475"/>
      <c r="Y148" s="475">
        <f t="shared" si="9"/>
        <v>0</v>
      </c>
      <c r="Z148" s="476">
        <v>2</v>
      </c>
      <c r="AA148" s="477">
        <v>12</v>
      </c>
      <c r="AB148" s="478">
        <v>44225</v>
      </c>
      <c r="AC148" s="479">
        <v>44244</v>
      </c>
      <c r="AD148" s="476">
        <v>20743</v>
      </c>
      <c r="AE148" s="477">
        <v>22</v>
      </c>
      <c r="AF148" s="478">
        <v>44253</v>
      </c>
      <c r="AG148" s="478">
        <v>44279</v>
      </c>
      <c r="AH148" s="476"/>
      <c r="AI148" s="477"/>
      <c r="AJ148" s="478"/>
      <c r="AK148" s="477"/>
      <c r="AL148" s="476"/>
      <c r="AM148" s="477"/>
      <c r="AN148" s="477"/>
      <c r="AO148" s="477"/>
      <c r="AP148" s="477"/>
      <c r="AQ148" s="477"/>
      <c r="AR148" s="477"/>
      <c r="AS148" s="477"/>
      <c r="AT148" s="480"/>
      <c r="AU148" s="475"/>
      <c r="AV148" s="475"/>
      <c r="AW148" s="475"/>
      <c r="AX148" s="480"/>
      <c r="AY148" s="475"/>
      <c r="AZ148" s="475"/>
      <c r="BA148" s="475"/>
      <c r="BB148" s="477">
        <f t="shared" si="10"/>
        <v>20745</v>
      </c>
      <c r="BC148" s="477">
        <f t="shared" si="8"/>
        <v>20745</v>
      </c>
    </row>
    <row r="149" spans="2:55" s="195" customFormat="1" ht="22.5" x14ac:dyDescent="0.25">
      <c r="B149" s="186">
        <f t="shared" si="11"/>
        <v>133</v>
      </c>
      <c r="C149" s="186" t="s">
        <v>38</v>
      </c>
      <c r="D149" s="450">
        <v>40000301</v>
      </c>
      <c r="E149" s="451" t="s">
        <v>695</v>
      </c>
      <c r="F149" s="451" t="s">
        <v>200</v>
      </c>
      <c r="G149" s="473" t="s">
        <v>525</v>
      </c>
      <c r="H149" s="451" t="s">
        <v>574</v>
      </c>
      <c r="I149" s="451" t="s">
        <v>43</v>
      </c>
      <c r="J149" s="474">
        <v>250697</v>
      </c>
      <c r="K149" s="474"/>
      <c r="L149" s="474">
        <v>250697</v>
      </c>
      <c r="M149" s="475"/>
      <c r="N149" s="475"/>
      <c r="O149" s="475"/>
      <c r="P149" s="475">
        <v>0</v>
      </c>
      <c r="Q149" s="475">
        <v>0</v>
      </c>
      <c r="R149" s="475">
        <v>0</v>
      </c>
      <c r="S149" s="475"/>
      <c r="T149" s="475"/>
      <c r="U149" s="475"/>
      <c r="V149" s="475"/>
      <c r="W149" s="475"/>
      <c r="X149" s="475"/>
      <c r="Y149" s="475">
        <f t="shared" si="9"/>
        <v>0</v>
      </c>
      <c r="Z149" s="476">
        <v>2</v>
      </c>
      <c r="AA149" s="477">
        <v>12</v>
      </c>
      <c r="AB149" s="478">
        <v>44225</v>
      </c>
      <c r="AC149" s="479">
        <v>44244</v>
      </c>
      <c r="AD149" s="476"/>
      <c r="AE149" s="477"/>
      <c r="AF149" s="478"/>
      <c r="AG149" s="478"/>
      <c r="AH149" s="476"/>
      <c r="AI149" s="477"/>
      <c r="AJ149" s="478"/>
      <c r="AK149" s="477"/>
      <c r="AL149" s="476"/>
      <c r="AM149" s="477"/>
      <c r="AN149" s="477"/>
      <c r="AO149" s="477"/>
      <c r="AP149" s="477"/>
      <c r="AQ149" s="477"/>
      <c r="AR149" s="477"/>
      <c r="AS149" s="477"/>
      <c r="AT149" s="480"/>
      <c r="AU149" s="475"/>
      <c r="AV149" s="475"/>
      <c r="AW149" s="475"/>
      <c r="AX149" s="480"/>
      <c r="AY149" s="475"/>
      <c r="AZ149" s="475"/>
      <c r="BA149" s="475"/>
      <c r="BB149" s="477">
        <f t="shared" si="10"/>
        <v>2</v>
      </c>
      <c r="BC149" s="477">
        <f t="shared" si="8"/>
        <v>2</v>
      </c>
    </row>
    <row r="150" spans="2:55" s="195" customFormat="1" ht="22.5" x14ac:dyDescent="0.25">
      <c r="B150" s="186">
        <f t="shared" si="11"/>
        <v>134</v>
      </c>
      <c r="C150" s="186" t="s">
        <v>38</v>
      </c>
      <c r="D150" s="450">
        <v>40016754</v>
      </c>
      <c r="E150" s="451" t="s">
        <v>696</v>
      </c>
      <c r="F150" s="451" t="s">
        <v>200</v>
      </c>
      <c r="G150" s="473" t="s">
        <v>525</v>
      </c>
      <c r="H150" s="451" t="s">
        <v>595</v>
      </c>
      <c r="I150" s="451" t="s">
        <v>43</v>
      </c>
      <c r="J150" s="474">
        <v>756530</v>
      </c>
      <c r="K150" s="474"/>
      <c r="L150" s="474">
        <v>756530</v>
      </c>
      <c r="M150" s="475"/>
      <c r="N150" s="475"/>
      <c r="O150" s="475"/>
      <c r="P150" s="475"/>
      <c r="Q150" s="475"/>
      <c r="R150" s="475"/>
      <c r="S150" s="475"/>
      <c r="T150" s="475"/>
      <c r="U150" s="475"/>
      <c r="V150" s="475"/>
      <c r="W150" s="475"/>
      <c r="X150" s="475"/>
      <c r="Y150" s="475">
        <f t="shared" si="9"/>
        <v>0</v>
      </c>
      <c r="Z150" s="476">
        <v>3</v>
      </c>
      <c r="AA150" s="477">
        <v>12</v>
      </c>
      <c r="AB150" s="478">
        <v>44225</v>
      </c>
      <c r="AC150" s="479">
        <v>44244</v>
      </c>
      <c r="AD150" s="476"/>
      <c r="AE150" s="477"/>
      <c r="AF150" s="478"/>
      <c r="AG150" s="478"/>
      <c r="AH150" s="476"/>
      <c r="AI150" s="477"/>
      <c r="AJ150" s="478"/>
      <c r="AK150" s="477"/>
      <c r="AL150" s="476"/>
      <c r="AM150" s="477"/>
      <c r="AN150" s="477"/>
      <c r="AO150" s="477"/>
      <c r="AP150" s="477"/>
      <c r="AQ150" s="477"/>
      <c r="AR150" s="477"/>
      <c r="AS150" s="477"/>
      <c r="AT150" s="480"/>
      <c r="AU150" s="475"/>
      <c r="AV150" s="475"/>
      <c r="AW150" s="475"/>
      <c r="AX150" s="480"/>
      <c r="AY150" s="475"/>
      <c r="AZ150" s="475"/>
      <c r="BA150" s="475"/>
      <c r="BB150" s="477">
        <f t="shared" si="10"/>
        <v>3</v>
      </c>
      <c r="BC150" s="477">
        <f t="shared" si="8"/>
        <v>3</v>
      </c>
    </row>
    <row r="151" spans="2:55" s="195" customFormat="1" ht="22.5" x14ac:dyDescent="0.25">
      <c r="B151" s="186">
        <f t="shared" si="11"/>
        <v>135</v>
      </c>
      <c r="C151" s="186" t="s">
        <v>38</v>
      </c>
      <c r="D151" s="450">
        <v>40027511</v>
      </c>
      <c r="E151" s="451" t="s">
        <v>697</v>
      </c>
      <c r="F151" s="451" t="s">
        <v>200</v>
      </c>
      <c r="G151" s="473" t="s">
        <v>525</v>
      </c>
      <c r="H151" s="451" t="s">
        <v>559</v>
      </c>
      <c r="I151" s="451" t="s">
        <v>43</v>
      </c>
      <c r="J151" s="474">
        <v>928242</v>
      </c>
      <c r="K151" s="474"/>
      <c r="L151" s="474">
        <v>928242</v>
      </c>
      <c r="M151" s="475"/>
      <c r="N151" s="475"/>
      <c r="O151" s="475"/>
      <c r="P151" s="475"/>
      <c r="Q151" s="475"/>
      <c r="R151" s="475"/>
      <c r="S151" s="475"/>
      <c r="T151" s="475"/>
      <c r="U151" s="475"/>
      <c r="V151" s="475"/>
      <c r="W151" s="475"/>
      <c r="X151" s="475"/>
      <c r="Y151" s="475">
        <f t="shared" si="9"/>
        <v>0</v>
      </c>
      <c r="Z151" s="476">
        <v>2</v>
      </c>
      <c r="AA151" s="477">
        <v>12</v>
      </c>
      <c r="AB151" s="478">
        <v>44225</v>
      </c>
      <c r="AC151" s="479">
        <v>44244</v>
      </c>
      <c r="AD151" s="476"/>
      <c r="AE151" s="477"/>
      <c r="AF151" s="478"/>
      <c r="AG151" s="478"/>
      <c r="AH151" s="476"/>
      <c r="AI151" s="477"/>
      <c r="AJ151" s="478"/>
      <c r="AK151" s="477"/>
      <c r="AL151" s="476"/>
      <c r="AM151" s="477"/>
      <c r="AN151" s="477"/>
      <c r="AO151" s="477"/>
      <c r="AP151" s="477"/>
      <c r="AQ151" s="477"/>
      <c r="AR151" s="477"/>
      <c r="AS151" s="477"/>
      <c r="AT151" s="480"/>
      <c r="AU151" s="475"/>
      <c r="AV151" s="475"/>
      <c r="AW151" s="475"/>
      <c r="AX151" s="480"/>
      <c r="AY151" s="475"/>
      <c r="AZ151" s="475"/>
      <c r="BA151" s="475"/>
      <c r="BB151" s="477">
        <f t="shared" si="10"/>
        <v>2</v>
      </c>
      <c r="BC151" s="477">
        <f t="shared" si="8"/>
        <v>2</v>
      </c>
    </row>
    <row r="152" spans="2:55" s="195" customFormat="1" ht="22.5" x14ac:dyDescent="0.25">
      <c r="B152" s="186">
        <f t="shared" si="11"/>
        <v>136</v>
      </c>
      <c r="C152" s="186" t="s">
        <v>38</v>
      </c>
      <c r="D152" s="450">
        <v>30484277</v>
      </c>
      <c r="E152" s="451" t="s">
        <v>698</v>
      </c>
      <c r="F152" s="451" t="s">
        <v>543</v>
      </c>
      <c r="G152" s="473" t="s">
        <v>525</v>
      </c>
      <c r="H152" s="451" t="s">
        <v>574</v>
      </c>
      <c r="I152" s="451" t="s">
        <v>43</v>
      </c>
      <c r="J152" s="474">
        <v>92302</v>
      </c>
      <c r="K152" s="474"/>
      <c r="L152" s="474">
        <v>92302</v>
      </c>
      <c r="M152" s="475">
        <v>8009.07</v>
      </c>
      <c r="N152" s="475"/>
      <c r="O152" s="475"/>
      <c r="P152" s="475">
        <v>0</v>
      </c>
      <c r="Q152" s="475">
        <v>0</v>
      </c>
      <c r="R152" s="475">
        <v>0</v>
      </c>
      <c r="S152" s="475"/>
      <c r="T152" s="475"/>
      <c r="U152" s="475"/>
      <c r="V152" s="475"/>
      <c r="W152" s="475"/>
      <c r="X152" s="475"/>
      <c r="Y152" s="475">
        <f t="shared" si="9"/>
        <v>8009.07</v>
      </c>
      <c r="Z152" s="476">
        <v>8011</v>
      </c>
      <c r="AA152" s="477">
        <v>9</v>
      </c>
      <c r="AB152" s="478">
        <v>44225</v>
      </c>
      <c r="AC152" s="479">
        <v>44243</v>
      </c>
      <c r="AD152" s="476"/>
      <c r="AE152" s="477"/>
      <c r="AF152" s="478"/>
      <c r="AG152" s="478"/>
      <c r="AH152" s="476"/>
      <c r="AI152" s="477"/>
      <c r="AJ152" s="478"/>
      <c r="AK152" s="477"/>
      <c r="AL152" s="476"/>
      <c r="AM152" s="477"/>
      <c r="AN152" s="477"/>
      <c r="AO152" s="477"/>
      <c r="AP152" s="477"/>
      <c r="AQ152" s="477"/>
      <c r="AR152" s="477"/>
      <c r="AS152" s="477"/>
      <c r="AT152" s="480"/>
      <c r="AU152" s="475"/>
      <c r="AV152" s="475"/>
      <c r="AW152" s="475"/>
      <c r="AX152" s="480"/>
      <c r="AY152" s="475"/>
      <c r="AZ152" s="475"/>
      <c r="BA152" s="475"/>
      <c r="BB152" s="477">
        <f t="shared" si="10"/>
        <v>8011</v>
      </c>
      <c r="BC152" s="477">
        <f t="shared" si="8"/>
        <v>1.930000000000291</v>
      </c>
    </row>
    <row r="153" spans="2:55" s="195" customFormat="1" ht="22.5" x14ac:dyDescent="0.25">
      <c r="B153" s="186">
        <f t="shared" si="11"/>
        <v>137</v>
      </c>
      <c r="C153" s="186" t="s">
        <v>38</v>
      </c>
      <c r="D153" s="450">
        <v>30483438</v>
      </c>
      <c r="E153" s="451" t="s">
        <v>699</v>
      </c>
      <c r="F153" s="451" t="s">
        <v>543</v>
      </c>
      <c r="G153" s="473" t="s">
        <v>525</v>
      </c>
      <c r="H153" s="451" t="s">
        <v>561</v>
      </c>
      <c r="I153" s="451" t="s">
        <v>42</v>
      </c>
      <c r="J153" s="474">
        <v>161792</v>
      </c>
      <c r="K153" s="474">
        <v>83317</v>
      </c>
      <c r="L153" s="474">
        <v>78475</v>
      </c>
      <c r="M153" s="475"/>
      <c r="N153" s="475"/>
      <c r="O153" s="475"/>
      <c r="P153" s="475">
        <v>6046.9</v>
      </c>
      <c r="Q153" s="475">
        <v>0</v>
      </c>
      <c r="R153" s="475">
        <v>0</v>
      </c>
      <c r="S153" s="475"/>
      <c r="T153" s="475"/>
      <c r="U153" s="475"/>
      <c r="V153" s="475"/>
      <c r="W153" s="475"/>
      <c r="X153" s="475"/>
      <c r="Y153" s="475">
        <f t="shared" si="9"/>
        <v>6046.9</v>
      </c>
      <c r="Z153" s="476">
        <v>78475</v>
      </c>
      <c r="AA153" s="477">
        <v>9</v>
      </c>
      <c r="AB153" s="478">
        <v>44225</v>
      </c>
      <c r="AC153" s="479">
        <v>44243</v>
      </c>
      <c r="AD153" s="476"/>
      <c r="AE153" s="477"/>
      <c r="AF153" s="478"/>
      <c r="AG153" s="478"/>
      <c r="AH153" s="476"/>
      <c r="AI153" s="477"/>
      <c r="AJ153" s="478"/>
      <c r="AK153" s="477"/>
      <c r="AL153" s="476"/>
      <c r="AM153" s="477"/>
      <c r="AN153" s="477"/>
      <c r="AO153" s="477"/>
      <c r="AP153" s="477"/>
      <c r="AQ153" s="477"/>
      <c r="AR153" s="477"/>
      <c r="AS153" s="477"/>
      <c r="AT153" s="480"/>
      <c r="AU153" s="475"/>
      <c r="AV153" s="475"/>
      <c r="AW153" s="475"/>
      <c r="AX153" s="480"/>
      <c r="AY153" s="475"/>
      <c r="AZ153" s="475"/>
      <c r="BA153" s="475"/>
      <c r="BB153" s="477">
        <f t="shared" si="10"/>
        <v>78475</v>
      </c>
      <c r="BC153" s="477">
        <f t="shared" si="8"/>
        <v>72428.100000000006</v>
      </c>
    </row>
    <row r="154" spans="2:55" s="195" customFormat="1" ht="22.5" x14ac:dyDescent="0.25">
      <c r="B154" s="186">
        <f t="shared" si="11"/>
        <v>138</v>
      </c>
      <c r="C154" s="186" t="s">
        <v>38</v>
      </c>
      <c r="D154" s="450">
        <v>30137113</v>
      </c>
      <c r="E154" s="451" t="s">
        <v>700</v>
      </c>
      <c r="F154" s="451" t="s">
        <v>543</v>
      </c>
      <c r="G154" s="473" t="s">
        <v>525</v>
      </c>
      <c r="H154" s="451" t="s">
        <v>584</v>
      </c>
      <c r="I154" s="451" t="s">
        <v>42</v>
      </c>
      <c r="J154" s="474">
        <v>112308</v>
      </c>
      <c r="K154" s="474">
        <v>84528</v>
      </c>
      <c r="L154" s="474">
        <v>27780</v>
      </c>
      <c r="M154" s="475"/>
      <c r="N154" s="475"/>
      <c r="O154" s="475"/>
      <c r="P154" s="475">
        <v>27780</v>
      </c>
      <c r="Q154" s="475">
        <v>0</v>
      </c>
      <c r="R154" s="475">
        <v>0</v>
      </c>
      <c r="S154" s="475"/>
      <c r="T154" s="475"/>
      <c r="U154" s="475"/>
      <c r="V154" s="475"/>
      <c r="W154" s="475"/>
      <c r="X154" s="475"/>
      <c r="Y154" s="475">
        <f t="shared" si="9"/>
        <v>27780</v>
      </c>
      <c r="Z154" s="476">
        <v>27780</v>
      </c>
      <c r="AA154" s="477">
        <v>9</v>
      </c>
      <c r="AB154" s="478">
        <v>44225</v>
      </c>
      <c r="AC154" s="479">
        <v>44243</v>
      </c>
      <c r="AD154" s="476"/>
      <c r="AE154" s="477"/>
      <c r="AF154" s="478"/>
      <c r="AG154" s="478"/>
      <c r="AH154" s="476"/>
      <c r="AI154" s="477"/>
      <c r="AJ154" s="478"/>
      <c r="AK154" s="477"/>
      <c r="AL154" s="476"/>
      <c r="AM154" s="477"/>
      <c r="AN154" s="477"/>
      <c r="AO154" s="477"/>
      <c r="AP154" s="477"/>
      <c r="AQ154" s="477"/>
      <c r="AR154" s="477"/>
      <c r="AS154" s="477"/>
      <c r="AT154" s="480"/>
      <c r="AU154" s="475"/>
      <c r="AV154" s="475"/>
      <c r="AW154" s="475"/>
      <c r="AX154" s="480"/>
      <c r="AY154" s="475"/>
      <c r="AZ154" s="475"/>
      <c r="BA154" s="475"/>
      <c r="BB154" s="477">
        <f t="shared" si="10"/>
        <v>27780</v>
      </c>
      <c r="BC154" s="477">
        <f t="shared" si="8"/>
        <v>0</v>
      </c>
    </row>
    <row r="155" spans="2:55" s="195" customFormat="1" x14ac:dyDescent="0.25">
      <c r="B155" s="186">
        <f t="shared" si="11"/>
        <v>139</v>
      </c>
      <c r="C155" s="186" t="s">
        <v>38</v>
      </c>
      <c r="D155" s="450">
        <v>40008164</v>
      </c>
      <c r="E155" s="451" t="s">
        <v>701</v>
      </c>
      <c r="F155" s="451" t="s">
        <v>200</v>
      </c>
      <c r="G155" s="473" t="s">
        <v>525</v>
      </c>
      <c r="H155" s="451" t="s">
        <v>632</v>
      </c>
      <c r="I155" s="451" t="s">
        <v>42</v>
      </c>
      <c r="J155" s="474">
        <v>273313</v>
      </c>
      <c r="K155" s="474">
        <v>3310</v>
      </c>
      <c r="L155" s="474">
        <v>270003</v>
      </c>
      <c r="M155" s="475"/>
      <c r="N155" s="475"/>
      <c r="O155" s="475">
        <v>221406.81099999999</v>
      </c>
      <c r="P155" s="475">
        <v>3976.596</v>
      </c>
      <c r="Q155" s="475">
        <v>0</v>
      </c>
      <c r="R155" s="475">
        <v>0</v>
      </c>
      <c r="S155" s="475"/>
      <c r="T155" s="475"/>
      <c r="U155" s="475"/>
      <c r="V155" s="475"/>
      <c r="W155" s="475"/>
      <c r="X155" s="475"/>
      <c r="Y155" s="475">
        <f t="shared" si="9"/>
        <v>225383.40699999998</v>
      </c>
      <c r="Z155" s="476">
        <v>270003</v>
      </c>
      <c r="AA155" s="477">
        <v>9</v>
      </c>
      <c r="AB155" s="478">
        <v>44225</v>
      </c>
      <c r="AC155" s="479">
        <v>44243</v>
      </c>
      <c r="AD155" s="476"/>
      <c r="AE155" s="477"/>
      <c r="AF155" s="478"/>
      <c r="AG155" s="478"/>
      <c r="AH155" s="476"/>
      <c r="AI155" s="477"/>
      <c r="AJ155" s="478"/>
      <c r="AK155" s="477"/>
      <c r="AL155" s="476"/>
      <c r="AM155" s="477"/>
      <c r="AN155" s="477"/>
      <c r="AO155" s="477"/>
      <c r="AP155" s="477"/>
      <c r="AQ155" s="477"/>
      <c r="AR155" s="477"/>
      <c r="AS155" s="477"/>
      <c r="AT155" s="480"/>
      <c r="AU155" s="475"/>
      <c r="AV155" s="475"/>
      <c r="AW155" s="475"/>
      <c r="AX155" s="480"/>
      <c r="AY155" s="475"/>
      <c r="AZ155" s="475"/>
      <c r="BA155" s="475"/>
      <c r="BB155" s="477">
        <f t="shared" si="10"/>
        <v>270003</v>
      </c>
      <c r="BC155" s="477">
        <f t="shared" si="8"/>
        <v>44619.593000000023</v>
      </c>
    </row>
    <row r="156" spans="2:55" s="195" customFormat="1" ht="22.5" x14ac:dyDescent="0.25">
      <c r="B156" s="186">
        <f t="shared" si="11"/>
        <v>140</v>
      </c>
      <c r="C156" s="186" t="s">
        <v>38</v>
      </c>
      <c r="D156" s="450">
        <v>30486478</v>
      </c>
      <c r="E156" s="451" t="s">
        <v>702</v>
      </c>
      <c r="F156" s="451" t="s">
        <v>200</v>
      </c>
      <c r="G156" s="473" t="s">
        <v>525</v>
      </c>
      <c r="H156" s="451" t="s">
        <v>525</v>
      </c>
      <c r="I156" s="451" t="s">
        <v>43</v>
      </c>
      <c r="J156" s="474">
        <v>1857523</v>
      </c>
      <c r="K156" s="474"/>
      <c r="L156" s="474">
        <v>1857523</v>
      </c>
      <c r="M156" s="475"/>
      <c r="N156" s="475"/>
      <c r="O156" s="475">
        <v>92334.857999999993</v>
      </c>
      <c r="P156" s="475">
        <v>68868.969000000012</v>
      </c>
      <c r="Q156" s="475">
        <v>161693.18300000002</v>
      </c>
      <c r="R156" s="475">
        <v>66117.921999999991</v>
      </c>
      <c r="S156" s="475"/>
      <c r="T156" s="475"/>
      <c r="U156" s="475"/>
      <c r="V156" s="475"/>
      <c r="W156" s="475"/>
      <c r="X156" s="475"/>
      <c r="Y156" s="475">
        <f t="shared" si="9"/>
        <v>389014.93200000003</v>
      </c>
      <c r="Z156" s="476">
        <v>1618158</v>
      </c>
      <c r="AA156" s="477">
        <v>9</v>
      </c>
      <c r="AB156" s="478">
        <v>44225</v>
      </c>
      <c r="AC156" s="479">
        <v>44243</v>
      </c>
      <c r="AD156" s="476">
        <v>-300000</v>
      </c>
      <c r="AE156" s="477">
        <v>49</v>
      </c>
      <c r="AF156" s="478">
        <v>44348</v>
      </c>
      <c r="AG156" s="479">
        <v>44354</v>
      </c>
      <c r="AH156" s="476"/>
      <c r="AI156" s="477"/>
      <c r="AJ156" s="478"/>
      <c r="AK156" s="477"/>
      <c r="AL156" s="476"/>
      <c r="AM156" s="477"/>
      <c r="AN156" s="477"/>
      <c r="AO156" s="477"/>
      <c r="AP156" s="477"/>
      <c r="AQ156" s="477"/>
      <c r="AR156" s="477"/>
      <c r="AS156" s="477"/>
      <c r="AT156" s="480"/>
      <c r="AU156" s="475"/>
      <c r="AV156" s="475"/>
      <c r="AW156" s="475"/>
      <c r="AX156" s="480"/>
      <c r="AY156" s="475"/>
      <c r="AZ156" s="475"/>
      <c r="BA156" s="475"/>
      <c r="BB156" s="477">
        <f t="shared" si="10"/>
        <v>1318158</v>
      </c>
      <c r="BC156" s="477">
        <f t="shared" si="8"/>
        <v>929143.06799999997</v>
      </c>
    </row>
    <row r="157" spans="2:55" s="195" customFormat="1" x14ac:dyDescent="0.25">
      <c r="B157" s="186">
        <f t="shared" si="11"/>
        <v>141</v>
      </c>
      <c r="C157" s="186" t="s">
        <v>38</v>
      </c>
      <c r="D157" s="450">
        <v>40004699</v>
      </c>
      <c r="E157" s="451" t="s">
        <v>703</v>
      </c>
      <c r="F157" s="451" t="s">
        <v>200</v>
      </c>
      <c r="G157" s="473" t="s">
        <v>525</v>
      </c>
      <c r="H157" s="451" t="s">
        <v>525</v>
      </c>
      <c r="I157" s="451" t="s">
        <v>43</v>
      </c>
      <c r="J157" s="474">
        <v>787657</v>
      </c>
      <c r="K157" s="474"/>
      <c r="L157" s="474">
        <v>787657</v>
      </c>
      <c r="M157" s="475"/>
      <c r="N157" s="475"/>
      <c r="O157" s="475"/>
      <c r="P157" s="475"/>
      <c r="Q157" s="475"/>
      <c r="R157" s="475"/>
      <c r="S157" s="475"/>
      <c r="T157" s="475"/>
      <c r="U157" s="475"/>
      <c r="V157" s="475"/>
      <c r="W157" s="475"/>
      <c r="X157" s="475"/>
      <c r="Y157" s="475">
        <f t="shared" si="9"/>
        <v>0</v>
      </c>
      <c r="Z157" s="476">
        <v>5</v>
      </c>
      <c r="AA157" s="477">
        <v>9</v>
      </c>
      <c r="AB157" s="478">
        <v>44225</v>
      </c>
      <c r="AC157" s="479">
        <v>44243</v>
      </c>
      <c r="AD157" s="476"/>
      <c r="AE157" s="477"/>
      <c r="AF157" s="478"/>
      <c r="AG157" s="478"/>
      <c r="AH157" s="476"/>
      <c r="AI157" s="477"/>
      <c r="AJ157" s="478"/>
      <c r="AK157" s="477"/>
      <c r="AL157" s="476"/>
      <c r="AM157" s="477"/>
      <c r="AN157" s="477"/>
      <c r="AO157" s="477"/>
      <c r="AP157" s="477"/>
      <c r="AQ157" s="477"/>
      <c r="AR157" s="477"/>
      <c r="AS157" s="477"/>
      <c r="AT157" s="480"/>
      <c r="AU157" s="475"/>
      <c r="AV157" s="475"/>
      <c r="AW157" s="475"/>
      <c r="AX157" s="480"/>
      <c r="AY157" s="475"/>
      <c r="AZ157" s="475"/>
      <c r="BA157" s="475"/>
      <c r="BB157" s="477">
        <f t="shared" si="10"/>
        <v>5</v>
      </c>
      <c r="BC157" s="477">
        <f t="shared" si="8"/>
        <v>5</v>
      </c>
    </row>
    <row r="158" spans="2:55" s="195" customFormat="1" ht="22.5" x14ac:dyDescent="0.25">
      <c r="B158" s="186">
        <f t="shared" si="11"/>
        <v>142</v>
      </c>
      <c r="C158" s="186" t="s">
        <v>38</v>
      </c>
      <c r="D158" s="450">
        <v>40011611</v>
      </c>
      <c r="E158" s="451" t="s">
        <v>704</v>
      </c>
      <c r="F158" s="451" t="s">
        <v>543</v>
      </c>
      <c r="G158" s="473" t="s">
        <v>525</v>
      </c>
      <c r="H158" s="451" t="s">
        <v>623</v>
      </c>
      <c r="I158" s="451" t="s">
        <v>43</v>
      </c>
      <c r="J158" s="474">
        <v>86118</v>
      </c>
      <c r="K158" s="474"/>
      <c r="L158" s="474">
        <v>86118</v>
      </c>
      <c r="M158" s="475"/>
      <c r="N158" s="475"/>
      <c r="O158" s="475"/>
      <c r="P158" s="475">
        <v>0</v>
      </c>
      <c r="Q158" s="475">
        <v>28963.599999999999</v>
      </c>
      <c r="R158" s="475">
        <v>21722.7</v>
      </c>
      <c r="S158" s="475"/>
      <c r="T158" s="475"/>
      <c r="U158" s="475"/>
      <c r="V158" s="475"/>
      <c r="W158" s="475"/>
      <c r="X158" s="475"/>
      <c r="Y158" s="475">
        <f t="shared" si="9"/>
        <v>50686.3</v>
      </c>
      <c r="Z158" s="476">
        <v>86118</v>
      </c>
      <c r="AA158" s="477">
        <v>10</v>
      </c>
      <c r="AB158" s="478">
        <v>44222</v>
      </c>
      <c r="AC158" s="479">
        <v>44243</v>
      </c>
      <c r="AD158" s="476"/>
      <c r="AE158" s="477"/>
      <c r="AF158" s="478"/>
      <c r="AG158" s="478"/>
      <c r="AH158" s="476"/>
      <c r="AI158" s="477"/>
      <c r="AJ158" s="478"/>
      <c r="AK158" s="477"/>
      <c r="AL158" s="476"/>
      <c r="AM158" s="477"/>
      <c r="AN158" s="477"/>
      <c r="AO158" s="477"/>
      <c r="AP158" s="477"/>
      <c r="AQ158" s="477"/>
      <c r="AR158" s="477"/>
      <c r="AS158" s="477"/>
      <c r="AT158" s="480"/>
      <c r="AU158" s="475"/>
      <c r="AV158" s="475"/>
      <c r="AW158" s="475"/>
      <c r="AX158" s="480"/>
      <c r="AY158" s="475"/>
      <c r="AZ158" s="475"/>
      <c r="BA158" s="475"/>
      <c r="BB158" s="477">
        <f t="shared" si="10"/>
        <v>86118</v>
      </c>
      <c r="BC158" s="477">
        <f t="shared" si="8"/>
        <v>35431.699999999997</v>
      </c>
    </row>
    <row r="159" spans="2:55" s="195" customFormat="1" ht="22.5" x14ac:dyDescent="0.25">
      <c r="B159" s="186">
        <f t="shared" si="11"/>
        <v>143</v>
      </c>
      <c r="C159" s="186" t="s">
        <v>38</v>
      </c>
      <c r="D159" s="450">
        <v>40008006</v>
      </c>
      <c r="E159" s="451" t="s">
        <v>705</v>
      </c>
      <c r="F159" s="451" t="s">
        <v>543</v>
      </c>
      <c r="G159" s="473" t="s">
        <v>525</v>
      </c>
      <c r="H159" s="451" t="s">
        <v>537</v>
      </c>
      <c r="I159" s="451" t="s">
        <v>43</v>
      </c>
      <c r="J159" s="474">
        <v>188516</v>
      </c>
      <c r="K159" s="474"/>
      <c r="L159" s="474">
        <v>188516</v>
      </c>
      <c r="M159" s="475"/>
      <c r="N159" s="475"/>
      <c r="O159" s="475"/>
      <c r="P159" s="475">
        <v>0</v>
      </c>
      <c r="Q159" s="475">
        <v>49809.235000000001</v>
      </c>
      <c r="R159" s="475">
        <v>0</v>
      </c>
      <c r="S159" s="475"/>
      <c r="T159" s="475"/>
      <c r="U159" s="475"/>
      <c r="V159" s="475"/>
      <c r="W159" s="475"/>
      <c r="X159" s="475"/>
      <c r="Y159" s="475">
        <f t="shared" si="9"/>
        <v>49809.235000000001</v>
      </c>
      <c r="Z159" s="476">
        <v>188516</v>
      </c>
      <c r="AA159" s="477">
        <v>10</v>
      </c>
      <c r="AB159" s="478">
        <v>44222</v>
      </c>
      <c r="AC159" s="479">
        <v>44243</v>
      </c>
      <c r="AD159" s="476"/>
      <c r="AE159" s="477"/>
      <c r="AF159" s="478"/>
      <c r="AG159" s="478"/>
      <c r="AH159" s="476"/>
      <c r="AI159" s="477"/>
      <c r="AJ159" s="478"/>
      <c r="AK159" s="477"/>
      <c r="AL159" s="476"/>
      <c r="AM159" s="477"/>
      <c r="AN159" s="477"/>
      <c r="AO159" s="477"/>
      <c r="AP159" s="477"/>
      <c r="AQ159" s="477"/>
      <c r="AR159" s="477"/>
      <c r="AS159" s="477"/>
      <c r="AT159" s="480"/>
      <c r="AU159" s="475"/>
      <c r="AV159" s="475"/>
      <c r="AW159" s="475"/>
      <c r="AX159" s="480"/>
      <c r="AY159" s="475"/>
      <c r="AZ159" s="475"/>
      <c r="BA159" s="475"/>
      <c r="BB159" s="477">
        <f t="shared" si="10"/>
        <v>188516</v>
      </c>
      <c r="BC159" s="477">
        <f t="shared" si="8"/>
        <v>138706.76500000001</v>
      </c>
    </row>
    <row r="160" spans="2:55" s="195" customFormat="1" ht="22.5" x14ac:dyDescent="0.25">
      <c r="B160" s="186">
        <f t="shared" si="11"/>
        <v>144</v>
      </c>
      <c r="C160" s="186" t="s">
        <v>40</v>
      </c>
      <c r="D160" s="450">
        <v>40015002</v>
      </c>
      <c r="E160" s="451" t="s">
        <v>706</v>
      </c>
      <c r="F160" s="451" t="s">
        <v>200</v>
      </c>
      <c r="G160" s="473" t="s">
        <v>525</v>
      </c>
      <c r="H160" s="451" t="s">
        <v>525</v>
      </c>
      <c r="I160" s="451" t="s">
        <v>43</v>
      </c>
      <c r="J160" s="474">
        <v>115661</v>
      </c>
      <c r="K160" s="474"/>
      <c r="L160" s="474">
        <v>115661</v>
      </c>
      <c r="M160" s="475"/>
      <c r="N160" s="475"/>
      <c r="O160" s="475">
        <v>5512.5</v>
      </c>
      <c r="P160" s="475">
        <v>22050</v>
      </c>
      <c r="Q160" s="475">
        <v>0</v>
      </c>
      <c r="R160" s="475">
        <v>0</v>
      </c>
      <c r="S160" s="475"/>
      <c r="T160" s="475"/>
      <c r="U160" s="475"/>
      <c r="V160" s="475"/>
      <c r="W160" s="475"/>
      <c r="X160" s="475"/>
      <c r="Y160" s="475">
        <f t="shared" si="9"/>
        <v>27562.5</v>
      </c>
      <c r="Z160" s="476">
        <v>31734</v>
      </c>
      <c r="AA160" s="477">
        <v>10</v>
      </c>
      <c r="AB160" s="478">
        <v>44222</v>
      </c>
      <c r="AC160" s="479">
        <v>44243</v>
      </c>
      <c r="AD160" s="476"/>
      <c r="AE160" s="477"/>
      <c r="AF160" s="478"/>
      <c r="AG160" s="478"/>
      <c r="AH160" s="476"/>
      <c r="AI160" s="477"/>
      <c r="AJ160" s="478"/>
      <c r="AK160" s="477"/>
      <c r="AL160" s="476"/>
      <c r="AM160" s="477"/>
      <c r="AN160" s="477"/>
      <c r="AO160" s="477"/>
      <c r="AP160" s="477"/>
      <c r="AQ160" s="477"/>
      <c r="AR160" s="477"/>
      <c r="AS160" s="477"/>
      <c r="AT160" s="480"/>
      <c r="AU160" s="475"/>
      <c r="AV160" s="475"/>
      <c r="AW160" s="475"/>
      <c r="AX160" s="480"/>
      <c r="AY160" s="475"/>
      <c r="AZ160" s="475"/>
      <c r="BA160" s="475"/>
      <c r="BB160" s="477">
        <f t="shared" si="10"/>
        <v>31734</v>
      </c>
      <c r="BC160" s="477">
        <f t="shared" si="8"/>
        <v>4171.5</v>
      </c>
    </row>
    <row r="161" spans="2:55" s="195" customFormat="1" ht="22.5" x14ac:dyDescent="0.25">
      <c r="B161" s="186">
        <f t="shared" si="11"/>
        <v>145</v>
      </c>
      <c r="C161" s="186" t="s">
        <v>38</v>
      </c>
      <c r="D161" s="450">
        <v>30347822</v>
      </c>
      <c r="E161" s="451" t="s">
        <v>707</v>
      </c>
      <c r="F161" s="451" t="s">
        <v>543</v>
      </c>
      <c r="G161" s="473" t="s">
        <v>525</v>
      </c>
      <c r="H161" s="451" t="s">
        <v>584</v>
      </c>
      <c r="I161" s="451" t="s">
        <v>42</v>
      </c>
      <c r="J161" s="474">
        <v>185535</v>
      </c>
      <c r="K161" s="474">
        <v>164394</v>
      </c>
      <c r="L161" s="474">
        <v>21141</v>
      </c>
      <c r="M161" s="475"/>
      <c r="N161" s="475"/>
      <c r="O161" s="475"/>
      <c r="P161" s="475"/>
      <c r="Q161" s="475"/>
      <c r="R161" s="475"/>
      <c r="S161" s="475"/>
      <c r="T161" s="475"/>
      <c r="U161" s="475"/>
      <c r="V161" s="475"/>
      <c r="W161" s="475"/>
      <c r="X161" s="475"/>
      <c r="Y161" s="475">
        <f t="shared" si="9"/>
        <v>0</v>
      </c>
      <c r="Z161" s="476">
        <v>21139</v>
      </c>
      <c r="AA161" s="477">
        <v>13</v>
      </c>
      <c r="AB161" s="478">
        <v>44231</v>
      </c>
      <c r="AC161" s="479">
        <v>44251</v>
      </c>
      <c r="AD161" s="476"/>
      <c r="AE161" s="477"/>
      <c r="AF161" s="478"/>
      <c r="AG161" s="478"/>
      <c r="AH161" s="476"/>
      <c r="AI161" s="477"/>
      <c r="AJ161" s="478"/>
      <c r="AK161" s="477"/>
      <c r="AL161" s="476"/>
      <c r="AM161" s="477"/>
      <c r="AN161" s="477"/>
      <c r="AO161" s="477"/>
      <c r="AP161" s="477"/>
      <c r="AQ161" s="477"/>
      <c r="AR161" s="477"/>
      <c r="AS161" s="477"/>
      <c r="AT161" s="480"/>
      <c r="AU161" s="475"/>
      <c r="AV161" s="475"/>
      <c r="AW161" s="475"/>
      <c r="AX161" s="480"/>
      <c r="AY161" s="475"/>
      <c r="AZ161" s="475"/>
      <c r="BA161" s="475"/>
      <c r="BB161" s="477">
        <f t="shared" si="10"/>
        <v>21139</v>
      </c>
      <c r="BC161" s="477">
        <f t="shared" si="8"/>
        <v>21139</v>
      </c>
    </row>
    <row r="162" spans="2:55" s="195" customFormat="1" x14ac:dyDescent="0.25">
      <c r="B162" s="186">
        <f t="shared" si="11"/>
        <v>146</v>
      </c>
      <c r="C162" s="186" t="s">
        <v>38</v>
      </c>
      <c r="D162" s="450">
        <v>40000533</v>
      </c>
      <c r="E162" s="451" t="s">
        <v>708</v>
      </c>
      <c r="F162" s="451" t="s">
        <v>543</v>
      </c>
      <c r="G162" s="473" t="s">
        <v>525</v>
      </c>
      <c r="H162" s="451" t="s">
        <v>649</v>
      </c>
      <c r="I162" s="451" t="s">
        <v>42</v>
      </c>
      <c r="J162" s="474">
        <v>75633</v>
      </c>
      <c r="K162" s="474">
        <v>15141</v>
      </c>
      <c r="L162" s="474">
        <v>60492</v>
      </c>
      <c r="M162" s="475"/>
      <c r="N162" s="475"/>
      <c r="O162" s="475"/>
      <c r="P162" s="475"/>
      <c r="Q162" s="475"/>
      <c r="R162" s="475"/>
      <c r="S162" s="475"/>
      <c r="T162" s="475"/>
      <c r="U162" s="475"/>
      <c r="V162" s="475"/>
      <c r="W162" s="475"/>
      <c r="X162" s="475"/>
      <c r="Y162" s="475">
        <f t="shared" si="9"/>
        <v>0</v>
      </c>
      <c r="Z162" s="476">
        <v>60492</v>
      </c>
      <c r="AA162" s="477">
        <v>13</v>
      </c>
      <c r="AB162" s="478">
        <v>44231</v>
      </c>
      <c r="AC162" s="479">
        <v>44251</v>
      </c>
      <c r="AD162" s="476"/>
      <c r="AE162" s="477"/>
      <c r="AF162" s="478"/>
      <c r="AG162" s="478"/>
      <c r="AH162" s="476"/>
      <c r="AI162" s="477"/>
      <c r="AJ162" s="478"/>
      <c r="AK162" s="477"/>
      <c r="AL162" s="476"/>
      <c r="AM162" s="477"/>
      <c r="AN162" s="477"/>
      <c r="AO162" s="477"/>
      <c r="AP162" s="477"/>
      <c r="AQ162" s="477"/>
      <c r="AR162" s="477"/>
      <c r="AS162" s="477"/>
      <c r="AT162" s="480"/>
      <c r="AU162" s="475"/>
      <c r="AV162" s="475"/>
      <c r="AW162" s="475"/>
      <c r="AX162" s="480"/>
      <c r="AY162" s="475"/>
      <c r="AZ162" s="475"/>
      <c r="BA162" s="475"/>
      <c r="BB162" s="477">
        <f t="shared" si="10"/>
        <v>60492</v>
      </c>
      <c r="BC162" s="477">
        <f t="shared" si="8"/>
        <v>60492</v>
      </c>
    </row>
    <row r="163" spans="2:55" s="195" customFormat="1" ht="22.5" x14ac:dyDescent="0.25">
      <c r="B163" s="186">
        <f t="shared" si="11"/>
        <v>147</v>
      </c>
      <c r="C163" s="186" t="s">
        <v>38</v>
      </c>
      <c r="D163" s="450">
        <v>30465839</v>
      </c>
      <c r="E163" s="451" t="s">
        <v>709</v>
      </c>
      <c r="F163" s="451" t="s">
        <v>543</v>
      </c>
      <c r="G163" s="473" t="s">
        <v>525</v>
      </c>
      <c r="H163" s="451" t="s">
        <v>584</v>
      </c>
      <c r="I163" s="451" t="s">
        <v>42</v>
      </c>
      <c r="J163" s="474">
        <v>64129</v>
      </c>
      <c r="K163" s="474">
        <v>12932</v>
      </c>
      <c r="L163" s="474">
        <v>51197</v>
      </c>
      <c r="M163" s="475"/>
      <c r="N163" s="475"/>
      <c r="O163" s="475"/>
      <c r="P163" s="475"/>
      <c r="Q163" s="475"/>
      <c r="R163" s="475"/>
      <c r="S163" s="475"/>
      <c r="T163" s="475"/>
      <c r="U163" s="475"/>
      <c r="V163" s="475"/>
      <c r="W163" s="475"/>
      <c r="X163" s="475"/>
      <c r="Y163" s="475">
        <f t="shared" si="9"/>
        <v>0</v>
      </c>
      <c r="Z163" s="476">
        <v>51197</v>
      </c>
      <c r="AA163" s="477">
        <v>13</v>
      </c>
      <c r="AB163" s="478">
        <v>44231</v>
      </c>
      <c r="AC163" s="479">
        <v>44251</v>
      </c>
      <c r="AD163" s="476"/>
      <c r="AE163" s="477"/>
      <c r="AF163" s="478"/>
      <c r="AG163" s="478"/>
      <c r="AH163" s="476"/>
      <c r="AI163" s="477"/>
      <c r="AJ163" s="478"/>
      <c r="AK163" s="477"/>
      <c r="AL163" s="476"/>
      <c r="AM163" s="477"/>
      <c r="AN163" s="477"/>
      <c r="AO163" s="477"/>
      <c r="AP163" s="477"/>
      <c r="AQ163" s="477"/>
      <c r="AR163" s="477"/>
      <c r="AS163" s="477"/>
      <c r="AT163" s="480"/>
      <c r="AU163" s="475"/>
      <c r="AV163" s="475"/>
      <c r="AW163" s="475"/>
      <c r="AX163" s="480"/>
      <c r="AY163" s="475"/>
      <c r="AZ163" s="475"/>
      <c r="BA163" s="475"/>
      <c r="BB163" s="477">
        <f t="shared" si="10"/>
        <v>51197</v>
      </c>
      <c r="BC163" s="477">
        <f t="shared" si="8"/>
        <v>51197</v>
      </c>
    </row>
    <row r="164" spans="2:55" s="195" customFormat="1" ht="22.5" x14ac:dyDescent="0.25">
      <c r="B164" s="186">
        <f t="shared" si="11"/>
        <v>148</v>
      </c>
      <c r="C164" s="186" t="s">
        <v>38</v>
      </c>
      <c r="D164" s="450">
        <v>40000301</v>
      </c>
      <c r="E164" s="451" t="s">
        <v>710</v>
      </c>
      <c r="F164" s="451" t="s">
        <v>543</v>
      </c>
      <c r="G164" s="473" t="s">
        <v>525</v>
      </c>
      <c r="H164" s="451" t="s">
        <v>574</v>
      </c>
      <c r="I164" s="451" t="s">
        <v>42</v>
      </c>
      <c r="J164" s="474">
        <v>31633</v>
      </c>
      <c r="K164" s="474">
        <v>22363</v>
      </c>
      <c r="L164" s="474">
        <v>9270</v>
      </c>
      <c r="M164" s="475"/>
      <c r="N164" s="475">
        <v>9270</v>
      </c>
      <c r="O164" s="475"/>
      <c r="P164" s="475">
        <v>0</v>
      </c>
      <c r="Q164" s="475">
        <v>0</v>
      </c>
      <c r="R164" s="475">
        <v>0</v>
      </c>
      <c r="S164" s="475"/>
      <c r="T164" s="475"/>
      <c r="U164" s="475"/>
      <c r="V164" s="475"/>
      <c r="W164" s="475"/>
      <c r="X164" s="475"/>
      <c r="Y164" s="475">
        <f t="shared" si="9"/>
        <v>9270</v>
      </c>
      <c r="Z164" s="476">
        <v>9270</v>
      </c>
      <c r="AA164" s="477">
        <v>13</v>
      </c>
      <c r="AB164" s="478">
        <v>44231</v>
      </c>
      <c r="AC164" s="479">
        <v>44251</v>
      </c>
      <c r="AD164" s="476"/>
      <c r="AE164" s="477"/>
      <c r="AF164" s="478"/>
      <c r="AG164" s="478"/>
      <c r="AH164" s="476"/>
      <c r="AI164" s="477"/>
      <c r="AJ164" s="478"/>
      <c r="AK164" s="477"/>
      <c r="AL164" s="476"/>
      <c r="AM164" s="477"/>
      <c r="AN164" s="477"/>
      <c r="AO164" s="477"/>
      <c r="AP164" s="477"/>
      <c r="AQ164" s="477"/>
      <c r="AR164" s="477"/>
      <c r="AS164" s="477"/>
      <c r="AT164" s="480"/>
      <c r="AU164" s="475"/>
      <c r="AV164" s="475"/>
      <c r="AW164" s="475"/>
      <c r="AX164" s="480"/>
      <c r="AY164" s="475"/>
      <c r="AZ164" s="475"/>
      <c r="BA164" s="475"/>
      <c r="BB164" s="477">
        <f t="shared" si="10"/>
        <v>9270</v>
      </c>
      <c r="BC164" s="477">
        <f t="shared" si="8"/>
        <v>0</v>
      </c>
    </row>
    <row r="165" spans="2:55" s="195" customFormat="1" ht="22.5" x14ac:dyDescent="0.25">
      <c r="B165" s="186">
        <f t="shared" si="11"/>
        <v>149</v>
      </c>
      <c r="C165" s="186" t="s">
        <v>38</v>
      </c>
      <c r="D165" s="450">
        <v>30314472</v>
      </c>
      <c r="E165" s="451" t="s">
        <v>711</v>
      </c>
      <c r="F165" s="451" t="s">
        <v>543</v>
      </c>
      <c r="G165" s="473" t="s">
        <v>525</v>
      </c>
      <c r="H165" s="451" t="s">
        <v>525</v>
      </c>
      <c r="I165" s="451" t="s">
        <v>42</v>
      </c>
      <c r="J165" s="474">
        <v>42717</v>
      </c>
      <c r="K165" s="474">
        <v>21438</v>
      </c>
      <c r="L165" s="474">
        <v>21279</v>
      </c>
      <c r="M165" s="475"/>
      <c r="N165" s="475"/>
      <c r="O165" s="475"/>
      <c r="P165" s="475"/>
      <c r="Q165" s="475"/>
      <c r="R165" s="475"/>
      <c r="S165" s="475"/>
      <c r="T165" s="475"/>
      <c r="U165" s="475"/>
      <c r="V165" s="475"/>
      <c r="W165" s="475"/>
      <c r="X165" s="475"/>
      <c r="Y165" s="475">
        <f t="shared" si="9"/>
        <v>0</v>
      </c>
      <c r="Z165" s="476">
        <v>20743</v>
      </c>
      <c r="AA165" s="477">
        <v>13</v>
      </c>
      <c r="AB165" s="478">
        <v>44231</v>
      </c>
      <c r="AC165" s="479">
        <v>44251</v>
      </c>
      <c r="AD165" s="476"/>
      <c r="AE165" s="477"/>
      <c r="AF165" s="478"/>
      <c r="AG165" s="478"/>
      <c r="AH165" s="476"/>
      <c r="AI165" s="477"/>
      <c r="AJ165" s="478"/>
      <c r="AK165" s="477"/>
      <c r="AL165" s="476"/>
      <c r="AM165" s="477"/>
      <c r="AN165" s="477"/>
      <c r="AO165" s="477"/>
      <c r="AP165" s="477"/>
      <c r="AQ165" s="477"/>
      <c r="AR165" s="477"/>
      <c r="AS165" s="477"/>
      <c r="AT165" s="480"/>
      <c r="AU165" s="475"/>
      <c r="AV165" s="475"/>
      <c r="AW165" s="475"/>
      <c r="AX165" s="480"/>
      <c r="AY165" s="475"/>
      <c r="AZ165" s="475"/>
      <c r="BA165" s="475"/>
      <c r="BB165" s="477">
        <f t="shared" si="10"/>
        <v>20743</v>
      </c>
      <c r="BC165" s="477">
        <f t="shared" si="8"/>
        <v>20743</v>
      </c>
    </row>
    <row r="166" spans="2:55" s="195" customFormat="1" ht="22.5" x14ac:dyDescent="0.25">
      <c r="B166" s="186">
        <f t="shared" si="11"/>
        <v>150</v>
      </c>
      <c r="C166" s="186" t="s">
        <v>38</v>
      </c>
      <c r="D166" s="450">
        <v>40003274</v>
      </c>
      <c r="E166" s="451" t="s">
        <v>712</v>
      </c>
      <c r="F166" s="451" t="s">
        <v>543</v>
      </c>
      <c r="G166" s="473" t="s">
        <v>525</v>
      </c>
      <c r="H166" s="451" t="s">
        <v>649</v>
      </c>
      <c r="I166" s="451" t="s">
        <v>42</v>
      </c>
      <c r="J166" s="474">
        <v>36303</v>
      </c>
      <c r="K166" s="474">
        <v>10732</v>
      </c>
      <c r="L166" s="474">
        <v>25571</v>
      </c>
      <c r="M166" s="475"/>
      <c r="N166" s="475"/>
      <c r="O166" s="475"/>
      <c r="P166" s="475"/>
      <c r="Q166" s="475"/>
      <c r="R166" s="475"/>
      <c r="S166" s="475"/>
      <c r="T166" s="475"/>
      <c r="U166" s="475"/>
      <c r="V166" s="475"/>
      <c r="W166" s="475"/>
      <c r="X166" s="475"/>
      <c r="Y166" s="475">
        <f t="shared" si="9"/>
        <v>0</v>
      </c>
      <c r="Z166" s="476">
        <v>25571</v>
      </c>
      <c r="AA166" s="477">
        <v>13</v>
      </c>
      <c r="AB166" s="478">
        <v>44231</v>
      </c>
      <c r="AC166" s="479">
        <v>44251</v>
      </c>
      <c r="AD166" s="476"/>
      <c r="AE166" s="477"/>
      <c r="AF166" s="478"/>
      <c r="AG166" s="478"/>
      <c r="AH166" s="476"/>
      <c r="AI166" s="477"/>
      <c r="AJ166" s="478"/>
      <c r="AK166" s="477"/>
      <c r="AL166" s="476"/>
      <c r="AM166" s="477"/>
      <c r="AN166" s="477"/>
      <c r="AO166" s="477"/>
      <c r="AP166" s="477"/>
      <c r="AQ166" s="477"/>
      <c r="AR166" s="477"/>
      <c r="AS166" s="477"/>
      <c r="AT166" s="480"/>
      <c r="AU166" s="475"/>
      <c r="AV166" s="475"/>
      <c r="AW166" s="475"/>
      <c r="AX166" s="480"/>
      <c r="AY166" s="475"/>
      <c r="AZ166" s="475"/>
      <c r="BA166" s="475"/>
      <c r="BB166" s="477">
        <f t="shared" si="10"/>
        <v>25571</v>
      </c>
      <c r="BC166" s="477">
        <f t="shared" si="8"/>
        <v>25571</v>
      </c>
    </row>
    <row r="167" spans="2:55" s="195" customFormat="1" ht="22.5" x14ac:dyDescent="0.25">
      <c r="B167" s="186">
        <f t="shared" si="11"/>
        <v>151</v>
      </c>
      <c r="C167" s="186" t="s">
        <v>38</v>
      </c>
      <c r="D167" s="450">
        <v>40004673</v>
      </c>
      <c r="E167" s="451" t="s">
        <v>713</v>
      </c>
      <c r="F167" s="451" t="s">
        <v>543</v>
      </c>
      <c r="G167" s="473" t="s">
        <v>525</v>
      </c>
      <c r="H167" s="451" t="s">
        <v>649</v>
      </c>
      <c r="I167" s="451" t="s">
        <v>42</v>
      </c>
      <c r="J167" s="474">
        <v>28432</v>
      </c>
      <c r="K167" s="474">
        <v>8400</v>
      </c>
      <c r="L167" s="474">
        <v>20032</v>
      </c>
      <c r="M167" s="475"/>
      <c r="N167" s="475"/>
      <c r="O167" s="475"/>
      <c r="P167" s="475"/>
      <c r="Q167" s="475"/>
      <c r="R167" s="475"/>
      <c r="S167" s="475"/>
      <c r="T167" s="475"/>
      <c r="U167" s="475"/>
      <c r="V167" s="475"/>
      <c r="W167" s="475"/>
      <c r="X167" s="475"/>
      <c r="Y167" s="475">
        <f t="shared" si="9"/>
        <v>0</v>
      </c>
      <c r="Z167" s="476">
        <v>20032</v>
      </c>
      <c r="AA167" s="477">
        <v>13</v>
      </c>
      <c r="AB167" s="478">
        <v>44231</v>
      </c>
      <c r="AC167" s="479">
        <v>44251</v>
      </c>
      <c r="AD167" s="476"/>
      <c r="AE167" s="477"/>
      <c r="AF167" s="478"/>
      <c r="AG167" s="478"/>
      <c r="AH167" s="476"/>
      <c r="AI167" s="477"/>
      <c r="AJ167" s="478"/>
      <c r="AK167" s="477"/>
      <c r="AL167" s="476"/>
      <c r="AM167" s="477"/>
      <c r="AN167" s="477"/>
      <c r="AO167" s="477"/>
      <c r="AP167" s="477"/>
      <c r="AQ167" s="477"/>
      <c r="AR167" s="477"/>
      <c r="AS167" s="477"/>
      <c r="AT167" s="480"/>
      <c r="AU167" s="475"/>
      <c r="AV167" s="475"/>
      <c r="AW167" s="475"/>
      <c r="AX167" s="480"/>
      <c r="AY167" s="475"/>
      <c r="AZ167" s="475"/>
      <c r="BA167" s="475"/>
      <c r="BB167" s="477">
        <f t="shared" si="10"/>
        <v>20032</v>
      </c>
      <c r="BC167" s="477">
        <f t="shared" si="8"/>
        <v>20032</v>
      </c>
    </row>
    <row r="168" spans="2:55" s="195" customFormat="1" ht="22.5" x14ac:dyDescent="0.25">
      <c r="B168" s="186">
        <f t="shared" si="11"/>
        <v>152</v>
      </c>
      <c r="C168" s="186" t="s">
        <v>38</v>
      </c>
      <c r="D168" s="450">
        <v>40003945</v>
      </c>
      <c r="E168" s="451" t="s">
        <v>714</v>
      </c>
      <c r="F168" s="451" t="s">
        <v>543</v>
      </c>
      <c r="G168" s="473" t="s">
        <v>525</v>
      </c>
      <c r="H168" s="451" t="s">
        <v>649</v>
      </c>
      <c r="I168" s="451" t="s">
        <v>42</v>
      </c>
      <c r="J168" s="474">
        <v>21561</v>
      </c>
      <c r="K168" s="474">
        <v>6076</v>
      </c>
      <c r="L168" s="474">
        <v>15485</v>
      </c>
      <c r="M168" s="475"/>
      <c r="N168" s="475"/>
      <c r="O168" s="475"/>
      <c r="P168" s="475"/>
      <c r="Q168" s="475"/>
      <c r="R168" s="475"/>
      <c r="S168" s="475"/>
      <c r="T168" s="475"/>
      <c r="U168" s="475"/>
      <c r="V168" s="475"/>
      <c r="W168" s="475"/>
      <c r="X168" s="475"/>
      <c r="Y168" s="475">
        <f t="shared" si="9"/>
        <v>0</v>
      </c>
      <c r="Z168" s="476">
        <v>15485</v>
      </c>
      <c r="AA168" s="477">
        <v>13</v>
      </c>
      <c r="AB168" s="478">
        <v>44231</v>
      </c>
      <c r="AC168" s="479">
        <v>44251</v>
      </c>
      <c r="AD168" s="476"/>
      <c r="AE168" s="477"/>
      <c r="AF168" s="478"/>
      <c r="AG168" s="478"/>
      <c r="AH168" s="476"/>
      <c r="AI168" s="477"/>
      <c r="AJ168" s="478"/>
      <c r="AK168" s="477"/>
      <c r="AL168" s="476"/>
      <c r="AM168" s="477"/>
      <c r="AN168" s="477"/>
      <c r="AO168" s="477"/>
      <c r="AP168" s="477"/>
      <c r="AQ168" s="477"/>
      <c r="AR168" s="477"/>
      <c r="AS168" s="477"/>
      <c r="AT168" s="480"/>
      <c r="AU168" s="475"/>
      <c r="AV168" s="475"/>
      <c r="AW168" s="475"/>
      <c r="AX168" s="480"/>
      <c r="AY168" s="475"/>
      <c r="AZ168" s="475"/>
      <c r="BA168" s="475"/>
      <c r="BB168" s="477">
        <f t="shared" si="10"/>
        <v>15485</v>
      </c>
      <c r="BC168" s="477">
        <f t="shared" si="8"/>
        <v>15485</v>
      </c>
    </row>
    <row r="169" spans="2:55" s="195" customFormat="1" ht="22.5" x14ac:dyDescent="0.25">
      <c r="B169" s="186">
        <f t="shared" si="11"/>
        <v>153</v>
      </c>
      <c r="C169" s="186" t="s">
        <v>38</v>
      </c>
      <c r="D169" s="450">
        <v>40002634</v>
      </c>
      <c r="E169" s="451" t="s">
        <v>715</v>
      </c>
      <c r="F169" s="451" t="s">
        <v>543</v>
      </c>
      <c r="G169" s="473" t="s">
        <v>525</v>
      </c>
      <c r="H169" s="451" t="s">
        <v>649</v>
      </c>
      <c r="I169" s="451" t="s">
        <v>42</v>
      </c>
      <c r="J169" s="474">
        <v>19188</v>
      </c>
      <c r="K169" s="474">
        <v>5517</v>
      </c>
      <c r="L169" s="474">
        <v>13671</v>
      </c>
      <c r="M169" s="475"/>
      <c r="N169" s="475"/>
      <c r="O169" s="475"/>
      <c r="P169" s="475"/>
      <c r="Q169" s="475"/>
      <c r="R169" s="475"/>
      <c r="S169" s="475"/>
      <c r="T169" s="475"/>
      <c r="U169" s="475"/>
      <c r="V169" s="475"/>
      <c r="W169" s="475"/>
      <c r="X169" s="475"/>
      <c r="Y169" s="475">
        <f t="shared" si="9"/>
        <v>0</v>
      </c>
      <c r="Z169" s="476">
        <v>13671</v>
      </c>
      <c r="AA169" s="477">
        <v>13</v>
      </c>
      <c r="AB169" s="478">
        <v>44231</v>
      </c>
      <c r="AC169" s="479">
        <v>44251</v>
      </c>
      <c r="AD169" s="476"/>
      <c r="AE169" s="477"/>
      <c r="AF169" s="478"/>
      <c r="AG169" s="478"/>
      <c r="AH169" s="476"/>
      <c r="AI169" s="477"/>
      <c r="AJ169" s="478"/>
      <c r="AK169" s="477"/>
      <c r="AL169" s="476"/>
      <c r="AM169" s="477"/>
      <c r="AN169" s="477"/>
      <c r="AO169" s="477"/>
      <c r="AP169" s="477"/>
      <c r="AQ169" s="477"/>
      <c r="AR169" s="477"/>
      <c r="AS169" s="477"/>
      <c r="AT169" s="480"/>
      <c r="AU169" s="475"/>
      <c r="AV169" s="475"/>
      <c r="AW169" s="475"/>
      <c r="AX169" s="480"/>
      <c r="AY169" s="475"/>
      <c r="AZ169" s="475"/>
      <c r="BA169" s="475"/>
      <c r="BB169" s="477">
        <f t="shared" si="10"/>
        <v>13671</v>
      </c>
      <c r="BC169" s="477">
        <f t="shared" si="8"/>
        <v>13671</v>
      </c>
    </row>
    <row r="170" spans="2:55" s="195" customFormat="1" x14ac:dyDescent="0.25">
      <c r="B170" s="186">
        <f t="shared" si="11"/>
        <v>154</v>
      </c>
      <c r="C170" s="186" t="s">
        <v>38</v>
      </c>
      <c r="D170" s="450">
        <v>30078622</v>
      </c>
      <c r="E170" s="451" t="s">
        <v>716</v>
      </c>
      <c r="F170" s="451" t="s">
        <v>200</v>
      </c>
      <c r="G170" s="473" t="s">
        <v>525</v>
      </c>
      <c r="H170" s="451" t="s">
        <v>584</v>
      </c>
      <c r="I170" s="451" t="s">
        <v>42</v>
      </c>
      <c r="J170" s="474">
        <v>1029752</v>
      </c>
      <c r="K170" s="474">
        <v>1019751</v>
      </c>
      <c r="L170" s="474">
        <v>10001</v>
      </c>
      <c r="M170" s="475"/>
      <c r="N170" s="475"/>
      <c r="O170" s="475"/>
      <c r="P170" s="475"/>
      <c r="Q170" s="475"/>
      <c r="R170" s="475"/>
      <c r="S170" s="475"/>
      <c r="T170" s="475"/>
      <c r="U170" s="475"/>
      <c r="V170" s="475"/>
      <c r="W170" s="475"/>
      <c r="X170" s="475"/>
      <c r="Y170" s="475">
        <f t="shared" si="9"/>
        <v>0</v>
      </c>
      <c r="Z170" s="476">
        <v>10000</v>
      </c>
      <c r="AA170" s="477">
        <v>13</v>
      </c>
      <c r="AB170" s="478">
        <v>44231</v>
      </c>
      <c r="AC170" s="479">
        <v>44251</v>
      </c>
      <c r="AD170" s="476"/>
      <c r="AE170" s="477"/>
      <c r="AF170" s="478"/>
      <c r="AG170" s="478"/>
      <c r="AH170" s="476"/>
      <c r="AI170" s="477"/>
      <c r="AJ170" s="478"/>
      <c r="AK170" s="477"/>
      <c r="AL170" s="476"/>
      <c r="AM170" s="477"/>
      <c r="AN170" s="477"/>
      <c r="AO170" s="477"/>
      <c r="AP170" s="477"/>
      <c r="AQ170" s="477"/>
      <c r="AR170" s="477"/>
      <c r="AS170" s="477"/>
      <c r="AT170" s="480"/>
      <c r="AU170" s="475"/>
      <c r="AV170" s="475"/>
      <c r="AW170" s="475"/>
      <c r="AX170" s="480"/>
      <c r="AY170" s="475"/>
      <c r="AZ170" s="475"/>
      <c r="BA170" s="475"/>
      <c r="BB170" s="477">
        <f t="shared" si="10"/>
        <v>10000</v>
      </c>
      <c r="BC170" s="477">
        <f t="shared" si="8"/>
        <v>10000</v>
      </c>
    </row>
    <row r="171" spans="2:55" s="195" customFormat="1" ht="22.5" x14ac:dyDescent="0.25">
      <c r="B171" s="186">
        <f t="shared" si="11"/>
        <v>155</v>
      </c>
      <c r="C171" s="186" t="s">
        <v>38</v>
      </c>
      <c r="D171" s="450">
        <v>30379328</v>
      </c>
      <c r="E171" s="451" t="s">
        <v>717</v>
      </c>
      <c r="F171" s="451" t="s">
        <v>200</v>
      </c>
      <c r="G171" s="473" t="s">
        <v>525</v>
      </c>
      <c r="H171" s="451" t="s">
        <v>526</v>
      </c>
      <c r="I171" s="451" t="s">
        <v>42</v>
      </c>
      <c r="J171" s="474">
        <v>3442349</v>
      </c>
      <c r="K171" s="474">
        <v>2498837</v>
      </c>
      <c r="L171" s="474">
        <v>943512</v>
      </c>
      <c r="M171" s="475"/>
      <c r="N171" s="475"/>
      <c r="O171" s="475"/>
      <c r="P171" s="475"/>
      <c r="Q171" s="475"/>
      <c r="R171" s="475"/>
      <c r="S171" s="475"/>
      <c r="T171" s="475"/>
      <c r="U171" s="475"/>
      <c r="V171" s="475"/>
      <c r="W171" s="475"/>
      <c r="X171" s="475"/>
      <c r="Y171" s="475">
        <f t="shared" si="9"/>
        <v>0</v>
      </c>
      <c r="Z171" s="476">
        <v>618382</v>
      </c>
      <c r="AA171" s="477">
        <v>13</v>
      </c>
      <c r="AB171" s="478">
        <v>44231</v>
      </c>
      <c r="AC171" s="479">
        <v>44251</v>
      </c>
      <c r="AD171" s="476"/>
      <c r="AE171" s="477"/>
      <c r="AF171" s="478"/>
      <c r="AG171" s="478"/>
      <c r="AH171" s="476"/>
      <c r="AI171" s="477"/>
      <c r="AJ171" s="478"/>
      <c r="AK171" s="477"/>
      <c r="AL171" s="476"/>
      <c r="AM171" s="477"/>
      <c r="AN171" s="477"/>
      <c r="AO171" s="477"/>
      <c r="AP171" s="477"/>
      <c r="AQ171" s="477"/>
      <c r="AR171" s="477"/>
      <c r="AS171" s="477"/>
      <c r="AT171" s="480"/>
      <c r="AU171" s="475"/>
      <c r="AV171" s="475"/>
      <c r="AW171" s="475"/>
      <c r="AX171" s="480"/>
      <c r="AY171" s="475"/>
      <c r="AZ171" s="475"/>
      <c r="BA171" s="475"/>
      <c r="BB171" s="477">
        <f t="shared" si="10"/>
        <v>618382</v>
      </c>
      <c r="BC171" s="477">
        <f t="shared" si="8"/>
        <v>618382</v>
      </c>
    </row>
    <row r="172" spans="2:55" s="195" customFormat="1" x14ac:dyDescent="0.25">
      <c r="B172" s="186">
        <f t="shared" si="11"/>
        <v>156</v>
      </c>
      <c r="C172" s="186" t="s">
        <v>38</v>
      </c>
      <c r="D172" s="450">
        <v>30470587</v>
      </c>
      <c r="E172" s="451" t="s">
        <v>718</v>
      </c>
      <c r="F172" s="451" t="s">
        <v>200</v>
      </c>
      <c r="G172" s="473" t="s">
        <v>525</v>
      </c>
      <c r="H172" s="451" t="s">
        <v>528</v>
      </c>
      <c r="I172" s="451" t="s">
        <v>43</v>
      </c>
      <c r="J172" s="474">
        <v>1129340</v>
      </c>
      <c r="K172" s="474"/>
      <c r="L172" s="474">
        <v>1129340</v>
      </c>
      <c r="M172" s="475"/>
      <c r="N172" s="475"/>
      <c r="O172" s="475"/>
      <c r="P172" s="475"/>
      <c r="Q172" s="475"/>
      <c r="R172" s="475"/>
      <c r="S172" s="475"/>
      <c r="T172" s="475"/>
      <c r="U172" s="475"/>
      <c r="V172" s="475"/>
      <c r="W172" s="475"/>
      <c r="X172" s="475"/>
      <c r="Y172" s="475">
        <f t="shared" si="9"/>
        <v>0</v>
      </c>
      <c r="Z172" s="476">
        <v>291812</v>
      </c>
      <c r="AA172" s="477">
        <v>13</v>
      </c>
      <c r="AB172" s="478">
        <v>44231</v>
      </c>
      <c r="AC172" s="479">
        <v>44251</v>
      </c>
      <c r="AD172" s="476"/>
      <c r="AE172" s="477"/>
      <c r="AF172" s="478"/>
      <c r="AG172" s="478"/>
      <c r="AH172" s="476"/>
      <c r="AI172" s="477"/>
      <c r="AJ172" s="478"/>
      <c r="AK172" s="477"/>
      <c r="AL172" s="476"/>
      <c r="AM172" s="477"/>
      <c r="AN172" s="477"/>
      <c r="AO172" s="477"/>
      <c r="AP172" s="477"/>
      <c r="AQ172" s="477"/>
      <c r="AR172" s="477"/>
      <c r="AS172" s="477"/>
      <c r="AT172" s="480"/>
      <c r="AU172" s="475"/>
      <c r="AV172" s="475"/>
      <c r="AW172" s="475"/>
      <c r="AX172" s="480"/>
      <c r="AY172" s="475"/>
      <c r="AZ172" s="475"/>
      <c r="BA172" s="475"/>
      <c r="BB172" s="477">
        <f t="shared" si="10"/>
        <v>291812</v>
      </c>
      <c r="BC172" s="477">
        <f t="shared" si="8"/>
        <v>291812</v>
      </c>
    </row>
    <row r="173" spans="2:55" s="195" customFormat="1" x14ac:dyDescent="0.25">
      <c r="B173" s="186">
        <f t="shared" si="11"/>
        <v>157</v>
      </c>
      <c r="C173" s="186" t="s">
        <v>38</v>
      </c>
      <c r="D173" s="450">
        <v>30105536</v>
      </c>
      <c r="E173" s="451" t="s">
        <v>719</v>
      </c>
      <c r="F173" s="451" t="s">
        <v>200</v>
      </c>
      <c r="G173" s="473" t="s">
        <v>525</v>
      </c>
      <c r="H173" s="451" t="s">
        <v>525</v>
      </c>
      <c r="I173" s="451" t="s">
        <v>42</v>
      </c>
      <c r="J173" s="474">
        <v>1864970</v>
      </c>
      <c r="K173" s="474">
        <v>1716490</v>
      </c>
      <c r="L173" s="474">
        <v>148480</v>
      </c>
      <c r="M173" s="475"/>
      <c r="N173" s="475"/>
      <c r="O173" s="475"/>
      <c r="P173" s="475"/>
      <c r="Q173" s="475"/>
      <c r="R173" s="475"/>
      <c r="S173" s="475"/>
      <c r="T173" s="475"/>
      <c r="U173" s="475"/>
      <c r="V173" s="475"/>
      <c r="W173" s="475"/>
      <c r="X173" s="475"/>
      <c r="Y173" s="475">
        <f t="shared" si="9"/>
        <v>0</v>
      </c>
      <c r="Z173" s="476">
        <v>148480</v>
      </c>
      <c r="AA173" s="477">
        <v>13</v>
      </c>
      <c r="AB173" s="478">
        <v>44231</v>
      </c>
      <c r="AC173" s="479">
        <v>44251</v>
      </c>
      <c r="AD173" s="476"/>
      <c r="AE173" s="477"/>
      <c r="AF173" s="478"/>
      <c r="AG173" s="478"/>
      <c r="AH173" s="476"/>
      <c r="AI173" s="477"/>
      <c r="AJ173" s="478"/>
      <c r="AK173" s="477"/>
      <c r="AL173" s="476"/>
      <c r="AM173" s="477"/>
      <c r="AN173" s="477"/>
      <c r="AO173" s="477"/>
      <c r="AP173" s="477"/>
      <c r="AQ173" s="477"/>
      <c r="AR173" s="477"/>
      <c r="AS173" s="477"/>
      <c r="AT173" s="480"/>
      <c r="AU173" s="475"/>
      <c r="AV173" s="475"/>
      <c r="AW173" s="475"/>
      <c r="AX173" s="480"/>
      <c r="AY173" s="475"/>
      <c r="AZ173" s="475"/>
      <c r="BA173" s="475"/>
      <c r="BB173" s="477">
        <f t="shared" si="10"/>
        <v>148480</v>
      </c>
      <c r="BC173" s="477">
        <f t="shared" si="8"/>
        <v>148480</v>
      </c>
    </row>
    <row r="174" spans="2:55" s="195" customFormat="1" ht="22.5" x14ac:dyDescent="0.25">
      <c r="B174" s="186">
        <f t="shared" si="11"/>
        <v>158</v>
      </c>
      <c r="C174" s="186" t="s">
        <v>38</v>
      </c>
      <c r="D174" s="450">
        <v>30132830</v>
      </c>
      <c r="E174" s="451" t="s">
        <v>720</v>
      </c>
      <c r="F174" s="451" t="s">
        <v>200</v>
      </c>
      <c r="G174" s="473" t="s">
        <v>525</v>
      </c>
      <c r="H174" s="451" t="s">
        <v>537</v>
      </c>
      <c r="I174" s="451" t="s">
        <v>42</v>
      </c>
      <c r="J174" s="474">
        <v>624505</v>
      </c>
      <c r="K174" s="474">
        <v>459705</v>
      </c>
      <c r="L174" s="474">
        <v>164800</v>
      </c>
      <c r="M174" s="475"/>
      <c r="N174" s="475"/>
      <c r="O174" s="475"/>
      <c r="P174" s="475"/>
      <c r="Q174" s="475"/>
      <c r="R174" s="475"/>
      <c r="S174" s="475"/>
      <c r="T174" s="475"/>
      <c r="U174" s="475"/>
      <c r="V174" s="475"/>
      <c r="W174" s="475"/>
      <c r="X174" s="475"/>
      <c r="Y174" s="475">
        <f t="shared" si="9"/>
        <v>0</v>
      </c>
      <c r="Z174" s="476">
        <v>164800</v>
      </c>
      <c r="AA174" s="477">
        <v>13</v>
      </c>
      <c r="AB174" s="478">
        <v>44231</v>
      </c>
      <c r="AC174" s="479">
        <v>44251</v>
      </c>
      <c r="AD174" s="476"/>
      <c r="AE174" s="477"/>
      <c r="AF174" s="478"/>
      <c r="AG174" s="478"/>
      <c r="AH174" s="476"/>
      <c r="AI174" s="477"/>
      <c r="AJ174" s="478"/>
      <c r="AK174" s="477"/>
      <c r="AL174" s="476"/>
      <c r="AM174" s="477"/>
      <c r="AN174" s="477"/>
      <c r="AO174" s="477"/>
      <c r="AP174" s="477"/>
      <c r="AQ174" s="477"/>
      <c r="AR174" s="477"/>
      <c r="AS174" s="477"/>
      <c r="AT174" s="480"/>
      <c r="AU174" s="475"/>
      <c r="AV174" s="475"/>
      <c r="AW174" s="475"/>
      <c r="AX174" s="480"/>
      <c r="AY174" s="475"/>
      <c r="AZ174" s="475"/>
      <c r="BA174" s="475"/>
      <c r="BB174" s="477">
        <f t="shared" si="10"/>
        <v>164800</v>
      </c>
      <c r="BC174" s="477">
        <f t="shared" si="8"/>
        <v>164800</v>
      </c>
    </row>
    <row r="175" spans="2:55" s="195" customFormat="1" ht="22.5" x14ac:dyDescent="0.25">
      <c r="B175" s="186">
        <f t="shared" si="11"/>
        <v>159</v>
      </c>
      <c r="C175" s="186" t="s">
        <v>38</v>
      </c>
      <c r="D175" s="450">
        <v>30443027</v>
      </c>
      <c r="E175" s="451" t="s">
        <v>721</v>
      </c>
      <c r="F175" s="451" t="s">
        <v>543</v>
      </c>
      <c r="G175" s="473" t="s">
        <v>525</v>
      </c>
      <c r="H175" s="451" t="s">
        <v>525</v>
      </c>
      <c r="I175" s="451" t="s">
        <v>42</v>
      </c>
      <c r="J175" s="474">
        <v>180356</v>
      </c>
      <c r="K175" s="474">
        <v>91304</v>
      </c>
      <c r="L175" s="474">
        <v>89052</v>
      </c>
      <c r="M175" s="475"/>
      <c r="N175" s="475"/>
      <c r="O175" s="475"/>
      <c r="P175" s="475"/>
      <c r="Q175" s="475"/>
      <c r="R175" s="475"/>
      <c r="S175" s="475"/>
      <c r="T175" s="475"/>
      <c r="U175" s="475"/>
      <c r="V175" s="475"/>
      <c r="W175" s="475"/>
      <c r="X175" s="475"/>
      <c r="Y175" s="475">
        <f t="shared" si="9"/>
        <v>0</v>
      </c>
      <c r="Z175" s="476">
        <v>89052</v>
      </c>
      <c r="AA175" s="477">
        <v>13</v>
      </c>
      <c r="AB175" s="478">
        <v>44231</v>
      </c>
      <c r="AC175" s="479">
        <v>44251</v>
      </c>
      <c r="AD175" s="476"/>
      <c r="AE175" s="477"/>
      <c r="AF175" s="478"/>
      <c r="AG175" s="478"/>
      <c r="AH175" s="476"/>
      <c r="AI175" s="477"/>
      <c r="AJ175" s="478"/>
      <c r="AK175" s="477"/>
      <c r="AL175" s="476"/>
      <c r="AM175" s="477"/>
      <c r="AN175" s="477"/>
      <c r="AO175" s="477"/>
      <c r="AP175" s="477"/>
      <c r="AQ175" s="477"/>
      <c r="AR175" s="477"/>
      <c r="AS175" s="477"/>
      <c r="AT175" s="480"/>
      <c r="AU175" s="475"/>
      <c r="AV175" s="475"/>
      <c r="AW175" s="475"/>
      <c r="AX175" s="480"/>
      <c r="AY175" s="475"/>
      <c r="AZ175" s="475"/>
      <c r="BA175" s="475"/>
      <c r="BB175" s="477">
        <f t="shared" si="10"/>
        <v>89052</v>
      </c>
      <c r="BC175" s="477">
        <f t="shared" si="8"/>
        <v>89052</v>
      </c>
    </row>
    <row r="176" spans="2:55" s="195" customFormat="1" x14ac:dyDescent="0.25">
      <c r="B176" s="186">
        <f t="shared" si="11"/>
        <v>160</v>
      </c>
      <c r="C176" s="186" t="s">
        <v>38</v>
      </c>
      <c r="D176" s="450">
        <v>30452522</v>
      </c>
      <c r="E176" s="451" t="s">
        <v>722</v>
      </c>
      <c r="F176" s="451" t="s">
        <v>200</v>
      </c>
      <c r="G176" s="473" t="s">
        <v>525</v>
      </c>
      <c r="H176" s="451" t="s">
        <v>595</v>
      </c>
      <c r="I176" s="451" t="s">
        <v>42</v>
      </c>
      <c r="J176" s="474">
        <v>565183</v>
      </c>
      <c r="K176" s="474">
        <v>489208</v>
      </c>
      <c r="L176" s="474">
        <v>75975</v>
      </c>
      <c r="M176" s="475"/>
      <c r="N176" s="475"/>
      <c r="O176" s="475"/>
      <c r="P176" s="475">
        <v>1693.068</v>
      </c>
      <c r="Q176" s="475">
        <v>71241.539999999994</v>
      </c>
      <c r="R176" s="475">
        <v>0</v>
      </c>
      <c r="S176" s="475"/>
      <c r="T176" s="475"/>
      <c r="U176" s="475"/>
      <c r="V176" s="475"/>
      <c r="W176" s="475"/>
      <c r="X176" s="475"/>
      <c r="Y176" s="475">
        <f t="shared" si="9"/>
        <v>72934.607999999993</v>
      </c>
      <c r="Z176" s="476">
        <v>65483</v>
      </c>
      <c r="AA176" s="477">
        <v>13</v>
      </c>
      <c r="AB176" s="478">
        <v>44231</v>
      </c>
      <c r="AC176" s="479">
        <v>44251</v>
      </c>
      <c r="AD176" s="476">
        <v>10492</v>
      </c>
      <c r="AE176" s="477">
        <v>28</v>
      </c>
      <c r="AF176" s="478">
        <v>44295</v>
      </c>
      <c r="AG176" s="479">
        <v>44301</v>
      </c>
      <c r="AH176" s="476"/>
      <c r="AI176" s="477"/>
      <c r="AJ176" s="478"/>
      <c r="AK176" s="477"/>
      <c r="AL176" s="476"/>
      <c r="AM176" s="477"/>
      <c r="AN176" s="477"/>
      <c r="AO176" s="477"/>
      <c r="AP176" s="477"/>
      <c r="AQ176" s="477"/>
      <c r="AR176" s="477"/>
      <c r="AS176" s="477"/>
      <c r="AT176" s="480"/>
      <c r="AU176" s="475"/>
      <c r="AV176" s="475"/>
      <c r="AW176" s="475"/>
      <c r="AX176" s="480"/>
      <c r="AY176" s="475"/>
      <c r="AZ176" s="475"/>
      <c r="BA176" s="475"/>
      <c r="BB176" s="477">
        <f t="shared" si="10"/>
        <v>75975</v>
      </c>
      <c r="BC176" s="477">
        <f t="shared" si="8"/>
        <v>3040.3920000000071</v>
      </c>
    </row>
    <row r="177" spans="1:55" s="195" customFormat="1" x14ac:dyDescent="0.25">
      <c r="B177" s="186">
        <f t="shared" si="11"/>
        <v>161</v>
      </c>
      <c r="C177" s="186" t="s">
        <v>38</v>
      </c>
      <c r="D177" s="450">
        <v>40003446</v>
      </c>
      <c r="E177" s="451" t="s">
        <v>723</v>
      </c>
      <c r="F177" s="451" t="s">
        <v>200</v>
      </c>
      <c r="G177" s="473" t="s">
        <v>525</v>
      </c>
      <c r="H177" s="451" t="s">
        <v>525</v>
      </c>
      <c r="I177" s="451" t="s">
        <v>43</v>
      </c>
      <c r="J177" s="474">
        <v>392550</v>
      </c>
      <c r="K177" s="474"/>
      <c r="L177" s="474">
        <v>392550</v>
      </c>
      <c r="M177" s="475"/>
      <c r="N177" s="475"/>
      <c r="O177" s="475"/>
      <c r="P177" s="475"/>
      <c r="Q177" s="475"/>
      <c r="R177" s="475"/>
      <c r="S177" s="475"/>
      <c r="T177" s="475"/>
      <c r="U177" s="475"/>
      <c r="V177" s="475"/>
      <c r="W177" s="475"/>
      <c r="X177" s="475"/>
      <c r="Y177" s="475">
        <f t="shared" si="9"/>
        <v>0</v>
      </c>
      <c r="Z177" s="476">
        <v>3</v>
      </c>
      <c r="AA177" s="477">
        <v>13</v>
      </c>
      <c r="AB177" s="478">
        <v>44231</v>
      </c>
      <c r="AC177" s="479">
        <v>44251</v>
      </c>
      <c r="AD177" s="476"/>
      <c r="AE177" s="477"/>
      <c r="AF177" s="478"/>
      <c r="AG177" s="478"/>
      <c r="AH177" s="476"/>
      <c r="AI177" s="477"/>
      <c r="AJ177" s="478"/>
      <c r="AK177" s="477"/>
      <c r="AL177" s="476"/>
      <c r="AM177" s="477"/>
      <c r="AN177" s="477"/>
      <c r="AO177" s="477"/>
      <c r="AP177" s="477"/>
      <c r="AQ177" s="477"/>
      <c r="AR177" s="477"/>
      <c r="AS177" s="477"/>
      <c r="AT177" s="480"/>
      <c r="AU177" s="475"/>
      <c r="AV177" s="475"/>
      <c r="AW177" s="475"/>
      <c r="AX177" s="480"/>
      <c r="AY177" s="475"/>
      <c r="AZ177" s="475"/>
      <c r="BA177" s="475"/>
      <c r="BB177" s="477">
        <f t="shared" si="10"/>
        <v>3</v>
      </c>
      <c r="BC177" s="477">
        <f t="shared" si="8"/>
        <v>3</v>
      </c>
    </row>
    <row r="178" spans="1:55" s="195" customFormat="1" ht="22.5" x14ac:dyDescent="0.25">
      <c r="B178" s="186">
        <f t="shared" si="11"/>
        <v>162</v>
      </c>
      <c r="C178" s="186" t="s">
        <v>38</v>
      </c>
      <c r="D178" s="450">
        <v>40004286</v>
      </c>
      <c r="E178" s="451" t="s">
        <v>724</v>
      </c>
      <c r="F178" s="451" t="s">
        <v>543</v>
      </c>
      <c r="G178" s="473" t="s">
        <v>525</v>
      </c>
      <c r="H178" s="451" t="s">
        <v>649</v>
      </c>
      <c r="I178" s="451" t="s">
        <v>42</v>
      </c>
      <c r="J178" s="474">
        <v>23917</v>
      </c>
      <c r="K178" s="474">
        <v>7053</v>
      </c>
      <c r="L178" s="474">
        <v>16864</v>
      </c>
      <c r="M178" s="475"/>
      <c r="N178" s="475"/>
      <c r="O178" s="475"/>
      <c r="P178" s="475"/>
      <c r="Q178" s="475"/>
      <c r="R178" s="475"/>
      <c r="S178" s="475"/>
      <c r="T178" s="475"/>
      <c r="U178" s="475"/>
      <c r="V178" s="475"/>
      <c r="W178" s="475"/>
      <c r="X178" s="475"/>
      <c r="Y178" s="475">
        <f t="shared" si="9"/>
        <v>0</v>
      </c>
      <c r="Z178" s="476">
        <v>16864</v>
      </c>
      <c r="AA178" s="477">
        <v>13</v>
      </c>
      <c r="AB178" s="478">
        <v>44231</v>
      </c>
      <c r="AC178" s="479">
        <v>44251</v>
      </c>
      <c r="AD178" s="476"/>
      <c r="AE178" s="477"/>
      <c r="AF178" s="478"/>
      <c r="AG178" s="478"/>
      <c r="AH178" s="476"/>
      <c r="AI178" s="477"/>
      <c r="AJ178" s="478"/>
      <c r="AK178" s="477"/>
      <c r="AL178" s="476"/>
      <c r="AM178" s="477"/>
      <c r="AN178" s="477"/>
      <c r="AO178" s="477"/>
      <c r="AP178" s="477"/>
      <c r="AQ178" s="477"/>
      <c r="AR178" s="477"/>
      <c r="AS178" s="477"/>
      <c r="AT178" s="480"/>
      <c r="AU178" s="475"/>
      <c r="AV178" s="475"/>
      <c r="AW178" s="475"/>
      <c r="AX178" s="480"/>
      <c r="AY178" s="475"/>
      <c r="AZ178" s="475"/>
      <c r="BA178" s="475"/>
      <c r="BB178" s="477">
        <f t="shared" si="10"/>
        <v>16864</v>
      </c>
      <c r="BC178" s="477">
        <f t="shared" si="8"/>
        <v>16864</v>
      </c>
    </row>
    <row r="179" spans="1:55" s="195" customFormat="1" x14ac:dyDescent="0.25">
      <c r="B179" s="186">
        <f t="shared" si="11"/>
        <v>163</v>
      </c>
      <c r="C179" s="186" t="s">
        <v>38</v>
      </c>
      <c r="D179" s="450">
        <v>30470837</v>
      </c>
      <c r="E179" s="451" t="s">
        <v>725</v>
      </c>
      <c r="F179" s="451" t="s">
        <v>543</v>
      </c>
      <c r="G179" s="473" t="s">
        <v>525</v>
      </c>
      <c r="H179" s="451" t="s">
        <v>544</v>
      </c>
      <c r="I179" s="451" t="s">
        <v>42</v>
      </c>
      <c r="J179" s="474">
        <v>80144</v>
      </c>
      <c r="K179" s="474">
        <v>49286</v>
      </c>
      <c r="L179" s="474">
        <v>30858</v>
      </c>
      <c r="M179" s="475"/>
      <c r="N179" s="475"/>
      <c r="O179" s="475">
        <v>23142.78</v>
      </c>
      <c r="P179" s="475">
        <v>0</v>
      </c>
      <c r="Q179" s="475">
        <v>0</v>
      </c>
      <c r="R179" s="475">
        <v>0</v>
      </c>
      <c r="S179" s="475"/>
      <c r="T179" s="475"/>
      <c r="U179" s="475"/>
      <c r="V179" s="475"/>
      <c r="W179" s="475"/>
      <c r="X179" s="475"/>
      <c r="Y179" s="475">
        <f t="shared" si="9"/>
        <v>23142.78</v>
      </c>
      <c r="Z179" s="476">
        <v>30858</v>
      </c>
      <c r="AA179" s="477">
        <v>13</v>
      </c>
      <c r="AB179" s="478">
        <v>44231</v>
      </c>
      <c r="AC179" s="479">
        <v>44251</v>
      </c>
      <c r="AD179" s="476"/>
      <c r="AE179" s="477"/>
      <c r="AF179" s="478"/>
      <c r="AG179" s="478"/>
      <c r="AH179" s="476"/>
      <c r="AI179" s="477"/>
      <c r="AJ179" s="478"/>
      <c r="AK179" s="477"/>
      <c r="AL179" s="476"/>
      <c r="AM179" s="477"/>
      <c r="AN179" s="477"/>
      <c r="AO179" s="477"/>
      <c r="AP179" s="477"/>
      <c r="AQ179" s="477"/>
      <c r="AR179" s="477"/>
      <c r="AS179" s="477"/>
      <c r="AT179" s="480"/>
      <c r="AU179" s="475"/>
      <c r="AV179" s="475"/>
      <c r="AW179" s="475"/>
      <c r="AX179" s="480"/>
      <c r="AY179" s="475"/>
      <c r="AZ179" s="475"/>
      <c r="BA179" s="475"/>
      <c r="BB179" s="477">
        <f t="shared" si="10"/>
        <v>30858</v>
      </c>
      <c r="BC179" s="477">
        <f t="shared" si="8"/>
        <v>7715.2200000000012</v>
      </c>
    </row>
    <row r="180" spans="1:55" s="195" customFormat="1" x14ac:dyDescent="0.25">
      <c r="B180" s="186">
        <f t="shared" si="11"/>
        <v>164</v>
      </c>
      <c r="C180" s="186" t="s">
        <v>38</v>
      </c>
      <c r="D180" s="450">
        <v>30477886</v>
      </c>
      <c r="E180" s="451" t="s">
        <v>726</v>
      </c>
      <c r="F180" s="451" t="s">
        <v>200</v>
      </c>
      <c r="G180" s="473" t="s">
        <v>525</v>
      </c>
      <c r="H180" s="451" t="s">
        <v>598</v>
      </c>
      <c r="I180" s="451" t="s">
        <v>42</v>
      </c>
      <c r="J180" s="474">
        <v>790808</v>
      </c>
      <c r="K180" s="474">
        <v>744765</v>
      </c>
      <c r="L180" s="474">
        <v>46043</v>
      </c>
      <c r="M180" s="475"/>
      <c r="N180" s="475">
        <v>2472</v>
      </c>
      <c r="O180" s="475"/>
      <c r="P180" s="475">
        <v>1236</v>
      </c>
      <c r="Q180" s="475">
        <v>0</v>
      </c>
      <c r="R180" s="475">
        <v>0</v>
      </c>
      <c r="S180" s="475"/>
      <c r="T180" s="475"/>
      <c r="U180" s="475"/>
      <c r="V180" s="475"/>
      <c r="W180" s="475"/>
      <c r="X180" s="475"/>
      <c r="Y180" s="475">
        <f t="shared" si="9"/>
        <v>3708</v>
      </c>
      <c r="Z180" s="476">
        <v>3552</v>
      </c>
      <c r="AA180" s="477">
        <v>13</v>
      </c>
      <c r="AB180" s="478">
        <v>44231</v>
      </c>
      <c r="AC180" s="479">
        <v>44251</v>
      </c>
      <c r="AD180" s="476">
        <v>1236</v>
      </c>
      <c r="AE180" s="477">
        <v>33</v>
      </c>
      <c r="AF180" s="478">
        <v>44307</v>
      </c>
      <c r="AG180" s="479">
        <v>44327</v>
      </c>
      <c r="AH180" s="476"/>
      <c r="AI180" s="477"/>
      <c r="AJ180" s="478"/>
      <c r="AK180" s="477"/>
      <c r="AL180" s="476"/>
      <c r="AM180" s="477"/>
      <c r="AN180" s="477"/>
      <c r="AO180" s="477"/>
      <c r="AP180" s="477"/>
      <c r="AQ180" s="477"/>
      <c r="AR180" s="477"/>
      <c r="AS180" s="477"/>
      <c r="AT180" s="480"/>
      <c r="AU180" s="475"/>
      <c r="AV180" s="475"/>
      <c r="AW180" s="475"/>
      <c r="AX180" s="480"/>
      <c r="AY180" s="475"/>
      <c r="AZ180" s="475"/>
      <c r="BA180" s="475"/>
      <c r="BB180" s="477">
        <f t="shared" si="10"/>
        <v>4788</v>
      </c>
      <c r="BC180" s="477">
        <f t="shared" si="8"/>
        <v>1080</v>
      </c>
    </row>
    <row r="181" spans="1:55" s="195" customFormat="1" ht="22.5" x14ac:dyDescent="0.25">
      <c r="B181" s="186">
        <f t="shared" si="11"/>
        <v>165</v>
      </c>
      <c r="C181" s="186" t="s">
        <v>38</v>
      </c>
      <c r="D181" s="450">
        <v>30128029</v>
      </c>
      <c r="E181" s="451" t="s">
        <v>727</v>
      </c>
      <c r="F181" s="451" t="s">
        <v>200</v>
      </c>
      <c r="G181" s="473" t="s">
        <v>525</v>
      </c>
      <c r="H181" s="451" t="s">
        <v>525</v>
      </c>
      <c r="I181" s="451" t="s">
        <v>43</v>
      </c>
      <c r="J181" s="474">
        <v>115602</v>
      </c>
      <c r="K181" s="474"/>
      <c r="L181" s="474">
        <v>115602</v>
      </c>
      <c r="M181" s="475"/>
      <c r="N181" s="475">
        <v>33907.866000000002</v>
      </c>
      <c r="O181" s="475">
        <v>31455.472000000002</v>
      </c>
      <c r="P181" s="475">
        <v>20408.712</v>
      </c>
      <c r="Q181" s="475">
        <v>0</v>
      </c>
      <c r="R181" s="475">
        <v>0</v>
      </c>
      <c r="S181" s="475"/>
      <c r="T181" s="475"/>
      <c r="U181" s="475"/>
      <c r="V181" s="475"/>
      <c r="W181" s="475"/>
      <c r="X181" s="475"/>
      <c r="Y181" s="475">
        <f t="shared" si="9"/>
        <v>85772.05</v>
      </c>
      <c r="Z181" s="476">
        <v>115602</v>
      </c>
      <c r="AA181" s="477">
        <v>13</v>
      </c>
      <c r="AB181" s="478">
        <v>44231</v>
      </c>
      <c r="AC181" s="479">
        <v>44251</v>
      </c>
      <c r="AD181" s="476"/>
      <c r="AE181" s="477"/>
      <c r="AF181" s="478"/>
      <c r="AG181" s="478"/>
      <c r="AH181" s="476"/>
      <c r="AI181" s="477"/>
      <c r="AJ181" s="478"/>
      <c r="AK181" s="477"/>
      <c r="AL181" s="476"/>
      <c r="AM181" s="477"/>
      <c r="AN181" s="477"/>
      <c r="AO181" s="477"/>
      <c r="AP181" s="477"/>
      <c r="AQ181" s="477"/>
      <c r="AR181" s="477"/>
      <c r="AS181" s="477"/>
      <c r="AT181" s="480"/>
      <c r="AU181" s="475"/>
      <c r="AV181" s="475"/>
      <c r="AW181" s="475"/>
      <c r="AX181" s="480"/>
      <c r="AY181" s="475"/>
      <c r="AZ181" s="475"/>
      <c r="BA181" s="475"/>
      <c r="BB181" s="477">
        <f t="shared" si="10"/>
        <v>115602</v>
      </c>
      <c r="BC181" s="477">
        <f t="shared" si="8"/>
        <v>29829.949999999997</v>
      </c>
    </row>
    <row r="182" spans="1:55" s="195" customFormat="1" x14ac:dyDescent="0.25">
      <c r="B182" s="186">
        <f t="shared" si="11"/>
        <v>166</v>
      </c>
      <c r="C182" s="186" t="s">
        <v>38</v>
      </c>
      <c r="D182" s="450">
        <v>30369025</v>
      </c>
      <c r="E182" s="451" t="s">
        <v>728</v>
      </c>
      <c r="F182" s="451" t="s">
        <v>543</v>
      </c>
      <c r="G182" s="473" t="s">
        <v>525</v>
      </c>
      <c r="H182" s="451" t="s">
        <v>528</v>
      </c>
      <c r="I182" s="451" t="s">
        <v>43</v>
      </c>
      <c r="J182" s="474">
        <v>40946</v>
      </c>
      <c r="K182" s="474"/>
      <c r="L182" s="474">
        <v>40946</v>
      </c>
      <c r="M182" s="475"/>
      <c r="N182" s="475"/>
      <c r="O182" s="475"/>
      <c r="P182" s="475"/>
      <c r="Q182" s="475"/>
      <c r="R182" s="475"/>
      <c r="S182" s="475"/>
      <c r="T182" s="475"/>
      <c r="U182" s="475"/>
      <c r="V182" s="475"/>
      <c r="W182" s="475"/>
      <c r="X182" s="475"/>
      <c r="Y182" s="475">
        <f t="shared" si="9"/>
        <v>0</v>
      </c>
      <c r="Z182" s="476">
        <v>2</v>
      </c>
      <c r="AA182" s="477">
        <v>13</v>
      </c>
      <c r="AB182" s="478">
        <v>44231</v>
      </c>
      <c r="AC182" s="479">
        <v>44251</v>
      </c>
      <c r="AD182" s="476"/>
      <c r="AE182" s="477"/>
      <c r="AF182" s="478"/>
      <c r="AG182" s="478"/>
      <c r="AH182" s="476"/>
      <c r="AI182" s="477"/>
      <c r="AJ182" s="478"/>
      <c r="AK182" s="477"/>
      <c r="AL182" s="476"/>
      <c r="AM182" s="477"/>
      <c r="AN182" s="477"/>
      <c r="AO182" s="477"/>
      <c r="AP182" s="477"/>
      <c r="AQ182" s="477"/>
      <c r="AR182" s="477"/>
      <c r="AS182" s="477"/>
      <c r="AT182" s="480"/>
      <c r="AU182" s="475"/>
      <c r="AV182" s="475"/>
      <c r="AW182" s="475"/>
      <c r="AX182" s="480"/>
      <c r="AY182" s="475"/>
      <c r="AZ182" s="475"/>
      <c r="BA182" s="475"/>
      <c r="BB182" s="477">
        <f t="shared" si="10"/>
        <v>2</v>
      </c>
      <c r="BC182" s="477">
        <f t="shared" si="8"/>
        <v>2</v>
      </c>
    </row>
    <row r="183" spans="1:55" s="195" customFormat="1" ht="22.5" x14ac:dyDescent="0.25">
      <c r="B183" s="186">
        <f t="shared" si="11"/>
        <v>167</v>
      </c>
      <c r="C183" s="186" t="s">
        <v>38</v>
      </c>
      <c r="D183" s="450">
        <v>40005874</v>
      </c>
      <c r="E183" s="451" t="s">
        <v>729</v>
      </c>
      <c r="F183" s="451" t="s">
        <v>200</v>
      </c>
      <c r="G183" s="473" t="s">
        <v>525</v>
      </c>
      <c r="H183" s="451" t="s">
        <v>528</v>
      </c>
      <c r="I183" s="451" t="s">
        <v>43</v>
      </c>
      <c r="J183" s="474">
        <v>100507</v>
      </c>
      <c r="K183" s="474"/>
      <c r="L183" s="474">
        <v>100507</v>
      </c>
      <c r="M183" s="475"/>
      <c r="N183" s="475"/>
      <c r="O183" s="475"/>
      <c r="P183" s="475"/>
      <c r="Q183" s="475"/>
      <c r="R183" s="475"/>
      <c r="S183" s="475"/>
      <c r="T183" s="475"/>
      <c r="U183" s="475"/>
      <c r="V183" s="475"/>
      <c r="W183" s="475"/>
      <c r="X183" s="475"/>
      <c r="Y183" s="475">
        <f t="shared" si="9"/>
        <v>0</v>
      </c>
      <c r="Z183" s="476">
        <v>3</v>
      </c>
      <c r="AA183" s="477">
        <v>13</v>
      </c>
      <c r="AB183" s="478">
        <v>44231</v>
      </c>
      <c r="AC183" s="479">
        <v>44251</v>
      </c>
      <c r="AD183" s="476"/>
      <c r="AE183" s="477"/>
      <c r="AF183" s="478"/>
      <c r="AG183" s="478"/>
      <c r="AH183" s="476"/>
      <c r="AI183" s="477"/>
      <c r="AJ183" s="478"/>
      <c r="AK183" s="477"/>
      <c r="AL183" s="476"/>
      <c r="AM183" s="477"/>
      <c r="AN183" s="477"/>
      <c r="AO183" s="477"/>
      <c r="AP183" s="477"/>
      <c r="AQ183" s="477"/>
      <c r="AR183" s="477"/>
      <c r="AS183" s="477"/>
      <c r="AT183" s="480"/>
      <c r="AU183" s="475"/>
      <c r="AV183" s="475"/>
      <c r="AW183" s="475"/>
      <c r="AX183" s="480"/>
      <c r="AY183" s="475"/>
      <c r="AZ183" s="475"/>
      <c r="BA183" s="475"/>
      <c r="BB183" s="477">
        <f t="shared" si="10"/>
        <v>3</v>
      </c>
      <c r="BC183" s="477">
        <f t="shared" si="8"/>
        <v>3</v>
      </c>
    </row>
    <row r="184" spans="1:55" s="195" customFormat="1" x14ac:dyDescent="0.25">
      <c r="B184" s="186">
        <f t="shared" si="11"/>
        <v>168</v>
      </c>
      <c r="C184" s="186" t="s">
        <v>38</v>
      </c>
      <c r="D184" s="450">
        <v>30469338</v>
      </c>
      <c r="E184" s="451" t="s">
        <v>730</v>
      </c>
      <c r="F184" s="451" t="s">
        <v>543</v>
      </c>
      <c r="G184" s="473" t="s">
        <v>525</v>
      </c>
      <c r="H184" s="451" t="s">
        <v>537</v>
      </c>
      <c r="I184" s="451" t="s">
        <v>42</v>
      </c>
      <c r="J184" s="474">
        <v>706855</v>
      </c>
      <c r="K184" s="474">
        <v>462420</v>
      </c>
      <c r="L184" s="474">
        <v>244435</v>
      </c>
      <c r="M184" s="475"/>
      <c r="N184" s="475">
        <v>193082.58</v>
      </c>
      <c r="O184" s="475"/>
      <c r="P184" s="475">
        <v>0</v>
      </c>
      <c r="Q184" s="475">
        <v>0</v>
      </c>
      <c r="R184" s="475">
        <v>0</v>
      </c>
      <c r="S184" s="475"/>
      <c r="T184" s="475"/>
      <c r="U184" s="475"/>
      <c r="V184" s="475"/>
      <c r="W184" s="475"/>
      <c r="X184" s="475"/>
      <c r="Y184" s="475">
        <f t="shared" si="9"/>
        <v>193082.58</v>
      </c>
      <c r="Z184" s="476">
        <v>244435</v>
      </c>
      <c r="AA184" s="477">
        <v>13</v>
      </c>
      <c r="AB184" s="478">
        <v>44231</v>
      </c>
      <c r="AC184" s="479">
        <v>44251</v>
      </c>
      <c r="AD184" s="476"/>
      <c r="AE184" s="477"/>
      <c r="AF184" s="478"/>
      <c r="AG184" s="478"/>
      <c r="AH184" s="476"/>
      <c r="AI184" s="477"/>
      <c r="AJ184" s="478"/>
      <c r="AK184" s="477"/>
      <c r="AL184" s="476"/>
      <c r="AM184" s="477"/>
      <c r="AN184" s="477"/>
      <c r="AO184" s="477"/>
      <c r="AP184" s="477"/>
      <c r="AQ184" s="477"/>
      <c r="AR184" s="477"/>
      <c r="AS184" s="477"/>
      <c r="AT184" s="480"/>
      <c r="AU184" s="475"/>
      <c r="AV184" s="475"/>
      <c r="AW184" s="475"/>
      <c r="AX184" s="480"/>
      <c r="AY184" s="475"/>
      <c r="AZ184" s="475"/>
      <c r="BA184" s="475"/>
      <c r="BB184" s="477">
        <f t="shared" si="10"/>
        <v>244435</v>
      </c>
      <c r="BC184" s="477">
        <f t="shared" si="8"/>
        <v>51352.420000000013</v>
      </c>
    </row>
    <row r="185" spans="1:55" s="195" customFormat="1" x14ac:dyDescent="0.25">
      <c r="B185" s="186">
        <f t="shared" si="11"/>
        <v>169</v>
      </c>
      <c r="C185" s="186" t="s">
        <v>38</v>
      </c>
      <c r="D185" s="450">
        <v>40007482</v>
      </c>
      <c r="E185" s="451" t="s">
        <v>731</v>
      </c>
      <c r="F185" s="451" t="s">
        <v>200</v>
      </c>
      <c r="G185" s="473" t="s">
        <v>525</v>
      </c>
      <c r="H185" s="451" t="s">
        <v>627</v>
      </c>
      <c r="I185" s="451" t="s">
        <v>43</v>
      </c>
      <c r="J185" s="474">
        <v>1859263</v>
      </c>
      <c r="K185" s="474"/>
      <c r="L185" s="474">
        <v>1859263</v>
      </c>
      <c r="M185" s="475"/>
      <c r="N185" s="475"/>
      <c r="O185" s="475"/>
      <c r="P185" s="475"/>
      <c r="Q185" s="475"/>
      <c r="R185" s="475"/>
      <c r="S185" s="475"/>
      <c r="T185" s="475"/>
      <c r="U185" s="475"/>
      <c r="V185" s="475"/>
      <c r="W185" s="475"/>
      <c r="X185" s="475"/>
      <c r="Y185" s="475">
        <f t="shared" si="9"/>
        <v>0</v>
      </c>
      <c r="Z185" s="476">
        <v>3</v>
      </c>
      <c r="AA185" s="477">
        <v>14</v>
      </c>
      <c r="AB185" s="478">
        <v>44232</v>
      </c>
      <c r="AC185" s="479">
        <v>44249</v>
      </c>
      <c r="AD185" s="476"/>
      <c r="AE185" s="477"/>
      <c r="AF185" s="478"/>
      <c r="AG185" s="478"/>
      <c r="AH185" s="476"/>
      <c r="AI185" s="477"/>
      <c r="AJ185" s="478"/>
      <c r="AK185" s="477"/>
      <c r="AL185" s="476"/>
      <c r="AM185" s="477"/>
      <c r="AN185" s="477"/>
      <c r="AO185" s="477"/>
      <c r="AP185" s="477"/>
      <c r="AQ185" s="477"/>
      <c r="AR185" s="477"/>
      <c r="AS185" s="477"/>
      <c r="AT185" s="480"/>
      <c r="AU185" s="475"/>
      <c r="AV185" s="475"/>
      <c r="AW185" s="475"/>
      <c r="AX185" s="480"/>
      <c r="AY185" s="475"/>
      <c r="AZ185" s="475"/>
      <c r="BA185" s="475"/>
      <c r="BB185" s="477">
        <f t="shared" si="10"/>
        <v>3</v>
      </c>
      <c r="BC185" s="477">
        <f t="shared" si="8"/>
        <v>3</v>
      </c>
    </row>
    <row r="186" spans="1:55" s="195" customFormat="1" ht="22.5" x14ac:dyDescent="0.25">
      <c r="B186" s="186">
        <f t="shared" si="11"/>
        <v>170</v>
      </c>
      <c r="C186" s="186" t="s">
        <v>38</v>
      </c>
      <c r="D186" s="450">
        <v>40009201</v>
      </c>
      <c r="E186" s="451" t="s">
        <v>732</v>
      </c>
      <c r="F186" s="451" t="s">
        <v>200</v>
      </c>
      <c r="G186" s="473" t="s">
        <v>525</v>
      </c>
      <c r="H186" s="451" t="s">
        <v>525</v>
      </c>
      <c r="I186" s="451" t="s">
        <v>43</v>
      </c>
      <c r="J186" s="474">
        <v>2458089</v>
      </c>
      <c r="K186" s="474"/>
      <c r="L186" s="474">
        <v>2458089</v>
      </c>
      <c r="M186" s="475"/>
      <c r="N186" s="475"/>
      <c r="O186" s="475"/>
      <c r="P186" s="475"/>
      <c r="Q186" s="475"/>
      <c r="R186" s="475"/>
      <c r="S186" s="475"/>
      <c r="T186" s="475"/>
      <c r="U186" s="475"/>
      <c r="V186" s="475"/>
      <c r="W186" s="475"/>
      <c r="X186" s="475"/>
      <c r="Y186" s="475">
        <f t="shared" si="9"/>
        <v>0</v>
      </c>
      <c r="Z186" s="476">
        <v>2</v>
      </c>
      <c r="AA186" s="477">
        <v>14</v>
      </c>
      <c r="AB186" s="478">
        <v>44232</v>
      </c>
      <c r="AC186" s="479">
        <v>44249</v>
      </c>
      <c r="AD186" s="476"/>
      <c r="AE186" s="477"/>
      <c r="AF186" s="478"/>
      <c r="AG186" s="478"/>
      <c r="AH186" s="476"/>
      <c r="AI186" s="477"/>
      <c r="AJ186" s="478"/>
      <c r="AK186" s="477"/>
      <c r="AL186" s="476"/>
      <c r="AM186" s="477"/>
      <c r="AN186" s="477"/>
      <c r="AO186" s="477"/>
      <c r="AP186" s="477"/>
      <c r="AQ186" s="477"/>
      <c r="AR186" s="477"/>
      <c r="AS186" s="477"/>
      <c r="AT186" s="480"/>
      <c r="AU186" s="475"/>
      <c r="AV186" s="475"/>
      <c r="AW186" s="475"/>
      <c r="AX186" s="480"/>
      <c r="AY186" s="475"/>
      <c r="AZ186" s="475"/>
      <c r="BA186" s="475"/>
      <c r="BB186" s="477">
        <f t="shared" si="10"/>
        <v>2</v>
      </c>
      <c r="BC186" s="477">
        <f t="shared" si="8"/>
        <v>2</v>
      </c>
    </row>
    <row r="187" spans="1:55" s="195" customFormat="1" ht="22.5" x14ac:dyDescent="0.25">
      <c r="B187" s="186">
        <f t="shared" si="11"/>
        <v>171</v>
      </c>
      <c r="C187" s="186" t="s">
        <v>38</v>
      </c>
      <c r="D187" s="450">
        <v>40002493</v>
      </c>
      <c r="E187" s="451" t="s">
        <v>733</v>
      </c>
      <c r="F187" s="451" t="s">
        <v>200</v>
      </c>
      <c r="G187" s="473" t="s">
        <v>525</v>
      </c>
      <c r="H187" s="451" t="s">
        <v>637</v>
      </c>
      <c r="I187" s="451" t="s">
        <v>43</v>
      </c>
      <c r="J187" s="474">
        <v>624217</v>
      </c>
      <c r="K187" s="474"/>
      <c r="L187" s="474">
        <v>624217</v>
      </c>
      <c r="M187" s="475"/>
      <c r="N187" s="475"/>
      <c r="O187" s="475"/>
      <c r="P187" s="475"/>
      <c r="Q187" s="475"/>
      <c r="R187" s="475"/>
      <c r="S187" s="475"/>
      <c r="T187" s="475"/>
      <c r="U187" s="475"/>
      <c r="V187" s="475"/>
      <c r="W187" s="475"/>
      <c r="X187" s="475"/>
      <c r="Y187" s="475">
        <f t="shared" si="9"/>
        <v>0</v>
      </c>
      <c r="Z187" s="476">
        <v>3</v>
      </c>
      <c r="AA187" s="477">
        <v>14</v>
      </c>
      <c r="AB187" s="478">
        <v>44232</v>
      </c>
      <c r="AC187" s="479">
        <v>44249</v>
      </c>
      <c r="AD187" s="476"/>
      <c r="AE187" s="477"/>
      <c r="AF187" s="478"/>
      <c r="AG187" s="478"/>
      <c r="AH187" s="476"/>
      <c r="AI187" s="477"/>
      <c r="AJ187" s="478"/>
      <c r="AK187" s="477"/>
      <c r="AL187" s="476"/>
      <c r="AM187" s="477"/>
      <c r="AN187" s="477"/>
      <c r="AO187" s="477"/>
      <c r="AP187" s="477"/>
      <c r="AQ187" s="477"/>
      <c r="AR187" s="477"/>
      <c r="AS187" s="477"/>
      <c r="AT187" s="480"/>
      <c r="AU187" s="475"/>
      <c r="AV187" s="475"/>
      <c r="AW187" s="475"/>
      <c r="AX187" s="480"/>
      <c r="AY187" s="475"/>
      <c r="AZ187" s="475"/>
      <c r="BA187" s="475"/>
      <c r="BB187" s="477">
        <f t="shared" si="10"/>
        <v>3</v>
      </c>
      <c r="BC187" s="477">
        <f t="shared" si="8"/>
        <v>3</v>
      </c>
    </row>
    <row r="188" spans="1:55" s="195" customFormat="1" ht="22.5" x14ac:dyDescent="0.25">
      <c r="B188" s="186">
        <f t="shared" si="11"/>
        <v>172</v>
      </c>
      <c r="C188" s="186" t="s">
        <v>38</v>
      </c>
      <c r="D188" s="450">
        <v>30484208</v>
      </c>
      <c r="E188" s="451" t="s">
        <v>734</v>
      </c>
      <c r="F188" s="451" t="s">
        <v>543</v>
      </c>
      <c r="G188" s="473" t="s">
        <v>525</v>
      </c>
      <c r="H188" s="451" t="s">
        <v>637</v>
      </c>
      <c r="I188" s="451" t="s">
        <v>43</v>
      </c>
      <c r="J188" s="474">
        <v>136554</v>
      </c>
      <c r="K188" s="474"/>
      <c r="L188" s="474">
        <v>136554</v>
      </c>
      <c r="M188" s="475"/>
      <c r="N188" s="475"/>
      <c r="O188" s="475"/>
      <c r="P188" s="475"/>
      <c r="Q188" s="475"/>
      <c r="R188" s="475"/>
      <c r="S188" s="475"/>
      <c r="T188" s="475"/>
      <c r="U188" s="475"/>
      <c r="V188" s="475"/>
      <c r="W188" s="475"/>
      <c r="X188" s="475"/>
      <c r="Y188" s="475">
        <f t="shared" si="9"/>
        <v>0</v>
      </c>
      <c r="Z188" s="476">
        <v>1</v>
      </c>
      <c r="AA188" s="477">
        <v>14</v>
      </c>
      <c r="AB188" s="478">
        <v>44232</v>
      </c>
      <c r="AC188" s="479">
        <v>44249</v>
      </c>
      <c r="AD188" s="476"/>
      <c r="AE188" s="477"/>
      <c r="AF188" s="478"/>
      <c r="AG188" s="478"/>
      <c r="AH188" s="476"/>
      <c r="AI188" s="477"/>
      <c r="AJ188" s="478"/>
      <c r="AK188" s="477"/>
      <c r="AL188" s="476"/>
      <c r="AM188" s="477"/>
      <c r="AN188" s="477"/>
      <c r="AO188" s="477"/>
      <c r="AP188" s="477"/>
      <c r="AQ188" s="477"/>
      <c r="AR188" s="477"/>
      <c r="AS188" s="477"/>
      <c r="AT188" s="480"/>
      <c r="AU188" s="475"/>
      <c r="AV188" s="475"/>
      <c r="AW188" s="475"/>
      <c r="AX188" s="480"/>
      <c r="AY188" s="475"/>
      <c r="AZ188" s="475"/>
      <c r="BA188" s="475"/>
      <c r="BB188" s="477">
        <f t="shared" si="10"/>
        <v>1</v>
      </c>
      <c r="BC188" s="477">
        <f t="shared" si="8"/>
        <v>1</v>
      </c>
    </row>
    <row r="189" spans="1:55" s="195" customFormat="1" ht="22.5" x14ac:dyDescent="0.25">
      <c r="B189" s="186">
        <f t="shared" si="11"/>
        <v>173</v>
      </c>
      <c r="C189" s="186" t="s">
        <v>38</v>
      </c>
      <c r="D189" s="450">
        <v>40010390</v>
      </c>
      <c r="E189" s="451" t="s">
        <v>735</v>
      </c>
      <c r="F189" s="451" t="s">
        <v>200</v>
      </c>
      <c r="G189" s="473" t="s">
        <v>525</v>
      </c>
      <c r="H189" s="451" t="s">
        <v>637</v>
      </c>
      <c r="I189" s="451" t="s">
        <v>43</v>
      </c>
      <c r="J189" s="474">
        <v>245801</v>
      </c>
      <c r="K189" s="474"/>
      <c r="L189" s="474">
        <v>245801</v>
      </c>
      <c r="M189" s="475"/>
      <c r="N189" s="475"/>
      <c r="O189" s="475"/>
      <c r="P189" s="475"/>
      <c r="Q189" s="475"/>
      <c r="R189" s="475"/>
      <c r="S189" s="475"/>
      <c r="T189" s="475"/>
      <c r="U189" s="475"/>
      <c r="V189" s="475"/>
      <c r="W189" s="475"/>
      <c r="X189" s="475"/>
      <c r="Y189" s="475">
        <f t="shared" si="9"/>
        <v>0</v>
      </c>
      <c r="Z189" s="476">
        <v>2</v>
      </c>
      <c r="AA189" s="477">
        <v>14</v>
      </c>
      <c r="AB189" s="478">
        <v>44232</v>
      </c>
      <c r="AC189" s="479">
        <v>44249</v>
      </c>
      <c r="AD189" s="476"/>
      <c r="AE189" s="477"/>
      <c r="AF189" s="478"/>
      <c r="AG189" s="478"/>
      <c r="AH189" s="476"/>
      <c r="AI189" s="477"/>
      <c r="AJ189" s="478"/>
      <c r="AK189" s="477"/>
      <c r="AL189" s="476"/>
      <c r="AM189" s="477"/>
      <c r="AN189" s="477"/>
      <c r="AO189" s="477"/>
      <c r="AP189" s="477"/>
      <c r="AQ189" s="477"/>
      <c r="AR189" s="477"/>
      <c r="AS189" s="477"/>
      <c r="AT189" s="480"/>
      <c r="AU189" s="475"/>
      <c r="AV189" s="475"/>
      <c r="AW189" s="475"/>
      <c r="AX189" s="480"/>
      <c r="AY189" s="475"/>
      <c r="AZ189" s="475"/>
      <c r="BA189" s="475"/>
      <c r="BB189" s="477">
        <f t="shared" si="10"/>
        <v>2</v>
      </c>
      <c r="BC189" s="477">
        <f t="shared" si="8"/>
        <v>2</v>
      </c>
    </row>
    <row r="190" spans="1:55" s="195" customFormat="1" ht="22.5" x14ac:dyDescent="0.25">
      <c r="B190" s="186">
        <f t="shared" si="11"/>
        <v>174</v>
      </c>
      <c r="C190" s="186" t="s">
        <v>38</v>
      </c>
      <c r="D190" s="450">
        <v>40004207</v>
      </c>
      <c r="E190" s="451" t="s">
        <v>736</v>
      </c>
      <c r="F190" s="451" t="s">
        <v>200</v>
      </c>
      <c r="G190" s="473" t="s">
        <v>525</v>
      </c>
      <c r="H190" s="451" t="s">
        <v>598</v>
      </c>
      <c r="I190" s="451" t="s">
        <v>43</v>
      </c>
      <c r="J190" s="474">
        <v>293554</v>
      </c>
      <c r="K190" s="474"/>
      <c r="L190" s="474">
        <v>293554</v>
      </c>
      <c r="M190" s="475"/>
      <c r="N190" s="475"/>
      <c r="O190" s="475"/>
      <c r="P190" s="475"/>
      <c r="Q190" s="475"/>
      <c r="R190" s="475"/>
      <c r="S190" s="475"/>
      <c r="T190" s="475"/>
      <c r="U190" s="475"/>
      <c r="V190" s="475"/>
      <c r="W190" s="475"/>
      <c r="X190" s="475"/>
      <c r="Y190" s="475">
        <f t="shared" si="9"/>
        <v>0</v>
      </c>
      <c r="Z190" s="476">
        <v>2</v>
      </c>
      <c r="AA190" s="477">
        <v>14</v>
      </c>
      <c r="AB190" s="478">
        <v>44232</v>
      </c>
      <c r="AC190" s="479">
        <v>44249</v>
      </c>
      <c r="AD190" s="476">
        <v>287260</v>
      </c>
      <c r="AE190" s="477">
        <v>23</v>
      </c>
      <c r="AF190" s="478">
        <v>44253</v>
      </c>
      <c r="AG190" s="479">
        <v>44286</v>
      </c>
      <c r="AH190" s="476"/>
      <c r="AI190" s="477"/>
      <c r="AJ190" s="478"/>
      <c r="AK190" s="477"/>
      <c r="AL190" s="476"/>
      <c r="AM190" s="477"/>
      <c r="AN190" s="477"/>
      <c r="AO190" s="477"/>
      <c r="AP190" s="477"/>
      <c r="AQ190" s="477"/>
      <c r="AR190" s="477"/>
      <c r="AS190" s="477"/>
      <c r="AT190" s="480"/>
      <c r="AU190" s="475"/>
      <c r="AV190" s="475"/>
      <c r="AW190" s="475"/>
      <c r="AX190" s="480"/>
      <c r="AY190" s="475"/>
      <c r="AZ190" s="475"/>
      <c r="BA190" s="475"/>
      <c r="BB190" s="477">
        <f t="shared" si="10"/>
        <v>287262</v>
      </c>
      <c r="BC190" s="477">
        <f t="shared" si="8"/>
        <v>287262</v>
      </c>
    </row>
    <row r="191" spans="1:55" s="195" customFormat="1" ht="33.75" x14ac:dyDescent="0.25">
      <c r="A191" s="195" t="s">
        <v>737</v>
      </c>
      <c r="B191" s="186">
        <f t="shared" si="11"/>
        <v>175</v>
      </c>
      <c r="C191" s="186" t="s">
        <v>38</v>
      </c>
      <c r="D191" s="450">
        <v>40007565</v>
      </c>
      <c r="E191" s="451" t="s">
        <v>738</v>
      </c>
      <c r="F191" s="451" t="s">
        <v>200</v>
      </c>
      <c r="G191" s="473" t="s">
        <v>525</v>
      </c>
      <c r="H191" s="451" t="s">
        <v>598</v>
      </c>
      <c r="I191" s="451" t="s">
        <v>43</v>
      </c>
      <c r="J191" s="474">
        <v>224672</v>
      </c>
      <c r="K191" s="474"/>
      <c r="L191" s="474">
        <v>224672</v>
      </c>
      <c r="M191" s="475"/>
      <c r="N191" s="475"/>
      <c r="O191" s="475"/>
      <c r="P191" s="475">
        <v>34593.642</v>
      </c>
      <c r="Q191" s="475">
        <v>0</v>
      </c>
      <c r="R191" s="475">
        <v>80067.117999999988</v>
      </c>
      <c r="S191" s="475"/>
      <c r="T191" s="475"/>
      <c r="U191" s="475"/>
      <c r="V191" s="475"/>
      <c r="W191" s="475"/>
      <c r="X191" s="475"/>
      <c r="Y191" s="475">
        <f t="shared" si="9"/>
        <v>114660.75999999998</v>
      </c>
      <c r="Z191" s="476">
        <v>2</v>
      </c>
      <c r="AA191" s="477">
        <v>14</v>
      </c>
      <c r="AB191" s="478">
        <v>44232</v>
      </c>
      <c r="AC191" s="479">
        <v>44249</v>
      </c>
      <c r="AD191" s="476">
        <v>34591</v>
      </c>
      <c r="AE191" s="477">
        <v>28</v>
      </c>
      <c r="AF191" s="478">
        <v>44295</v>
      </c>
      <c r="AG191" s="479">
        <v>44301</v>
      </c>
      <c r="AH191" s="476">
        <v>4432</v>
      </c>
      <c r="AI191" s="477">
        <v>48</v>
      </c>
      <c r="AJ191" s="478">
        <v>44348</v>
      </c>
      <c r="AK191" s="479">
        <v>44354</v>
      </c>
      <c r="AL191" s="476">
        <v>78600</v>
      </c>
      <c r="AM191" s="477">
        <v>49</v>
      </c>
      <c r="AN191" s="478">
        <v>44348</v>
      </c>
      <c r="AO191" s="479">
        <v>44354</v>
      </c>
      <c r="AP191" s="476">
        <v>1478</v>
      </c>
      <c r="AQ191" s="477">
        <v>56</v>
      </c>
      <c r="AR191" s="477">
        <v>44371</v>
      </c>
      <c r="AS191" s="477">
        <v>44376</v>
      </c>
      <c r="AT191" s="483"/>
      <c r="AU191" s="483"/>
      <c r="AV191" s="483"/>
      <c r="AW191" s="483"/>
      <c r="AX191" s="480"/>
      <c r="AY191" s="475"/>
      <c r="AZ191" s="475"/>
      <c r="BA191" s="475"/>
      <c r="BB191" s="477">
        <f t="shared" si="10"/>
        <v>119103</v>
      </c>
      <c r="BC191" s="477">
        <f t="shared" si="8"/>
        <v>4442.2400000000198</v>
      </c>
    </row>
    <row r="192" spans="1:55" s="195" customFormat="1" ht="22.5" x14ac:dyDescent="0.25">
      <c r="B192" s="186">
        <f t="shared" si="11"/>
        <v>176</v>
      </c>
      <c r="C192" s="186" t="s">
        <v>38</v>
      </c>
      <c r="D192" s="450">
        <v>40001631</v>
      </c>
      <c r="E192" s="451" t="s">
        <v>739</v>
      </c>
      <c r="F192" s="451" t="s">
        <v>200</v>
      </c>
      <c r="G192" s="473" t="s">
        <v>525</v>
      </c>
      <c r="H192" s="451" t="s">
        <v>598</v>
      </c>
      <c r="I192" s="451" t="s">
        <v>43</v>
      </c>
      <c r="J192" s="474">
        <v>707800</v>
      </c>
      <c r="K192" s="474"/>
      <c r="L192" s="474">
        <v>707800</v>
      </c>
      <c r="M192" s="475"/>
      <c r="N192" s="475"/>
      <c r="O192" s="475"/>
      <c r="P192" s="475">
        <v>0</v>
      </c>
      <c r="Q192" s="475">
        <v>0</v>
      </c>
      <c r="R192" s="475">
        <v>113419.372</v>
      </c>
      <c r="S192" s="475"/>
      <c r="T192" s="475"/>
      <c r="U192" s="475"/>
      <c r="V192" s="475"/>
      <c r="W192" s="475"/>
      <c r="X192" s="475"/>
      <c r="Y192" s="475">
        <f t="shared" si="9"/>
        <v>113419.372</v>
      </c>
      <c r="Z192" s="476">
        <v>2</v>
      </c>
      <c r="AA192" s="477">
        <v>14</v>
      </c>
      <c r="AB192" s="478">
        <v>44232</v>
      </c>
      <c r="AC192" s="479">
        <v>44249</v>
      </c>
      <c r="AD192" s="476">
        <v>623222</v>
      </c>
      <c r="AE192" s="477">
        <v>23</v>
      </c>
      <c r="AF192" s="478">
        <v>44253</v>
      </c>
      <c r="AG192" s="479">
        <v>44286</v>
      </c>
      <c r="AH192" s="476"/>
      <c r="AI192" s="477"/>
      <c r="AJ192" s="478"/>
      <c r="AK192" s="477"/>
      <c r="AL192" s="476"/>
      <c r="AM192" s="477"/>
      <c r="AN192" s="477"/>
      <c r="AO192" s="477"/>
      <c r="AP192" s="476"/>
      <c r="AQ192" s="477"/>
      <c r="AR192" s="477"/>
      <c r="AS192" s="477"/>
      <c r="AT192" s="483"/>
      <c r="AU192" s="483"/>
      <c r="AV192" s="483"/>
      <c r="AW192" s="483"/>
      <c r="AX192" s="480"/>
      <c r="AY192" s="475"/>
      <c r="AZ192" s="475"/>
      <c r="BA192" s="475"/>
      <c r="BB192" s="477">
        <f t="shared" si="10"/>
        <v>623224</v>
      </c>
      <c r="BC192" s="477">
        <f t="shared" si="8"/>
        <v>509804.62800000003</v>
      </c>
    </row>
    <row r="193" spans="1:55" s="195" customFormat="1" ht="33.75" x14ac:dyDescent="0.25">
      <c r="A193" s="195" t="s">
        <v>740</v>
      </c>
      <c r="B193" s="186">
        <f t="shared" si="11"/>
        <v>177</v>
      </c>
      <c r="C193" s="186" t="s">
        <v>38</v>
      </c>
      <c r="D193" s="450">
        <v>40013139</v>
      </c>
      <c r="E193" s="451" t="s">
        <v>741</v>
      </c>
      <c r="F193" s="451" t="s">
        <v>200</v>
      </c>
      <c r="G193" s="473" t="s">
        <v>525</v>
      </c>
      <c r="H193" s="451" t="s">
        <v>544</v>
      </c>
      <c r="I193" s="451" t="s">
        <v>43</v>
      </c>
      <c r="J193" s="474">
        <v>1161106</v>
      </c>
      <c r="K193" s="474"/>
      <c r="L193" s="474">
        <v>1161106</v>
      </c>
      <c r="M193" s="475"/>
      <c r="N193" s="475"/>
      <c r="O193" s="475"/>
      <c r="P193" s="475">
        <v>205976.272</v>
      </c>
      <c r="Q193" s="475">
        <v>0</v>
      </c>
      <c r="R193" s="475">
        <v>62828.629000000001</v>
      </c>
      <c r="S193" s="475"/>
      <c r="T193" s="475"/>
      <c r="U193" s="475"/>
      <c r="V193" s="475"/>
      <c r="W193" s="475"/>
      <c r="X193" s="475"/>
      <c r="Y193" s="475">
        <f t="shared" si="9"/>
        <v>268804.90100000001</v>
      </c>
      <c r="Z193" s="476">
        <v>1</v>
      </c>
      <c r="AA193" s="477">
        <v>14</v>
      </c>
      <c r="AB193" s="478">
        <v>44232</v>
      </c>
      <c r="AC193" s="479">
        <v>44249</v>
      </c>
      <c r="AD193" s="476">
        <v>132023</v>
      </c>
      <c r="AE193" s="477">
        <v>28</v>
      </c>
      <c r="AF193" s="478">
        <v>44295</v>
      </c>
      <c r="AG193" s="479">
        <v>44301</v>
      </c>
      <c r="AH193" s="476">
        <v>73954</v>
      </c>
      <c r="AI193" s="477">
        <v>33</v>
      </c>
      <c r="AJ193" s="478">
        <v>44307</v>
      </c>
      <c r="AK193" s="479">
        <v>44327</v>
      </c>
      <c r="AL193" s="476">
        <v>60000</v>
      </c>
      <c r="AM193" s="477">
        <v>48</v>
      </c>
      <c r="AN193" s="478">
        <v>44348</v>
      </c>
      <c r="AO193" s="479">
        <v>44354</v>
      </c>
      <c r="AP193" s="476">
        <v>5400</v>
      </c>
      <c r="AQ193" s="477">
        <v>49</v>
      </c>
      <c r="AR193" s="478">
        <v>44348</v>
      </c>
      <c r="AS193" s="479">
        <v>44354</v>
      </c>
      <c r="AT193" s="483"/>
      <c r="AU193" s="483"/>
      <c r="AV193" s="483"/>
      <c r="AW193" s="483"/>
      <c r="AX193" s="480"/>
      <c r="AY193" s="475"/>
      <c r="AZ193" s="475"/>
      <c r="BA193" s="475"/>
      <c r="BB193" s="477">
        <f t="shared" si="10"/>
        <v>271378</v>
      </c>
      <c r="BC193" s="477">
        <f t="shared" si="8"/>
        <v>2573.0989999999874</v>
      </c>
    </row>
    <row r="194" spans="1:55" s="195" customFormat="1" ht="22.5" x14ac:dyDescent="0.25">
      <c r="B194" s="186">
        <f t="shared" si="11"/>
        <v>178</v>
      </c>
      <c r="C194" s="186" t="s">
        <v>38</v>
      </c>
      <c r="D194" s="450">
        <v>40015729</v>
      </c>
      <c r="E194" s="451" t="s">
        <v>742</v>
      </c>
      <c r="F194" s="451" t="s">
        <v>543</v>
      </c>
      <c r="G194" s="473" t="s">
        <v>525</v>
      </c>
      <c r="H194" s="451" t="s">
        <v>535</v>
      </c>
      <c r="I194" s="451" t="s">
        <v>43</v>
      </c>
      <c r="J194" s="474">
        <v>34620</v>
      </c>
      <c r="K194" s="474"/>
      <c r="L194" s="474">
        <v>34620</v>
      </c>
      <c r="M194" s="475"/>
      <c r="N194" s="475"/>
      <c r="O194" s="475"/>
      <c r="P194" s="475"/>
      <c r="Q194" s="475"/>
      <c r="R194" s="475"/>
      <c r="S194" s="475"/>
      <c r="T194" s="475"/>
      <c r="U194" s="475"/>
      <c r="V194" s="475"/>
      <c r="W194" s="475"/>
      <c r="X194" s="475"/>
      <c r="Y194" s="475">
        <f t="shared" si="9"/>
        <v>0</v>
      </c>
      <c r="Z194" s="476">
        <v>1</v>
      </c>
      <c r="AA194" s="477">
        <v>14</v>
      </c>
      <c r="AB194" s="478">
        <v>44232</v>
      </c>
      <c r="AC194" s="479">
        <v>44249</v>
      </c>
      <c r="AD194" s="476"/>
      <c r="AE194" s="477"/>
      <c r="AF194" s="478"/>
      <c r="AG194" s="478"/>
      <c r="AH194" s="476"/>
      <c r="AI194" s="477"/>
      <c r="AJ194" s="478"/>
      <c r="AK194" s="477"/>
      <c r="AL194" s="476"/>
      <c r="AM194" s="477"/>
      <c r="AN194" s="477"/>
      <c r="AO194" s="477"/>
      <c r="AP194" s="477"/>
      <c r="AQ194" s="477"/>
      <c r="AR194" s="477"/>
      <c r="AS194" s="477"/>
      <c r="AT194" s="480"/>
      <c r="AU194" s="475"/>
      <c r="AV194" s="475"/>
      <c r="AW194" s="475"/>
      <c r="AX194" s="480"/>
      <c r="AY194" s="475"/>
      <c r="AZ194" s="475"/>
      <c r="BA194" s="475"/>
      <c r="BB194" s="477">
        <f t="shared" si="10"/>
        <v>1</v>
      </c>
      <c r="BC194" s="477">
        <f t="shared" si="8"/>
        <v>1</v>
      </c>
    </row>
    <row r="195" spans="1:55" s="195" customFormat="1" ht="22.5" x14ac:dyDescent="0.25">
      <c r="B195" s="186">
        <f t="shared" si="11"/>
        <v>179</v>
      </c>
      <c r="C195" s="186" t="s">
        <v>38</v>
      </c>
      <c r="D195" s="450">
        <v>40001590</v>
      </c>
      <c r="E195" s="451" t="s">
        <v>743</v>
      </c>
      <c r="F195" s="451" t="s">
        <v>543</v>
      </c>
      <c r="G195" s="473" t="s">
        <v>525</v>
      </c>
      <c r="H195" s="451" t="s">
        <v>561</v>
      </c>
      <c r="I195" s="451" t="s">
        <v>43</v>
      </c>
      <c r="J195" s="474">
        <v>52454</v>
      </c>
      <c r="K195" s="474"/>
      <c r="L195" s="474">
        <v>52454</v>
      </c>
      <c r="M195" s="475"/>
      <c r="N195" s="475"/>
      <c r="O195" s="475"/>
      <c r="P195" s="475"/>
      <c r="Q195" s="475"/>
      <c r="R195" s="475"/>
      <c r="S195" s="475"/>
      <c r="T195" s="475"/>
      <c r="U195" s="475"/>
      <c r="V195" s="475"/>
      <c r="W195" s="475"/>
      <c r="X195" s="475"/>
      <c r="Y195" s="475">
        <f t="shared" si="9"/>
        <v>0</v>
      </c>
      <c r="Z195" s="476">
        <v>1</v>
      </c>
      <c r="AA195" s="477">
        <v>14</v>
      </c>
      <c r="AB195" s="478">
        <v>44232</v>
      </c>
      <c r="AC195" s="479">
        <v>44249</v>
      </c>
      <c r="AD195" s="476"/>
      <c r="AE195" s="477"/>
      <c r="AF195" s="478"/>
      <c r="AG195" s="478"/>
      <c r="AH195" s="476"/>
      <c r="AI195" s="477"/>
      <c r="AJ195" s="478"/>
      <c r="AK195" s="477"/>
      <c r="AL195" s="476"/>
      <c r="AM195" s="477"/>
      <c r="AN195" s="477"/>
      <c r="AO195" s="477"/>
      <c r="AP195" s="477"/>
      <c r="AQ195" s="477"/>
      <c r="AR195" s="477"/>
      <c r="AS195" s="477"/>
      <c r="AT195" s="480"/>
      <c r="AU195" s="475"/>
      <c r="AV195" s="475"/>
      <c r="AW195" s="475"/>
      <c r="AX195" s="480"/>
      <c r="AY195" s="475"/>
      <c r="AZ195" s="475"/>
      <c r="BA195" s="475"/>
      <c r="BB195" s="477">
        <f t="shared" si="10"/>
        <v>1</v>
      </c>
      <c r="BC195" s="477">
        <f t="shared" si="8"/>
        <v>1</v>
      </c>
    </row>
    <row r="196" spans="1:55" s="195" customFormat="1" ht="22.5" x14ac:dyDescent="0.25">
      <c r="B196" s="186">
        <f t="shared" si="11"/>
        <v>180</v>
      </c>
      <c r="C196" s="186" t="s">
        <v>38</v>
      </c>
      <c r="D196" s="450">
        <v>40008583</v>
      </c>
      <c r="E196" s="451" t="s">
        <v>744</v>
      </c>
      <c r="F196" s="451" t="s">
        <v>200</v>
      </c>
      <c r="G196" s="473" t="s">
        <v>525</v>
      </c>
      <c r="H196" s="451" t="s">
        <v>623</v>
      </c>
      <c r="I196" s="451" t="s">
        <v>43</v>
      </c>
      <c r="J196" s="474">
        <v>626490</v>
      </c>
      <c r="K196" s="474"/>
      <c r="L196" s="474">
        <v>626490</v>
      </c>
      <c r="M196" s="475"/>
      <c r="N196" s="475"/>
      <c r="O196" s="475"/>
      <c r="P196" s="475"/>
      <c r="Q196" s="475"/>
      <c r="R196" s="475"/>
      <c r="S196" s="475"/>
      <c r="T196" s="475"/>
      <c r="U196" s="475"/>
      <c r="V196" s="475"/>
      <c r="W196" s="475"/>
      <c r="X196" s="475"/>
      <c r="Y196" s="475">
        <f t="shared" si="9"/>
        <v>0</v>
      </c>
      <c r="Z196" s="476">
        <v>3</v>
      </c>
      <c r="AA196" s="477">
        <v>14</v>
      </c>
      <c r="AB196" s="478">
        <v>44232</v>
      </c>
      <c r="AC196" s="479">
        <v>44249</v>
      </c>
      <c r="AD196" s="476"/>
      <c r="AE196" s="477"/>
      <c r="AF196" s="478"/>
      <c r="AG196" s="478"/>
      <c r="AH196" s="476"/>
      <c r="AI196" s="477"/>
      <c r="AJ196" s="478"/>
      <c r="AK196" s="477"/>
      <c r="AL196" s="476"/>
      <c r="AM196" s="477"/>
      <c r="AN196" s="477"/>
      <c r="AO196" s="477"/>
      <c r="AP196" s="477"/>
      <c r="AQ196" s="477"/>
      <c r="AR196" s="477"/>
      <c r="AS196" s="477"/>
      <c r="AT196" s="480"/>
      <c r="AU196" s="475"/>
      <c r="AV196" s="475"/>
      <c r="AW196" s="475"/>
      <c r="AX196" s="480"/>
      <c r="AY196" s="475"/>
      <c r="AZ196" s="475"/>
      <c r="BA196" s="475"/>
      <c r="BB196" s="477">
        <f t="shared" si="10"/>
        <v>3</v>
      </c>
      <c r="BC196" s="477">
        <f t="shared" si="8"/>
        <v>3</v>
      </c>
    </row>
    <row r="197" spans="1:55" s="195" customFormat="1" ht="22.5" x14ac:dyDescent="0.25">
      <c r="B197" s="186">
        <f t="shared" si="11"/>
        <v>181</v>
      </c>
      <c r="C197" s="186" t="s">
        <v>38</v>
      </c>
      <c r="D197" s="450">
        <v>40009784</v>
      </c>
      <c r="E197" s="451" t="s">
        <v>745</v>
      </c>
      <c r="F197" s="451" t="s">
        <v>200</v>
      </c>
      <c r="G197" s="473" t="s">
        <v>525</v>
      </c>
      <c r="H197" s="451" t="s">
        <v>746</v>
      </c>
      <c r="I197" s="451" t="s">
        <v>43</v>
      </c>
      <c r="J197" s="474">
        <v>2015866</v>
      </c>
      <c r="K197" s="474"/>
      <c r="L197" s="474">
        <v>2015866</v>
      </c>
      <c r="M197" s="475"/>
      <c r="N197" s="475"/>
      <c r="O197" s="475"/>
      <c r="P197" s="475"/>
      <c r="Q197" s="475"/>
      <c r="R197" s="475"/>
      <c r="S197" s="475"/>
      <c r="T197" s="475"/>
      <c r="U197" s="475"/>
      <c r="V197" s="475"/>
      <c r="W197" s="475"/>
      <c r="X197" s="475"/>
      <c r="Y197" s="475">
        <f t="shared" si="9"/>
        <v>0</v>
      </c>
      <c r="Z197" s="476">
        <v>2</v>
      </c>
      <c r="AA197" s="477">
        <v>14</v>
      </c>
      <c r="AB197" s="478">
        <v>44232</v>
      </c>
      <c r="AC197" s="479">
        <v>44249</v>
      </c>
      <c r="AD197" s="476"/>
      <c r="AE197" s="477"/>
      <c r="AF197" s="478"/>
      <c r="AG197" s="478"/>
      <c r="AH197" s="476"/>
      <c r="AI197" s="477"/>
      <c r="AJ197" s="478"/>
      <c r="AK197" s="477"/>
      <c r="AL197" s="476"/>
      <c r="AM197" s="477"/>
      <c r="AN197" s="477"/>
      <c r="AO197" s="477"/>
      <c r="AP197" s="477"/>
      <c r="AQ197" s="477"/>
      <c r="AR197" s="477"/>
      <c r="AS197" s="477"/>
      <c r="AT197" s="480"/>
      <c r="AU197" s="475"/>
      <c r="AV197" s="475"/>
      <c r="AW197" s="475"/>
      <c r="AX197" s="480"/>
      <c r="AY197" s="475"/>
      <c r="AZ197" s="475"/>
      <c r="BA197" s="475"/>
      <c r="BB197" s="477">
        <f t="shared" si="10"/>
        <v>2</v>
      </c>
      <c r="BC197" s="477">
        <f t="shared" si="8"/>
        <v>2</v>
      </c>
    </row>
    <row r="198" spans="1:55" s="195" customFormat="1" ht="22.5" x14ac:dyDescent="0.25">
      <c r="B198" s="186">
        <f t="shared" si="11"/>
        <v>182</v>
      </c>
      <c r="C198" s="186" t="s">
        <v>38</v>
      </c>
      <c r="D198" s="450">
        <v>40015930</v>
      </c>
      <c r="E198" s="451" t="s">
        <v>747</v>
      </c>
      <c r="F198" s="451" t="s">
        <v>543</v>
      </c>
      <c r="G198" s="473" t="s">
        <v>525</v>
      </c>
      <c r="H198" s="451" t="s">
        <v>595</v>
      </c>
      <c r="I198" s="451" t="s">
        <v>43</v>
      </c>
      <c r="J198" s="474">
        <v>115924</v>
      </c>
      <c r="K198" s="474"/>
      <c r="L198" s="474">
        <v>115924</v>
      </c>
      <c r="M198" s="475"/>
      <c r="N198" s="475"/>
      <c r="O198" s="475"/>
      <c r="P198" s="475"/>
      <c r="Q198" s="475"/>
      <c r="R198" s="475"/>
      <c r="S198" s="475"/>
      <c r="T198" s="475"/>
      <c r="U198" s="475"/>
      <c r="V198" s="475"/>
      <c r="W198" s="475"/>
      <c r="X198" s="475"/>
      <c r="Y198" s="475">
        <f t="shared" si="9"/>
        <v>0</v>
      </c>
      <c r="Z198" s="476">
        <v>1</v>
      </c>
      <c r="AA198" s="477">
        <v>14</v>
      </c>
      <c r="AB198" s="478">
        <v>44232</v>
      </c>
      <c r="AC198" s="479">
        <v>44249</v>
      </c>
      <c r="AD198" s="476"/>
      <c r="AE198" s="477"/>
      <c r="AF198" s="478"/>
      <c r="AG198" s="478"/>
      <c r="AH198" s="476"/>
      <c r="AI198" s="477"/>
      <c r="AJ198" s="478"/>
      <c r="AK198" s="477"/>
      <c r="AL198" s="476"/>
      <c r="AM198" s="477"/>
      <c r="AN198" s="477"/>
      <c r="AO198" s="477"/>
      <c r="AP198" s="477"/>
      <c r="AQ198" s="477"/>
      <c r="AR198" s="477"/>
      <c r="AS198" s="477"/>
      <c r="AT198" s="480"/>
      <c r="AU198" s="475"/>
      <c r="AV198" s="475"/>
      <c r="AW198" s="475"/>
      <c r="AX198" s="480"/>
      <c r="AY198" s="475"/>
      <c r="AZ198" s="475"/>
      <c r="BA198" s="475"/>
      <c r="BB198" s="477">
        <f t="shared" si="10"/>
        <v>1</v>
      </c>
      <c r="BC198" s="477">
        <f t="shared" si="8"/>
        <v>1</v>
      </c>
    </row>
    <row r="199" spans="1:55" s="195" customFormat="1" ht="22.5" x14ac:dyDescent="0.25">
      <c r="A199" s="195" t="s">
        <v>748</v>
      </c>
      <c r="B199" s="186">
        <f t="shared" si="11"/>
        <v>183</v>
      </c>
      <c r="C199" s="186" t="s">
        <v>38</v>
      </c>
      <c r="D199" s="450">
        <v>30485268</v>
      </c>
      <c r="E199" s="451" t="s">
        <v>749</v>
      </c>
      <c r="F199" s="451" t="s">
        <v>200</v>
      </c>
      <c r="G199" s="473" t="s">
        <v>525</v>
      </c>
      <c r="H199" s="451" t="s">
        <v>595</v>
      </c>
      <c r="I199" s="451" t="s">
        <v>43</v>
      </c>
      <c r="J199" s="474">
        <v>705131</v>
      </c>
      <c r="K199" s="474"/>
      <c r="L199" s="474">
        <v>705131</v>
      </c>
      <c r="M199" s="475"/>
      <c r="N199" s="475"/>
      <c r="O199" s="475"/>
      <c r="P199" s="475">
        <v>0</v>
      </c>
      <c r="Q199" s="475">
        <v>2250</v>
      </c>
      <c r="R199" s="475">
        <v>0</v>
      </c>
      <c r="S199" s="475"/>
      <c r="T199" s="475"/>
      <c r="U199" s="475"/>
      <c r="V199" s="475"/>
      <c r="W199" s="475"/>
      <c r="X199" s="475"/>
      <c r="Y199" s="475">
        <f t="shared" si="9"/>
        <v>2250</v>
      </c>
      <c r="Z199" s="476">
        <v>3</v>
      </c>
      <c r="AA199" s="477">
        <v>14</v>
      </c>
      <c r="AB199" s="478">
        <v>44232</v>
      </c>
      <c r="AC199" s="479">
        <v>44249</v>
      </c>
      <c r="AD199" s="476">
        <v>5000</v>
      </c>
      <c r="AE199" s="477">
        <v>35</v>
      </c>
      <c r="AF199" s="478">
        <v>44314</v>
      </c>
      <c r="AG199" s="479">
        <v>44327</v>
      </c>
      <c r="AH199" s="476"/>
      <c r="AI199" s="477"/>
      <c r="AJ199" s="478"/>
      <c r="AK199" s="477"/>
      <c r="AL199" s="476"/>
      <c r="AM199" s="477"/>
      <c r="AN199" s="477"/>
      <c r="AO199" s="477"/>
      <c r="AP199" s="477"/>
      <c r="AQ199" s="477"/>
      <c r="AR199" s="477"/>
      <c r="AS199" s="477"/>
      <c r="AT199" s="480"/>
      <c r="AU199" s="475"/>
      <c r="AV199" s="475"/>
      <c r="AW199" s="475"/>
      <c r="AX199" s="480"/>
      <c r="AY199" s="475"/>
      <c r="AZ199" s="475"/>
      <c r="BA199" s="475"/>
      <c r="BB199" s="477">
        <f t="shared" si="10"/>
        <v>5003</v>
      </c>
      <c r="BC199" s="477">
        <f t="shared" si="8"/>
        <v>2753</v>
      </c>
    </row>
    <row r="200" spans="1:55" s="195" customFormat="1" ht="22.5" x14ac:dyDescent="0.25">
      <c r="B200" s="186">
        <f t="shared" si="11"/>
        <v>184</v>
      </c>
      <c r="C200" s="186" t="s">
        <v>38</v>
      </c>
      <c r="D200" s="450">
        <v>40003755</v>
      </c>
      <c r="E200" s="451" t="s">
        <v>750</v>
      </c>
      <c r="F200" s="451" t="s">
        <v>200</v>
      </c>
      <c r="G200" s="473" t="s">
        <v>525</v>
      </c>
      <c r="H200" s="451" t="s">
        <v>587</v>
      </c>
      <c r="I200" s="451" t="s">
        <v>43</v>
      </c>
      <c r="J200" s="474">
        <v>555043</v>
      </c>
      <c r="K200" s="474"/>
      <c r="L200" s="474">
        <v>555043</v>
      </c>
      <c r="M200" s="475"/>
      <c r="N200" s="475"/>
      <c r="O200" s="475"/>
      <c r="P200" s="475">
        <v>89132.979000000007</v>
      </c>
      <c r="Q200" s="475">
        <v>0</v>
      </c>
      <c r="R200" s="475">
        <v>239270.95499999999</v>
      </c>
      <c r="S200" s="475"/>
      <c r="T200" s="475"/>
      <c r="U200" s="475"/>
      <c r="V200" s="475"/>
      <c r="W200" s="475"/>
      <c r="X200" s="475"/>
      <c r="Y200" s="475">
        <f t="shared" si="9"/>
        <v>328403.93400000001</v>
      </c>
      <c r="Z200" s="476">
        <v>3</v>
      </c>
      <c r="AA200" s="477">
        <v>14</v>
      </c>
      <c r="AB200" s="478">
        <v>44232</v>
      </c>
      <c r="AC200" s="479">
        <v>44249</v>
      </c>
      <c r="AD200" s="476">
        <v>535656</v>
      </c>
      <c r="AE200" s="477">
        <v>23</v>
      </c>
      <c r="AF200" s="478">
        <v>44253</v>
      </c>
      <c r="AG200" s="479">
        <v>44286</v>
      </c>
      <c r="AH200" s="476"/>
      <c r="AI200" s="477"/>
      <c r="AJ200" s="478"/>
      <c r="AK200" s="477"/>
      <c r="AL200" s="476"/>
      <c r="AM200" s="477"/>
      <c r="AN200" s="477"/>
      <c r="AO200" s="477"/>
      <c r="AP200" s="477"/>
      <c r="AQ200" s="477"/>
      <c r="AR200" s="477"/>
      <c r="AS200" s="477"/>
      <c r="AT200" s="480"/>
      <c r="AU200" s="475"/>
      <c r="AV200" s="475"/>
      <c r="AW200" s="475"/>
      <c r="AX200" s="480"/>
      <c r="AY200" s="475"/>
      <c r="AZ200" s="475"/>
      <c r="BA200" s="475"/>
      <c r="BB200" s="477">
        <f t="shared" si="10"/>
        <v>535659</v>
      </c>
      <c r="BC200" s="477">
        <f t="shared" si="8"/>
        <v>207255.06599999999</v>
      </c>
    </row>
    <row r="201" spans="1:55" s="195" customFormat="1" x14ac:dyDescent="0.25">
      <c r="B201" s="186">
        <f t="shared" si="11"/>
        <v>185</v>
      </c>
      <c r="C201" s="186" t="s">
        <v>40</v>
      </c>
      <c r="D201" s="450">
        <v>30439724</v>
      </c>
      <c r="E201" s="451" t="s">
        <v>751</v>
      </c>
      <c r="F201" s="451" t="s">
        <v>200</v>
      </c>
      <c r="G201" s="473" t="s">
        <v>525</v>
      </c>
      <c r="H201" s="451" t="s">
        <v>672</v>
      </c>
      <c r="I201" s="451" t="s">
        <v>42</v>
      </c>
      <c r="J201" s="474">
        <v>171488</v>
      </c>
      <c r="K201" s="474">
        <v>53188</v>
      </c>
      <c r="L201" s="474">
        <v>118300</v>
      </c>
      <c r="M201" s="475"/>
      <c r="N201" s="475"/>
      <c r="O201" s="475"/>
      <c r="P201" s="475"/>
      <c r="Q201" s="475"/>
      <c r="R201" s="475"/>
      <c r="S201" s="475"/>
      <c r="T201" s="475"/>
      <c r="U201" s="475"/>
      <c r="V201" s="475"/>
      <c r="W201" s="475"/>
      <c r="X201" s="475"/>
      <c r="Y201" s="475">
        <f t="shared" si="9"/>
        <v>0</v>
      </c>
      <c r="Z201" s="476">
        <v>1</v>
      </c>
      <c r="AA201" s="477">
        <v>14</v>
      </c>
      <c r="AB201" s="478">
        <v>44232</v>
      </c>
      <c r="AC201" s="479">
        <v>44249</v>
      </c>
      <c r="AD201" s="476"/>
      <c r="AE201" s="477"/>
      <c r="AF201" s="478"/>
      <c r="AG201" s="478"/>
      <c r="AH201" s="476"/>
      <c r="AI201" s="477"/>
      <c r="AJ201" s="478"/>
      <c r="AK201" s="477"/>
      <c r="AL201" s="476"/>
      <c r="AM201" s="477"/>
      <c r="AN201" s="477"/>
      <c r="AO201" s="477"/>
      <c r="AP201" s="477"/>
      <c r="AQ201" s="477"/>
      <c r="AR201" s="477"/>
      <c r="AS201" s="477"/>
      <c r="AT201" s="480"/>
      <c r="AU201" s="475"/>
      <c r="AV201" s="475"/>
      <c r="AW201" s="475"/>
      <c r="AX201" s="480"/>
      <c r="AY201" s="475"/>
      <c r="AZ201" s="475"/>
      <c r="BA201" s="475"/>
      <c r="BB201" s="477">
        <f t="shared" si="10"/>
        <v>1</v>
      </c>
      <c r="BC201" s="477">
        <f t="shared" si="8"/>
        <v>1</v>
      </c>
    </row>
    <row r="202" spans="1:55" s="195" customFormat="1" ht="22.5" x14ac:dyDescent="0.25">
      <c r="B202" s="186">
        <f t="shared" si="11"/>
        <v>186</v>
      </c>
      <c r="C202" s="186" t="s">
        <v>38</v>
      </c>
      <c r="D202" s="450">
        <v>40012167</v>
      </c>
      <c r="E202" s="451" t="s">
        <v>752</v>
      </c>
      <c r="F202" s="451" t="s">
        <v>200</v>
      </c>
      <c r="G202" s="473" t="s">
        <v>525</v>
      </c>
      <c r="H202" s="451" t="s">
        <v>612</v>
      </c>
      <c r="I202" s="451" t="s">
        <v>43</v>
      </c>
      <c r="J202" s="474">
        <v>163993</v>
      </c>
      <c r="K202" s="474"/>
      <c r="L202" s="474">
        <v>163993</v>
      </c>
      <c r="M202" s="475"/>
      <c r="N202" s="475"/>
      <c r="O202" s="475"/>
      <c r="P202" s="475"/>
      <c r="Q202" s="475"/>
      <c r="R202" s="475"/>
      <c r="S202" s="475"/>
      <c r="T202" s="475"/>
      <c r="U202" s="475"/>
      <c r="V202" s="475"/>
      <c r="W202" s="475"/>
      <c r="X202" s="475"/>
      <c r="Y202" s="475">
        <f t="shared" si="9"/>
        <v>0</v>
      </c>
      <c r="Z202" s="476">
        <v>3</v>
      </c>
      <c r="AA202" s="477">
        <v>14</v>
      </c>
      <c r="AB202" s="478">
        <v>44232</v>
      </c>
      <c r="AC202" s="479">
        <v>44249</v>
      </c>
      <c r="AD202" s="476"/>
      <c r="AE202" s="477"/>
      <c r="AF202" s="478"/>
      <c r="AG202" s="478"/>
      <c r="AH202" s="476"/>
      <c r="AI202" s="477"/>
      <c r="AJ202" s="478"/>
      <c r="AK202" s="477"/>
      <c r="AL202" s="476"/>
      <c r="AM202" s="477"/>
      <c r="AN202" s="477"/>
      <c r="AO202" s="477"/>
      <c r="AP202" s="477"/>
      <c r="AQ202" s="477"/>
      <c r="AR202" s="477"/>
      <c r="AS202" s="477"/>
      <c r="AT202" s="480"/>
      <c r="AU202" s="475"/>
      <c r="AV202" s="475"/>
      <c r="AW202" s="475"/>
      <c r="AX202" s="480"/>
      <c r="AY202" s="475"/>
      <c r="AZ202" s="475"/>
      <c r="BA202" s="475"/>
      <c r="BB202" s="477">
        <f t="shared" si="10"/>
        <v>3</v>
      </c>
      <c r="BC202" s="477">
        <f t="shared" si="8"/>
        <v>3</v>
      </c>
    </row>
    <row r="203" spans="1:55" s="195" customFormat="1" ht="22.5" x14ac:dyDescent="0.25">
      <c r="A203" s="195" t="s">
        <v>753</v>
      </c>
      <c r="B203" s="186">
        <f t="shared" si="11"/>
        <v>187</v>
      </c>
      <c r="C203" s="186" t="s">
        <v>38</v>
      </c>
      <c r="D203" s="450">
        <v>30384174</v>
      </c>
      <c r="E203" s="451" t="s">
        <v>754</v>
      </c>
      <c r="F203" s="451" t="s">
        <v>200</v>
      </c>
      <c r="G203" s="473" t="s">
        <v>525</v>
      </c>
      <c r="H203" s="451" t="s">
        <v>582</v>
      </c>
      <c r="I203" s="451" t="s">
        <v>43</v>
      </c>
      <c r="J203" s="474">
        <v>745817</v>
      </c>
      <c r="K203" s="474"/>
      <c r="L203" s="474">
        <v>745817</v>
      </c>
      <c r="M203" s="475"/>
      <c r="N203" s="475"/>
      <c r="O203" s="475"/>
      <c r="P203" s="475"/>
      <c r="Q203" s="475"/>
      <c r="R203" s="475"/>
      <c r="S203" s="475"/>
      <c r="T203" s="475"/>
      <c r="U203" s="475"/>
      <c r="V203" s="475"/>
      <c r="W203" s="475"/>
      <c r="X203" s="475"/>
      <c r="Y203" s="475">
        <f t="shared" si="9"/>
        <v>0</v>
      </c>
      <c r="Z203" s="476">
        <v>3</v>
      </c>
      <c r="AA203" s="477">
        <v>14</v>
      </c>
      <c r="AB203" s="478">
        <v>44232</v>
      </c>
      <c r="AC203" s="479">
        <v>44249</v>
      </c>
      <c r="AD203" s="476">
        <v>144414</v>
      </c>
      <c r="AE203" s="477">
        <v>38</v>
      </c>
      <c r="AF203" s="478">
        <v>44316</v>
      </c>
      <c r="AG203" s="478">
        <v>44328</v>
      </c>
      <c r="AH203" s="476">
        <v>2024</v>
      </c>
      <c r="AI203" s="477">
        <v>48</v>
      </c>
      <c r="AJ203" s="478">
        <v>44348</v>
      </c>
      <c r="AK203" s="479">
        <v>44354</v>
      </c>
      <c r="AL203" s="476"/>
      <c r="AM203" s="477"/>
      <c r="AN203" s="477"/>
      <c r="AO203" s="477"/>
      <c r="AP203" s="477"/>
      <c r="AQ203" s="477"/>
      <c r="AR203" s="477"/>
      <c r="AS203" s="477"/>
      <c r="AT203" s="480"/>
      <c r="AU203" s="475"/>
      <c r="AV203" s="475"/>
      <c r="AW203" s="475"/>
      <c r="AX203" s="480"/>
      <c r="AY203" s="475"/>
      <c r="AZ203" s="475"/>
      <c r="BA203" s="475"/>
      <c r="BB203" s="477">
        <f t="shared" si="10"/>
        <v>146441</v>
      </c>
      <c r="BC203" s="477">
        <f t="shared" si="8"/>
        <v>146441</v>
      </c>
    </row>
    <row r="204" spans="1:55" s="195" customFormat="1" ht="22.5" x14ac:dyDescent="0.25">
      <c r="A204" s="195" t="s">
        <v>755</v>
      </c>
      <c r="B204" s="186">
        <f t="shared" si="11"/>
        <v>188</v>
      </c>
      <c r="C204" s="186" t="s">
        <v>38</v>
      </c>
      <c r="D204" s="450">
        <v>30060848</v>
      </c>
      <c r="E204" s="451" t="s">
        <v>756</v>
      </c>
      <c r="F204" s="451" t="s">
        <v>200</v>
      </c>
      <c r="G204" s="473" t="s">
        <v>525</v>
      </c>
      <c r="H204" s="451" t="s">
        <v>582</v>
      </c>
      <c r="I204" s="451" t="s">
        <v>43</v>
      </c>
      <c r="J204" s="474">
        <v>346982</v>
      </c>
      <c r="K204" s="474"/>
      <c r="L204" s="474">
        <v>346982</v>
      </c>
      <c r="M204" s="475"/>
      <c r="N204" s="475"/>
      <c r="O204" s="475"/>
      <c r="P204" s="475">
        <v>42054.260999999999</v>
      </c>
      <c r="Q204" s="475">
        <v>4000</v>
      </c>
      <c r="R204" s="475">
        <v>64005.936000000002</v>
      </c>
      <c r="S204" s="475"/>
      <c r="T204" s="475"/>
      <c r="U204" s="475"/>
      <c r="V204" s="475"/>
      <c r="W204" s="475"/>
      <c r="X204" s="475"/>
      <c r="Y204" s="475">
        <f t="shared" si="9"/>
        <v>110060.197</v>
      </c>
      <c r="Z204" s="476">
        <v>3</v>
      </c>
      <c r="AA204" s="477">
        <v>14</v>
      </c>
      <c r="AB204" s="478">
        <v>44232</v>
      </c>
      <c r="AC204" s="479">
        <v>44249</v>
      </c>
      <c r="AD204" s="476">
        <v>42053</v>
      </c>
      <c r="AE204" s="477">
        <v>32</v>
      </c>
      <c r="AF204" s="478">
        <v>44306</v>
      </c>
      <c r="AG204" s="478">
        <v>44314</v>
      </c>
      <c r="AH204" s="476">
        <v>4000</v>
      </c>
      <c r="AI204" s="477">
        <v>38</v>
      </c>
      <c r="AJ204" s="478">
        <v>44316</v>
      </c>
      <c r="AK204" s="478">
        <v>44328</v>
      </c>
      <c r="AL204" s="476">
        <v>64010</v>
      </c>
      <c r="AM204" s="477">
        <v>48</v>
      </c>
      <c r="AN204" s="478">
        <v>44348</v>
      </c>
      <c r="AO204" s="479">
        <v>44354</v>
      </c>
      <c r="AP204" s="477"/>
      <c r="AQ204" s="477"/>
      <c r="AR204" s="477"/>
      <c r="AS204" s="477"/>
      <c r="AT204" s="480"/>
      <c r="AU204" s="475"/>
      <c r="AV204" s="475"/>
      <c r="AW204" s="475"/>
      <c r="AX204" s="480"/>
      <c r="AY204" s="475"/>
      <c r="AZ204" s="475"/>
      <c r="BA204" s="475"/>
      <c r="BB204" s="477">
        <f t="shared" si="10"/>
        <v>110066</v>
      </c>
      <c r="BC204" s="477">
        <f t="shared" si="8"/>
        <v>5.8029999999998836</v>
      </c>
    </row>
    <row r="205" spans="1:55" s="195" customFormat="1" ht="22.5" x14ac:dyDescent="0.25">
      <c r="B205" s="186">
        <f t="shared" si="11"/>
        <v>189</v>
      </c>
      <c r="C205" s="186" t="s">
        <v>38</v>
      </c>
      <c r="D205" s="450">
        <v>30436326</v>
      </c>
      <c r="E205" s="451" t="s">
        <v>757</v>
      </c>
      <c r="F205" s="451" t="s">
        <v>200</v>
      </c>
      <c r="G205" s="473" t="s">
        <v>525</v>
      </c>
      <c r="H205" s="451" t="s">
        <v>614</v>
      </c>
      <c r="I205" s="451" t="s">
        <v>43</v>
      </c>
      <c r="J205" s="474">
        <v>288272</v>
      </c>
      <c r="K205" s="474"/>
      <c r="L205" s="474">
        <v>288272</v>
      </c>
      <c r="M205" s="475"/>
      <c r="N205" s="475"/>
      <c r="O205" s="475"/>
      <c r="P205" s="475"/>
      <c r="Q205" s="475"/>
      <c r="R205" s="475"/>
      <c r="S205" s="475"/>
      <c r="T205" s="475"/>
      <c r="U205" s="475"/>
      <c r="V205" s="475"/>
      <c r="W205" s="475"/>
      <c r="X205" s="475"/>
      <c r="Y205" s="475">
        <f t="shared" si="9"/>
        <v>0</v>
      </c>
      <c r="Z205" s="476">
        <v>3</v>
      </c>
      <c r="AA205" s="477">
        <v>14</v>
      </c>
      <c r="AB205" s="478">
        <v>44232</v>
      </c>
      <c r="AC205" s="479">
        <v>44249</v>
      </c>
      <c r="AD205" s="476"/>
      <c r="AE205" s="477"/>
      <c r="AF205" s="478"/>
      <c r="AG205" s="478"/>
      <c r="AH205" s="476"/>
      <c r="AI205" s="477"/>
      <c r="AJ205" s="478"/>
      <c r="AK205" s="477"/>
      <c r="AL205" s="476"/>
      <c r="AM205" s="477"/>
      <c r="AN205" s="477"/>
      <c r="AO205" s="477"/>
      <c r="AP205" s="477"/>
      <c r="AQ205" s="477"/>
      <c r="AR205" s="477"/>
      <c r="AS205" s="477"/>
      <c r="AT205" s="480"/>
      <c r="AU205" s="475"/>
      <c r="AV205" s="475"/>
      <c r="AW205" s="475"/>
      <c r="AX205" s="480"/>
      <c r="AY205" s="475"/>
      <c r="AZ205" s="475"/>
      <c r="BA205" s="475"/>
      <c r="BB205" s="477">
        <f t="shared" si="10"/>
        <v>3</v>
      </c>
      <c r="BC205" s="477">
        <f t="shared" si="8"/>
        <v>3</v>
      </c>
    </row>
    <row r="206" spans="1:55" s="195" customFormat="1" ht="22.5" x14ac:dyDescent="0.25">
      <c r="B206" s="186">
        <f t="shared" si="11"/>
        <v>190</v>
      </c>
      <c r="C206" s="186" t="s">
        <v>38</v>
      </c>
      <c r="D206" s="450">
        <v>40005658</v>
      </c>
      <c r="E206" s="451" t="s">
        <v>758</v>
      </c>
      <c r="F206" s="451" t="s">
        <v>200</v>
      </c>
      <c r="G206" s="473" t="s">
        <v>525</v>
      </c>
      <c r="H206" s="451" t="s">
        <v>547</v>
      </c>
      <c r="I206" s="451" t="s">
        <v>43</v>
      </c>
      <c r="J206" s="474">
        <v>105153</v>
      </c>
      <c r="K206" s="474"/>
      <c r="L206" s="474">
        <v>105153</v>
      </c>
      <c r="M206" s="475"/>
      <c r="N206" s="475"/>
      <c r="O206" s="475"/>
      <c r="P206" s="475"/>
      <c r="Q206" s="475"/>
      <c r="R206" s="475"/>
      <c r="S206" s="475"/>
      <c r="T206" s="475"/>
      <c r="U206" s="475"/>
      <c r="V206" s="475"/>
      <c r="W206" s="475"/>
      <c r="X206" s="475"/>
      <c r="Y206" s="475">
        <f t="shared" si="9"/>
        <v>0</v>
      </c>
      <c r="Z206" s="476">
        <v>3</v>
      </c>
      <c r="AA206" s="477">
        <v>14</v>
      </c>
      <c r="AB206" s="478">
        <v>44232</v>
      </c>
      <c r="AC206" s="479">
        <v>44249</v>
      </c>
      <c r="AD206" s="476"/>
      <c r="AE206" s="477"/>
      <c r="AF206" s="478"/>
      <c r="AG206" s="478"/>
      <c r="AH206" s="476"/>
      <c r="AI206" s="477"/>
      <c r="AJ206" s="478"/>
      <c r="AK206" s="477"/>
      <c r="AL206" s="476"/>
      <c r="AM206" s="477"/>
      <c r="AN206" s="477"/>
      <c r="AO206" s="477"/>
      <c r="AP206" s="477"/>
      <c r="AQ206" s="477"/>
      <c r="AR206" s="477"/>
      <c r="AS206" s="477"/>
      <c r="AT206" s="480"/>
      <c r="AU206" s="475"/>
      <c r="AV206" s="475"/>
      <c r="AW206" s="475"/>
      <c r="AX206" s="480"/>
      <c r="AY206" s="475"/>
      <c r="AZ206" s="475"/>
      <c r="BA206" s="475"/>
      <c r="BB206" s="477">
        <f t="shared" si="10"/>
        <v>3</v>
      </c>
      <c r="BC206" s="477">
        <f t="shared" si="8"/>
        <v>3</v>
      </c>
    </row>
    <row r="207" spans="1:55" s="195" customFormat="1" x14ac:dyDescent="0.25">
      <c r="B207" s="186">
        <f t="shared" si="11"/>
        <v>191</v>
      </c>
      <c r="C207" s="186" t="s">
        <v>38</v>
      </c>
      <c r="D207" s="450">
        <v>30486351</v>
      </c>
      <c r="E207" s="451" t="s">
        <v>759</v>
      </c>
      <c r="F207" s="451" t="s">
        <v>200</v>
      </c>
      <c r="G207" s="473" t="s">
        <v>525</v>
      </c>
      <c r="H207" s="451" t="s">
        <v>547</v>
      </c>
      <c r="I207" s="451" t="s">
        <v>43</v>
      </c>
      <c r="J207" s="474">
        <v>87660</v>
      </c>
      <c r="K207" s="474"/>
      <c r="L207" s="474">
        <v>87660</v>
      </c>
      <c r="M207" s="475"/>
      <c r="N207" s="475"/>
      <c r="O207" s="475"/>
      <c r="P207" s="475"/>
      <c r="Q207" s="475"/>
      <c r="R207" s="475"/>
      <c r="S207" s="475"/>
      <c r="T207" s="475"/>
      <c r="U207" s="475"/>
      <c r="V207" s="475"/>
      <c r="W207" s="475"/>
      <c r="X207" s="475"/>
      <c r="Y207" s="475">
        <f t="shared" si="9"/>
        <v>0</v>
      </c>
      <c r="Z207" s="476">
        <v>4</v>
      </c>
      <c r="AA207" s="477">
        <v>14</v>
      </c>
      <c r="AB207" s="478">
        <v>44232</v>
      </c>
      <c r="AC207" s="479">
        <v>44249</v>
      </c>
      <c r="AD207" s="476"/>
      <c r="AE207" s="477"/>
      <c r="AF207" s="478"/>
      <c r="AG207" s="478"/>
      <c r="AH207" s="476"/>
      <c r="AI207" s="477"/>
      <c r="AJ207" s="478"/>
      <c r="AK207" s="477"/>
      <c r="AL207" s="476"/>
      <c r="AM207" s="477"/>
      <c r="AN207" s="477"/>
      <c r="AO207" s="477"/>
      <c r="AP207" s="477"/>
      <c r="AQ207" s="477"/>
      <c r="AR207" s="477"/>
      <c r="AS207" s="477"/>
      <c r="AT207" s="480"/>
      <c r="AU207" s="475"/>
      <c r="AV207" s="475"/>
      <c r="AW207" s="475"/>
      <c r="AX207" s="480"/>
      <c r="AY207" s="475"/>
      <c r="AZ207" s="475"/>
      <c r="BA207" s="475"/>
      <c r="BB207" s="477">
        <f t="shared" si="10"/>
        <v>4</v>
      </c>
      <c r="BC207" s="477">
        <f t="shared" si="8"/>
        <v>4</v>
      </c>
    </row>
    <row r="208" spans="1:55" s="195" customFormat="1" ht="22.5" x14ac:dyDescent="0.25">
      <c r="B208" s="186">
        <f t="shared" si="11"/>
        <v>192</v>
      </c>
      <c r="C208" s="186" t="s">
        <v>38</v>
      </c>
      <c r="D208" s="450">
        <v>30488890</v>
      </c>
      <c r="E208" s="451" t="s">
        <v>760</v>
      </c>
      <c r="F208" s="451" t="s">
        <v>543</v>
      </c>
      <c r="G208" s="473" t="s">
        <v>525</v>
      </c>
      <c r="H208" s="451" t="s">
        <v>547</v>
      </c>
      <c r="I208" s="451" t="s">
        <v>43</v>
      </c>
      <c r="J208" s="474">
        <v>22038</v>
      </c>
      <c r="K208" s="474"/>
      <c r="L208" s="474">
        <v>22038</v>
      </c>
      <c r="M208" s="475"/>
      <c r="N208" s="475"/>
      <c r="O208" s="475"/>
      <c r="P208" s="475"/>
      <c r="Q208" s="475"/>
      <c r="R208" s="475"/>
      <c r="S208" s="475"/>
      <c r="T208" s="475"/>
      <c r="U208" s="475"/>
      <c r="V208" s="475"/>
      <c r="W208" s="475"/>
      <c r="X208" s="475"/>
      <c r="Y208" s="475">
        <f t="shared" si="9"/>
        <v>0</v>
      </c>
      <c r="Z208" s="476">
        <v>2</v>
      </c>
      <c r="AA208" s="477">
        <v>14</v>
      </c>
      <c r="AB208" s="478">
        <v>44232</v>
      </c>
      <c r="AC208" s="479">
        <v>44249</v>
      </c>
      <c r="AD208" s="476"/>
      <c r="AE208" s="477"/>
      <c r="AF208" s="478"/>
      <c r="AG208" s="478"/>
      <c r="AH208" s="476"/>
      <c r="AI208" s="477"/>
      <c r="AJ208" s="478"/>
      <c r="AK208" s="477"/>
      <c r="AL208" s="476"/>
      <c r="AM208" s="477"/>
      <c r="AN208" s="477"/>
      <c r="AO208" s="477"/>
      <c r="AP208" s="477"/>
      <c r="AQ208" s="477"/>
      <c r="AR208" s="477"/>
      <c r="AS208" s="477"/>
      <c r="AT208" s="480"/>
      <c r="AU208" s="475"/>
      <c r="AV208" s="475"/>
      <c r="AW208" s="475"/>
      <c r="AX208" s="480"/>
      <c r="AY208" s="475"/>
      <c r="AZ208" s="475"/>
      <c r="BA208" s="475"/>
      <c r="BB208" s="477">
        <f t="shared" si="10"/>
        <v>2</v>
      </c>
      <c r="BC208" s="477">
        <f t="shared" si="8"/>
        <v>2</v>
      </c>
    </row>
    <row r="209" spans="1:55" s="195" customFormat="1" x14ac:dyDescent="0.25">
      <c r="B209" s="186">
        <f t="shared" si="11"/>
        <v>193</v>
      </c>
      <c r="C209" s="186" t="s">
        <v>38</v>
      </c>
      <c r="D209" s="450">
        <v>30469634</v>
      </c>
      <c r="E209" s="451" t="s">
        <v>761</v>
      </c>
      <c r="F209" s="451" t="s">
        <v>200</v>
      </c>
      <c r="G209" s="473" t="s">
        <v>525</v>
      </c>
      <c r="H209" s="451" t="s">
        <v>547</v>
      </c>
      <c r="I209" s="451" t="s">
        <v>43</v>
      </c>
      <c r="J209" s="474">
        <v>302423</v>
      </c>
      <c r="K209" s="474"/>
      <c r="L209" s="474">
        <v>302423</v>
      </c>
      <c r="M209" s="475"/>
      <c r="N209" s="475"/>
      <c r="O209" s="475"/>
      <c r="P209" s="475"/>
      <c r="Q209" s="475"/>
      <c r="R209" s="475"/>
      <c r="S209" s="475"/>
      <c r="T209" s="475"/>
      <c r="U209" s="475"/>
      <c r="V209" s="475"/>
      <c r="W209" s="475"/>
      <c r="X209" s="475"/>
      <c r="Y209" s="475">
        <f t="shared" si="9"/>
        <v>0</v>
      </c>
      <c r="Z209" s="476">
        <v>3</v>
      </c>
      <c r="AA209" s="477">
        <v>14</v>
      </c>
      <c r="AB209" s="478">
        <v>44232</v>
      </c>
      <c r="AC209" s="479">
        <v>44249</v>
      </c>
      <c r="AD209" s="476"/>
      <c r="AE209" s="477"/>
      <c r="AF209" s="478"/>
      <c r="AG209" s="478"/>
      <c r="AH209" s="476"/>
      <c r="AI209" s="477"/>
      <c r="AJ209" s="478"/>
      <c r="AK209" s="477"/>
      <c r="AL209" s="476"/>
      <c r="AM209" s="477"/>
      <c r="AN209" s="477"/>
      <c r="AO209" s="477"/>
      <c r="AP209" s="477"/>
      <c r="AQ209" s="477"/>
      <c r="AR209" s="477"/>
      <c r="AS209" s="477"/>
      <c r="AT209" s="480"/>
      <c r="AU209" s="475"/>
      <c r="AV209" s="475"/>
      <c r="AW209" s="475"/>
      <c r="AX209" s="480"/>
      <c r="AY209" s="475"/>
      <c r="AZ209" s="475"/>
      <c r="BA209" s="475"/>
      <c r="BB209" s="477">
        <f t="shared" si="10"/>
        <v>3</v>
      </c>
      <c r="BC209" s="477">
        <f t="shared" ref="BC209:BC272" si="12">BB209-Y209</f>
        <v>3</v>
      </c>
    </row>
    <row r="210" spans="1:55" s="195" customFormat="1" ht="22.5" x14ac:dyDescent="0.25">
      <c r="B210" s="186">
        <f t="shared" si="11"/>
        <v>194</v>
      </c>
      <c r="C210" s="186" t="s">
        <v>38</v>
      </c>
      <c r="D210" s="450">
        <v>30487016</v>
      </c>
      <c r="E210" s="451" t="s">
        <v>762</v>
      </c>
      <c r="F210" s="451" t="s">
        <v>200</v>
      </c>
      <c r="G210" s="473" t="s">
        <v>525</v>
      </c>
      <c r="H210" s="451" t="s">
        <v>602</v>
      </c>
      <c r="I210" s="451" t="s">
        <v>43</v>
      </c>
      <c r="J210" s="474">
        <v>993082</v>
      </c>
      <c r="K210" s="474"/>
      <c r="L210" s="474">
        <v>993082</v>
      </c>
      <c r="M210" s="475"/>
      <c r="N210" s="475"/>
      <c r="O210" s="475"/>
      <c r="P210" s="475"/>
      <c r="Q210" s="475"/>
      <c r="R210" s="475"/>
      <c r="S210" s="475"/>
      <c r="T210" s="475"/>
      <c r="U210" s="475"/>
      <c r="V210" s="475"/>
      <c r="W210" s="475"/>
      <c r="X210" s="475"/>
      <c r="Y210" s="475">
        <f t="shared" ref="Y210:Y273" si="13">SUM(M210:X210)</f>
        <v>0</v>
      </c>
      <c r="Z210" s="476">
        <v>3</v>
      </c>
      <c r="AA210" s="477">
        <v>14</v>
      </c>
      <c r="AB210" s="478">
        <v>44232</v>
      </c>
      <c r="AC210" s="479">
        <v>44249</v>
      </c>
      <c r="AD210" s="476">
        <v>20697</v>
      </c>
      <c r="AE210" s="477">
        <v>25</v>
      </c>
      <c r="AF210" s="478">
        <v>44253</v>
      </c>
      <c r="AG210" s="478">
        <v>44273</v>
      </c>
      <c r="AH210" s="476"/>
      <c r="AI210" s="477"/>
      <c r="AJ210" s="478"/>
      <c r="AK210" s="477"/>
      <c r="AL210" s="476"/>
      <c r="AM210" s="477"/>
      <c r="AN210" s="477"/>
      <c r="AO210" s="477"/>
      <c r="AP210" s="477"/>
      <c r="AQ210" s="477"/>
      <c r="AR210" s="477"/>
      <c r="AS210" s="477"/>
      <c r="AT210" s="480"/>
      <c r="AU210" s="475"/>
      <c r="AV210" s="475"/>
      <c r="AW210" s="475"/>
      <c r="AX210" s="480"/>
      <c r="AY210" s="475"/>
      <c r="AZ210" s="475"/>
      <c r="BA210" s="475"/>
      <c r="BB210" s="477">
        <f t="shared" ref="BB210:BB273" si="14">Z210+AD210+AH210+AL210+AT210+AX210+AP210</f>
        <v>20700</v>
      </c>
      <c r="BC210" s="477">
        <f t="shared" si="12"/>
        <v>20700</v>
      </c>
    </row>
    <row r="211" spans="1:55" s="195" customFormat="1" x14ac:dyDescent="0.25">
      <c r="B211" s="186">
        <f t="shared" ref="B211:B274" si="15">B210+1</f>
        <v>195</v>
      </c>
      <c r="C211" s="186" t="s">
        <v>38</v>
      </c>
      <c r="D211" s="450">
        <v>40010901</v>
      </c>
      <c r="E211" s="451" t="s">
        <v>763</v>
      </c>
      <c r="F211" s="451" t="s">
        <v>200</v>
      </c>
      <c r="G211" s="473" t="s">
        <v>525</v>
      </c>
      <c r="H211" s="451" t="s">
        <v>764</v>
      </c>
      <c r="I211" s="451" t="s">
        <v>43</v>
      </c>
      <c r="J211" s="474">
        <v>5603602</v>
      </c>
      <c r="K211" s="474"/>
      <c r="L211" s="474">
        <v>5603602</v>
      </c>
      <c r="M211" s="475"/>
      <c r="N211" s="475"/>
      <c r="O211" s="475"/>
      <c r="P211" s="475"/>
      <c r="Q211" s="475"/>
      <c r="R211" s="475"/>
      <c r="S211" s="475"/>
      <c r="T211" s="475"/>
      <c r="U211" s="475"/>
      <c r="V211" s="475"/>
      <c r="W211" s="475"/>
      <c r="X211" s="475"/>
      <c r="Y211" s="475">
        <f t="shared" si="13"/>
        <v>0</v>
      </c>
      <c r="Z211" s="476">
        <v>3</v>
      </c>
      <c r="AA211" s="477">
        <v>14</v>
      </c>
      <c r="AB211" s="478">
        <v>44232</v>
      </c>
      <c r="AC211" s="479">
        <v>44249</v>
      </c>
      <c r="AD211" s="476"/>
      <c r="AE211" s="477"/>
      <c r="AF211" s="478"/>
      <c r="AG211" s="478"/>
      <c r="AH211" s="476"/>
      <c r="AI211" s="477"/>
      <c r="AJ211" s="478"/>
      <c r="AK211" s="477"/>
      <c r="AL211" s="476"/>
      <c r="AM211" s="477"/>
      <c r="AN211" s="477"/>
      <c r="AO211" s="477"/>
      <c r="AP211" s="477"/>
      <c r="AQ211" s="477"/>
      <c r="AR211" s="477"/>
      <c r="AS211" s="477"/>
      <c r="AT211" s="480"/>
      <c r="AU211" s="475"/>
      <c r="AV211" s="475"/>
      <c r="AW211" s="475"/>
      <c r="AX211" s="480"/>
      <c r="AY211" s="475"/>
      <c r="AZ211" s="475"/>
      <c r="BA211" s="475"/>
      <c r="BB211" s="477">
        <f t="shared" si="14"/>
        <v>3</v>
      </c>
      <c r="BC211" s="477">
        <f t="shared" si="12"/>
        <v>3</v>
      </c>
    </row>
    <row r="212" spans="1:55" s="195" customFormat="1" ht="22.5" x14ac:dyDescent="0.25">
      <c r="A212" s="195" t="s">
        <v>765</v>
      </c>
      <c r="B212" s="186">
        <f t="shared" si="15"/>
        <v>196</v>
      </c>
      <c r="C212" s="186" t="s">
        <v>38</v>
      </c>
      <c r="D212" s="450">
        <v>40006048</v>
      </c>
      <c r="E212" s="451" t="s">
        <v>766</v>
      </c>
      <c r="F212" s="451" t="s">
        <v>200</v>
      </c>
      <c r="G212" s="473" t="s">
        <v>525</v>
      </c>
      <c r="H212" s="451" t="s">
        <v>674</v>
      </c>
      <c r="I212" s="451" t="s">
        <v>43</v>
      </c>
      <c r="J212" s="474">
        <v>835921</v>
      </c>
      <c r="K212" s="474"/>
      <c r="L212" s="474">
        <v>835921</v>
      </c>
      <c r="M212" s="475"/>
      <c r="N212" s="475"/>
      <c r="O212" s="475">
        <v>1846.75</v>
      </c>
      <c r="P212" s="475">
        <v>157588.68300000002</v>
      </c>
      <c r="Q212" s="475">
        <v>1846.75</v>
      </c>
      <c r="R212" s="475">
        <v>44506.233999999997</v>
      </c>
      <c r="S212" s="475"/>
      <c r="T212" s="475"/>
      <c r="U212" s="475"/>
      <c r="V212" s="475"/>
      <c r="W212" s="475"/>
      <c r="X212" s="475"/>
      <c r="Y212" s="475">
        <f t="shared" si="13"/>
        <v>205788.41700000002</v>
      </c>
      <c r="Z212" s="476">
        <v>3</v>
      </c>
      <c r="AA212" s="477">
        <v>14</v>
      </c>
      <c r="AB212" s="478">
        <v>44232</v>
      </c>
      <c r="AC212" s="479">
        <v>44249</v>
      </c>
      <c r="AD212" s="476">
        <v>313076</v>
      </c>
      <c r="AE212" s="477">
        <v>23</v>
      </c>
      <c r="AF212" s="478">
        <v>44253</v>
      </c>
      <c r="AG212" s="479">
        <v>44286</v>
      </c>
      <c r="AH212" s="476">
        <v>3569</v>
      </c>
      <c r="AI212" s="477">
        <v>54</v>
      </c>
      <c r="AJ212" s="478">
        <v>44363</v>
      </c>
      <c r="AK212" s="479">
        <v>44369</v>
      </c>
      <c r="AL212" s="476"/>
      <c r="AM212" s="477"/>
      <c r="AN212" s="477"/>
      <c r="AO212" s="477"/>
      <c r="AP212" s="477"/>
      <c r="AQ212" s="477"/>
      <c r="AR212" s="477"/>
      <c r="AS212" s="477"/>
      <c r="AT212" s="480"/>
      <c r="AU212" s="475"/>
      <c r="AV212" s="475"/>
      <c r="AW212" s="475"/>
      <c r="AX212" s="480"/>
      <c r="AY212" s="475"/>
      <c r="AZ212" s="475"/>
      <c r="BA212" s="475"/>
      <c r="BB212" s="477">
        <f t="shared" si="14"/>
        <v>316648</v>
      </c>
      <c r="BC212" s="477">
        <f t="shared" si="12"/>
        <v>110859.58299999998</v>
      </c>
    </row>
    <row r="213" spans="1:55" s="195" customFormat="1" x14ac:dyDescent="0.25">
      <c r="B213" s="186">
        <f t="shared" si="15"/>
        <v>197</v>
      </c>
      <c r="C213" s="186" t="s">
        <v>38</v>
      </c>
      <c r="D213" s="450">
        <v>40016451</v>
      </c>
      <c r="E213" s="451" t="s">
        <v>767</v>
      </c>
      <c r="F213" s="451" t="s">
        <v>200</v>
      </c>
      <c r="G213" s="473" t="s">
        <v>525</v>
      </c>
      <c r="H213" s="451" t="s">
        <v>674</v>
      </c>
      <c r="I213" s="451" t="s">
        <v>43</v>
      </c>
      <c r="J213" s="474">
        <v>426724</v>
      </c>
      <c r="K213" s="474"/>
      <c r="L213" s="474">
        <v>426724</v>
      </c>
      <c r="M213" s="475"/>
      <c r="N213" s="475"/>
      <c r="O213" s="475"/>
      <c r="P213" s="475">
        <v>77646.192999999999</v>
      </c>
      <c r="Q213" s="475">
        <v>36053.121000000006</v>
      </c>
      <c r="R213" s="475">
        <v>0</v>
      </c>
      <c r="S213" s="475"/>
      <c r="T213" s="475"/>
      <c r="U213" s="475"/>
      <c r="V213" s="475"/>
      <c r="W213" s="475"/>
      <c r="X213" s="475"/>
      <c r="Y213" s="475">
        <f t="shared" si="13"/>
        <v>113699.31400000001</v>
      </c>
      <c r="Z213" s="476">
        <v>1</v>
      </c>
      <c r="AA213" s="477">
        <v>14</v>
      </c>
      <c r="AB213" s="478">
        <v>44232</v>
      </c>
      <c r="AC213" s="479">
        <v>44249</v>
      </c>
      <c r="AD213" s="476">
        <v>214442</v>
      </c>
      <c r="AE213" s="477">
        <v>23</v>
      </c>
      <c r="AF213" s="478">
        <v>44253</v>
      </c>
      <c r="AG213" s="479">
        <v>44286</v>
      </c>
      <c r="AH213" s="476"/>
      <c r="AI213" s="477"/>
      <c r="AJ213" s="478"/>
      <c r="AK213" s="477"/>
      <c r="AL213" s="476"/>
      <c r="AM213" s="477"/>
      <c r="AN213" s="477"/>
      <c r="AO213" s="477"/>
      <c r="AP213" s="477"/>
      <c r="AQ213" s="477"/>
      <c r="AR213" s="477"/>
      <c r="AS213" s="477"/>
      <c r="AT213" s="480"/>
      <c r="AU213" s="475"/>
      <c r="AV213" s="475"/>
      <c r="AW213" s="475"/>
      <c r="AX213" s="480"/>
      <c r="AY213" s="475"/>
      <c r="AZ213" s="475"/>
      <c r="BA213" s="475"/>
      <c r="BB213" s="477">
        <f t="shared" si="14"/>
        <v>214443</v>
      </c>
      <c r="BC213" s="477">
        <f t="shared" si="12"/>
        <v>100743.68599999999</v>
      </c>
    </row>
    <row r="214" spans="1:55" s="195" customFormat="1" x14ac:dyDescent="0.25">
      <c r="B214" s="186">
        <f t="shared" si="15"/>
        <v>198</v>
      </c>
      <c r="C214" s="186" t="s">
        <v>38</v>
      </c>
      <c r="D214" s="450">
        <v>30452980</v>
      </c>
      <c r="E214" s="451" t="s">
        <v>768</v>
      </c>
      <c r="F214" s="451" t="s">
        <v>200</v>
      </c>
      <c r="G214" s="473" t="s">
        <v>525</v>
      </c>
      <c r="H214" s="451" t="s">
        <v>525</v>
      </c>
      <c r="I214" s="451" t="s">
        <v>43</v>
      </c>
      <c r="J214" s="474">
        <v>134839</v>
      </c>
      <c r="K214" s="474"/>
      <c r="L214" s="474">
        <v>134839</v>
      </c>
      <c r="M214" s="475"/>
      <c r="N214" s="475"/>
      <c r="O214" s="475"/>
      <c r="P214" s="475"/>
      <c r="Q214" s="475"/>
      <c r="R214" s="475"/>
      <c r="S214" s="475"/>
      <c r="T214" s="475"/>
      <c r="U214" s="475"/>
      <c r="V214" s="475"/>
      <c r="W214" s="475"/>
      <c r="X214" s="475"/>
      <c r="Y214" s="475">
        <f t="shared" si="13"/>
        <v>0</v>
      </c>
      <c r="Z214" s="476">
        <v>3</v>
      </c>
      <c r="AA214" s="477">
        <v>14</v>
      </c>
      <c r="AB214" s="478">
        <v>44232</v>
      </c>
      <c r="AC214" s="479">
        <v>44249</v>
      </c>
      <c r="AD214" s="476"/>
      <c r="AE214" s="477"/>
      <c r="AF214" s="478"/>
      <c r="AG214" s="478"/>
      <c r="AH214" s="476"/>
      <c r="AI214" s="477"/>
      <c r="AJ214" s="478"/>
      <c r="AK214" s="477"/>
      <c r="AL214" s="476"/>
      <c r="AM214" s="477"/>
      <c r="AN214" s="477"/>
      <c r="AO214" s="477"/>
      <c r="AP214" s="477"/>
      <c r="AQ214" s="477"/>
      <c r="AR214" s="477"/>
      <c r="AS214" s="477"/>
      <c r="AT214" s="480"/>
      <c r="AU214" s="475"/>
      <c r="AV214" s="475"/>
      <c r="AW214" s="475"/>
      <c r="AX214" s="480"/>
      <c r="AY214" s="475"/>
      <c r="AZ214" s="475"/>
      <c r="BA214" s="475"/>
      <c r="BB214" s="477">
        <f t="shared" si="14"/>
        <v>3</v>
      </c>
      <c r="BC214" s="477">
        <f t="shared" si="12"/>
        <v>3</v>
      </c>
    </row>
    <row r="215" spans="1:55" s="195" customFormat="1" ht="22.5" x14ac:dyDescent="0.25">
      <c r="B215" s="186">
        <f t="shared" si="15"/>
        <v>199</v>
      </c>
      <c r="C215" s="186" t="s">
        <v>38</v>
      </c>
      <c r="D215" s="450">
        <v>30464322</v>
      </c>
      <c r="E215" s="451" t="s">
        <v>769</v>
      </c>
      <c r="F215" s="451" t="s">
        <v>200</v>
      </c>
      <c r="G215" s="473" t="s">
        <v>525</v>
      </c>
      <c r="H215" s="451" t="s">
        <v>525</v>
      </c>
      <c r="I215" s="451" t="s">
        <v>43</v>
      </c>
      <c r="J215" s="474">
        <v>1332568</v>
      </c>
      <c r="K215" s="474"/>
      <c r="L215" s="474">
        <v>1332568</v>
      </c>
      <c r="M215" s="475"/>
      <c r="N215" s="475"/>
      <c r="O215" s="475"/>
      <c r="P215" s="475"/>
      <c r="Q215" s="475"/>
      <c r="R215" s="475"/>
      <c r="S215" s="475"/>
      <c r="T215" s="475"/>
      <c r="U215" s="475"/>
      <c r="V215" s="475"/>
      <c r="W215" s="475"/>
      <c r="X215" s="475"/>
      <c r="Y215" s="475">
        <f t="shared" si="13"/>
        <v>0</v>
      </c>
      <c r="Z215" s="476">
        <v>3</v>
      </c>
      <c r="AA215" s="477">
        <v>14</v>
      </c>
      <c r="AB215" s="478">
        <v>44232</v>
      </c>
      <c r="AC215" s="479">
        <v>44249</v>
      </c>
      <c r="AD215" s="476"/>
      <c r="AE215" s="477"/>
      <c r="AF215" s="478"/>
      <c r="AG215" s="478"/>
      <c r="AH215" s="476"/>
      <c r="AI215" s="477"/>
      <c r="AJ215" s="478"/>
      <c r="AK215" s="477"/>
      <c r="AL215" s="476"/>
      <c r="AM215" s="477"/>
      <c r="AN215" s="477"/>
      <c r="AO215" s="477"/>
      <c r="AP215" s="477"/>
      <c r="AQ215" s="477"/>
      <c r="AR215" s="477"/>
      <c r="AS215" s="477"/>
      <c r="AT215" s="480"/>
      <c r="AU215" s="475"/>
      <c r="AV215" s="475"/>
      <c r="AW215" s="475"/>
      <c r="AX215" s="480"/>
      <c r="AY215" s="475"/>
      <c r="AZ215" s="475"/>
      <c r="BA215" s="475"/>
      <c r="BB215" s="477">
        <f t="shared" si="14"/>
        <v>3</v>
      </c>
      <c r="BC215" s="477">
        <f t="shared" si="12"/>
        <v>3</v>
      </c>
    </row>
    <row r="216" spans="1:55" s="195" customFormat="1" ht="22.5" x14ac:dyDescent="0.25">
      <c r="A216" s="195" t="s">
        <v>770</v>
      </c>
      <c r="B216" s="186">
        <f t="shared" si="15"/>
        <v>200</v>
      </c>
      <c r="C216" s="186" t="s">
        <v>38</v>
      </c>
      <c r="D216" s="450">
        <v>40017347</v>
      </c>
      <c r="E216" s="451" t="s">
        <v>771</v>
      </c>
      <c r="F216" s="451" t="s">
        <v>543</v>
      </c>
      <c r="G216" s="473" t="s">
        <v>525</v>
      </c>
      <c r="H216" s="451" t="s">
        <v>525</v>
      </c>
      <c r="I216" s="451" t="s">
        <v>43</v>
      </c>
      <c r="J216" s="474">
        <v>50784</v>
      </c>
      <c r="K216" s="474"/>
      <c r="L216" s="474">
        <v>50784</v>
      </c>
      <c r="M216" s="475"/>
      <c r="N216" s="475"/>
      <c r="O216" s="475"/>
      <c r="P216" s="475"/>
      <c r="Q216" s="475"/>
      <c r="R216" s="475"/>
      <c r="S216" s="475"/>
      <c r="T216" s="475"/>
      <c r="U216" s="475"/>
      <c r="V216" s="475"/>
      <c r="W216" s="475"/>
      <c r="X216" s="475"/>
      <c r="Y216" s="475">
        <f t="shared" si="13"/>
        <v>0</v>
      </c>
      <c r="Z216" s="476">
        <v>2</v>
      </c>
      <c r="AA216" s="477">
        <v>14</v>
      </c>
      <c r="AB216" s="478">
        <v>44232</v>
      </c>
      <c r="AC216" s="479">
        <v>44249</v>
      </c>
      <c r="AD216" s="476">
        <v>1025</v>
      </c>
      <c r="AE216" s="477">
        <v>49</v>
      </c>
      <c r="AF216" s="478">
        <v>44348</v>
      </c>
      <c r="AG216" s="479">
        <v>44354</v>
      </c>
      <c r="AH216" s="476"/>
      <c r="AI216" s="477"/>
      <c r="AJ216" s="478"/>
      <c r="AK216" s="477"/>
      <c r="AL216" s="476"/>
      <c r="AM216" s="477"/>
      <c r="AN216" s="477"/>
      <c r="AO216" s="477"/>
      <c r="AP216" s="477"/>
      <c r="AQ216" s="477"/>
      <c r="AR216" s="477"/>
      <c r="AS216" s="477"/>
      <c r="AT216" s="480"/>
      <c r="AU216" s="475"/>
      <c r="AV216" s="475"/>
      <c r="AW216" s="475"/>
      <c r="AX216" s="480"/>
      <c r="AY216" s="475"/>
      <c r="AZ216" s="475"/>
      <c r="BA216" s="475"/>
      <c r="BB216" s="477">
        <f t="shared" si="14"/>
        <v>1027</v>
      </c>
      <c r="BC216" s="477">
        <f t="shared" si="12"/>
        <v>1027</v>
      </c>
    </row>
    <row r="217" spans="1:55" s="195" customFormat="1" ht="22.5" x14ac:dyDescent="0.25">
      <c r="B217" s="186">
        <f t="shared" si="15"/>
        <v>201</v>
      </c>
      <c r="C217" s="186" t="s">
        <v>38</v>
      </c>
      <c r="D217" s="450">
        <v>40009387</v>
      </c>
      <c r="E217" s="451" t="s">
        <v>772</v>
      </c>
      <c r="F217" s="451" t="s">
        <v>200</v>
      </c>
      <c r="G217" s="473" t="s">
        <v>525</v>
      </c>
      <c r="H217" s="451" t="s">
        <v>528</v>
      </c>
      <c r="I217" s="451" t="s">
        <v>43</v>
      </c>
      <c r="J217" s="474">
        <v>1100264</v>
      </c>
      <c r="K217" s="474"/>
      <c r="L217" s="474">
        <v>1100264</v>
      </c>
      <c r="M217" s="475"/>
      <c r="N217" s="475"/>
      <c r="O217" s="475"/>
      <c r="P217" s="475"/>
      <c r="Q217" s="475"/>
      <c r="R217" s="475"/>
      <c r="S217" s="475"/>
      <c r="T217" s="475"/>
      <c r="U217" s="475"/>
      <c r="V217" s="475"/>
      <c r="W217" s="475"/>
      <c r="X217" s="475"/>
      <c r="Y217" s="475">
        <f t="shared" si="13"/>
        <v>0</v>
      </c>
      <c r="Z217" s="476">
        <v>3</v>
      </c>
      <c r="AA217" s="477">
        <v>14</v>
      </c>
      <c r="AB217" s="478">
        <v>44232</v>
      </c>
      <c r="AC217" s="479">
        <v>44249</v>
      </c>
      <c r="AD217" s="476"/>
      <c r="AE217" s="477"/>
      <c r="AF217" s="478"/>
      <c r="AG217" s="478"/>
      <c r="AH217" s="476"/>
      <c r="AI217" s="477"/>
      <c r="AJ217" s="478"/>
      <c r="AK217" s="477"/>
      <c r="AL217" s="476"/>
      <c r="AM217" s="477"/>
      <c r="AN217" s="477"/>
      <c r="AO217" s="477"/>
      <c r="AP217" s="477"/>
      <c r="AQ217" s="477"/>
      <c r="AR217" s="477"/>
      <c r="AS217" s="477"/>
      <c r="AT217" s="480"/>
      <c r="AU217" s="475"/>
      <c r="AV217" s="475"/>
      <c r="AW217" s="475"/>
      <c r="AX217" s="480"/>
      <c r="AY217" s="475"/>
      <c r="AZ217" s="475"/>
      <c r="BA217" s="475"/>
      <c r="BB217" s="477">
        <f t="shared" si="14"/>
        <v>3</v>
      </c>
      <c r="BC217" s="477">
        <f t="shared" si="12"/>
        <v>3</v>
      </c>
    </row>
    <row r="218" spans="1:55" s="195" customFormat="1" ht="22.5" x14ac:dyDescent="0.25">
      <c r="B218" s="186">
        <f t="shared" si="15"/>
        <v>202</v>
      </c>
      <c r="C218" s="186" t="s">
        <v>38</v>
      </c>
      <c r="D218" s="450">
        <v>30476439</v>
      </c>
      <c r="E218" s="451" t="s">
        <v>773</v>
      </c>
      <c r="F218" s="451" t="s">
        <v>200</v>
      </c>
      <c r="G218" s="473" t="s">
        <v>525</v>
      </c>
      <c r="H218" s="451" t="s">
        <v>528</v>
      </c>
      <c r="I218" s="451" t="s">
        <v>43</v>
      </c>
      <c r="J218" s="474">
        <v>198797</v>
      </c>
      <c r="K218" s="474"/>
      <c r="L218" s="474">
        <v>198797</v>
      </c>
      <c r="M218" s="475"/>
      <c r="N218" s="475"/>
      <c r="O218" s="475"/>
      <c r="P218" s="475"/>
      <c r="Q218" s="475"/>
      <c r="R218" s="475"/>
      <c r="S218" s="475"/>
      <c r="T218" s="475"/>
      <c r="U218" s="475"/>
      <c r="V218" s="475"/>
      <c r="W218" s="475"/>
      <c r="X218" s="475"/>
      <c r="Y218" s="475">
        <f t="shared" si="13"/>
        <v>0</v>
      </c>
      <c r="Z218" s="476">
        <v>4</v>
      </c>
      <c r="AA218" s="477">
        <v>14</v>
      </c>
      <c r="AB218" s="478">
        <v>44232</v>
      </c>
      <c r="AC218" s="479">
        <v>44249</v>
      </c>
      <c r="AD218" s="476"/>
      <c r="AE218" s="477"/>
      <c r="AF218" s="478"/>
      <c r="AG218" s="478"/>
      <c r="AH218" s="476"/>
      <c r="AI218" s="477"/>
      <c r="AJ218" s="478"/>
      <c r="AK218" s="477"/>
      <c r="AL218" s="476"/>
      <c r="AM218" s="477"/>
      <c r="AN218" s="477"/>
      <c r="AO218" s="477"/>
      <c r="AP218" s="477"/>
      <c r="AQ218" s="477"/>
      <c r="AR218" s="477"/>
      <c r="AS218" s="477"/>
      <c r="AT218" s="480"/>
      <c r="AU218" s="475"/>
      <c r="AV218" s="475"/>
      <c r="AW218" s="475"/>
      <c r="AX218" s="480"/>
      <c r="AY218" s="475"/>
      <c r="AZ218" s="475"/>
      <c r="BA218" s="475"/>
      <c r="BB218" s="477">
        <f t="shared" si="14"/>
        <v>4</v>
      </c>
      <c r="BC218" s="477">
        <f t="shared" si="12"/>
        <v>4</v>
      </c>
    </row>
    <row r="219" spans="1:55" s="195" customFormat="1" ht="22.5" x14ac:dyDescent="0.25">
      <c r="B219" s="186">
        <f t="shared" si="15"/>
        <v>203</v>
      </c>
      <c r="C219" s="186" t="s">
        <v>38</v>
      </c>
      <c r="D219" s="450">
        <v>40002098</v>
      </c>
      <c r="E219" s="451" t="s">
        <v>774</v>
      </c>
      <c r="F219" s="451" t="s">
        <v>200</v>
      </c>
      <c r="G219" s="473" t="s">
        <v>525</v>
      </c>
      <c r="H219" s="451" t="s">
        <v>528</v>
      </c>
      <c r="I219" s="451" t="s">
        <v>43</v>
      </c>
      <c r="J219" s="474">
        <v>727793</v>
      </c>
      <c r="K219" s="474"/>
      <c r="L219" s="474">
        <v>727793</v>
      </c>
      <c r="M219" s="475"/>
      <c r="N219" s="475"/>
      <c r="O219" s="475"/>
      <c r="P219" s="475"/>
      <c r="Q219" s="475"/>
      <c r="R219" s="475"/>
      <c r="S219" s="475"/>
      <c r="T219" s="475"/>
      <c r="U219" s="475"/>
      <c r="V219" s="475"/>
      <c r="W219" s="475"/>
      <c r="X219" s="475"/>
      <c r="Y219" s="475">
        <f t="shared" si="13"/>
        <v>0</v>
      </c>
      <c r="Z219" s="476">
        <v>3</v>
      </c>
      <c r="AA219" s="477">
        <v>14</v>
      </c>
      <c r="AB219" s="478">
        <v>44232</v>
      </c>
      <c r="AC219" s="479">
        <v>44249</v>
      </c>
      <c r="AD219" s="476"/>
      <c r="AE219" s="477"/>
      <c r="AF219" s="478"/>
      <c r="AG219" s="478"/>
      <c r="AH219" s="476"/>
      <c r="AI219" s="477"/>
      <c r="AJ219" s="478"/>
      <c r="AK219" s="477"/>
      <c r="AL219" s="476"/>
      <c r="AM219" s="477"/>
      <c r="AN219" s="477"/>
      <c r="AO219" s="477"/>
      <c r="AP219" s="477"/>
      <c r="AQ219" s="477"/>
      <c r="AR219" s="477"/>
      <c r="AS219" s="477"/>
      <c r="AT219" s="480"/>
      <c r="AU219" s="475"/>
      <c r="AV219" s="475"/>
      <c r="AW219" s="475"/>
      <c r="AX219" s="480"/>
      <c r="AY219" s="475"/>
      <c r="AZ219" s="475"/>
      <c r="BA219" s="475"/>
      <c r="BB219" s="477">
        <f t="shared" si="14"/>
        <v>3</v>
      </c>
      <c r="BC219" s="477">
        <f t="shared" si="12"/>
        <v>3</v>
      </c>
    </row>
    <row r="220" spans="1:55" s="195" customFormat="1" x14ac:dyDescent="0.25">
      <c r="A220" s="195" t="s">
        <v>770</v>
      </c>
      <c r="B220" s="186">
        <f t="shared" si="15"/>
        <v>204</v>
      </c>
      <c r="C220" s="186" t="s">
        <v>38</v>
      </c>
      <c r="D220" s="450">
        <v>40017201</v>
      </c>
      <c r="E220" s="451" t="s">
        <v>775</v>
      </c>
      <c r="F220" s="451" t="s">
        <v>543</v>
      </c>
      <c r="G220" s="473" t="s">
        <v>525</v>
      </c>
      <c r="H220" s="451" t="s">
        <v>528</v>
      </c>
      <c r="I220" s="451" t="s">
        <v>43</v>
      </c>
      <c r="J220" s="474">
        <v>1517713</v>
      </c>
      <c r="K220" s="474"/>
      <c r="L220" s="474">
        <v>1517713</v>
      </c>
      <c r="M220" s="475"/>
      <c r="N220" s="475"/>
      <c r="O220" s="475"/>
      <c r="P220" s="475"/>
      <c r="Q220" s="475"/>
      <c r="R220" s="475"/>
      <c r="S220" s="475"/>
      <c r="T220" s="475"/>
      <c r="U220" s="475"/>
      <c r="V220" s="475"/>
      <c r="W220" s="475"/>
      <c r="X220" s="475"/>
      <c r="Y220" s="475">
        <f t="shared" si="13"/>
        <v>0</v>
      </c>
      <c r="Z220" s="476">
        <v>1</v>
      </c>
      <c r="AA220" s="477">
        <v>14</v>
      </c>
      <c r="AB220" s="478">
        <v>44232</v>
      </c>
      <c r="AC220" s="479">
        <v>44249</v>
      </c>
      <c r="AD220" s="476">
        <v>1100001</v>
      </c>
      <c r="AE220" s="477">
        <v>49</v>
      </c>
      <c r="AF220" s="478">
        <v>44348</v>
      </c>
      <c r="AG220" s="479">
        <v>44354</v>
      </c>
      <c r="AH220" s="476"/>
      <c r="AI220" s="477"/>
      <c r="AJ220" s="478"/>
      <c r="AK220" s="477"/>
      <c r="AL220" s="476"/>
      <c r="AM220" s="477"/>
      <c r="AN220" s="477"/>
      <c r="AO220" s="477"/>
      <c r="AP220" s="477"/>
      <c r="AQ220" s="477"/>
      <c r="AR220" s="477"/>
      <c r="AS220" s="477"/>
      <c r="AT220" s="480"/>
      <c r="AU220" s="475"/>
      <c r="AV220" s="475"/>
      <c r="AW220" s="475"/>
      <c r="AX220" s="480"/>
      <c r="AY220" s="475"/>
      <c r="AZ220" s="475"/>
      <c r="BA220" s="475"/>
      <c r="BB220" s="477">
        <f t="shared" si="14"/>
        <v>1100002</v>
      </c>
      <c r="BC220" s="477">
        <f t="shared" si="12"/>
        <v>1100002</v>
      </c>
    </row>
    <row r="221" spans="1:55" s="195" customFormat="1" x14ac:dyDescent="0.25">
      <c r="B221" s="186">
        <f t="shared" si="15"/>
        <v>205</v>
      </c>
      <c r="C221" s="186" t="s">
        <v>38</v>
      </c>
      <c r="D221" s="450">
        <v>30085253</v>
      </c>
      <c r="E221" s="451" t="s">
        <v>776</v>
      </c>
      <c r="F221" s="451" t="s">
        <v>200</v>
      </c>
      <c r="G221" s="473" t="s">
        <v>525</v>
      </c>
      <c r="H221" s="451" t="s">
        <v>672</v>
      </c>
      <c r="I221" s="451" t="s">
        <v>42</v>
      </c>
      <c r="J221" s="474">
        <v>1136354</v>
      </c>
      <c r="K221" s="474">
        <v>7554</v>
      </c>
      <c r="L221" s="474">
        <v>1128800</v>
      </c>
      <c r="M221" s="475"/>
      <c r="N221" s="475"/>
      <c r="O221" s="475"/>
      <c r="P221" s="475"/>
      <c r="Q221" s="475"/>
      <c r="R221" s="475"/>
      <c r="S221" s="475"/>
      <c r="T221" s="475"/>
      <c r="U221" s="475"/>
      <c r="V221" s="475"/>
      <c r="W221" s="475"/>
      <c r="X221" s="475"/>
      <c r="Y221" s="475">
        <f t="shared" si="13"/>
        <v>0</v>
      </c>
      <c r="Z221" s="476">
        <v>3</v>
      </c>
      <c r="AA221" s="477">
        <v>14</v>
      </c>
      <c r="AB221" s="478">
        <v>44232</v>
      </c>
      <c r="AC221" s="479">
        <v>44249</v>
      </c>
      <c r="AD221" s="476"/>
      <c r="AE221" s="477"/>
      <c r="AF221" s="478"/>
      <c r="AG221" s="478"/>
      <c r="AH221" s="476"/>
      <c r="AI221" s="477"/>
      <c r="AJ221" s="478"/>
      <c r="AK221" s="477"/>
      <c r="AL221" s="476"/>
      <c r="AM221" s="477"/>
      <c r="AN221" s="477"/>
      <c r="AO221" s="477"/>
      <c r="AP221" s="477"/>
      <c r="AQ221" s="477"/>
      <c r="AR221" s="477"/>
      <c r="AS221" s="477"/>
      <c r="AT221" s="480"/>
      <c r="AU221" s="475"/>
      <c r="AV221" s="475"/>
      <c r="AW221" s="475"/>
      <c r="AX221" s="480"/>
      <c r="AY221" s="475"/>
      <c r="AZ221" s="475"/>
      <c r="BA221" s="475"/>
      <c r="BB221" s="477">
        <f t="shared" si="14"/>
        <v>3</v>
      </c>
      <c r="BC221" s="477">
        <f t="shared" si="12"/>
        <v>3</v>
      </c>
    </row>
    <row r="222" spans="1:55" s="195" customFormat="1" ht="22.5" x14ac:dyDescent="0.25">
      <c r="B222" s="186">
        <f t="shared" si="15"/>
        <v>206</v>
      </c>
      <c r="C222" s="186" t="s">
        <v>38</v>
      </c>
      <c r="D222" s="450">
        <v>40008132</v>
      </c>
      <c r="E222" s="451" t="s">
        <v>777</v>
      </c>
      <c r="F222" s="451" t="s">
        <v>200</v>
      </c>
      <c r="G222" s="473" t="s">
        <v>525</v>
      </c>
      <c r="H222" s="451" t="s">
        <v>600</v>
      </c>
      <c r="I222" s="451" t="s">
        <v>43</v>
      </c>
      <c r="J222" s="474">
        <v>937916</v>
      </c>
      <c r="K222" s="474"/>
      <c r="L222" s="474">
        <v>937916</v>
      </c>
      <c r="M222" s="475"/>
      <c r="N222" s="475"/>
      <c r="O222" s="475"/>
      <c r="P222" s="475"/>
      <c r="Q222" s="475"/>
      <c r="R222" s="475"/>
      <c r="S222" s="475"/>
      <c r="T222" s="475"/>
      <c r="U222" s="475"/>
      <c r="V222" s="475"/>
      <c r="W222" s="475"/>
      <c r="X222" s="475"/>
      <c r="Y222" s="475">
        <f t="shared" si="13"/>
        <v>0</v>
      </c>
      <c r="Z222" s="476">
        <v>2</v>
      </c>
      <c r="AA222" s="477">
        <v>14</v>
      </c>
      <c r="AB222" s="478">
        <v>44232</v>
      </c>
      <c r="AC222" s="479">
        <v>44249</v>
      </c>
      <c r="AD222" s="476">
        <v>511000</v>
      </c>
      <c r="AE222" s="477">
        <v>23</v>
      </c>
      <c r="AF222" s="478">
        <v>44253</v>
      </c>
      <c r="AG222" s="479">
        <v>44286</v>
      </c>
      <c r="AH222" s="476"/>
      <c r="AI222" s="477"/>
      <c r="AJ222" s="478"/>
      <c r="AK222" s="477"/>
      <c r="AL222" s="476"/>
      <c r="AM222" s="477"/>
      <c r="AN222" s="477"/>
      <c r="AO222" s="477"/>
      <c r="AP222" s="477"/>
      <c r="AQ222" s="477"/>
      <c r="AR222" s="477"/>
      <c r="AS222" s="477"/>
      <c r="AT222" s="480"/>
      <c r="AU222" s="475"/>
      <c r="AV222" s="475"/>
      <c r="AW222" s="475"/>
      <c r="AX222" s="480"/>
      <c r="AY222" s="475"/>
      <c r="AZ222" s="475"/>
      <c r="BA222" s="475"/>
      <c r="BB222" s="477">
        <f t="shared" si="14"/>
        <v>511002</v>
      </c>
      <c r="BC222" s="477">
        <f t="shared" si="12"/>
        <v>511002</v>
      </c>
    </row>
    <row r="223" spans="1:55" s="195" customFormat="1" x14ac:dyDescent="0.25">
      <c r="A223" s="195" t="s">
        <v>748</v>
      </c>
      <c r="B223" s="186">
        <f t="shared" si="15"/>
        <v>207</v>
      </c>
      <c r="C223" s="186" t="s">
        <v>38</v>
      </c>
      <c r="D223" s="450">
        <v>30176826</v>
      </c>
      <c r="E223" s="451" t="s">
        <v>778</v>
      </c>
      <c r="F223" s="451" t="s">
        <v>200</v>
      </c>
      <c r="G223" s="473" t="s">
        <v>525</v>
      </c>
      <c r="H223" s="451" t="s">
        <v>525</v>
      </c>
      <c r="I223" s="451" t="s">
        <v>43</v>
      </c>
      <c r="J223" s="474">
        <v>754447</v>
      </c>
      <c r="K223" s="474"/>
      <c r="L223" s="474">
        <v>754447</v>
      </c>
      <c r="M223" s="475"/>
      <c r="N223" s="475"/>
      <c r="O223" s="475"/>
      <c r="P223" s="475">
        <v>0</v>
      </c>
      <c r="Q223" s="475">
        <v>0</v>
      </c>
      <c r="R223" s="475">
        <v>120123.618</v>
      </c>
      <c r="S223" s="475"/>
      <c r="T223" s="475"/>
      <c r="U223" s="475"/>
      <c r="V223" s="475"/>
      <c r="W223" s="475"/>
      <c r="X223" s="475"/>
      <c r="Y223" s="475">
        <f t="shared" si="13"/>
        <v>120123.618</v>
      </c>
      <c r="Z223" s="476">
        <v>4</v>
      </c>
      <c r="AA223" s="477">
        <v>14</v>
      </c>
      <c r="AB223" s="478">
        <v>44232</v>
      </c>
      <c r="AC223" s="479">
        <v>44249</v>
      </c>
      <c r="AD223" s="476">
        <v>427372</v>
      </c>
      <c r="AE223" s="477">
        <v>35</v>
      </c>
      <c r="AF223" s="478">
        <v>44314</v>
      </c>
      <c r="AG223" s="479">
        <v>44327</v>
      </c>
      <c r="AH223" s="476"/>
      <c r="AI223" s="477"/>
      <c r="AJ223" s="478"/>
      <c r="AK223" s="477"/>
      <c r="AL223" s="476"/>
      <c r="AM223" s="477"/>
      <c r="AN223" s="477"/>
      <c r="AO223" s="477"/>
      <c r="AP223" s="477"/>
      <c r="AQ223" s="477"/>
      <c r="AR223" s="477"/>
      <c r="AS223" s="477"/>
      <c r="AT223" s="480"/>
      <c r="AU223" s="475"/>
      <c r="AV223" s="475"/>
      <c r="AW223" s="475"/>
      <c r="AX223" s="480"/>
      <c r="AY223" s="475"/>
      <c r="AZ223" s="475"/>
      <c r="BA223" s="475"/>
      <c r="BB223" s="477">
        <f t="shared" si="14"/>
        <v>427376</v>
      </c>
      <c r="BC223" s="477">
        <f t="shared" si="12"/>
        <v>307252.38199999998</v>
      </c>
    </row>
    <row r="224" spans="1:55" s="195" customFormat="1" ht="22.5" x14ac:dyDescent="0.25">
      <c r="B224" s="186">
        <f t="shared" si="15"/>
        <v>208</v>
      </c>
      <c r="C224" s="186" t="s">
        <v>38</v>
      </c>
      <c r="D224" s="450">
        <v>30459937</v>
      </c>
      <c r="E224" s="451" t="s">
        <v>779</v>
      </c>
      <c r="F224" s="451" t="s">
        <v>543</v>
      </c>
      <c r="G224" s="473" t="s">
        <v>525</v>
      </c>
      <c r="H224" s="451" t="s">
        <v>574</v>
      </c>
      <c r="I224" s="451" t="s">
        <v>42</v>
      </c>
      <c r="J224" s="474">
        <v>29143</v>
      </c>
      <c r="K224" s="474">
        <v>17826</v>
      </c>
      <c r="L224" s="474">
        <v>11317</v>
      </c>
      <c r="M224" s="475"/>
      <c r="N224" s="475">
        <v>7189.98</v>
      </c>
      <c r="O224" s="475"/>
      <c r="P224" s="475">
        <v>0</v>
      </c>
      <c r="Q224" s="475">
        <v>0</v>
      </c>
      <c r="R224" s="475">
        <v>0</v>
      </c>
      <c r="S224" s="475"/>
      <c r="T224" s="475"/>
      <c r="U224" s="475"/>
      <c r="V224" s="475"/>
      <c r="W224" s="475"/>
      <c r="X224" s="475"/>
      <c r="Y224" s="475">
        <f t="shared" si="13"/>
        <v>7189.98</v>
      </c>
      <c r="Z224" s="476">
        <v>7190</v>
      </c>
      <c r="AA224" s="477">
        <v>14</v>
      </c>
      <c r="AB224" s="478">
        <v>44232</v>
      </c>
      <c r="AC224" s="479">
        <v>44249</v>
      </c>
      <c r="AD224" s="476"/>
      <c r="AE224" s="477"/>
      <c r="AF224" s="478"/>
      <c r="AG224" s="478"/>
      <c r="AH224" s="476"/>
      <c r="AI224" s="477"/>
      <c r="AJ224" s="478"/>
      <c r="AK224" s="477"/>
      <c r="AL224" s="476"/>
      <c r="AM224" s="477"/>
      <c r="AN224" s="477"/>
      <c r="AO224" s="477"/>
      <c r="AP224" s="477"/>
      <c r="AQ224" s="477"/>
      <c r="AR224" s="477"/>
      <c r="AS224" s="477"/>
      <c r="AT224" s="480"/>
      <c r="AU224" s="475"/>
      <c r="AV224" s="475"/>
      <c r="AW224" s="475"/>
      <c r="AX224" s="480"/>
      <c r="AY224" s="475"/>
      <c r="AZ224" s="475"/>
      <c r="BA224" s="475"/>
      <c r="BB224" s="477">
        <f t="shared" si="14"/>
        <v>7190</v>
      </c>
      <c r="BC224" s="477">
        <f t="shared" si="12"/>
        <v>2.0000000000436557E-2</v>
      </c>
    </row>
    <row r="225" spans="1:55" s="195" customFormat="1" ht="22.5" x14ac:dyDescent="0.25">
      <c r="B225" s="186">
        <f t="shared" si="15"/>
        <v>209</v>
      </c>
      <c r="C225" s="186" t="s">
        <v>38</v>
      </c>
      <c r="D225" s="450">
        <v>40007895</v>
      </c>
      <c r="E225" s="451" t="s">
        <v>780</v>
      </c>
      <c r="F225" s="451" t="s">
        <v>543</v>
      </c>
      <c r="G225" s="473" t="s">
        <v>525</v>
      </c>
      <c r="H225" s="451" t="s">
        <v>574</v>
      </c>
      <c r="I225" s="451" t="s">
        <v>43</v>
      </c>
      <c r="J225" s="474">
        <v>200000</v>
      </c>
      <c r="K225" s="474"/>
      <c r="L225" s="474">
        <v>200000</v>
      </c>
      <c r="M225" s="475"/>
      <c r="N225" s="475"/>
      <c r="O225" s="475"/>
      <c r="P225" s="475"/>
      <c r="Q225" s="475"/>
      <c r="R225" s="475"/>
      <c r="S225" s="475"/>
      <c r="T225" s="475"/>
      <c r="U225" s="475"/>
      <c r="V225" s="475"/>
      <c r="W225" s="475"/>
      <c r="X225" s="475"/>
      <c r="Y225" s="475">
        <f t="shared" si="13"/>
        <v>0</v>
      </c>
      <c r="Z225" s="476">
        <v>200000</v>
      </c>
      <c r="AA225" s="477">
        <v>14</v>
      </c>
      <c r="AB225" s="478">
        <v>44232</v>
      </c>
      <c r="AC225" s="479">
        <v>44249</v>
      </c>
      <c r="AD225" s="476"/>
      <c r="AE225" s="477"/>
      <c r="AF225" s="478"/>
      <c r="AG225" s="478"/>
      <c r="AH225" s="476"/>
      <c r="AI225" s="477"/>
      <c r="AJ225" s="478"/>
      <c r="AK225" s="477"/>
      <c r="AL225" s="476"/>
      <c r="AM225" s="477"/>
      <c r="AN225" s="477"/>
      <c r="AO225" s="477"/>
      <c r="AP225" s="477"/>
      <c r="AQ225" s="477"/>
      <c r="AR225" s="477"/>
      <c r="AS225" s="477"/>
      <c r="AT225" s="480"/>
      <c r="AU225" s="475"/>
      <c r="AV225" s="475"/>
      <c r="AW225" s="475"/>
      <c r="AX225" s="480"/>
      <c r="AY225" s="475"/>
      <c r="AZ225" s="475"/>
      <c r="BA225" s="475"/>
      <c r="BB225" s="477">
        <f t="shared" si="14"/>
        <v>200000</v>
      </c>
      <c r="BC225" s="477">
        <f t="shared" si="12"/>
        <v>200000</v>
      </c>
    </row>
    <row r="226" spans="1:55" s="195" customFormat="1" ht="22.5" x14ac:dyDescent="0.25">
      <c r="A226" s="195" t="s">
        <v>781</v>
      </c>
      <c r="B226" s="186">
        <f t="shared" si="15"/>
        <v>210</v>
      </c>
      <c r="C226" s="186" t="s">
        <v>38</v>
      </c>
      <c r="D226" s="450">
        <v>40012274</v>
      </c>
      <c r="E226" s="451" t="s">
        <v>782</v>
      </c>
      <c r="F226" s="451" t="s">
        <v>200</v>
      </c>
      <c r="G226" s="473" t="s">
        <v>525</v>
      </c>
      <c r="H226" s="451" t="s">
        <v>525</v>
      </c>
      <c r="I226" s="451" t="s">
        <v>43</v>
      </c>
      <c r="J226" s="474">
        <v>2470991</v>
      </c>
      <c r="K226" s="474"/>
      <c r="L226" s="474">
        <v>2470991</v>
      </c>
      <c r="M226" s="475"/>
      <c r="N226" s="475"/>
      <c r="O226" s="475"/>
      <c r="P226" s="475"/>
      <c r="Q226" s="475"/>
      <c r="R226" s="475"/>
      <c r="S226" s="475"/>
      <c r="T226" s="475"/>
      <c r="U226" s="475"/>
      <c r="V226" s="475"/>
      <c r="W226" s="475"/>
      <c r="X226" s="475"/>
      <c r="Y226" s="475">
        <f t="shared" si="13"/>
        <v>0</v>
      </c>
      <c r="Z226" s="476">
        <v>1630928</v>
      </c>
      <c r="AA226" s="477">
        <v>15</v>
      </c>
      <c r="AB226" s="478">
        <v>44232</v>
      </c>
      <c r="AC226" s="479">
        <v>44249</v>
      </c>
      <c r="AD226" s="476">
        <v>-400000</v>
      </c>
      <c r="AE226" s="477">
        <v>49</v>
      </c>
      <c r="AF226" s="478">
        <v>44348</v>
      </c>
      <c r="AG226" s="479">
        <v>44354</v>
      </c>
      <c r="AH226" s="476"/>
      <c r="AI226" s="477"/>
      <c r="AJ226" s="478"/>
      <c r="AK226" s="477"/>
      <c r="AL226" s="476"/>
      <c r="AM226" s="477"/>
      <c r="AN226" s="477"/>
      <c r="AO226" s="477"/>
      <c r="AP226" s="477"/>
      <c r="AQ226" s="477"/>
      <c r="AR226" s="477"/>
      <c r="AS226" s="477"/>
      <c r="AT226" s="480"/>
      <c r="AU226" s="475"/>
      <c r="AV226" s="475"/>
      <c r="AW226" s="475"/>
      <c r="AX226" s="480"/>
      <c r="AY226" s="475"/>
      <c r="AZ226" s="475"/>
      <c r="BA226" s="475"/>
      <c r="BB226" s="477">
        <f t="shared" si="14"/>
        <v>1230928</v>
      </c>
      <c r="BC226" s="477">
        <f t="shared" si="12"/>
        <v>1230928</v>
      </c>
    </row>
    <row r="227" spans="1:55" s="195" customFormat="1" ht="22.5" x14ac:dyDescent="0.25">
      <c r="B227" s="186">
        <f t="shared" si="15"/>
        <v>211</v>
      </c>
      <c r="C227" s="186" t="s">
        <v>38</v>
      </c>
      <c r="D227" s="450">
        <v>30480199</v>
      </c>
      <c r="E227" s="451" t="s">
        <v>783</v>
      </c>
      <c r="F227" s="451" t="s">
        <v>200</v>
      </c>
      <c r="G227" s="473" t="s">
        <v>525</v>
      </c>
      <c r="H227" s="451" t="s">
        <v>525</v>
      </c>
      <c r="I227" s="451" t="s">
        <v>42</v>
      </c>
      <c r="J227" s="474">
        <v>499690</v>
      </c>
      <c r="K227" s="474"/>
      <c r="L227" s="474">
        <v>499690</v>
      </c>
      <c r="M227" s="475"/>
      <c r="N227" s="475"/>
      <c r="O227" s="475">
        <v>9907.5150000000012</v>
      </c>
      <c r="P227" s="475">
        <v>3067.9160000000002</v>
      </c>
      <c r="Q227" s="475">
        <v>0</v>
      </c>
      <c r="R227" s="475">
        <v>0</v>
      </c>
      <c r="S227" s="475"/>
      <c r="T227" s="475"/>
      <c r="U227" s="475"/>
      <c r="V227" s="475"/>
      <c r="W227" s="475"/>
      <c r="X227" s="475"/>
      <c r="Y227" s="475">
        <f t="shared" si="13"/>
        <v>12975.431</v>
      </c>
      <c r="Z227" s="476">
        <v>499688</v>
      </c>
      <c r="AA227" s="477">
        <v>22</v>
      </c>
      <c r="AB227" s="478">
        <v>44253</v>
      </c>
      <c r="AC227" s="479">
        <v>44279</v>
      </c>
      <c r="AD227" s="476"/>
      <c r="AE227" s="477"/>
      <c r="AF227" s="478"/>
      <c r="AG227" s="478"/>
      <c r="AH227" s="476"/>
      <c r="AI227" s="477"/>
      <c r="AJ227" s="478"/>
      <c r="AK227" s="477"/>
      <c r="AL227" s="476"/>
      <c r="AM227" s="477"/>
      <c r="AN227" s="477"/>
      <c r="AO227" s="477"/>
      <c r="AP227" s="477"/>
      <c r="AQ227" s="477"/>
      <c r="AR227" s="477"/>
      <c r="AS227" s="477"/>
      <c r="AT227" s="480"/>
      <c r="AU227" s="475"/>
      <c r="AV227" s="475"/>
      <c r="AW227" s="475"/>
      <c r="AX227" s="480"/>
      <c r="AY227" s="475"/>
      <c r="AZ227" s="475"/>
      <c r="BA227" s="475"/>
      <c r="BB227" s="477">
        <f t="shared" si="14"/>
        <v>499688</v>
      </c>
      <c r="BC227" s="477">
        <f t="shared" si="12"/>
        <v>486712.56900000002</v>
      </c>
    </row>
    <row r="228" spans="1:55" s="195" customFormat="1" x14ac:dyDescent="0.25">
      <c r="B228" s="186">
        <f t="shared" si="15"/>
        <v>212</v>
      </c>
      <c r="C228" s="186" t="s">
        <v>40</v>
      </c>
      <c r="D228" s="450">
        <v>40003787</v>
      </c>
      <c r="E228" s="451" t="s">
        <v>784</v>
      </c>
      <c r="F228" s="451" t="s">
        <v>200</v>
      </c>
      <c r="G228" s="473" t="s">
        <v>525</v>
      </c>
      <c r="H228" s="451" t="s">
        <v>528</v>
      </c>
      <c r="I228" s="451" t="s">
        <v>43</v>
      </c>
      <c r="J228" s="474">
        <v>325947</v>
      </c>
      <c r="K228" s="474"/>
      <c r="L228" s="474">
        <v>325947</v>
      </c>
      <c r="M228" s="475"/>
      <c r="N228" s="475"/>
      <c r="O228" s="475"/>
      <c r="P228" s="475"/>
      <c r="Q228" s="475"/>
      <c r="R228" s="475"/>
      <c r="S228" s="475"/>
      <c r="T228" s="475"/>
      <c r="U228" s="475"/>
      <c r="V228" s="475"/>
      <c r="W228" s="475"/>
      <c r="X228" s="475"/>
      <c r="Y228" s="475">
        <f t="shared" si="13"/>
        <v>0</v>
      </c>
      <c r="Z228" s="476">
        <v>108650</v>
      </c>
      <c r="AA228" s="477">
        <v>22</v>
      </c>
      <c r="AB228" s="478">
        <v>44253</v>
      </c>
      <c r="AC228" s="479">
        <v>44279</v>
      </c>
      <c r="AD228" s="476"/>
      <c r="AE228" s="477"/>
      <c r="AF228" s="478"/>
      <c r="AG228" s="478"/>
      <c r="AH228" s="476"/>
      <c r="AI228" s="477"/>
      <c r="AJ228" s="478"/>
      <c r="AK228" s="477"/>
      <c r="AL228" s="476"/>
      <c r="AM228" s="477"/>
      <c r="AN228" s="477"/>
      <c r="AO228" s="477"/>
      <c r="AP228" s="477"/>
      <c r="AQ228" s="477"/>
      <c r="AR228" s="477"/>
      <c r="AS228" s="477"/>
      <c r="AT228" s="480"/>
      <c r="AU228" s="475"/>
      <c r="AV228" s="475"/>
      <c r="AW228" s="475"/>
      <c r="AX228" s="480"/>
      <c r="AY228" s="475"/>
      <c r="AZ228" s="475"/>
      <c r="BA228" s="475"/>
      <c r="BB228" s="477">
        <f t="shared" si="14"/>
        <v>108650</v>
      </c>
      <c r="BC228" s="477">
        <f t="shared" si="12"/>
        <v>108650</v>
      </c>
    </row>
    <row r="229" spans="1:55" s="195" customFormat="1" ht="22.5" x14ac:dyDescent="0.25">
      <c r="B229" s="186">
        <f t="shared" si="15"/>
        <v>213</v>
      </c>
      <c r="C229" s="186" t="s">
        <v>38</v>
      </c>
      <c r="D229" s="450">
        <v>30475089</v>
      </c>
      <c r="E229" s="451" t="s">
        <v>785</v>
      </c>
      <c r="F229" s="451" t="s">
        <v>200</v>
      </c>
      <c r="G229" s="473" t="s">
        <v>525</v>
      </c>
      <c r="H229" s="451" t="s">
        <v>535</v>
      </c>
      <c r="I229" s="451" t="s">
        <v>42</v>
      </c>
      <c r="J229" s="474">
        <v>167597</v>
      </c>
      <c r="K229" s="474">
        <v>77847</v>
      </c>
      <c r="L229" s="474">
        <v>89750</v>
      </c>
      <c r="M229" s="475"/>
      <c r="N229" s="475"/>
      <c r="O229" s="475"/>
      <c r="P229" s="475"/>
      <c r="Q229" s="475"/>
      <c r="R229" s="475"/>
      <c r="S229" s="475"/>
      <c r="T229" s="475"/>
      <c r="U229" s="475"/>
      <c r="V229" s="475"/>
      <c r="W229" s="475"/>
      <c r="X229" s="475"/>
      <c r="Y229" s="475">
        <f t="shared" si="13"/>
        <v>0</v>
      </c>
      <c r="Z229" s="476">
        <v>89750</v>
      </c>
      <c r="AA229" s="477">
        <v>23</v>
      </c>
      <c r="AB229" s="478">
        <v>44253</v>
      </c>
      <c r="AC229" s="479">
        <v>44286</v>
      </c>
      <c r="AD229" s="476"/>
      <c r="AE229" s="477"/>
      <c r="AF229" s="478"/>
      <c r="AG229" s="478"/>
      <c r="AH229" s="476"/>
      <c r="AI229" s="477"/>
      <c r="AJ229" s="478"/>
      <c r="AK229" s="477"/>
      <c r="AL229" s="476"/>
      <c r="AM229" s="477"/>
      <c r="AN229" s="477"/>
      <c r="AO229" s="477"/>
      <c r="AP229" s="477"/>
      <c r="AQ229" s="477"/>
      <c r="AR229" s="477"/>
      <c r="AS229" s="477"/>
      <c r="AT229" s="480"/>
      <c r="AU229" s="475"/>
      <c r="AV229" s="475"/>
      <c r="AW229" s="475"/>
      <c r="AX229" s="480"/>
      <c r="AY229" s="475"/>
      <c r="AZ229" s="475"/>
      <c r="BA229" s="475"/>
      <c r="BB229" s="477">
        <f t="shared" si="14"/>
        <v>89750</v>
      </c>
      <c r="BC229" s="477">
        <f t="shared" si="12"/>
        <v>89750</v>
      </c>
    </row>
    <row r="230" spans="1:55" s="195" customFormat="1" x14ac:dyDescent="0.25">
      <c r="B230" s="186">
        <f t="shared" si="15"/>
        <v>214</v>
      </c>
      <c r="C230" s="186" t="s">
        <v>38</v>
      </c>
      <c r="D230" s="450">
        <v>30129298</v>
      </c>
      <c r="E230" s="451" t="s">
        <v>786</v>
      </c>
      <c r="F230" s="451" t="s">
        <v>200</v>
      </c>
      <c r="G230" s="473" t="s">
        <v>525</v>
      </c>
      <c r="H230" s="451" t="s">
        <v>537</v>
      </c>
      <c r="I230" s="451" t="s">
        <v>42</v>
      </c>
      <c r="J230" s="474">
        <v>184314</v>
      </c>
      <c r="K230" s="474">
        <v>160023</v>
      </c>
      <c r="L230" s="474">
        <v>24291</v>
      </c>
      <c r="M230" s="475"/>
      <c r="N230" s="475"/>
      <c r="O230" s="475"/>
      <c r="P230" s="475"/>
      <c r="Q230" s="475"/>
      <c r="R230" s="475"/>
      <c r="S230" s="475"/>
      <c r="T230" s="475"/>
      <c r="U230" s="475"/>
      <c r="V230" s="475"/>
      <c r="W230" s="475"/>
      <c r="X230" s="475"/>
      <c r="Y230" s="475">
        <f t="shared" si="13"/>
        <v>0</v>
      </c>
      <c r="Z230" s="476">
        <v>24291</v>
      </c>
      <c r="AA230" s="477">
        <v>23</v>
      </c>
      <c r="AB230" s="478">
        <v>44253</v>
      </c>
      <c r="AC230" s="479">
        <v>44286</v>
      </c>
      <c r="AD230" s="476"/>
      <c r="AE230" s="477"/>
      <c r="AF230" s="478"/>
      <c r="AG230" s="478"/>
      <c r="AH230" s="476"/>
      <c r="AI230" s="477"/>
      <c r="AJ230" s="478"/>
      <c r="AK230" s="477"/>
      <c r="AL230" s="476"/>
      <c r="AM230" s="477"/>
      <c r="AN230" s="477"/>
      <c r="AO230" s="477"/>
      <c r="AP230" s="477"/>
      <c r="AQ230" s="477"/>
      <c r="AR230" s="477"/>
      <c r="AS230" s="477"/>
      <c r="AT230" s="480"/>
      <c r="AU230" s="475"/>
      <c r="AV230" s="475"/>
      <c r="AW230" s="475"/>
      <c r="AX230" s="480"/>
      <c r="AY230" s="475"/>
      <c r="AZ230" s="475"/>
      <c r="BA230" s="475"/>
      <c r="BB230" s="477">
        <f t="shared" si="14"/>
        <v>24291</v>
      </c>
      <c r="BC230" s="477">
        <f t="shared" si="12"/>
        <v>24291</v>
      </c>
    </row>
    <row r="231" spans="1:55" s="195" customFormat="1" x14ac:dyDescent="0.25">
      <c r="B231" s="186">
        <f t="shared" si="15"/>
        <v>215</v>
      </c>
      <c r="C231" s="186" t="s">
        <v>38</v>
      </c>
      <c r="D231" s="450">
        <v>30485513</v>
      </c>
      <c r="E231" s="451" t="s">
        <v>787</v>
      </c>
      <c r="F231" s="451" t="s">
        <v>543</v>
      </c>
      <c r="G231" s="473" t="s">
        <v>525</v>
      </c>
      <c r="H231" s="451" t="s">
        <v>535</v>
      </c>
      <c r="I231" s="451" t="s">
        <v>42</v>
      </c>
      <c r="J231" s="474">
        <v>48307</v>
      </c>
      <c r="K231" s="474">
        <v>21470</v>
      </c>
      <c r="L231" s="474">
        <v>26837</v>
      </c>
      <c r="M231" s="475"/>
      <c r="N231" s="475"/>
      <c r="O231" s="475"/>
      <c r="P231" s="475"/>
      <c r="Q231" s="475"/>
      <c r="R231" s="475"/>
      <c r="S231" s="475"/>
      <c r="T231" s="475"/>
      <c r="U231" s="475"/>
      <c r="V231" s="475"/>
      <c r="W231" s="475"/>
      <c r="X231" s="475"/>
      <c r="Y231" s="475">
        <f t="shared" si="13"/>
        <v>0</v>
      </c>
      <c r="Z231" s="476">
        <v>26837</v>
      </c>
      <c r="AA231" s="477">
        <v>23</v>
      </c>
      <c r="AB231" s="478">
        <v>44253</v>
      </c>
      <c r="AC231" s="479">
        <v>44286</v>
      </c>
      <c r="AD231" s="476"/>
      <c r="AE231" s="477"/>
      <c r="AF231" s="478"/>
      <c r="AG231" s="478"/>
      <c r="AH231" s="476"/>
      <c r="AI231" s="477"/>
      <c r="AJ231" s="478"/>
      <c r="AK231" s="477"/>
      <c r="AL231" s="476"/>
      <c r="AM231" s="477"/>
      <c r="AN231" s="477"/>
      <c r="AO231" s="477"/>
      <c r="AP231" s="477"/>
      <c r="AQ231" s="477"/>
      <c r="AR231" s="477"/>
      <c r="AS231" s="477"/>
      <c r="AT231" s="480"/>
      <c r="AU231" s="475"/>
      <c r="AV231" s="475"/>
      <c r="AW231" s="475"/>
      <c r="AX231" s="480"/>
      <c r="AY231" s="475"/>
      <c r="AZ231" s="475"/>
      <c r="BA231" s="475"/>
      <c r="BB231" s="477">
        <f t="shared" si="14"/>
        <v>26837</v>
      </c>
      <c r="BC231" s="477">
        <f t="shared" si="12"/>
        <v>26837</v>
      </c>
    </row>
    <row r="232" spans="1:55" s="195" customFormat="1" x14ac:dyDescent="0.25">
      <c r="B232" s="186">
        <f t="shared" si="15"/>
        <v>216</v>
      </c>
      <c r="C232" s="186" t="s">
        <v>38</v>
      </c>
      <c r="D232" s="450">
        <v>30091326</v>
      </c>
      <c r="E232" s="451" t="s">
        <v>788</v>
      </c>
      <c r="F232" s="451" t="s">
        <v>200</v>
      </c>
      <c r="G232" s="473" t="s">
        <v>525</v>
      </c>
      <c r="H232" s="451" t="s">
        <v>574</v>
      </c>
      <c r="I232" s="451" t="s">
        <v>43</v>
      </c>
      <c r="J232" s="474">
        <v>8123643</v>
      </c>
      <c r="K232" s="474"/>
      <c r="L232" s="474">
        <v>8123643</v>
      </c>
      <c r="M232" s="475"/>
      <c r="N232" s="475"/>
      <c r="O232" s="475"/>
      <c r="P232" s="475"/>
      <c r="Q232" s="475"/>
      <c r="R232" s="475"/>
      <c r="S232" s="475"/>
      <c r="T232" s="475"/>
      <c r="U232" s="475"/>
      <c r="V232" s="475"/>
      <c r="W232" s="475"/>
      <c r="X232" s="475"/>
      <c r="Y232" s="475">
        <f t="shared" si="13"/>
        <v>0</v>
      </c>
      <c r="Z232" s="476">
        <v>16214</v>
      </c>
      <c r="AA232" s="477">
        <v>23</v>
      </c>
      <c r="AB232" s="478">
        <v>44253</v>
      </c>
      <c r="AC232" s="479">
        <v>44286</v>
      </c>
      <c r="AD232" s="476"/>
      <c r="AE232" s="477"/>
      <c r="AF232" s="478"/>
      <c r="AG232" s="478"/>
      <c r="AH232" s="476"/>
      <c r="AI232" s="477"/>
      <c r="AJ232" s="478"/>
      <c r="AK232" s="477"/>
      <c r="AL232" s="476"/>
      <c r="AM232" s="477"/>
      <c r="AN232" s="477"/>
      <c r="AO232" s="477"/>
      <c r="AP232" s="477"/>
      <c r="AQ232" s="477"/>
      <c r="AR232" s="477"/>
      <c r="AS232" s="477"/>
      <c r="AT232" s="480"/>
      <c r="AU232" s="475"/>
      <c r="AV232" s="475"/>
      <c r="AW232" s="475"/>
      <c r="AX232" s="480"/>
      <c r="AY232" s="475"/>
      <c r="AZ232" s="475"/>
      <c r="BA232" s="475"/>
      <c r="BB232" s="477">
        <f t="shared" si="14"/>
        <v>16214</v>
      </c>
      <c r="BC232" s="477">
        <f t="shared" si="12"/>
        <v>16214</v>
      </c>
    </row>
    <row r="233" spans="1:55" s="195" customFormat="1" ht="22.5" x14ac:dyDescent="0.25">
      <c r="B233" s="186">
        <f t="shared" si="15"/>
        <v>217</v>
      </c>
      <c r="C233" s="186" t="s">
        <v>38</v>
      </c>
      <c r="D233" s="450">
        <v>30416872</v>
      </c>
      <c r="E233" s="451" t="s">
        <v>789</v>
      </c>
      <c r="F233" s="451" t="s">
        <v>543</v>
      </c>
      <c r="G233" s="473" t="s">
        <v>525</v>
      </c>
      <c r="H233" s="451" t="s">
        <v>649</v>
      </c>
      <c r="I233" s="451" t="s">
        <v>43</v>
      </c>
      <c r="J233" s="474">
        <v>406688</v>
      </c>
      <c r="K233" s="474"/>
      <c r="L233" s="474">
        <v>406688</v>
      </c>
      <c r="M233" s="475"/>
      <c r="N233" s="475"/>
      <c r="O233" s="475"/>
      <c r="P233" s="475"/>
      <c r="Q233" s="475"/>
      <c r="R233" s="475"/>
      <c r="S233" s="475"/>
      <c r="T233" s="475"/>
      <c r="U233" s="475"/>
      <c r="V233" s="475"/>
      <c r="W233" s="475"/>
      <c r="X233" s="475"/>
      <c r="Y233" s="475">
        <f t="shared" si="13"/>
        <v>0</v>
      </c>
      <c r="Z233" s="476">
        <v>335154</v>
      </c>
      <c r="AA233" s="477">
        <v>23</v>
      </c>
      <c r="AB233" s="478">
        <v>44253</v>
      </c>
      <c r="AC233" s="479">
        <v>44286</v>
      </c>
      <c r="AD233" s="476"/>
      <c r="AE233" s="477"/>
      <c r="AF233" s="478"/>
      <c r="AG233" s="478"/>
      <c r="AH233" s="476"/>
      <c r="AI233" s="477"/>
      <c r="AJ233" s="478"/>
      <c r="AK233" s="477"/>
      <c r="AL233" s="476"/>
      <c r="AM233" s="477"/>
      <c r="AN233" s="477"/>
      <c r="AO233" s="477"/>
      <c r="AP233" s="477"/>
      <c r="AQ233" s="477"/>
      <c r="AR233" s="477"/>
      <c r="AS233" s="477"/>
      <c r="AT233" s="480"/>
      <c r="AU233" s="475"/>
      <c r="AV233" s="475"/>
      <c r="AW233" s="475"/>
      <c r="AX233" s="480"/>
      <c r="AY233" s="475"/>
      <c r="AZ233" s="475"/>
      <c r="BA233" s="475"/>
      <c r="BB233" s="477">
        <f t="shared" si="14"/>
        <v>335154</v>
      </c>
      <c r="BC233" s="477">
        <f t="shared" si="12"/>
        <v>335154</v>
      </c>
    </row>
    <row r="234" spans="1:55" s="195" customFormat="1" ht="22.5" x14ac:dyDescent="0.25">
      <c r="B234" s="186">
        <f t="shared" si="15"/>
        <v>218</v>
      </c>
      <c r="C234" s="186" t="s">
        <v>38</v>
      </c>
      <c r="D234" s="450">
        <v>30459830</v>
      </c>
      <c r="E234" s="451" t="s">
        <v>790</v>
      </c>
      <c r="F234" s="451" t="s">
        <v>200</v>
      </c>
      <c r="G234" s="473" t="s">
        <v>525</v>
      </c>
      <c r="H234" s="451" t="s">
        <v>525</v>
      </c>
      <c r="I234" s="451" t="s">
        <v>43</v>
      </c>
      <c r="J234" s="474">
        <v>6707457</v>
      </c>
      <c r="K234" s="474"/>
      <c r="L234" s="474">
        <v>6707457</v>
      </c>
      <c r="M234" s="475"/>
      <c r="N234" s="475"/>
      <c r="O234" s="475"/>
      <c r="P234" s="475"/>
      <c r="Q234" s="475"/>
      <c r="R234" s="475"/>
      <c r="S234" s="475"/>
      <c r="T234" s="475"/>
      <c r="U234" s="475"/>
      <c r="V234" s="475"/>
      <c r="W234" s="475"/>
      <c r="X234" s="475"/>
      <c r="Y234" s="475">
        <f t="shared" si="13"/>
        <v>0</v>
      </c>
      <c r="Z234" s="476">
        <v>15739</v>
      </c>
      <c r="AA234" s="477">
        <v>23</v>
      </c>
      <c r="AB234" s="478">
        <v>44253</v>
      </c>
      <c r="AC234" s="479">
        <v>44286</v>
      </c>
      <c r="AD234" s="476"/>
      <c r="AE234" s="477"/>
      <c r="AF234" s="478"/>
      <c r="AG234" s="478"/>
      <c r="AH234" s="476"/>
      <c r="AI234" s="477"/>
      <c r="AJ234" s="478"/>
      <c r="AK234" s="477"/>
      <c r="AL234" s="476"/>
      <c r="AM234" s="477"/>
      <c r="AN234" s="477"/>
      <c r="AO234" s="477"/>
      <c r="AP234" s="477"/>
      <c r="AQ234" s="477"/>
      <c r="AR234" s="477"/>
      <c r="AS234" s="477"/>
      <c r="AT234" s="480"/>
      <c r="AU234" s="475"/>
      <c r="AV234" s="475"/>
      <c r="AW234" s="475"/>
      <c r="AX234" s="480"/>
      <c r="AY234" s="475"/>
      <c r="AZ234" s="475"/>
      <c r="BA234" s="475"/>
      <c r="BB234" s="477">
        <f t="shared" si="14"/>
        <v>15739</v>
      </c>
      <c r="BC234" s="477">
        <f t="shared" si="12"/>
        <v>15739</v>
      </c>
    </row>
    <row r="235" spans="1:55" s="195" customFormat="1" x14ac:dyDescent="0.25">
      <c r="B235" s="186">
        <f t="shared" si="15"/>
        <v>219</v>
      </c>
      <c r="C235" s="186" t="s">
        <v>38</v>
      </c>
      <c r="D235" s="450">
        <v>30397336</v>
      </c>
      <c r="E235" s="451" t="s">
        <v>791</v>
      </c>
      <c r="F235" s="451" t="s">
        <v>200</v>
      </c>
      <c r="G235" s="473" t="s">
        <v>525</v>
      </c>
      <c r="H235" s="451" t="s">
        <v>598</v>
      </c>
      <c r="I235" s="451" t="s">
        <v>43</v>
      </c>
      <c r="J235" s="474">
        <v>5612456</v>
      </c>
      <c r="K235" s="474"/>
      <c r="L235" s="474">
        <v>5612456</v>
      </c>
      <c r="M235" s="475"/>
      <c r="N235" s="475"/>
      <c r="O235" s="475"/>
      <c r="P235" s="475">
        <v>0</v>
      </c>
      <c r="Q235" s="475">
        <v>0</v>
      </c>
      <c r="R235" s="475">
        <v>318301.897</v>
      </c>
      <c r="S235" s="475"/>
      <c r="T235" s="475"/>
      <c r="U235" s="475"/>
      <c r="V235" s="475"/>
      <c r="W235" s="475"/>
      <c r="X235" s="475"/>
      <c r="Y235" s="475">
        <f t="shared" si="13"/>
        <v>318301.897</v>
      </c>
      <c r="Z235" s="476">
        <v>900002</v>
      </c>
      <c r="AA235" s="477">
        <v>23</v>
      </c>
      <c r="AB235" s="478">
        <v>44253</v>
      </c>
      <c r="AC235" s="479">
        <v>44286</v>
      </c>
      <c r="AD235" s="476"/>
      <c r="AE235" s="477"/>
      <c r="AF235" s="478"/>
      <c r="AG235" s="478"/>
      <c r="AH235" s="476"/>
      <c r="AI235" s="477"/>
      <c r="AJ235" s="478"/>
      <c r="AK235" s="477"/>
      <c r="AL235" s="476"/>
      <c r="AM235" s="477"/>
      <c r="AN235" s="477"/>
      <c r="AO235" s="477"/>
      <c r="AP235" s="477"/>
      <c r="AQ235" s="477"/>
      <c r="AR235" s="477"/>
      <c r="AS235" s="477"/>
      <c r="AT235" s="480"/>
      <c r="AU235" s="475"/>
      <c r="AV235" s="475"/>
      <c r="AW235" s="475"/>
      <c r="AX235" s="480"/>
      <c r="AY235" s="475"/>
      <c r="AZ235" s="475"/>
      <c r="BA235" s="475"/>
      <c r="BB235" s="477">
        <f t="shared" si="14"/>
        <v>900002</v>
      </c>
      <c r="BC235" s="477">
        <f t="shared" si="12"/>
        <v>581700.103</v>
      </c>
    </row>
    <row r="236" spans="1:55" s="195" customFormat="1" x14ac:dyDescent="0.25">
      <c r="B236" s="186">
        <f t="shared" si="15"/>
        <v>220</v>
      </c>
      <c r="C236" s="186" t="s">
        <v>38</v>
      </c>
      <c r="D236" s="450">
        <v>40015725</v>
      </c>
      <c r="E236" s="451" t="s">
        <v>792</v>
      </c>
      <c r="F236" s="451" t="s">
        <v>200</v>
      </c>
      <c r="G236" s="473" t="s">
        <v>525</v>
      </c>
      <c r="H236" s="451" t="s">
        <v>525</v>
      </c>
      <c r="I236" s="451" t="s">
        <v>43</v>
      </c>
      <c r="J236" s="474">
        <v>3691119</v>
      </c>
      <c r="K236" s="474"/>
      <c r="L236" s="474">
        <v>3691119</v>
      </c>
      <c r="M236" s="475"/>
      <c r="N236" s="475"/>
      <c r="O236" s="475"/>
      <c r="P236" s="475"/>
      <c r="Q236" s="475"/>
      <c r="R236" s="475"/>
      <c r="S236" s="475"/>
      <c r="T236" s="475"/>
      <c r="U236" s="475"/>
      <c r="V236" s="475"/>
      <c r="W236" s="475"/>
      <c r="X236" s="475"/>
      <c r="Y236" s="475">
        <f t="shared" si="13"/>
        <v>0</v>
      </c>
      <c r="Z236" s="476">
        <v>1</v>
      </c>
      <c r="AA236" s="477">
        <v>23</v>
      </c>
      <c r="AB236" s="478">
        <v>44253</v>
      </c>
      <c r="AC236" s="479">
        <v>44286</v>
      </c>
      <c r="AD236" s="476"/>
      <c r="AE236" s="477"/>
      <c r="AF236" s="478"/>
      <c r="AG236" s="478"/>
      <c r="AH236" s="476"/>
      <c r="AI236" s="477"/>
      <c r="AJ236" s="478"/>
      <c r="AK236" s="477"/>
      <c r="AL236" s="476"/>
      <c r="AM236" s="477"/>
      <c r="AN236" s="477"/>
      <c r="AO236" s="477"/>
      <c r="AP236" s="477"/>
      <c r="AQ236" s="477"/>
      <c r="AR236" s="477"/>
      <c r="AS236" s="477"/>
      <c r="AT236" s="480"/>
      <c r="AU236" s="475"/>
      <c r="AV236" s="475"/>
      <c r="AW236" s="475"/>
      <c r="AX236" s="480"/>
      <c r="AY236" s="475"/>
      <c r="AZ236" s="475"/>
      <c r="BA236" s="475"/>
      <c r="BB236" s="477">
        <f t="shared" si="14"/>
        <v>1</v>
      </c>
      <c r="BC236" s="477">
        <f t="shared" si="12"/>
        <v>1</v>
      </c>
    </row>
    <row r="237" spans="1:55" s="195" customFormat="1" x14ac:dyDescent="0.25">
      <c r="B237" s="186">
        <f t="shared" si="15"/>
        <v>221</v>
      </c>
      <c r="C237" s="186" t="s">
        <v>38</v>
      </c>
      <c r="D237" s="450">
        <v>30482140</v>
      </c>
      <c r="E237" s="451" t="s">
        <v>793</v>
      </c>
      <c r="F237" s="451" t="s">
        <v>200</v>
      </c>
      <c r="G237" s="473" t="s">
        <v>525</v>
      </c>
      <c r="H237" s="451" t="s">
        <v>587</v>
      </c>
      <c r="I237" s="451" t="s">
        <v>43</v>
      </c>
      <c r="J237" s="474">
        <v>1009253</v>
      </c>
      <c r="K237" s="474"/>
      <c r="L237" s="474">
        <v>1009253</v>
      </c>
      <c r="M237" s="475"/>
      <c r="N237" s="475"/>
      <c r="O237" s="475"/>
      <c r="P237" s="475">
        <v>0</v>
      </c>
      <c r="Q237" s="475">
        <v>0</v>
      </c>
      <c r="R237" s="475">
        <v>178927.52799999999</v>
      </c>
      <c r="S237" s="475"/>
      <c r="T237" s="475"/>
      <c r="U237" s="475"/>
      <c r="V237" s="475"/>
      <c r="W237" s="475"/>
      <c r="X237" s="475"/>
      <c r="Y237" s="475">
        <f t="shared" si="13"/>
        <v>178927.52799999999</v>
      </c>
      <c r="Z237" s="476">
        <v>545472</v>
      </c>
      <c r="AA237" s="477">
        <v>23</v>
      </c>
      <c r="AB237" s="478">
        <v>44253</v>
      </c>
      <c r="AC237" s="479">
        <v>44286</v>
      </c>
      <c r="AD237" s="476"/>
      <c r="AE237" s="477"/>
      <c r="AF237" s="478"/>
      <c r="AG237" s="478"/>
      <c r="AH237" s="476"/>
      <c r="AI237" s="477"/>
      <c r="AJ237" s="478"/>
      <c r="AK237" s="477"/>
      <c r="AL237" s="476"/>
      <c r="AM237" s="477"/>
      <c r="AN237" s="477"/>
      <c r="AO237" s="477"/>
      <c r="AP237" s="477"/>
      <c r="AQ237" s="477"/>
      <c r="AR237" s="477"/>
      <c r="AS237" s="477"/>
      <c r="AT237" s="480"/>
      <c r="AU237" s="475"/>
      <c r="AV237" s="475"/>
      <c r="AW237" s="475"/>
      <c r="AX237" s="480"/>
      <c r="AY237" s="475"/>
      <c r="AZ237" s="475"/>
      <c r="BA237" s="475"/>
      <c r="BB237" s="477">
        <f t="shared" si="14"/>
        <v>545472</v>
      </c>
      <c r="BC237" s="477">
        <f t="shared" si="12"/>
        <v>366544.47200000001</v>
      </c>
    </row>
    <row r="238" spans="1:55" s="195" customFormat="1" ht="22.5" x14ac:dyDescent="0.25">
      <c r="B238" s="186">
        <f t="shared" si="15"/>
        <v>222</v>
      </c>
      <c r="C238" s="186" t="s">
        <v>38</v>
      </c>
      <c r="D238" s="450">
        <v>40005962</v>
      </c>
      <c r="E238" s="451" t="s">
        <v>794</v>
      </c>
      <c r="F238" s="451" t="s">
        <v>200</v>
      </c>
      <c r="G238" s="473" t="s">
        <v>525</v>
      </c>
      <c r="H238" s="451" t="s">
        <v>541</v>
      </c>
      <c r="I238" s="451" t="s">
        <v>43</v>
      </c>
      <c r="J238" s="474">
        <v>2659864</v>
      </c>
      <c r="K238" s="474"/>
      <c r="L238" s="474">
        <v>2659864</v>
      </c>
      <c r="M238" s="475"/>
      <c r="N238" s="475"/>
      <c r="O238" s="475"/>
      <c r="P238" s="475">
        <v>0</v>
      </c>
      <c r="Q238" s="475">
        <v>0</v>
      </c>
      <c r="R238" s="475">
        <v>311092.44300000003</v>
      </c>
      <c r="S238" s="475"/>
      <c r="T238" s="475"/>
      <c r="U238" s="475"/>
      <c r="V238" s="475"/>
      <c r="W238" s="475"/>
      <c r="X238" s="475"/>
      <c r="Y238" s="475">
        <f t="shared" si="13"/>
        <v>311092.44300000003</v>
      </c>
      <c r="Z238" s="476">
        <v>531303</v>
      </c>
      <c r="AA238" s="477">
        <v>23</v>
      </c>
      <c r="AB238" s="478">
        <v>44253</v>
      </c>
      <c r="AC238" s="479">
        <v>44286</v>
      </c>
      <c r="AD238" s="476"/>
      <c r="AE238" s="477"/>
      <c r="AF238" s="478"/>
      <c r="AG238" s="478"/>
      <c r="AH238" s="476"/>
      <c r="AI238" s="477"/>
      <c r="AJ238" s="478"/>
      <c r="AK238" s="477"/>
      <c r="AL238" s="476"/>
      <c r="AM238" s="477"/>
      <c r="AN238" s="477"/>
      <c r="AO238" s="477"/>
      <c r="AP238" s="477"/>
      <c r="AQ238" s="477"/>
      <c r="AR238" s="477"/>
      <c r="AS238" s="477"/>
      <c r="AT238" s="480"/>
      <c r="AU238" s="475"/>
      <c r="AV238" s="475"/>
      <c r="AW238" s="475"/>
      <c r="AX238" s="480"/>
      <c r="AY238" s="475"/>
      <c r="AZ238" s="475"/>
      <c r="BA238" s="475"/>
      <c r="BB238" s="477">
        <f t="shared" si="14"/>
        <v>531303</v>
      </c>
      <c r="BC238" s="477">
        <f t="shared" si="12"/>
        <v>220210.55699999997</v>
      </c>
    </row>
    <row r="239" spans="1:55" s="195" customFormat="1" ht="22.5" x14ac:dyDescent="0.25">
      <c r="B239" s="186">
        <f t="shared" si="15"/>
        <v>223</v>
      </c>
      <c r="C239" s="186" t="s">
        <v>38</v>
      </c>
      <c r="D239" s="450">
        <v>30398026</v>
      </c>
      <c r="E239" s="451" t="s">
        <v>795</v>
      </c>
      <c r="F239" s="451" t="s">
        <v>543</v>
      </c>
      <c r="G239" s="473" t="s">
        <v>525</v>
      </c>
      <c r="H239" s="451" t="s">
        <v>525</v>
      </c>
      <c r="I239" s="451" t="s">
        <v>42</v>
      </c>
      <c r="J239" s="474">
        <v>34288</v>
      </c>
      <c r="K239" s="474">
        <v>15999</v>
      </c>
      <c r="L239" s="474">
        <v>18289</v>
      </c>
      <c r="M239" s="475"/>
      <c r="N239" s="475"/>
      <c r="O239" s="475"/>
      <c r="P239" s="475"/>
      <c r="Q239" s="475"/>
      <c r="R239" s="475"/>
      <c r="S239" s="475"/>
      <c r="T239" s="475"/>
      <c r="U239" s="475"/>
      <c r="V239" s="475"/>
      <c r="W239" s="475"/>
      <c r="X239" s="475"/>
      <c r="Y239" s="475">
        <f t="shared" si="13"/>
        <v>0</v>
      </c>
      <c r="Z239" s="476">
        <v>15251</v>
      </c>
      <c r="AA239" s="477">
        <v>23</v>
      </c>
      <c r="AB239" s="478">
        <v>44253</v>
      </c>
      <c r="AC239" s="479">
        <v>44286</v>
      </c>
      <c r="AD239" s="476"/>
      <c r="AE239" s="477"/>
      <c r="AF239" s="478"/>
      <c r="AG239" s="478"/>
      <c r="AH239" s="476"/>
      <c r="AI239" s="477"/>
      <c r="AJ239" s="478"/>
      <c r="AK239" s="477"/>
      <c r="AL239" s="476"/>
      <c r="AM239" s="477"/>
      <c r="AN239" s="477"/>
      <c r="AO239" s="477"/>
      <c r="AP239" s="477"/>
      <c r="AQ239" s="477"/>
      <c r="AR239" s="477"/>
      <c r="AS239" s="477"/>
      <c r="AT239" s="480"/>
      <c r="AU239" s="475"/>
      <c r="AV239" s="475"/>
      <c r="AW239" s="475"/>
      <c r="AX239" s="480"/>
      <c r="AY239" s="475"/>
      <c r="AZ239" s="475"/>
      <c r="BA239" s="475"/>
      <c r="BB239" s="477">
        <f t="shared" si="14"/>
        <v>15251</v>
      </c>
      <c r="BC239" s="477">
        <f t="shared" si="12"/>
        <v>15251</v>
      </c>
    </row>
    <row r="240" spans="1:55" s="195" customFormat="1" ht="22.5" x14ac:dyDescent="0.25">
      <c r="B240" s="186">
        <f t="shared" si="15"/>
        <v>224</v>
      </c>
      <c r="C240" s="186" t="s">
        <v>38</v>
      </c>
      <c r="D240" s="450">
        <v>30459096</v>
      </c>
      <c r="E240" s="451" t="s">
        <v>796</v>
      </c>
      <c r="F240" s="451" t="s">
        <v>200</v>
      </c>
      <c r="G240" s="473" t="s">
        <v>525</v>
      </c>
      <c r="H240" s="451" t="s">
        <v>746</v>
      </c>
      <c r="I240" s="451" t="s">
        <v>43</v>
      </c>
      <c r="J240" s="474">
        <v>214416</v>
      </c>
      <c r="K240" s="474"/>
      <c r="L240" s="474">
        <v>214416</v>
      </c>
      <c r="M240" s="475"/>
      <c r="N240" s="475"/>
      <c r="O240" s="475"/>
      <c r="P240" s="475"/>
      <c r="Q240" s="475"/>
      <c r="R240" s="475"/>
      <c r="S240" s="475"/>
      <c r="T240" s="475"/>
      <c r="U240" s="475"/>
      <c r="V240" s="475"/>
      <c r="W240" s="475"/>
      <c r="X240" s="475"/>
      <c r="Y240" s="475">
        <f t="shared" si="13"/>
        <v>0</v>
      </c>
      <c r="Z240" s="476">
        <v>213338</v>
      </c>
      <c r="AA240" s="477">
        <v>25</v>
      </c>
      <c r="AB240" s="478">
        <v>44253</v>
      </c>
      <c r="AC240" s="479">
        <v>44273</v>
      </c>
      <c r="AD240" s="476"/>
      <c r="AE240" s="477"/>
      <c r="AF240" s="478"/>
      <c r="AG240" s="478"/>
      <c r="AH240" s="476"/>
      <c r="AI240" s="477"/>
      <c r="AJ240" s="478"/>
      <c r="AK240" s="477"/>
      <c r="AL240" s="476"/>
      <c r="AM240" s="477"/>
      <c r="AN240" s="477"/>
      <c r="AO240" s="477"/>
      <c r="AP240" s="477"/>
      <c r="AQ240" s="477"/>
      <c r="AR240" s="477"/>
      <c r="AS240" s="477"/>
      <c r="AT240" s="480"/>
      <c r="AU240" s="475"/>
      <c r="AV240" s="475"/>
      <c r="AW240" s="475"/>
      <c r="AX240" s="480"/>
      <c r="AY240" s="475"/>
      <c r="AZ240" s="475"/>
      <c r="BA240" s="475"/>
      <c r="BB240" s="477">
        <f t="shared" si="14"/>
        <v>213338</v>
      </c>
      <c r="BC240" s="477">
        <f t="shared" si="12"/>
        <v>213338</v>
      </c>
    </row>
    <row r="241" spans="1:55" s="195" customFormat="1" ht="22.5" x14ac:dyDescent="0.25">
      <c r="B241" s="186">
        <f t="shared" si="15"/>
        <v>225</v>
      </c>
      <c r="C241" s="186" t="s">
        <v>38</v>
      </c>
      <c r="D241" s="450">
        <v>40008791</v>
      </c>
      <c r="E241" s="451" t="s">
        <v>797</v>
      </c>
      <c r="F241" s="451" t="s">
        <v>200</v>
      </c>
      <c r="G241" s="473" t="s">
        <v>525</v>
      </c>
      <c r="H241" s="451" t="s">
        <v>535</v>
      </c>
      <c r="I241" s="451" t="s">
        <v>43</v>
      </c>
      <c r="J241" s="474">
        <v>186101</v>
      </c>
      <c r="K241" s="474"/>
      <c r="L241" s="474">
        <v>186101</v>
      </c>
      <c r="M241" s="475"/>
      <c r="N241" s="475"/>
      <c r="O241" s="475"/>
      <c r="P241" s="475">
        <v>1500</v>
      </c>
      <c r="Q241" s="475">
        <v>34264.534</v>
      </c>
      <c r="R241" s="475">
        <v>42063.794999999998</v>
      </c>
      <c r="S241" s="475"/>
      <c r="T241" s="475"/>
      <c r="U241" s="475"/>
      <c r="V241" s="475"/>
      <c r="W241" s="475"/>
      <c r="X241" s="475"/>
      <c r="Y241" s="475">
        <f t="shared" si="13"/>
        <v>77828.328999999998</v>
      </c>
      <c r="Z241" s="476">
        <v>171001</v>
      </c>
      <c r="AA241" s="477">
        <v>25</v>
      </c>
      <c r="AB241" s="478">
        <v>44253</v>
      </c>
      <c r="AC241" s="479">
        <v>44273</v>
      </c>
      <c r="AD241" s="476"/>
      <c r="AE241" s="477"/>
      <c r="AF241" s="478"/>
      <c r="AG241" s="478"/>
      <c r="AH241" s="476"/>
      <c r="AI241" s="477"/>
      <c r="AJ241" s="478"/>
      <c r="AK241" s="477"/>
      <c r="AL241" s="476"/>
      <c r="AM241" s="477"/>
      <c r="AN241" s="477"/>
      <c r="AO241" s="477"/>
      <c r="AP241" s="477"/>
      <c r="AQ241" s="477"/>
      <c r="AR241" s="477"/>
      <c r="AS241" s="477"/>
      <c r="AT241" s="480"/>
      <c r="AU241" s="475"/>
      <c r="AV241" s="475"/>
      <c r="AW241" s="475"/>
      <c r="AX241" s="480"/>
      <c r="AY241" s="475"/>
      <c r="AZ241" s="475"/>
      <c r="BA241" s="475"/>
      <c r="BB241" s="477">
        <f t="shared" si="14"/>
        <v>171001</v>
      </c>
      <c r="BC241" s="477">
        <f t="shared" si="12"/>
        <v>93172.671000000002</v>
      </c>
    </row>
    <row r="242" spans="1:55" s="195" customFormat="1" ht="22.5" x14ac:dyDescent="0.25">
      <c r="B242" s="186">
        <f t="shared" si="15"/>
        <v>226</v>
      </c>
      <c r="C242" s="186" t="s">
        <v>38</v>
      </c>
      <c r="D242" s="450">
        <v>30481728</v>
      </c>
      <c r="E242" s="451" t="s">
        <v>798</v>
      </c>
      <c r="F242" s="451" t="s">
        <v>200</v>
      </c>
      <c r="G242" s="473" t="s">
        <v>525</v>
      </c>
      <c r="H242" s="451" t="s">
        <v>535</v>
      </c>
      <c r="I242" s="451" t="s">
        <v>43</v>
      </c>
      <c r="J242" s="474">
        <v>208012</v>
      </c>
      <c r="K242" s="474"/>
      <c r="L242" s="474">
        <v>208012</v>
      </c>
      <c r="M242" s="475"/>
      <c r="N242" s="475"/>
      <c r="O242" s="475">
        <v>1359.4</v>
      </c>
      <c r="P242" s="475">
        <v>64306.873</v>
      </c>
      <c r="Q242" s="475">
        <v>0</v>
      </c>
      <c r="R242" s="475">
        <v>0</v>
      </c>
      <c r="S242" s="475"/>
      <c r="T242" s="475"/>
      <c r="U242" s="475"/>
      <c r="V242" s="475"/>
      <c r="W242" s="475"/>
      <c r="X242" s="475"/>
      <c r="Y242" s="475">
        <f t="shared" si="13"/>
        <v>65666.273000000001</v>
      </c>
      <c r="Z242" s="476">
        <v>205849</v>
      </c>
      <c r="AA242" s="477">
        <v>25</v>
      </c>
      <c r="AB242" s="478">
        <v>44253</v>
      </c>
      <c r="AC242" s="479">
        <v>44273</v>
      </c>
      <c r="AD242" s="476"/>
      <c r="AE242" s="477"/>
      <c r="AF242" s="478"/>
      <c r="AG242" s="478"/>
      <c r="AH242" s="476"/>
      <c r="AI242" s="477"/>
      <c r="AJ242" s="478"/>
      <c r="AK242" s="477"/>
      <c r="AL242" s="476"/>
      <c r="AM242" s="477"/>
      <c r="AN242" s="477"/>
      <c r="AO242" s="477"/>
      <c r="AP242" s="477"/>
      <c r="AQ242" s="477"/>
      <c r="AR242" s="477"/>
      <c r="AS242" s="477"/>
      <c r="AT242" s="480"/>
      <c r="AU242" s="475"/>
      <c r="AV242" s="475"/>
      <c r="AW242" s="475"/>
      <c r="AX242" s="480"/>
      <c r="AY242" s="475"/>
      <c r="AZ242" s="475"/>
      <c r="BA242" s="475"/>
      <c r="BB242" s="477">
        <f t="shared" si="14"/>
        <v>205849</v>
      </c>
      <c r="BC242" s="477">
        <f t="shared" si="12"/>
        <v>140182.72700000001</v>
      </c>
    </row>
    <row r="243" spans="1:55" s="195" customFormat="1" x14ac:dyDescent="0.25">
      <c r="B243" s="186">
        <f t="shared" si="15"/>
        <v>227</v>
      </c>
      <c r="C243" s="186" t="s">
        <v>38</v>
      </c>
      <c r="D243" s="450">
        <v>40007797</v>
      </c>
      <c r="E243" s="451" t="s">
        <v>799</v>
      </c>
      <c r="F243" s="451" t="s">
        <v>200</v>
      </c>
      <c r="G243" s="473" t="s">
        <v>525</v>
      </c>
      <c r="H243" s="451" t="s">
        <v>559</v>
      </c>
      <c r="I243" s="451" t="s">
        <v>43</v>
      </c>
      <c r="J243" s="474">
        <v>94323</v>
      </c>
      <c r="K243" s="474"/>
      <c r="L243" s="474">
        <v>94323</v>
      </c>
      <c r="M243" s="475"/>
      <c r="N243" s="475"/>
      <c r="O243" s="475"/>
      <c r="P243" s="475"/>
      <c r="Q243" s="475"/>
      <c r="R243" s="475"/>
      <c r="S243" s="475"/>
      <c r="T243" s="475"/>
      <c r="U243" s="475"/>
      <c r="V243" s="475"/>
      <c r="W243" s="475"/>
      <c r="X243" s="475"/>
      <c r="Y243" s="475">
        <f t="shared" si="13"/>
        <v>0</v>
      </c>
      <c r="Z243" s="476">
        <v>92612</v>
      </c>
      <c r="AA243" s="477">
        <v>25</v>
      </c>
      <c r="AB243" s="478">
        <v>44253</v>
      </c>
      <c r="AC243" s="479">
        <v>44273</v>
      </c>
      <c r="AD243" s="476"/>
      <c r="AE243" s="477"/>
      <c r="AF243" s="478"/>
      <c r="AG243" s="478"/>
      <c r="AH243" s="476"/>
      <c r="AI243" s="477"/>
      <c r="AJ243" s="478"/>
      <c r="AK243" s="477"/>
      <c r="AL243" s="476"/>
      <c r="AM243" s="477"/>
      <c r="AN243" s="477"/>
      <c r="AO243" s="477"/>
      <c r="AP243" s="477"/>
      <c r="AQ243" s="477"/>
      <c r="AR243" s="477"/>
      <c r="AS243" s="477"/>
      <c r="AT243" s="480"/>
      <c r="AU243" s="475"/>
      <c r="AV243" s="475"/>
      <c r="AW243" s="475"/>
      <c r="AX243" s="480"/>
      <c r="AY243" s="475"/>
      <c r="AZ243" s="475"/>
      <c r="BA243" s="475"/>
      <c r="BB243" s="477">
        <f t="shared" si="14"/>
        <v>92612</v>
      </c>
      <c r="BC243" s="477">
        <f t="shared" si="12"/>
        <v>92612</v>
      </c>
    </row>
    <row r="244" spans="1:55" s="195" customFormat="1" ht="22.5" x14ac:dyDescent="0.25">
      <c r="B244" s="186">
        <f t="shared" si="15"/>
        <v>228</v>
      </c>
      <c r="C244" s="186" t="s">
        <v>38</v>
      </c>
      <c r="D244" s="450">
        <v>40017130</v>
      </c>
      <c r="E244" s="451" t="s">
        <v>800</v>
      </c>
      <c r="F244" s="451" t="s">
        <v>200</v>
      </c>
      <c r="G244" s="473" t="s">
        <v>525</v>
      </c>
      <c r="H244" s="451" t="s">
        <v>612</v>
      </c>
      <c r="I244" s="451" t="s">
        <v>43</v>
      </c>
      <c r="J244" s="474">
        <v>453796</v>
      </c>
      <c r="K244" s="474"/>
      <c r="L244" s="474">
        <v>453796</v>
      </c>
      <c r="M244" s="475"/>
      <c r="N244" s="475"/>
      <c r="O244" s="475"/>
      <c r="P244" s="475"/>
      <c r="Q244" s="475"/>
      <c r="R244" s="475"/>
      <c r="S244" s="475"/>
      <c r="T244" s="475"/>
      <c r="U244" s="475"/>
      <c r="V244" s="475"/>
      <c r="W244" s="475"/>
      <c r="X244" s="475"/>
      <c r="Y244" s="475">
        <f t="shared" si="13"/>
        <v>0</v>
      </c>
      <c r="Z244" s="476">
        <v>269401</v>
      </c>
      <c r="AA244" s="477">
        <v>25</v>
      </c>
      <c r="AB244" s="478">
        <v>44253</v>
      </c>
      <c r="AC244" s="479">
        <v>44273</v>
      </c>
      <c r="AD244" s="476"/>
      <c r="AE244" s="477"/>
      <c r="AF244" s="478"/>
      <c r="AG244" s="478"/>
      <c r="AH244" s="476"/>
      <c r="AI244" s="477"/>
      <c r="AJ244" s="478"/>
      <c r="AK244" s="477"/>
      <c r="AL244" s="476"/>
      <c r="AM244" s="477"/>
      <c r="AN244" s="477"/>
      <c r="AO244" s="477"/>
      <c r="AP244" s="477"/>
      <c r="AQ244" s="477"/>
      <c r="AR244" s="477"/>
      <c r="AS244" s="477"/>
      <c r="AT244" s="480"/>
      <c r="AU244" s="475"/>
      <c r="AV244" s="475"/>
      <c r="AW244" s="475"/>
      <c r="AX244" s="480"/>
      <c r="AY244" s="475"/>
      <c r="AZ244" s="475"/>
      <c r="BA244" s="475"/>
      <c r="BB244" s="477">
        <f t="shared" si="14"/>
        <v>269401</v>
      </c>
      <c r="BC244" s="477">
        <f t="shared" si="12"/>
        <v>269401</v>
      </c>
    </row>
    <row r="245" spans="1:55" s="195" customFormat="1" ht="22.5" x14ac:dyDescent="0.25">
      <c r="B245" s="186">
        <f t="shared" si="15"/>
        <v>229</v>
      </c>
      <c r="C245" s="186" t="s">
        <v>38</v>
      </c>
      <c r="D245" s="450">
        <v>40014055</v>
      </c>
      <c r="E245" s="451" t="s">
        <v>801</v>
      </c>
      <c r="F245" s="451" t="s">
        <v>200</v>
      </c>
      <c r="G245" s="473" t="s">
        <v>525</v>
      </c>
      <c r="H245" s="451" t="s">
        <v>672</v>
      </c>
      <c r="I245" s="451" t="s">
        <v>43</v>
      </c>
      <c r="J245" s="474">
        <v>501924</v>
      </c>
      <c r="K245" s="474"/>
      <c r="L245" s="474">
        <v>501924</v>
      </c>
      <c r="M245" s="475"/>
      <c r="N245" s="475"/>
      <c r="O245" s="475"/>
      <c r="P245" s="475"/>
      <c r="Q245" s="475"/>
      <c r="R245" s="475"/>
      <c r="S245" s="475"/>
      <c r="T245" s="475"/>
      <c r="U245" s="475"/>
      <c r="V245" s="475"/>
      <c r="W245" s="475"/>
      <c r="X245" s="475"/>
      <c r="Y245" s="475">
        <f t="shared" si="13"/>
        <v>0</v>
      </c>
      <c r="Z245" s="476">
        <v>240001</v>
      </c>
      <c r="AA245" s="477">
        <v>25</v>
      </c>
      <c r="AB245" s="478">
        <v>44253</v>
      </c>
      <c r="AC245" s="479">
        <v>44273</v>
      </c>
      <c r="AD245" s="476"/>
      <c r="AE245" s="477"/>
      <c r="AF245" s="478"/>
      <c r="AG245" s="478"/>
      <c r="AH245" s="476"/>
      <c r="AI245" s="477"/>
      <c r="AJ245" s="478"/>
      <c r="AK245" s="477"/>
      <c r="AL245" s="476"/>
      <c r="AM245" s="477"/>
      <c r="AN245" s="477"/>
      <c r="AO245" s="477"/>
      <c r="AP245" s="477"/>
      <c r="AQ245" s="477"/>
      <c r="AR245" s="477"/>
      <c r="AS245" s="477"/>
      <c r="AT245" s="480"/>
      <c r="AU245" s="475"/>
      <c r="AV245" s="475"/>
      <c r="AW245" s="475"/>
      <c r="AX245" s="480"/>
      <c r="AY245" s="475"/>
      <c r="AZ245" s="475"/>
      <c r="BA245" s="475"/>
      <c r="BB245" s="477">
        <f t="shared" si="14"/>
        <v>240001</v>
      </c>
      <c r="BC245" s="477">
        <f t="shared" si="12"/>
        <v>240001</v>
      </c>
    </row>
    <row r="246" spans="1:55" s="195" customFormat="1" ht="22.5" x14ac:dyDescent="0.25">
      <c r="B246" s="186">
        <f t="shared" si="15"/>
        <v>230</v>
      </c>
      <c r="C246" s="186" t="s">
        <v>38</v>
      </c>
      <c r="D246" s="450">
        <v>30459759</v>
      </c>
      <c r="E246" s="451" t="s">
        <v>802</v>
      </c>
      <c r="F246" s="451" t="s">
        <v>200</v>
      </c>
      <c r="G246" s="473" t="s">
        <v>525</v>
      </c>
      <c r="H246" s="451" t="s">
        <v>579</v>
      </c>
      <c r="I246" s="451" t="s">
        <v>43</v>
      </c>
      <c r="J246" s="474">
        <v>70406</v>
      </c>
      <c r="K246" s="474"/>
      <c r="L246" s="474">
        <v>70406</v>
      </c>
      <c r="M246" s="475"/>
      <c r="N246" s="475"/>
      <c r="O246" s="475"/>
      <c r="P246" s="475"/>
      <c r="Q246" s="475"/>
      <c r="R246" s="475"/>
      <c r="S246" s="475"/>
      <c r="T246" s="475"/>
      <c r="U246" s="475"/>
      <c r="V246" s="475"/>
      <c r="W246" s="475"/>
      <c r="X246" s="475"/>
      <c r="Y246" s="475">
        <f t="shared" si="13"/>
        <v>0</v>
      </c>
      <c r="Z246" s="476">
        <v>68161</v>
      </c>
      <c r="AA246" s="477">
        <v>25</v>
      </c>
      <c r="AB246" s="478">
        <v>44253</v>
      </c>
      <c r="AC246" s="479">
        <v>44273</v>
      </c>
      <c r="AD246" s="476"/>
      <c r="AE246" s="477"/>
      <c r="AF246" s="478"/>
      <c r="AG246" s="478"/>
      <c r="AH246" s="476"/>
      <c r="AI246" s="477"/>
      <c r="AJ246" s="478"/>
      <c r="AK246" s="477"/>
      <c r="AL246" s="476"/>
      <c r="AM246" s="477"/>
      <c r="AN246" s="477"/>
      <c r="AO246" s="477"/>
      <c r="AP246" s="477"/>
      <c r="AQ246" s="477"/>
      <c r="AR246" s="477"/>
      <c r="AS246" s="477"/>
      <c r="AT246" s="480"/>
      <c r="AU246" s="475"/>
      <c r="AV246" s="475"/>
      <c r="AW246" s="475"/>
      <c r="AX246" s="480"/>
      <c r="AY246" s="475"/>
      <c r="AZ246" s="475"/>
      <c r="BA246" s="475"/>
      <c r="BB246" s="477">
        <f t="shared" si="14"/>
        <v>68161</v>
      </c>
      <c r="BC246" s="477">
        <f t="shared" si="12"/>
        <v>68161</v>
      </c>
    </row>
    <row r="247" spans="1:55" s="195" customFormat="1" x14ac:dyDescent="0.25">
      <c r="B247" s="186">
        <f t="shared" si="15"/>
        <v>231</v>
      </c>
      <c r="C247" s="186" t="s">
        <v>38</v>
      </c>
      <c r="D247" s="450">
        <v>30439372</v>
      </c>
      <c r="E247" s="451" t="s">
        <v>803</v>
      </c>
      <c r="F247" s="451" t="s">
        <v>200</v>
      </c>
      <c r="G247" s="473" t="s">
        <v>525</v>
      </c>
      <c r="H247" s="451" t="s">
        <v>667</v>
      </c>
      <c r="I247" s="451" t="s">
        <v>43</v>
      </c>
      <c r="J247" s="474">
        <v>1461479</v>
      </c>
      <c r="K247" s="474"/>
      <c r="L247" s="474">
        <v>1461479</v>
      </c>
      <c r="M247" s="475"/>
      <c r="N247" s="475"/>
      <c r="O247" s="475"/>
      <c r="P247" s="475"/>
      <c r="Q247" s="475"/>
      <c r="R247" s="475"/>
      <c r="S247" s="475"/>
      <c r="T247" s="475"/>
      <c r="U247" s="475"/>
      <c r="V247" s="475"/>
      <c r="W247" s="475"/>
      <c r="X247" s="475"/>
      <c r="Y247" s="475">
        <f t="shared" si="13"/>
        <v>0</v>
      </c>
      <c r="Z247" s="476">
        <v>35004</v>
      </c>
      <c r="AA247" s="477">
        <v>25</v>
      </c>
      <c r="AB247" s="478">
        <v>44253</v>
      </c>
      <c r="AC247" s="479">
        <v>44273</v>
      </c>
      <c r="AD247" s="476"/>
      <c r="AE247" s="477"/>
      <c r="AF247" s="478"/>
      <c r="AG247" s="478"/>
      <c r="AH247" s="476"/>
      <c r="AI247" s="477"/>
      <c r="AJ247" s="478"/>
      <c r="AK247" s="477"/>
      <c r="AL247" s="476"/>
      <c r="AM247" s="477"/>
      <c r="AN247" s="477"/>
      <c r="AO247" s="477"/>
      <c r="AP247" s="477"/>
      <c r="AQ247" s="477"/>
      <c r="AR247" s="477"/>
      <c r="AS247" s="477"/>
      <c r="AT247" s="480"/>
      <c r="AU247" s="475"/>
      <c r="AV247" s="475"/>
      <c r="AW247" s="475"/>
      <c r="AX247" s="480"/>
      <c r="AY247" s="475"/>
      <c r="AZ247" s="475"/>
      <c r="BA247" s="475"/>
      <c r="BB247" s="477">
        <f t="shared" si="14"/>
        <v>35004</v>
      </c>
      <c r="BC247" s="477">
        <f t="shared" si="12"/>
        <v>35004</v>
      </c>
    </row>
    <row r="248" spans="1:55" s="195" customFormat="1" x14ac:dyDescent="0.25">
      <c r="B248" s="186">
        <f t="shared" si="15"/>
        <v>232</v>
      </c>
      <c r="C248" s="186" t="s">
        <v>38</v>
      </c>
      <c r="D248" s="450">
        <v>30454127</v>
      </c>
      <c r="E248" s="451" t="s">
        <v>804</v>
      </c>
      <c r="F248" s="451" t="s">
        <v>200</v>
      </c>
      <c r="G248" s="473" t="s">
        <v>525</v>
      </c>
      <c r="H248" s="451" t="s">
        <v>598</v>
      </c>
      <c r="I248" s="451" t="s">
        <v>43</v>
      </c>
      <c r="J248" s="474">
        <v>245191</v>
      </c>
      <c r="K248" s="474"/>
      <c r="L248" s="474">
        <v>245191</v>
      </c>
      <c r="M248" s="475"/>
      <c r="N248" s="475"/>
      <c r="O248" s="475"/>
      <c r="P248" s="475">
        <v>22307.814999999999</v>
      </c>
      <c r="Q248" s="475">
        <v>0</v>
      </c>
      <c r="R248" s="475">
        <v>0</v>
      </c>
      <c r="S248" s="475"/>
      <c r="T248" s="475"/>
      <c r="U248" s="475"/>
      <c r="V248" s="475"/>
      <c r="W248" s="475"/>
      <c r="X248" s="475"/>
      <c r="Y248" s="475">
        <f t="shared" si="13"/>
        <v>22307.814999999999</v>
      </c>
      <c r="Z248" s="476">
        <v>200001</v>
      </c>
      <c r="AA248" s="477">
        <v>25</v>
      </c>
      <c r="AB248" s="478">
        <v>44253</v>
      </c>
      <c r="AC248" s="479">
        <v>44273</v>
      </c>
      <c r="AD248" s="476"/>
      <c r="AE248" s="477"/>
      <c r="AF248" s="478"/>
      <c r="AG248" s="478"/>
      <c r="AH248" s="476"/>
      <c r="AI248" s="477"/>
      <c r="AJ248" s="478"/>
      <c r="AK248" s="477"/>
      <c r="AL248" s="476"/>
      <c r="AM248" s="477"/>
      <c r="AN248" s="477"/>
      <c r="AO248" s="477"/>
      <c r="AP248" s="477"/>
      <c r="AQ248" s="477"/>
      <c r="AR248" s="477"/>
      <c r="AS248" s="477"/>
      <c r="AT248" s="480"/>
      <c r="AU248" s="475"/>
      <c r="AV248" s="475"/>
      <c r="AW248" s="475"/>
      <c r="AX248" s="480"/>
      <c r="AY248" s="475"/>
      <c r="AZ248" s="475"/>
      <c r="BA248" s="475"/>
      <c r="BB248" s="477">
        <f t="shared" si="14"/>
        <v>200001</v>
      </c>
      <c r="BC248" s="477">
        <f t="shared" si="12"/>
        <v>177693.185</v>
      </c>
    </row>
    <row r="249" spans="1:55" s="195" customFormat="1" x14ac:dyDescent="0.25">
      <c r="B249" s="186">
        <f t="shared" si="15"/>
        <v>233</v>
      </c>
      <c r="C249" s="186" t="s">
        <v>40</v>
      </c>
      <c r="D249" s="450">
        <v>30349031</v>
      </c>
      <c r="E249" s="451" t="s">
        <v>805</v>
      </c>
      <c r="F249" s="451" t="s">
        <v>200</v>
      </c>
      <c r="G249" s="473" t="s">
        <v>525</v>
      </c>
      <c r="H249" s="451" t="s">
        <v>535</v>
      </c>
      <c r="I249" s="451" t="s">
        <v>43</v>
      </c>
      <c r="J249" s="474">
        <v>232547</v>
      </c>
      <c r="K249" s="474"/>
      <c r="L249" s="474">
        <v>232547</v>
      </c>
      <c r="M249" s="475"/>
      <c r="N249" s="475"/>
      <c r="O249" s="475"/>
      <c r="P249" s="475">
        <v>0</v>
      </c>
      <c r="Q249" s="475">
        <v>54750</v>
      </c>
      <c r="R249" s="475">
        <v>0</v>
      </c>
      <c r="S249" s="475"/>
      <c r="T249" s="475"/>
      <c r="U249" s="475"/>
      <c r="V249" s="475"/>
      <c r="W249" s="475"/>
      <c r="X249" s="475"/>
      <c r="Y249" s="475">
        <f t="shared" si="13"/>
        <v>54750</v>
      </c>
      <c r="Z249" s="476">
        <v>79189</v>
      </c>
      <c r="AA249" s="477">
        <v>25</v>
      </c>
      <c r="AB249" s="478">
        <v>44253</v>
      </c>
      <c r="AC249" s="479">
        <v>44273</v>
      </c>
      <c r="AD249" s="476"/>
      <c r="AE249" s="477"/>
      <c r="AF249" s="478"/>
      <c r="AG249" s="478"/>
      <c r="AH249" s="476"/>
      <c r="AI249" s="477"/>
      <c r="AJ249" s="478"/>
      <c r="AK249" s="477"/>
      <c r="AL249" s="476"/>
      <c r="AM249" s="477"/>
      <c r="AN249" s="477"/>
      <c r="AO249" s="477"/>
      <c r="AP249" s="477"/>
      <c r="AQ249" s="477"/>
      <c r="AR249" s="477"/>
      <c r="AS249" s="477"/>
      <c r="AT249" s="480"/>
      <c r="AU249" s="475"/>
      <c r="AV249" s="475"/>
      <c r="AW249" s="475"/>
      <c r="AX249" s="480"/>
      <c r="AY249" s="475"/>
      <c r="AZ249" s="475"/>
      <c r="BA249" s="475"/>
      <c r="BB249" s="477">
        <f t="shared" si="14"/>
        <v>79189</v>
      </c>
      <c r="BC249" s="477">
        <f t="shared" si="12"/>
        <v>24439</v>
      </c>
    </row>
    <row r="250" spans="1:55" s="195" customFormat="1" ht="22.5" x14ac:dyDescent="0.25">
      <c r="B250" s="186">
        <f t="shared" si="15"/>
        <v>234</v>
      </c>
      <c r="C250" s="186" t="s">
        <v>38</v>
      </c>
      <c r="D250" s="450">
        <v>30420432</v>
      </c>
      <c r="E250" s="451" t="s">
        <v>806</v>
      </c>
      <c r="F250" s="451" t="s">
        <v>200</v>
      </c>
      <c r="G250" s="473" t="s">
        <v>525</v>
      </c>
      <c r="H250" s="451" t="s">
        <v>587</v>
      </c>
      <c r="I250" s="451" t="s">
        <v>42</v>
      </c>
      <c r="J250" s="474">
        <v>172061</v>
      </c>
      <c r="K250" s="474">
        <v>154184</v>
      </c>
      <c r="L250" s="474">
        <v>17877</v>
      </c>
      <c r="M250" s="475"/>
      <c r="N250" s="475"/>
      <c r="O250" s="475"/>
      <c r="P250" s="475"/>
      <c r="Q250" s="475"/>
      <c r="R250" s="475"/>
      <c r="S250" s="475"/>
      <c r="T250" s="475"/>
      <c r="U250" s="475"/>
      <c r="V250" s="475"/>
      <c r="W250" s="475"/>
      <c r="X250" s="475"/>
      <c r="Y250" s="475">
        <f t="shared" si="13"/>
        <v>0</v>
      </c>
      <c r="Z250" s="476">
        <v>14356</v>
      </c>
      <c r="AA250" s="477">
        <v>25</v>
      </c>
      <c r="AB250" s="478">
        <v>44253</v>
      </c>
      <c r="AC250" s="479">
        <v>44273</v>
      </c>
      <c r="AD250" s="476"/>
      <c r="AE250" s="477"/>
      <c r="AF250" s="478"/>
      <c r="AG250" s="478"/>
      <c r="AH250" s="476"/>
      <c r="AI250" s="477"/>
      <c r="AJ250" s="478"/>
      <c r="AK250" s="477"/>
      <c r="AL250" s="476"/>
      <c r="AM250" s="477"/>
      <c r="AN250" s="477"/>
      <c r="AO250" s="477"/>
      <c r="AP250" s="477"/>
      <c r="AQ250" s="477"/>
      <c r="AR250" s="477"/>
      <c r="AS250" s="477"/>
      <c r="AT250" s="480"/>
      <c r="AU250" s="475"/>
      <c r="AV250" s="475"/>
      <c r="AW250" s="475"/>
      <c r="AX250" s="480"/>
      <c r="AY250" s="475"/>
      <c r="AZ250" s="475"/>
      <c r="BA250" s="475"/>
      <c r="BB250" s="477">
        <f t="shared" si="14"/>
        <v>14356</v>
      </c>
      <c r="BC250" s="477">
        <f t="shared" si="12"/>
        <v>14356</v>
      </c>
    </row>
    <row r="251" spans="1:55" s="195" customFormat="1" x14ac:dyDescent="0.25">
      <c r="B251" s="186">
        <f t="shared" si="15"/>
        <v>235</v>
      </c>
      <c r="C251" s="186" t="s">
        <v>38</v>
      </c>
      <c r="D251" s="450">
        <v>30071172</v>
      </c>
      <c r="E251" s="451" t="s">
        <v>807</v>
      </c>
      <c r="F251" s="451" t="s">
        <v>543</v>
      </c>
      <c r="G251" s="473" t="s">
        <v>525</v>
      </c>
      <c r="H251" s="451" t="s">
        <v>547</v>
      </c>
      <c r="I251" s="451" t="s">
        <v>42</v>
      </c>
      <c r="J251" s="474">
        <v>189977</v>
      </c>
      <c r="K251" s="474">
        <v>121078</v>
      </c>
      <c r="L251" s="474">
        <v>68899</v>
      </c>
      <c r="M251" s="475"/>
      <c r="N251" s="475"/>
      <c r="O251" s="475"/>
      <c r="P251" s="475">
        <v>0</v>
      </c>
      <c r="Q251" s="475">
        <v>0</v>
      </c>
      <c r="R251" s="475">
        <v>16200</v>
      </c>
      <c r="S251" s="475"/>
      <c r="T251" s="475"/>
      <c r="U251" s="475"/>
      <c r="V251" s="475"/>
      <c r="W251" s="475"/>
      <c r="X251" s="475"/>
      <c r="Y251" s="475">
        <f t="shared" si="13"/>
        <v>16200</v>
      </c>
      <c r="Z251" s="476">
        <v>16201</v>
      </c>
      <c r="AA251" s="477">
        <v>27</v>
      </c>
      <c r="AB251" s="478">
        <v>44274</v>
      </c>
      <c r="AC251" s="479">
        <v>44279</v>
      </c>
      <c r="AD251" s="476"/>
      <c r="AE251" s="477"/>
      <c r="AF251" s="478"/>
      <c r="AG251" s="478"/>
      <c r="AH251" s="476"/>
      <c r="AI251" s="477"/>
      <c r="AJ251" s="478"/>
      <c r="AK251" s="477"/>
      <c r="AL251" s="476"/>
      <c r="AM251" s="477"/>
      <c r="AN251" s="477"/>
      <c r="AO251" s="477"/>
      <c r="AP251" s="477"/>
      <c r="AQ251" s="477"/>
      <c r="AR251" s="477"/>
      <c r="AS251" s="477"/>
      <c r="AT251" s="480"/>
      <c r="AU251" s="475"/>
      <c r="AV251" s="475"/>
      <c r="AW251" s="475"/>
      <c r="AX251" s="480"/>
      <c r="AY251" s="475"/>
      <c r="AZ251" s="475"/>
      <c r="BA251" s="475"/>
      <c r="BB251" s="477">
        <f t="shared" si="14"/>
        <v>16201</v>
      </c>
      <c r="BC251" s="477">
        <f t="shared" si="12"/>
        <v>1</v>
      </c>
    </row>
    <row r="252" spans="1:55" s="195" customFormat="1" x14ac:dyDescent="0.25">
      <c r="A252" s="195" t="s">
        <v>808</v>
      </c>
      <c r="B252" s="186">
        <f t="shared" si="15"/>
        <v>236</v>
      </c>
      <c r="C252" s="186" t="s">
        <v>38</v>
      </c>
      <c r="D252" s="450">
        <v>30114635</v>
      </c>
      <c r="E252" s="451" t="s">
        <v>809</v>
      </c>
      <c r="F252" s="451" t="s">
        <v>200</v>
      </c>
      <c r="G252" s="473" t="s">
        <v>525</v>
      </c>
      <c r="H252" s="451" t="s">
        <v>587</v>
      </c>
      <c r="I252" s="451" t="s">
        <v>42</v>
      </c>
      <c r="J252" s="474">
        <v>1515139</v>
      </c>
      <c r="K252" s="474">
        <v>1080935</v>
      </c>
      <c r="L252" s="474">
        <v>434204</v>
      </c>
      <c r="M252" s="475"/>
      <c r="N252" s="475"/>
      <c r="O252" s="475"/>
      <c r="P252" s="475">
        <v>0</v>
      </c>
      <c r="Q252" s="475">
        <v>0</v>
      </c>
      <c r="R252" s="475">
        <v>266050.63</v>
      </c>
      <c r="S252" s="475"/>
      <c r="T252" s="475"/>
      <c r="U252" s="475"/>
      <c r="V252" s="475"/>
      <c r="W252" s="475"/>
      <c r="X252" s="475"/>
      <c r="Y252" s="475">
        <f t="shared" si="13"/>
        <v>266050.63</v>
      </c>
      <c r="Z252" s="476">
        <v>266052</v>
      </c>
      <c r="AA252" s="477">
        <v>28</v>
      </c>
      <c r="AB252" s="478">
        <v>44295</v>
      </c>
      <c r="AC252" s="479">
        <v>44301</v>
      </c>
      <c r="AD252" s="476">
        <v>33291</v>
      </c>
      <c r="AE252" s="477">
        <v>54</v>
      </c>
      <c r="AF252" s="478">
        <v>44363</v>
      </c>
      <c r="AG252" s="478">
        <v>44369</v>
      </c>
      <c r="AH252" s="476"/>
      <c r="AI252" s="477"/>
      <c r="AJ252" s="478"/>
      <c r="AK252" s="477"/>
      <c r="AL252" s="476"/>
      <c r="AM252" s="477"/>
      <c r="AN252" s="477"/>
      <c r="AO252" s="477"/>
      <c r="AP252" s="477"/>
      <c r="AQ252" s="477"/>
      <c r="AR252" s="477"/>
      <c r="AS252" s="477"/>
      <c r="AT252" s="480"/>
      <c r="AU252" s="475"/>
      <c r="AV252" s="475"/>
      <c r="AW252" s="475"/>
      <c r="AX252" s="480"/>
      <c r="AY252" s="475"/>
      <c r="AZ252" s="475"/>
      <c r="BA252" s="475"/>
      <c r="BB252" s="477">
        <f t="shared" si="14"/>
        <v>299343</v>
      </c>
      <c r="BC252" s="477">
        <f t="shared" si="12"/>
        <v>33292.369999999995</v>
      </c>
    </row>
    <row r="253" spans="1:55" s="195" customFormat="1" x14ac:dyDescent="0.25">
      <c r="B253" s="186">
        <f t="shared" si="15"/>
        <v>237</v>
      </c>
      <c r="C253" s="186" t="s">
        <v>38</v>
      </c>
      <c r="D253" s="450">
        <v>30406023</v>
      </c>
      <c r="E253" s="451" t="s">
        <v>810</v>
      </c>
      <c r="F253" s="451" t="s">
        <v>200</v>
      </c>
      <c r="G253" s="473" t="s">
        <v>525</v>
      </c>
      <c r="H253" s="451" t="s">
        <v>598</v>
      </c>
      <c r="I253" s="451" t="s">
        <v>43</v>
      </c>
      <c r="J253" s="474">
        <v>262992</v>
      </c>
      <c r="K253" s="474"/>
      <c r="L253" s="474">
        <v>262992</v>
      </c>
      <c r="M253" s="475"/>
      <c r="N253" s="475"/>
      <c r="O253" s="475"/>
      <c r="P253" s="475"/>
      <c r="Q253" s="475"/>
      <c r="R253" s="475"/>
      <c r="S253" s="475"/>
      <c r="T253" s="475"/>
      <c r="U253" s="475"/>
      <c r="V253" s="475"/>
      <c r="W253" s="475"/>
      <c r="X253" s="475"/>
      <c r="Y253" s="475">
        <f t="shared" si="13"/>
        <v>0</v>
      </c>
      <c r="Z253" s="476">
        <v>4</v>
      </c>
      <c r="AA253" s="477">
        <v>32</v>
      </c>
      <c r="AB253" s="478">
        <v>44306</v>
      </c>
      <c r="AC253" s="479">
        <v>44314</v>
      </c>
      <c r="AD253" s="476"/>
      <c r="AE253" s="477"/>
      <c r="AF253" s="478"/>
      <c r="AG253" s="478"/>
      <c r="AH253" s="476"/>
      <c r="AI253" s="477"/>
      <c r="AJ253" s="478"/>
      <c r="AK253" s="477"/>
      <c r="AL253" s="476"/>
      <c r="AM253" s="477"/>
      <c r="AN253" s="477"/>
      <c r="AO253" s="477"/>
      <c r="AP253" s="477"/>
      <c r="AQ253" s="477"/>
      <c r="AR253" s="477"/>
      <c r="AS253" s="477"/>
      <c r="AT253" s="480"/>
      <c r="AU253" s="475"/>
      <c r="AV253" s="475"/>
      <c r="AW253" s="475"/>
      <c r="AX253" s="480"/>
      <c r="AY253" s="475"/>
      <c r="AZ253" s="475"/>
      <c r="BA253" s="475"/>
      <c r="BB253" s="477">
        <f t="shared" si="14"/>
        <v>4</v>
      </c>
      <c r="BC253" s="477">
        <f t="shared" si="12"/>
        <v>4</v>
      </c>
    </row>
    <row r="254" spans="1:55" s="195" customFormat="1" x14ac:dyDescent="0.25">
      <c r="B254" s="186">
        <f t="shared" si="15"/>
        <v>238</v>
      </c>
      <c r="C254" s="186" t="s">
        <v>40</v>
      </c>
      <c r="D254" s="450">
        <v>40019005</v>
      </c>
      <c r="E254" s="451" t="s">
        <v>811</v>
      </c>
      <c r="F254" s="451" t="s">
        <v>200</v>
      </c>
      <c r="G254" s="473" t="s">
        <v>525</v>
      </c>
      <c r="H254" s="451" t="s">
        <v>579</v>
      </c>
      <c r="I254" s="451" t="s">
        <v>43</v>
      </c>
      <c r="J254" s="474">
        <v>46012</v>
      </c>
      <c r="K254" s="474"/>
      <c r="L254" s="474">
        <v>46012</v>
      </c>
      <c r="M254" s="475"/>
      <c r="N254" s="475"/>
      <c r="O254" s="475"/>
      <c r="P254" s="475"/>
      <c r="Q254" s="475"/>
      <c r="R254" s="475"/>
      <c r="S254" s="475"/>
      <c r="T254" s="475"/>
      <c r="U254" s="475"/>
      <c r="V254" s="475"/>
      <c r="W254" s="475"/>
      <c r="X254" s="475"/>
      <c r="Y254" s="475">
        <f t="shared" si="13"/>
        <v>0</v>
      </c>
      <c r="Z254" s="476">
        <v>1</v>
      </c>
      <c r="AA254" s="477">
        <v>32</v>
      </c>
      <c r="AB254" s="478">
        <v>44306</v>
      </c>
      <c r="AC254" s="479">
        <v>44314</v>
      </c>
      <c r="AD254" s="476"/>
      <c r="AE254" s="477"/>
      <c r="AF254" s="478"/>
      <c r="AG254" s="478"/>
      <c r="AH254" s="476"/>
      <c r="AI254" s="477"/>
      <c r="AJ254" s="478"/>
      <c r="AK254" s="477"/>
      <c r="AL254" s="476"/>
      <c r="AM254" s="477"/>
      <c r="AN254" s="477"/>
      <c r="AO254" s="477"/>
      <c r="AP254" s="477"/>
      <c r="AQ254" s="477"/>
      <c r="AR254" s="477"/>
      <c r="AS254" s="477"/>
      <c r="AT254" s="480"/>
      <c r="AU254" s="475"/>
      <c r="AV254" s="475"/>
      <c r="AW254" s="475"/>
      <c r="AX254" s="480"/>
      <c r="AY254" s="475"/>
      <c r="AZ254" s="475"/>
      <c r="BA254" s="475"/>
      <c r="BB254" s="477">
        <f t="shared" si="14"/>
        <v>1</v>
      </c>
      <c r="BC254" s="477">
        <f t="shared" si="12"/>
        <v>1</v>
      </c>
    </row>
    <row r="255" spans="1:55" s="195" customFormat="1" x14ac:dyDescent="0.25">
      <c r="B255" s="186">
        <f t="shared" si="15"/>
        <v>239</v>
      </c>
      <c r="C255" s="186" t="s">
        <v>38</v>
      </c>
      <c r="D255" s="450">
        <v>40019807</v>
      </c>
      <c r="E255" s="451" t="s">
        <v>812</v>
      </c>
      <c r="F255" s="451" t="s">
        <v>200</v>
      </c>
      <c r="G255" s="473" t="s">
        <v>525</v>
      </c>
      <c r="H255" s="451" t="s">
        <v>530</v>
      </c>
      <c r="I255" s="451" t="s">
        <v>43</v>
      </c>
      <c r="J255" s="474">
        <v>1172639</v>
      </c>
      <c r="K255" s="474"/>
      <c r="L255" s="474">
        <v>1172639</v>
      </c>
      <c r="M255" s="475"/>
      <c r="N255" s="475"/>
      <c r="O255" s="475"/>
      <c r="P255" s="475"/>
      <c r="Q255" s="475"/>
      <c r="R255" s="475"/>
      <c r="S255" s="475"/>
      <c r="T255" s="475"/>
      <c r="U255" s="475"/>
      <c r="V255" s="475"/>
      <c r="W255" s="475"/>
      <c r="X255" s="475"/>
      <c r="Y255" s="475">
        <f t="shared" si="13"/>
        <v>0</v>
      </c>
      <c r="Z255" s="476">
        <v>2</v>
      </c>
      <c r="AA255" s="477">
        <v>32</v>
      </c>
      <c r="AB255" s="478">
        <v>44306</v>
      </c>
      <c r="AC255" s="479">
        <v>44314</v>
      </c>
      <c r="AD255" s="476"/>
      <c r="AE255" s="477"/>
      <c r="AF255" s="478"/>
      <c r="AG255" s="478"/>
      <c r="AH255" s="476"/>
      <c r="AI255" s="477"/>
      <c r="AJ255" s="478"/>
      <c r="AK255" s="477"/>
      <c r="AL255" s="476"/>
      <c r="AM255" s="477"/>
      <c r="AN255" s="477"/>
      <c r="AO255" s="477"/>
      <c r="AP255" s="477"/>
      <c r="AQ255" s="477"/>
      <c r="AR255" s="477"/>
      <c r="AS255" s="477"/>
      <c r="AT255" s="480"/>
      <c r="AU255" s="475"/>
      <c r="AV255" s="475"/>
      <c r="AW255" s="475"/>
      <c r="AX255" s="480"/>
      <c r="AY255" s="475"/>
      <c r="AZ255" s="475"/>
      <c r="BA255" s="475"/>
      <c r="BB255" s="477">
        <f t="shared" si="14"/>
        <v>2</v>
      </c>
      <c r="BC255" s="477">
        <f t="shared" si="12"/>
        <v>2</v>
      </c>
    </row>
    <row r="256" spans="1:55" s="195" customFormat="1" ht="22.5" x14ac:dyDescent="0.25">
      <c r="B256" s="186">
        <f t="shared" si="15"/>
        <v>240</v>
      </c>
      <c r="C256" s="186" t="s">
        <v>38</v>
      </c>
      <c r="D256" s="450">
        <v>40021193</v>
      </c>
      <c r="E256" s="451" t="s">
        <v>813</v>
      </c>
      <c r="F256" s="451" t="s">
        <v>200</v>
      </c>
      <c r="G256" s="473" t="s">
        <v>525</v>
      </c>
      <c r="H256" s="451" t="s">
        <v>598</v>
      </c>
      <c r="I256" s="451" t="s">
        <v>43</v>
      </c>
      <c r="J256" s="474">
        <v>685294</v>
      </c>
      <c r="K256" s="474"/>
      <c r="L256" s="474">
        <v>685294</v>
      </c>
      <c r="M256" s="475"/>
      <c r="N256" s="475"/>
      <c r="O256" s="475"/>
      <c r="P256" s="475"/>
      <c r="Q256" s="475"/>
      <c r="R256" s="475"/>
      <c r="S256" s="475"/>
      <c r="T256" s="475"/>
      <c r="U256" s="475"/>
      <c r="V256" s="475"/>
      <c r="W256" s="475"/>
      <c r="X256" s="475"/>
      <c r="Y256" s="475">
        <f t="shared" si="13"/>
        <v>0</v>
      </c>
      <c r="Z256" s="476">
        <v>3</v>
      </c>
      <c r="AA256" s="477">
        <v>32</v>
      </c>
      <c r="AB256" s="478">
        <v>44306</v>
      </c>
      <c r="AC256" s="479">
        <v>44314</v>
      </c>
      <c r="AD256" s="476"/>
      <c r="AE256" s="477"/>
      <c r="AF256" s="478"/>
      <c r="AG256" s="478"/>
      <c r="AH256" s="476"/>
      <c r="AI256" s="477"/>
      <c r="AJ256" s="478"/>
      <c r="AK256" s="477"/>
      <c r="AL256" s="476"/>
      <c r="AM256" s="477"/>
      <c r="AN256" s="477"/>
      <c r="AO256" s="477"/>
      <c r="AP256" s="477"/>
      <c r="AQ256" s="477"/>
      <c r="AR256" s="477"/>
      <c r="AS256" s="477"/>
      <c r="AT256" s="480"/>
      <c r="AU256" s="475"/>
      <c r="AV256" s="475"/>
      <c r="AW256" s="475"/>
      <c r="AX256" s="480"/>
      <c r="AY256" s="475"/>
      <c r="AZ256" s="475"/>
      <c r="BA256" s="475"/>
      <c r="BB256" s="477">
        <f t="shared" si="14"/>
        <v>3</v>
      </c>
      <c r="BC256" s="477">
        <f t="shared" si="12"/>
        <v>3</v>
      </c>
    </row>
    <row r="257" spans="2:55" s="195" customFormat="1" x14ac:dyDescent="0.25">
      <c r="B257" s="186">
        <f t="shared" si="15"/>
        <v>241</v>
      </c>
      <c r="C257" s="186" t="s">
        <v>38</v>
      </c>
      <c r="D257" s="450">
        <v>40025047</v>
      </c>
      <c r="E257" s="451" t="s">
        <v>814</v>
      </c>
      <c r="F257" s="451" t="s">
        <v>543</v>
      </c>
      <c r="G257" s="473" t="s">
        <v>525</v>
      </c>
      <c r="H257" s="451" t="s">
        <v>530</v>
      </c>
      <c r="I257" s="451" t="s">
        <v>43</v>
      </c>
      <c r="J257" s="474">
        <v>21964</v>
      </c>
      <c r="K257" s="474"/>
      <c r="L257" s="474">
        <v>21964</v>
      </c>
      <c r="M257" s="475"/>
      <c r="N257" s="475"/>
      <c r="O257" s="475"/>
      <c r="P257" s="475"/>
      <c r="Q257" s="475"/>
      <c r="R257" s="475"/>
      <c r="S257" s="475"/>
      <c r="T257" s="475"/>
      <c r="U257" s="475"/>
      <c r="V257" s="475"/>
      <c r="W257" s="475"/>
      <c r="X257" s="475"/>
      <c r="Y257" s="475">
        <f t="shared" si="13"/>
        <v>0</v>
      </c>
      <c r="Z257" s="476">
        <v>1</v>
      </c>
      <c r="AA257" s="477">
        <v>32</v>
      </c>
      <c r="AB257" s="478">
        <v>44306</v>
      </c>
      <c r="AC257" s="479">
        <v>44314</v>
      </c>
      <c r="AD257" s="476"/>
      <c r="AE257" s="477"/>
      <c r="AF257" s="478"/>
      <c r="AG257" s="478"/>
      <c r="AH257" s="476"/>
      <c r="AI257" s="477"/>
      <c r="AJ257" s="478"/>
      <c r="AK257" s="477"/>
      <c r="AL257" s="476"/>
      <c r="AM257" s="477"/>
      <c r="AN257" s="477"/>
      <c r="AO257" s="477"/>
      <c r="AP257" s="477"/>
      <c r="AQ257" s="477"/>
      <c r="AR257" s="477"/>
      <c r="AS257" s="477"/>
      <c r="AT257" s="480"/>
      <c r="AU257" s="475"/>
      <c r="AV257" s="475"/>
      <c r="AW257" s="475"/>
      <c r="AX257" s="480"/>
      <c r="AY257" s="475"/>
      <c r="AZ257" s="475"/>
      <c r="BA257" s="475"/>
      <c r="BB257" s="477">
        <f t="shared" si="14"/>
        <v>1</v>
      </c>
      <c r="BC257" s="477">
        <f t="shared" si="12"/>
        <v>1</v>
      </c>
    </row>
    <row r="258" spans="2:55" s="195" customFormat="1" ht="22.5" x14ac:dyDescent="0.25">
      <c r="B258" s="186">
        <f t="shared" si="15"/>
        <v>242</v>
      </c>
      <c r="C258" s="186" t="s">
        <v>38</v>
      </c>
      <c r="D258" s="450">
        <v>30121859</v>
      </c>
      <c r="E258" s="451" t="s">
        <v>815</v>
      </c>
      <c r="F258" s="451" t="s">
        <v>200</v>
      </c>
      <c r="G258" s="473" t="s">
        <v>525</v>
      </c>
      <c r="H258" s="451" t="s">
        <v>614</v>
      </c>
      <c r="I258" s="451" t="s">
        <v>43</v>
      </c>
      <c r="J258" s="474">
        <v>1359597</v>
      </c>
      <c r="K258" s="474"/>
      <c r="L258" s="474">
        <v>1359597</v>
      </c>
      <c r="M258" s="475"/>
      <c r="N258" s="475"/>
      <c r="O258" s="475"/>
      <c r="P258" s="475"/>
      <c r="Q258" s="475"/>
      <c r="R258" s="475"/>
      <c r="S258" s="475"/>
      <c r="T258" s="475"/>
      <c r="U258" s="475"/>
      <c r="V258" s="475"/>
      <c r="W258" s="475"/>
      <c r="X258" s="475"/>
      <c r="Y258" s="475">
        <f t="shared" si="13"/>
        <v>0</v>
      </c>
      <c r="Z258" s="476">
        <v>2</v>
      </c>
      <c r="AA258" s="477">
        <v>32</v>
      </c>
      <c r="AB258" s="478">
        <v>44306</v>
      </c>
      <c r="AC258" s="479">
        <v>44314</v>
      </c>
      <c r="AD258" s="476"/>
      <c r="AE258" s="477"/>
      <c r="AF258" s="478"/>
      <c r="AG258" s="478"/>
      <c r="AH258" s="476"/>
      <c r="AI258" s="477"/>
      <c r="AJ258" s="478"/>
      <c r="AK258" s="477"/>
      <c r="AL258" s="476"/>
      <c r="AM258" s="477"/>
      <c r="AN258" s="477"/>
      <c r="AO258" s="477"/>
      <c r="AP258" s="477"/>
      <c r="AQ258" s="477"/>
      <c r="AR258" s="477"/>
      <c r="AS258" s="477"/>
      <c r="AT258" s="480"/>
      <c r="AU258" s="475"/>
      <c r="AV258" s="475"/>
      <c r="AW258" s="475"/>
      <c r="AX258" s="480"/>
      <c r="AY258" s="475"/>
      <c r="AZ258" s="475"/>
      <c r="BA258" s="475"/>
      <c r="BB258" s="477">
        <f t="shared" si="14"/>
        <v>2</v>
      </c>
      <c r="BC258" s="477">
        <f t="shared" si="12"/>
        <v>2</v>
      </c>
    </row>
    <row r="259" spans="2:55" s="195" customFormat="1" x14ac:dyDescent="0.25">
      <c r="B259" s="186">
        <f t="shared" si="15"/>
        <v>243</v>
      </c>
      <c r="C259" s="186" t="s">
        <v>38</v>
      </c>
      <c r="D259" s="450">
        <v>30403874</v>
      </c>
      <c r="E259" s="451" t="s">
        <v>816</v>
      </c>
      <c r="F259" s="451" t="s">
        <v>543</v>
      </c>
      <c r="G259" s="473" t="s">
        <v>525</v>
      </c>
      <c r="H259" s="451" t="s">
        <v>584</v>
      </c>
      <c r="I259" s="451" t="s">
        <v>43</v>
      </c>
      <c r="J259" s="474">
        <v>92261</v>
      </c>
      <c r="K259" s="474"/>
      <c r="L259" s="474">
        <v>92261</v>
      </c>
      <c r="M259" s="475"/>
      <c r="N259" s="475"/>
      <c r="O259" s="475"/>
      <c r="P259" s="475"/>
      <c r="Q259" s="475"/>
      <c r="R259" s="475"/>
      <c r="S259" s="475"/>
      <c r="T259" s="475"/>
      <c r="U259" s="475"/>
      <c r="V259" s="475"/>
      <c r="W259" s="475"/>
      <c r="X259" s="475"/>
      <c r="Y259" s="475">
        <f t="shared" si="13"/>
        <v>0</v>
      </c>
      <c r="Z259" s="476">
        <v>1</v>
      </c>
      <c r="AA259" s="477">
        <v>32</v>
      </c>
      <c r="AB259" s="478">
        <v>44306</v>
      </c>
      <c r="AC259" s="479">
        <v>44314</v>
      </c>
      <c r="AD259" s="476"/>
      <c r="AE259" s="477"/>
      <c r="AF259" s="478"/>
      <c r="AG259" s="478"/>
      <c r="AH259" s="476"/>
      <c r="AI259" s="477"/>
      <c r="AJ259" s="478"/>
      <c r="AK259" s="477"/>
      <c r="AL259" s="476"/>
      <c r="AM259" s="477"/>
      <c r="AN259" s="477"/>
      <c r="AO259" s="477"/>
      <c r="AP259" s="477"/>
      <c r="AQ259" s="477"/>
      <c r="AR259" s="477"/>
      <c r="AS259" s="477"/>
      <c r="AT259" s="480"/>
      <c r="AU259" s="475"/>
      <c r="AV259" s="475"/>
      <c r="AW259" s="475"/>
      <c r="AX259" s="480"/>
      <c r="AY259" s="475"/>
      <c r="AZ259" s="475"/>
      <c r="BA259" s="475"/>
      <c r="BB259" s="477">
        <f t="shared" si="14"/>
        <v>1</v>
      </c>
      <c r="BC259" s="477">
        <f t="shared" si="12"/>
        <v>1</v>
      </c>
    </row>
    <row r="260" spans="2:55" s="195" customFormat="1" ht="22.5" x14ac:dyDescent="0.25">
      <c r="B260" s="186">
        <f t="shared" si="15"/>
        <v>244</v>
      </c>
      <c r="C260" s="186" t="s">
        <v>38</v>
      </c>
      <c r="D260" s="450">
        <v>30482607</v>
      </c>
      <c r="E260" s="451" t="s">
        <v>817</v>
      </c>
      <c r="F260" s="451" t="s">
        <v>200</v>
      </c>
      <c r="G260" s="473" t="s">
        <v>525</v>
      </c>
      <c r="H260" s="451" t="s">
        <v>547</v>
      </c>
      <c r="I260" s="451" t="s">
        <v>43</v>
      </c>
      <c r="J260" s="474">
        <v>120316</v>
      </c>
      <c r="K260" s="474"/>
      <c r="L260" s="474">
        <v>120316</v>
      </c>
      <c r="M260" s="475"/>
      <c r="N260" s="475"/>
      <c r="O260" s="475"/>
      <c r="P260" s="475"/>
      <c r="Q260" s="475"/>
      <c r="R260" s="475"/>
      <c r="S260" s="475"/>
      <c r="T260" s="475"/>
      <c r="U260" s="475"/>
      <c r="V260" s="475"/>
      <c r="W260" s="475"/>
      <c r="X260" s="475"/>
      <c r="Y260" s="475">
        <f t="shared" si="13"/>
        <v>0</v>
      </c>
      <c r="Z260" s="476">
        <v>3</v>
      </c>
      <c r="AA260" s="477">
        <v>32</v>
      </c>
      <c r="AB260" s="478">
        <v>44306</v>
      </c>
      <c r="AC260" s="479">
        <v>44314</v>
      </c>
      <c r="AD260" s="476"/>
      <c r="AE260" s="477"/>
      <c r="AF260" s="478"/>
      <c r="AG260" s="478"/>
      <c r="AH260" s="476"/>
      <c r="AI260" s="477"/>
      <c r="AJ260" s="478"/>
      <c r="AK260" s="477"/>
      <c r="AL260" s="476"/>
      <c r="AM260" s="477"/>
      <c r="AN260" s="477"/>
      <c r="AO260" s="477"/>
      <c r="AP260" s="477"/>
      <c r="AQ260" s="477"/>
      <c r="AR260" s="477"/>
      <c r="AS260" s="477"/>
      <c r="AT260" s="480"/>
      <c r="AU260" s="475"/>
      <c r="AV260" s="475"/>
      <c r="AW260" s="475"/>
      <c r="AX260" s="480"/>
      <c r="AY260" s="475"/>
      <c r="AZ260" s="475"/>
      <c r="BA260" s="475"/>
      <c r="BB260" s="477">
        <f t="shared" si="14"/>
        <v>3</v>
      </c>
      <c r="BC260" s="477">
        <f t="shared" si="12"/>
        <v>3</v>
      </c>
    </row>
    <row r="261" spans="2:55" s="195" customFormat="1" ht="22.5" x14ac:dyDescent="0.25">
      <c r="B261" s="186">
        <f t="shared" si="15"/>
        <v>245</v>
      </c>
      <c r="C261" s="186" t="s">
        <v>38</v>
      </c>
      <c r="D261" s="450">
        <v>30483094</v>
      </c>
      <c r="E261" s="451" t="s">
        <v>818</v>
      </c>
      <c r="F261" s="451" t="s">
        <v>200</v>
      </c>
      <c r="G261" s="473" t="s">
        <v>525</v>
      </c>
      <c r="H261" s="451" t="s">
        <v>547</v>
      </c>
      <c r="I261" s="451" t="s">
        <v>43</v>
      </c>
      <c r="J261" s="474">
        <v>128231</v>
      </c>
      <c r="K261" s="474"/>
      <c r="L261" s="474">
        <v>128231</v>
      </c>
      <c r="M261" s="475"/>
      <c r="N261" s="475"/>
      <c r="O261" s="475"/>
      <c r="P261" s="475"/>
      <c r="Q261" s="475"/>
      <c r="R261" s="475"/>
      <c r="S261" s="475"/>
      <c r="T261" s="475"/>
      <c r="U261" s="475"/>
      <c r="V261" s="475"/>
      <c r="W261" s="475"/>
      <c r="X261" s="475"/>
      <c r="Y261" s="475">
        <f t="shared" si="13"/>
        <v>0</v>
      </c>
      <c r="Z261" s="476">
        <v>3</v>
      </c>
      <c r="AA261" s="477">
        <v>32</v>
      </c>
      <c r="AB261" s="478">
        <v>44306</v>
      </c>
      <c r="AC261" s="479">
        <v>44314</v>
      </c>
      <c r="AD261" s="476"/>
      <c r="AE261" s="477"/>
      <c r="AF261" s="478"/>
      <c r="AG261" s="478"/>
      <c r="AH261" s="476"/>
      <c r="AI261" s="477"/>
      <c r="AJ261" s="478"/>
      <c r="AK261" s="477"/>
      <c r="AL261" s="476"/>
      <c r="AM261" s="477"/>
      <c r="AN261" s="477"/>
      <c r="AO261" s="477"/>
      <c r="AP261" s="477"/>
      <c r="AQ261" s="477"/>
      <c r="AR261" s="477"/>
      <c r="AS261" s="477"/>
      <c r="AT261" s="480"/>
      <c r="AU261" s="475"/>
      <c r="AV261" s="475"/>
      <c r="AW261" s="475"/>
      <c r="AX261" s="480"/>
      <c r="AY261" s="475"/>
      <c r="AZ261" s="475"/>
      <c r="BA261" s="475"/>
      <c r="BB261" s="477">
        <f t="shared" si="14"/>
        <v>3</v>
      </c>
      <c r="BC261" s="477">
        <f t="shared" si="12"/>
        <v>3</v>
      </c>
    </row>
    <row r="262" spans="2:55" s="195" customFormat="1" ht="22.5" x14ac:dyDescent="0.25">
      <c r="B262" s="186">
        <f t="shared" si="15"/>
        <v>246</v>
      </c>
      <c r="C262" s="186" t="s">
        <v>38</v>
      </c>
      <c r="D262" s="450">
        <v>40001069</v>
      </c>
      <c r="E262" s="451" t="s">
        <v>819</v>
      </c>
      <c r="F262" s="451" t="s">
        <v>200</v>
      </c>
      <c r="G262" s="473" t="s">
        <v>525</v>
      </c>
      <c r="H262" s="451" t="s">
        <v>549</v>
      </c>
      <c r="I262" s="451" t="s">
        <v>43</v>
      </c>
      <c r="J262" s="474">
        <v>988374</v>
      </c>
      <c r="K262" s="474"/>
      <c r="L262" s="474">
        <v>988374</v>
      </c>
      <c r="M262" s="475"/>
      <c r="N262" s="475"/>
      <c r="O262" s="475"/>
      <c r="P262" s="475"/>
      <c r="Q262" s="475"/>
      <c r="R262" s="475"/>
      <c r="S262" s="475"/>
      <c r="T262" s="475"/>
      <c r="U262" s="475"/>
      <c r="V262" s="475"/>
      <c r="W262" s="475"/>
      <c r="X262" s="475"/>
      <c r="Y262" s="475">
        <f t="shared" si="13"/>
        <v>0</v>
      </c>
      <c r="Z262" s="476">
        <v>3</v>
      </c>
      <c r="AA262" s="477">
        <v>32</v>
      </c>
      <c r="AB262" s="478">
        <v>44306</v>
      </c>
      <c r="AC262" s="479">
        <v>44314</v>
      </c>
      <c r="AD262" s="476"/>
      <c r="AE262" s="477"/>
      <c r="AF262" s="478"/>
      <c r="AG262" s="478"/>
      <c r="AH262" s="476"/>
      <c r="AI262" s="477"/>
      <c r="AJ262" s="478"/>
      <c r="AK262" s="477"/>
      <c r="AL262" s="476"/>
      <c r="AM262" s="477"/>
      <c r="AN262" s="477"/>
      <c r="AO262" s="477"/>
      <c r="AP262" s="477"/>
      <c r="AQ262" s="477"/>
      <c r="AR262" s="477"/>
      <c r="AS262" s="477"/>
      <c r="AT262" s="480"/>
      <c r="AU262" s="475"/>
      <c r="AV262" s="475"/>
      <c r="AW262" s="475"/>
      <c r="AX262" s="480"/>
      <c r="AY262" s="475"/>
      <c r="AZ262" s="475"/>
      <c r="BA262" s="475"/>
      <c r="BB262" s="477">
        <f t="shared" si="14"/>
        <v>3</v>
      </c>
      <c r="BC262" s="477">
        <f t="shared" si="12"/>
        <v>3</v>
      </c>
    </row>
    <row r="263" spans="2:55" s="195" customFormat="1" x14ac:dyDescent="0.25">
      <c r="B263" s="186">
        <f t="shared" si="15"/>
        <v>247</v>
      </c>
      <c r="C263" s="186" t="s">
        <v>38</v>
      </c>
      <c r="D263" s="450">
        <v>40001870</v>
      </c>
      <c r="E263" s="451" t="s">
        <v>820</v>
      </c>
      <c r="F263" s="451" t="s">
        <v>200</v>
      </c>
      <c r="G263" s="473" t="s">
        <v>525</v>
      </c>
      <c r="H263" s="451" t="s">
        <v>649</v>
      </c>
      <c r="I263" s="451" t="s">
        <v>43</v>
      </c>
      <c r="J263" s="474">
        <v>1130555</v>
      </c>
      <c r="K263" s="474"/>
      <c r="L263" s="474">
        <v>1130555</v>
      </c>
      <c r="M263" s="475"/>
      <c r="N263" s="475"/>
      <c r="O263" s="475"/>
      <c r="P263" s="475"/>
      <c r="Q263" s="475"/>
      <c r="R263" s="475"/>
      <c r="S263" s="475"/>
      <c r="T263" s="475"/>
      <c r="U263" s="475"/>
      <c r="V263" s="475"/>
      <c r="W263" s="475"/>
      <c r="X263" s="475"/>
      <c r="Y263" s="475">
        <f t="shared" si="13"/>
        <v>0</v>
      </c>
      <c r="Z263" s="476">
        <v>2</v>
      </c>
      <c r="AA263" s="477">
        <v>32</v>
      </c>
      <c r="AB263" s="478">
        <v>44306</v>
      </c>
      <c r="AC263" s="479">
        <v>44314</v>
      </c>
      <c r="AD263" s="476"/>
      <c r="AE263" s="477"/>
      <c r="AF263" s="478"/>
      <c r="AG263" s="478"/>
      <c r="AH263" s="476"/>
      <c r="AI263" s="477"/>
      <c r="AJ263" s="478"/>
      <c r="AK263" s="477"/>
      <c r="AL263" s="476"/>
      <c r="AM263" s="477"/>
      <c r="AN263" s="477"/>
      <c r="AO263" s="477"/>
      <c r="AP263" s="477"/>
      <c r="AQ263" s="477"/>
      <c r="AR263" s="477"/>
      <c r="AS263" s="477"/>
      <c r="AT263" s="480"/>
      <c r="AU263" s="475"/>
      <c r="AV263" s="475"/>
      <c r="AW263" s="475"/>
      <c r="AX263" s="480"/>
      <c r="AY263" s="475"/>
      <c r="AZ263" s="475"/>
      <c r="BA263" s="475"/>
      <c r="BB263" s="477">
        <f t="shared" si="14"/>
        <v>2</v>
      </c>
      <c r="BC263" s="477">
        <f t="shared" si="12"/>
        <v>2</v>
      </c>
    </row>
    <row r="264" spans="2:55" s="195" customFormat="1" ht="22.5" x14ac:dyDescent="0.25">
      <c r="B264" s="186">
        <f t="shared" si="15"/>
        <v>248</v>
      </c>
      <c r="C264" s="186" t="s">
        <v>38</v>
      </c>
      <c r="D264" s="450">
        <v>40002915</v>
      </c>
      <c r="E264" s="451" t="s">
        <v>821</v>
      </c>
      <c r="F264" s="451" t="s">
        <v>200</v>
      </c>
      <c r="G264" s="473" t="s">
        <v>525</v>
      </c>
      <c r="H264" s="451" t="s">
        <v>535</v>
      </c>
      <c r="I264" s="451" t="s">
        <v>43</v>
      </c>
      <c r="J264" s="474">
        <v>414519</v>
      </c>
      <c r="K264" s="474"/>
      <c r="L264" s="474">
        <v>414519</v>
      </c>
      <c r="M264" s="475"/>
      <c r="N264" s="475"/>
      <c r="O264" s="475"/>
      <c r="P264" s="475"/>
      <c r="Q264" s="475"/>
      <c r="R264" s="475"/>
      <c r="S264" s="475"/>
      <c r="T264" s="475"/>
      <c r="U264" s="475"/>
      <c r="V264" s="475"/>
      <c r="W264" s="475"/>
      <c r="X264" s="475"/>
      <c r="Y264" s="475">
        <f t="shared" si="13"/>
        <v>0</v>
      </c>
      <c r="Z264" s="476">
        <v>4</v>
      </c>
      <c r="AA264" s="477">
        <v>32</v>
      </c>
      <c r="AB264" s="478">
        <v>44306</v>
      </c>
      <c r="AC264" s="479">
        <v>44314</v>
      </c>
      <c r="AD264" s="476"/>
      <c r="AE264" s="477"/>
      <c r="AF264" s="478"/>
      <c r="AG264" s="478"/>
      <c r="AH264" s="476"/>
      <c r="AI264" s="477"/>
      <c r="AJ264" s="478"/>
      <c r="AK264" s="477"/>
      <c r="AL264" s="476"/>
      <c r="AM264" s="477"/>
      <c r="AN264" s="477"/>
      <c r="AO264" s="477"/>
      <c r="AP264" s="477"/>
      <c r="AQ264" s="477"/>
      <c r="AR264" s="477"/>
      <c r="AS264" s="477"/>
      <c r="AT264" s="480"/>
      <c r="AU264" s="475"/>
      <c r="AV264" s="475"/>
      <c r="AW264" s="475"/>
      <c r="AX264" s="480"/>
      <c r="AY264" s="475"/>
      <c r="AZ264" s="475"/>
      <c r="BA264" s="475"/>
      <c r="BB264" s="477">
        <f t="shared" si="14"/>
        <v>4</v>
      </c>
      <c r="BC264" s="477">
        <f t="shared" si="12"/>
        <v>4</v>
      </c>
    </row>
    <row r="265" spans="2:55" s="195" customFormat="1" x14ac:dyDescent="0.25">
      <c r="B265" s="186">
        <f t="shared" si="15"/>
        <v>249</v>
      </c>
      <c r="C265" s="186" t="s">
        <v>38</v>
      </c>
      <c r="D265" s="450">
        <v>40003441</v>
      </c>
      <c r="E265" s="451" t="s">
        <v>822</v>
      </c>
      <c r="F265" s="451" t="s">
        <v>200</v>
      </c>
      <c r="G265" s="473" t="s">
        <v>525</v>
      </c>
      <c r="H265" s="451" t="s">
        <v>547</v>
      </c>
      <c r="I265" s="451" t="s">
        <v>43</v>
      </c>
      <c r="J265" s="474">
        <v>1261358</v>
      </c>
      <c r="K265" s="474"/>
      <c r="L265" s="474">
        <v>1261358</v>
      </c>
      <c r="M265" s="475"/>
      <c r="N265" s="475"/>
      <c r="O265" s="475"/>
      <c r="P265" s="475"/>
      <c r="Q265" s="475"/>
      <c r="R265" s="475"/>
      <c r="S265" s="475"/>
      <c r="T265" s="475"/>
      <c r="U265" s="475"/>
      <c r="V265" s="475"/>
      <c r="W265" s="475"/>
      <c r="X265" s="475"/>
      <c r="Y265" s="475">
        <f t="shared" si="13"/>
        <v>0</v>
      </c>
      <c r="Z265" s="476">
        <v>3</v>
      </c>
      <c r="AA265" s="477">
        <v>32</v>
      </c>
      <c r="AB265" s="478">
        <v>44306</v>
      </c>
      <c r="AC265" s="479">
        <v>44314</v>
      </c>
      <c r="AD265" s="476"/>
      <c r="AE265" s="477"/>
      <c r="AF265" s="478"/>
      <c r="AG265" s="478"/>
      <c r="AH265" s="476"/>
      <c r="AI265" s="477"/>
      <c r="AJ265" s="478"/>
      <c r="AK265" s="477"/>
      <c r="AL265" s="476"/>
      <c r="AM265" s="477"/>
      <c r="AN265" s="477"/>
      <c r="AO265" s="477"/>
      <c r="AP265" s="477"/>
      <c r="AQ265" s="477"/>
      <c r="AR265" s="477"/>
      <c r="AS265" s="477"/>
      <c r="AT265" s="480"/>
      <c r="AU265" s="475"/>
      <c r="AV265" s="475"/>
      <c r="AW265" s="475"/>
      <c r="AX265" s="480"/>
      <c r="AY265" s="475"/>
      <c r="AZ265" s="475"/>
      <c r="BA265" s="475"/>
      <c r="BB265" s="477">
        <f t="shared" si="14"/>
        <v>3</v>
      </c>
      <c r="BC265" s="477">
        <f t="shared" si="12"/>
        <v>3</v>
      </c>
    </row>
    <row r="266" spans="2:55" s="195" customFormat="1" ht="22.5" x14ac:dyDescent="0.25">
      <c r="B266" s="186">
        <f t="shared" si="15"/>
        <v>250</v>
      </c>
      <c r="C266" s="186" t="s">
        <v>38</v>
      </c>
      <c r="D266" s="450">
        <v>40004657</v>
      </c>
      <c r="E266" s="451" t="s">
        <v>823</v>
      </c>
      <c r="F266" s="451" t="s">
        <v>543</v>
      </c>
      <c r="G266" s="473" t="s">
        <v>525</v>
      </c>
      <c r="H266" s="451" t="s">
        <v>525</v>
      </c>
      <c r="I266" s="451" t="s">
        <v>43</v>
      </c>
      <c r="J266" s="474">
        <v>33279</v>
      </c>
      <c r="K266" s="474"/>
      <c r="L266" s="474">
        <v>33279</v>
      </c>
      <c r="M266" s="475"/>
      <c r="N266" s="475"/>
      <c r="O266" s="475"/>
      <c r="P266" s="475"/>
      <c r="Q266" s="475"/>
      <c r="R266" s="475"/>
      <c r="S266" s="475"/>
      <c r="T266" s="475"/>
      <c r="U266" s="475"/>
      <c r="V266" s="475"/>
      <c r="W266" s="475"/>
      <c r="X266" s="475"/>
      <c r="Y266" s="475">
        <f t="shared" si="13"/>
        <v>0</v>
      </c>
      <c r="Z266" s="476">
        <v>2</v>
      </c>
      <c r="AA266" s="477">
        <v>32</v>
      </c>
      <c r="AB266" s="478">
        <v>44306</v>
      </c>
      <c r="AC266" s="479">
        <v>44314</v>
      </c>
      <c r="AD266" s="476"/>
      <c r="AE266" s="477"/>
      <c r="AF266" s="478"/>
      <c r="AG266" s="478"/>
      <c r="AH266" s="476"/>
      <c r="AI266" s="477"/>
      <c r="AJ266" s="478"/>
      <c r="AK266" s="477"/>
      <c r="AL266" s="476"/>
      <c r="AM266" s="477"/>
      <c r="AN266" s="477"/>
      <c r="AO266" s="477"/>
      <c r="AP266" s="477"/>
      <c r="AQ266" s="477"/>
      <c r="AR266" s="477"/>
      <c r="AS266" s="477"/>
      <c r="AT266" s="480"/>
      <c r="AU266" s="475"/>
      <c r="AV266" s="475"/>
      <c r="AW266" s="475"/>
      <c r="AX266" s="480"/>
      <c r="AY266" s="475"/>
      <c r="AZ266" s="475"/>
      <c r="BA266" s="475"/>
      <c r="BB266" s="477">
        <f t="shared" si="14"/>
        <v>2</v>
      </c>
      <c r="BC266" s="477">
        <f t="shared" si="12"/>
        <v>2</v>
      </c>
    </row>
    <row r="267" spans="2:55" s="195" customFormat="1" ht="22.5" x14ac:dyDescent="0.25">
      <c r="B267" s="186">
        <f t="shared" si="15"/>
        <v>251</v>
      </c>
      <c r="C267" s="186" t="s">
        <v>38</v>
      </c>
      <c r="D267" s="450">
        <v>40009482</v>
      </c>
      <c r="E267" s="451" t="s">
        <v>824</v>
      </c>
      <c r="F267" s="451" t="s">
        <v>200</v>
      </c>
      <c r="G267" s="473" t="s">
        <v>525</v>
      </c>
      <c r="H267" s="451" t="s">
        <v>600</v>
      </c>
      <c r="I267" s="451" t="s">
        <v>43</v>
      </c>
      <c r="J267" s="474">
        <v>1554235</v>
      </c>
      <c r="K267" s="474"/>
      <c r="L267" s="474">
        <v>1554235</v>
      </c>
      <c r="M267" s="475"/>
      <c r="N267" s="475"/>
      <c r="O267" s="475"/>
      <c r="P267" s="475"/>
      <c r="Q267" s="475"/>
      <c r="R267" s="475"/>
      <c r="S267" s="475"/>
      <c r="T267" s="475"/>
      <c r="U267" s="475"/>
      <c r="V267" s="475"/>
      <c r="W267" s="475"/>
      <c r="X267" s="475"/>
      <c r="Y267" s="475">
        <f t="shared" si="13"/>
        <v>0</v>
      </c>
      <c r="Z267" s="476">
        <v>3</v>
      </c>
      <c r="AA267" s="477">
        <v>32</v>
      </c>
      <c r="AB267" s="478">
        <v>44306</v>
      </c>
      <c r="AC267" s="479">
        <v>44314</v>
      </c>
      <c r="AD267" s="476"/>
      <c r="AE267" s="477"/>
      <c r="AF267" s="478"/>
      <c r="AG267" s="478"/>
      <c r="AH267" s="476"/>
      <c r="AI267" s="477"/>
      <c r="AJ267" s="478"/>
      <c r="AK267" s="477"/>
      <c r="AL267" s="476"/>
      <c r="AM267" s="477"/>
      <c r="AN267" s="477"/>
      <c r="AO267" s="477"/>
      <c r="AP267" s="477"/>
      <c r="AQ267" s="477"/>
      <c r="AR267" s="477"/>
      <c r="AS267" s="477"/>
      <c r="AT267" s="480"/>
      <c r="AU267" s="475"/>
      <c r="AV267" s="475"/>
      <c r="AW267" s="475"/>
      <c r="AX267" s="480"/>
      <c r="AY267" s="475"/>
      <c r="AZ267" s="475"/>
      <c r="BA267" s="475"/>
      <c r="BB267" s="477">
        <f t="shared" si="14"/>
        <v>3</v>
      </c>
      <c r="BC267" s="477">
        <f t="shared" si="12"/>
        <v>3</v>
      </c>
    </row>
    <row r="268" spans="2:55" s="195" customFormat="1" ht="22.5" x14ac:dyDescent="0.25">
      <c r="B268" s="186">
        <f t="shared" si="15"/>
        <v>252</v>
      </c>
      <c r="C268" s="186" t="s">
        <v>38</v>
      </c>
      <c r="D268" s="450">
        <v>40009866</v>
      </c>
      <c r="E268" s="451" t="s">
        <v>825</v>
      </c>
      <c r="F268" s="451" t="s">
        <v>200</v>
      </c>
      <c r="G268" s="473" t="s">
        <v>525</v>
      </c>
      <c r="H268" s="451" t="s">
        <v>826</v>
      </c>
      <c r="I268" s="451" t="s">
        <v>43</v>
      </c>
      <c r="J268" s="474">
        <v>2931712</v>
      </c>
      <c r="K268" s="474"/>
      <c r="L268" s="474">
        <v>2931712</v>
      </c>
      <c r="M268" s="475"/>
      <c r="N268" s="475"/>
      <c r="O268" s="475"/>
      <c r="P268" s="475"/>
      <c r="Q268" s="475"/>
      <c r="R268" s="475"/>
      <c r="S268" s="475"/>
      <c r="T268" s="475"/>
      <c r="U268" s="475"/>
      <c r="V268" s="475"/>
      <c r="W268" s="475"/>
      <c r="X268" s="475"/>
      <c r="Y268" s="475">
        <f t="shared" si="13"/>
        <v>0</v>
      </c>
      <c r="Z268" s="476">
        <v>4</v>
      </c>
      <c r="AA268" s="477">
        <v>32</v>
      </c>
      <c r="AB268" s="478">
        <v>44306</v>
      </c>
      <c r="AC268" s="479">
        <v>44314</v>
      </c>
      <c r="AD268" s="476"/>
      <c r="AE268" s="477"/>
      <c r="AF268" s="478"/>
      <c r="AG268" s="478"/>
      <c r="AH268" s="476"/>
      <c r="AI268" s="477"/>
      <c r="AJ268" s="478"/>
      <c r="AK268" s="477"/>
      <c r="AL268" s="476"/>
      <c r="AM268" s="477"/>
      <c r="AN268" s="477"/>
      <c r="AO268" s="477"/>
      <c r="AP268" s="477"/>
      <c r="AQ268" s="477"/>
      <c r="AR268" s="477"/>
      <c r="AS268" s="477"/>
      <c r="AT268" s="480"/>
      <c r="AU268" s="475"/>
      <c r="AV268" s="475"/>
      <c r="AW268" s="475"/>
      <c r="AX268" s="480"/>
      <c r="AY268" s="475"/>
      <c r="AZ268" s="475"/>
      <c r="BA268" s="475"/>
      <c r="BB268" s="477">
        <f t="shared" si="14"/>
        <v>4</v>
      </c>
      <c r="BC268" s="477">
        <f t="shared" si="12"/>
        <v>4</v>
      </c>
    </row>
    <row r="269" spans="2:55" s="195" customFormat="1" ht="22.5" x14ac:dyDescent="0.25">
      <c r="B269" s="186">
        <f t="shared" si="15"/>
        <v>253</v>
      </c>
      <c r="C269" s="186" t="s">
        <v>38</v>
      </c>
      <c r="D269" s="450">
        <v>40012279</v>
      </c>
      <c r="E269" s="451" t="s">
        <v>827</v>
      </c>
      <c r="F269" s="451" t="s">
        <v>200</v>
      </c>
      <c r="G269" s="473" t="s">
        <v>525</v>
      </c>
      <c r="H269" s="451" t="s">
        <v>528</v>
      </c>
      <c r="I269" s="451" t="s">
        <v>43</v>
      </c>
      <c r="J269" s="474">
        <v>559251</v>
      </c>
      <c r="K269" s="474"/>
      <c r="L269" s="474">
        <v>559251</v>
      </c>
      <c r="M269" s="475"/>
      <c r="N269" s="475"/>
      <c r="O269" s="475"/>
      <c r="P269" s="475"/>
      <c r="Q269" s="475"/>
      <c r="R269" s="475"/>
      <c r="S269" s="475"/>
      <c r="T269" s="475"/>
      <c r="U269" s="475"/>
      <c r="V269" s="475"/>
      <c r="W269" s="475"/>
      <c r="X269" s="475"/>
      <c r="Y269" s="475">
        <f t="shared" si="13"/>
        <v>0</v>
      </c>
      <c r="Z269" s="476">
        <v>3</v>
      </c>
      <c r="AA269" s="477">
        <v>32</v>
      </c>
      <c r="AB269" s="478">
        <v>44306</v>
      </c>
      <c r="AC269" s="479">
        <v>44314</v>
      </c>
      <c r="AD269" s="476"/>
      <c r="AE269" s="477"/>
      <c r="AF269" s="478"/>
      <c r="AG269" s="478"/>
      <c r="AH269" s="476"/>
      <c r="AI269" s="477"/>
      <c r="AJ269" s="478"/>
      <c r="AK269" s="477"/>
      <c r="AL269" s="476"/>
      <c r="AM269" s="477"/>
      <c r="AN269" s="477"/>
      <c r="AO269" s="477"/>
      <c r="AP269" s="477"/>
      <c r="AQ269" s="477"/>
      <c r="AR269" s="477"/>
      <c r="AS269" s="477"/>
      <c r="AT269" s="480"/>
      <c r="AU269" s="475"/>
      <c r="AV269" s="475"/>
      <c r="AW269" s="475"/>
      <c r="AX269" s="480"/>
      <c r="AY269" s="475"/>
      <c r="AZ269" s="475"/>
      <c r="BA269" s="475"/>
      <c r="BB269" s="477">
        <f t="shared" si="14"/>
        <v>3</v>
      </c>
      <c r="BC269" s="477">
        <f t="shared" si="12"/>
        <v>3</v>
      </c>
    </row>
    <row r="270" spans="2:55" s="195" customFormat="1" ht="22.5" x14ac:dyDescent="0.25">
      <c r="B270" s="186">
        <f t="shared" si="15"/>
        <v>254</v>
      </c>
      <c r="C270" s="186" t="s">
        <v>38</v>
      </c>
      <c r="D270" s="450">
        <v>40013141</v>
      </c>
      <c r="E270" s="451" t="s">
        <v>828</v>
      </c>
      <c r="F270" s="451" t="s">
        <v>200</v>
      </c>
      <c r="G270" s="473" t="s">
        <v>525</v>
      </c>
      <c r="H270" s="451" t="s">
        <v>544</v>
      </c>
      <c r="I270" s="451" t="s">
        <v>43</v>
      </c>
      <c r="J270" s="474">
        <v>1653946</v>
      </c>
      <c r="K270" s="474"/>
      <c r="L270" s="474">
        <v>1653946</v>
      </c>
      <c r="M270" s="475"/>
      <c r="N270" s="475"/>
      <c r="O270" s="475"/>
      <c r="P270" s="475"/>
      <c r="Q270" s="475"/>
      <c r="R270" s="475"/>
      <c r="S270" s="475"/>
      <c r="T270" s="475"/>
      <c r="U270" s="475"/>
      <c r="V270" s="475"/>
      <c r="W270" s="475"/>
      <c r="X270" s="475"/>
      <c r="Y270" s="475">
        <f t="shared" si="13"/>
        <v>0</v>
      </c>
      <c r="Z270" s="476">
        <v>3</v>
      </c>
      <c r="AA270" s="477">
        <v>32</v>
      </c>
      <c r="AB270" s="478">
        <v>44306</v>
      </c>
      <c r="AC270" s="479">
        <v>44314</v>
      </c>
      <c r="AD270" s="476"/>
      <c r="AE270" s="477"/>
      <c r="AF270" s="478"/>
      <c r="AG270" s="478"/>
      <c r="AH270" s="476"/>
      <c r="AI270" s="477"/>
      <c r="AJ270" s="478"/>
      <c r="AK270" s="477"/>
      <c r="AL270" s="476"/>
      <c r="AM270" s="477"/>
      <c r="AN270" s="477"/>
      <c r="AO270" s="477"/>
      <c r="AP270" s="477"/>
      <c r="AQ270" s="477"/>
      <c r="AR270" s="477"/>
      <c r="AS270" s="477"/>
      <c r="AT270" s="480"/>
      <c r="AU270" s="475"/>
      <c r="AV270" s="475"/>
      <c r="AW270" s="475"/>
      <c r="AX270" s="480"/>
      <c r="AY270" s="475"/>
      <c r="AZ270" s="475"/>
      <c r="BA270" s="475"/>
      <c r="BB270" s="477">
        <f t="shared" si="14"/>
        <v>3</v>
      </c>
      <c r="BC270" s="477">
        <f t="shared" si="12"/>
        <v>3</v>
      </c>
    </row>
    <row r="271" spans="2:55" s="195" customFormat="1" x14ac:dyDescent="0.25">
      <c r="B271" s="186">
        <f t="shared" si="15"/>
        <v>255</v>
      </c>
      <c r="C271" s="186" t="s">
        <v>38</v>
      </c>
      <c r="D271" s="450">
        <v>40014085</v>
      </c>
      <c r="E271" s="451" t="s">
        <v>829</v>
      </c>
      <c r="F271" s="451" t="s">
        <v>200</v>
      </c>
      <c r="G271" s="473" t="s">
        <v>525</v>
      </c>
      <c r="H271" s="451" t="s">
        <v>528</v>
      </c>
      <c r="I271" s="451" t="s">
        <v>43</v>
      </c>
      <c r="J271" s="474">
        <v>162974</v>
      </c>
      <c r="K271" s="474"/>
      <c r="L271" s="474">
        <v>162974</v>
      </c>
      <c r="M271" s="475"/>
      <c r="N271" s="475"/>
      <c r="O271" s="475"/>
      <c r="P271" s="475"/>
      <c r="Q271" s="475"/>
      <c r="R271" s="475"/>
      <c r="S271" s="475"/>
      <c r="T271" s="475"/>
      <c r="U271" s="475"/>
      <c r="V271" s="475"/>
      <c r="W271" s="475"/>
      <c r="X271" s="475"/>
      <c r="Y271" s="475">
        <f t="shared" si="13"/>
        <v>0</v>
      </c>
      <c r="Z271" s="476">
        <v>3</v>
      </c>
      <c r="AA271" s="477">
        <v>32</v>
      </c>
      <c r="AB271" s="478">
        <v>44306</v>
      </c>
      <c r="AC271" s="479">
        <v>44314</v>
      </c>
      <c r="AD271" s="476"/>
      <c r="AE271" s="477"/>
      <c r="AF271" s="478"/>
      <c r="AG271" s="478"/>
      <c r="AH271" s="476"/>
      <c r="AI271" s="477"/>
      <c r="AJ271" s="478"/>
      <c r="AK271" s="477"/>
      <c r="AL271" s="476"/>
      <c r="AM271" s="477"/>
      <c r="AN271" s="477"/>
      <c r="AO271" s="477"/>
      <c r="AP271" s="477"/>
      <c r="AQ271" s="477"/>
      <c r="AR271" s="477"/>
      <c r="AS271" s="477"/>
      <c r="AT271" s="480"/>
      <c r="AU271" s="475"/>
      <c r="AV271" s="475"/>
      <c r="AW271" s="475"/>
      <c r="AX271" s="480"/>
      <c r="AY271" s="475"/>
      <c r="AZ271" s="475"/>
      <c r="BA271" s="475"/>
      <c r="BB271" s="477">
        <f t="shared" si="14"/>
        <v>3</v>
      </c>
      <c r="BC271" s="477">
        <f t="shared" si="12"/>
        <v>3</v>
      </c>
    </row>
    <row r="272" spans="2:55" s="195" customFormat="1" x14ac:dyDescent="0.25">
      <c r="B272" s="186">
        <f t="shared" si="15"/>
        <v>256</v>
      </c>
      <c r="C272" s="186" t="s">
        <v>38</v>
      </c>
      <c r="D272" s="450">
        <v>40014807</v>
      </c>
      <c r="E272" s="451" t="s">
        <v>830</v>
      </c>
      <c r="F272" s="451" t="s">
        <v>200</v>
      </c>
      <c r="G272" s="473" t="s">
        <v>525</v>
      </c>
      <c r="H272" s="451" t="s">
        <v>614</v>
      </c>
      <c r="I272" s="451" t="s">
        <v>43</v>
      </c>
      <c r="J272" s="474">
        <v>734923</v>
      </c>
      <c r="K272" s="474"/>
      <c r="L272" s="474">
        <v>734923</v>
      </c>
      <c r="M272" s="475"/>
      <c r="N272" s="475"/>
      <c r="O272" s="475"/>
      <c r="P272" s="475"/>
      <c r="Q272" s="475"/>
      <c r="R272" s="475"/>
      <c r="S272" s="475"/>
      <c r="T272" s="475"/>
      <c r="U272" s="475"/>
      <c r="V272" s="475"/>
      <c r="W272" s="475"/>
      <c r="X272" s="475"/>
      <c r="Y272" s="475">
        <f t="shared" si="13"/>
        <v>0</v>
      </c>
      <c r="Z272" s="476">
        <v>2</v>
      </c>
      <c r="AA272" s="477">
        <v>32</v>
      </c>
      <c r="AB272" s="478">
        <v>44306</v>
      </c>
      <c r="AC272" s="479">
        <v>44314</v>
      </c>
      <c r="AD272" s="476"/>
      <c r="AE272" s="477"/>
      <c r="AF272" s="478"/>
      <c r="AG272" s="478"/>
      <c r="AH272" s="476"/>
      <c r="AI272" s="477"/>
      <c r="AJ272" s="478"/>
      <c r="AK272" s="477"/>
      <c r="AL272" s="476"/>
      <c r="AM272" s="477"/>
      <c r="AN272" s="477"/>
      <c r="AO272" s="477"/>
      <c r="AP272" s="477"/>
      <c r="AQ272" s="477"/>
      <c r="AR272" s="477"/>
      <c r="AS272" s="477"/>
      <c r="AT272" s="480"/>
      <c r="AU272" s="475"/>
      <c r="AV272" s="475"/>
      <c r="AW272" s="475"/>
      <c r="AX272" s="480"/>
      <c r="AY272" s="475"/>
      <c r="AZ272" s="475"/>
      <c r="BA272" s="475"/>
      <c r="BB272" s="477">
        <f t="shared" si="14"/>
        <v>2</v>
      </c>
      <c r="BC272" s="477">
        <f t="shared" si="12"/>
        <v>2</v>
      </c>
    </row>
    <row r="273" spans="2:55" s="195" customFormat="1" ht="22.5" x14ac:dyDescent="0.25">
      <c r="B273" s="186">
        <f t="shared" si="15"/>
        <v>257</v>
      </c>
      <c r="C273" s="186" t="s">
        <v>38</v>
      </c>
      <c r="D273" s="450">
        <v>40014812</v>
      </c>
      <c r="E273" s="451" t="s">
        <v>831</v>
      </c>
      <c r="F273" s="451" t="s">
        <v>200</v>
      </c>
      <c r="G273" s="473" t="s">
        <v>525</v>
      </c>
      <c r="H273" s="451" t="s">
        <v>614</v>
      </c>
      <c r="I273" s="451" t="s">
        <v>43</v>
      </c>
      <c r="J273" s="474">
        <v>611432</v>
      </c>
      <c r="K273" s="474"/>
      <c r="L273" s="474">
        <v>611432</v>
      </c>
      <c r="M273" s="475"/>
      <c r="N273" s="475"/>
      <c r="O273" s="475"/>
      <c r="P273" s="475"/>
      <c r="Q273" s="475"/>
      <c r="R273" s="475"/>
      <c r="S273" s="475"/>
      <c r="T273" s="475"/>
      <c r="U273" s="475"/>
      <c r="V273" s="475"/>
      <c r="W273" s="475"/>
      <c r="X273" s="475"/>
      <c r="Y273" s="475">
        <f t="shared" si="13"/>
        <v>0</v>
      </c>
      <c r="Z273" s="476">
        <v>3</v>
      </c>
      <c r="AA273" s="477">
        <v>32</v>
      </c>
      <c r="AB273" s="478">
        <v>44306</v>
      </c>
      <c r="AC273" s="479">
        <v>44314</v>
      </c>
      <c r="AD273" s="476"/>
      <c r="AE273" s="477"/>
      <c r="AF273" s="478"/>
      <c r="AG273" s="478"/>
      <c r="AH273" s="476"/>
      <c r="AI273" s="477"/>
      <c r="AJ273" s="478"/>
      <c r="AK273" s="477"/>
      <c r="AL273" s="476"/>
      <c r="AM273" s="477"/>
      <c r="AN273" s="477"/>
      <c r="AO273" s="477"/>
      <c r="AP273" s="477"/>
      <c r="AQ273" s="477"/>
      <c r="AR273" s="477"/>
      <c r="AS273" s="477"/>
      <c r="AT273" s="480"/>
      <c r="AU273" s="475"/>
      <c r="AV273" s="475"/>
      <c r="AW273" s="475"/>
      <c r="AX273" s="480"/>
      <c r="AY273" s="475"/>
      <c r="AZ273" s="475"/>
      <c r="BA273" s="475"/>
      <c r="BB273" s="477">
        <f t="shared" si="14"/>
        <v>3</v>
      </c>
      <c r="BC273" s="477">
        <f t="shared" ref="BC273:BC333" si="16">BB273-Y273</f>
        <v>3</v>
      </c>
    </row>
    <row r="274" spans="2:55" s="195" customFormat="1" ht="22.5" x14ac:dyDescent="0.25">
      <c r="B274" s="186">
        <f t="shared" si="15"/>
        <v>258</v>
      </c>
      <c r="C274" s="186" t="s">
        <v>38</v>
      </c>
      <c r="D274" s="450">
        <v>40015265</v>
      </c>
      <c r="E274" s="451" t="s">
        <v>832</v>
      </c>
      <c r="F274" s="451" t="s">
        <v>543</v>
      </c>
      <c r="G274" s="473" t="s">
        <v>525</v>
      </c>
      <c r="H274" s="451" t="s">
        <v>549</v>
      </c>
      <c r="I274" s="451" t="s">
        <v>43</v>
      </c>
      <c r="J274" s="474">
        <v>26857</v>
      </c>
      <c r="K274" s="474"/>
      <c r="L274" s="474">
        <v>26857</v>
      </c>
      <c r="M274" s="475"/>
      <c r="N274" s="475"/>
      <c r="O274" s="475"/>
      <c r="P274" s="475"/>
      <c r="Q274" s="475"/>
      <c r="R274" s="475"/>
      <c r="S274" s="475"/>
      <c r="T274" s="475"/>
      <c r="U274" s="475"/>
      <c r="V274" s="475"/>
      <c r="W274" s="475"/>
      <c r="X274" s="475"/>
      <c r="Y274" s="475">
        <f t="shared" ref="Y274:Y334" si="17">SUM(M274:X274)</f>
        <v>0</v>
      </c>
      <c r="Z274" s="476">
        <v>2</v>
      </c>
      <c r="AA274" s="477">
        <v>32</v>
      </c>
      <c r="AB274" s="478">
        <v>44306</v>
      </c>
      <c r="AC274" s="479">
        <v>44314</v>
      </c>
      <c r="AD274" s="476"/>
      <c r="AE274" s="477"/>
      <c r="AF274" s="478"/>
      <c r="AG274" s="478"/>
      <c r="AH274" s="476"/>
      <c r="AI274" s="477"/>
      <c r="AJ274" s="478"/>
      <c r="AK274" s="477"/>
      <c r="AL274" s="476"/>
      <c r="AM274" s="477"/>
      <c r="AN274" s="477"/>
      <c r="AO274" s="477"/>
      <c r="AP274" s="477"/>
      <c r="AQ274" s="477"/>
      <c r="AR274" s="477"/>
      <c r="AS274" s="477"/>
      <c r="AT274" s="480"/>
      <c r="AU274" s="475"/>
      <c r="AV274" s="475"/>
      <c r="AW274" s="475"/>
      <c r="AX274" s="480"/>
      <c r="AY274" s="475"/>
      <c r="AZ274" s="475"/>
      <c r="BA274" s="475"/>
      <c r="BB274" s="477">
        <f t="shared" ref="BB274:BB333" si="18">Z274+AD274+AH274+AL274+AT274+AX274+AP274</f>
        <v>2</v>
      </c>
      <c r="BC274" s="477">
        <f t="shared" si="16"/>
        <v>2</v>
      </c>
    </row>
    <row r="275" spans="2:55" s="195" customFormat="1" ht="22.5" x14ac:dyDescent="0.25">
      <c r="B275" s="186">
        <f t="shared" ref="B275:B333" si="19">B274+1</f>
        <v>259</v>
      </c>
      <c r="C275" s="186" t="s">
        <v>38</v>
      </c>
      <c r="D275" s="450">
        <v>40017777</v>
      </c>
      <c r="E275" s="451" t="s">
        <v>833</v>
      </c>
      <c r="F275" s="451" t="s">
        <v>200</v>
      </c>
      <c r="G275" s="473" t="s">
        <v>525</v>
      </c>
      <c r="H275" s="451" t="s">
        <v>834</v>
      </c>
      <c r="I275" s="451" t="s">
        <v>43</v>
      </c>
      <c r="J275" s="474">
        <v>293568</v>
      </c>
      <c r="K275" s="474"/>
      <c r="L275" s="474">
        <v>293568</v>
      </c>
      <c r="M275" s="475"/>
      <c r="N275" s="475"/>
      <c r="O275" s="475"/>
      <c r="P275" s="475"/>
      <c r="Q275" s="475"/>
      <c r="R275" s="475"/>
      <c r="S275" s="475"/>
      <c r="T275" s="475"/>
      <c r="U275" s="475"/>
      <c r="V275" s="475"/>
      <c r="W275" s="475"/>
      <c r="X275" s="475"/>
      <c r="Y275" s="475">
        <f t="shared" si="17"/>
        <v>0</v>
      </c>
      <c r="Z275" s="476">
        <v>2</v>
      </c>
      <c r="AA275" s="477">
        <v>32</v>
      </c>
      <c r="AB275" s="478">
        <v>44306</v>
      </c>
      <c r="AC275" s="479">
        <v>44314</v>
      </c>
      <c r="AD275" s="476"/>
      <c r="AE275" s="477"/>
      <c r="AF275" s="478"/>
      <c r="AG275" s="478"/>
      <c r="AH275" s="476"/>
      <c r="AI275" s="477"/>
      <c r="AJ275" s="478"/>
      <c r="AK275" s="477"/>
      <c r="AL275" s="476"/>
      <c r="AM275" s="477"/>
      <c r="AN275" s="477"/>
      <c r="AO275" s="477"/>
      <c r="AP275" s="477"/>
      <c r="AQ275" s="477"/>
      <c r="AR275" s="477"/>
      <c r="AS275" s="477"/>
      <c r="AT275" s="480"/>
      <c r="AU275" s="475"/>
      <c r="AV275" s="475"/>
      <c r="AW275" s="475"/>
      <c r="AX275" s="480"/>
      <c r="AY275" s="475"/>
      <c r="AZ275" s="475"/>
      <c r="BA275" s="475"/>
      <c r="BB275" s="477">
        <f t="shared" si="18"/>
        <v>2</v>
      </c>
      <c r="BC275" s="477">
        <f t="shared" si="16"/>
        <v>2</v>
      </c>
    </row>
    <row r="276" spans="2:55" s="195" customFormat="1" ht="22.5" x14ac:dyDescent="0.25">
      <c r="B276" s="186">
        <f t="shared" si="19"/>
        <v>260</v>
      </c>
      <c r="C276" s="186" t="s">
        <v>38</v>
      </c>
      <c r="D276" s="450">
        <v>40017781</v>
      </c>
      <c r="E276" s="451" t="s">
        <v>835</v>
      </c>
      <c r="F276" s="451" t="s">
        <v>543</v>
      </c>
      <c r="G276" s="473" t="s">
        <v>525</v>
      </c>
      <c r="H276" s="451" t="s">
        <v>549</v>
      </c>
      <c r="I276" s="451" t="s">
        <v>43</v>
      </c>
      <c r="J276" s="474">
        <v>29243</v>
      </c>
      <c r="K276" s="474"/>
      <c r="L276" s="474">
        <v>29243</v>
      </c>
      <c r="M276" s="475"/>
      <c r="N276" s="475"/>
      <c r="O276" s="475"/>
      <c r="P276" s="475"/>
      <c r="Q276" s="475"/>
      <c r="R276" s="475"/>
      <c r="S276" s="475"/>
      <c r="T276" s="475"/>
      <c r="U276" s="475"/>
      <c r="V276" s="475"/>
      <c r="W276" s="475"/>
      <c r="X276" s="475"/>
      <c r="Y276" s="475">
        <f t="shared" si="17"/>
        <v>0</v>
      </c>
      <c r="Z276" s="476">
        <v>2</v>
      </c>
      <c r="AA276" s="477">
        <v>32</v>
      </c>
      <c r="AB276" s="478">
        <v>44306</v>
      </c>
      <c r="AC276" s="479">
        <v>44314</v>
      </c>
      <c r="AD276" s="476"/>
      <c r="AE276" s="477"/>
      <c r="AF276" s="478"/>
      <c r="AG276" s="478"/>
      <c r="AH276" s="476"/>
      <c r="AI276" s="477"/>
      <c r="AJ276" s="478"/>
      <c r="AK276" s="477"/>
      <c r="AL276" s="476"/>
      <c r="AM276" s="477"/>
      <c r="AN276" s="477"/>
      <c r="AO276" s="477"/>
      <c r="AP276" s="477"/>
      <c r="AQ276" s="477"/>
      <c r="AR276" s="477"/>
      <c r="AS276" s="477"/>
      <c r="AT276" s="480"/>
      <c r="AU276" s="475"/>
      <c r="AV276" s="475"/>
      <c r="AW276" s="475"/>
      <c r="AX276" s="480"/>
      <c r="AY276" s="475"/>
      <c r="AZ276" s="475"/>
      <c r="BA276" s="475"/>
      <c r="BB276" s="477">
        <f t="shared" si="18"/>
        <v>2</v>
      </c>
      <c r="BC276" s="477">
        <f t="shared" si="16"/>
        <v>2</v>
      </c>
    </row>
    <row r="277" spans="2:55" s="195" customFormat="1" ht="22.5" x14ac:dyDescent="0.25">
      <c r="B277" s="186">
        <f t="shared" si="19"/>
        <v>261</v>
      </c>
      <c r="C277" s="186" t="s">
        <v>38</v>
      </c>
      <c r="D277" s="450">
        <v>40020833</v>
      </c>
      <c r="E277" s="451" t="s">
        <v>836</v>
      </c>
      <c r="F277" s="451" t="s">
        <v>200</v>
      </c>
      <c r="G277" s="473" t="s">
        <v>525</v>
      </c>
      <c r="H277" s="451" t="s">
        <v>549</v>
      </c>
      <c r="I277" s="451" t="s">
        <v>43</v>
      </c>
      <c r="J277" s="474">
        <v>600026</v>
      </c>
      <c r="K277" s="474"/>
      <c r="L277" s="474">
        <v>600026</v>
      </c>
      <c r="M277" s="475"/>
      <c r="N277" s="475"/>
      <c r="O277" s="475"/>
      <c r="P277" s="475"/>
      <c r="Q277" s="475"/>
      <c r="R277" s="475"/>
      <c r="S277" s="475"/>
      <c r="T277" s="475"/>
      <c r="U277" s="475"/>
      <c r="V277" s="475"/>
      <c r="W277" s="475"/>
      <c r="X277" s="475"/>
      <c r="Y277" s="475">
        <f t="shared" si="17"/>
        <v>0</v>
      </c>
      <c r="Z277" s="476">
        <v>3</v>
      </c>
      <c r="AA277" s="477">
        <v>32</v>
      </c>
      <c r="AB277" s="478">
        <v>44306</v>
      </c>
      <c r="AC277" s="479">
        <v>44314</v>
      </c>
      <c r="AD277" s="476"/>
      <c r="AE277" s="477"/>
      <c r="AF277" s="478"/>
      <c r="AG277" s="478"/>
      <c r="AH277" s="476"/>
      <c r="AI277" s="477"/>
      <c r="AJ277" s="478"/>
      <c r="AK277" s="477"/>
      <c r="AL277" s="476"/>
      <c r="AM277" s="477"/>
      <c r="AN277" s="477"/>
      <c r="AO277" s="477"/>
      <c r="AP277" s="477"/>
      <c r="AQ277" s="477"/>
      <c r="AR277" s="477"/>
      <c r="AS277" s="477"/>
      <c r="AT277" s="480"/>
      <c r="AU277" s="475"/>
      <c r="AV277" s="475"/>
      <c r="AW277" s="475"/>
      <c r="AX277" s="480"/>
      <c r="AY277" s="475"/>
      <c r="AZ277" s="475"/>
      <c r="BA277" s="475"/>
      <c r="BB277" s="477">
        <f t="shared" si="18"/>
        <v>3</v>
      </c>
      <c r="BC277" s="477">
        <f t="shared" si="16"/>
        <v>3</v>
      </c>
    </row>
    <row r="278" spans="2:55" s="195" customFormat="1" ht="22.5" x14ac:dyDescent="0.25">
      <c r="B278" s="186">
        <f t="shared" si="19"/>
        <v>262</v>
      </c>
      <c r="C278" s="186" t="s">
        <v>38</v>
      </c>
      <c r="D278" s="450">
        <v>40021586</v>
      </c>
      <c r="E278" s="451" t="s">
        <v>837</v>
      </c>
      <c r="F278" s="451" t="s">
        <v>543</v>
      </c>
      <c r="G278" s="473" t="s">
        <v>525</v>
      </c>
      <c r="H278" s="451" t="s">
        <v>525</v>
      </c>
      <c r="I278" s="451" t="s">
        <v>43</v>
      </c>
      <c r="J278" s="474">
        <v>106468</v>
      </c>
      <c r="K278" s="474"/>
      <c r="L278" s="474">
        <v>106468</v>
      </c>
      <c r="M278" s="475"/>
      <c r="N278" s="475"/>
      <c r="O278" s="475"/>
      <c r="P278" s="475"/>
      <c r="Q278" s="475"/>
      <c r="R278" s="475"/>
      <c r="S278" s="475"/>
      <c r="T278" s="475"/>
      <c r="U278" s="475"/>
      <c r="V278" s="475"/>
      <c r="W278" s="475"/>
      <c r="X278" s="475"/>
      <c r="Y278" s="475">
        <f t="shared" si="17"/>
        <v>0</v>
      </c>
      <c r="Z278" s="476">
        <v>1</v>
      </c>
      <c r="AA278" s="477">
        <v>32</v>
      </c>
      <c r="AB278" s="478">
        <v>44306</v>
      </c>
      <c r="AC278" s="479">
        <v>44314</v>
      </c>
      <c r="AD278" s="476"/>
      <c r="AE278" s="477"/>
      <c r="AF278" s="478"/>
      <c r="AG278" s="478"/>
      <c r="AH278" s="476"/>
      <c r="AI278" s="477"/>
      <c r="AJ278" s="478"/>
      <c r="AK278" s="477"/>
      <c r="AL278" s="476"/>
      <c r="AM278" s="477"/>
      <c r="AN278" s="477"/>
      <c r="AO278" s="477"/>
      <c r="AP278" s="477"/>
      <c r="AQ278" s="477"/>
      <c r="AR278" s="477"/>
      <c r="AS278" s="477"/>
      <c r="AT278" s="480"/>
      <c r="AU278" s="475"/>
      <c r="AV278" s="475"/>
      <c r="AW278" s="475"/>
      <c r="AX278" s="480"/>
      <c r="AY278" s="475"/>
      <c r="AZ278" s="475"/>
      <c r="BA278" s="475"/>
      <c r="BB278" s="477">
        <f t="shared" si="18"/>
        <v>1</v>
      </c>
      <c r="BC278" s="477">
        <f t="shared" si="16"/>
        <v>1</v>
      </c>
    </row>
    <row r="279" spans="2:55" s="195" customFormat="1" ht="22.5" x14ac:dyDescent="0.25">
      <c r="B279" s="186">
        <f t="shared" si="19"/>
        <v>263</v>
      </c>
      <c r="C279" s="186" t="s">
        <v>38</v>
      </c>
      <c r="D279" s="450">
        <v>40022716</v>
      </c>
      <c r="E279" s="451" t="s">
        <v>838</v>
      </c>
      <c r="F279" s="451" t="s">
        <v>200</v>
      </c>
      <c r="G279" s="473" t="s">
        <v>525</v>
      </c>
      <c r="H279" s="451" t="s">
        <v>549</v>
      </c>
      <c r="I279" s="451" t="s">
        <v>43</v>
      </c>
      <c r="J279" s="474">
        <v>659631</v>
      </c>
      <c r="K279" s="474"/>
      <c r="L279" s="474">
        <v>659631</v>
      </c>
      <c r="M279" s="475"/>
      <c r="N279" s="475"/>
      <c r="O279" s="475"/>
      <c r="P279" s="475"/>
      <c r="Q279" s="475"/>
      <c r="R279" s="475"/>
      <c r="S279" s="475"/>
      <c r="T279" s="475"/>
      <c r="U279" s="475"/>
      <c r="V279" s="475"/>
      <c r="W279" s="475"/>
      <c r="X279" s="475"/>
      <c r="Y279" s="475">
        <f t="shared" si="17"/>
        <v>0</v>
      </c>
      <c r="Z279" s="476">
        <v>3</v>
      </c>
      <c r="AA279" s="477">
        <v>32</v>
      </c>
      <c r="AB279" s="478">
        <v>44306</v>
      </c>
      <c r="AC279" s="479">
        <v>44314</v>
      </c>
      <c r="AD279" s="476"/>
      <c r="AE279" s="477"/>
      <c r="AF279" s="478"/>
      <c r="AG279" s="478"/>
      <c r="AH279" s="476"/>
      <c r="AI279" s="477"/>
      <c r="AJ279" s="478"/>
      <c r="AK279" s="477"/>
      <c r="AL279" s="476"/>
      <c r="AM279" s="477"/>
      <c r="AN279" s="477"/>
      <c r="AO279" s="477"/>
      <c r="AP279" s="477"/>
      <c r="AQ279" s="477"/>
      <c r="AR279" s="477"/>
      <c r="AS279" s="477"/>
      <c r="AT279" s="480"/>
      <c r="AU279" s="475"/>
      <c r="AV279" s="475"/>
      <c r="AW279" s="475"/>
      <c r="AX279" s="480"/>
      <c r="AY279" s="475"/>
      <c r="AZ279" s="475"/>
      <c r="BA279" s="475"/>
      <c r="BB279" s="477">
        <f t="shared" si="18"/>
        <v>3</v>
      </c>
      <c r="BC279" s="477">
        <f t="shared" si="16"/>
        <v>3</v>
      </c>
    </row>
    <row r="280" spans="2:55" s="195" customFormat="1" x14ac:dyDescent="0.25">
      <c r="B280" s="186">
        <f t="shared" si="19"/>
        <v>264</v>
      </c>
      <c r="C280" s="186" t="s">
        <v>38</v>
      </c>
      <c r="D280" s="450">
        <v>40022954</v>
      </c>
      <c r="E280" s="451" t="s">
        <v>839</v>
      </c>
      <c r="F280" s="451" t="s">
        <v>200</v>
      </c>
      <c r="G280" s="473" t="s">
        <v>525</v>
      </c>
      <c r="H280" s="451" t="s">
        <v>614</v>
      </c>
      <c r="I280" s="451" t="s">
        <v>43</v>
      </c>
      <c r="J280" s="474">
        <v>283905</v>
      </c>
      <c r="K280" s="474"/>
      <c r="L280" s="474">
        <v>283905</v>
      </c>
      <c r="M280" s="475"/>
      <c r="N280" s="475"/>
      <c r="O280" s="475"/>
      <c r="P280" s="475"/>
      <c r="Q280" s="475"/>
      <c r="R280" s="475"/>
      <c r="S280" s="475"/>
      <c r="T280" s="475"/>
      <c r="U280" s="475"/>
      <c r="V280" s="475"/>
      <c r="W280" s="475"/>
      <c r="X280" s="475"/>
      <c r="Y280" s="475">
        <f t="shared" si="17"/>
        <v>0</v>
      </c>
      <c r="Z280" s="476">
        <v>2</v>
      </c>
      <c r="AA280" s="477">
        <v>32</v>
      </c>
      <c r="AB280" s="478">
        <v>44306</v>
      </c>
      <c r="AC280" s="479">
        <v>44314</v>
      </c>
      <c r="AD280" s="476"/>
      <c r="AE280" s="477"/>
      <c r="AF280" s="478"/>
      <c r="AG280" s="478"/>
      <c r="AH280" s="476"/>
      <c r="AI280" s="477"/>
      <c r="AJ280" s="478"/>
      <c r="AK280" s="477"/>
      <c r="AL280" s="476"/>
      <c r="AM280" s="477"/>
      <c r="AN280" s="477"/>
      <c r="AO280" s="477"/>
      <c r="AP280" s="477"/>
      <c r="AQ280" s="477"/>
      <c r="AR280" s="477"/>
      <c r="AS280" s="477"/>
      <c r="AT280" s="480"/>
      <c r="AU280" s="475"/>
      <c r="AV280" s="475"/>
      <c r="AW280" s="475"/>
      <c r="AX280" s="480"/>
      <c r="AY280" s="475"/>
      <c r="AZ280" s="475"/>
      <c r="BA280" s="475"/>
      <c r="BB280" s="477">
        <f t="shared" si="18"/>
        <v>2</v>
      </c>
      <c r="BC280" s="477">
        <f t="shared" si="16"/>
        <v>2</v>
      </c>
    </row>
    <row r="281" spans="2:55" s="195" customFormat="1" ht="22.5" x14ac:dyDescent="0.25">
      <c r="B281" s="186">
        <f t="shared" si="19"/>
        <v>265</v>
      </c>
      <c r="C281" s="186" t="s">
        <v>38</v>
      </c>
      <c r="D281" s="450">
        <v>40024013</v>
      </c>
      <c r="E281" s="451" t="s">
        <v>840</v>
      </c>
      <c r="F281" s="451" t="s">
        <v>200</v>
      </c>
      <c r="G281" s="473" t="s">
        <v>525</v>
      </c>
      <c r="H281" s="451" t="s">
        <v>549</v>
      </c>
      <c r="I281" s="451" t="s">
        <v>43</v>
      </c>
      <c r="J281" s="474">
        <v>347593</v>
      </c>
      <c r="K281" s="474"/>
      <c r="L281" s="474">
        <v>347593</v>
      </c>
      <c r="M281" s="475"/>
      <c r="N281" s="475"/>
      <c r="O281" s="475"/>
      <c r="P281" s="475"/>
      <c r="Q281" s="475"/>
      <c r="R281" s="475"/>
      <c r="S281" s="475"/>
      <c r="T281" s="475"/>
      <c r="U281" s="475"/>
      <c r="V281" s="475"/>
      <c r="W281" s="475"/>
      <c r="X281" s="475"/>
      <c r="Y281" s="475">
        <f t="shared" si="17"/>
        <v>0</v>
      </c>
      <c r="Z281" s="476">
        <v>1</v>
      </c>
      <c r="AA281" s="477">
        <v>32</v>
      </c>
      <c r="AB281" s="478">
        <v>44306</v>
      </c>
      <c r="AC281" s="479">
        <v>44314</v>
      </c>
      <c r="AD281" s="476"/>
      <c r="AE281" s="477"/>
      <c r="AF281" s="478"/>
      <c r="AG281" s="478"/>
      <c r="AH281" s="476"/>
      <c r="AI281" s="477"/>
      <c r="AJ281" s="478"/>
      <c r="AK281" s="477"/>
      <c r="AL281" s="476"/>
      <c r="AM281" s="477"/>
      <c r="AN281" s="477"/>
      <c r="AO281" s="477"/>
      <c r="AP281" s="477"/>
      <c r="AQ281" s="477"/>
      <c r="AR281" s="477"/>
      <c r="AS281" s="477"/>
      <c r="AT281" s="480"/>
      <c r="AU281" s="475"/>
      <c r="AV281" s="475"/>
      <c r="AW281" s="475"/>
      <c r="AX281" s="480"/>
      <c r="AY281" s="475"/>
      <c r="AZ281" s="475"/>
      <c r="BA281" s="475"/>
      <c r="BB281" s="477">
        <f t="shared" si="18"/>
        <v>1</v>
      </c>
      <c r="BC281" s="477">
        <f t="shared" si="16"/>
        <v>1</v>
      </c>
    </row>
    <row r="282" spans="2:55" s="195" customFormat="1" ht="22.5" x14ac:dyDescent="0.25">
      <c r="B282" s="186">
        <f t="shared" si="19"/>
        <v>266</v>
      </c>
      <c r="C282" s="186" t="s">
        <v>38</v>
      </c>
      <c r="D282" s="450">
        <v>40025804</v>
      </c>
      <c r="E282" s="451" t="s">
        <v>841</v>
      </c>
      <c r="F282" s="451" t="s">
        <v>200</v>
      </c>
      <c r="G282" s="473" t="s">
        <v>525</v>
      </c>
      <c r="H282" s="451" t="s">
        <v>612</v>
      </c>
      <c r="I282" s="451" t="s">
        <v>43</v>
      </c>
      <c r="J282" s="474">
        <v>358738</v>
      </c>
      <c r="K282" s="474"/>
      <c r="L282" s="474">
        <v>358738</v>
      </c>
      <c r="M282" s="475"/>
      <c r="N282" s="475"/>
      <c r="O282" s="475"/>
      <c r="P282" s="475"/>
      <c r="Q282" s="475"/>
      <c r="R282" s="475"/>
      <c r="S282" s="475"/>
      <c r="T282" s="475"/>
      <c r="U282" s="475"/>
      <c r="V282" s="475"/>
      <c r="W282" s="475"/>
      <c r="X282" s="475"/>
      <c r="Y282" s="475">
        <f t="shared" si="17"/>
        <v>0</v>
      </c>
      <c r="Z282" s="476">
        <v>3</v>
      </c>
      <c r="AA282" s="477">
        <v>32</v>
      </c>
      <c r="AB282" s="478">
        <v>44306</v>
      </c>
      <c r="AC282" s="479">
        <v>44314</v>
      </c>
      <c r="AD282" s="476"/>
      <c r="AE282" s="477"/>
      <c r="AF282" s="478"/>
      <c r="AG282" s="478"/>
      <c r="AH282" s="476"/>
      <c r="AI282" s="477"/>
      <c r="AJ282" s="478"/>
      <c r="AK282" s="477"/>
      <c r="AL282" s="476"/>
      <c r="AM282" s="477"/>
      <c r="AN282" s="477"/>
      <c r="AO282" s="477"/>
      <c r="AP282" s="477"/>
      <c r="AQ282" s="477"/>
      <c r="AR282" s="477"/>
      <c r="AS282" s="477"/>
      <c r="AT282" s="480"/>
      <c r="AU282" s="475"/>
      <c r="AV282" s="475"/>
      <c r="AW282" s="475"/>
      <c r="AX282" s="480"/>
      <c r="AY282" s="475"/>
      <c r="AZ282" s="475"/>
      <c r="BA282" s="475"/>
      <c r="BB282" s="477">
        <f t="shared" si="18"/>
        <v>3</v>
      </c>
      <c r="BC282" s="477">
        <f t="shared" si="16"/>
        <v>3</v>
      </c>
    </row>
    <row r="283" spans="2:55" s="195" customFormat="1" ht="22.5" x14ac:dyDescent="0.25">
      <c r="B283" s="186">
        <f t="shared" si="19"/>
        <v>267</v>
      </c>
      <c r="C283" s="186" t="s">
        <v>38</v>
      </c>
      <c r="D283" s="450">
        <v>40026255</v>
      </c>
      <c r="E283" s="451" t="s">
        <v>842</v>
      </c>
      <c r="F283" s="451" t="s">
        <v>200</v>
      </c>
      <c r="G283" s="473" t="s">
        <v>525</v>
      </c>
      <c r="H283" s="451" t="s">
        <v>528</v>
      </c>
      <c r="I283" s="451" t="s">
        <v>43</v>
      </c>
      <c r="J283" s="474">
        <v>943621</v>
      </c>
      <c r="K283" s="474"/>
      <c r="L283" s="474">
        <v>943621</v>
      </c>
      <c r="M283" s="475"/>
      <c r="N283" s="475"/>
      <c r="O283" s="475"/>
      <c r="P283" s="475"/>
      <c r="Q283" s="475"/>
      <c r="R283" s="475"/>
      <c r="S283" s="475"/>
      <c r="T283" s="475"/>
      <c r="U283" s="475"/>
      <c r="V283" s="475"/>
      <c r="W283" s="475"/>
      <c r="X283" s="475"/>
      <c r="Y283" s="475">
        <f t="shared" si="17"/>
        <v>0</v>
      </c>
      <c r="Z283" s="476">
        <v>3</v>
      </c>
      <c r="AA283" s="477">
        <v>32</v>
      </c>
      <c r="AB283" s="478">
        <v>44306</v>
      </c>
      <c r="AC283" s="479">
        <v>44314</v>
      </c>
      <c r="AD283" s="476"/>
      <c r="AE283" s="477"/>
      <c r="AF283" s="478"/>
      <c r="AG283" s="478"/>
      <c r="AH283" s="476"/>
      <c r="AI283" s="477"/>
      <c r="AJ283" s="478"/>
      <c r="AK283" s="477"/>
      <c r="AL283" s="476"/>
      <c r="AM283" s="477"/>
      <c r="AN283" s="477"/>
      <c r="AO283" s="477"/>
      <c r="AP283" s="477"/>
      <c r="AQ283" s="477"/>
      <c r="AR283" s="477"/>
      <c r="AS283" s="477"/>
      <c r="AT283" s="480"/>
      <c r="AU283" s="475"/>
      <c r="AV283" s="475"/>
      <c r="AW283" s="475"/>
      <c r="AX283" s="480"/>
      <c r="AY283" s="475"/>
      <c r="AZ283" s="475"/>
      <c r="BA283" s="475"/>
      <c r="BB283" s="477">
        <f t="shared" si="18"/>
        <v>3</v>
      </c>
      <c r="BC283" s="477">
        <f t="shared" si="16"/>
        <v>3</v>
      </c>
    </row>
    <row r="284" spans="2:55" s="195" customFormat="1" ht="22.5" x14ac:dyDescent="0.25">
      <c r="B284" s="186">
        <f t="shared" si="19"/>
        <v>268</v>
      </c>
      <c r="C284" s="186" t="s">
        <v>38</v>
      </c>
      <c r="D284" s="450">
        <v>40028023</v>
      </c>
      <c r="E284" s="451" t="s">
        <v>843</v>
      </c>
      <c r="F284" s="451" t="s">
        <v>200</v>
      </c>
      <c r="G284" s="473" t="s">
        <v>525</v>
      </c>
      <c r="H284" s="451" t="s">
        <v>528</v>
      </c>
      <c r="I284" s="451" t="s">
        <v>43</v>
      </c>
      <c r="J284" s="474">
        <v>76769</v>
      </c>
      <c r="K284" s="474"/>
      <c r="L284" s="474">
        <v>76769</v>
      </c>
      <c r="M284" s="475"/>
      <c r="N284" s="475"/>
      <c r="O284" s="475"/>
      <c r="P284" s="475"/>
      <c r="Q284" s="475"/>
      <c r="R284" s="475"/>
      <c r="S284" s="475"/>
      <c r="T284" s="475"/>
      <c r="U284" s="475"/>
      <c r="V284" s="475"/>
      <c r="W284" s="475"/>
      <c r="X284" s="475"/>
      <c r="Y284" s="475">
        <f t="shared" si="17"/>
        <v>0</v>
      </c>
      <c r="Z284" s="476">
        <v>3</v>
      </c>
      <c r="AA284" s="477">
        <v>32</v>
      </c>
      <c r="AB284" s="478">
        <v>44306</v>
      </c>
      <c r="AC284" s="479">
        <v>44314</v>
      </c>
      <c r="AD284" s="476"/>
      <c r="AE284" s="477"/>
      <c r="AF284" s="478"/>
      <c r="AG284" s="478"/>
      <c r="AH284" s="476"/>
      <c r="AI284" s="477"/>
      <c r="AJ284" s="478"/>
      <c r="AK284" s="477"/>
      <c r="AL284" s="476"/>
      <c r="AM284" s="477"/>
      <c r="AN284" s="477"/>
      <c r="AO284" s="477"/>
      <c r="AP284" s="477"/>
      <c r="AQ284" s="477"/>
      <c r="AR284" s="477"/>
      <c r="AS284" s="477"/>
      <c r="AT284" s="480"/>
      <c r="AU284" s="475"/>
      <c r="AV284" s="475"/>
      <c r="AW284" s="475"/>
      <c r="AX284" s="480"/>
      <c r="AY284" s="475"/>
      <c r="AZ284" s="475"/>
      <c r="BA284" s="475"/>
      <c r="BB284" s="477">
        <f t="shared" si="18"/>
        <v>3</v>
      </c>
      <c r="BC284" s="477">
        <f t="shared" si="16"/>
        <v>3</v>
      </c>
    </row>
    <row r="285" spans="2:55" s="195" customFormat="1" x14ac:dyDescent="0.25">
      <c r="B285" s="186">
        <f t="shared" si="19"/>
        <v>269</v>
      </c>
      <c r="C285" s="186" t="s">
        <v>40</v>
      </c>
      <c r="D285" s="450">
        <v>40027329</v>
      </c>
      <c r="E285" s="451" t="s">
        <v>844</v>
      </c>
      <c r="F285" s="451" t="s">
        <v>200</v>
      </c>
      <c r="G285" s="473" t="s">
        <v>525</v>
      </c>
      <c r="H285" s="451" t="s">
        <v>612</v>
      </c>
      <c r="I285" s="451" t="s">
        <v>43</v>
      </c>
      <c r="J285" s="474">
        <v>71097</v>
      </c>
      <c r="K285" s="474"/>
      <c r="L285" s="474">
        <v>71097</v>
      </c>
      <c r="M285" s="475"/>
      <c r="N285" s="475"/>
      <c r="O285" s="475"/>
      <c r="P285" s="475"/>
      <c r="Q285" s="475"/>
      <c r="R285" s="475"/>
      <c r="S285" s="475"/>
      <c r="T285" s="475"/>
      <c r="U285" s="475"/>
      <c r="V285" s="475"/>
      <c r="W285" s="475"/>
      <c r="X285" s="475"/>
      <c r="Y285" s="475">
        <f t="shared" si="17"/>
        <v>0</v>
      </c>
      <c r="Z285" s="476">
        <v>1</v>
      </c>
      <c r="AA285" s="477">
        <v>32</v>
      </c>
      <c r="AB285" s="478">
        <v>44306</v>
      </c>
      <c r="AC285" s="479">
        <v>44314</v>
      </c>
      <c r="AD285" s="476"/>
      <c r="AE285" s="477"/>
      <c r="AF285" s="478"/>
      <c r="AG285" s="478"/>
      <c r="AH285" s="476"/>
      <c r="AI285" s="477"/>
      <c r="AJ285" s="478"/>
      <c r="AK285" s="477"/>
      <c r="AL285" s="476"/>
      <c r="AM285" s="477"/>
      <c r="AN285" s="477"/>
      <c r="AO285" s="477"/>
      <c r="AP285" s="477"/>
      <c r="AQ285" s="477"/>
      <c r="AR285" s="477"/>
      <c r="AS285" s="477"/>
      <c r="AT285" s="480"/>
      <c r="AU285" s="475"/>
      <c r="AV285" s="475"/>
      <c r="AW285" s="475"/>
      <c r="AX285" s="480"/>
      <c r="AY285" s="475"/>
      <c r="AZ285" s="475"/>
      <c r="BA285" s="475"/>
      <c r="BB285" s="477">
        <f t="shared" si="18"/>
        <v>1</v>
      </c>
      <c r="BC285" s="477">
        <f t="shared" si="16"/>
        <v>1</v>
      </c>
    </row>
    <row r="286" spans="2:55" s="195" customFormat="1" x14ac:dyDescent="0.25">
      <c r="B286" s="186">
        <f t="shared" si="19"/>
        <v>270</v>
      </c>
      <c r="C286" s="186" t="s">
        <v>40</v>
      </c>
      <c r="D286" s="450">
        <v>40022472</v>
      </c>
      <c r="E286" s="451" t="s">
        <v>845</v>
      </c>
      <c r="F286" s="451" t="s">
        <v>200</v>
      </c>
      <c r="G286" s="473" t="s">
        <v>525</v>
      </c>
      <c r="H286" s="451" t="s">
        <v>632</v>
      </c>
      <c r="I286" s="451" t="s">
        <v>43</v>
      </c>
      <c r="J286" s="474">
        <v>287476</v>
      </c>
      <c r="K286" s="474"/>
      <c r="L286" s="474">
        <v>287476</v>
      </c>
      <c r="M286" s="475"/>
      <c r="N286" s="475"/>
      <c r="O286" s="475"/>
      <c r="P286" s="475"/>
      <c r="Q286" s="475"/>
      <c r="R286" s="475"/>
      <c r="S286" s="475"/>
      <c r="T286" s="475"/>
      <c r="U286" s="475"/>
      <c r="V286" s="475"/>
      <c r="W286" s="475"/>
      <c r="X286" s="475"/>
      <c r="Y286" s="475">
        <f t="shared" si="17"/>
        <v>0</v>
      </c>
      <c r="Z286" s="476">
        <v>1</v>
      </c>
      <c r="AA286" s="477">
        <v>32</v>
      </c>
      <c r="AB286" s="478">
        <v>44306</v>
      </c>
      <c r="AC286" s="479">
        <v>44314</v>
      </c>
      <c r="AD286" s="476"/>
      <c r="AE286" s="477"/>
      <c r="AF286" s="478"/>
      <c r="AG286" s="478"/>
      <c r="AH286" s="476"/>
      <c r="AI286" s="477"/>
      <c r="AJ286" s="478"/>
      <c r="AK286" s="477"/>
      <c r="AL286" s="476"/>
      <c r="AM286" s="477"/>
      <c r="AN286" s="477"/>
      <c r="AO286" s="477"/>
      <c r="AP286" s="477"/>
      <c r="AQ286" s="477"/>
      <c r="AR286" s="477"/>
      <c r="AS286" s="477"/>
      <c r="AT286" s="480"/>
      <c r="AU286" s="475"/>
      <c r="AV286" s="475"/>
      <c r="AW286" s="475"/>
      <c r="AX286" s="480"/>
      <c r="AY286" s="475"/>
      <c r="AZ286" s="475"/>
      <c r="BA286" s="475"/>
      <c r="BB286" s="477">
        <f t="shared" si="18"/>
        <v>1</v>
      </c>
      <c r="BC286" s="477">
        <f t="shared" si="16"/>
        <v>1</v>
      </c>
    </row>
    <row r="287" spans="2:55" s="195" customFormat="1" x14ac:dyDescent="0.25">
      <c r="B287" s="186">
        <f t="shared" si="19"/>
        <v>271</v>
      </c>
      <c r="C287" s="186" t="s">
        <v>40</v>
      </c>
      <c r="D287" s="450">
        <v>40011488</v>
      </c>
      <c r="E287" s="451" t="s">
        <v>846</v>
      </c>
      <c r="F287" s="451" t="s">
        <v>200</v>
      </c>
      <c r="G287" s="473" t="s">
        <v>525</v>
      </c>
      <c r="H287" s="451" t="s">
        <v>587</v>
      </c>
      <c r="I287" s="451" t="s">
        <v>43</v>
      </c>
      <c r="J287" s="474">
        <v>206840</v>
      </c>
      <c r="K287" s="474"/>
      <c r="L287" s="474">
        <v>206840</v>
      </c>
      <c r="M287" s="475"/>
      <c r="N287" s="475"/>
      <c r="O287" s="475"/>
      <c r="P287" s="475"/>
      <c r="Q287" s="475"/>
      <c r="R287" s="475"/>
      <c r="S287" s="475"/>
      <c r="T287" s="475"/>
      <c r="U287" s="475"/>
      <c r="V287" s="475"/>
      <c r="W287" s="475"/>
      <c r="X287" s="475"/>
      <c r="Y287" s="475">
        <f t="shared" si="17"/>
        <v>0</v>
      </c>
      <c r="Z287" s="476">
        <v>2</v>
      </c>
      <c r="AA287" s="477">
        <v>32</v>
      </c>
      <c r="AB287" s="478">
        <v>44306</v>
      </c>
      <c r="AC287" s="479">
        <v>44314</v>
      </c>
      <c r="AD287" s="476"/>
      <c r="AE287" s="477"/>
      <c r="AF287" s="478"/>
      <c r="AG287" s="478"/>
      <c r="AH287" s="476"/>
      <c r="AI287" s="477"/>
      <c r="AJ287" s="478"/>
      <c r="AK287" s="477"/>
      <c r="AL287" s="476"/>
      <c r="AM287" s="477"/>
      <c r="AN287" s="477"/>
      <c r="AO287" s="477"/>
      <c r="AP287" s="477"/>
      <c r="AQ287" s="477"/>
      <c r="AR287" s="477"/>
      <c r="AS287" s="477"/>
      <c r="AT287" s="480"/>
      <c r="AU287" s="475"/>
      <c r="AV287" s="475"/>
      <c r="AW287" s="475"/>
      <c r="AX287" s="480"/>
      <c r="AY287" s="475"/>
      <c r="AZ287" s="475"/>
      <c r="BA287" s="475"/>
      <c r="BB287" s="477">
        <f t="shared" si="18"/>
        <v>2</v>
      </c>
      <c r="BC287" s="477">
        <f t="shared" si="16"/>
        <v>2</v>
      </c>
    </row>
    <row r="288" spans="2:55" s="195" customFormat="1" ht="22.5" x14ac:dyDescent="0.25">
      <c r="B288" s="186">
        <f t="shared" si="19"/>
        <v>272</v>
      </c>
      <c r="C288" s="186" t="s">
        <v>38</v>
      </c>
      <c r="D288" s="450">
        <v>40019613</v>
      </c>
      <c r="E288" s="451" t="s">
        <v>847</v>
      </c>
      <c r="F288" s="451" t="s">
        <v>200</v>
      </c>
      <c r="G288" s="473" t="s">
        <v>525</v>
      </c>
      <c r="H288" s="451" t="s">
        <v>579</v>
      </c>
      <c r="I288" s="451" t="s">
        <v>43</v>
      </c>
      <c r="J288" s="474">
        <v>176024</v>
      </c>
      <c r="K288" s="474"/>
      <c r="L288" s="474">
        <v>176024</v>
      </c>
      <c r="M288" s="475"/>
      <c r="N288" s="475"/>
      <c r="O288" s="475"/>
      <c r="P288" s="475"/>
      <c r="Q288" s="475"/>
      <c r="R288" s="475"/>
      <c r="S288" s="475"/>
      <c r="T288" s="475"/>
      <c r="U288" s="475"/>
      <c r="V288" s="475"/>
      <c r="W288" s="475"/>
      <c r="X288" s="475"/>
      <c r="Y288" s="475">
        <f t="shared" si="17"/>
        <v>0</v>
      </c>
      <c r="Z288" s="476">
        <v>1</v>
      </c>
      <c r="AA288" s="477">
        <v>32</v>
      </c>
      <c r="AB288" s="478">
        <v>44306</v>
      </c>
      <c r="AC288" s="479">
        <v>44314</v>
      </c>
      <c r="AD288" s="476"/>
      <c r="AE288" s="477"/>
      <c r="AF288" s="478"/>
      <c r="AG288" s="478"/>
      <c r="AH288" s="476"/>
      <c r="AI288" s="477"/>
      <c r="AJ288" s="478"/>
      <c r="AK288" s="477"/>
      <c r="AL288" s="476"/>
      <c r="AM288" s="477"/>
      <c r="AN288" s="477"/>
      <c r="AO288" s="477"/>
      <c r="AP288" s="477"/>
      <c r="AQ288" s="477"/>
      <c r="AR288" s="477"/>
      <c r="AS288" s="477"/>
      <c r="AT288" s="480"/>
      <c r="AU288" s="475"/>
      <c r="AV288" s="475"/>
      <c r="AW288" s="475"/>
      <c r="AX288" s="480"/>
      <c r="AY288" s="475"/>
      <c r="AZ288" s="475"/>
      <c r="BA288" s="475"/>
      <c r="BB288" s="477">
        <f t="shared" si="18"/>
        <v>1</v>
      </c>
      <c r="BC288" s="477">
        <f t="shared" si="16"/>
        <v>1</v>
      </c>
    </row>
    <row r="289" spans="1:55" s="195" customFormat="1" x14ac:dyDescent="0.25">
      <c r="B289" s="186">
        <f t="shared" si="19"/>
        <v>273</v>
      </c>
      <c r="C289" s="186" t="s">
        <v>38</v>
      </c>
      <c r="D289" s="450">
        <v>40001842</v>
      </c>
      <c r="E289" s="451" t="s">
        <v>848</v>
      </c>
      <c r="F289" s="451" t="s">
        <v>200</v>
      </c>
      <c r="G289" s="473" t="s">
        <v>525</v>
      </c>
      <c r="H289" s="451" t="s">
        <v>525</v>
      </c>
      <c r="I289" s="451" t="s">
        <v>43</v>
      </c>
      <c r="J289" s="474">
        <v>3020372</v>
      </c>
      <c r="K289" s="474"/>
      <c r="L289" s="474">
        <v>3020372</v>
      </c>
      <c r="M289" s="475"/>
      <c r="N289" s="475"/>
      <c r="O289" s="475"/>
      <c r="P289" s="475"/>
      <c r="Q289" s="475"/>
      <c r="R289" s="475"/>
      <c r="S289" s="475"/>
      <c r="T289" s="475"/>
      <c r="U289" s="475"/>
      <c r="V289" s="475"/>
      <c r="W289" s="475"/>
      <c r="X289" s="475"/>
      <c r="Y289" s="475">
        <f t="shared" si="17"/>
        <v>0</v>
      </c>
      <c r="Z289" s="476">
        <v>2</v>
      </c>
      <c r="AA289" s="477">
        <v>32</v>
      </c>
      <c r="AB289" s="478">
        <v>44306</v>
      </c>
      <c r="AC289" s="479">
        <v>44314</v>
      </c>
      <c r="AD289" s="476"/>
      <c r="AE289" s="477"/>
      <c r="AF289" s="478"/>
      <c r="AG289" s="478"/>
      <c r="AH289" s="476"/>
      <c r="AI289" s="477"/>
      <c r="AJ289" s="478"/>
      <c r="AK289" s="477"/>
      <c r="AL289" s="476"/>
      <c r="AM289" s="477"/>
      <c r="AN289" s="477"/>
      <c r="AO289" s="477"/>
      <c r="AP289" s="477"/>
      <c r="AQ289" s="477"/>
      <c r="AR289" s="477"/>
      <c r="AS289" s="477"/>
      <c r="AT289" s="480"/>
      <c r="AU289" s="475"/>
      <c r="AV289" s="475"/>
      <c r="AW289" s="475"/>
      <c r="AX289" s="480"/>
      <c r="AY289" s="475"/>
      <c r="AZ289" s="475"/>
      <c r="BA289" s="475"/>
      <c r="BB289" s="477">
        <f t="shared" si="18"/>
        <v>2</v>
      </c>
      <c r="BC289" s="477">
        <f t="shared" si="16"/>
        <v>2</v>
      </c>
    </row>
    <row r="290" spans="1:55" s="195" customFormat="1" x14ac:dyDescent="0.25">
      <c r="B290" s="186">
        <f t="shared" si="19"/>
        <v>274</v>
      </c>
      <c r="C290" s="186" t="s">
        <v>38</v>
      </c>
      <c r="D290" s="450">
        <v>30485699</v>
      </c>
      <c r="E290" s="451" t="s">
        <v>849</v>
      </c>
      <c r="F290" s="451" t="s">
        <v>200</v>
      </c>
      <c r="G290" s="473" t="s">
        <v>525</v>
      </c>
      <c r="H290" s="451" t="s">
        <v>591</v>
      </c>
      <c r="I290" s="451" t="s">
        <v>43</v>
      </c>
      <c r="J290" s="474">
        <v>362110</v>
      </c>
      <c r="K290" s="474"/>
      <c r="L290" s="474">
        <v>362110</v>
      </c>
      <c r="M290" s="475"/>
      <c r="N290" s="475"/>
      <c r="O290" s="475"/>
      <c r="P290" s="475"/>
      <c r="Q290" s="475"/>
      <c r="R290" s="475"/>
      <c r="S290" s="475"/>
      <c r="T290" s="475"/>
      <c r="U290" s="475"/>
      <c r="V290" s="475"/>
      <c r="W290" s="475"/>
      <c r="X290" s="475"/>
      <c r="Y290" s="475">
        <f t="shared" si="17"/>
        <v>0</v>
      </c>
      <c r="Z290" s="476">
        <v>3</v>
      </c>
      <c r="AA290" s="477">
        <v>32</v>
      </c>
      <c r="AB290" s="478">
        <v>44306</v>
      </c>
      <c r="AC290" s="479">
        <v>44314</v>
      </c>
      <c r="AD290" s="476"/>
      <c r="AE290" s="477"/>
      <c r="AF290" s="478"/>
      <c r="AG290" s="478"/>
      <c r="AH290" s="476"/>
      <c r="AI290" s="477"/>
      <c r="AJ290" s="478"/>
      <c r="AK290" s="477"/>
      <c r="AL290" s="476"/>
      <c r="AM290" s="477"/>
      <c r="AN290" s="477"/>
      <c r="AO290" s="477"/>
      <c r="AP290" s="477"/>
      <c r="AQ290" s="477"/>
      <c r="AR290" s="477"/>
      <c r="AS290" s="477"/>
      <c r="AT290" s="480"/>
      <c r="AU290" s="475"/>
      <c r="AV290" s="475"/>
      <c r="AW290" s="475"/>
      <c r="AX290" s="480"/>
      <c r="AY290" s="475"/>
      <c r="AZ290" s="475"/>
      <c r="BA290" s="475"/>
      <c r="BB290" s="477">
        <f t="shared" si="18"/>
        <v>3</v>
      </c>
      <c r="BC290" s="477">
        <f t="shared" si="16"/>
        <v>3</v>
      </c>
    </row>
    <row r="291" spans="1:55" s="195" customFormat="1" ht="22.5" x14ac:dyDescent="0.25">
      <c r="B291" s="186">
        <f t="shared" si="19"/>
        <v>275</v>
      </c>
      <c r="C291" s="186" t="s">
        <v>38</v>
      </c>
      <c r="D291" s="450">
        <v>30441774</v>
      </c>
      <c r="E291" s="451" t="s">
        <v>850</v>
      </c>
      <c r="F291" s="451" t="s">
        <v>200</v>
      </c>
      <c r="G291" s="473" t="s">
        <v>525</v>
      </c>
      <c r="H291" s="451" t="s">
        <v>600</v>
      </c>
      <c r="I291" s="451" t="s">
        <v>43</v>
      </c>
      <c r="J291" s="474">
        <v>169303</v>
      </c>
      <c r="K291" s="474"/>
      <c r="L291" s="474">
        <v>169303</v>
      </c>
      <c r="M291" s="475"/>
      <c r="N291" s="475"/>
      <c r="O291" s="475"/>
      <c r="P291" s="475"/>
      <c r="Q291" s="475"/>
      <c r="R291" s="475"/>
      <c r="S291" s="475"/>
      <c r="T291" s="475"/>
      <c r="U291" s="475"/>
      <c r="V291" s="475"/>
      <c r="W291" s="475"/>
      <c r="X291" s="475"/>
      <c r="Y291" s="475">
        <f t="shared" si="17"/>
        <v>0</v>
      </c>
      <c r="Z291" s="476">
        <v>1</v>
      </c>
      <c r="AA291" s="477">
        <v>32</v>
      </c>
      <c r="AB291" s="478">
        <v>44306</v>
      </c>
      <c r="AC291" s="479">
        <v>44314</v>
      </c>
      <c r="AD291" s="476"/>
      <c r="AE291" s="477"/>
      <c r="AF291" s="478"/>
      <c r="AG291" s="478"/>
      <c r="AH291" s="476"/>
      <c r="AI291" s="477"/>
      <c r="AJ291" s="478"/>
      <c r="AK291" s="477"/>
      <c r="AL291" s="476"/>
      <c r="AM291" s="477"/>
      <c r="AN291" s="477"/>
      <c r="AO291" s="477"/>
      <c r="AP291" s="477"/>
      <c r="AQ291" s="477"/>
      <c r="AR291" s="477"/>
      <c r="AS291" s="477"/>
      <c r="AT291" s="480"/>
      <c r="AU291" s="475"/>
      <c r="AV291" s="475"/>
      <c r="AW291" s="475"/>
      <c r="AX291" s="480"/>
      <c r="AY291" s="475"/>
      <c r="AZ291" s="475"/>
      <c r="BA291" s="475"/>
      <c r="BB291" s="477">
        <f t="shared" si="18"/>
        <v>1</v>
      </c>
      <c r="BC291" s="477">
        <f t="shared" si="16"/>
        <v>1</v>
      </c>
    </row>
    <row r="292" spans="1:55" s="195" customFormat="1" ht="22.5" x14ac:dyDescent="0.25">
      <c r="B292" s="186">
        <f t="shared" si="19"/>
        <v>276</v>
      </c>
      <c r="C292" s="186" t="s">
        <v>40</v>
      </c>
      <c r="D292" s="450">
        <v>40020052</v>
      </c>
      <c r="E292" s="451" t="s">
        <v>851</v>
      </c>
      <c r="F292" s="451" t="s">
        <v>200</v>
      </c>
      <c r="G292" s="473" t="s">
        <v>525</v>
      </c>
      <c r="H292" s="451" t="s">
        <v>614</v>
      </c>
      <c r="I292" s="451" t="s">
        <v>43</v>
      </c>
      <c r="J292" s="474">
        <v>245955</v>
      </c>
      <c r="K292" s="474"/>
      <c r="L292" s="474">
        <v>245955</v>
      </c>
      <c r="M292" s="475"/>
      <c r="N292" s="475"/>
      <c r="O292" s="475"/>
      <c r="P292" s="475"/>
      <c r="Q292" s="475"/>
      <c r="R292" s="475"/>
      <c r="S292" s="475"/>
      <c r="T292" s="475"/>
      <c r="U292" s="475"/>
      <c r="V292" s="475"/>
      <c r="W292" s="475"/>
      <c r="X292" s="475"/>
      <c r="Y292" s="475">
        <f t="shared" si="17"/>
        <v>0</v>
      </c>
      <c r="Z292" s="476">
        <v>1</v>
      </c>
      <c r="AA292" s="477">
        <v>32</v>
      </c>
      <c r="AB292" s="478">
        <v>44306</v>
      </c>
      <c r="AC292" s="479">
        <v>44314</v>
      </c>
      <c r="AD292" s="476"/>
      <c r="AE292" s="477"/>
      <c r="AF292" s="478"/>
      <c r="AG292" s="478"/>
      <c r="AH292" s="476"/>
      <c r="AI292" s="477"/>
      <c r="AJ292" s="478"/>
      <c r="AK292" s="477"/>
      <c r="AL292" s="476"/>
      <c r="AM292" s="477"/>
      <c r="AN292" s="477"/>
      <c r="AO292" s="477"/>
      <c r="AP292" s="477"/>
      <c r="AQ292" s="477"/>
      <c r="AR292" s="477"/>
      <c r="AS292" s="477"/>
      <c r="AT292" s="480"/>
      <c r="AU292" s="475"/>
      <c r="AV292" s="475"/>
      <c r="AW292" s="475"/>
      <c r="AX292" s="480"/>
      <c r="AY292" s="475"/>
      <c r="AZ292" s="475"/>
      <c r="BA292" s="475"/>
      <c r="BB292" s="477">
        <f t="shared" si="18"/>
        <v>1</v>
      </c>
      <c r="BC292" s="477">
        <f t="shared" si="16"/>
        <v>1</v>
      </c>
    </row>
    <row r="293" spans="1:55" s="195" customFormat="1" x14ac:dyDescent="0.25">
      <c r="B293" s="186">
        <f t="shared" si="19"/>
        <v>277</v>
      </c>
      <c r="C293" s="186" t="s">
        <v>38</v>
      </c>
      <c r="D293" s="450">
        <v>40007778</v>
      </c>
      <c r="E293" s="451" t="s">
        <v>852</v>
      </c>
      <c r="F293" s="451" t="s">
        <v>543</v>
      </c>
      <c r="G293" s="473" t="s">
        <v>525</v>
      </c>
      <c r="H293" s="451" t="s">
        <v>667</v>
      </c>
      <c r="I293" s="451" t="s">
        <v>43</v>
      </c>
      <c r="J293" s="474">
        <v>96516</v>
      </c>
      <c r="K293" s="474"/>
      <c r="L293" s="474">
        <v>96516</v>
      </c>
      <c r="M293" s="475"/>
      <c r="N293" s="475"/>
      <c r="O293" s="475"/>
      <c r="P293" s="475"/>
      <c r="Q293" s="475"/>
      <c r="R293" s="475"/>
      <c r="S293" s="475"/>
      <c r="T293" s="475"/>
      <c r="U293" s="475"/>
      <c r="V293" s="475"/>
      <c r="W293" s="475"/>
      <c r="X293" s="475"/>
      <c r="Y293" s="475">
        <f t="shared" si="17"/>
        <v>0</v>
      </c>
      <c r="Z293" s="476">
        <v>8200</v>
      </c>
      <c r="AA293" s="477">
        <v>33</v>
      </c>
      <c r="AB293" s="478">
        <v>44307</v>
      </c>
      <c r="AC293" s="479">
        <v>44327</v>
      </c>
      <c r="AD293" s="476"/>
      <c r="AE293" s="477"/>
      <c r="AF293" s="478"/>
      <c r="AG293" s="478"/>
      <c r="AH293" s="476"/>
      <c r="AI293" s="477"/>
      <c r="AJ293" s="478"/>
      <c r="AK293" s="477"/>
      <c r="AL293" s="476"/>
      <c r="AM293" s="477"/>
      <c r="AN293" s="477"/>
      <c r="AO293" s="477"/>
      <c r="AP293" s="477"/>
      <c r="AQ293" s="477"/>
      <c r="AR293" s="477"/>
      <c r="AS293" s="477"/>
      <c r="AT293" s="480"/>
      <c r="AU293" s="475"/>
      <c r="AV293" s="475"/>
      <c r="AW293" s="475"/>
      <c r="AX293" s="480"/>
      <c r="AY293" s="475"/>
      <c r="AZ293" s="475"/>
      <c r="BA293" s="475"/>
      <c r="BB293" s="477">
        <f t="shared" si="18"/>
        <v>8200</v>
      </c>
      <c r="BC293" s="477">
        <f t="shared" si="16"/>
        <v>8200</v>
      </c>
    </row>
    <row r="294" spans="1:55" s="195" customFormat="1" ht="22.5" x14ac:dyDescent="0.25">
      <c r="A294" s="195" t="s">
        <v>853</v>
      </c>
      <c r="B294" s="186">
        <f t="shared" si="19"/>
        <v>278</v>
      </c>
      <c r="C294" s="186" t="s">
        <v>38</v>
      </c>
      <c r="D294" s="450">
        <v>30078506</v>
      </c>
      <c r="E294" s="451" t="s">
        <v>854</v>
      </c>
      <c r="F294" s="451" t="s">
        <v>543</v>
      </c>
      <c r="G294" s="473" t="s">
        <v>525</v>
      </c>
      <c r="H294" s="451" t="s">
        <v>627</v>
      </c>
      <c r="I294" s="451" t="s">
        <v>42</v>
      </c>
      <c r="J294" s="474">
        <v>147877</v>
      </c>
      <c r="K294" s="474">
        <v>107393</v>
      </c>
      <c r="L294" s="474">
        <v>40484</v>
      </c>
      <c r="M294" s="475"/>
      <c r="N294" s="475"/>
      <c r="O294" s="475"/>
      <c r="P294" s="475">
        <v>0</v>
      </c>
      <c r="Q294" s="475">
        <v>0</v>
      </c>
      <c r="R294" s="475">
        <v>36396.15</v>
      </c>
      <c r="S294" s="475"/>
      <c r="T294" s="475"/>
      <c r="U294" s="475"/>
      <c r="V294" s="475"/>
      <c r="W294" s="475"/>
      <c r="X294" s="475"/>
      <c r="Y294" s="475">
        <f t="shared" si="17"/>
        <v>36396.15</v>
      </c>
      <c r="Z294" s="476">
        <v>36396</v>
      </c>
      <c r="AA294" s="477">
        <v>33</v>
      </c>
      <c r="AB294" s="478">
        <v>44307</v>
      </c>
      <c r="AC294" s="479">
        <v>44327</v>
      </c>
      <c r="AD294" s="476">
        <v>4000</v>
      </c>
      <c r="AE294" s="477">
        <v>48</v>
      </c>
      <c r="AF294" s="478">
        <v>44348</v>
      </c>
      <c r="AG294" s="479">
        <v>44354</v>
      </c>
      <c r="AH294" s="476"/>
      <c r="AI294" s="477"/>
      <c r="AJ294" s="478"/>
      <c r="AK294" s="477"/>
      <c r="AL294" s="476"/>
      <c r="AM294" s="477"/>
      <c r="AN294" s="477"/>
      <c r="AO294" s="477"/>
      <c r="AP294" s="477"/>
      <c r="AQ294" s="477"/>
      <c r="AR294" s="477"/>
      <c r="AS294" s="477"/>
      <c r="AT294" s="480"/>
      <c r="AU294" s="475"/>
      <c r="AV294" s="475"/>
      <c r="AW294" s="475"/>
      <c r="AX294" s="480"/>
      <c r="AY294" s="475"/>
      <c r="AZ294" s="475"/>
      <c r="BA294" s="475"/>
      <c r="BB294" s="477">
        <f t="shared" si="18"/>
        <v>40396</v>
      </c>
      <c r="BC294" s="477">
        <f t="shared" si="16"/>
        <v>3999.8499999999985</v>
      </c>
    </row>
    <row r="295" spans="1:55" s="195" customFormat="1" ht="22.5" x14ac:dyDescent="0.25">
      <c r="B295" s="186">
        <f t="shared" si="19"/>
        <v>279</v>
      </c>
      <c r="C295" s="186" t="s">
        <v>38</v>
      </c>
      <c r="D295" s="450">
        <v>30137113</v>
      </c>
      <c r="E295" s="451" t="s">
        <v>855</v>
      </c>
      <c r="F295" s="451" t="s">
        <v>200</v>
      </c>
      <c r="G295" s="473" t="s">
        <v>525</v>
      </c>
      <c r="H295" s="451" t="s">
        <v>584</v>
      </c>
      <c r="I295" s="451" t="str">
        <f>VLOOKUP(D295,[1]Hoja1!$G$5:$H$360,2,0)</f>
        <v>A</v>
      </c>
      <c r="J295" s="474">
        <v>2426328</v>
      </c>
      <c r="K295" s="474">
        <v>84528</v>
      </c>
      <c r="L295" s="474">
        <v>2341800</v>
      </c>
      <c r="M295" s="475"/>
      <c r="N295" s="475"/>
      <c r="O295" s="475"/>
      <c r="P295" s="475"/>
      <c r="Q295" s="475">
        <v>0</v>
      </c>
      <c r="R295" s="475">
        <v>0</v>
      </c>
      <c r="S295" s="475"/>
      <c r="T295" s="475"/>
      <c r="U295" s="475"/>
      <c r="V295" s="475"/>
      <c r="W295" s="475"/>
      <c r="X295" s="475"/>
      <c r="Y295" s="475">
        <f t="shared" si="17"/>
        <v>0</v>
      </c>
      <c r="Z295" s="476">
        <v>3</v>
      </c>
      <c r="AA295" s="477">
        <v>35</v>
      </c>
      <c r="AB295" s="478">
        <v>44314</v>
      </c>
      <c r="AC295" s="479">
        <v>44327</v>
      </c>
      <c r="AD295" s="476"/>
      <c r="AE295" s="477"/>
      <c r="AF295" s="478"/>
      <c r="AG295" s="478"/>
      <c r="AH295" s="476"/>
      <c r="AI295" s="477"/>
      <c r="AJ295" s="478"/>
      <c r="AK295" s="477"/>
      <c r="AL295" s="476"/>
      <c r="AM295" s="477"/>
      <c r="AN295" s="477"/>
      <c r="AO295" s="477"/>
      <c r="AP295" s="477"/>
      <c r="AQ295" s="477"/>
      <c r="AR295" s="477"/>
      <c r="AS295" s="477"/>
      <c r="AT295" s="480"/>
      <c r="AU295" s="475"/>
      <c r="AV295" s="475"/>
      <c r="AW295" s="475"/>
      <c r="AX295" s="480"/>
      <c r="AY295" s="475"/>
      <c r="AZ295" s="475"/>
      <c r="BA295" s="475"/>
      <c r="BB295" s="477">
        <f t="shared" si="18"/>
        <v>3</v>
      </c>
      <c r="BC295" s="477">
        <f t="shared" si="16"/>
        <v>3</v>
      </c>
    </row>
    <row r="296" spans="1:55" s="195" customFormat="1" x14ac:dyDescent="0.25">
      <c r="B296" s="186">
        <f t="shared" si="19"/>
        <v>280</v>
      </c>
      <c r="C296" s="186" t="s">
        <v>38</v>
      </c>
      <c r="D296" s="450">
        <v>30136961</v>
      </c>
      <c r="E296" s="451" t="s">
        <v>856</v>
      </c>
      <c r="F296" s="451" t="s">
        <v>200</v>
      </c>
      <c r="G296" s="473" t="s">
        <v>525</v>
      </c>
      <c r="H296" s="451" t="s">
        <v>525</v>
      </c>
      <c r="I296" s="451" t="str">
        <f>VLOOKUP(D296,[1]Hoja1!$G$5:$H$360,2,0)</f>
        <v>A</v>
      </c>
      <c r="J296" s="474">
        <v>6674476</v>
      </c>
      <c r="K296" s="474">
        <v>4005861</v>
      </c>
      <c r="L296" s="474">
        <v>2668615</v>
      </c>
      <c r="M296" s="475"/>
      <c r="N296" s="475"/>
      <c r="O296" s="475"/>
      <c r="P296" s="475">
        <v>0</v>
      </c>
      <c r="Q296" s="475">
        <v>130120.36</v>
      </c>
      <c r="R296" s="475">
        <v>0</v>
      </c>
      <c r="S296" s="475"/>
      <c r="T296" s="475"/>
      <c r="U296" s="475"/>
      <c r="V296" s="475"/>
      <c r="W296" s="475"/>
      <c r="X296" s="475"/>
      <c r="Y296" s="475">
        <f t="shared" si="17"/>
        <v>130120.36</v>
      </c>
      <c r="Z296" s="476">
        <v>130125</v>
      </c>
      <c r="AA296" s="477">
        <v>35</v>
      </c>
      <c r="AB296" s="478">
        <v>44314</v>
      </c>
      <c r="AC296" s="479">
        <v>44327</v>
      </c>
      <c r="AD296" s="476"/>
      <c r="AE296" s="477"/>
      <c r="AF296" s="478"/>
      <c r="AG296" s="478"/>
      <c r="AH296" s="476"/>
      <c r="AI296" s="477"/>
      <c r="AJ296" s="478"/>
      <c r="AK296" s="477"/>
      <c r="AL296" s="476"/>
      <c r="AM296" s="477"/>
      <c r="AN296" s="477"/>
      <c r="AO296" s="477"/>
      <c r="AP296" s="477"/>
      <c r="AQ296" s="477"/>
      <c r="AR296" s="477"/>
      <c r="AS296" s="477"/>
      <c r="AT296" s="480"/>
      <c r="AU296" s="475"/>
      <c r="AV296" s="475"/>
      <c r="AW296" s="475"/>
      <c r="AX296" s="480"/>
      <c r="AY296" s="475"/>
      <c r="AZ296" s="475"/>
      <c r="BA296" s="475"/>
      <c r="BB296" s="477">
        <f t="shared" si="18"/>
        <v>130125</v>
      </c>
      <c r="BC296" s="477">
        <f t="shared" si="16"/>
        <v>4.6399999999994179</v>
      </c>
    </row>
    <row r="297" spans="1:55" s="195" customFormat="1" x14ac:dyDescent="0.25">
      <c r="B297" s="186">
        <f t="shared" si="19"/>
        <v>281</v>
      </c>
      <c r="C297" s="186" t="s">
        <v>40</v>
      </c>
      <c r="D297" s="450">
        <v>30443973</v>
      </c>
      <c r="E297" s="451" t="s">
        <v>857</v>
      </c>
      <c r="F297" s="451" t="s">
        <v>200</v>
      </c>
      <c r="G297" s="473" t="s">
        <v>525</v>
      </c>
      <c r="H297" s="451" t="s">
        <v>627</v>
      </c>
      <c r="I297" s="451" t="str">
        <f>VLOOKUP(D297,[1]Hoja1!$G$5:$H$360,2,0)</f>
        <v>A</v>
      </c>
      <c r="J297" s="474">
        <v>156844</v>
      </c>
      <c r="K297" s="474">
        <v>142615</v>
      </c>
      <c r="L297" s="474">
        <v>14229</v>
      </c>
      <c r="M297" s="475"/>
      <c r="N297" s="475"/>
      <c r="O297" s="475"/>
      <c r="P297" s="475"/>
      <c r="Q297" s="475"/>
      <c r="R297" s="475"/>
      <c r="S297" s="475"/>
      <c r="T297" s="475"/>
      <c r="U297" s="475"/>
      <c r="V297" s="475"/>
      <c r="W297" s="475"/>
      <c r="X297" s="475"/>
      <c r="Y297" s="475">
        <f t="shared" si="17"/>
        <v>0</v>
      </c>
      <c r="Z297" s="476">
        <v>1</v>
      </c>
      <c r="AA297" s="477">
        <v>39</v>
      </c>
      <c r="AB297" s="478">
        <v>44316</v>
      </c>
      <c r="AC297" s="479">
        <v>44330</v>
      </c>
      <c r="AD297" s="476"/>
      <c r="AE297" s="477"/>
      <c r="AF297" s="478"/>
      <c r="AG297" s="478"/>
      <c r="AH297" s="476"/>
      <c r="AI297" s="477"/>
      <c r="AJ297" s="478"/>
      <c r="AK297" s="477"/>
      <c r="AL297" s="476"/>
      <c r="AM297" s="477"/>
      <c r="AN297" s="477"/>
      <c r="AO297" s="477"/>
      <c r="AP297" s="477"/>
      <c r="AQ297" s="477"/>
      <c r="AR297" s="477"/>
      <c r="AS297" s="477"/>
      <c r="AT297" s="480"/>
      <c r="AU297" s="475"/>
      <c r="AV297" s="475"/>
      <c r="AW297" s="475"/>
      <c r="AX297" s="480"/>
      <c r="AY297" s="475"/>
      <c r="AZ297" s="475"/>
      <c r="BA297" s="475"/>
      <c r="BB297" s="477">
        <f t="shared" si="18"/>
        <v>1</v>
      </c>
      <c r="BC297" s="477">
        <f t="shared" si="16"/>
        <v>1</v>
      </c>
    </row>
    <row r="298" spans="1:55" s="195" customFormat="1" x14ac:dyDescent="0.25">
      <c r="B298" s="186">
        <f t="shared" si="19"/>
        <v>282</v>
      </c>
      <c r="C298" s="186" t="s">
        <v>40</v>
      </c>
      <c r="D298" s="450">
        <v>40000975</v>
      </c>
      <c r="E298" s="451" t="s">
        <v>858</v>
      </c>
      <c r="F298" s="451" t="s">
        <v>200</v>
      </c>
      <c r="G298" s="473" t="s">
        <v>525</v>
      </c>
      <c r="H298" s="451" t="s">
        <v>559</v>
      </c>
      <c r="I298" s="451" t="str">
        <f>VLOOKUP(D298,[1]Hoja1!$G$5:$H$360,2,0)</f>
        <v>A</v>
      </c>
      <c r="J298" s="474">
        <v>53215</v>
      </c>
      <c r="K298" s="474">
        <v>50572</v>
      </c>
      <c r="L298" s="474">
        <v>2643</v>
      </c>
      <c r="M298" s="475"/>
      <c r="N298" s="475"/>
      <c r="O298" s="475"/>
      <c r="P298" s="475"/>
      <c r="Q298" s="475"/>
      <c r="R298" s="475"/>
      <c r="S298" s="475"/>
      <c r="T298" s="475"/>
      <c r="U298" s="475"/>
      <c r="V298" s="475"/>
      <c r="W298" s="475"/>
      <c r="X298" s="475"/>
      <c r="Y298" s="475">
        <f t="shared" si="17"/>
        <v>0</v>
      </c>
      <c r="Z298" s="476">
        <v>2</v>
      </c>
      <c r="AA298" s="477">
        <v>39</v>
      </c>
      <c r="AB298" s="478">
        <v>44316</v>
      </c>
      <c r="AC298" s="479">
        <v>44330</v>
      </c>
      <c r="AD298" s="476"/>
      <c r="AE298" s="477"/>
      <c r="AF298" s="478"/>
      <c r="AG298" s="478"/>
      <c r="AH298" s="476"/>
      <c r="AI298" s="477"/>
      <c r="AJ298" s="478"/>
      <c r="AK298" s="477"/>
      <c r="AL298" s="476"/>
      <c r="AM298" s="477"/>
      <c r="AN298" s="477"/>
      <c r="AO298" s="477"/>
      <c r="AP298" s="477"/>
      <c r="AQ298" s="477"/>
      <c r="AR298" s="477"/>
      <c r="AS298" s="477"/>
      <c r="AT298" s="480"/>
      <c r="AU298" s="475"/>
      <c r="AV298" s="475"/>
      <c r="AW298" s="475"/>
      <c r="AX298" s="480"/>
      <c r="AY298" s="475"/>
      <c r="AZ298" s="475"/>
      <c r="BA298" s="475"/>
      <c r="BB298" s="477">
        <f t="shared" si="18"/>
        <v>2</v>
      </c>
      <c r="BC298" s="477">
        <f t="shared" si="16"/>
        <v>2</v>
      </c>
    </row>
    <row r="299" spans="1:55" s="195" customFormat="1" x14ac:dyDescent="0.25">
      <c r="B299" s="186">
        <f t="shared" si="19"/>
        <v>283</v>
      </c>
      <c r="C299" s="186" t="s">
        <v>40</v>
      </c>
      <c r="D299" s="450">
        <v>30485939</v>
      </c>
      <c r="E299" s="451" t="s">
        <v>859</v>
      </c>
      <c r="F299" s="451" t="s">
        <v>200</v>
      </c>
      <c r="G299" s="473" t="s">
        <v>525</v>
      </c>
      <c r="H299" s="451" t="s">
        <v>584</v>
      </c>
      <c r="I299" s="451" t="str">
        <f>VLOOKUP(D299,[1]Hoja1!$G$5:$H$360,2,0)</f>
        <v>A</v>
      </c>
      <c r="J299" s="474">
        <v>56788</v>
      </c>
      <c r="K299" s="474">
        <v>49068</v>
      </c>
      <c r="L299" s="474">
        <v>7720</v>
      </c>
      <c r="M299" s="475"/>
      <c r="N299" s="475"/>
      <c r="O299" s="475"/>
      <c r="P299" s="475"/>
      <c r="Q299" s="475"/>
      <c r="R299" s="475"/>
      <c r="S299" s="475"/>
      <c r="T299" s="475"/>
      <c r="U299" s="475"/>
      <c r="V299" s="475"/>
      <c r="W299" s="475"/>
      <c r="X299" s="475"/>
      <c r="Y299" s="475">
        <f t="shared" si="17"/>
        <v>0</v>
      </c>
      <c r="Z299" s="476">
        <v>2</v>
      </c>
      <c r="AA299" s="477">
        <v>39</v>
      </c>
      <c r="AB299" s="478">
        <v>44316</v>
      </c>
      <c r="AC299" s="479">
        <v>44330</v>
      </c>
      <c r="AD299" s="476"/>
      <c r="AE299" s="477"/>
      <c r="AF299" s="478"/>
      <c r="AG299" s="478"/>
      <c r="AH299" s="476"/>
      <c r="AI299" s="477"/>
      <c r="AJ299" s="478"/>
      <c r="AK299" s="477"/>
      <c r="AL299" s="476"/>
      <c r="AM299" s="477"/>
      <c r="AN299" s="477"/>
      <c r="AO299" s="477"/>
      <c r="AP299" s="477"/>
      <c r="AQ299" s="477"/>
      <c r="AR299" s="477"/>
      <c r="AS299" s="477"/>
      <c r="AT299" s="480"/>
      <c r="AU299" s="475"/>
      <c r="AV299" s="475"/>
      <c r="AW299" s="475"/>
      <c r="AX299" s="480"/>
      <c r="AY299" s="475"/>
      <c r="AZ299" s="475"/>
      <c r="BA299" s="475"/>
      <c r="BB299" s="477">
        <f t="shared" si="18"/>
        <v>2</v>
      </c>
      <c r="BC299" s="477">
        <f t="shared" si="16"/>
        <v>2</v>
      </c>
    </row>
    <row r="300" spans="1:55" s="195" customFormat="1" x14ac:dyDescent="0.25">
      <c r="B300" s="186">
        <f t="shared" si="19"/>
        <v>284</v>
      </c>
      <c r="C300" s="186" t="s">
        <v>40</v>
      </c>
      <c r="D300" s="450">
        <v>30485993</v>
      </c>
      <c r="E300" s="451" t="s">
        <v>860</v>
      </c>
      <c r="F300" s="451" t="s">
        <v>200</v>
      </c>
      <c r="G300" s="473" t="s">
        <v>525</v>
      </c>
      <c r="H300" s="451" t="s">
        <v>549</v>
      </c>
      <c r="I300" s="451" t="str">
        <f>VLOOKUP(D300,[1]Hoja1!$G$5:$H$360,2,0)</f>
        <v>A</v>
      </c>
      <c r="J300" s="474">
        <v>187360</v>
      </c>
      <c r="K300" s="474">
        <v>49677</v>
      </c>
      <c r="L300" s="474">
        <v>137683</v>
      </c>
      <c r="M300" s="475"/>
      <c r="N300" s="475"/>
      <c r="O300" s="475"/>
      <c r="P300" s="475"/>
      <c r="Q300" s="475"/>
      <c r="R300" s="475"/>
      <c r="S300" s="475"/>
      <c r="T300" s="475"/>
      <c r="U300" s="475"/>
      <c r="V300" s="475"/>
      <c r="W300" s="475"/>
      <c r="X300" s="475"/>
      <c r="Y300" s="475">
        <f t="shared" si="17"/>
        <v>0</v>
      </c>
      <c r="Z300" s="476">
        <v>1</v>
      </c>
      <c r="AA300" s="477">
        <v>39</v>
      </c>
      <c r="AB300" s="478">
        <v>44316</v>
      </c>
      <c r="AC300" s="479">
        <v>44330</v>
      </c>
      <c r="AD300" s="476"/>
      <c r="AE300" s="477"/>
      <c r="AF300" s="478"/>
      <c r="AG300" s="478"/>
      <c r="AH300" s="476"/>
      <c r="AI300" s="477"/>
      <c r="AJ300" s="478"/>
      <c r="AK300" s="477"/>
      <c r="AL300" s="476"/>
      <c r="AM300" s="477"/>
      <c r="AN300" s="477"/>
      <c r="AO300" s="477"/>
      <c r="AP300" s="477"/>
      <c r="AQ300" s="477"/>
      <c r="AR300" s="477"/>
      <c r="AS300" s="477"/>
      <c r="AT300" s="480"/>
      <c r="AU300" s="475"/>
      <c r="AV300" s="475"/>
      <c r="AW300" s="475"/>
      <c r="AX300" s="480"/>
      <c r="AY300" s="475"/>
      <c r="AZ300" s="475"/>
      <c r="BA300" s="475"/>
      <c r="BB300" s="477">
        <f t="shared" si="18"/>
        <v>1</v>
      </c>
      <c r="BC300" s="477">
        <f t="shared" si="16"/>
        <v>1</v>
      </c>
    </row>
    <row r="301" spans="1:55" s="195" customFormat="1" x14ac:dyDescent="0.25">
      <c r="B301" s="186">
        <f t="shared" si="19"/>
        <v>285</v>
      </c>
      <c r="C301" s="186" t="s">
        <v>40</v>
      </c>
      <c r="D301" s="450">
        <v>40007873</v>
      </c>
      <c r="E301" s="451" t="s">
        <v>861</v>
      </c>
      <c r="F301" s="451" t="s">
        <v>200</v>
      </c>
      <c r="G301" s="473" t="s">
        <v>525</v>
      </c>
      <c r="H301" s="451" t="s">
        <v>746</v>
      </c>
      <c r="I301" s="451" t="str">
        <f>VLOOKUP(D301,[1]Hoja1!$G$5:$H$360,2,0)</f>
        <v>N</v>
      </c>
      <c r="J301" s="474">
        <v>71006</v>
      </c>
      <c r="K301" s="474">
        <v>0</v>
      </c>
      <c r="L301" s="474">
        <v>71006</v>
      </c>
      <c r="M301" s="475"/>
      <c r="N301" s="475"/>
      <c r="O301" s="475"/>
      <c r="P301" s="475"/>
      <c r="Q301" s="475"/>
      <c r="R301" s="475"/>
      <c r="S301" s="475"/>
      <c r="T301" s="475"/>
      <c r="U301" s="475"/>
      <c r="V301" s="475"/>
      <c r="W301" s="475"/>
      <c r="X301" s="475"/>
      <c r="Y301" s="475">
        <f t="shared" si="17"/>
        <v>0</v>
      </c>
      <c r="Z301" s="476">
        <v>59813</v>
      </c>
      <c r="AA301" s="477">
        <v>39</v>
      </c>
      <c r="AB301" s="478">
        <v>44316</v>
      </c>
      <c r="AC301" s="479">
        <v>44330</v>
      </c>
      <c r="AD301" s="476"/>
      <c r="AE301" s="477"/>
      <c r="AF301" s="478"/>
      <c r="AG301" s="478"/>
      <c r="AH301" s="476"/>
      <c r="AI301" s="477"/>
      <c r="AJ301" s="478"/>
      <c r="AK301" s="477"/>
      <c r="AL301" s="476"/>
      <c r="AM301" s="477"/>
      <c r="AN301" s="477"/>
      <c r="AO301" s="477"/>
      <c r="AP301" s="477"/>
      <c r="AQ301" s="477"/>
      <c r="AR301" s="477"/>
      <c r="AS301" s="477"/>
      <c r="AT301" s="480"/>
      <c r="AU301" s="475"/>
      <c r="AV301" s="475"/>
      <c r="AW301" s="475"/>
      <c r="AX301" s="480"/>
      <c r="AY301" s="475"/>
      <c r="AZ301" s="475"/>
      <c r="BA301" s="475"/>
      <c r="BB301" s="477">
        <f t="shared" si="18"/>
        <v>59813</v>
      </c>
      <c r="BC301" s="477">
        <f t="shared" si="16"/>
        <v>59813</v>
      </c>
    </row>
    <row r="302" spans="1:55" s="195" customFormat="1" ht="22.5" x14ac:dyDescent="0.25">
      <c r="B302" s="186">
        <f t="shared" si="19"/>
        <v>286</v>
      </c>
      <c r="C302" s="186" t="s">
        <v>38</v>
      </c>
      <c r="D302" s="450">
        <v>30465048</v>
      </c>
      <c r="E302" s="451" t="s">
        <v>862</v>
      </c>
      <c r="F302" s="451" t="s">
        <v>200</v>
      </c>
      <c r="G302" s="473" t="s">
        <v>525</v>
      </c>
      <c r="H302" s="451" t="s">
        <v>528</v>
      </c>
      <c r="I302" s="451" t="str">
        <f>VLOOKUP(D302,[1]Hoja1!$G$5:$H$360,2,0)</f>
        <v>A</v>
      </c>
      <c r="J302" s="474">
        <v>6241491</v>
      </c>
      <c r="K302" s="474">
        <v>6228157</v>
      </c>
      <c r="L302" s="474">
        <v>13334</v>
      </c>
      <c r="M302" s="475"/>
      <c r="N302" s="475"/>
      <c r="O302" s="475"/>
      <c r="P302" s="475"/>
      <c r="Q302" s="475"/>
      <c r="R302" s="475"/>
      <c r="S302" s="475"/>
      <c r="T302" s="475"/>
      <c r="U302" s="475"/>
      <c r="V302" s="475"/>
      <c r="W302" s="475"/>
      <c r="X302" s="475"/>
      <c r="Y302" s="475">
        <f t="shared" si="17"/>
        <v>0</v>
      </c>
      <c r="Z302" s="476">
        <v>1</v>
      </c>
      <c r="AA302" s="477">
        <v>39</v>
      </c>
      <c r="AB302" s="478">
        <v>44316</v>
      </c>
      <c r="AC302" s="479">
        <v>44330</v>
      </c>
      <c r="AD302" s="476"/>
      <c r="AE302" s="477"/>
      <c r="AF302" s="478"/>
      <c r="AG302" s="478"/>
      <c r="AH302" s="476"/>
      <c r="AI302" s="477"/>
      <c r="AJ302" s="478"/>
      <c r="AK302" s="477"/>
      <c r="AL302" s="476"/>
      <c r="AM302" s="477"/>
      <c r="AN302" s="477"/>
      <c r="AO302" s="477"/>
      <c r="AP302" s="477"/>
      <c r="AQ302" s="477"/>
      <c r="AR302" s="477"/>
      <c r="AS302" s="477"/>
      <c r="AT302" s="480"/>
      <c r="AU302" s="475"/>
      <c r="AV302" s="475"/>
      <c r="AW302" s="475"/>
      <c r="AX302" s="480"/>
      <c r="AY302" s="475"/>
      <c r="AZ302" s="475"/>
      <c r="BA302" s="475"/>
      <c r="BB302" s="477">
        <f t="shared" si="18"/>
        <v>1</v>
      </c>
      <c r="BC302" s="477">
        <f t="shared" si="16"/>
        <v>1</v>
      </c>
    </row>
    <row r="303" spans="1:55" s="195" customFormat="1" x14ac:dyDescent="0.25">
      <c r="B303" s="186">
        <f t="shared" si="19"/>
        <v>287</v>
      </c>
      <c r="C303" s="186" t="s">
        <v>38</v>
      </c>
      <c r="D303" s="450">
        <v>30458866</v>
      </c>
      <c r="E303" s="451" t="s">
        <v>863</v>
      </c>
      <c r="F303" s="451" t="s">
        <v>543</v>
      </c>
      <c r="G303" s="473" t="s">
        <v>525</v>
      </c>
      <c r="H303" s="451" t="s">
        <v>547</v>
      </c>
      <c r="I303" s="451" t="str">
        <f>VLOOKUP(D303,[1]Hoja1!$G$5:$H$360,2,0)</f>
        <v>A</v>
      </c>
      <c r="J303" s="474">
        <v>116434</v>
      </c>
      <c r="K303" s="474">
        <v>114771</v>
      </c>
      <c r="L303" s="474">
        <v>1663</v>
      </c>
      <c r="M303" s="475"/>
      <c r="N303" s="475"/>
      <c r="O303" s="475"/>
      <c r="P303" s="475"/>
      <c r="Q303" s="475"/>
      <c r="R303" s="475"/>
      <c r="S303" s="475"/>
      <c r="T303" s="475"/>
      <c r="U303" s="475"/>
      <c r="V303" s="475"/>
      <c r="W303" s="475"/>
      <c r="X303" s="475"/>
      <c r="Y303" s="475">
        <f t="shared" si="17"/>
        <v>0</v>
      </c>
      <c r="Z303" s="476">
        <v>1</v>
      </c>
      <c r="AA303" s="477">
        <v>39</v>
      </c>
      <c r="AB303" s="478">
        <v>44316</v>
      </c>
      <c r="AC303" s="479">
        <v>44330</v>
      </c>
      <c r="AD303" s="476"/>
      <c r="AE303" s="477"/>
      <c r="AF303" s="478"/>
      <c r="AG303" s="478"/>
      <c r="AH303" s="476"/>
      <c r="AI303" s="477"/>
      <c r="AJ303" s="478"/>
      <c r="AK303" s="477"/>
      <c r="AL303" s="476"/>
      <c r="AM303" s="477"/>
      <c r="AN303" s="477"/>
      <c r="AO303" s="477"/>
      <c r="AP303" s="477"/>
      <c r="AQ303" s="477"/>
      <c r="AR303" s="477"/>
      <c r="AS303" s="477"/>
      <c r="AT303" s="480"/>
      <c r="AU303" s="475"/>
      <c r="AV303" s="475"/>
      <c r="AW303" s="475"/>
      <c r="AX303" s="480"/>
      <c r="AY303" s="475"/>
      <c r="AZ303" s="475"/>
      <c r="BA303" s="475"/>
      <c r="BB303" s="477">
        <f t="shared" si="18"/>
        <v>1</v>
      </c>
      <c r="BC303" s="477">
        <f t="shared" si="16"/>
        <v>1</v>
      </c>
    </row>
    <row r="304" spans="1:55" s="195" customFormat="1" x14ac:dyDescent="0.25">
      <c r="B304" s="186">
        <f t="shared" si="19"/>
        <v>288</v>
      </c>
      <c r="C304" s="186" t="s">
        <v>38</v>
      </c>
      <c r="D304" s="450">
        <v>30273122</v>
      </c>
      <c r="E304" s="451" t="s">
        <v>864</v>
      </c>
      <c r="F304" s="451" t="s">
        <v>200</v>
      </c>
      <c r="G304" s="473" t="s">
        <v>525</v>
      </c>
      <c r="H304" s="451" t="s">
        <v>654</v>
      </c>
      <c r="I304" s="451" t="str">
        <f>VLOOKUP(D304,[1]Hoja1!$G$5:$H$360,2,0)</f>
        <v>A</v>
      </c>
      <c r="J304" s="474">
        <v>393631</v>
      </c>
      <c r="K304" s="474">
        <v>351783</v>
      </c>
      <c r="L304" s="474">
        <v>41848</v>
      </c>
      <c r="M304" s="475"/>
      <c r="N304" s="475"/>
      <c r="O304" s="475"/>
      <c r="P304" s="475"/>
      <c r="Q304" s="475"/>
      <c r="R304" s="475"/>
      <c r="S304" s="475"/>
      <c r="T304" s="475"/>
      <c r="U304" s="475"/>
      <c r="V304" s="475"/>
      <c r="W304" s="475"/>
      <c r="X304" s="475"/>
      <c r="Y304" s="475">
        <f t="shared" si="17"/>
        <v>0</v>
      </c>
      <c r="Z304" s="476">
        <v>1</v>
      </c>
      <c r="AA304" s="477">
        <v>39</v>
      </c>
      <c r="AB304" s="478">
        <v>44316</v>
      </c>
      <c r="AC304" s="479">
        <v>44330</v>
      </c>
      <c r="AD304" s="476"/>
      <c r="AE304" s="477"/>
      <c r="AF304" s="478"/>
      <c r="AG304" s="478"/>
      <c r="AH304" s="476"/>
      <c r="AI304" s="477"/>
      <c r="AJ304" s="478"/>
      <c r="AK304" s="477"/>
      <c r="AL304" s="476"/>
      <c r="AM304" s="477"/>
      <c r="AN304" s="477"/>
      <c r="AO304" s="477"/>
      <c r="AP304" s="477"/>
      <c r="AQ304" s="477"/>
      <c r="AR304" s="477"/>
      <c r="AS304" s="477"/>
      <c r="AT304" s="480"/>
      <c r="AU304" s="475"/>
      <c r="AV304" s="475"/>
      <c r="AW304" s="475"/>
      <c r="AX304" s="480"/>
      <c r="AY304" s="475"/>
      <c r="AZ304" s="475"/>
      <c r="BA304" s="475"/>
      <c r="BB304" s="477">
        <f t="shared" si="18"/>
        <v>1</v>
      </c>
      <c r="BC304" s="477">
        <f t="shared" si="16"/>
        <v>1</v>
      </c>
    </row>
    <row r="305" spans="2:55" s="195" customFormat="1" ht="22.5" x14ac:dyDescent="0.25">
      <c r="B305" s="186">
        <f t="shared" si="19"/>
        <v>289</v>
      </c>
      <c r="C305" s="186" t="s">
        <v>38</v>
      </c>
      <c r="D305" s="450">
        <v>40003284</v>
      </c>
      <c r="E305" s="451" t="s">
        <v>865</v>
      </c>
      <c r="F305" s="451" t="s">
        <v>200</v>
      </c>
      <c r="G305" s="473" t="s">
        <v>525</v>
      </c>
      <c r="H305" s="451" t="s">
        <v>674</v>
      </c>
      <c r="I305" s="451" t="str">
        <f>VLOOKUP(D305,[1]Hoja1!$G$5:$H$360,2,0)</f>
        <v>A</v>
      </c>
      <c r="J305" s="474">
        <v>102218</v>
      </c>
      <c r="K305" s="474">
        <v>95020</v>
      </c>
      <c r="L305" s="474">
        <v>7198</v>
      </c>
      <c r="M305" s="475"/>
      <c r="N305" s="475"/>
      <c r="O305" s="475"/>
      <c r="P305" s="475"/>
      <c r="Q305" s="475"/>
      <c r="R305" s="475"/>
      <c r="S305" s="475"/>
      <c r="T305" s="475"/>
      <c r="U305" s="475"/>
      <c r="V305" s="475"/>
      <c r="W305" s="475"/>
      <c r="X305" s="475"/>
      <c r="Y305" s="475">
        <f t="shared" si="17"/>
        <v>0</v>
      </c>
      <c r="Z305" s="476">
        <v>2</v>
      </c>
      <c r="AA305" s="477">
        <v>39</v>
      </c>
      <c r="AB305" s="478">
        <v>44316</v>
      </c>
      <c r="AC305" s="479">
        <v>44330</v>
      </c>
      <c r="AD305" s="476"/>
      <c r="AE305" s="477"/>
      <c r="AF305" s="478"/>
      <c r="AG305" s="478"/>
      <c r="AH305" s="476"/>
      <c r="AI305" s="477"/>
      <c r="AJ305" s="478"/>
      <c r="AK305" s="477"/>
      <c r="AL305" s="476"/>
      <c r="AM305" s="477"/>
      <c r="AN305" s="477"/>
      <c r="AO305" s="477"/>
      <c r="AP305" s="477"/>
      <c r="AQ305" s="477"/>
      <c r="AR305" s="477"/>
      <c r="AS305" s="477"/>
      <c r="AT305" s="480"/>
      <c r="AU305" s="475"/>
      <c r="AV305" s="475"/>
      <c r="AW305" s="475"/>
      <c r="AX305" s="480"/>
      <c r="AY305" s="475"/>
      <c r="AZ305" s="475"/>
      <c r="BA305" s="475"/>
      <c r="BB305" s="477">
        <f t="shared" si="18"/>
        <v>2</v>
      </c>
      <c r="BC305" s="477">
        <f t="shared" si="16"/>
        <v>2</v>
      </c>
    </row>
    <row r="306" spans="2:55" s="195" customFormat="1" x14ac:dyDescent="0.25">
      <c r="B306" s="186">
        <f t="shared" si="19"/>
        <v>290</v>
      </c>
      <c r="C306" s="186" t="s">
        <v>38</v>
      </c>
      <c r="D306" s="450">
        <v>30104012</v>
      </c>
      <c r="E306" s="451" t="s">
        <v>866</v>
      </c>
      <c r="F306" s="451" t="s">
        <v>200</v>
      </c>
      <c r="G306" s="473" t="s">
        <v>525</v>
      </c>
      <c r="H306" s="451" t="s">
        <v>587</v>
      </c>
      <c r="I306" s="451" t="str">
        <f>VLOOKUP(D306,[1]Hoja1!$G$5:$H$360,2,0)</f>
        <v>A</v>
      </c>
      <c r="J306" s="474">
        <v>2477002</v>
      </c>
      <c r="K306" s="474">
        <v>2255681</v>
      </c>
      <c r="L306" s="474">
        <v>221321</v>
      </c>
      <c r="M306" s="475"/>
      <c r="N306" s="475"/>
      <c r="O306" s="475"/>
      <c r="P306" s="475"/>
      <c r="Q306" s="475"/>
      <c r="R306" s="475"/>
      <c r="S306" s="475"/>
      <c r="T306" s="475"/>
      <c r="U306" s="475"/>
      <c r="V306" s="475"/>
      <c r="W306" s="475"/>
      <c r="X306" s="475"/>
      <c r="Y306" s="475">
        <f t="shared" si="17"/>
        <v>0</v>
      </c>
      <c r="Z306" s="476">
        <v>2</v>
      </c>
      <c r="AA306" s="477">
        <v>39</v>
      </c>
      <c r="AB306" s="478">
        <v>44316</v>
      </c>
      <c r="AC306" s="479">
        <v>44330</v>
      </c>
      <c r="AD306" s="476"/>
      <c r="AE306" s="477"/>
      <c r="AF306" s="478"/>
      <c r="AG306" s="478"/>
      <c r="AH306" s="476"/>
      <c r="AI306" s="477"/>
      <c r="AJ306" s="478"/>
      <c r="AK306" s="477"/>
      <c r="AL306" s="476"/>
      <c r="AM306" s="477"/>
      <c r="AN306" s="477"/>
      <c r="AO306" s="477"/>
      <c r="AP306" s="477"/>
      <c r="AQ306" s="477"/>
      <c r="AR306" s="477"/>
      <c r="AS306" s="477"/>
      <c r="AT306" s="480"/>
      <c r="AU306" s="475"/>
      <c r="AV306" s="475"/>
      <c r="AW306" s="475"/>
      <c r="AX306" s="480"/>
      <c r="AY306" s="475"/>
      <c r="AZ306" s="475"/>
      <c r="BA306" s="475"/>
      <c r="BB306" s="477">
        <f t="shared" si="18"/>
        <v>2</v>
      </c>
      <c r="BC306" s="477">
        <f t="shared" si="16"/>
        <v>2</v>
      </c>
    </row>
    <row r="307" spans="2:55" s="195" customFormat="1" x14ac:dyDescent="0.25">
      <c r="B307" s="186">
        <f t="shared" si="19"/>
        <v>291</v>
      </c>
      <c r="C307" s="186" t="s">
        <v>38</v>
      </c>
      <c r="D307" s="450">
        <v>30469836</v>
      </c>
      <c r="E307" s="451" t="s">
        <v>867</v>
      </c>
      <c r="F307" s="451" t="s">
        <v>200</v>
      </c>
      <c r="G307" s="473" t="s">
        <v>525</v>
      </c>
      <c r="H307" s="451" t="s">
        <v>672</v>
      </c>
      <c r="I307" s="451" t="str">
        <f>VLOOKUP(D307,[1]Hoja1!$G$5:$H$360,2,0)</f>
        <v>A</v>
      </c>
      <c r="J307" s="474">
        <v>484660</v>
      </c>
      <c r="K307" s="474">
        <v>471189</v>
      </c>
      <c r="L307" s="474">
        <v>13471</v>
      </c>
      <c r="M307" s="475"/>
      <c r="N307" s="475"/>
      <c r="O307" s="475"/>
      <c r="P307" s="475"/>
      <c r="Q307" s="475"/>
      <c r="R307" s="475"/>
      <c r="S307" s="475"/>
      <c r="T307" s="475"/>
      <c r="U307" s="475"/>
      <c r="V307" s="475"/>
      <c r="W307" s="475"/>
      <c r="X307" s="475"/>
      <c r="Y307" s="475">
        <f t="shared" si="17"/>
        <v>0</v>
      </c>
      <c r="Z307" s="476">
        <v>3</v>
      </c>
      <c r="AA307" s="477">
        <v>39</v>
      </c>
      <c r="AB307" s="478">
        <v>44316</v>
      </c>
      <c r="AC307" s="479">
        <v>44330</v>
      </c>
      <c r="AD307" s="476"/>
      <c r="AE307" s="477"/>
      <c r="AF307" s="478"/>
      <c r="AG307" s="478"/>
      <c r="AH307" s="476"/>
      <c r="AI307" s="477"/>
      <c r="AJ307" s="478"/>
      <c r="AK307" s="477"/>
      <c r="AL307" s="476"/>
      <c r="AM307" s="477"/>
      <c r="AN307" s="477"/>
      <c r="AO307" s="477"/>
      <c r="AP307" s="477"/>
      <c r="AQ307" s="477"/>
      <c r="AR307" s="477"/>
      <c r="AS307" s="477"/>
      <c r="AT307" s="480"/>
      <c r="AU307" s="475"/>
      <c r="AV307" s="475"/>
      <c r="AW307" s="475"/>
      <c r="AX307" s="480"/>
      <c r="AY307" s="475"/>
      <c r="AZ307" s="475"/>
      <c r="BA307" s="475"/>
      <c r="BB307" s="477">
        <f t="shared" si="18"/>
        <v>3</v>
      </c>
      <c r="BC307" s="477">
        <f t="shared" si="16"/>
        <v>3</v>
      </c>
    </row>
    <row r="308" spans="2:55" s="195" customFormat="1" ht="22.5" x14ac:dyDescent="0.25">
      <c r="B308" s="186">
        <f t="shared" si="19"/>
        <v>292</v>
      </c>
      <c r="C308" s="186" t="s">
        <v>38</v>
      </c>
      <c r="D308" s="450">
        <v>30128325</v>
      </c>
      <c r="E308" s="451" t="s">
        <v>868</v>
      </c>
      <c r="F308" s="451" t="s">
        <v>200</v>
      </c>
      <c r="G308" s="473" t="s">
        <v>525</v>
      </c>
      <c r="H308" s="451" t="s">
        <v>574</v>
      </c>
      <c r="I308" s="451" t="str">
        <f>VLOOKUP(D308,[1]Hoja1!$G$5:$H$360,2,0)</f>
        <v>A</v>
      </c>
      <c r="J308" s="474">
        <v>3542751</v>
      </c>
      <c r="K308" s="474">
        <v>3321907</v>
      </c>
      <c r="L308" s="474">
        <v>220844</v>
      </c>
      <c r="M308" s="475"/>
      <c r="N308" s="475"/>
      <c r="O308" s="475"/>
      <c r="P308" s="475"/>
      <c r="Q308" s="475"/>
      <c r="R308" s="475"/>
      <c r="S308" s="475"/>
      <c r="T308" s="475"/>
      <c r="U308" s="475"/>
      <c r="V308" s="475"/>
      <c r="W308" s="475"/>
      <c r="X308" s="475"/>
      <c r="Y308" s="475">
        <f t="shared" si="17"/>
        <v>0</v>
      </c>
      <c r="Z308" s="476">
        <v>2</v>
      </c>
      <c r="AA308" s="477">
        <v>39</v>
      </c>
      <c r="AB308" s="478">
        <v>44316</v>
      </c>
      <c r="AC308" s="479">
        <v>44330</v>
      </c>
      <c r="AD308" s="476"/>
      <c r="AE308" s="477"/>
      <c r="AF308" s="478"/>
      <c r="AG308" s="478"/>
      <c r="AH308" s="476"/>
      <c r="AI308" s="477"/>
      <c r="AJ308" s="478"/>
      <c r="AK308" s="477"/>
      <c r="AL308" s="476"/>
      <c r="AM308" s="477"/>
      <c r="AN308" s="477"/>
      <c r="AO308" s="477"/>
      <c r="AP308" s="477"/>
      <c r="AQ308" s="477"/>
      <c r="AR308" s="477"/>
      <c r="AS308" s="477"/>
      <c r="AT308" s="480"/>
      <c r="AU308" s="475"/>
      <c r="AV308" s="475"/>
      <c r="AW308" s="475"/>
      <c r="AX308" s="480"/>
      <c r="AY308" s="475"/>
      <c r="AZ308" s="475"/>
      <c r="BA308" s="475"/>
      <c r="BB308" s="477">
        <f t="shared" si="18"/>
        <v>2</v>
      </c>
      <c r="BC308" s="477">
        <f t="shared" si="16"/>
        <v>2</v>
      </c>
    </row>
    <row r="309" spans="2:55" s="195" customFormat="1" ht="22.5" x14ac:dyDescent="0.25">
      <c r="B309" s="186">
        <f t="shared" si="19"/>
        <v>293</v>
      </c>
      <c r="C309" s="186" t="s">
        <v>38</v>
      </c>
      <c r="D309" s="450">
        <v>30387723</v>
      </c>
      <c r="E309" s="451" t="s">
        <v>869</v>
      </c>
      <c r="F309" s="451" t="s">
        <v>200</v>
      </c>
      <c r="G309" s="473" t="s">
        <v>525</v>
      </c>
      <c r="H309" s="451" t="s">
        <v>600</v>
      </c>
      <c r="I309" s="451" t="str">
        <f>VLOOKUP(D309,[1]Hoja1!$G$5:$H$360,2,0)</f>
        <v>A</v>
      </c>
      <c r="J309" s="474">
        <v>609967</v>
      </c>
      <c r="K309" s="474">
        <v>588650</v>
      </c>
      <c r="L309" s="474">
        <v>21317</v>
      </c>
      <c r="M309" s="475"/>
      <c r="N309" s="475"/>
      <c r="O309" s="475"/>
      <c r="P309" s="475"/>
      <c r="Q309" s="475"/>
      <c r="R309" s="475"/>
      <c r="S309" s="475"/>
      <c r="T309" s="475"/>
      <c r="U309" s="475"/>
      <c r="V309" s="475"/>
      <c r="W309" s="475"/>
      <c r="X309" s="475"/>
      <c r="Y309" s="475">
        <f t="shared" si="17"/>
        <v>0</v>
      </c>
      <c r="Z309" s="476">
        <v>1</v>
      </c>
      <c r="AA309" s="477">
        <v>39</v>
      </c>
      <c r="AB309" s="478">
        <v>44316</v>
      </c>
      <c r="AC309" s="479">
        <v>44330</v>
      </c>
      <c r="AD309" s="476"/>
      <c r="AE309" s="477"/>
      <c r="AF309" s="478"/>
      <c r="AG309" s="478"/>
      <c r="AH309" s="476"/>
      <c r="AI309" s="477"/>
      <c r="AJ309" s="478"/>
      <c r="AK309" s="477"/>
      <c r="AL309" s="476"/>
      <c r="AM309" s="477"/>
      <c r="AN309" s="477"/>
      <c r="AO309" s="477"/>
      <c r="AP309" s="477"/>
      <c r="AQ309" s="477"/>
      <c r="AR309" s="477"/>
      <c r="AS309" s="477"/>
      <c r="AT309" s="480"/>
      <c r="AU309" s="475"/>
      <c r="AV309" s="475"/>
      <c r="AW309" s="475"/>
      <c r="AX309" s="480"/>
      <c r="AY309" s="475"/>
      <c r="AZ309" s="475"/>
      <c r="BA309" s="475"/>
      <c r="BB309" s="477">
        <f t="shared" si="18"/>
        <v>1</v>
      </c>
      <c r="BC309" s="477">
        <f t="shared" si="16"/>
        <v>1</v>
      </c>
    </row>
    <row r="310" spans="2:55" s="195" customFormat="1" ht="22.5" x14ac:dyDescent="0.25">
      <c r="B310" s="186">
        <f t="shared" si="19"/>
        <v>294</v>
      </c>
      <c r="C310" s="186" t="s">
        <v>38</v>
      </c>
      <c r="D310" s="450">
        <v>30408824</v>
      </c>
      <c r="E310" s="451" t="s">
        <v>870</v>
      </c>
      <c r="F310" s="451" t="s">
        <v>200</v>
      </c>
      <c r="G310" s="473" t="s">
        <v>525</v>
      </c>
      <c r="H310" s="451" t="s">
        <v>600</v>
      </c>
      <c r="I310" s="451" t="str">
        <f>VLOOKUP(D310,[1]Hoja1!$G$5:$H$360,2,0)</f>
        <v>A</v>
      </c>
      <c r="J310" s="474">
        <v>336254</v>
      </c>
      <c r="K310" s="474">
        <v>272278</v>
      </c>
      <c r="L310" s="474">
        <v>63976</v>
      </c>
      <c r="M310" s="475"/>
      <c r="N310" s="475"/>
      <c r="O310" s="475"/>
      <c r="P310" s="475"/>
      <c r="Q310" s="475"/>
      <c r="R310" s="475"/>
      <c r="S310" s="475"/>
      <c r="T310" s="475"/>
      <c r="U310" s="475"/>
      <c r="V310" s="475"/>
      <c r="W310" s="475"/>
      <c r="X310" s="475"/>
      <c r="Y310" s="475">
        <f t="shared" si="17"/>
        <v>0</v>
      </c>
      <c r="Z310" s="476">
        <v>2</v>
      </c>
      <c r="AA310" s="477">
        <v>39</v>
      </c>
      <c r="AB310" s="478">
        <v>44316</v>
      </c>
      <c r="AC310" s="479">
        <v>44330</v>
      </c>
      <c r="AD310" s="476"/>
      <c r="AE310" s="477"/>
      <c r="AF310" s="478"/>
      <c r="AG310" s="478"/>
      <c r="AH310" s="476"/>
      <c r="AI310" s="477"/>
      <c r="AJ310" s="478"/>
      <c r="AK310" s="477"/>
      <c r="AL310" s="476"/>
      <c r="AM310" s="477"/>
      <c r="AN310" s="477"/>
      <c r="AO310" s="477"/>
      <c r="AP310" s="477"/>
      <c r="AQ310" s="477"/>
      <c r="AR310" s="477"/>
      <c r="AS310" s="477"/>
      <c r="AT310" s="480"/>
      <c r="AU310" s="475"/>
      <c r="AV310" s="475"/>
      <c r="AW310" s="475"/>
      <c r="AX310" s="480"/>
      <c r="AY310" s="475"/>
      <c r="AZ310" s="475"/>
      <c r="BA310" s="475"/>
      <c r="BB310" s="477">
        <f t="shared" si="18"/>
        <v>2</v>
      </c>
      <c r="BC310" s="477">
        <f t="shared" si="16"/>
        <v>2</v>
      </c>
    </row>
    <row r="311" spans="2:55" s="195" customFormat="1" x14ac:dyDescent="0.25">
      <c r="B311" s="186">
        <f t="shared" si="19"/>
        <v>295</v>
      </c>
      <c r="C311" s="186" t="s">
        <v>38</v>
      </c>
      <c r="D311" s="450">
        <v>30404676</v>
      </c>
      <c r="E311" s="451" t="s">
        <v>871</v>
      </c>
      <c r="F311" s="451" t="s">
        <v>200</v>
      </c>
      <c r="G311" s="473" t="s">
        <v>525</v>
      </c>
      <c r="H311" s="451" t="s">
        <v>530</v>
      </c>
      <c r="I311" s="451" t="str">
        <f>VLOOKUP(D311,[1]Hoja1!$G$5:$H$360,2,0)</f>
        <v>A</v>
      </c>
      <c r="J311" s="474">
        <v>1388170</v>
      </c>
      <c r="K311" s="474">
        <v>1374363</v>
      </c>
      <c r="L311" s="474">
        <v>13807</v>
      </c>
      <c r="M311" s="475"/>
      <c r="N311" s="475"/>
      <c r="O311" s="475"/>
      <c r="P311" s="475"/>
      <c r="Q311" s="475"/>
      <c r="R311" s="475"/>
      <c r="S311" s="475"/>
      <c r="T311" s="475"/>
      <c r="U311" s="475"/>
      <c r="V311" s="475"/>
      <c r="W311" s="475"/>
      <c r="X311" s="475"/>
      <c r="Y311" s="475">
        <f t="shared" si="17"/>
        <v>0</v>
      </c>
      <c r="Z311" s="476">
        <v>2</v>
      </c>
      <c r="AA311" s="477">
        <v>39</v>
      </c>
      <c r="AB311" s="478">
        <v>44316</v>
      </c>
      <c r="AC311" s="479">
        <v>44330</v>
      </c>
      <c r="AD311" s="476"/>
      <c r="AE311" s="477"/>
      <c r="AF311" s="478"/>
      <c r="AG311" s="478"/>
      <c r="AH311" s="476"/>
      <c r="AI311" s="477"/>
      <c r="AJ311" s="478"/>
      <c r="AK311" s="477"/>
      <c r="AL311" s="476"/>
      <c r="AM311" s="477"/>
      <c r="AN311" s="477"/>
      <c r="AO311" s="477"/>
      <c r="AP311" s="477"/>
      <c r="AQ311" s="477"/>
      <c r="AR311" s="477"/>
      <c r="AS311" s="477"/>
      <c r="AT311" s="480"/>
      <c r="AU311" s="475"/>
      <c r="AV311" s="475"/>
      <c r="AW311" s="475"/>
      <c r="AX311" s="480"/>
      <c r="AY311" s="475"/>
      <c r="AZ311" s="475"/>
      <c r="BA311" s="475"/>
      <c r="BB311" s="477">
        <f t="shared" si="18"/>
        <v>2</v>
      </c>
      <c r="BC311" s="477">
        <f t="shared" si="16"/>
        <v>2</v>
      </c>
    </row>
    <row r="312" spans="2:55" s="195" customFormat="1" ht="22.5" x14ac:dyDescent="0.25">
      <c r="B312" s="186">
        <f t="shared" si="19"/>
        <v>296</v>
      </c>
      <c r="C312" s="186" t="s">
        <v>38</v>
      </c>
      <c r="D312" s="450">
        <v>30486848</v>
      </c>
      <c r="E312" s="451" t="s">
        <v>872</v>
      </c>
      <c r="F312" s="451" t="s">
        <v>200</v>
      </c>
      <c r="G312" s="473" t="s">
        <v>525</v>
      </c>
      <c r="H312" s="451" t="s">
        <v>623</v>
      </c>
      <c r="I312" s="451" t="str">
        <f>VLOOKUP(D312,[1]Hoja1!$G$5:$H$360,2,0)</f>
        <v>A</v>
      </c>
      <c r="J312" s="474">
        <v>287825</v>
      </c>
      <c r="K312" s="474">
        <v>250850</v>
      </c>
      <c r="L312" s="474">
        <v>36975</v>
      </c>
      <c r="M312" s="475"/>
      <c r="N312" s="475"/>
      <c r="O312" s="475"/>
      <c r="P312" s="475"/>
      <c r="Q312" s="475"/>
      <c r="R312" s="475"/>
      <c r="S312" s="475"/>
      <c r="T312" s="475"/>
      <c r="U312" s="475"/>
      <c r="V312" s="475"/>
      <c r="W312" s="475"/>
      <c r="X312" s="475"/>
      <c r="Y312" s="475">
        <f t="shared" si="17"/>
        <v>0</v>
      </c>
      <c r="Z312" s="476">
        <v>2</v>
      </c>
      <c r="AA312" s="477">
        <v>39</v>
      </c>
      <c r="AB312" s="478">
        <v>44316</v>
      </c>
      <c r="AC312" s="479">
        <v>44330</v>
      </c>
      <c r="AD312" s="476"/>
      <c r="AE312" s="477"/>
      <c r="AF312" s="478"/>
      <c r="AG312" s="478"/>
      <c r="AH312" s="476"/>
      <c r="AI312" s="477"/>
      <c r="AJ312" s="478"/>
      <c r="AK312" s="477"/>
      <c r="AL312" s="476"/>
      <c r="AM312" s="477"/>
      <c r="AN312" s="477"/>
      <c r="AO312" s="477"/>
      <c r="AP312" s="477"/>
      <c r="AQ312" s="477"/>
      <c r="AR312" s="477"/>
      <c r="AS312" s="477"/>
      <c r="AT312" s="480"/>
      <c r="AU312" s="475"/>
      <c r="AV312" s="475"/>
      <c r="AW312" s="475"/>
      <c r="AX312" s="480"/>
      <c r="AY312" s="475"/>
      <c r="AZ312" s="475"/>
      <c r="BA312" s="475"/>
      <c r="BB312" s="477">
        <f t="shared" si="18"/>
        <v>2</v>
      </c>
      <c r="BC312" s="477">
        <f t="shared" si="16"/>
        <v>2</v>
      </c>
    </row>
    <row r="313" spans="2:55" s="195" customFormat="1" ht="22.5" x14ac:dyDescent="0.25">
      <c r="B313" s="186">
        <f t="shared" si="19"/>
        <v>297</v>
      </c>
      <c r="C313" s="186" t="s">
        <v>38</v>
      </c>
      <c r="D313" s="450">
        <v>30486910</v>
      </c>
      <c r="E313" s="451" t="s">
        <v>873</v>
      </c>
      <c r="F313" s="451" t="s">
        <v>200</v>
      </c>
      <c r="G313" s="473" t="s">
        <v>525</v>
      </c>
      <c r="H313" s="451" t="s">
        <v>623</v>
      </c>
      <c r="I313" s="451" t="str">
        <f>VLOOKUP(D313,[1]Hoja1!$G$5:$H$360,2,0)</f>
        <v>A</v>
      </c>
      <c r="J313" s="474">
        <v>286461</v>
      </c>
      <c r="K313" s="474">
        <v>242283</v>
      </c>
      <c r="L313" s="474">
        <v>44178</v>
      </c>
      <c r="M313" s="475"/>
      <c r="N313" s="475"/>
      <c r="O313" s="475"/>
      <c r="P313" s="475"/>
      <c r="Q313" s="475"/>
      <c r="R313" s="475"/>
      <c r="S313" s="475"/>
      <c r="T313" s="475"/>
      <c r="U313" s="475"/>
      <c r="V313" s="475"/>
      <c r="W313" s="475"/>
      <c r="X313" s="475"/>
      <c r="Y313" s="475">
        <f t="shared" si="17"/>
        <v>0</v>
      </c>
      <c r="Z313" s="476">
        <v>3</v>
      </c>
      <c r="AA313" s="477">
        <v>39</v>
      </c>
      <c r="AB313" s="478">
        <v>44316</v>
      </c>
      <c r="AC313" s="479">
        <v>44330</v>
      </c>
      <c r="AD313" s="476"/>
      <c r="AE313" s="477"/>
      <c r="AF313" s="478"/>
      <c r="AG313" s="478"/>
      <c r="AH313" s="476"/>
      <c r="AI313" s="477"/>
      <c r="AJ313" s="478"/>
      <c r="AK313" s="477"/>
      <c r="AL313" s="476"/>
      <c r="AM313" s="477"/>
      <c r="AN313" s="477"/>
      <c r="AO313" s="477"/>
      <c r="AP313" s="477"/>
      <c r="AQ313" s="477"/>
      <c r="AR313" s="477"/>
      <c r="AS313" s="477"/>
      <c r="AT313" s="480"/>
      <c r="AU313" s="475"/>
      <c r="AV313" s="475"/>
      <c r="AW313" s="475"/>
      <c r="AX313" s="480"/>
      <c r="AY313" s="475"/>
      <c r="AZ313" s="475"/>
      <c r="BA313" s="475"/>
      <c r="BB313" s="477">
        <f t="shared" si="18"/>
        <v>3</v>
      </c>
      <c r="BC313" s="477">
        <f t="shared" si="16"/>
        <v>3</v>
      </c>
    </row>
    <row r="314" spans="2:55" s="195" customFormat="1" ht="22.5" x14ac:dyDescent="0.25">
      <c r="B314" s="186">
        <f t="shared" si="19"/>
        <v>298</v>
      </c>
      <c r="C314" s="186" t="s">
        <v>38</v>
      </c>
      <c r="D314" s="450">
        <v>30425222</v>
      </c>
      <c r="E314" s="451" t="s">
        <v>874</v>
      </c>
      <c r="F314" s="451" t="s">
        <v>539</v>
      </c>
      <c r="G314" s="473" t="s">
        <v>525</v>
      </c>
      <c r="H314" s="451" t="s">
        <v>525</v>
      </c>
      <c r="I314" s="451" t="str">
        <f>VLOOKUP(D314,[1]Hoja1!$G$5:$H$360,2,0)</f>
        <v>A</v>
      </c>
      <c r="J314" s="474">
        <v>153875</v>
      </c>
      <c r="K314" s="474">
        <v>136990</v>
      </c>
      <c r="L314" s="474">
        <v>16885</v>
      </c>
      <c r="M314" s="475"/>
      <c r="N314" s="475"/>
      <c r="O314" s="475"/>
      <c r="P314" s="475"/>
      <c r="Q314" s="475"/>
      <c r="R314" s="475"/>
      <c r="S314" s="475"/>
      <c r="T314" s="475"/>
      <c r="U314" s="475"/>
      <c r="V314" s="475"/>
      <c r="W314" s="475"/>
      <c r="X314" s="475"/>
      <c r="Y314" s="475">
        <f t="shared" si="17"/>
        <v>0</v>
      </c>
      <c r="Z314" s="476">
        <v>2</v>
      </c>
      <c r="AA314" s="477">
        <v>39</v>
      </c>
      <c r="AB314" s="478">
        <v>44316</v>
      </c>
      <c r="AC314" s="479">
        <v>44330</v>
      </c>
      <c r="AD314" s="476"/>
      <c r="AE314" s="477"/>
      <c r="AF314" s="478"/>
      <c r="AG314" s="478"/>
      <c r="AH314" s="476"/>
      <c r="AI314" s="477"/>
      <c r="AJ314" s="478"/>
      <c r="AK314" s="477"/>
      <c r="AL314" s="476"/>
      <c r="AM314" s="477"/>
      <c r="AN314" s="477"/>
      <c r="AO314" s="477"/>
      <c r="AP314" s="477"/>
      <c r="AQ314" s="477"/>
      <c r="AR314" s="477"/>
      <c r="AS314" s="477"/>
      <c r="AT314" s="480"/>
      <c r="AU314" s="475"/>
      <c r="AV314" s="475"/>
      <c r="AW314" s="475"/>
      <c r="AX314" s="480"/>
      <c r="AY314" s="475"/>
      <c r="AZ314" s="475"/>
      <c r="BA314" s="475"/>
      <c r="BB314" s="477">
        <f t="shared" si="18"/>
        <v>2</v>
      </c>
      <c r="BC314" s="477">
        <f t="shared" si="16"/>
        <v>2</v>
      </c>
    </row>
    <row r="315" spans="2:55" s="195" customFormat="1" ht="22.5" x14ac:dyDescent="0.25">
      <c r="B315" s="186">
        <f t="shared" si="19"/>
        <v>299</v>
      </c>
      <c r="C315" s="186" t="s">
        <v>38</v>
      </c>
      <c r="D315" s="450">
        <v>30472092</v>
      </c>
      <c r="E315" s="451" t="s">
        <v>875</v>
      </c>
      <c r="F315" s="451" t="s">
        <v>200</v>
      </c>
      <c r="G315" s="473" t="s">
        <v>525</v>
      </c>
      <c r="H315" s="451" t="s">
        <v>528</v>
      </c>
      <c r="I315" s="451" t="str">
        <f>VLOOKUP(D315,[1]Hoja1!$G$5:$H$360,2,0)</f>
        <v>A</v>
      </c>
      <c r="J315" s="474">
        <v>108987</v>
      </c>
      <c r="K315" s="474">
        <v>97680</v>
      </c>
      <c r="L315" s="474">
        <v>11307</v>
      </c>
      <c r="M315" s="475"/>
      <c r="N315" s="475"/>
      <c r="O315" s="475"/>
      <c r="P315" s="475"/>
      <c r="Q315" s="475"/>
      <c r="R315" s="475"/>
      <c r="S315" s="475"/>
      <c r="T315" s="475"/>
      <c r="U315" s="475"/>
      <c r="V315" s="475"/>
      <c r="W315" s="475"/>
      <c r="X315" s="475"/>
      <c r="Y315" s="475">
        <f t="shared" si="17"/>
        <v>0</v>
      </c>
      <c r="Z315" s="476">
        <v>2</v>
      </c>
      <c r="AA315" s="477">
        <v>39</v>
      </c>
      <c r="AB315" s="478">
        <v>44316</v>
      </c>
      <c r="AC315" s="479">
        <v>44330</v>
      </c>
      <c r="AD315" s="476"/>
      <c r="AE315" s="477"/>
      <c r="AF315" s="478"/>
      <c r="AG315" s="478"/>
      <c r="AH315" s="476"/>
      <c r="AI315" s="477"/>
      <c r="AJ315" s="478"/>
      <c r="AK315" s="477"/>
      <c r="AL315" s="476"/>
      <c r="AM315" s="477"/>
      <c r="AN315" s="477"/>
      <c r="AO315" s="477"/>
      <c r="AP315" s="477"/>
      <c r="AQ315" s="477"/>
      <c r="AR315" s="477"/>
      <c r="AS315" s="477"/>
      <c r="AT315" s="480"/>
      <c r="AU315" s="475"/>
      <c r="AV315" s="475"/>
      <c r="AW315" s="475"/>
      <c r="AX315" s="480"/>
      <c r="AY315" s="475"/>
      <c r="AZ315" s="475"/>
      <c r="BA315" s="475"/>
      <c r="BB315" s="477">
        <f t="shared" si="18"/>
        <v>2</v>
      </c>
      <c r="BC315" s="477">
        <f t="shared" si="16"/>
        <v>2</v>
      </c>
    </row>
    <row r="316" spans="2:55" s="195" customFormat="1" x14ac:dyDescent="0.25">
      <c r="B316" s="186">
        <f t="shared" si="19"/>
        <v>300</v>
      </c>
      <c r="C316" s="186" t="s">
        <v>38</v>
      </c>
      <c r="D316" s="450">
        <v>30261122</v>
      </c>
      <c r="E316" s="451" t="s">
        <v>876</v>
      </c>
      <c r="F316" s="451" t="s">
        <v>200</v>
      </c>
      <c r="G316" s="473" t="s">
        <v>525</v>
      </c>
      <c r="H316" s="451" t="s">
        <v>561</v>
      </c>
      <c r="I316" s="451" t="str">
        <f>VLOOKUP(D316,[1]Hoja1!$G$5:$H$360,2,0)</f>
        <v>A</v>
      </c>
      <c r="J316" s="474">
        <v>796930</v>
      </c>
      <c r="K316" s="474">
        <v>717884</v>
      </c>
      <c r="L316" s="474">
        <v>79046</v>
      </c>
      <c r="M316" s="475"/>
      <c r="N316" s="475"/>
      <c r="O316" s="475"/>
      <c r="P316" s="475"/>
      <c r="Q316" s="475"/>
      <c r="R316" s="475"/>
      <c r="S316" s="475"/>
      <c r="T316" s="475"/>
      <c r="U316" s="475"/>
      <c r="V316" s="475"/>
      <c r="W316" s="475"/>
      <c r="X316" s="475"/>
      <c r="Y316" s="475">
        <f t="shared" si="17"/>
        <v>0</v>
      </c>
      <c r="Z316" s="476">
        <v>1</v>
      </c>
      <c r="AA316" s="477">
        <v>39</v>
      </c>
      <c r="AB316" s="478">
        <v>44316</v>
      </c>
      <c r="AC316" s="479">
        <v>44330</v>
      </c>
      <c r="AD316" s="476"/>
      <c r="AE316" s="477"/>
      <c r="AF316" s="478"/>
      <c r="AG316" s="478"/>
      <c r="AH316" s="476"/>
      <c r="AI316" s="477"/>
      <c r="AJ316" s="478"/>
      <c r="AK316" s="477"/>
      <c r="AL316" s="476"/>
      <c r="AM316" s="477"/>
      <c r="AN316" s="477"/>
      <c r="AO316" s="477"/>
      <c r="AP316" s="477"/>
      <c r="AQ316" s="477"/>
      <c r="AR316" s="477"/>
      <c r="AS316" s="477"/>
      <c r="AT316" s="480"/>
      <c r="AU316" s="475"/>
      <c r="AV316" s="475"/>
      <c r="AW316" s="475"/>
      <c r="AX316" s="480"/>
      <c r="AY316" s="475"/>
      <c r="AZ316" s="475"/>
      <c r="BA316" s="475"/>
      <c r="BB316" s="477">
        <f t="shared" si="18"/>
        <v>1</v>
      </c>
      <c r="BC316" s="477">
        <f t="shared" si="16"/>
        <v>1</v>
      </c>
    </row>
    <row r="317" spans="2:55" s="195" customFormat="1" ht="22.5" x14ac:dyDescent="0.25">
      <c r="B317" s="186">
        <f t="shared" si="19"/>
        <v>301</v>
      </c>
      <c r="C317" s="186" t="s">
        <v>38</v>
      </c>
      <c r="D317" s="450">
        <v>30183822</v>
      </c>
      <c r="E317" s="451" t="s">
        <v>877</v>
      </c>
      <c r="F317" s="451" t="s">
        <v>200</v>
      </c>
      <c r="G317" s="473" t="s">
        <v>525</v>
      </c>
      <c r="H317" s="451" t="s">
        <v>627</v>
      </c>
      <c r="I317" s="451" t="str">
        <f>VLOOKUP(D317,[1]Hoja1!$G$5:$H$360,2,0)</f>
        <v>N</v>
      </c>
      <c r="J317" s="474">
        <v>305894</v>
      </c>
      <c r="K317" s="474">
        <v>209491</v>
      </c>
      <c r="L317" s="474">
        <v>96403</v>
      </c>
      <c r="M317" s="475"/>
      <c r="N317" s="475"/>
      <c r="O317" s="475"/>
      <c r="P317" s="475"/>
      <c r="Q317" s="475"/>
      <c r="R317" s="475"/>
      <c r="S317" s="475"/>
      <c r="T317" s="475"/>
      <c r="U317" s="475"/>
      <c r="V317" s="475"/>
      <c r="W317" s="475"/>
      <c r="X317" s="475"/>
      <c r="Y317" s="475">
        <f t="shared" si="17"/>
        <v>0</v>
      </c>
      <c r="Z317" s="476">
        <v>4</v>
      </c>
      <c r="AA317" s="477">
        <v>39</v>
      </c>
      <c r="AB317" s="478">
        <v>44316</v>
      </c>
      <c r="AC317" s="479">
        <v>44330</v>
      </c>
      <c r="AD317" s="476"/>
      <c r="AE317" s="477"/>
      <c r="AF317" s="478"/>
      <c r="AG317" s="478"/>
      <c r="AH317" s="476"/>
      <c r="AI317" s="477"/>
      <c r="AJ317" s="478"/>
      <c r="AK317" s="477"/>
      <c r="AL317" s="476"/>
      <c r="AM317" s="477"/>
      <c r="AN317" s="477"/>
      <c r="AO317" s="477"/>
      <c r="AP317" s="477"/>
      <c r="AQ317" s="477"/>
      <c r="AR317" s="477"/>
      <c r="AS317" s="477"/>
      <c r="AT317" s="480"/>
      <c r="AU317" s="475"/>
      <c r="AV317" s="475"/>
      <c r="AW317" s="475"/>
      <c r="AX317" s="480"/>
      <c r="AY317" s="475"/>
      <c r="AZ317" s="475"/>
      <c r="BA317" s="475"/>
      <c r="BB317" s="477">
        <f t="shared" si="18"/>
        <v>4</v>
      </c>
      <c r="BC317" s="477">
        <f t="shared" si="16"/>
        <v>4</v>
      </c>
    </row>
    <row r="318" spans="2:55" s="195" customFormat="1" ht="22.5" x14ac:dyDescent="0.25">
      <c r="B318" s="186">
        <f t="shared" si="19"/>
        <v>302</v>
      </c>
      <c r="C318" s="186" t="s">
        <v>38</v>
      </c>
      <c r="D318" s="450">
        <v>30487902</v>
      </c>
      <c r="E318" s="451" t="s">
        <v>878</v>
      </c>
      <c r="F318" s="451" t="s">
        <v>200</v>
      </c>
      <c r="G318" s="473" t="s">
        <v>525</v>
      </c>
      <c r="H318" s="451" t="s">
        <v>672</v>
      </c>
      <c r="I318" s="451" t="str">
        <f>VLOOKUP(D318,[1]Hoja1!$G$5:$H$360,2,0)</f>
        <v>N</v>
      </c>
      <c r="J318" s="474">
        <v>268644</v>
      </c>
      <c r="K318" s="474">
        <v>235384</v>
      </c>
      <c r="L318" s="474">
        <v>33260</v>
      </c>
      <c r="M318" s="475"/>
      <c r="N318" s="475"/>
      <c r="O318" s="475"/>
      <c r="P318" s="475"/>
      <c r="Q318" s="475"/>
      <c r="R318" s="475"/>
      <c r="S318" s="475"/>
      <c r="T318" s="475"/>
      <c r="U318" s="475"/>
      <c r="V318" s="475"/>
      <c r="W318" s="475"/>
      <c r="X318" s="475"/>
      <c r="Y318" s="475">
        <f t="shared" si="17"/>
        <v>0</v>
      </c>
      <c r="Z318" s="476">
        <v>2</v>
      </c>
      <c r="AA318" s="477">
        <v>39</v>
      </c>
      <c r="AB318" s="478">
        <v>44316</v>
      </c>
      <c r="AC318" s="479">
        <v>44330</v>
      </c>
      <c r="AD318" s="476"/>
      <c r="AE318" s="477"/>
      <c r="AF318" s="478"/>
      <c r="AG318" s="478"/>
      <c r="AH318" s="476"/>
      <c r="AI318" s="477"/>
      <c r="AJ318" s="478"/>
      <c r="AK318" s="477"/>
      <c r="AL318" s="476"/>
      <c r="AM318" s="477"/>
      <c r="AN318" s="477"/>
      <c r="AO318" s="477"/>
      <c r="AP318" s="477"/>
      <c r="AQ318" s="477"/>
      <c r="AR318" s="477"/>
      <c r="AS318" s="477"/>
      <c r="AT318" s="480"/>
      <c r="AU318" s="475"/>
      <c r="AV318" s="475"/>
      <c r="AW318" s="475"/>
      <c r="AX318" s="480"/>
      <c r="AY318" s="475"/>
      <c r="AZ318" s="475"/>
      <c r="BA318" s="475"/>
      <c r="BB318" s="477">
        <f t="shared" si="18"/>
        <v>2</v>
      </c>
      <c r="BC318" s="477">
        <f t="shared" si="16"/>
        <v>2</v>
      </c>
    </row>
    <row r="319" spans="2:55" s="195" customFormat="1" ht="22.5" x14ac:dyDescent="0.25">
      <c r="B319" s="186">
        <f t="shared" si="19"/>
        <v>303</v>
      </c>
      <c r="C319" s="186" t="s">
        <v>38</v>
      </c>
      <c r="D319" s="450">
        <v>40004178</v>
      </c>
      <c r="E319" s="451" t="s">
        <v>879</v>
      </c>
      <c r="F319" s="451" t="s">
        <v>200</v>
      </c>
      <c r="G319" s="473" t="s">
        <v>525</v>
      </c>
      <c r="H319" s="451" t="s">
        <v>528</v>
      </c>
      <c r="I319" s="451" t="str">
        <f>VLOOKUP(D319,[1]Hoja1!$G$5:$H$360,2,0)</f>
        <v>N</v>
      </c>
      <c r="J319" s="474">
        <v>315924</v>
      </c>
      <c r="K319" s="474">
        <v>285265</v>
      </c>
      <c r="L319" s="474">
        <v>30659</v>
      </c>
      <c r="M319" s="475"/>
      <c r="N319" s="475"/>
      <c r="O319" s="475"/>
      <c r="P319" s="475"/>
      <c r="Q319" s="475"/>
      <c r="R319" s="475"/>
      <c r="S319" s="475"/>
      <c r="T319" s="475"/>
      <c r="U319" s="475"/>
      <c r="V319" s="475"/>
      <c r="W319" s="475"/>
      <c r="X319" s="475"/>
      <c r="Y319" s="475">
        <f t="shared" si="17"/>
        <v>0</v>
      </c>
      <c r="Z319" s="476">
        <v>3</v>
      </c>
      <c r="AA319" s="477">
        <v>39</v>
      </c>
      <c r="AB319" s="478">
        <v>44316</v>
      </c>
      <c r="AC319" s="479">
        <v>44330</v>
      </c>
      <c r="AD319" s="476"/>
      <c r="AE319" s="477"/>
      <c r="AF319" s="478"/>
      <c r="AG319" s="478"/>
      <c r="AH319" s="476"/>
      <c r="AI319" s="477"/>
      <c r="AJ319" s="478"/>
      <c r="AK319" s="477"/>
      <c r="AL319" s="476"/>
      <c r="AM319" s="477"/>
      <c r="AN319" s="477"/>
      <c r="AO319" s="477"/>
      <c r="AP319" s="477"/>
      <c r="AQ319" s="477"/>
      <c r="AR319" s="477"/>
      <c r="AS319" s="477"/>
      <c r="AT319" s="480"/>
      <c r="AU319" s="475"/>
      <c r="AV319" s="475"/>
      <c r="AW319" s="475"/>
      <c r="AX319" s="480"/>
      <c r="AY319" s="475"/>
      <c r="AZ319" s="475"/>
      <c r="BA319" s="475"/>
      <c r="BB319" s="477">
        <f t="shared" si="18"/>
        <v>3</v>
      </c>
      <c r="BC319" s="477">
        <f t="shared" si="16"/>
        <v>3</v>
      </c>
    </row>
    <row r="320" spans="2:55" s="195" customFormat="1" ht="22.5" x14ac:dyDescent="0.25">
      <c r="B320" s="186">
        <f t="shared" si="19"/>
        <v>304</v>
      </c>
      <c r="C320" s="186" t="s">
        <v>38</v>
      </c>
      <c r="D320" s="450">
        <v>40000595</v>
      </c>
      <c r="E320" s="451" t="s">
        <v>880</v>
      </c>
      <c r="F320" s="451" t="s">
        <v>200</v>
      </c>
      <c r="G320" s="473" t="s">
        <v>525</v>
      </c>
      <c r="H320" s="451" t="s">
        <v>672</v>
      </c>
      <c r="I320" s="451" t="str">
        <f>VLOOKUP(D320,[1]Hoja1!$G$5:$H$360,2,0)</f>
        <v>A</v>
      </c>
      <c r="J320" s="474">
        <v>199902</v>
      </c>
      <c r="K320" s="474">
        <v>191912</v>
      </c>
      <c r="L320" s="474">
        <v>7990</v>
      </c>
      <c r="M320" s="475"/>
      <c r="N320" s="475"/>
      <c r="O320" s="475"/>
      <c r="P320" s="475"/>
      <c r="Q320" s="475"/>
      <c r="R320" s="475"/>
      <c r="S320" s="475"/>
      <c r="T320" s="475"/>
      <c r="U320" s="475"/>
      <c r="V320" s="475"/>
      <c r="W320" s="475"/>
      <c r="X320" s="475"/>
      <c r="Y320" s="475">
        <f t="shared" si="17"/>
        <v>0</v>
      </c>
      <c r="Z320" s="476">
        <v>1</v>
      </c>
      <c r="AA320" s="477">
        <v>39</v>
      </c>
      <c r="AB320" s="478">
        <v>44316</v>
      </c>
      <c r="AC320" s="479">
        <v>44330</v>
      </c>
      <c r="AD320" s="476"/>
      <c r="AE320" s="477"/>
      <c r="AF320" s="478"/>
      <c r="AG320" s="478"/>
      <c r="AH320" s="476"/>
      <c r="AI320" s="477"/>
      <c r="AJ320" s="478"/>
      <c r="AK320" s="477"/>
      <c r="AL320" s="476"/>
      <c r="AM320" s="477"/>
      <c r="AN320" s="477"/>
      <c r="AO320" s="477"/>
      <c r="AP320" s="477"/>
      <c r="AQ320" s="477"/>
      <c r="AR320" s="477"/>
      <c r="AS320" s="477"/>
      <c r="AT320" s="480"/>
      <c r="AU320" s="475"/>
      <c r="AV320" s="475"/>
      <c r="AW320" s="475"/>
      <c r="AX320" s="480"/>
      <c r="AY320" s="475"/>
      <c r="AZ320" s="475"/>
      <c r="BA320" s="475"/>
      <c r="BB320" s="477">
        <f t="shared" si="18"/>
        <v>1</v>
      </c>
      <c r="BC320" s="477">
        <f t="shared" si="16"/>
        <v>1</v>
      </c>
    </row>
    <row r="321" spans="2:55" s="195" customFormat="1" ht="22.5" x14ac:dyDescent="0.25">
      <c r="B321" s="186">
        <f t="shared" si="19"/>
        <v>305</v>
      </c>
      <c r="C321" s="186" t="s">
        <v>38</v>
      </c>
      <c r="D321" s="450">
        <v>30316825</v>
      </c>
      <c r="E321" s="451" t="s">
        <v>881</v>
      </c>
      <c r="F321" s="451" t="s">
        <v>200</v>
      </c>
      <c r="G321" s="473" t="s">
        <v>525</v>
      </c>
      <c r="H321" s="451" t="s">
        <v>627</v>
      </c>
      <c r="I321" s="451" t="str">
        <f>VLOOKUP(D321,[1]Hoja1!$G$5:$H$360,2,0)</f>
        <v>A</v>
      </c>
      <c r="J321" s="474">
        <v>826310</v>
      </c>
      <c r="K321" s="474">
        <v>206087</v>
      </c>
      <c r="L321" s="474">
        <v>620223</v>
      </c>
      <c r="M321" s="475"/>
      <c r="N321" s="475"/>
      <c r="O321" s="475"/>
      <c r="P321" s="475">
        <v>0</v>
      </c>
      <c r="Q321" s="475">
        <v>0</v>
      </c>
      <c r="R321" s="475">
        <v>4700.5680000000002</v>
      </c>
      <c r="S321" s="475"/>
      <c r="T321" s="475"/>
      <c r="U321" s="475"/>
      <c r="V321" s="475"/>
      <c r="W321" s="475"/>
      <c r="X321" s="475"/>
      <c r="Y321" s="475">
        <f t="shared" si="17"/>
        <v>4700.5680000000002</v>
      </c>
      <c r="Z321" s="476">
        <v>4704</v>
      </c>
      <c r="AA321" s="477">
        <v>40</v>
      </c>
      <c r="AB321" s="478">
        <v>44316</v>
      </c>
      <c r="AC321" s="479">
        <v>44328</v>
      </c>
      <c r="AD321" s="476"/>
      <c r="AE321" s="477"/>
      <c r="AF321" s="478"/>
      <c r="AG321" s="478"/>
      <c r="AH321" s="476"/>
      <c r="AI321" s="477"/>
      <c r="AJ321" s="478"/>
      <c r="AK321" s="477"/>
      <c r="AL321" s="476"/>
      <c r="AM321" s="477"/>
      <c r="AN321" s="477"/>
      <c r="AO321" s="477"/>
      <c r="AP321" s="477"/>
      <c r="AQ321" s="477"/>
      <c r="AR321" s="477"/>
      <c r="AS321" s="477"/>
      <c r="AT321" s="480"/>
      <c r="AU321" s="475"/>
      <c r="AV321" s="475"/>
      <c r="AW321" s="475"/>
      <c r="AX321" s="480"/>
      <c r="AY321" s="475"/>
      <c r="AZ321" s="475"/>
      <c r="BA321" s="475"/>
      <c r="BB321" s="477">
        <f t="shared" si="18"/>
        <v>4704</v>
      </c>
      <c r="BC321" s="477">
        <f t="shared" si="16"/>
        <v>3.431999999999789</v>
      </c>
    </row>
    <row r="322" spans="2:55" s="195" customFormat="1" x14ac:dyDescent="0.25">
      <c r="B322" s="186">
        <f t="shared" si="19"/>
        <v>306</v>
      </c>
      <c r="C322" s="186" t="s">
        <v>38</v>
      </c>
      <c r="D322" s="450">
        <v>40005507</v>
      </c>
      <c r="E322" s="451" t="s">
        <v>882</v>
      </c>
      <c r="F322" s="451" t="s">
        <v>543</v>
      </c>
      <c r="G322" s="473" t="s">
        <v>525</v>
      </c>
      <c r="H322" s="451" t="s">
        <v>535</v>
      </c>
      <c r="I322" s="451" t="str">
        <f>VLOOKUP(D322,[1]Hoja1!$G$5:$H$360,2,0)</f>
        <v>N</v>
      </c>
      <c r="J322" s="474">
        <v>116891</v>
      </c>
      <c r="K322" s="474">
        <v>91</v>
      </c>
      <c r="L322" s="474">
        <v>116800</v>
      </c>
      <c r="M322" s="475"/>
      <c r="N322" s="475"/>
      <c r="O322" s="475"/>
      <c r="P322" s="475"/>
      <c r="Q322" s="475"/>
      <c r="R322" s="475"/>
      <c r="S322" s="475"/>
      <c r="T322" s="475"/>
      <c r="U322" s="475"/>
      <c r="V322" s="475"/>
      <c r="W322" s="475"/>
      <c r="X322" s="475"/>
      <c r="Y322" s="475">
        <f t="shared" si="17"/>
        <v>0</v>
      </c>
      <c r="Z322" s="476">
        <v>6000</v>
      </c>
      <c r="AA322" s="477">
        <v>48</v>
      </c>
      <c r="AB322" s="478">
        <v>44348</v>
      </c>
      <c r="AC322" s="479">
        <v>44354</v>
      </c>
      <c r="AD322" s="476"/>
      <c r="AE322" s="477"/>
      <c r="AF322" s="478"/>
      <c r="AG322" s="478"/>
      <c r="AH322" s="476"/>
      <c r="AI322" s="477"/>
      <c r="AJ322" s="478"/>
      <c r="AK322" s="477"/>
      <c r="AL322" s="476"/>
      <c r="AM322" s="477"/>
      <c r="AN322" s="477"/>
      <c r="AO322" s="477"/>
      <c r="AP322" s="477"/>
      <c r="AQ322" s="477"/>
      <c r="AR322" s="477"/>
      <c r="AS322" s="477"/>
      <c r="AT322" s="480"/>
      <c r="AU322" s="475"/>
      <c r="AV322" s="475"/>
      <c r="AW322" s="475"/>
      <c r="AX322" s="480"/>
      <c r="AY322" s="475"/>
      <c r="AZ322" s="475"/>
      <c r="BA322" s="475"/>
      <c r="BB322" s="477">
        <f t="shared" si="18"/>
        <v>6000</v>
      </c>
      <c r="BC322" s="477">
        <f t="shared" si="16"/>
        <v>6000</v>
      </c>
    </row>
    <row r="323" spans="2:55" s="195" customFormat="1" ht="22.5" x14ac:dyDescent="0.25">
      <c r="B323" s="186">
        <f t="shared" si="19"/>
        <v>307</v>
      </c>
      <c r="C323" s="186" t="s">
        <v>38</v>
      </c>
      <c r="D323" s="450">
        <v>40002001</v>
      </c>
      <c r="E323" s="451" t="s">
        <v>883</v>
      </c>
      <c r="F323" s="451" t="s">
        <v>200</v>
      </c>
      <c r="G323" s="473" t="s">
        <v>525</v>
      </c>
      <c r="H323" s="451" t="s">
        <v>614</v>
      </c>
      <c r="I323" s="451" t="str">
        <f>VLOOKUP(D323,[1]Hoja1!$G$5:$H$360,2,0)</f>
        <v>A</v>
      </c>
      <c r="J323" s="474">
        <v>948283</v>
      </c>
      <c r="K323" s="474">
        <v>925124</v>
      </c>
      <c r="L323" s="474">
        <v>23159</v>
      </c>
      <c r="M323" s="475"/>
      <c r="N323" s="475"/>
      <c r="O323" s="475"/>
      <c r="P323" s="475"/>
      <c r="Q323" s="475"/>
      <c r="R323" s="475"/>
      <c r="S323" s="475"/>
      <c r="T323" s="475"/>
      <c r="U323" s="475"/>
      <c r="V323" s="475"/>
      <c r="W323" s="475"/>
      <c r="X323" s="475"/>
      <c r="Y323" s="475">
        <f t="shared" si="17"/>
        <v>0</v>
      </c>
      <c r="Z323" s="476">
        <v>2801</v>
      </c>
      <c r="AA323" s="477">
        <v>49</v>
      </c>
      <c r="AB323" s="478">
        <v>44348</v>
      </c>
      <c r="AC323" s="479">
        <v>44354</v>
      </c>
      <c r="AD323" s="476"/>
      <c r="AE323" s="477"/>
      <c r="AF323" s="478"/>
      <c r="AG323" s="478"/>
      <c r="AH323" s="476"/>
      <c r="AI323" s="477"/>
      <c r="AJ323" s="478"/>
      <c r="AK323" s="477"/>
      <c r="AL323" s="476"/>
      <c r="AM323" s="477"/>
      <c r="AN323" s="477"/>
      <c r="AO323" s="477"/>
      <c r="AP323" s="477"/>
      <c r="AQ323" s="477"/>
      <c r="AR323" s="477"/>
      <c r="AS323" s="477"/>
      <c r="AT323" s="480"/>
      <c r="AU323" s="475"/>
      <c r="AV323" s="475"/>
      <c r="AW323" s="475"/>
      <c r="AX323" s="480"/>
      <c r="AY323" s="475"/>
      <c r="AZ323" s="475"/>
      <c r="BA323" s="475"/>
      <c r="BB323" s="477">
        <f t="shared" si="18"/>
        <v>2801</v>
      </c>
      <c r="BC323" s="477">
        <f t="shared" si="16"/>
        <v>2801</v>
      </c>
    </row>
    <row r="324" spans="2:55" s="195" customFormat="1" ht="22.5" x14ac:dyDescent="0.25">
      <c r="B324" s="186">
        <f t="shared" si="19"/>
        <v>308</v>
      </c>
      <c r="C324" s="186" t="s">
        <v>38</v>
      </c>
      <c r="D324" s="450">
        <v>30469942</v>
      </c>
      <c r="E324" s="451" t="s">
        <v>884</v>
      </c>
      <c r="F324" s="451" t="s">
        <v>200</v>
      </c>
      <c r="G324" s="473" t="s">
        <v>525</v>
      </c>
      <c r="H324" s="451" t="s">
        <v>574</v>
      </c>
      <c r="I324" s="451" t="str">
        <f>VLOOKUP(D324,[1]Hoja1!$G$5:$H$360,2,0)</f>
        <v>A</v>
      </c>
      <c r="J324" s="474">
        <v>987080</v>
      </c>
      <c r="K324" s="474">
        <v>707693</v>
      </c>
      <c r="L324" s="474">
        <v>279387</v>
      </c>
      <c r="M324" s="475"/>
      <c r="N324" s="475"/>
      <c r="O324" s="475"/>
      <c r="P324" s="475"/>
      <c r="Q324" s="475"/>
      <c r="R324" s="475"/>
      <c r="S324" s="475"/>
      <c r="T324" s="475"/>
      <c r="U324" s="475"/>
      <c r="V324" s="475"/>
      <c r="W324" s="475"/>
      <c r="X324" s="475"/>
      <c r="Y324" s="475">
        <f t="shared" si="17"/>
        <v>0</v>
      </c>
      <c r="Z324" s="476">
        <v>54550</v>
      </c>
      <c r="AA324" s="477">
        <v>49</v>
      </c>
      <c r="AB324" s="478">
        <v>44348</v>
      </c>
      <c r="AC324" s="479">
        <v>44354</v>
      </c>
      <c r="AD324" s="476"/>
      <c r="AE324" s="477"/>
      <c r="AF324" s="478"/>
      <c r="AG324" s="478"/>
      <c r="AH324" s="476"/>
      <c r="AI324" s="477"/>
      <c r="AJ324" s="478"/>
      <c r="AK324" s="477"/>
      <c r="AL324" s="476"/>
      <c r="AM324" s="477"/>
      <c r="AN324" s="477"/>
      <c r="AO324" s="477"/>
      <c r="AP324" s="477"/>
      <c r="AQ324" s="477"/>
      <c r="AR324" s="477"/>
      <c r="AS324" s="477"/>
      <c r="AT324" s="480"/>
      <c r="AU324" s="475"/>
      <c r="AV324" s="475"/>
      <c r="AW324" s="475"/>
      <c r="AX324" s="480"/>
      <c r="AY324" s="475"/>
      <c r="AZ324" s="475"/>
      <c r="BA324" s="475"/>
      <c r="BB324" s="477">
        <f t="shared" si="18"/>
        <v>54550</v>
      </c>
      <c r="BC324" s="477">
        <f t="shared" si="16"/>
        <v>54550</v>
      </c>
    </row>
    <row r="325" spans="2:55" s="195" customFormat="1" x14ac:dyDescent="0.25">
      <c r="B325" s="186">
        <f t="shared" si="19"/>
        <v>309</v>
      </c>
      <c r="C325" s="186" t="s">
        <v>40</v>
      </c>
      <c r="D325" s="450">
        <v>30457722</v>
      </c>
      <c r="E325" s="451" t="s">
        <v>885</v>
      </c>
      <c r="F325" s="451" t="s">
        <v>200</v>
      </c>
      <c r="G325" s="473" t="s">
        <v>525</v>
      </c>
      <c r="H325" s="451" t="s">
        <v>584</v>
      </c>
      <c r="I325" s="451" t="str">
        <f>VLOOKUP(D325,[1]Hoja1!$G$5:$H$360,2,0)</f>
        <v>A</v>
      </c>
      <c r="J325" s="474">
        <v>260354</v>
      </c>
      <c r="K325" s="474">
        <v>74573</v>
      </c>
      <c r="L325" s="474">
        <v>185781</v>
      </c>
      <c r="M325" s="475"/>
      <c r="N325" s="475"/>
      <c r="O325" s="475"/>
      <c r="P325" s="475"/>
      <c r="Q325" s="475"/>
      <c r="R325" s="475"/>
      <c r="S325" s="475"/>
      <c r="T325" s="475"/>
      <c r="U325" s="475"/>
      <c r="V325" s="475"/>
      <c r="W325" s="475"/>
      <c r="X325" s="475"/>
      <c r="Y325" s="475">
        <f t="shared" si="17"/>
        <v>0</v>
      </c>
      <c r="Z325" s="476">
        <v>5000</v>
      </c>
      <c r="AA325" s="477">
        <v>54</v>
      </c>
      <c r="AB325" s="478">
        <v>44363</v>
      </c>
      <c r="AC325" s="479">
        <v>44369</v>
      </c>
      <c r="AD325" s="476"/>
      <c r="AE325" s="477"/>
      <c r="AF325" s="478"/>
      <c r="AG325" s="478"/>
      <c r="AH325" s="476"/>
      <c r="AI325" s="477"/>
      <c r="AJ325" s="478"/>
      <c r="AK325" s="477"/>
      <c r="AL325" s="476"/>
      <c r="AM325" s="477"/>
      <c r="AN325" s="477"/>
      <c r="AO325" s="477"/>
      <c r="AP325" s="477"/>
      <c r="AQ325" s="477"/>
      <c r="AR325" s="477"/>
      <c r="AS325" s="477"/>
      <c r="AT325" s="480"/>
      <c r="AU325" s="475"/>
      <c r="AV325" s="475"/>
      <c r="AW325" s="475"/>
      <c r="AX325" s="480"/>
      <c r="AY325" s="475"/>
      <c r="AZ325" s="475"/>
      <c r="BA325" s="475"/>
      <c r="BB325" s="477">
        <f t="shared" si="18"/>
        <v>5000</v>
      </c>
      <c r="BC325" s="477">
        <f t="shared" si="16"/>
        <v>5000</v>
      </c>
    </row>
    <row r="326" spans="2:55" s="195" customFormat="1" ht="22.5" x14ac:dyDescent="0.25">
      <c r="B326" s="186">
        <f t="shared" si="19"/>
        <v>310</v>
      </c>
      <c r="C326" s="186" t="s">
        <v>38</v>
      </c>
      <c r="D326" s="450">
        <v>30137010</v>
      </c>
      <c r="E326" s="451" t="s">
        <v>886</v>
      </c>
      <c r="F326" s="451" t="s">
        <v>543</v>
      </c>
      <c r="G326" s="473" t="s">
        <v>525</v>
      </c>
      <c r="H326" s="451" t="s">
        <v>584</v>
      </c>
      <c r="I326" s="451" t="str">
        <f>VLOOKUP(D326,[1]Hoja1!$G$5:$H$360,2,0)</f>
        <v>A</v>
      </c>
      <c r="J326" s="474">
        <v>57498</v>
      </c>
      <c r="K326" s="474">
        <v>36298</v>
      </c>
      <c r="L326" s="474">
        <v>21200</v>
      </c>
      <c r="M326" s="475"/>
      <c r="N326" s="475"/>
      <c r="O326" s="475"/>
      <c r="P326" s="475"/>
      <c r="Q326" s="475"/>
      <c r="R326" s="475"/>
      <c r="S326" s="475"/>
      <c r="T326" s="475"/>
      <c r="U326" s="475"/>
      <c r="V326" s="475"/>
      <c r="W326" s="475"/>
      <c r="X326" s="475"/>
      <c r="Y326" s="475">
        <f t="shared" si="17"/>
        <v>0</v>
      </c>
      <c r="Z326" s="476">
        <v>5000</v>
      </c>
      <c r="AA326" s="477">
        <v>54</v>
      </c>
      <c r="AB326" s="478">
        <v>44363</v>
      </c>
      <c r="AC326" s="479">
        <v>44369</v>
      </c>
      <c r="AD326" s="476"/>
      <c r="AE326" s="477"/>
      <c r="AF326" s="478"/>
      <c r="AG326" s="478"/>
      <c r="AH326" s="476"/>
      <c r="AI326" s="477"/>
      <c r="AJ326" s="478"/>
      <c r="AK326" s="477"/>
      <c r="AL326" s="476"/>
      <c r="AM326" s="477"/>
      <c r="AN326" s="477"/>
      <c r="AO326" s="477"/>
      <c r="AP326" s="477"/>
      <c r="AQ326" s="477"/>
      <c r="AR326" s="477"/>
      <c r="AS326" s="477"/>
      <c r="AT326" s="480"/>
      <c r="AU326" s="475"/>
      <c r="AV326" s="475"/>
      <c r="AW326" s="475"/>
      <c r="AX326" s="480"/>
      <c r="AY326" s="475"/>
      <c r="AZ326" s="475"/>
      <c r="BA326" s="475"/>
      <c r="BB326" s="477">
        <f t="shared" si="18"/>
        <v>5000</v>
      </c>
      <c r="BC326" s="477">
        <f t="shared" si="16"/>
        <v>5000</v>
      </c>
    </row>
    <row r="327" spans="2:55" s="195" customFormat="1" ht="22.5" x14ac:dyDescent="0.25">
      <c r="B327" s="186">
        <f t="shared" si="19"/>
        <v>311</v>
      </c>
      <c r="C327" s="186" t="s">
        <v>38</v>
      </c>
      <c r="D327" s="450">
        <v>30198972</v>
      </c>
      <c r="E327" s="451" t="s">
        <v>887</v>
      </c>
      <c r="F327" s="451" t="s">
        <v>543</v>
      </c>
      <c r="G327" s="473" t="s">
        <v>525</v>
      </c>
      <c r="H327" s="451" t="s">
        <v>584</v>
      </c>
      <c r="I327" s="451" t="str">
        <f>VLOOKUP(D327,[1]Hoja1!$G$5:$H$360,2,0)</f>
        <v>A</v>
      </c>
      <c r="J327" s="474">
        <v>73238</v>
      </c>
      <c r="K327" s="474">
        <v>22980</v>
      </c>
      <c r="L327" s="474">
        <v>50258</v>
      </c>
      <c r="M327" s="475"/>
      <c r="N327" s="475"/>
      <c r="O327" s="475"/>
      <c r="P327" s="475"/>
      <c r="Q327" s="475"/>
      <c r="R327" s="475"/>
      <c r="S327" s="475"/>
      <c r="T327" s="475"/>
      <c r="U327" s="475"/>
      <c r="V327" s="475"/>
      <c r="W327" s="475"/>
      <c r="X327" s="475"/>
      <c r="Y327" s="475">
        <f t="shared" si="17"/>
        <v>0</v>
      </c>
      <c r="Z327" s="476">
        <v>5001</v>
      </c>
      <c r="AA327" s="477">
        <v>54</v>
      </c>
      <c r="AB327" s="478">
        <v>44363</v>
      </c>
      <c r="AC327" s="479">
        <v>44369</v>
      </c>
      <c r="AD327" s="476"/>
      <c r="AE327" s="477"/>
      <c r="AF327" s="478"/>
      <c r="AG327" s="478"/>
      <c r="AH327" s="476"/>
      <c r="AI327" s="477"/>
      <c r="AJ327" s="478"/>
      <c r="AK327" s="477"/>
      <c r="AL327" s="476"/>
      <c r="AM327" s="477"/>
      <c r="AN327" s="477"/>
      <c r="AO327" s="477"/>
      <c r="AP327" s="477"/>
      <c r="AQ327" s="477"/>
      <c r="AR327" s="477"/>
      <c r="AS327" s="477"/>
      <c r="AT327" s="480"/>
      <c r="AU327" s="475"/>
      <c r="AV327" s="475"/>
      <c r="AW327" s="475"/>
      <c r="AX327" s="480"/>
      <c r="AY327" s="475"/>
      <c r="AZ327" s="475"/>
      <c r="BA327" s="475"/>
      <c r="BB327" s="477">
        <f t="shared" si="18"/>
        <v>5001</v>
      </c>
      <c r="BC327" s="477">
        <f t="shared" si="16"/>
        <v>5001</v>
      </c>
    </row>
    <row r="328" spans="2:55" s="195" customFormat="1" ht="22.5" x14ac:dyDescent="0.25">
      <c r="B328" s="186">
        <f t="shared" si="19"/>
        <v>312</v>
      </c>
      <c r="C328" s="186" t="s">
        <v>38</v>
      </c>
      <c r="D328" s="450">
        <v>30104269</v>
      </c>
      <c r="E328" s="451" t="s">
        <v>888</v>
      </c>
      <c r="F328" s="451" t="s">
        <v>539</v>
      </c>
      <c r="G328" s="473" t="s">
        <v>525</v>
      </c>
      <c r="H328" s="451" t="s">
        <v>541</v>
      </c>
      <c r="I328" s="451" t="str">
        <f>VLOOKUP(D328,[1]Hoja1!$G$5:$H$360,2,0)</f>
        <v>A</v>
      </c>
      <c r="J328" s="474">
        <v>53904</v>
      </c>
      <c r="K328" s="474">
        <v>47904</v>
      </c>
      <c r="L328" s="474">
        <v>6000</v>
      </c>
      <c r="M328" s="475"/>
      <c r="N328" s="475"/>
      <c r="O328" s="475"/>
      <c r="P328" s="475"/>
      <c r="Q328" s="475"/>
      <c r="R328" s="475"/>
      <c r="S328" s="475"/>
      <c r="T328" s="475"/>
      <c r="U328" s="475"/>
      <c r="V328" s="475"/>
      <c r="W328" s="475"/>
      <c r="X328" s="475"/>
      <c r="Y328" s="475">
        <f t="shared" si="17"/>
        <v>0</v>
      </c>
      <c r="Z328" s="476">
        <v>6000</v>
      </c>
      <c r="AA328" s="477">
        <v>54</v>
      </c>
      <c r="AB328" s="478">
        <v>44363</v>
      </c>
      <c r="AC328" s="479">
        <v>44369</v>
      </c>
      <c r="AD328" s="476"/>
      <c r="AE328" s="477"/>
      <c r="AF328" s="478"/>
      <c r="AG328" s="478"/>
      <c r="AH328" s="476"/>
      <c r="AI328" s="477"/>
      <c r="AJ328" s="478"/>
      <c r="AK328" s="477"/>
      <c r="AL328" s="476"/>
      <c r="AM328" s="477"/>
      <c r="AN328" s="477"/>
      <c r="AO328" s="477"/>
      <c r="AP328" s="477"/>
      <c r="AQ328" s="477"/>
      <c r="AR328" s="477"/>
      <c r="AS328" s="477"/>
      <c r="AT328" s="480"/>
      <c r="AU328" s="475"/>
      <c r="AV328" s="475"/>
      <c r="AW328" s="475"/>
      <c r="AX328" s="480"/>
      <c r="AY328" s="475"/>
      <c r="AZ328" s="475"/>
      <c r="BA328" s="475"/>
      <c r="BB328" s="477">
        <f t="shared" si="18"/>
        <v>6000</v>
      </c>
      <c r="BC328" s="477">
        <f t="shared" si="16"/>
        <v>6000</v>
      </c>
    </row>
    <row r="329" spans="2:55" s="195" customFormat="1" ht="22.5" x14ac:dyDescent="0.25">
      <c r="B329" s="186">
        <f t="shared" si="19"/>
        <v>313</v>
      </c>
      <c r="C329" s="186" t="s">
        <v>38</v>
      </c>
      <c r="D329" s="450">
        <v>40024102</v>
      </c>
      <c r="E329" s="451" t="s">
        <v>889</v>
      </c>
      <c r="F329" s="451" t="s">
        <v>200</v>
      </c>
      <c r="G329" s="473" t="s">
        <v>525</v>
      </c>
      <c r="H329" s="451" t="s">
        <v>574</v>
      </c>
      <c r="I329" s="451" t="str">
        <f>VLOOKUP(D329,[1]Hoja1!$G$5:$H$360,2,0)</f>
        <v>N</v>
      </c>
      <c r="J329" s="474">
        <v>2818506</v>
      </c>
      <c r="K329" s="474">
        <v>0</v>
      </c>
      <c r="L329" s="474">
        <v>2818506</v>
      </c>
      <c r="M329" s="475"/>
      <c r="N329" s="475"/>
      <c r="O329" s="475"/>
      <c r="P329" s="475"/>
      <c r="Q329" s="475"/>
      <c r="R329" s="475"/>
      <c r="S329" s="475"/>
      <c r="T329" s="475"/>
      <c r="U329" s="475"/>
      <c r="V329" s="475"/>
      <c r="W329" s="475"/>
      <c r="X329" s="475"/>
      <c r="Y329" s="475">
        <f t="shared" si="17"/>
        <v>0</v>
      </c>
      <c r="Z329" s="476">
        <v>1</v>
      </c>
      <c r="AA329" s="477">
        <v>54</v>
      </c>
      <c r="AB329" s="478">
        <v>44363</v>
      </c>
      <c r="AC329" s="479">
        <v>44369</v>
      </c>
      <c r="AD329" s="476"/>
      <c r="AE329" s="477"/>
      <c r="AF329" s="478"/>
      <c r="AG329" s="478"/>
      <c r="AH329" s="476"/>
      <c r="AI329" s="477"/>
      <c r="AJ329" s="478"/>
      <c r="AK329" s="477"/>
      <c r="AL329" s="476"/>
      <c r="AM329" s="477"/>
      <c r="AN329" s="477"/>
      <c r="AO329" s="477"/>
      <c r="AP329" s="477"/>
      <c r="AQ329" s="477"/>
      <c r="AR329" s="477"/>
      <c r="AS329" s="477"/>
      <c r="AT329" s="480"/>
      <c r="AU329" s="475"/>
      <c r="AV329" s="475"/>
      <c r="AW329" s="475"/>
      <c r="AX329" s="480"/>
      <c r="AY329" s="475"/>
      <c r="AZ329" s="475"/>
      <c r="BA329" s="475"/>
      <c r="BB329" s="477">
        <f t="shared" si="18"/>
        <v>1</v>
      </c>
      <c r="BC329" s="477">
        <f t="shared" si="16"/>
        <v>1</v>
      </c>
    </row>
    <row r="330" spans="2:55" s="195" customFormat="1" ht="22.5" x14ac:dyDescent="0.25">
      <c r="B330" s="186">
        <f t="shared" si="19"/>
        <v>314</v>
      </c>
      <c r="C330" s="186" t="s">
        <v>38</v>
      </c>
      <c r="D330" s="450">
        <v>40024079</v>
      </c>
      <c r="E330" s="451" t="s">
        <v>890</v>
      </c>
      <c r="F330" s="451" t="s">
        <v>200</v>
      </c>
      <c r="G330" s="473" t="s">
        <v>525</v>
      </c>
      <c r="H330" s="451" t="s">
        <v>674</v>
      </c>
      <c r="I330" s="451" t="str">
        <f>VLOOKUP(D330,[1]Hoja1!$G$5:$H$360,2,0)</f>
        <v>N</v>
      </c>
      <c r="J330" s="474">
        <v>2112924</v>
      </c>
      <c r="K330" s="474">
        <v>0</v>
      </c>
      <c r="L330" s="474">
        <v>2112924</v>
      </c>
      <c r="M330" s="475"/>
      <c r="N330" s="475"/>
      <c r="O330" s="475"/>
      <c r="P330" s="475"/>
      <c r="Q330" s="475"/>
      <c r="R330" s="475"/>
      <c r="S330" s="475"/>
      <c r="T330" s="475"/>
      <c r="U330" s="475"/>
      <c r="V330" s="475"/>
      <c r="W330" s="475"/>
      <c r="X330" s="475"/>
      <c r="Y330" s="475">
        <f t="shared" si="17"/>
        <v>0</v>
      </c>
      <c r="Z330" s="476">
        <v>1</v>
      </c>
      <c r="AA330" s="477">
        <v>54</v>
      </c>
      <c r="AB330" s="478">
        <v>44363</v>
      </c>
      <c r="AC330" s="479">
        <v>44369</v>
      </c>
      <c r="AD330" s="476"/>
      <c r="AE330" s="477"/>
      <c r="AF330" s="478"/>
      <c r="AG330" s="478"/>
      <c r="AH330" s="476"/>
      <c r="AI330" s="477"/>
      <c r="AJ330" s="478"/>
      <c r="AK330" s="477"/>
      <c r="AL330" s="476"/>
      <c r="AM330" s="477"/>
      <c r="AN330" s="477"/>
      <c r="AO330" s="477"/>
      <c r="AP330" s="477"/>
      <c r="AQ330" s="477"/>
      <c r="AR330" s="477"/>
      <c r="AS330" s="477"/>
      <c r="AT330" s="480"/>
      <c r="AU330" s="475"/>
      <c r="AV330" s="475"/>
      <c r="AW330" s="475"/>
      <c r="AX330" s="480"/>
      <c r="AY330" s="475"/>
      <c r="AZ330" s="475"/>
      <c r="BA330" s="475"/>
      <c r="BB330" s="477">
        <f t="shared" si="18"/>
        <v>1</v>
      </c>
      <c r="BC330" s="477">
        <f t="shared" si="16"/>
        <v>1</v>
      </c>
    </row>
    <row r="331" spans="2:55" s="195" customFormat="1" ht="22.5" x14ac:dyDescent="0.25">
      <c r="B331" s="186">
        <f t="shared" si="19"/>
        <v>315</v>
      </c>
      <c r="C331" s="186" t="s">
        <v>38</v>
      </c>
      <c r="D331" s="450">
        <v>30359925</v>
      </c>
      <c r="E331" s="451" t="s">
        <v>891</v>
      </c>
      <c r="F331" s="451" t="s">
        <v>543</v>
      </c>
      <c r="G331" s="473" t="s">
        <v>525</v>
      </c>
      <c r="H331" s="451" t="s">
        <v>547</v>
      </c>
      <c r="I331" s="451" t="str">
        <f>VLOOKUP(D331,[1]Hoja1!$G$5:$H$360,2,0)</f>
        <v>A</v>
      </c>
      <c r="J331" s="474">
        <v>31373</v>
      </c>
      <c r="K331" s="474">
        <v>0</v>
      </c>
      <c r="L331" s="474">
        <v>31373</v>
      </c>
      <c r="M331" s="475"/>
      <c r="N331" s="475"/>
      <c r="O331" s="475"/>
      <c r="P331" s="475"/>
      <c r="Q331" s="475"/>
      <c r="R331" s="475"/>
      <c r="S331" s="475"/>
      <c r="T331" s="475"/>
      <c r="U331" s="475"/>
      <c r="V331" s="475"/>
      <c r="W331" s="475"/>
      <c r="X331" s="475"/>
      <c r="Y331" s="475">
        <f t="shared" si="17"/>
        <v>0</v>
      </c>
      <c r="Z331" s="476">
        <v>10001</v>
      </c>
      <c r="AA331" s="477">
        <v>56</v>
      </c>
      <c r="AB331" s="478">
        <v>44371</v>
      </c>
      <c r="AC331" s="479">
        <v>44376</v>
      </c>
      <c r="AD331" s="476"/>
      <c r="AE331" s="477"/>
      <c r="AF331" s="478"/>
      <c r="AG331" s="478"/>
      <c r="AH331" s="476"/>
      <c r="AI331" s="477"/>
      <c r="AJ331" s="478"/>
      <c r="AK331" s="477"/>
      <c r="AL331" s="476"/>
      <c r="AM331" s="477"/>
      <c r="AN331" s="477"/>
      <c r="AO331" s="477"/>
      <c r="AP331" s="477"/>
      <c r="AQ331" s="477"/>
      <c r="AR331" s="477"/>
      <c r="AS331" s="477"/>
      <c r="AT331" s="480"/>
      <c r="AU331" s="475"/>
      <c r="AV331" s="475"/>
      <c r="AW331" s="475"/>
      <c r="AX331" s="480"/>
      <c r="AY331" s="475"/>
      <c r="AZ331" s="475"/>
      <c r="BA331" s="475"/>
      <c r="BB331" s="477">
        <f t="shared" si="18"/>
        <v>10001</v>
      </c>
      <c r="BC331" s="477">
        <f t="shared" si="16"/>
        <v>10001</v>
      </c>
    </row>
    <row r="332" spans="2:55" s="195" customFormat="1" x14ac:dyDescent="0.25">
      <c r="B332" s="186">
        <f t="shared" si="19"/>
        <v>316</v>
      </c>
      <c r="C332" s="186" t="s">
        <v>38</v>
      </c>
      <c r="D332" s="450">
        <v>40003050</v>
      </c>
      <c r="E332" s="451" t="s">
        <v>892</v>
      </c>
      <c r="F332" s="451" t="s">
        <v>200</v>
      </c>
      <c r="G332" s="473" t="s">
        <v>525</v>
      </c>
      <c r="H332" s="451" t="s">
        <v>584</v>
      </c>
      <c r="I332" s="451" t="str">
        <f>VLOOKUP(D332,[1]Hoja1!$G$5:$H$360,2,0)</f>
        <v>A</v>
      </c>
      <c r="J332" s="474">
        <v>572214</v>
      </c>
      <c r="K332" s="474">
        <v>0</v>
      </c>
      <c r="L332" s="474">
        <v>572214</v>
      </c>
      <c r="M332" s="475"/>
      <c r="N332" s="475"/>
      <c r="O332" s="475"/>
      <c r="P332" s="475"/>
      <c r="Q332" s="475"/>
      <c r="R332" s="475"/>
      <c r="S332" s="475"/>
      <c r="T332" s="475"/>
      <c r="U332" s="475"/>
      <c r="V332" s="475"/>
      <c r="W332" s="475"/>
      <c r="X332" s="475"/>
      <c r="Y332" s="475">
        <f t="shared" si="17"/>
        <v>0</v>
      </c>
      <c r="Z332" s="476">
        <v>3</v>
      </c>
      <c r="AA332" s="477">
        <v>56</v>
      </c>
      <c r="AB332" s="478">
        <v>44371</v>
      </c>
      <c r="AC332" s="479">
        <v>44376</v>
      </c>
      <c r="AD332" s="476"/>
      <c r="AE332" s="477"/>
      <c r="AF332" s="478"/>
      <c r="AG332" s="478"/>
      <c r="AH332" s="476"/>
      <c r="AI332" s="477"/>
      <c r="AJ332" s="478"/>
      <c r="AK332" s="477"/>
      <c r="AL332" s="476"/>
      <c r="AM332" s="477"/>
      <c r="AN332" s="477"/>
      <c r="AO332" s="477"/>
      <c r="AP332" s="477"/>
      <c r="AQ332" s="477"/>
      <c r="AR332" s="477"/>
      <c r="AS332" s="477"/>
      <c r="AT332" s="480"/>
      <c r="AU332" s="475"/>
      <c r="AV332" s="475"/>
      <c r="AW332" s="475"/>
      <c r="AX332" s="480"/>
      <c r="AY332" s="475"/>
      <c r="AZ332" s="475"/>
      <c r="BA332" s="475"/>
      <c r="BB332" s="477">
        <f t="shared" si="18"/>
        <v>3</v>
      </c>
      <c r="BC332" s="477">
        <f t="shared" si="16"/>
        <v>3</v>
      </c>
    </row>
    <row r="333" spans="2:55" s="195" customFormat="1" ht="22.5" x14ac:dyDescent="0.25">
      <c r="B333" s="186">
        <f t="shared" si="19"/>
        <v>317</v>
      </c>
      <c r="C333" s="186" t="s">
        <v>38</v>
      </c>
      <c r="D333" s="450">
        <v>30194922</v>
      </c>
      <c r="E333" s="451" t="s">
        <v>893</v>
      </c>
      <c r="F333" s="451" t="s">
        <v>543</v>
      </c>
      <c r="G333" s="473" t="s">
        <v>525</v>
      </c>
      <c r="H333" s="451" t="s">
        <v>600</v>
      </c>
      <c r="I333" s="451" t="str">
        <f>VLOOKUP(D333,[1]Hoja1!$G$5:$H$360,2,0)</f>
        <v>A</v>
      </c>
      <c r="J333" s="474">
        <v>60479</v>
      </c>
      <c r="K333" s="474">
        <v>0</v>
      </c>
      <c r="L333" s="474">
        <v>60479</v>
      </c>
      <c r="M333" s="475"/>
      <c r="N333" s="475"/>
      <c r="O333" s="475"/>
      <c r="P333" s="475"/>
      <c r="Q333" s="475"/>
      <c r="R333" s="475"/>
      <c r="S333" s="475"/>
      <c r="T333" s="475"/>
      <c r="U333" s="475"/>
      <c r="V333" s="475"/>
      <c r="W333" s="475"/>
      <c r="X333" s="475"/>
      <c r="Y333" s="475">
        <f t="shared" si="17"/>
        <v>0</v>
      </c>
      <c r="Z333" s="476">
        <v>22000</v>
      </c>
      <c r="AA333" s="477">
        <v>56</v>
      </c>
      <c r="AB333" s="478">
        <v>44371</v>
      </c>
      <c r="AC333" s="479">
        <v>44376</v>
      </c>
      <c r="AD333" s="476"/>
      <c r="AE333" s="477"/>
      <c r="AF333" s="478"/>
      <c r="AG333" s="478"/>
      <c r="AH333" s="476"/>
      <c r="AI333" s="477"/>
      <c r="AJ333" s="478"/>
      <c r="AK333" s="477"/>
      <c r="AL333" s="476"/>
      <c r="AM333" s="477"/>
      <c r="AN333" s="477"/>
      <c r="AO333" s="477"/>
      <c r="AP333" s="477"/>
      <c r="AQ333" s="477"/>
      <c r="AR333" s="477"/>
      <c r="AS333" s="477"/>
      <c r="AT333" s="480"/>
      <c r="AU333" s="475"/>
      <c r="AV333" s="475"/>
      <c r="AW333" s="475"/>
      <c r="AX333" s="480"/>
      <c r="AY333" s="475"/>
      <c r="AZ333" s="475"/>
      <c r="BA333" s="475"/>
      <c r="BB333" s="477">
        <f t="shared" si="18"/>
        <v>22000</v>
      </c>
      <c r="BC333" s="477">
        <f t="shared" si="16"/>
        <v>22000</v>
      </c>
    </row>
    <row r="334" spans="2:55" s="195" customFormat="1" x14ac:dyDescent="0.25">
      <c r="B334" s="450">
        <v>721</v>
      </c>
      <c r="C334" s="450" t="s">
        <v>894</v>
      </c>
      <c r="D334" s="450">
        <v>30134190</v>
      </c>
      <c r="E334" s="450" t="s">
        <v>895</v>
      </c>
      <c r="F334" s="451" t="s">
        <v>539</v>
      </c>
      <c r="G334" s="451" t="s">
        <v>525</v>
      </c>
      <c r="H334" s="451" t="s">
        <v>632</v>
      </c>
      <c r="I334" s="451" t="str">
        <f>VLOOKUP(D334,[1]Hoja1!$G$5:$H$360,2,0)</f>
        <v>A</v>
      </c>
      <c r="J334" s="474">
        <v>208228</v>
      </c>
      <c r="K334" s="474">
        <v>104758</v>
      </c>
      <c r="L334" s="474">
        <v>103470</v>
      </c>
      <c r="M334" s="475"/>
      <c r="N334" s="475"/>
      <c r="O334" s="475"/>
      <c r="P334" s="475"/>
      <c r="Q334" s="475"/>
      <c r="R334" s="475">
        <v>39353</v>
      </c>
      <c r="S334" s="475"/>
      <c r="T334" s="475"/>
      <c r="U334" s="475"/>
      <c r="V334" s="475"/>
      <c r="W334" s="475"/>
      <c r="X334" s="475"/>
      <c r="Y334" s="475">
        <f t="shared" si="17"/>
        <v>39353</v>
      </c>
      <c r="Z334" s="476"/>
      <c r="AA334" s="477"/>
      <c r="AB334" s="478"/>
      <c r="AC334" s="479"/>
      <c r="AD334" s="476"/>
      <c r="AE334" s="477"/>
      <c r="AF334" s="478"/>
      <c r="AG334" s="478"/>
      <c r="AH334" s="476"/>
      <c r="AI334" s="477"/>
      <c r="AJ334" s="478"/>
      <c r="AK334" s="477"/>
      <c r="AL334" s="476"/>
      <c r="AM334" s="477"/>
      <c r="AN334" s="477"/>
      <c r="AO334" s="477"/>
      <c r="AP334" s="477"/>
      <c r="AQ334" s="477"/>
      <c r="AR334" s="477"/>
      <c r="AS334" s="477"/>
      <c r="AT334" s="480"/>
      <c r="AU334" s="475"/>
      <c r="AV334" s="475"/>
      <c r="AW334" s="475"/>
      <c r="AX334" s="480"/>
      <c r="AY334" s="475"/>
      <c r="AZ334" s="475"/>
      <c r="BA334" s="475"/>
      <c r="BB334" s="477"/>
      <c r="BC334" s="477"/>
    </row>
    <row r="335" spans="2:55" s="195" customFormat="1" x14ac:dyDescent="0.25">
      <c r="B335" s="450"/>
      <c r="C335" s="450"/>
      <c r="D335" s="450"/>
      <c r="E335" s="450"/>
      <c r="F335" s="451"/>
      <c r="G335" s="451"/>
      <c r="H335" s="451"/>
      <c r="I335" s="451"/>
      <c r="J335" s="474"/>
      <c r="K335" s="474"/>
      <c r="L335" s="474"/>
      <c r="M335" s="475"/>
      <c r="N335" s="475"/>
      <c r="O335" s="475"/>
      <c r="P335" s="475"/>
      <c r="Q335" s="475"/>
      <c r="R335" s="475"/>
      <c r="S335" s="475"/>
      <c r="T335" s="475"/>
      <c r="U335" s="475"/>
      <c r="V335" s="475"/>
      <c r="W335" s="475"/>
      <c r="X335" s="475"/>
      <c r="Y335" s="475"/>
      <c r="Z335" s="476"/>
      <c r="AA335" s="477"/>
      <c r="AB335" s="478"/>
      <c r="AC335" s="479"/>
      <c r="AD335" s="476"/>
      <c r="AE335" s="477"/>
      <c r="AF335" s="478"/>
      <c r="AG335" s="478"/>
      <c r="AH335" s="476"/>
      <c r="AI335" s="477"/>
      <c r="AJ335" s="478"/>
      <c r="AK335" s="477"/>
      <c r="AL335" s="476"/>
      <c r="AM335" s="477"/>
      <c r="AN335" s="477"/>
      <c r="AO335" s="477"/>
      <c r="AP335" s="477"/>
      <c r="AQ335" s="477"/>
      <c r="AR335" s="477"/>
      <c r="AS335" s="477"/>
      <c r="AT335" s="480"/>
      <c r="AU335" s="475"/>
      <c r="AV335" s="475"/>
      <c r="AW335" s="475"/>
      <c r="AX335" s="480"/>
      <c r="AY335" s="475"/>
      <c r="AZ335" s="475"/>
      <c r="BA335" s="475"/>
      <c r="BB335" s="477"/>
      <c r="BC335" s="477"/>
    </row>
    <row r="336" spans="2:55" s="195" customFormat="1" x14ac:dyDescent="0.25">
      <c r="B336" s="16"/>
      <c r="C336" s="16"/>
      <c r="D336" s="16"/>
      <c r="E336" s="16"/>
      <c r="F336" s="150"/>
      <c r="G336" s="150"/>
      <c r="H336" s="150"/>
      <c r="I336" s="150"/>
      <c r="J336" s="188"/>
      <c r="K336" s="188"/>
      <c r="L336" s="188"/>
      <c r="M336" s="189"/>
      <c r="N336" s="189"/>
      <c r="O336" s="189"/>
      <c r="P336" s="189"/>
      <c r="Q336" s="189"/>
      <c r="R336" s="189"/>
      <c r="S336" s="189"/>
      <c r="T336" s="189"/>
      <c r="U336" s="189"/>
      <c r="V336" s="189"/>
      <c r="W336" s="189"/>
      <c r="X336" s="189"/>
      <c r="Y336" s="189"/>
      <c r="Z336" s="190"/>
      <c r="AA336" s="191"/>
      <c r="AB336" s="192"/>
      <c r="AC336" s="193"/>
      <c r="AD336" s="190"/>
      <c r="AE336" s="191"/>
      <c r="AF336" s="192"/>
      <c r="AG336" s="192"/>
      <c r="AH336" s="190"/>
      <c r="AI336" s="191"/>
      <c r="AJ336" s="192"/>
      <c r="AK336" s="191"/>
      <c r="AL336" s="190"/>
      <c r="AM336" s="191"/>
      <c r="AN336" s="191"/>
      <c r="AO336" s="191"/>
      <c r="AP336" s="191"/>
      <c r="AQ336" s="191"/>
      <c r="AR336" s="191"/>
      <c r="AS336" s="191"/>
      <c r="AT336" s="194"/>
      <c r="AU336" s="189"/>
      <c r="AV336" s="189"/>
      <c r="AW336" s="189"/>
      <c r="AX336" s="194"/>
      <c r="AY336" s="189"/>
      <c r="AZ336" s="189"/>
      <c r="BA336" s="189"/>
      <c r="BB336" s="191"/>
      <c r="BC336" s="191"/>
    </row>
    <row r="337" spans="2:55" ht="15" customHeight="1" x14ac:dyDescent="0.25">
      <c r="B337" s="732" t="s">
        <v>39</v>
      </c>
      <c r="C337" s="732"/>
      <c r="D337" s="732"/>
      <c r="E337" s="732"/>
      <c r="F337" s="732"/>
      <c r="G337" s="732"/>
      <c r="H337" s="732"/>
      <c r="I337" s="732"/>
      <c r="J337" s="196">
        <f>SUBTOTAL(9,J17:J336)</f>
        <v>241473540</v>
      </c>
      <c r="K337" s="196">
        <f t="shared" ref="K337:Y337" si="20">SUBTOTAL(9,K17:K336)</f>
        <v>77079624</v>
      </c>
      <c r="L337" s="196">
        <f t="shared" si="20"/>
        <v>164393916</v>
      </c>
      <c r="M337" s="196">
        <f t="shared" si="20"/>
        <v>541129.91</v>
      </c>
      <c r="N337" s="196">
        <f t="shared" si="20"/>
        <v>3543837.4049999998</v>
      </c>
      <c r="O337" s="196">
        <f t="shared" si="20"/>
        <v>1618690.3819999998</v>
      </c>
      <c r="P337" s="196">
        <f t="shared" si="20"/>
        <v>4783589.8450000007</v>
      </c>
      <c r="Q337" s="196">
        <f t="shared" si="20"/>
        <v>2466296.088</v>
      </c>
      <c r="R337" s="196">
        <f t="shared" si="20"/>
        <v>3928805.5539999995</v>
      </c>
      <c r="S337" s="196">
        <f t="shared" si="20"/>
        <v>0</v>
      </c>
      <c r="T337" s="196">
        <f t="shared" si="20"/>
        <v>0</v>
      </c>
      <c r="U337" s="196">
        <f t="shared" si="20"/>
        <v>0</v>
      </c>
      <c r="V337" s="196">
        <f t="shared" si="20"/>
        <v>0</v>
      </c>
      <c r="W337" s="196">
        <f t="shared" si="20"/>
        <v>0</v>
      </c>
      <c r="X337" s="196">
        <f t="shared" si="20"/>
        <v>0</v>
      </c>
      <c r="Y337" s="196">
        <f t="shared" si="20"/>
        <v>16882349.184</v>
      </c>
      <c r="Z337" s="197">
        <f>SUBTOTAL(9,Z17:Z335)</f>
        <v>45403469</v>
      </c>
      <c r="AA337" s="197"/>
      <c r="AB337" s="198"/>
      <c r="AC337" s="197"/>
      <c r="AD337" s="197">
        <f>SUBTOTAL(9,AD17:AD335)</f>
        <v>-2344039</v>
      </c>
      <c r="AE337" s="197"/>
      <c r="AF337" s="198"/>
      <c r="AG337" s="198"/>
      <c r="AH337" s="197">
        <f>SUBTOTAL(9,AH17:AH335)</f>
        <v>-283377</v>
      </c>
      <c r="AI337" s="197"/>
      <c r="AJ337" s="198"/>
      <c r="AK337" s="197"/>
      <c r="AL337" s="197">
        <f>SUBTOTAL(9,AL17:AL335)</f>
        <v>202610</v>
      </c>
      <c r="AM337" s="197"/>
      <c r="AN337" s="197"/>
      <c r="AO337" s="197"/>
      <c r="AP337" s="197">
        <f>SUBTOTAL(9,AP17:AP335)</f>
        <v>6878</v>
      </c>
      <c r="AQ337" s="197"/>
      <c r="AR337" s="197"/>
      <c r="AS337" s="197"/>
      <c r="AT337" s="199">
        <f>SUM(AT17:AT333)</f>
        <v>0</v>
      </c>
      <c r="AU337" s="196"/>
      <c r="AV337" s="196"/>
      <c r="AW337" s="196"/>
      <c r="AX337" s="199">
        <f>SUM(AX17:AX333)</f>
        <v>0</v>
      </c>
      <c r="AY337" s="196"/>
      <c r="AZ337" s="196"/>
      <c r="BA337" s="196"/>
      <c r="BB337" s="197">
        <f>SUBTOTAL(9,BB17:BB335)</f>
        <v>42985541</v>
      </c>
      <c r="BC337" s="197">
        <f>SUBTOTAL(9,BC17:BC335)</f>
        <v>26142544.815999992</v>
      </c>
    </row>
    <row r="338" spans="2:55" s="134" customFormat="1" x14ac:dyDescent="0.2">
      <c r="B338" s="749"/>
      <c r="C338" s="749"/>
      <c r="D338" s="749"/>
      <c r="E338" s="749"/>
      <c r="F338" s="160"/>
      <c r="G338" s="145"/>
      <c r="H338" s="145"/>
      <c r="Z338" s="177"/>
      <c r="AA338" s="178"/>
      <c r="AB338" s="139"/>
      <c r="AC338" s="173"/>
      <c r="AD338" s="177"/>
      <c r="AE338" s="177"/>
      <c r="AF338" s="139"/>
      <c r="AG338" s="139"/>
      <c r="AH338" s="177"/>
      <c r="AI338" s="178"/>
      <c r="AJ338" s="139"/>
      <c r="AK338" s="173"/>
      <c r="AL338" s="177"/>
      <c r="AM338" s="178"/>
      <c r="AN338" s="173"/>
      <c r="AO338" s="173"/>
      <c r="AP338" s="173"/>
      <c r="AQ338" s="178"/>
      <c r="AR338" s="173"/>
      <c r="AS338" s="173"/>
      <c r="AT338" s="140"/>
      <c r="AX338" s="140"/>
      <c r="BB338" s="177"/>
      <c r="BC338" s="173"/>
    </row>
    <row r="339" spans="2:55" s="134" customFormat="1" x14ac:dyDescent="0.2">
      <c r="B339" s="750"/>
      <c r="C339" s="750"/>
      <c r="D339" s="750"/>
      <c r="E339" s="750"/>
      <c r="F339" s="750"/>
      <c r="G339" s="750"/>
      <c r="H339" s="750"/>
      <c r="I339" s="750"/>
      <c r="J339" s="750"/>
      <c r="K339" s="750"/>
      <c r="L339" s="750"/>
      <c r="M339" s="750"/>
      <c r="N339" s="750"/>
      <c r="O339" s="750"/>
      <c r="P339" s="750"/>
      <c r="Q339" s="750"/>
      <c r="R339" s="750"/>
      <c r="S339" s="750"/>
      <c r="T339" s="750"/>
      <c r="U339" s="750"/>
      <c r="V339" s="750"/>
      <c r="W339" s="750"/>
      <c r="X339" s="750"/>
      <c r="Y339" s="750"/>
      <c r="Z339" s="750"/>
      <c r="AA339" s="750"/>
      <c r="AB339" s="750"/>
      <c r="AC339" s="750"/>
      <c r="AD339" s="173"/>
      <c r="AE339" s="177"/>
      <c r="AF339" s="178"/>
      <c r="AG339" s="173"/>
      <c r="AH339" s="200"/>
      <c r="AI339" s="173"/>
      <c r="AJ339" s="178"/>
      <c r="AK339" s="173"/>
      <c r="AL339" s="173"/>
      <c r="AM339" s="161"/>
      <c r="AN339" s="162"/>
      <c r="AO339" s="162"/>
      <c r="AP339" s="162"/>
      <c r="AQ339" s="161"/>
      <c r="AR339" s="162"/>
      <c r="AS339" s="162"/>
      <c r="AT339" s="162"/>
      <c r="AU339" s="200"/>
      <c r="AV339" s="200"/>
    </row>
    <row r="340" spans="2:55" s="134" customFormat="1" x14ac:dyDescent="0.2">
      <c r="B340" s="145"/>
      <c r="D340" s="145"/>
      <c r="Z340" s="177"/>
      <c r="AA340" s="177"/>
      <c r="AB340" s="178"/>
      <c r="AC340" s="177"/>
      <c r="AD340" s="173"/>
      <c r="AE340" s="177"/>
      <c r="AF340" s="178"/>
      <c r="AG340" s="173"/>
      <c r="AH340" s="173"/>
      <c r="AI340" s="173"/>
      <c r="AJ340" s="178"/>
      <c r="AK340" s="173"/>
      <c r="AL340" s="173"/>
      <c r="AM340" s="140"/>
      <c r="AQ340" s="140"/>
      <c r="AU340" s="173"/>
      <c r="AV340" s="173"/>
    </row>
    <row r="341" spans="2:55" s="134" customFormat="1" x14ac:dyDescent="0.2">
      <c r="B341" s="145"/>
      <c r="D341" s="145"/>
      <c r="Q341" s="202"/>
      <c r="R341" s="202"/>
      <c r="Z341" s="177"/>
      <c r="AA341" s="177"/>
      <c r="AB341" s="178"/>
      <c r="AC341" s="177"/>
      <c r="AD341" s="177"/>
      <c r="AE341" s="177"/>
      <c r="AF341" s="177"/>
      <c r="AG341" s="177"/>
      <c r="AH341" s="177"/>
      <c r="AI341" s="177"/>
      <c r="AJ341" s="177"/>
      <c r="AK341" s="177"/>
      <c r="AL341" s="177"/>
      <c r="AM341" s="140"/>
      <c r="AQ341" s="140"/>
      <c r="AU341" s="200"/>
      <c r="AV341" s="200"/>
    </row>
    <row r="342" spans="2:55" s="134" customFormat="1" x14ac:dyDescent="0.2">
      <c r="B342" s="145"/>
      <c r="D342" s="145"/>
      <c r="P342" s="202"/>
      <c r="Z342" s="177"/>
      <c r="AA342" s="177"/>
      <c r="AB342" s="178"/>
      <c r="AC342" s="177"/>
      <c r="AD342" s="173"/>
      <c r="AE342" s="177"/>
      <c r="AF342" s="178"/>
      <c r="AG342" s="173"/>
      <c r="AH342" s="173"/>
      <c r="AI342" s="173"/>
      <c r="AJ342" s="178"/>
      <c r="AK342" s="173"/>
      <c r="AL342" s="173"/>
      <c r="AM342" s="140"/>
      <c r="AQ342" s="140"/>
      <c r="AU342" s="200"/>
      <c r="AV342" s="173"/>
    </row>
    <row r="343" spans="2:55" s="134" customFormat="1" x14ac:dyDescent="0.2">
      <c r="B343" s="145"/>
      <c r="D343" s="145"/>
      <c r="Z343" s="177"/>
      <c r="AA343" s="177"/>
      <c r="AB343" s="178"/>
      <c r="AC343" s="177"/>
      <c r="AD343" s="173"/>
      <c r="AE343" s="177"/>
      <c r="AF343" s="178"/>
      <c r="AG343" s="173"/>
      <c r="AH343" s="173"/>
      <c r="AI343" s="173"/>
      <c r="AJ343" s="178"/>
      <c r="AK343" s="173"/>
      <c r="AL343" s="173"/>
      <c r="AM343" s="140"/>
      <c r="AQ343" s="140"/>
      <c r="AU343" s="173"/>
      <c r="AV343" s="173"/>
    </row>
    <row r="344" spans="2:55" s="134" customFormat="1" x14ac:dyDescent="0.2">
      <c r="B344" s="145"/>
      <c r="D344" s="145"/>
      <c r="Z344" s="177"/>
      <c r="AA344" s="177"/>
      <c r="AB344" s="178"/>
      <c r="AC344" s="177"/>
      <c r="AD344" s="173"/>
      <c r="AE344" s="177"/>
      <c r="AF344" s="178"/>
      <c r="AG344" s="173"/>
      <c r="AH344" s="173"/>
      <c r="AI344" s="173"/>
      <c r="AJ344" s="178"/>
      <c r="AK344" s="173"/>
      <c r="AL344" s="173"/>
      <c r="AM344" s="140"/>
      <c r="AQ344" s="140"/>
      <c r="AU344" s="173"/>
      <c r="AV344" s="173"/>
    </row>
    <row r="345" spans="2:55" s="134" customFormat="1" x14ac:dyDescent="0.2">
      <c r="B345" s="145"/>
      <c r="D345" s="145"/>
      <c r="Z345" s="177"/>
      <c r="AA345" s="177"/>
      <c r="AB345" s="178"/>
      <c r="AC345" s="177"/>
      <c r="AD345" s="173"/>
      <c r="AE345" s="177"/>
      <c r="AF345" s="178"/>
      <c r="AG345" s="173"/>
      <c r="AH345" s="173"/>
      <c r="AI345" s="173"/>
      <c r="AJ345" s="178"/>
      <c r="AK345" s="173"/>
      <c r="AL345" s="173"/>
      <c r="AM345" s="140"/>
      <c r="AQ345" s="140"/>
      <c r="AU345" s="173"/>
      <c r="AV345" s="173"/>
    </row>
    <row r="346" spans="2:55" s="134" customFormat="1" x14ac:dyDescent="0.2">
      <c r="B346" s="145"/>
      <c r="D346" s="145"/>
      <c r="Z346" s="177"/>
      <c r="AA346" s="177"/>
      <c r="AB346" s="178"/>
      <c r="AC346" s="177"/>
      <c r="AD346" s="173"/>
      <c r="AE346" s="177"/>
      <c r="AF346" s="178"/>
      <c r="AG346" s="173"/>
      <c r="AH346" s="173"/>
      <c r="AI346" s="173"/>
      <c r="AJ346" s="178"/>
      <c r="AK346" s="173"/>
      <c r="AL346" s="173"/>
      <c r="AM346" s="140"/>
      <c r="AQ346" s="140"/>
      <c r="AU346" s="173"/>
      <c r="AV346" s="173"/>
    </row>
    <row r="347" spans="2:55" s="134" customFormat="1" x14ac:dyDescent="0.2">
      <c r="B347" s="145"/>
      <c r="D347" s="145"/>
      <c r="Z347" s="177"/>
      <c r="AA347" s="177"/>
      <c r="AB347" s="178"/>
      <c r="AC347" s="177"/>
      <c r="AD347" s="173"/>
      <c r="AE347" s="177"/>
      <c r="AF347" s="178"/>
      <c r="AG347" s="173"/>
      <c r="AH347" s="173"/>
      <c r="AI347" s="173"/>
      <c r="AJ347" s="178"/>
      <c r="AK347" s="173"/>
      <c r="AL347" s="173"/>
      <c r="AM347" s="140"/>
      <c r="AQ347" s="140"/>
      <c r="AU347" s="173"/>
      <c r="AV347" s="173"/>
    </row>
    <row r="348" spans="2:55" s="134" customFormat="1" x14ac:dyDescent="0.2">
      <c r="B348" s="145"/>
      <c r="D348" s="145"/>
      <c r="Z348" s="177"/>
      <c r="AA348" s="177"/>
      <c r="AB348" s="178"/>
      <c r="AC348" s="177"/>
      <c r="AD348" s="173"/>
      <c r="AE348" s="177"/>
      <c r="AF348" s="178"/>
      <c r="AG348" s="173"/>
      <c r="AH348" s="173"/>
      <c r="AI348" s="173"/>
      <c r="AJ348" s="178"/>
      <c r="AK348" s="173"/>
      <c r="AL348" s="173"/>
      <c r="AM348" s="140"/>
      <c r="AQ348" s="140"/>
      <c r="AU348" s="173"/>
      <c r="AV348" s="173"/>
    </row>
    <row r="349" spans="2:55" s="134" customFormat="1" x14ac:dyDescent="0.2">
      <c r="B349" s="145"/>
      <c r="D349" s="145"/>
      <c r="Z349" s="177"/>
      <c r="AA349" s="177"/>
      <c r="AB349" s="178"/>
      <c r="AC349" s="177"/>
      <c r="AD349" s="173"/>
      <c r="AE349" s="177"/>
      <c r="AF349" s="178"/>
      <c r="AG349" s="173"/>
      <c r="AH349" s="173"/>
      <c r="AI349" s="173"/>
      <c r="AJ349" s="178"/>
      <c r="AK349" s="173"/>
      <c r="AL349" s="173"/>
      <c r="AM349" s="140"/>
      <c r="AQ349" s="140"/>
      <c r="AU349" s="173"/>
      <c r="AV349" s="173"/>
    </row>
    <row r="350" spans="2:55" s="134" customFormat="1" x14ac:dyDescent="0.2">
      <c r="B350" s="145"/>
      <c r="D350" s="145"/>
      <c r="Z350" s="177"/>
      <c r="AA350" s="177"/>
      <c r="AB350" s="178"/>
      <c r="AC350" s="177"/>
      <c r="AD350" s="173"/>
      <c r="AE350" s="177"/>
      <c r="AF350" s="178"/>
      <c r="AG350" s="173"/>
      <c r="AH350" s="173"/>
      <c r="AI350" s="173"/>
      <c r="AJ350" s="178"/>
      <c r="AK350" s="173"/>
      <c r="AL350" s="173"/>
      <c r="AM350" s="140"/>
      <c r="AQ350" s="140"/>
      <c r="AU350" s="173"/>
      <c r="AV350" s="173"/>
    </row>
    <row r="351" spans="2:55" s="134" customFormat="1" x14ac:dyDescent="0.2">
      <c r="B351" s="145"/>
      <c r="D351" s="145"/>
      <c r="Z351" s="177"/>
      <c r="AA351" s="177"/>
      <c r="AB351" s="178"/>
      <c r="AC351" s="177"/>
      <c r="AD351" s="173"/>
      <c r="AE351" s="177"/>
      <c r="AF351" s="178"/>
      <c r="AG351" s="173"/>
      <c r="AH351" s="173"/>
      <c r="AI351" s="173"/>
      <c r="AJ351" s="178"/>
      <c r="AK351" s="173"/>
      <c r="AL351" s="173"/>
      <c r="AM351" s="140"/>
      <c r="AQ351" s="140"/>
      <c r="AU351" s="173"/>
      <c r="AV351" s="173"/>
    </row>
    <row r="352" spans="2:55" s="134" customFormat="1" x14ac:dyDescent="0.2">
      <c r="B352" s="145"/>
      <c r="D352" s="145"/>
      <c r="Z352" s="177"/>
      <c r="AA352" s="177"/>
      <c r="AB352" s="178"/>
      <c r="AC352" s="177"/>
      <c r="AD352" s="173"/>
      <c r="AE352" s="177"/>
      <c r="AF352" s="178"/>
      <c r="AG352" s="173"/>
      <c r="AH352" s="173"/>
      <c r="AI352" s="173"/>
      <c r="AJ352" s="178"/>
      <c r="AK352" s="173"/>
      <c r="AL352" s="173"/>
      <c r="AM352" s="140"/>
      <c r="AQ352" s="140"/>
      <c r="AU352" s="173"/>
      <c r="AV352" s="173"/>
    </row>
    <row r="353" spans="2:48" s="134" customFormat="1" x14ac:dyDescent="0.2">
      <c r="B353" s="145"/>
      <c r="D353" s="145"/>
      <c r="Z353" s="177"/>
      <c r="AA353" s="177"/>
      <c r="AB353" s="178"/>
      <c r="AC353" s="177"/>
      <c r="AD353" s="173"/>
      <c r="AE353" s="177"/>
      <c r="AF353" s="178"/>
      <c r="AG353" s="173"/>
      <c r="AH353" s="173"/>
      <c r="AI353" s="173"/>
      <c r="AJ353" s="178"/>
      <c r="AK353" s="173"/>
      <c r="AL353" s="173"/>
      <c r="AM353" s="140"/>
      <c r="AQ353" s="140"/>
      <c r="AU353" s="173"/>
      <c r="AV353" s="173"/>
    </row>
    <row r="354" spans="2:48" s="134" customFormat="1" x14ac:dyDescent="0.2">
      <c r="B354" s="145"/>
      <c r="D354" s="145"/>
      <c r="Z354" s="177"/>
      <c r="AA354" s="177"/>
      <c r="AB354" s="178"/>
      <c r="AC354" s="177"/>
      <c r="AD354" s="173"/>
      <c r="AE354" s="177"/>
      <c r="AF354" s="178"/>
      <c r="AG354" s="173"/>
      <c r="AH354" s="173"/>
      <c r="AI354" s="173"/>
      <c r="AJ354" s="178"/>
      <c r="AK354" s="173"/>
      <c r="AL354" s="173"/>
      <c r="AM354" s="140"/>
      <c r="AQ354" s="140"/>
      <c r="AU354" s="173"/>
      <c r="AV354" s="173"/>
    </row>
    <row r="355" spans="2:48" s="134" customFormat="1" x14ac:dyDescent="0.2">
      <c r="B355" s="145"/>
      <c r="D355" s="145"/>
      <c r="Z355" s="177"/>
      <c r="AA355" s="177"/>
      <c r="AB355" s="178"/>
      <c r="AC355" s="177"/>
      <c r="AD355" s="173"/>
      <c r="AE355" s="177"/>
      <c r="AF355" s="178"/>
      <c r="AG355" s="173"/>
      <c r="AH355" s="173"/>
      <c r="AI355" s="173"/>
      <c r="AJ355" s="178"/>
      <c r="AK355" s="173"/>
      <c r="AL355" s="173"/>
      <c r="AM355" s="140"/>
      <c r="AQ355" s="140"/>
      <c r="AU355" s="173"/>
      <c r="AV355" s="173"/>
    </row>
    <row r="356" spans="2:48" s="134" customFormat="1" x14ac:dyDescent="0.2">
      <c r="B356" s="145"/>
      <c r="D356" s="145"/>
      <c r="Z356" s="177"/>
      <c r="AA356" s="177"/>
      <c r="AB356" s="178"/>
      <c r="AC356" s="177"/>
      <c r="AD356" s="173"/>
      <c r="AE356" s="177"/>
      <c r="AF356" s="178"/>
      <c r="AG356" s="173"/>
      <c r="AH356" s="173"/>
      <c r="AI356" s="173"/>
      <c r="AJ356" s="178"/>
      <c r="AK356" s="173"/>
      <c r="AL356" s="173"/>
      <c r="AM356" s="140"/>
      <c r="AQ356" s="140"/>
      <c r="AU356" s="173"/>
      <c r="AV356" s="173"/>
    </row>
    <row r="357" spans="2:48" s="134" customFormat="1" x14ac:dyDescent="0.2">
      <c r="B357" s="145"/>
      <c r="D357" s="145"/>
      <c r="Z357" s="177"/>
      <c r="AA357" s="177"/>
      <c r="AB357" s="178"/>
      <c r="AC357" s="177"/>
      <c r="AD357" s="173"/>
      <c r="AE357" s="177"/>
      <c r="AF357" s="178"/>
      <c r="AG357" s="173"/>
      <c r="AH357" s="173"/>
      <c r="AI357" s="173"/>
      <c r="AJ357" s="178"/>
      <c r="AK357" s="173"/>
      <c r="AL357" s="173"/>
      <c r="AM357" s="140"/>
      <c r="AQ357" s="140"/>
      <c r="AU357" s="173"/>
      <c r="AV357" s="173"/>
    </row>
    <row r="358" spans="2:48" s="134" customFormat="1" x14ac:dyDescent="0.2">
      <c r="B358" s="145"/>
      <c r="D358" s="145"/>
      <c r="Z358" s="177"/>
      <c r="AA358" s="177"/>
      <c r="AB358" s="178"/>
      <c r="AC358" s="177"/>
      <c r="AD358" s="173"/>
      <c r="AE358" s="177"/>
      <c r="AF358" s="178"/>
      <c r="AG358" s="173"/>
      <c r="AH358" s="173"/>
      <c r="AI358" s="173"/>
      <c r="AJ358" s="178"/>
      <c r="AK358" s="173"/>
      <c r="AL358" s="173"/>
      <c r="AM358" s="140"/>
      <c r="AQ358" s="140"/>
      <c r="AU358" s="173"/>
      <c r="AV358" s="173"/>
    </row>
    <row r="359" spans="2:48" s="134" customFormat="1" x14ac:dyDescent="0.2">
      <c r="B359" s="145"/>
      <c r="D359" s="145"/>
      <c r="Z359" s="177"/>
      <c r="AA359" s="177"/>
      <c r="AB359" s="178"/>
      <c r="AC359" s="177"/>
      <c r="AD359" s="173"/>
      <c r="AE359" s="177"/>
      <c r="AF359" s="178"/>
      <c r="AG359" s="173"/>
      <c r="AH359" s="173"/>
      <c r="AI359" s="173"/>
      <c r="AJ359" s="178"/>
      <c r="AK359" s="173"/>
      <c r="AL359" s="173"/>
      <c r="AM359" s="140"/>
      <c r="AQ359" s="140"/>
      <c r="AU359" s="173"/>
      <c r="AV359" s="173"/>
    </row>
    <row r="360" spans="2:48" s="134" customFormat="1" x14ac:dyDescent="0.2">
      <c r="B360" s="145"/>
      <c r="D360" s="145"/>
      <c r="Z360" s="177"/>
      <c r="AA360" s="177"/>
      <c r="AB360" s="178"/>
      <c r="AC360" s="177"/>
      <c r="AD360" s="173"/>
      <c r="AE360" s="177"/>
      <c r="AF360" s="178"/>
      <c r="AG360" s="173"/>
      <c r="AH360" s="173"/>
      <c r="AI360" s="173"/>
      <c r="AJ360" s="178"/>
      <c r="AK360" s="173"/>
      <c r="AL360" s="173"/>
      <c r="AM360" s="140"/>
      <c r="AQ360" s="140"/>
      <c r="AU360" s="173"/>
      <c r="AV360" s="173"/>
    </row>
    <row r="361" spans="2:48" s="134" customFormat="1" x14ac:dyDescent="0.2">
      <c r="B361" s="145"/>
      <c r="D361" s="145"/>
      <c r="Z361" s="177"/>
      <c r="AA361" s="177"/>
      <c r="AB361" s="178"/>
      <c r="AC361" s="177"/>
      <c r="AD361" s="173"/>
      <c r="AE361" s="177"/>
      <c r="AF361" s="178"/>
      <c r="AG361" s="173"/>
      <c r="AH361" s="173"/>
      <c r="AI361" s="173"/>
      <c r="AJ361" s="178"/>
      <c r="AK361" s="173"/>
      <c r="AL361" s="173"/>
      <c r="AM361" s="140"/>
      <c r="AQ361" s="140"/>
      <c r="AU361" s="173"/>
      <c r="AV361" s="173"/>
    </row>
    <row r="362" spans="2:48" s="134" customFormat="1" x14ac:dyDescent="0.2">
      <c r="B362" s="145"/>
      <c r="D362" s="145"/>
      <c r="Z362" s="177"/>
      <c r="AA362" s="177"/>
      <c r="AB362" s="178"/>
      <c r="AC362" s="177"/>
      <c r="AD362" s="173"/>
      <c r="AE362" s="177"/>
      <c r="AF362" s="178"/>
      <c r="AG362" s="173"/>
      <c r="AH362" s="173"/>
      <c r="AI362" s="173"/>
      <c r="AJ362" s="178"/>
      <c r="AK362" s="173"/>
      <c r="AL362" s="173"/>
      <c r="AM362" s="140"/>
      <c r="AQ362" s="140"/>
      <c r="AU362" s="173"/>
      <c r="AV362" s="173"/>
    </row>
    <row r="363" spans="2:48" s="134" customFormat="1" x14ac:dyDescent="0.2">
      <c r="B363" s="145"/>
      <c r="D363" s="145"/>
      <c r="Z363" s="177"/>
      <c r="AA363" s="177"/>
      <c r="AB363" s="178"/>
      <c r="AC363" s="177"/>
      <c r="AD363" s="173"/>
      <c r="AE363" s="177"/>
      <c r="AF363" s="178"/>
      <c r="AG363" s="173"/>
      <c r="AH363" s="173"/>
      <c r="AI363" s="173"/>
      <c r="AJ363" s="178"/>
      <c r="AK363" s="173"/>
      <c r="AL363" s="173"/>
      <c r="AM363" s="140"/>
      <c r="AQ363" s="140"/>
      <c r="AU363" s="173"/>
      <c r="AV363" s="173"/>
    </row>
    <row r="364" spans="2:48" s="134" customFormat="1" x14ac:dyDescent="0.2">
      <c r="B364" s="145"/>
      <c r="D364" s="145"/>
      <c r="Z364" s="177"/>
      <c r="AA364" s="177"/>
      <c r="AB364" s="178"/>
      <c r="AC364" s="177"/>
      <c r="AD364" s="173"/>
      <c r="AE364" s="177"/>
      <c r="AF364" s="178"/>
      <c r="AG364" s="173"/>
      <c r="AH364" s="173"/>
      <c r="AI364" s="173"/>
      <c r="AJ364" s="178"/>
      <c r="AK364" s="173"/>
      <c r="AL364" s="173"/>
      <c r="AM364" s="140"/>
      <c r="AQ364" s="140"/>
      <c r="AU364" s="173"/>
      <c r="AV364" s="173"/>
    </row>
    <row r="365" spans="2:48" s="134" customFormat="1" x14ac:dyDescent="0.2">
      <c r="B365" s="145"/>
      <c r="D365" s="145"/>
      <c r="Z365" s="177"/>
      <c r="AA365" s="177"/>
      <c r="AB365" s="178"/>
      <c r="AC365" s="177"/>
      <c r="AD365" s="173"/>
      <c r="AE365" s="177"/>
      <c r="AF365" s="178"/>
      <c r="AG365" s="173"/>
      <c r="AH365" s="173"/>
      <c r="AI365" s="173"/>
      <c r="AJ365" s="178"/>
      <c r="AK365" s="173"/>
      <c r="AL365" s="173"/>
      <c r="AM365" s="140"/>
      <c r="AQ365" s="140"/>
      <c r="AU365" s="173"/>
      <c r="AV365" s="173"/>
    </row>
    <row r="366" spans="2:48" s="134" customFormat="1" x14ac:dyDescent="0.2">
      <c r="B366" s="145"/>
      <c r="D366" s="145"/>
      <c r="Z366" s="177"/>
      <c r="AA366" s="177"/>
      <c r="AB366" s="178"/>
      <c r="AC366" s="177"/>
      <c r="AD366" s="173"/>
      <c r="AE366" s="177"/>
      <c r="AF366" s="178"/>
      <c r="AG366" s="173"/>
      <c r="AH366" s="173"/>
      <c r="AI366" s="173"/>
      <c r="AJ366" s="178"/>
      <c r="AK366" s="173"/>
      <c r="AL366" s="173"/>
      <c r="AM366" s="140"/>
      <c r="AQ366" s="140"/>
      <c r="AU366" s="173"/>
      <c r="AV366" s="173"/>
    </row>
    <row r="367" spans="2:48" s="134" customFormat="1" x14ac:dyDescent="0.2">
      <c r="B367" s="145"/>
      <c r="D367" s="145"/>
      <c r="Z367" s="177"/>
      <c r="AA367" s="177"/>
      <c r="AB367" s="178"/>
      <c r="AC367" s="177"/>
      <c r="AD367" s="173"/>
      <c r="AE367" s="177"/>
      <c r="AF367" s="178"/>
      <c r="AG367" s="173"/>
      <c r="AH367" s="173"/>
      <c r="AI367" s="173"/>
      <c r="AJ367" s="178"/>
      <c r="AK367" s="173"/>
      <c r="AL367" s="173"/>
      <c r="AM367" s="140"/>
      <c r="AQ367" s="140"/>
      <c r="AU367" s="173"/>
      <c r="AV367" s="173"/>
    </row>
    <row r="368" spans="2:48" s="134" customFormat="1" x14ac:dyDescent="0.2">
      <c r="B368" s="145"/>
      <c r="D368" s="145"/>
      <c r="Z368" s="177"/>
      <c r="AA368" s="177"/>
      <c r="AB368" s="178"/>
      <c r="AC368" s="177"/>
      <c r="AD368" s="173"/>
      <c r="AE368" s="177"/>
      <c r="AF368" s="178"/>
      <c r="AG368" s="173"/>
      <c r="AH368" s="173"/>
      <c r="AI368" s="173"/>
      <c r="AJ368" s="178"/>
      <c r="AK368" s="173"/>
      <c r="AL368" s="173"/>
      <c r="AM368" s="140"/>
      <c r="AQ368" s="140"/>
      <c r="AU368" s="173"/>
      <c r="AV368" s="173"/>
    </row>
    <row r="369" spans="2:55" s="134" customFormat="1" x14ac:dyDescent="0.2">
      <c r="B369" s="145"/>
      <c r="D369" s="145"/>
      <c r="Z369" s="177"/>
      <c r="AA369" s="177"/>
      <c r="AB369" s="178"/>
      <c r="AC369" s="139"/>
      <c r="AD369" s="173"/>
      <c r="AE369" s="177"/>
      <c r="AF369" s="178"/>
      <c r="AG369" s="173"/>
      <c r="AH369" s="173"/>
      <c r="AI369" s="173"/>
      <c r="AJ369" s="178"/>
      <c r="AK369" s="173"/>
      <c r="AL369" s="173"/>
      <c r="AM369" s="140"/>
      <c r="AQ369" s="140"/>
      <c r="AU369" s="173"/>
      <c r="AV369" s="173"/>
    </row>
    <row r="370" spans="2:55" s="134" customFormat="1" x14ac:dyDescent="0.2">
      <c r="B370" s="145"/>
      <c r="D370" s="145"/>
      <c r="Z370" s="177"/>
      <c r="AA370" s="177"/>
      <c r="AB370" s="178"/>
      <c r="AC370" s="139"/>
      <c r="AD370" s="173"/>
      <c r="AE370" s="177"/>
      <c r="AF370" s="178"/>
      <c r="AG370" s="173"/>
      <c r="AH370" s="173"/>
      <c r="AI370" s="173"/>
      <c r="AJ370" s="178"/>
      <c r="AK370" s="173"/>
      <c r="AL370" s="173"/>
      <c r="AM370" s="140"/>
      <c r="AQ370" s="140"/>
      <c r="AU370" s="173"/>
      <c r="AV370" s="173"/>
    </row>
    <row r="371" spans="2:55" s="134" customFormat="1" x14ac:dyDescent="0.2">
      <c r="B371" s="145"/>
      <c r="D371" s="145"/>
      <c r="Z371" s="177"/>
      <c r="AA371" s="177"/>
      <c r="AB371" s="178"/>
      <c r="AC371" s="139"/>
      <c r="AD371" s="173"/>
      <c r="AE371" s="177"/>
      <c r="AF371" s="178"/>
      <c r="AG371" s="173"/>
      <c r="AH371" s="173"/>
      <c r="AI371" s="173"/>
      <c r="AJ371" s="178"/>
      <c r="AK371" s="173"/>
      <c r="AL371" s="173"/>
      <c r="AM371" s="140"/>
      <c r="AQ371" s="140"/>
      <c r="AU371" s="173"/>
      <c r="AV371" s="173"/>
    </row>
    <row r="372" spans="2:55" s="134" customFormat="1" x14ac:dyDescent="0.2">
      <c r="B372" s="145"/>
      <c r="D372" s="145"/>
      <c r="Z372" s="177"/>
      <c r="AA372" s="177"/>
      <c r="AB372" s="178"/>
      <c r="AC372" s="139"/>
      <c r="AD372" s="173"/>
      <c r="AE372" s="177"/>
      <c r="AF372" s="177"/>
      <c r="AG372" s="177"/>
      <c r="AH372" s="177"/>
      <c r="AI372" s="177"/>
      <c r="AJ372" s="139"/>
      <c r="AK372" s="173"/>
      <c r="AL372" s="177"/>
      <c r="AM372" s="178"/>
      <c r="AN372" s="173"/>
      <c r="AO372" s="173"/>
      <c r="AP372" s="173"/>
      <c r="AQ372" s="178"/>
      <c r="AR372" s="173"/>
      <c r="AS372" s="173"/>
      <c r="AT372" s="140"/>
      <c r="AX372" s="140"/>
      <c r="BB372" s="173"/>
      <c r="BC372" s="173"/>
    </row>
    <row r="373" spans="2:55" s="134" customFormat="1" x14ac:dyDescent="0.2">
      <c r="B373" s="145"/>
      <c r="D373" s="145"/>
      <c r="Z373" s="177"/>
      <c r="AA373" s="177"/>
      <c r="AB373" s="178"/>
      <c r="AC373" s="139"/>
      <c r="AD373" s="173"/>
      <c r="AE373" s="177"/>
      <c r="AF373" s="203"/>
      <c r="AG373" s="177"/>
      <c r="AH373" s="177"/>
      <c r="AI373" s="177"/>
      <c r="AJ373" s="139"/>
      <c r="AK373" s="173"/>
      <c r="AL373" s="177"/>
      <c r="AM373" s="178"/>
      <c r="AN373" s="173"/>
      <c r="AO373" s="173"/>
      <c r="AP373" s="173"/>
      <c r="AQ373" s="178"/>
      <c r="AR373" s="173"/>
      <c r="AS373" s="173"/>
      <c r="AT373" s="140"/>
      <c r="AX373" s="140"/>
      <c r="BB373" s="173"/>
      <c r="BC373" s="173"/>
    </row>
    <row r="374" spans="2:55" s="134" customFormat="1" x14ac:dyDescent="0.2">
      <c r="B374" s="145"/>
      <c r="D374" s="145"/>
      <c r="Z374" s="177"/>
      <c r="AA374" s="177"/>
      <c r="AB374" s="178"/>
      <c r="AC374" s="139"/>
      <c r="AD374" s="173"/>
      <c r="AE374" s="177"/>
      <c r="AF374" s="177"/>
      <c r="AG374" s="177"/>
      <c r="AH374" s="177"/>
      <c r="AI374" s="177"/>
      <c r="AJ374" s="139"/>
      <c r="AK374" s="173"/>
      <c r="AL374" s="177"/>
      <c r="AM374" s="178"/>
      <c r="AN374" s="173"/>
      <c r="AO374" s="173"/>
      <c r="AP374" s="173"/>
      <c r="AQ374" s="178"/>
      <c r="AR374" s="173"/>
      <c r="AS374" s="173"/>
      <c r="AT374" s="140"/>
      <c r="AX374" s="140"/>
      <c r="BB374" s="173"/>
      <c r="BC374" s="173"/>
    </row>
    <row r="375" spans="2:55" s="134" customFormat="1" x14ac:dyDescent="0.2">
      <c r="B375" s="145"/>
      <c r="D375" s="145"/>
      <c r="Z375" s="177"/>
      <c r="AA375" s="177"/>
      <c r="AB375" s="178"/>
      <c r="AC375" s="139"/>
      <c r="AD375" s="173"/>
      <c r="AE375" s="177"/>
      <c r="AF375" s="177"/>
      <c r="AG375" s="177"/>
      <c r="AH375" s="177"/>
      <c r="AI375" s="177"/>
      <c r="AJ375" s="139"/>
      <c r="AK375" s="173"/>
      <c r="AL375" s="177"/>
      <c r="AM375" s="178"/>
      <c r="AN375" s="173"/>
      <c r="AO375" s="173"/>
      <c r="AP375" s="173"/>
      <c r="AQ375" s="178"/>
      <c r="AR375" s="173"/>
      <c r="AS375" s="173"/>
      <c r="AT375" s="140"/>
      <c r="AX375" s="140"/>
      <c r="BB375" s="173"/>
      <c r="BC375" s="173"/>
    </row>
    <row r="376" spans="2:55" s="134" customFormat="1" x14ac:dyDescent="0.2">
      <c r="B376" s="145"/>
      <c r="D376" s="145"/>
      <c r="Z376" s="177"/>
      <c r="AA376" s="177"/>
      <c r="AB376" s="178"/>
      <c r="AC376" s="139"/>
      <c r="AD376" s="173"/>
      <c r="AE376" s="177"/>
      <c r="AF376" s="177"/>
      <c r="AG376" s="177"/>
      <c r="AH376" s="177"/>
      <c r="AI376" s="177"/>
      <c r="AJ376" s="139"/>
      <c r="AK376" s="173"/>
      <c r="AL376" s="177"/>
      <c r="AM376" s="178"/>
      <c r="AN376" s="173"/>
      <c r="AO376" s="173"/>
      <c r="AP376" s="173"/>
      <c r="AQ376" s="178"/>
      <c r="AR376" s="173"/>
      <c r="AS376" s="173"/>
      <c r="AT376" s="140"/>
      <c r="AX376" s="140"/>
      <c r="BB376" s="173"/>
      <c r="BC376" s="173"/>
    </row>
    <row r="377" spans="2:55" s="134" customFormat="1" x14ac:dyDescent="0.2">
      <c r="B377" s="145"/>
      <c r="D377" s="145"/>
      <c r="Z377" s="177"/>
      <c r="AA377" s="177"/>
      <c r="AB377" s="178"/>
      <c r="AC377" s="139"/>
      <c r="AD377" s="173"/>
      <c r="AE377" s="177"/>
      <c r="AF377" s="177"/>
      <c r="AG377" s="177"/>
      <c r="AH377" s="177"/>
      <c r="AI377" s="177"/>
      <c r="AJ377" s="139"/>
      <c r="AK377" s="173"/>
      <c r="AL377" s="177"/>
      <c r="AM377" s="178"/>
      <c r="AN377" s="173"/>
      <c r="AO377" s="173"/>
      <c r="AP377" s="173"/>
      <c r="AQ377" s="178"/>
      <c r="AR377" s="173"/>
      <c r="AS377" s="173"/>
      <c r="AT377" s="140"/>
      <c r="AX377" s="140"/>
      <c r="BB377" s="173"/>
      <c r="BC377" s="173"/>
    </row>
    <row r="378" spans="2:55" s="134" customFormat="1" x14ac:dyDescent="0.2">
      <c r="B378" s="145"/>
      <c r="D378" s="145"/>
      <c r="Z378" s="177"/>
      <c r="AA378" s="177"/>
      <c r="AB378" s="178"/>
      <c r="AC378" s="139"/>
      <c r="AD378" s="173"/>
      <c r="AE378" s="177"/>
      <c r="AF378" s="177"/>
      <c r="AG378" s="177"/>
      <c r="AH378" s="177"/>
      <c r="AI378" s="177"/>
      <c r="AJ378" s="139"/>
      <c r="AK378" s="173"/>
      <c r="AL378" s="177"/>
      <c r="AM378" s="178"/>
      <c r="AN378" s="173"/>
      <c r="AO378" s="173"/>
      <c r="AP378" s="173"/>
      <c r="AQ378" s="178"/>
      <c r="AR378" s="173"/>
      <c r="AS378" s="173"/>
      <c r="AT378" s="140"/>
      <c r="AX378" s="140"/>
      <c r="BB378" s="173"/>
      <c r="BC378" s="173"/>
    </row>
    <row r="379" spans="2:55" s="134" customFormat="1" x14ac:dyDescent="0.2">
      <c r="B379" s="145"/>
      <c r="D379" s="145"/>
      <c r="Z379" s="177"/>
      <c r="AA379" s="177"/>
      <c r="AB379" s="178"/>
      <c r="AC379" s="139"/>
      <c r="AD379" s="173"/>
      <c r="AE379" s="177"/>
      <c r="AF379" s="177"/>
      <c r="AG379" s="177"/>
      <c r="AH379" s="177"/>
      <c r="AI379" s="177"/>
      <c r="AJ379" s="139"/>
      <c r="AK379" s="173"/>
      <c r="AL379" s="177"/>
      <c r="AM379" s="178"/>
      <c r="AN379" s="173"/>
      <c r="AO379" s="173"/>
      <c r="AP379" s="173"/>
      <c r="AQ379" s="178"/>
      <c r="AR379" s="173"/>
      <c r="AS379" s="173"/>
      <c r="AT379" s="140"/>
      <c r="AX379" s="140"/>
      <c r="BB379" s="173"/>
      <c r="BC379" s="173"/>
    </row>
    <row r="380" spans="2:55" s="134" customFormat="1" x14ac:dyDescent="0.2">
      <c r="B380" s="145"/>
      <c r="D380" s="145"/>
      <c r="Z380" s="177"/>
      <c r="AA380" s="178"/>
      <c r="AB380" s="139"/>
      <c r="AC380" s="173"/>
      <c r="AD380" s="177"/>
      <c r="AE380" s="177"/>
      <c r="AF380" s="139"/>
      <c r="AG380" s="139"/>
      <c r="AH380" s="177"/>
      <c r="AI380" s="178"/>
      <c r="AJ380" s="139"/>
      <c r="AK380" s="173"/>
      <c r="AL380" s="177"/>
      <c r="AM380" s="178"/>
      <c r="AN380" s="173"/>
      <c r="AO380" s="173"/>
      <c r="AP380" s="173"/>
      <c r="AQ380" s="178"/>
      <c r="AR380" s="173"/>
      <c r="AS380" s="173"/>
      <c r="AT380" s="140"/>
      <c r="AX380" s="140"/>
      <c r="BB380" s="173"/>
      <c r="BC380" s="173"/>
    </row>
    <row r="381" spans="2:55" s="134" customFormat="1" x14ac:dyDescent="0.2">
      <c r="B381" s="145"/>
      <c r="D381" s="145"/>
      <c r="Z381" s="177"/>
      <c r="AA381" s="178"/>
      <c r="AB381" s="139"/>
      <c r="AC381" s="173"/>
      <c r="AD381" s="177"/>
      <c r="AE381" s="177"/>
      <c r="AF381" s="139"/>
      <c r="AG381" s="139"/>
      <c r="AH381" s="177"/>
      <c r="AI381" s="178"/>
      <c r="AJ381" s="139"/>
      <c r="AK381" s="173"/>
      <c r="AL381" s="177"/>
      <c r="AM381" s="178"/>
      <c r="AN381" s="173"/>
      <c r="AO381" s="173"/>
      <c r="AP381" s="173"/>
      <c r="AQ381" s="178"/>
      <c r="AR381" s="173"/>
      <c r="AS381" s="173"/>
      <c r="AT381" s="140"/>
      <c r="AX381" s="140"/>
      <c r="BB381" s="173"/>
      <c r="BC381" s="173"/>
    </row>
    <row r="382" spans="2:55" s="134" customFormat="1" x14ac:dyDescent="0.2">
      <c r="B382" s="145"/>
      <c r="D382" s="145"/>
      <c r="Z382" s="177"/>
      <c r="AA382" s="178"/>
      <c r="AB382" s="139"/>
      <c r="AC382" s="173"/>
      <c r="AD382" s="177"/>
      <c r="AE382" s="177"/>
      <c r="AF382" s="139"/>
      <c r="AG382" s="139"/>
      <c r="AH382" s="177"/>
      <c r="AI382" s="178"/>
      <c r="AJ382" s="139"/>
      <c r="AK382" s="173"/>
      <c r="AL382" s="177"/>
      <c r="AM382" s="178"/>
      <c r="AN382" s="173"/>
      <c r="AO382" s="173"/>
      <c r="AP382" s="173"/>
      <c r="AQ382" s="178"/>
      <c r="AR382" s="173"/>
      <c r="AS382" s="173"/>
      <c r="AT382" s="140"/>
      <c r="AX382" s="140"/>
      <c r="BB382" s="173"/>
      <c r="BC382" s="173"/>
    </row>
    <row r="383" spans="2:55" s="134" customFormat="1" x14ac:dyDescent="0.2">
      <c r="B383" s="145"/>
      <c r="D383" s="145"/>
      <c r="Z383" s="177"/>
      <c r="AA383" s="178"/>
      <c r="AB383" s="139"/>
      <c r="AC383" s="173"/>
      <c r="AD383" s="177"/>
      <c r="AE383" s="177"/>
      <c r="AF383" s="139"/>
      <c r="AG383" s="139"/>
      <c r="AH383" s="177"/>
      <c r="AI383" s="178"/>
      <c r="AJ383" s="139"/>
      <c r="AK383" s="173"/>
      <c r="AL383" s="177"/>
      <c r="AM383" s="178"/>
      <c r="AN383" s="173"/>
      <c r="AO383" s="173"/>
      <c r="AP383" s="173"/>
      <c r="AQ383" s="178"/>
      <c r="AR383" s="173"/>
      <c r="AS383" s="173"/>
      <c r="AT383" s="140"/>
      <c r="AX383" s="140"/>
      <c r="BB383" s="173"/>
      <c r="BC383" s="173"/>
    </row>
    <row r="384" spans="2:55" s="134" customFormat="1" x14ac:dyDescent="0.2">
      <c r="B384" s="145"/>
      <c r="D384" s="145"/>
      <c r="Z384" s="177"/>
      <c r="AA384" s="178"/>
      <c r="AB384" s="139"/>
      <c r="AC384" s="173"/>
      <c r="AD384" s="177"/>
      <c r="AE384" s="177"/>
      <c r="AF384" s="139"/>
      <c r="AG384" s="139"/>
      <c r="AH384" s="177"/>
      <c r="AI384" s="178"/>
      <c r="AJ384" s="139"/>
      <c r="AK384" s="173"/>
      <c r="AL384" s="177"/>
      <c r="AM384" s="178"/>
      <c r="AN384" s="173"/>
      <c r="AO384" s="173"/>
      <c r="AP384" s="173"/>
      <c r="AQ384" s="178"/>
      <c r="AR384" s="173"/>
      <c r="AS384" s="173"/>
      <c r="AT384" s="140"/>
      <c r="AX384" s="140"/>
      <c r="BB384" s="173"/>
      <c r="BC384" s="173"/>
    </row>
    <row r="385" spans="2:55" s="134" customFormat="1" x14ac:dyDescent="0.2">
      <c r="B385" s="145"/>
      <c r="D385" s="145"/>
      <c r="Z385" s="177"/>
      <c r="AA385" s="178"/>
      <c r="AB385" s="139"/>
      <c r="AC385" s="173"/>
      <c r="AD385" s="177"/>
      <c r="AE385" s="177"/>
      <c r="AF385" s="139"/>
      <c r="AG385" s="139"/>
      <c r="AH385" s="177"/>
      <c r="AI385" s="178"/>
      <c r="AJ385" s="139"/>
      <c r="AK385" s="173"/>
      <c r="AL385" s="177"/>
      <c r="AM385" s="178"/>
      <c r="AN385" s="173"/>
      <c r="AO385" s="173"/>
      <c r="AP385" s="173"/>
      <c r="AQ385" s="178"/>
      <c r="AR385" s="173"/>
      <c r="AS385" s="173"/>
      <c r="AT385" s="140"/>
      <c r="AX385" s="140"/>
      <c r="BB385" s="173"/>
      <c r="BC385" s="173"/>
    </row>
    <row r="386" spans="2:55" s="134" customFormat="1" x14ac:dyDescent="0.2">
      <c r="B386" s="145"/>
      <c r="D386" s="145"/>
      <c r="Z386" s="177"/>
      <c r="AA386" s="178"/>
      <c r="AB386" s="139"/>
      <c r="AC386" s="173"/>
      <c r="AD386" s="177"/>
      <c r="AE386" s="177"/>
      <c r="AF386" s="139"/>
      <c r="AG386" s="139"/>
      <c r="AH386" s="177"/>
      <c r="AI386" s="178"/>
      <c r="AJ386" s="139"/>
      <c r="AK386" s="173"/>
      <c r="AL386" s="177"/>
      <c r="AM386" s="178"/>
      <c r="AN386" s="173"/>
      <c r="AO386" s="173"/>
      <c r="AP386" s="173"/>
      <c r="AQ386" s="178"/>
      <c r="AR386" s="173"/>
      <c r="AS386" s="173"/>
      <c r="AT386" s="140"/>
      <c r="AX386" s="140"/>
      <c r="BB386" s="173"/>
      <c r="BC386" s="173"/>
    </row>
    <row r="387" spans="2:55" s="134" customFormat="1" x14ac:dyDescent="0.2">
      <c r="B387" s="145"/>
      <c r="D387" s="145"/>
      <c r="Z387" s="177"/>
      <c r="AA387" s="178"/>
      <c r="AB387" s="139"/>
      <c r="AC387" s="173"/>
      <c r="AD387" s="177"/>
      <c r="AE387" s="177"/>
      <c r="AF387" s="139"/>
      <c r="AG387" s="139"/>
      <c r="AH387" s="177"/>
      <c r="AI387" s="178"/>
      <c r="AJ387" s="139"/>
      <c r="AK387" s="173"/>
      <c r="AL387" s="177"/>
      <c r="AM387" s="178"/>
      <c r="AN387" s="173"/>
      <c r="AO387" s="173"/>
      <c r="AP387" s="173"/>
      <c r="AQ387" s="178"/>
      <c r="AR387" s="173"/>
      <c r="AS387" s="173"/>
      <c r="AT387" s="140"/>
      <c r="AX387" s="140"/>
      <c r="BB387" s="173"/>
      <c r="BC387" s="173"/>
    </row>
    <row r="388" spans="2:55" s="134" customFormat="1" x14ac:dyDescent="0.2">
      <c r="B388" s="145"/>
      <c r="D388" s="145"/>
      <c r="Z388" s="177"/>
      <c r="AA388" s="178"/>
      <c r="AB388" s="139"/>
      <c r="AC388" s="173"/>
      <c r="AD388" s="177"/>
      <c r="AE388" s="177"/>
      <c r="AF388" s="139"/>
      <c r="AG388" s="139"/>
      <c r="AH388" s="177"/>
      <c r="AI388" s="178"/>
      <c r="AJ388" s="139"/>
      <c r="AK388" s="173"/>
      <c r="AL388" s="177"/>
      <c r="AM388" s="178"/>
      <c r="AN388" s="173"/>
      <c r="AO388" s="173"/>
      <c r="AP388" s="173"/>
      <c r="AQ388" s="178"/>
      <c r="AR388" s="173"/>
      <c r="AS388" s="173"/>
      <c r="AT388" s="140"/>
      <c r="AX388" s="140"/>
      <c r="BB388" s="173"/>
      <c r="BC388" s="173"/>
    </row>
    <row r="389" spans="2:55" s="134" customFormat="1" x14ac:dyDescent="0.2">
      <c r="B389" s="145"/>
      <c r="D389" s="145"/>
      <c r="Z389" s="177"/>
      <c r="AA389" s="178"/>
      <c r="AB389" s="139"/>
      <c r="AC389" s="173"/>
      <c r="AD389" s="177"/>
      <c r="AE389" s="177"/>
      <c r="AF389" s="139"/>
      <c r="AG389" s="139"/>
      <c r="AH389" s="177"/>
      <c r="AI389" s="178"/>
      <c r="AJ389" s="139"/>
      <c r="AK389" s="173"/>
      <c r="AL389" s="177"/>
      <c r="AM389" s="178"/>
      <c r="AN389" s="173"/>
      <c r="AO389" s="173"/>
      <c r="AP389" s="173"/>
      <c r="AQ389" s="178"/>
      <c r="AR389" s="173"/>
      <c r="AS389" s="173"/>
      <c r="AT389" s="140"/>
      <c r="AX389" s="140"/>
      <c r="BB389" s="173"/>
      <c r="BC389" s="173"/>
    </row>
    <row r="390" spans="2:55" s="134" customFormat="1" x14ac:dyDescent="0.2">
      <c r="B390" s="145"/>
      <c r="D390" s="145"/>
      <c r="Z390" s="177"/>
      <c r="AA390" s="178"/>
      <c r="AB390" s="139"/>
      <c r="AC390" s="173"/>
      <c r="AD390" s="177"/>
      <c r="AE390" s="177"/>
      <c r="AF390" s="139"/>
      <c r="AG390" s="139"/>
      <c r="AH390" s="177"/>
      <c r="AI390" s="178"/>
      <c r="AJ390" s="139"/>
      <c r="AK390" s="173"/>
      <c r="AL390" s="177"/>
      <c r="AM390" s="178"/>
      <c r="AN390" s="173"/>
      <c r="AO390" s="173"/>
      <c r="AP390" s="173"/>
      <c r="AQ390" s="178"/>
      <c r="AR390" s="173"/>
      <c r="AS390" s="173"/>
      <c r="AT390" s="140"/>
      <c r="AX390" s="140"/>
      <c r="BB390" s="173"/>
      <c r="BC390" s="173"/>
    </row>
    <row r="391" spans="2:55" s="134" customFormat="1" x14ac:dyDescent="0.2">
      <c r="B391" s="145"/>
      <c r="D391" s="145"/>
      <c r="Z391" s="177"/>
      <c r="AA391" s="178"/>
      <c r="AB391" s="139"/>
      <c r="AC391" s="173"/>
      <c r="AD391" s="177"/>
      <c r="AE391" s="177"/>
      <c r="AF391" s="139"/>
      <c r="AG391" s="139"/>
      <c r="AH391" s="177"/>
      <c r="AI391" s="178"/>
      <c r="AJ391" s="139"/>
      <c r="AK391" s="173"/>
      <c r="AL391" s="177"/>
      <c r="AM391" s="178"/>
      <c r="AN391" s="173"/>
      <c r="AO391" s="173"/>
      <c r="AP391" s="173"/>
      <c r="AQ391" s="178"/>
      <c r="AR391" s="173"/>
      <c r="AS391" s="173"/>
      <c r="AT391" s="140"/>
      <c r="AX391" s="140"/>
      <c r="BB391" s="173"/>
      <c r="BC391" s="173"/>
    </row>
    <row r="392" spans="2:55" s="134" customFormat="1" x14ac:dyDescent="0.2">
      <c r="B392" s="145"/>
      <c r="D392" s="145"/>
      <c r="Z392" s="177"/>
      <c r="AA392" s="178"/>
      <c r="AB392" s="139"/>
      <c r="AC392" s="173"/>
      <c r="AD392" s="177"/>
      <c r="AE392" s="177"/>
      <c r="AF392" s="139"/>
      <c r="AG392" s="139"/>
      <c r="AH392" s="177"/>
      <c r="AI392" s="178"/>
      <c r="AJ392" s="139"/>
      <c r="AK392" s="173"/>
      <c r="AL392" s="177"/>
      <c r="AM392" s="178"/>
      <c r="AN392" s="173"/>
      <c r="AO392" s="173"/>
      <c r="AP392" s="173"/>
      <c r="AQ392" s="178"/>
      <c r="AR392" s="173"/>
      <c r="AS392" s="173"/>
      <c r="AT392" s="140"/>
      <c r="AX392" s="140"/>
      <c r="BB392" s="173"/>
      <c r="BC392" s="173"/>
    </row>
    <row r="393" spans="2:55" s="134" customFormat="1" x14ac:dyDescent="0.2">
      <c r="B393" s="145"/>
      <c r="D393" s="145"/>
      <c r="Z393" s="177"/>
      <c r="AA393" s="178"/>
      <c r="AB393" s="139"/>
      <c r="AC393" s="173"/>
      <c r="AD393" s="177"/>
      <c r="AE393" s="177"/>
      <c r="AF393" s="139"/>
      <c r="AG393" s="139"/>
      <c r="AH393" s="177"/>
      <c r="AI393" s="178"/>
      <c r="AJ393" s="139"/>
      <c r="AK393" s="173"/>
      <c r="AL393" s="177"/>
      <c r="AM393" s="178"/>
      <c r="AN393" s="173"/>
      <c r="AO393" s="173"/>
      <c r="AP393" s="173"/>
      <c r="AQ393" s="178"/>
      <c r="AR393" s="173"/>
      <c r="AS393" s="173"/>
      <c r="AT393" s="140"/>
      <c r="AX393" s="140"/>
      <c r="BB393" s="173"/>
      <c r="BC393" s="173"/>
    </row>
    <row r="394" spans="2:55" s="134" customFormat="1" x14ac:dyDescent="0.2">
      <c r="B394" s="145"/>
      <c r="D394" s="145"/>
      <c r="Z394" s="177"/>
      <c r="AA394" s="178"/>
      <c r="AB394" s="139"/>
      <c r="AC394" s="173"/>
      <c r="AD394" s="177"/>
      <c r="AE394" s="177"/>
      <c r="AF394" s="139"/>
      <c r="AG394" s="139"/>
      <c r="AH394" s="177"/>
      <c r="AI394" s="178"/>
      <c r="AJ394" s="139"/>
      <c r="AK394" s="173"/>
      <c r="AL394" s="177"/>
      <c r="AM394" s="178"/>
      <c r="AN394" s="173"/>
      <c r="AO394" s="173"/>
      <c r="AP394" s="173"/>
      <c r="AQ394" s="178"/>
      <c r="AR394" s="173"/>
      <c r="AS394" s="173"/>
      <c r="AT394" s="140"/>
      <c r="AX394" s="140"/>
      <c r="BB394" s="173"/>
      <c r="BC394" s="173"/>
    </row>
    <row r="395" spans="2:55" s="134" customFormat="1" x14ac:dyDescent="0.2">
      <c r="B395" s="145"/>
      <c r="D395" s="145"/>
      <c r="Z395" s="177"/>
      <c r="AA395" s="178"/>
      <c r="AB395" s="139"/>
      <c r="AC395" s="173"/>
      <c r="AD395" s="177"/>
      <c r="AE395" s="177"/>
      <c r="AF395" s="139"/>
      <c r="AG395" s="139"/>
      <c r="AH395" s="177"/>
      <c r="AI395" s="178"/>
      <c r="AJ395" s="139"/>
      <c r="AK395" s="173"/>
      <c r="AL395" s="177"/>
      <c r="AM395" s="178"/>
      <c r="AN395" s="173"/>
      <c r="AO395" s="173"/>
      <c r="AP395" s="173"/>
      <c r="AQ395" s="178"/>
      <c r="AR395" s="173"/>
      <c r="AS395" s="173"/>
      <c r="AT395" s="140"/>
      <c r="AX395" s="140"/>
      <c r="BB395" s="173"/>
      <c r="BC395" s="173"/>
    </row>
    <row r="396" spans="2:55" s="134" customFormat="1" x14ac:dyDescent="0.2">
      <c r="B396" s="145"/>
      <c r="D396" s="145"/>
      <c r="Z396" s="177"/>
      <c r="AA396" s="178"/>
      <c r="AB396" s="139"/>
      <c r="AC396" s="173"/>
      <c r="AD396" s="177"/>
      <c r="AE396" s="177"/>
      <c r="AF396" s="139"/>
      <c r="AG396" s="139"/>
      <c r="AH396" s="177"/>
      <c r="AI396" s="178"/>
      <c r="AJ396" s="139"/>
      <c r="AK396" s="173"/>
      <c r="AL396" s="177"/>
      <c r="AM396" s="178"/>
      <c r="AN396" s="173"/>
      <c r="AO396" s="173"/>
      <c r="AP396" s="173"/>
      <c r="AQ396" s="178"/>
      <c r="AR396" s="173"/>
      <c r="AS396" s="173"/>
      <c r="AT396" s="140"/>
      <c r="AX396" s="140"/>
      <c r="BB396" s="173"/>
      <c r="BC396" s="173"/>
    </row>
    <row r="397" spans="2:55" s="134" customFormat="1" x14ac:dyDescent="0.2">
      <c r="B397" s="145"/>
      <c r="D397" s="145"/>
      <c r="Z397" s="177"/>
      <c r="AA397" s="178"/>
      <c r="AB397" s="139"/>
      <c r="AC397" s="173"/>
      <c r="AD397" s="177"/>
      <c r="AE397" s="177"/>
      <c r="AF397" s="139"/>
      <c r="AG397" s="139"/>
      <c r="AH397" s="177"/>
      <c r="AI397" s="178"/>
      <c r="AJ397" s="139"/>
      <c r="AK397" s="173"/>
      <c r="AL397" s="177"/>
      <c r="AM397" s="178"/>
      <c r="AN397" s="173"/>
      <c r="AO397" s="173"/>
      <c r="AP397" s="173"/>
      <c r="AQ397" s="178"/>
      <c r="AR397" s="173"/>
      <c r="AS397" s="173"/>
      <c r="AT397" s="140"/>
      <c r="AX397" s="140"/>
      <c r="BB397" s="173"/>
      <c r="BC397" s="173"/>
    </row>
    <row r="398" spans="2:55" s="134" customFormat="1" x14ac:dyDescent="0.2">
      <c r="B398" s="145"/>
      <c r="D398" s="145"/>
      <c r="Z398" s="177"/>
      <c r="AA398" s="178"/>
      <c r="AB398" s="139"/>
      <c r="AC398" s="173"/>
      <c r="AD398" s="177"/>
      <c r="AE398" s="177"/>
      <c r="AF398" s="139"/>
      <c r="AG398" s="139"/>
      <c r="AH398" s="177"/>
      <c r="AI398" s="178"/>
      <c r="AJ398" s="139"/>
      <c r="AK398" s="173"/>
      <c r="AL398" s="177"/>
      <c r="AM398" s="178"/>
      <c r="AN398" s="173"/>
      <c r="AO398" s="173"/>
      <c r="AP398" s="173"/>
      <c r="AQ398" s="178"/>
      <c r="AR398" s="173"/>
      <c r="AS398" s="173"/>
      <c r="AT398" s="140"/>
      <c r="AX398" s="140"/>
      <c r="BB398" s="173"/>
      <c r="BC398" s="173"/>
    </row>
    <row r="399" spans="2:55" s="134" customFormat="1" x14ac:dyDescent="0.2">
      <c r="B399" s="145"/>
      <c r="D399" s="145"/>
      <c r="Z399" s="177"/>
      <c r="AA399" s="178"/>
      <c r="AB399" s="139"/>
      <c r="AC399" s="173"/>
      <c r="AD399" s="177"/>
      <c r="AE399" s="177"/>
      <c r="AF399" s="139"/>
      <c r="AG399" s="139"/>
      <c r="AH399" s="177"/>
      <c r="AI399" s="178"/>
      <c r="AJ399" s="139"/>
      <c r="AK399" s="173"/>
      <c r="AL399" s="177"/>
      <c r="AM399" s="178"/>
      <c r="AN399" s="173"/>
      <c r="AO399" s="173"/>
      <c r="AP399" s="173"/>
      <c r="AQ399" s="178"/>
      <c r="AR399" s="173"/>
      <c r="AS399" s="173"/>
      <c r="AT399" s="140"/>
      <c r="AX399" s="140"/>
      <c r="BB399" s="173"/>
      <c r="BC399" s="173"/>
    </row>
    <row r="400" spans="2:55" s="134" customFormat="1" x14ac:dyDescent="0.2">
      <c r="B400" s="145"/>
      <c r="D400" s="145"/>
      <c r="Z400" s="177"/>
      <c r="AA400" s="178"/>
      <c r="AB400" s="139"/>
      <c r="AC400" s="173"/>
      <c r="AD400" s="177"/>
      <c r="AE400" s="177"/>
      <c r="AF400" s="139"/>
      <c r="AG400" s="139"/>
      <c r="AH400" s="177"/>
      <c r="AI400" s="178"/>
      <c r="AJ400" s="139"/>
      <c r="AK400" s="173"/>
      <c r="AL400" s="177"/>
      <c r="AM400" s="178"/>
      <c r="AN400" s="173"/>
      <c r="AO400" s="173"/>
      <c r="AP400" s="173"/>
      <c r="AQ400" s="178"/>
      <c r="AR400" s="173"/>
      <c r="AS400" s="173"/>
      <c r="AT400" s="140"/>
      <c r="AX400" s="140"/>
      <c r="BB400" s="173"/>
      <c r="BC400" s="173"/>
    </row>
    <row r="401" spans="2:55" s="134" customFormat="1" x14ac:dyDescent="0.2">
      <c r="B401" s="145"/>
      <c r="D401" s="145"/>
      <c r="Z401" s="177"/>
      <c r="AA401" s="178"/>
      <c r="AB401" s="139"/>
      <c r="AC401" s="173"/>
      <c r="AD401" s="177"/>
      <c r="AE401" s="177"/>
      <c r="AF401" s="139"/>
      <c r="AG401" s="139"/>
      <c r="AH401" s="177"/>
      <c r="AI401" s="178"/>
      <c r="AJ401" s="139"/>
      <c r="AK401" s="173"/>
      <c r="AL401" s="177"/>
      <c r="AM401" s="178"/>
      <c r="AN401" s="173"/>
      <c r="AO401" s="173"/>
      <c r="AP401" s="173"/>
      <c r="AQ401" s="178"/>
      <c r="AR401" s="173"/>
      <c r="AS401" s="173"/>
      <c r="AT401" s="140"/>
      <c r="AX401" s="140"/>
      <c r="BB401" s="173"/>
      <c r="BC401" s="173"/>
    </row>
    <row r="402" spans="2:55" s="134" customFormat="1" x14ac:dyDescent="0.2">
      <c r="B402" s="145"/>
      <c r="D402" s="145"/>
      <c r="Z402" s="177"/>
      <c r="AA402" s="178"/>
      <c r="AB402" s="139"/>
      <c r="AC402" s="173"/>
      <c r="AD402" s="177"/>
      <c r="AE402" s="177"/>
      <c r="AF402" s="139"/>
      <c r="AG402" s="139"/>
      <c r="AH402" s="177"/>
      <c r="AI402" s="178"/>
      <c r="AJ402" s="139"/>
      <c r="AK402" s="173"/>
      <c r="AL402" s="177"/>
      <c r="AM402" s="178"/>
      <c r="AN402" s="173"/>
      <c r="AO402" s="173"/>
      <c r="AP402" s="173"/>
      <c r="AQ402" s="178"/>
      <c r="AR402" s="173"/>
      <c r="AS402" s="173"/>
      <c r="AT402" s="140"/>
      <c r="AX402" s="140"/>
      <c r="BB402" s="173"/>
      <c r="BC402" s="173"/>
    </row>
    <row r="403" spans="2:55" s="134" customFormat="1" x14ac:dyDescent="0.2">
      <c r="B403" s="145"/>
      <c r="D403" s="145"/>
      <c r="Z403" s="177"/>
      <c r="AA403" s="178"/>
      <c r="AB403" s="139"/>
      <c r="AC403" s="173"/>
      <c r="AD403" s="177"/>
      <c r="AE403" s="177"/>
      <c r="AF403" s="139"/>
      <c r="AG403" s="139"/>
      <c r="AH403" s="177"/>
      <c r="AI403" s="178"/>
      <c r="AJ403" s="139"/>
      <c r="AK403" s="173"/>
      <c r="AL403" s="177"/>
      <c r="AM403" s="178"/>
      <c r="AN403" s="173"/>
      <c r="AO403" s="173"/>
      <c r="AP403" s="173"/>
      <c r="AQ403" s="178"/>
      <c r="AR403" s="173"/>
      <c r="AS403" s="173"/>
      <c r="AT403" s="140"/>
      <c r="AX403" s="140"/>
      <c r="BB403" s="173"/>
      <c r="BC403" s="173"/>
    </row>
    <row r="404" spans="2:55" s="134" customFormat="1" x14ac:dyDescent="0.2">
      <c r="B404" s="145"/>
      <c r="D404" s="145"/>
      <c r="Z404" s="177"/>
      <c r="AA404" s="178"/>
      <c r="AB404" s="139"/>
      <c r="AC404" s="173"/>
      <c r="AD404" s="177"/>
      <c r="AE404" s="177"/>
      <c r="AF404" s="139"/>
      <c r="AG404" s="139"/>
      <c r="AH404" s="177"/>
      <c r="AI404" s="178"/>
      <c r="AJ404" s="139"/>
      <c r="AK404" s="173"/>
      <c r="AL404" s="177"/>
      <c r="AM404" s="178"/>
      <c r="AN404" s="173"/>
      <c r="AO404" s="173"/>
      <c r="AP404" s="173"/>
      <c r="AQ404" s="178"/>
      <c r="AR404" s="173"/>
      <c r="AS404" s="173"/>
      <c r="AT404" s="140"/>
      <c r="AX404" s="140"/>
      <c r="BB404" s="173"/>
      <c r="BC404" s="173"/>
    </row>
    <row r="405" spans="2:55" s="134" customFormat="1" x14ac:dyDescent="0.2">
      <c r="B405" s="145"/>
      <c r="D405" s="145"/>
      <c r="Z405" s="177"/>
      <c r="AA405" s="178"/>
      <c r="AB405" s="139"/>
      <c r="AC405" s="173"/>
      <c r="AD405" s="177"/>
      <c r="AE405" s="177"/>
      <c r="AF405" s="139"/>
      <c r="AG405" s="139"/>
      <c r="AH405" s="177"/>
      <c r="AI405" s="178"/>
      <c r="AJ405" s="139"/>
      <c r="AK405" s="173"/>
      <c r="AL405" s="177"/>
      <c r="AM405" s="178"/>
      <c r="AN405" s="173"/>
      <c r="AO405" s="173"/>
      <c r="AP405" s="173"/>
      <c r="AQ405" s="178"/>
      <c r="AR405" s="173"/>
      <c r="AS405" s="173"/>
      <c r="AT405" s="140"/>
      <c r="AX405" s="140"/>
      <c r="BB405" s="173"/>
      <c r="BC405" s="173"/>
    </row>
    <row r="406" spans="2:55" s="134" customFormat="1" x14ac:dyDescent="0.2">
      <c r="B406" s="145"/>
      <c r="D406" s="145"/>
      <c r="Z406" s="177"/>
      <c r="AA406" s="178"/>
      <c r="AB406" s="139"/>
      <c r="AC406" s="173"/>
      <c r="AD406" s="177"/>
      <c r="AE406" s="177"/>
      <c r="AF406" s="139"/>
      <c r="AG406" s="139"/>
      <c r="AH406" s="177"/>
      <c r="AI406" s="178"/>
      <c r="AJ406" s="139"/>
      <c r="AK406" s="173"/>
      <c r="AL406" s="177"/>
      <c r="AM406" s="178"/>
      <c r="AN406" s="173"/>
      <c r="AO406" s="173"/>
      <c r="AP406" s="173"/>
      <c r="AQ406" s="178"/>
      <c r="AR406" s="173"/>
      <c r="AS406" s="173"/>
      <c r="AT406" s="140"/>
      <c r="AX406" s="140"/>
      <c r="BB406" s="173"/>
      <c r="BC406" s="173"/>
    </row>
    <row r="407" spans="2:55" s="134" customFormat="1" x14ac:dyDescent="0.2">
      <c r="B407" s="145"/>
      <c r="D407" s="145"/>
      <c r="Z407" s="177"/>
      <c r="AA407" s="178"/>
      <c r="AB407" s="139"/>
      <c r="AC407" s="173"/>
      <c r="AD407" s="177"/>
      <c r="AE407" s="177"/>
      <c r="AF407" s="139"/>
      <c r="AG407" s="139"/>
      <c r="AH407" s="177"/>
      <c r="AI407" s="178"/>
      <c r="AJ407" s="139"/>
      <c r="AK407" s="173"/>
      <c r="AL407" s="177"/>
      <c r="AM407" s="178"/>
      <c r="AN407" s="173"/>
      <c r="AO407" s="173"/>
      <c r="AP407" s="173"/>
      <c r="AQ407" s="178"/>
      <c r="AR407" s="173"/>
      <c r="AS407" s="173"/>
      <c r="AT407" s="140"/>
      <c r="AX407" s="140"/>
      <c r="BB407" s="173"/>
      <c r="BC407" s="173"/>
    </row>
    <row r="408" spans="2:55" s="134" customFormat="1" x14ac:dyDescent="0.2">
      <c r="B408" s="145"/>
      <c r="D408" s="145"/>
      <c r="Z408" s="177"/>
      <c r="AA408" s="178"/>
      <c r="AB408" s="139"/>
      <c r="AC408" s="173"/>
      <c r="AD408" s="177"/>
      <c r="AE408" s="177"/>
      <c r="AF408" s="139"/>
      <c r="AG408" s="139"/>
      <c r="AH408" s="177"/>
      <c r="AI408" s="178"/>
      <c r="AJ408" s="139"/>
      <c r="AK408" s="173"/>
      <c r="AL408" s="177"/>
      <c r="AM408" s="178"/>
      <c r="AN408" s="173"/>
      <c r="AO408" s="173"/>
      <c r="AP408" s="173"/>
      <c r="AQ408" s="178"/>
      <c r="AR408" s="173"/>
      <c r="AS408" s="173"/>
      <c r="AT408" s="140"/>
      <c r="AX408" s="140"/>
      <c r="BB408" s="173"/>
      <c r="BC408" s="173"/>
    </row>
    <row r="409" spans="2:55" s="134" customFormat="1" x14ac:dyDescent="0.2">
      <c r="B409" s="145"/>
      <c r="D409" s="145"/>
      <c r="Z409" s="177"/>
      <c r="AA409" s="178"/>
      <c r="AB409" s="139"/>
      <c r="AC409" s="173"/>
      <c r="AD409" s="177"/>
      <c r="AE409" s="177"/>
      <c r="AF409" s="139"/>
      <c r="AG409" s="139"/>
      <c r="AH409" s="177"/>
      <c r="AI409" s="178"/>
      <c r="AJ409" s="139"/>
      <c r="AK409" s="173"/>
      <c r="AL409" s="177"/>
      <c r="AM409" s="178"/>
      <c r="AN409" s="173"/>
      <c r="AO409" s="173"/>
      <c r="AP409" s="173"/>
      <c r="AQ409" s="178"/>
      <c r="AR409" s="173"/>
      <c r="AS409" s="173"/>
      <c r="AT409" s="140"/>
      <c r="AX409" s="140"/>
      <c r="BB409" s="173"/>
      <c r="BC409" s="173"/>
    </row>
    <row r="410" spans="2:55" s="134" customFormat="1" x14ac:dyDescent="0.2">
      <c r="B410" s="145"/>
      <c r="D410" s="145"/>
      <c r="Z410" s="177"/>
      <c r="AA410" s="178"/>
      <c r="AB410" s="139"/>
      <c r="AC410" s="173"/>
      <c r="AD410" s="177"/>
      <c r="AE410" s="177"/>
      <c r="AF410" s="139"/>
      <c r="AG410" s="139"/>
      <c r="AH410" s="177"/>
      <c r="AI410" s="178"/>
      <c r="AJ410" s="139"/>
      <c r="AK410" s="173"/>
      <c r="AL410" s="177"/>
      <c r="AM410" s="178"/>
      <c r="AN410" s="173"/>
      <c r="AO410" s="173"/>
      <c r="AP410" s="173"/>
      <c r="AQ410" s="178"/>
      <c r="AR410" s="173"/>
      <c r="AS410" s="173"/>
      <c r="AT410" s="140"/>
      <c r="AX410" s="140"/>
      <c r="BB410" s="173"/>
      <c r="BC410" s="173"/>
    </row>
    <row r="411" spans="2:55" s="134" customFormat="1" x14ac:dyDescent="0.2">
      <c r="B411" s="145"/>
      <c r="D411" s="145"/>
      <c r="Z411" s="177"/>
      <c r="AA411" s="178"/>
      <c r="AB411" s="139"/>
      <c r="AC411" s="173"/>
      <c r="AD411" s="177"/>
      <c r="AE411" s="177"/>
      <c r="AF411" s="139"/>
      <c r="AG411" s="139"/>
      <c r="AH411" s="177"/>
      <c r="AI411" s="178"/>
      <c r="AJ411" s="139"/>
      <c r="AK411" s="173"/>
      <c r="AL411" s="177"/>
      <c r="AM411" s="178"/>
      <c r="AN411" s="173"/>
      <c r="AO411" s="173"/>
      <c r="AP411" s="173"/>
      <c r="AQ411" s="178"/>
      <c r="AR411" s="173"/>
      <c r="AS411" s="173"/>
      <c r="AT411" s="140"/>
      <c r="AX411" s="140"/>
      <c r="BB411" s="173"/>
      <c r="BC411" s="173"/>
    </row>
    <row r="412" spans="2:55" s="134" customFormat="1" x14ac:dyDescent="0.2">
      <c r="B412" s="145"/>
      <c r="D412" s="145"/>
      <c r="Z412" s="177"/>
      <c r="AA412" s="178"/>
      <c r="AB412" s="139"/>
      <c r="AC412" s="173"/>
      <c r="AD412" s="177"/>
      <c r="AE412" s="177"/>
      <c r="AF412" s="139"/>
      <c r="AG412" s="139"/>
      <c r="AH412" s="177"/>
      <c r="AI412" s="178"/>
      <c r="AJ412" s="139"/>
      <c r="AK412" s="173"/>
      <c r="AL412" s="177"/>
      <c r="AM412" s="178"/>
      <c r="AN412" s="173"/>
      <c r="AO412" s="173"/>
      <c r="AP412" s="173"/>
      <c r="AQ412" s="178"/>
      <c r="AR412" s="173"/>
      <c r="AS412" s="173"/>
      <c r="AT412" s="140"/>
      <c r="AX412" s="140"/>
      <c r="BB412" s="173"/>
      <c r="BC412" s="173"/>
    </row>
    <row r="413" spans="2:55" s="134" customFormat="1" x14ac:dyDescent="0.2">
      <c r="B413" s="145"/>
      <c r="D413" s="145"/>
      <c r="Z413" s="177"/>
      <c r="AA413" s="178"/>
      <c r="AB413" s="139"/>
      <c r="AC413" s="173"/>
      <c r="AD413" s="177"/>
      <c r="AE413" s="177"/>
      <c r="AF413" s="139"/>
      <c r="AG413" s="139"/>
      <c r="AH413" s="177"/>
      <c r="AI413" s="178"/>
      <c r="AJ413" s="139"/>
      <c r="AK413" s="173"/>
      <c r="AL413" s="177"/>
      <c r="AM413" s="178"/>
      <c r="AN413" s="173"/>
      <c r="AO413" s="173"/>
      <c r="AP413" s="173"/>
      <c r="AQ413" s="178"/>
      <c r="AR413" s="173"/>
      <c r="AS413" s="173"/>
      <c r="AT413" s="140"/>
      <c r="AX413" s="140"/>
      <c r="BB413" s="173"/>
      <c r="BC413" s="173"/>
    </row>
    <row r="414" spans="2:55" s="134" customFormat="1" x14ac:dyDescent="0.2">
      <c r="B414" s="145"/>
      <c r="D414" s="145"/>
      <c r="Z414" s="177"/>
      <c r="AA414" s="178"/>
      <c r="AB414" s="139"/>
      <c r="AC414" s="173"/>
      <c r="AD414" s="177"/>
      <c r="AE414" s="177"/>
      <c r="AF414" s="139"/>
      <c r="AG414" s="139"/>
      <c r="AH414" s="177"/>
      <c r="AI414" s="178"/>
      <c r="AJ414" s="139"/>
      <c r="AK414" s="173"/>
      <c r="AL414" s="177"/>
      <c r="AM414" s="178"/>
      <c r="AN414" s="173"/>
      <c r="AO414" s="173"/>
      <c r="AP414" s="173"/>
      <c r="AQ414" s="178"/>
      <c r="AR414" s="173"/>
      <c r="AS414" s="173"/>
      <c r="AT414" s="140"/>
      <c r="AX414" s="140"/>
      <c r="BB414" s="173"/>
      <c r="BC414" s="173"/>
    </row>
    <row r="415" spans="2:55" s="134" customFormat="1" x14ac:dyDescent="0.2">
      <c r="B415" s="145"/>
      <c r="D415" s="145"/>
      <c r="Z415" s="177"/>
      <c r="AA415" s="178"/>
      <c r="AB415" s="139"/>
      <c r="AC415" s="173"/>
      <c r="AD415" s="177"/>
      <c r="AE415" s="177"/>
      <c r="AF415" s="139"/>
      <c r="AG415" s="139"/>
      <c r="AH415" s="177"/>
      <c r="AI415" s="178"/>
      <c r="AJ415" s="139"/>
      <c r="AK415" s="173"/>
      <c r="AL415" s="177"/>
      <c r="AM415" s="178"/>
      <c r="AN415" s="173"/>
      <c r="AO415" s="173"/>
      <c r="AP415" s="173"/>
      <c r="AQ415" s="178"/>
      <c r="AR415" s="173"/>
      <c r="AS415" s="173"/>
      <c r="AT415" s="140"/>
      <c r="AX415" s="140"/>
      <c r="BB415" s="173"/>
      <c r="BC415" s="173"/>
    </row>
    <row r="416" spans="2:55" s="134" customFormat="1" x14ac:dyDescent="0.2">
      <c r="B416" s="145"/>
      <c r="D416" s="145"/>
      <c r="Z416" s="177"/>
      <c r="AA416" s="178"/>
      <c r="AB416" s="139"/>
      <c r="AC416" s="173"/>
      <c r="AD416" s="177"/>
      <c r="AE416" s="177"/>
      <c r="AF416" s="139"/>
      <c r="AG416" s="139"/>
      <c r="AH416" s="177"/>
      <c r="AI416" s="178"/>
      <c r="AJ416" s="139"/>
      <c r="AK416" s="173"/>
      <c r="AL416" s="177"/>
      <c r="AM416" s="178"/>
      <c r="AN416" s="173"/>
      <c r="AO416" s="173"/>
      <c r="AP416" s="173"/>
      <c r="AQ416" s="178"/>
      <c r="AR416" s="173"/>
      <c r="AS416" s="173"/>
      <c r="AT416" s="140"/>
      <c r="AX416" s="140"/>
      <c r="BB416" s="173"/>
      <c r="BC416" s="173"/>
    </row>
    <row r="417" spans="2:55" s="134" customFormat="1" x14ac:dyDescent="0.2">
      <c r="B417" s="145"/>
      <c r="D417" s="145"/>
      <c r="Z417" s="177"/>
      <c r="AA417" s="178"/>
      <c r="AB417" s="139"/>
      <c r="AC417" s="173"/>
      <c r="AD417" s="177"/>
      <c r="AE417" s="177"/>
      <c r="AF417" s="139"/>
      <c r="AG417" s="139"/>
      <c r="AH417" s="177"/>
      <c r="AI417" s="178"/>
      <c r="AJ417" s="139"/>
      <c r="AK417" s="173"/>
      <c r="AL417" s="177"/>
      <c r="AM417" s="178"/>
      <c r="AN417" s="173"/>
      <c r="AO417" s="173"/>
      <c r="AP417" s="173"/>
      <c r="AQ417" s="178"/>
      <c r="AR417" s="173"/>
      <c r="AS417" s="173"/>
      <c r="AT417" s="140"/>
      <c r="AX417" s="140"/>
      <c r="BB417" s="173"/>
      <c r="BC417" s="173"/>
    </row>
    <row r="418" spans="2:55" s="134" customFormat="1" x14ac:dyDescent="0.2">
      <c r="B418" s="145"/>
      <c r="D418" s="145"/>
      <c r="Z418" s="177"/>
      <c r="AA418" s="178"/>
      <c r="AB418" s="139"/>
      <c r="AC418" s="173"/>
      <c r="AD418" s="177"/>
      <c r="AE418" s="177"/>
      <c r="AF418" s="139"/>
      <c r="AG418" s="139"/>
      <c r="AH418" s="177"/>
      <c r="AI418" s="178"/>
      <c r="AJ418" s="139"/>
      <c r="AK418" s="173"/>
      <c r="AL418" s="177"/>
      <c r="AM418" s="178"/>
      <c r="AN418" s="173"/>
      <c r="AO418" s="173"/>
      <c r="AP418" s="173"/>
      <c r="AQ418" s="178"/>
      <c r="AR418" s="173"/>
      <c r="AS418" s="173"/>
      <c r="AT418" s="140"/>
      <c r="AX418" s="140"/>
      <c r="BB418" s="173"/>
      <c r="BC418" s="173"/>
    </row>
    <row r="419" spans="2:55" s="134" customFormat="1" x14ac:dyDescent="0.2">
      <c r="B419" s="145"/>
      <c r="D419" s="145"/>
      <c r="Z419" s="177"/>
      <c r="AA419" s="178"/>
      <c r="AB419" s="139"/>
      <c r="AC419" s="173"/>
      <c r="AD419" s="177"/>
      <c r="AE419" s="177"/>
      <c r="AF419" s="139"/>
      <c r="AG419" s="139"/>
      <c r="AH419" s="177"/>
      <c r="AI419" s="178"/>
      <c r="AJ419" s="139"/>
      <c r="AK419" s="173"/>
      <c r="AL419" s="177"/>
      <c r="AM419" s="178"/>
      <c r="AN419" s="173"/>
      <c r="AO419" s="173"/>
      <c r="AP419" s="173"/>
      <c r="AQ419" s="178"/>
      <c r="AR419" s="173"/>
      <c r="AS419" s="173"/>
      <c r="AT419" s="140"/>
      <c r="AX419" s="140"/>
      <c r="BB419" s="173"/>
      <c r="BC419" s="173"/>
    </row>
    <row r="420" spans="2:55" s="134" customFormat="1" x14ac:dyDescent="0.2">
      <c r="B420" s="145"/>
      <c r="D420" s="145"/>
      <c r="Z420" s="177"/>
      <c r="AA420" s="178"/>
      <c r="AB420" s="139"/>
      <c r="AC420" s="173"/>
      <c r="AD420" s="177"/>
      <c r="AE420" s="177"/>
      <c r="AF420" s="139"/>
      <c r="AG420" s="139"/>
      <c r="AH420" s="177"/>
      <c r="AI420" s="178"/>
      <c r="AJ420" s="139"/>
      <c r="AK420" s="173"/>
      <c r="AL420" s="177"/>
      <c r="AM420" s="178"/>
      <c r="AN420" s="173"/>
      <c r="AO420" s="173"/>
      <c r="AP420" s="173"/>
      <c r="AQ420" s="178"/>
      <c r="AR420" s="173"/>
      <c r="AS420" s="173"/>
      <c r="AT420" s="140"/>
      <c r="AX420" s="140"/>
      <c r="BB420" s="173"/>
      <c r="BC420" s="173"/>
    </row>
    <row r="421" spans="2:55" s="134" customFormat="1" x14ac:dyDescent="0.2">
      <c r="B421" s="145"/>
      <c r="D421" s="145"/>
      <c r="Z421" s="177"/>
      <c r="AA421" s="178"/>
      <c r="AB421" s="139"/>
      <c r="AC421" s="173"/>
      <c r="AD421" s="177"/>
      <c r="AE421" s="177"/>
      <c r="AF421" s="139"/>
      <c r="AG421" s="139"/>
      <c r="AH421" s="177"/>
      <c r="AI421" s="178"/>
      <c r="AJ421" s="139"/>
      <c r="AK421" s="173"/>
      <c r="AL421" s="177"/>
      <c r="AM421" s="178"/>
      <c r="AN421" s="173"/>
      <c r="AO421" s="173"/>
      <c r="AP421" s="173"/>
      <c r="AQ421" s="178"/>
      <c r="AR421" s="173"/>
      <c r="AS421" s="173"/>
      <c r="AT421" s="140"/>
      <c r="AX421" s="140"/>
      <c r="BB421" s="173"/>
      <c r="BC421" s="173"/>
    </row>
    <row r="422" spans="2:55" s="134" customFormat="1" x14ac:dyDescent="0.2">
      <c r="B422" s="145"/>
      <c r="D422" s="145"/>
      <c r="Z422" s="177"/>
      <c r="AA422" s="178"/>
      <c r="AB422" s="139"/>
      <c r="AC422" s="173"/>
      <c r="AD422" s="177"/>
      <c r="AE422" s="177"/>
      <c r="AF422" s="139"/>
      <c r="AG422" s="139"/>
      <c r="AH422" s="177"/>
      <c r="AI422" s="178"/>
      <c r="AJ422" s="139"/>
      <c r="AK422" s="173"/>
      <c r="AL422" s="177"/>
      <c r="AM422" s="178"/>
      <c r="AN422" s="173"/>
      <c r="AO422" s="173"/>
      <c r="AP422" s="173"/>
      <c r="AQ422" s="178"/>
      <c r="AR422" s="173"/>
      <c r="AS422" s="173"/>
      <c r="AT422" s="140"/>
      <c r="AX422" s="140"/>
      <c r="BB422" s="173"/>
      <c r="BC422" s="173"/>
    </row>
    <row r="423" spans="2:55" s="134" customFormat="1" x14ac:dyDescent="0.2">
      <c r="B423" s="145"/>
      <c r="D423" s="145"/>
      <c r="Z423" s="177"/>
      <c r="AA423" s="178"/>
      <c r="AB423" s="139"/>
      <c r="AC423" s="173"/>
      <c r="AD423" s="177"/>
      <c r="AE423" s="177"/>
      <c r="AF423" s="139"/>
      <c r="AG423" s="139"/>
      <c r="AH423" s="177"/>
      <c r="AI423" s="178"/>
      <c r="AJ423" s="139"/>
      <c r="AK423" s="173"/>
      <c r="AL423" s="177"/>
      <c r="AM423" s="178"/>
      <c r="AN423" s="173"/>
      <c r="AO423" s="173"/>
      <c r="AP423" s="173"/>
      <c r="AQ423" s="178"/>
      <c r="AR423" s="173"/>
      <c r="AS423" s="173"/>
      <c r="AT423" s="140"/>
      <c r="AX423" s="140"/>
      <c r="BB423" s="173"/>
      <c r="BC423" s="173"/>
    </row>
    <row r="424" spans="2:55" s="134" customFormat="1" x14ac:dyDescent="0.2">
      <c r="B424" s="145"/>
      <c r="D424" s="145"/>
      <c r="Z424" s="177"/>
      <c r="AA424" s="178"/>
      <c r="AB424" s="139"/>
      <c r="AC424" s="173"/>
      <c r="AD424" s="177"/>
      <c r="AE424" s="177"/>
      <c r="AF424" s="139"/>
      <c r="AG424" s="139"/>
      <c r="AH424" s="177"/>
      <c r="AI424" s="178"/>
      <c r="AJ424" s="139"/>
      <c r="AK424" s="173"/>
      <c r="AL424" s="177"/>
      <c r="AM424" s="178"/>
      <c r="AN424" s="173"/>
      <c r="AO424" s="173"/>
      <c r="AP424" s="173"/>
      <c r="AQ424" s="178"/>
      <c r="AR424" s="173"/>
      <c r="AS424" s="173"/>
      <c r="AT424" s="140"/>
      <c r="AX424" s="140"/>
      <c r="BB424" s="173"/>
      <c r="BC424" s="173"/>
    </row>
    <row r="425" spans="2:55" s="134" customFormat="1" x14ac:dyDescent="0.2">
      <c r="B425" s="145"/>
      <c r="D425" s="145"/>
      <c r="Z425" s="177"/>
      <c r="AA425" s="178"/>
      <c r="AB425" s="139"/>
      <c r="AC425" s="173"/>
      <c r="AD425" s="177"/>
      <c r="AE425" s="177"/>
      <c r="AF425" s="139"/>
      <c r="AG425" s="139"/>
      <c r="AH425" s="177"/>
      <c r="AI425" s="178"/>
      <c r="AJ425" s="139"/>
      <c r="AK425" s="173"/>
      <c r="AL425" s="177"/>
      <c r="AM425" s="178"/>
      <c r="AN425" s="173"/>
      <c r="AO425" s="173"/>
      <c r="AP425" s="173"/>
      <c r="AQ425" s="178"/>
      <c r="AR425" s="173"/>
      <c r="AS425" s="173"/>
      <c r="AT425" s="140"/>
      <c r="AX425" s="140"/>
      <c r="BB425" s="173"/>
      <c r="BC425" s="173"/>
    </row>
    <row r="426" spans="2:55" s="134" customFormat="1" x14ac:dyDescent="0.2">
      <c r="B426" s="145"/>
      <c r="D426" s="145"/>
      <c r="Z426" s="177"/>
      <c r="AA426" s="178"/>
      <c r="AB426" s="139"/>
      <c r="AC426" s="173"/>
      <c r="AD426" s="177"/>
      <c r="AE426" s="177"/>
      <c r="AF426" s="139"/>
      <c r="AG426" s="139"/>
      <c r="AH426" s="177"/>
      <c r="AI426" s="178"/>
      <c r="AJ426" s="139"/>
      <c r="AK426" s="173"/>
      <c r="AL426" s="177"/>
      <c r="AM426" s="178"/>
      <c r="AN426" s="173"/>
      <c r="AO426" s="173"/>
      <c r="AP426" s="173"/>
      <c r="AQ426" s="178"/>
      <c r="AR426" s="173"/>
      <c r="AS426" s="173"/>
      <c r="AT426" s="140"/>
      <c r="AX426" s="140"/>
      <c r="BB426" s="173"/>
      <c r="BC426" s="173"/>
    </row>
    <row r="427" spans="2:55" s="134" customFormat="1" x14ac:dyDescent="0.2">
      <c r="B427" s="145"/>
      <c r="D427" s="145"/>
      <c r="Z427" s="177"/>
      <c r="AA427" s="178"/>
      <c r="AB427" s="139"/>
      <c r="AC427" s="173"/>
      <c r="AD427" s="177"/>
      <c r="AE427" s="177"/>
      <c r="AF427" s="139"/>
      <c r="AG427" s="139"/>
      <c r="AH427" s="177"/>
      <c r="AI427" s="178"/>
      <c r="AJ427" s="139"/>
      <c r="AK427" s="173"/>
      <c r="AL427" s="177"/>
      <c r="AM427" s="178"/>
      <c r="AN427" s="173"/>
      <c r="AO427" s="173"/>
      <c r="AP427" s="173"/>
      <c r="AQ427" s="178"/>
      <c r="AR427" s="173"/>
      <c r="AS427" s="173"/>
      <c r="AT427" s="140"/>
      <c r="AX427" s="140"/>
      <c r="BB427" s="173"/>
      <c r="BC427" s="173"/>
    </row>
    <row r="428" spans="2:55" s="134" customFormat="1" x14ac:dyDescent="0.2">
      <c r="B428" s="145"/>
      <c r="D428" s="145"/>
      <c r="Z428" s="177"/>
      <c r="AA428" s="178"/>
      <c r="AB428" s="139"/>
      <c r="AC428" s="173"/>
      <c r="AD428" s="177"/>
      <c r="AE428" s="177"/>
      <c r="AF428" s="139"/>
      <c r="AG428" s="139"/>
      <c r="AH428" s="177"/>
      <c r="AI428" s="178"/>
      <c r="AJ428" s="139"/>
      <c r="AK428" s="173"/>
      <c r="AL428" s="177"/>
      <c r="AM428" s="178"/>
      <c r="AN428" s="173"/>
      <c r="AO428" s="173"/>
      <c r="AP428" s="173"/>
      <c r="AQ428" s="178"/>
      <c r="AR428" s="173"/>
      <c r="AS428" s="173"/>
      <c r="AT428" s="140"/>
      <c r="AX428" s="140"/>
      <c r="BB428" s="173"/>
      <c r="BC428" s="173"/>
    </row>
    <row r="429" spans="2:55" s="134" customFormat="1" x14ac:dyDescent="0.2">
      <c r="B429" s="145"/>
      <c r="D429" s="145"/>
      <c r="Z429" s="177"/>
      <c r="AA429" s="178"/>
      <c r="AB429" s="139"/>
      <c r="AC429" s="173"/>
      <c r="AD429" s="177"/>
      <c r="AE429" s="177"/>
      <c r="AF429" s="139"/>
      <c r="AG429" s="139"/>
      <c r="AH429" s="177"/>
      <c r="AI429" s="178"/>
      <c r="AJ429" s="139"/>
      <c r="AK429" s="173"/>
      <c r="AL429" s="177"/>
      <c r="AM429" s="178"/>
      <c r="AN429" s="173"/>
      <c r="AO429" s="173"/>
      <c r="AP429" s="173"/>
      <c r="AQ429" s="178"/>
      <c r="AR429" s="173"/>
      <c r="AS429" s="173"/>
      <c r="AT429" s="140"/>
      <c r="AX429" s="140"/>
      <c r="BB429" s="173"/>
      <c r="BC429" s="173"/>
    </row>
    <row r="430" spans="2:55" s="134" customFormat="1" x14ac:dyDescent="0.2">
      <c r="B430" s="145"/>
      <c r="D430" s="145"/>
      <c r="Z430" s="177"/>
      <c r="AA430" s="178"/>
      <c r="AB430" s="139"/>
      <c r="AC430" s="173"/>
      <c r="AD430" s="177"/>
      <c r="AE430" s="177"/>
      <c r="AF430" s="139"/>
      <c r="AG430" s="139"/>
      <c r="AH430" s="177"/>
      <c r="AI430" s="178"/>
      <c r="AJ430" s="139"/>
      <c r="AK430" s="173"/>
      <c r="AL430" s="177"/>
      <c r="AM430" s="178"/>
      <c r="AN430" s="173"/>
      <c r="AO430" s="173"/>
      <c r="AP430" s="173"/>
      <c r="AQ430" s="178"/>
      <c r="AR430" s="173"/>
      <c r="AS430" s="173"/>
      <c r="AT430" s="140"/>
      <c r="AX430" s="140"/>
      <c r="BB430" s="173"/>
      <c r="BC430" s="173"/>
    </row>
    <row r="431" spans="2:55" s="134" customFormat="1" x14ac:dyDescent="0.2">
      <c r="B431" s="145"/>
      <c r="D431" s="145"/>
      <c r="Z431" s="177"/>
      <c r="AA431" s="178"/>
      <c r="AB431" s="139"/>
      <c r="AC431" s="173"/>
      <c r="AD431" s="177"/>
      <c r="AE431" s="177"/>
      <c r="AF431" s="139"/>
      <c r="AG431" s="139"/>
      <c r="AH431" s="177"/>
      <c r="AI431" s="178"/>
      <c r="AJ431" s="139"/>
      <c r="AK431" s="173"/>
      <c r="AL431" s="177"/>
      <c r="AM431" s="178"/>
      <c r="AN431" s="173"/>
      <c r="AO431" s="173"/>
      <c r="AP431" s="173"/>
      <c r="AQ431" s="178"/>
      <c r="AR431" s="173"/>
      <c r="AS431" s="173"/>
      <c r="AT431" s="140"/>
      <c r="AX431" s="140"/>
      <c r="BB431" s="173"/>
      <c r="BC431" s="173"/>
    </row>
    <row r="432" spans="2:55" s="134" customFormat="1" x14ac:dyDescent="0.2">
      <c r="B432" s="145"/>
      <c r="D432" s="145"/>
      <c r="Z432" s="177"/>
      <c r="AA432" s="178"/>
      <c r="AB432" s="139"/>
      <c r="AC432" s="173"/>
      <c r="AD432" s="177"/>
      <c r="AE432" s="177"/>
      <c r="AF432" s="139"/>
      <c r="AG432" s="139"/>
      <c r="AH432" s="177"/>
      <c r="AI432" s="178"/>
      <c r="AJ432" s="139"/>
      <c r="AK432" s="173"/>
      <c r="AL432" s="177"/>
      <c r="AM432" s="178"/>
      <c r="AN432" s="173"/>
      <c r="AO432" s="173"/>
      <c r="AP432" s="173"/>
      <c r="AQ432" s="178"/>
      <c r="AR432" s="173"/>
      <c r="AS432" s="173"/>
      <c r="AT432" s="140"/>
      <c r="AX432" s="140"/>
      <c r="BB432" s="173"/>
      <c r="BC432" s="173"/>
    </row>
    <row r="433" spans="2:55" s="134" customFormat="1" x14ac:dyDescent="0.2">
      <c r="B433" s="145"/>
      <c r="D433" s="145"/>
      <c r="Z433" s="177"/>
      <c r="AA433" s="178"/>
      <c r="AB433" s="139"/>
      <c r="AC433" s="173"/>
      <c r="AD433" s="177"/>
      <c r="AE433" s="177"/>
      <c r="AF433" s="139"/>
      <c r="AG433" s="139"/>
      <c r="AH433" s="177"/>
      <c r="AI433" s="178"/>
      <c r="AJ433" s="139"/>
      <c r="AK433" s="173"/>
      <c r="AL433" s="177"/>
      <c r="AM433" s="178"/>
      <c r="AN433" s="173"/>
      <c r="AO433" s="173"/>
      <c r="AP433" s="173"/>
      <c r="AQ433" s="178"/>
      <c r="AR433" s="173"/>
      <c r="AS433" s="173"/>
      <c r="AT433" s="140"/>
      <c r="AX433" s="140"/>
      <c r="BB433" s="173"/>
      <c r="BC433" s="173"/>
    </row>
    <row r="434" spans="2:55" s="134" customFormat="1" x14ac:dyDescent="0.2">
      <c r="B434" s="145"/>
      <c r="D434" s="145"/>
      <c r="Z434" s="177"/>
      <c r="AA434" s="178"/>
      <c r="AB434" s="139"/>
      <c r="AC434" s="173"/>
      <c r="AD434" s="177"/>
      <c r="AE434" s="177"/>
      <c r="AF434" s="139"/>
      <c r="AG434" s="139"/>
      <c r="AH434" s="177"/>
      <c r="AI434" s="178"/>
      <c r="AJ434" s="139"/>
      <c r="AK434" s="173"/>
      <c r="AL434" s="177"/>
      <c r="AM434" s="178"/>
      <c r="AN434" s="173"/>
      <c r="AO434" s="173"/>
      <c r="AP434" s="173"/>
      <c r="AQ434" s="178"/>
      <c r="AR434" s="173"/>
      <c r="AS434" s="173"/>
      <c r="AT434" s="140"/>
      <c r="AX434" s="140"/>
      <c r="BB434" s="173"/>
      <c r="BC434" s="173"/>
    </row>
    <row r="435" spans="2:55" s="134" customFormat="1" x14ac:dyDescent="0.2">
      <c r="B435" s="145"/>
      <c r="D435" s="145"/>
      <c r="Z435" s="177"/>
      <c r="AA435" s="178"/>
      <c r="AB435" s="139"/>
      <c r="AC435" s="173"/>
      <c r="AD435" s="177"/>
      <c r="AE435" s="177"/>
      <c r="AF435" s="139"/>
      <c r="AG435" s="139"/>
      <c r="AH435" s="177"/>
      <c r="AI435" s="178"/>
      <c r="AJ435" s="139"/>
      <c r="AK435" s="173"/>
      <c r="AL435" s="177"/>
      <c r="AM435" s="178"/>
      <c r="AN435" s="173"/>
      <c r="AO435" s="173"/>
      <c r="AP435" s="173"/>
      <c r="AQ435" s="178"/>
      <c r="AR435" s="173"/>
      <c r="AS435" s="173"/>
      <c r="AT435" s="140"/>
      <c r="AX435" s="140"/>
      <c r="BB435" s="173"/>
      <c r="BC435" s="173"/>
    </row>
    <row r="436" spans="2:55" s="134" customFormat="1" x14ac:dyDescent="0.2">
      <c r="B436" s="145"/>
      <c r="D436" s="145"/>
      <c r="Z436" s="177"/>
      <c r="AA436" s="178"/>
      <c r="AB436" s="139"/>
      <c r="AC436" s="173"/>
      <c r="AD436" s="177"/>
      <c r="AE436" s="177"/>
      <c r="AF436" s="139"/>
      <c r="AG436" s="139"/>
      <c r="AH436" s="177"/>
      <c r="AI436" s="178"/>
      <c r="AJ436" s="139"/>
      <c r="AK436" s="173"/>
      <c r="AL436" s="177"/>
      <c r="AM436" s="178"/>
      <c r="AN436" s="173"/>
      <c r="AO436" s="173"/>
      <c r="AP436" s="173"/>
      <c r="AQ436" s="178"/>
      <c r="AR436" s="173"/>
      <c r="AS436" s="173"/>
      <c r="AT436" s="140"/>
      <c r="AX436" s="140"/>
      <c r="BB436" s="173"/>
      <c r="BC436" s="173"/>
    </row>
    <row r="437" spans="2:55" s="134" customFormat="1" x14ac:dyDescent="0.2">
      <c r="B437" s="145"/>
      <c r="D437" s="145"/>
      <c r="Z437" s="177"/>
      <c r="AA437" s="178"/>
      <c r="AB437" s="139"/>
      <c r="AC437" s="173"/>
      <c r="AD437" s="177"/>
      <c r="AE437" s="177"/>
      <c r="AF437" s="139"/>
      <c r="AG437" s="139"/>
      <c r="AH437" s="177"/>
      <c r="AI437" s="178"/>
      <c r="AJ437" s="139"/>
      <c r="AK437" s="173"/>
      <c r="AL437" s="177"/>
      <c r="AM437" s="178"/>
      <c r="AN437" s="173"/>
      <c r="AO437" s="173"/>
      <c r="AP437" s="173"/>
      <c r="AQ437" s="178"/>
      <c r="AR437" s="173"/>
      <c r="AS437" s="173"/>
      <c r="AT437" s="140"/>
      <c r="AX437" s="140"/>
      <c r="BB437" s="173"/>
      <c r="BC437" s="173"/>
    </row>
    <row r="438" spans="2:55" s="134" customFormat="1" x14ac:dyDescent="0.2">
      <c r="B438" s="145"/>
      <c r="D438" s="145"/>
      <c r="Z438" s="177"/>
      <c r="AA438" s="178"/>
      <c r="AB438" s="139"/>
      <c r="AC438" s="173"/>
      <c r="AD438" s="177"/>
      <c r="AE438" s="177"/>
      <c r="AF438" s="139"/>
      <c r="AG438" s="139"/>
      <c r="AH438" s="177"/>
      <c r="AI438" s="178"/>
      <c r="AJ438" s="139"/>
      <c r="AK438" s="173"/>
      <c r="AL438" s="177"/>
      <c r="AM438" s="178"/>
      <c r="AN438" s="173"/>
      <c r="AO438" s="173"/>
      <c r="AP438" s="173"/>
      <c r="AQ438" s="178"/>
      <c r="AR438" s="173"/>
      <c r="AS438" s="173"/>
      <c r="AT438" s="140"/>
      <c r="AX438" s="140"/>
      <c r="BB438" s="173"/>
      <c r="BC438" s="173"/>
    </row>
    <row r="439" spans="2:55" s="134" customFormat="1" x14ac:dyDescent="0.2">
      <c r="B439" s="145"/>
      <c r="D439" s="145"/>
      <c r="Z439" s="177"/>
      <c r="AA439" s="178"/>
      <c r="AB439" s="139"/>
      <c r="AC439" s="173"/>
      <c r="AD439" s="177"/>
      <c r="AE439" s="177"/>
      <c r="AF439" s="139"/>
      <c r="AG439" s="139"/>
      <c r="AH439" s="177"/>
      <c r="AI439" s="178"/>
      <c r="AJ439" s="139"/>
      <c r="AK439" s="173"/>
      <c r="AL439" s="177"/>
      <c r="AM439" s="178"/>
      <c r="AN439" s="173"/>
      <c r="AO439" s="173"/>
      <c r="AP439" s="173"/>
      <c r="AQ439" s="178"/>
      <c r="AR439" s="173"/>
      <c r="AS439" s="173"/>
      <c r="AT439" s="140"/>
      <c r="AX439" s="140"/>
      <c r="BB439" s="173"/>
      <c r="BC439" s="173"/>
    </row>
    <row r="440" spans="2:55" s="134" customFormat="1" x14ac:dyDescent="0.2">
      <c r="B440" s="145"/>
      <c r="D440" s="145"/>
      <c r="Z440" s="177"/>
      <c r="AA440" s="178"/>
      <c r="AB440" s="139"/>
      <c r="AC440" s="173"/>
      <c r="AD440" s="177"/>
      <c r="AE440" s="177"/>
      <c r="AF440" s="139"/>
      <c r="AG440" s="139"/>
      <c r="AH440" s="177"/>
      <c r="AI440" s="178"/>
      <c r="AJ440" s="139"/>
      <c r="AK440" s="173"/>
      <c r="AL440" s="177"/>
      <c r="AM440" s="178"/>
      <c r="AN440" s="173"/>
      <c r="AO440" s="173"/>
      <c r="AP440" s="173"/>
      <c r="AQ440" s="178"/>
      <c r="AR440" s="173"/>
      <c r="AS440" s="173"/>
      <c r="AT440" s="140"/>
      <c r="AX440" s="140"/>
      <c r="BB440" s="173"/>
      <c r="BC440" s="173"/>
    </row>
    <row r="441" spans="2:55" s="134" customFormat="1" x14ac:dyDescent="0.2">
      <c r="B441" s="145"/>
      <c r="D441" s="145"/>
      <c r="Z441" s="177"/>
      <c r="AA441" s="178"/>
      <c r="AB441" s="139"/>
      <c r="AC441" s="173"/>
      <c r="AD441" s="177"/>
      <c r="AE441" s="177"/>
      <c r="AF441" s="139"/>
      <c r="AG441" s="139"/>
      <c r="AH441" s="177"/>
      <c r="AI441" s="178"/>
      <c r="AJ441" s="139"/>
      <c r="AK441" s="173"/>
      <c r="AL441" s="177"/>
      <c r="AM441" s="178"/>
      <c r="AN441" s="173"/>
      <c r="AO441" s="173"/>
      <c r="AP441" s="173"/>
      <c r="AQ441" s="178"/>
      <c r="AR441" s="173"/>
      <c r="AS441" s="173"/>
      <c r="AT441" s="140"/>
      <c r="AX441" s="140"/>
      <c r="BB441" s="173"/>
      <c r="BC441" s="173"/>
    </row>
    <row r="442" spans="2:55" s="134" customFormat="1" x14ac:dyDescent="0.2">
      <c r="B442" s="145"/>
      <c r="D442" s="145"/>
      <c r="Z442" s="177"/>
      <c r="AA442" s="178"/>
      <c r="AB442" s="139"/>
      <c r="AC442" s="173"/>
      <c r="AD442" s="177"/>
      <c r="AE442" s="177"/>
      <c r="AF442" s="139"/>
      <c r="AG442" s="139"/>
      <c r="AH442" s="177"/>
      <c r="AI442" s="178"/>
      <c r="AJ442" s="139"/>
      <c r="AK442" s="173"/>
      <c r="AL442" s="177"/>
      <c r="AM442" s="178"/>
      <c r="AN442" s="173"/>
      <c r="AO442" s="173"/>
      <c r="AP442" s="173"/>
      <c r="AQ442" s="178"/>
      <c r="AR442" s="173"/>
      <c r="AS442" s="173"/>
      <c r="AT442" s="140"/>
      <c r="AX442" s="140"/>
      <c r="BB442" s="173"/>
      <c r="BC442" s="173"/>
    </row>
    <row r="443" spans="2:55" s="134" customFormat="1" x14ac:dyDescent="0.2">
      <c r="B443" s="145"/>
      <c r="D443" s="145"/>
      <c r="Z443" s="177"/>
      <c r="AA443" s="178"/>
      <c r="AB443" s="139"/>
      <c r="AC443" s="173"/>
      <c r="AD443" s="177"/>
      <c r="AE443" s="177"/>
      <c r="AF443" s="139"/>
      <c r="AG443" s="139"/>
      <c r="AH443" s="177"/>
      <c r="AI443" s="178"/>
      <c r="AJ443" s="139"/>
      <c r="AK443" s="173"/>
      <c r="AL443" s="177"/>
      <c r="AM443" s="178"/>
      <c r="AN443" s="173"/>
      <c r="AO443" s="173"/>
      <c r="AP443" s="173"/>
      <c r="AQ443" s="178"/>
      <c r="AR443" s="173"/>
      <c r="AS443" s="173"/>
      <c r="AT443" s="140"/>
      <c r="AX443" s="140"/>
      <c r="BB443" s="173"/>
      <c r="BC443" s="173"/>
    </row>
    <row r="444" spans="2:55" s="134" customFormat="1" x14ac:dyDescent="0.2">
      <c r="B444" s="145"/>
      <c r="D444" s="145"/>
      <c r="Z444" s="177"/>
      <c r="AA444" s="178"/>
      <c r="AB444" s="139"/>
      <c r="AC444" s="173"/>
      <c r="AD444" s="177"/>
      <c r="AE444" s="177"/>
      <c r="AF444" s="139"/>
      <c r="AG444" s="139"/>
      <c r="AH444" s="177"/>
      <c r="AI444" s="178"/>
      <c r="AJ444" s="139"/>
      <c r="AK444" s="173"/>
      <c r="AL444" s="177"/>
      <c r="AM444" s="178"/>
      <c r="AN444" s="173"/>
      <c r="AO444" s="173"/>
      <c r="AP444" s="173"/>
      <c r="AQ444" s="178"/>
      <c r="AR444" s="173"/>
      <c r="AS444" s="173"/>
      <c r="AT444" s="140"/>
      <c r="AX444" s="140"/>
      <c r="BB444" s="173"/>
      <c r="BC444" s="173"/>
    </row>
    <row r="445" spans="2:55" s="134" customFormat="1" x14ac:dyDescent="0.2">
      <c r="B445" s="145"/>
      <c r="D445" s="145"/>
      <c r="Z445" s="177"/>
      <c r="AA445" s="178"/>
      <c r="AB445" s="139"/>
      <c r="AC445" s="173"/>
      <c r="AD445" s="177"/>
      <c r="AE445" s="177"/>
      <c r="AF445" s="139"/>
      <c r="AG445" s="139"/>
      <c r="AH445" s="177"/>
      <c r="AI445" s="178"/>
      <c r="AJ445" s="139"/>
      <c r="AK445" s="173"/>
      <c r="AL445" s="177"/>
      <c r="AM445" s="178"/>
      <c r="AN445" s="173"/>
      <c r="AO445" s="173"/>
      <c r="AP445" s="173"/>
      <c r="AQ445" s="178"/>
      <c r="AR445" s="173"/>
      <c r="AS445" s="173"/>
      <c r="AT445" s="140"/>
      <c r="AX445" s="140"/>
      <c r="BB445" s="173"/>
      <c r="BC445" s="173"/>
    </row>
    <row r="446" spans="2:55" s="134" customFormat="1" x14ac:dyDescent="0.2">
      <c r="B446" s="145"/>
      <c r="D446" s="145"/>
      <c r="Z446" s="177"/>
      <c r="AA446" s="178"/>
      <c r="AB446" s="139"/>
      <c r="AC446" s="173"/>
      <c r="AD446" s="177"/>
      <c r="AE446" s="177"/>
      <c r="AF446" s="139"/>
      <c r="AG446" s="139"/>
      <c r="AH446" s="177"/>
      <c r="AI446" s="178"/>
      <c r="AJ446" s="139"/>
      <c r="AK446" s="173"/>
      <c r="AL446" s="177"/>
      <c r="AM446" s="178"/>
      <c r="AN446" s="173"/>
      <c r="AO446" s="173"/>
      <c r="AP446" s="173"/>
      <c r="AQ446" s="178"/>
      <c r="AR446" s="173"/>
      <c r="AS446" s="173"/>
      <c r="AT446" s="140"/>
      <c r="AX446" s="140"/>
      <c r="BB446" s="173"/>
      <c r="BC446" s="173"/>
    </row>
    <row r="447" spans="2:55" s="134" customFormat="1" x14ac:dyDescent="0.2">
      <c r="B447" s="145"/>
      <c r="D447" s="145"/>
      <c r="Z447" s="177"/>
      <c r="AA447" s="178"/>
      <c r="AB447" s="139"/>
      <c r="AC447" s="173"/>
      <c r="AD447" s="177"/>
      <c r="AE447" s="177"/>
      <c r="AF447" s="139"/>
      <c r="AG447" s="139"/>
      <c r="AH447" s="177"/>
      <c r="AI447" s="178"/>
      <c r="AJ447" s="139"/>
      <c r="AK447" s="173"/>
      <c r="AL447" s="177"/>
      <c r="AM447" s="178"/>
      <c r="AN447" s="173"/>
      <c r="AO447" s="173"/>
      <c r="AP447" s="173"/>
      <c r="AQ447" s="178"/>
      <c r="AR447" s="173"/>
      <c r="AS447" s="173"/>
      <c r="AT447" s="140"/>
      <c r="AX447" s="140"/>
      <c r="BB447" s="173"/>
      <c r="BC447" s="173"/>
    </row>
    <row r="448" spans="2:55" s="134" customFormat="1" x14ac:dyDescent="0.2">
      <c r="B448" s="145"/>
      <c r="D448" s="145"/>
      <c r="Z448" s="177"/>
      <c r="AA448" s="178"/>
      <c r="AB448" s="139"/>
      <c r="AC448" s="173"/>
      <c r="AD448" s="177"/>
      <c r="AE448" s="177"/>
      <c r="AF448" s="139"/>
      <c r="AG448" s="139"/>
      <c r="AH448" s="177"/>
      <c r="AI448" s="178"/>
      <c r="AJ448" s="139"/>
      <c r="AK448" s="173"/>
      <c r="AL448" s="177"/>
      <c r="AM448" s="178"/>
      <c r="AN448" s="173"/>
      <c r="AO448" s="173"/>
      <c r="AP448" s="173"/>
      <c r="AQ448" s="178"/>
      <c r="AR448" s="173"/>
      <c r="AS448" s="173"/>
      <c r="AT448" s="140"/>
      <c r="AX448" s="140"/>
      <c r="BB448" s="173"/>
      <c r="BC448" s="173"/>
    </row>
    <row r="449" spans="2:55" s="134" customFormat="1" x14ac:dyDescent="0.2">
      <c r="B449" s="145"/>
      <c r="D449" s="145"/>
      <c r="Z449" s="177"/>
      <c r="AA449" s="178"/>
      <c r="AB449" s="139"/>
      <c r="AC449" s="173"/>
      <c r="AD449" s="177"/>
      <c r="AE449" s="177"/>
      <c r="AF449" s="139"/>
      <c r="AG449" s="139"/>
      <c r="AH449" s="177"/>
      <c r="AI449" s="178"/>
      <c r="AJ449" s="139"/>
      <c r="AK449" s="173"/>
      <c r="AL449" s="177"/>
      <c r="AM449" s="178"/>
      <c r="AN449" s="173"/>
      <c r="AO449" s="173"/>
      <c r="AP449" s="173"/>
      <c r="AQ449" s="178"/>
      <c r="AR449" s="173"/>
      <c r="AS449" s="173"/>
      <c r="AT449" s="140"/>
      <c r="AX449" s="140"/>
      <c r="BB449" s="173"/>
      <c r="BC449" s="173"/>
    </row>
    <row r="450" spans="2:55" s="134" customFormat="1" x14ac:dyDescent="0.2">
      <c r="B450" s="145"/>
      <c r="D450" s="145"/>
      <c r="Z450" s="177"/>
      <c r="AA450" s="178"/>
      <c r="AB450" s="139"/>
      <c r="AC450" s="173"/>
      <c r="AD450" s="177"/>
      <c r="AE450" s="177"/>
      <c r="AF450" s="139"/>
      <c r="AG450" s="139"/>
      <c r="AH450" s="177"/>
      <c r="AI450" s="178"/>
      <c r="AJ450" s="139"/>
      <c r="AK450" s="173"/>
      <c r="AL450" s="177"/>
      <c r="AM450" s="178"/>
      <c r="AN450" s="173"/>
      <c r="AO450" s="173"/>
      <c r="AP450" s="173"/>
      <c r="AQ450" s="178"/>
      <c r="AR450" s="173"/>
      <c r="AS450" s="173"/>
      <c r="AT450" s="140"/>
      <c r="AX450" s="140"/>
      <c r="BB450" s="173"/>
      <c r="BC450" s="173"/>
    </row>
    <row r="451" spans="2:55" s="134" customFormat="1" x14ac:dyDescent="0.2">
      <c r="B451" s="145"/>
      <c r="D451" s="145"/>
      <c r="Z451" s="177"/>
      <c r="AA451" s="178"/>
      <c r="AB451" s="139"/>
      <c r="AC451" s="173"/>
      <c r="AD451" s="177"/>
      <c r="AE451" s="177"/>
      <c r="AF451" s="139"/>
      <c r="AG451" s="139"/>
      <c r="AH451" s="177"/>
      <c r="AI451" s="178"/>
      <c r="AJ451" s="139"/>
      <c r="AK451" s="173"/>
      <c r="AL451" s="177"/>
      <c r="AM451" s="178"/>
      <c r="AN451" s="173"/>
      <c r="AO451" s="173"/>
      <c r="AP451" s="173"/>
      <c r="AQ451" s="178"/>
      <c r="AR451" s="173"/>
      <c r="AS451" s="173"/>
      <c r="AT451" s="140"/>
      <c r="AX451" s="140"/>
      <c r="BB451" s="173"/>
      <c r="BC451" s="173"/>
    </row>
    <row r="452" spans="2:55" s="134" customFormat="1" x14ac:dyDescent="0.2">
      <c r="B452" s="145"/>
      <c r="D452" s="145"/>
      <c r="Z452" s="177"/>
      <c r="AA452" s="178"/>
      <c r="AB452" s="139"/>
      <c r="AC452" s="173"/>
      <c r="AD452" s="177"/>
      <c r="AE452" s="177"/>
      <c r="AF452" s="139"/>
      <c r="AG452" s="139"/>
      <c r="AH452" s="177"/>
      <c r="AI452" s="178"/>
      <c r="AJ452" s="139"/>
      <c r="AK452" s="173"/>
      <c r="AL452" s="177"/>
      <c r="AM452" s="178"/>
      <c r="AN452" s="173"/>
      <c r="AO452" s="173"/>
      <c r="AP452" s="173"/>
      <c r="AQ452" s="178"/>
      <c r="AR452" s="173"/>
      <c r="AS452" s="173"/>
      <c r="AT452" s="140"/>
      <c r="AX452" s="140"/>
      <c r="BB452" s="173"/>
      <c r="BC452" s="173"/>
    </row>
    <row r="453" spans="2:55" s="134" customFormat="1" x14ac:dyDescent="0.2">
      <c r="B453" s="145"/>
      <c r="D453" s="145"/>
      <c r="Z453" s="177"/>
      <c r="AA453" s="178"/>
      <c r="AB453" s="139"/>
      <c r="AC453" s="173"/>
      <c r="AD453" s="177"/>
      <c r="AE453" s="177"/>
      <c r="AF453" s="139"/>
      <c r="AG453" s="139"/>
      <c r="AH453" s="177"/>
      <c r="AI453" s="178"/>
      <c r="AJ453" s="139"/>
      <c r="AK453" s="173"/>
      <c r="AL453" s="177"/>
      <c r="AM453" s="178"/>
      <c r="AN453" s="173"/>
      <c r="AO453" s="173"/>
      <c r="AP453" s="173"/>
      <c r="AQ453" s="178"/>
      <c r="AR453" s="173"/>
      <c r="AS453" s="173"/>
      <c r="AT453" s="140"/>
      <c r="AX453" s="140"/>
      <c r="BB453" s="173"/>
      <c r="BC453" s="173"/>
    </row>
    <row r="454" spans="2:55" s="134" customFormat="1" x14ac:dyDescent="0.2">
      <c r="B454" s="145"/>
      <c r="D454" s="145"/>
      <c r="Z454" s="177"/>
      <c r="AA454" s="178"/>
      <c r="AB454" s="139"/>
      <c r="AC454" s="173"/>
      <c r="AD454" s="177"/>
      <c r="AE454" s="177"/>
      <c r="AF454" s="139"/>
      <c r="AG454" s="139"/>
      <c r="AH454" s="177"/>
      <c r="AI454" s="178"/>
      <c r="AJ454" s="139"/>
      <c r="AK454" s="173"/>
      <c r="AL454" s="177"/>
      <c r="AM454" s="178"/>
      <c r="AN454" s="173"/>
      <c r="AO454" s="173"/>
      <c r="AP454" s="173"/>
      <c r="AQ454" s="178"/>
      <c r="AR454" s="173"/>
      <c r="AS454" s="173"/>
      <c r="AT454" s="140"/>
      <c r="AX454" s="140"/>
      <c r="BB454" s="173"/>
      <c r="BC454" s="173"/>
    </row>
    <row r="455" spans="2:55" s="134" customFormat="1" x14ac:dyDescent="0.2">
      <c r="B455" s="145"/>
      <c r="D455" s="145"/>
      <c r="Z455" s="177"/>
      <c r="AA455" s="178"/>
      <c r="AB455" s="139"/>
      <c r="AC455" s="173"/>
      <c r="AD455" s="177"/>
      <c r="AE455" s="177"/>
      <c r="AF455" s="139"/>
      <c r="AG455" s="139"/>
      <c r="AH455" s="177"/>
      <c r="AI455" s="178"/>
      <c r="AJ455" s="139"/>
      <c r="AK455" s="173"/>
      <c r="AL455" s="177"/>
      <c r="AM455" s="178"/>
      <c r="AN455" s="173"/>
      <c r="AO455" s="173"/>
      <c r="AP455" s="173"/>
      <c r="AQ455" s="178"/>
      <c r="AR455" s="173"/>
      <c r="AS455" s="173"/>
      <c r="AT455" s="140"/>
      <c r="AX455" s="140"/>
      <c r="BB455" s="173"/>
      <c r="BC455" s="173"/>
    </row>
    <row r="456" spans="2:55" s="134" customFormat="1" x14ac:dyDescent="0.2">
      <c r="B456" s="145"/>
      <c r="D456" s="145"/>
      <c r="Z456" s="177"/>
      <c r="AA456" s="178"/>
      <c r="AB456" s="139"/>
      <c r="AC456" s="173"/>
      <c r="AD456" s="177"/>
      <c r="AE456" s="177"/>
      <c r="AF456" s="139"/>
      <c r="AG456" s="139"/>
      <c r="AH456" s="177"/>
      <c r="AI456" s="178"/>
      <c r="AJ456" s="139"/>
      <c r="AK456" s="173"/>
      <c r="AL456" s="177"/>
      <c r="AM456" s="178"/>
      <c r="AN456" s="173"/>
      <c r="AO456" s="173"/>
      <c r="AP456" s="173"/>
      <c r="AQ456" s="178"/>
      <c r="AR456" s="173"/>
      <c r="AS456" s="173"/>
      <c r="AT456" s="140"/>
      <c r="AX456" s="140"/>
      <c r="BB456" s="173"/>
      <c r="BC456" s="173"/>
    </row>
    <row r="457" spans="2:55" s="134" customFormat="1" x14ac:dyDescent="0.2">
      <c r="B457" s="145"/>
      <c r="D457" s="145"/>
      <c r="Z457" s="177"/>
      <c r="AA457" s="178"/>
      <c r="AB457" s="139"/>
      <c r="AC457" s="173"/>
      <c r="AD457" s="177"/>
      <c r="AE457" s="177"/>
      <c r="AF457" s="139"/>
      <c r="AG457" s="139"/>
      <c r="AH457" s="177"/>
      <c r="AI457" s="178"/>
      <c r="AJ457" s="139"/>
      <c r="AK457" s="173"/>
      <c r="AL457" s="177"/>
      <c r="AM457" s="178"/>
      <c r="AN457" s="173"/>
      <c r="AO457" s="173"/>
      <c r="AP457" s="173"/>
      <c r="AQ457" s="178"/>
      <c r="AR457" s="173"/>
      <c r="AS457" s="173"/>
      <c r="AT457" s="140"/>
      <c r="AX457" s="140"/>
      <c r="BB457" s="173"/>
      <c r="BC457" s="173"/>
    </row>
    <row r="458" spans="2:55" s="134" customFormat="1" x14ac:dyDescent="0.2">
      <c r="B458" s="145"/>
      <c r="D458" s="145"/>
      <c r="Z458" s="177"/>
      <c r="AA458" s="178"/>
      <c r="AB458" s="139"/>
      <c r="AC458" s="173"/>
      <c r="AD458" s="177"/>
      <c r="AE458" s="177"/>
      <c r="AF458" s="139"/>
      <c r="AG458" s="139"/>
      <c r="AH458" s="177"/>
      <c r="AI458" s="178"/>
      <c r="AJ458" s="139"/>
      <c r="AK458" s="173"/>
      <c r="AL458" s="177"/>
      <c r="AM458" s="178"/>
      <c r="AN458" s="173"/>
      <c r="AO458" s="173"/>
      <c r="AP458" s="173"/>
      <c r="AQ458" s="178"/>
      <c r="AR458" s="173"/>
      <c r="AS458" s="173"/>
      <c r="AT458" s="140"/>
      <c r="AX458" s="140"/>
      <c r="BB458" s="173"/>
      <c r="BC458" s="173"/>
    </row>
    <row r="459" spans="2:55" s="134" customFormat="1" x14ac:dyDescent="0.2">
      <c r="B459" s="145"/>
      <c r="D459" s="145"/>
      <c r="Z459" s="177"/>
      <c r="AA459" s="178"/>
      <c r="AB459" s="139"/>
      <c r="AC459" s="173"/>
      <c r="AD459" s="177"/>
      <c r="AE459" s="177"/>
      <c r="AF459" s="139"/>
      <c r="AG459" s="139"/>
      <c r="AH459" s="177"/>
      <c r="AI459" s="178"/>
      <c r="AJ459" s="139"/>
      <c r="AK459" s="173"/>
      <c r="AL459" s="177"/>
      <c r="AM459" s="178"/>
      <c r="AN459" s="173"/>
      <c r="AO459" s="173"/>
      <c r="AP459" s="173"/>
      <c r="AQ459" s="178"/>
      <c r="AR459" s="173"/>
      <c r="AS459" s="173"/>
      <c r="AT459" s="140"/>
      <c r="AX459" s="140"/>
      <c r="BB459" s="173"/>
      <c r="BC459" s="173"/>
    </row>
    <row r="460" spans="2:55" s="134" customFormat="1" x14ac:dyDescent="0.2">
      <c r="B460" s="145"/>
      <c r="D460" s="145"/>
      <c r="Z460" s="177"/>
      <c r="AA460" s="178"/>
      <c r="AB460" s="139"/>
      <c r="AC460" s="173"/>
      <c r="AD460" s="177"/>
      <c r="AE460" s="177"/>
      <c r="AF460" s="139"/>
      <c r="AG460" s="139"/>
      <c r="AH460" s="177"/>
      <c r="AI460" s="178"/>
      <c r="AJ460" s="139"/>
      <c r="AK460" s="173"/>
      <c r="AL460" s="177"/>
      <c r="AM460" s="178"/>
      <c r="AN460" s="173"/>
      <c r="AO460" s="173"/>
      <c r="AP460" s="173"/>
      <c r="AQ460" s="178"/>
      <c r="AR460" s="173"/>
      <c r="AS460" s="173"/>
      <c r="AT460" s="140"/>
      <c r="AX460" s="140"/>
      <c r="BB460" s="173"/>
      <c r="BC460" s="173"/>
    </row>
    <row r="461" spans="2:55" s="134" customFormat="1" x14ac:dyDescent="0.2">
      <c r="B461" s="145"/>
      <c r="D461" s="145"/>
      <c r="Z461" s="177"/>
      <c r="AA461" s="178"/>
      <c r="AB461" s="139"/>
      <c r="AC461" s="173"/>
      <c r="AD461" s="177"/>
      <c r="AE461" s="177"/>
      <c r="AF461" s="139"/>
      <c r="AG461" s="139"/>
      <c r="AH461" s="177"/>
      <c r="AI461" s="178"/>
      <c r="AJ461" s="139"/>
      <c r="AK461" s="173"/>
      <c r="AL461" s="177"/>
      <c r="AM461" s="178"/>
      <c r="AN461" s="173"/>
      <c r="AO461" s="173"/>
      <c r="AP461" s="173"/>
      <c r="AQ461" s="178"/>
      <c r="AR461" s="173"/>
      <c r="AS461" s="173"/>
      <c r="AT461" s="140"/>
      <c r="AX461" s="140"/>
      <c r="BB461" s="173"/>
      <c r="BC461" s="173"/>
    </row>
    <row r="462" spans="2:55" s="134" customFormat="1" x14ac:dyDescent="0.2">
      <c r="B462" s="145"/>
      <c r="D462" s="145"/>
      <c r="Z462" s="177"/>
      <c r="AA462" s="178"/>
      <c r="AB462" s="139"/>
      <c r="AC462" s="173"/>
      <c r="AD462" s="177"/>
      <c r="AE462" s="177"/>
      <c r="AF462" s="139"/>
      <c r="AG462" s="139"/>
      <c r="AH462" s="177"/>
      <c r="AI462" s="178"/>
      <c r="AJ462" s="139"/>
      <c r="AK462" s="173"/>
      <c r="AL462" s="177"/>
      <c r="AM462" s="178"/>
      <c r="AN462" s="173"/>
      <c r="AO462" s="173"/>
      <c r="AP462" s="173"/>
      <c r="AQ462" s="178"/>
      <c r="AR462" s="173"/>
      <c r="AS462" s="173"/>
      <c r="AT462" s="140"/>
      <c r="AX462" s="140"/>
      <c r="BB462" s="173"/>
      <c r="BC462" s="173"/>
    </row>
    <row r="463" spans="2:55" s="134" customFormat="1" x14ac:dyDescent="0.2">
      <c r="B463" s="145"/>
      <c r="D463" s="145"/>
      <c r="Z463" s="177"/>
      <c r="AA463" s="178"/>
      <c r="AB463" s="139"/>
      <c r="AC463" s="173"/>
      <c r="AD463" s="177"/>
      <c r="AE463" s="177"/>
      <c r="AF463" s="139"/>
      <c r="AG463" s="139"/>
      <c r="AH463" s="177"/>
      <c r="AI463" s="178"/>
      <c r="AJ463" s="139"/>
      <c r="AK463" s="173"/>
      <c r="AL463" s="177"/>
      <c r="AM463" s="178"/>
      <c r="AN463" s="173"/>
      <c r="AO463" s="173"/>
      <c r="AP463" s="173"/>
      <c r="AQ463" s="178"/>
      <c r="AR463" s="173"/>
      <c r="AS463" s="173"/>
      <c r="AT463" s="140"/>
      <c r="AX463" s="140"/>
      <c r="BB463" s="173"/>
      <c r="BC463" s="173"/>
    </row>
    <row r="464" spans="2:55" s="134" customFormat="1" x14ac:dyDescent="0.2">
      <c r="B464" s="145"/>
      <c r="D464" s="145"/>
      <c r="Z464" s="177"/>
      <c r="AA464" s="178"/>
      <c r="AB464" s="139"/>
      <c r="AC464" s="173"/>
      <c r="AD464" s="177"/>
      <c r="AE464" s="177"/>
      <c r="AF464" s="139"/>
      <c r="AG464" s="139"/>
      <c r="AH464" s="177"/>
      <c r="AI464" s="178"/>
      <c r="AJ464" s="139"/>
      <c r="AK464" s="173"/>
      <c r="AL464" s="177"/>
      <c r="AM464" s="178"/>
      <c r="AN464" s="173"/>
      <c r="AO464" s="173"/>
      <c r="AP464" s="173"/>
      <c r="AQ464" s="178"/>
      <c r="AR464" s="173"/>
      <c r="AS464" s="173"/>
      <c r="AT464" s="140"/>
      <c r="AX464" s="140"/>
      <c r="BB464" s="173"/>
      <c r="BC464" s="173"/>
    </row>
    <row r="465" spans="2:55" s="134" customFormat="1" x14ac:dyDescent="0.2">
      <c r="B465" s="145"/>
      <c r="D465" s="145"/>
      <c r="Z465" s="177"/>
      <c r="AA465" s="178"/>
      <c r="AB465" s="139"/>
      <c r="AC465" s="173"/>
      <c r="AD465" s="177"/>
      <c r="AE465" s="177"/>
      <c r="AF465" s="139"/>
      <c r="AG465" s="139"/>
      <c r="AH465" s="177"/>
      <c r="AI465" s="178"/>
      <c r="AJ465" s="139"/>
      <c r="AK465" s="173"/>
      <c r="AL465" s="177"/>
      <c r="AM465" s="178"/>
      <c r="AN465" s="173"/>
      <c r="AO465" s="173"/>
      <c r="AP465" s="173"/>
      <c r="AQ465" s="178"/>
      <c r="AR465" s="173"/>
      <c r="AS465" s="173"/>
      <c r="AT465" s="140"/>
      <c r="AX465" s="140"/>
      <c r="BB465" s="173"/>
      <c r="BC465" s="173"/>
    </row>
    <row r="466" spans="2:55" s="134" customFormat="1" x14ac:dyDescent="0.2">
      <c r="B466" s="145"/>
      <c r="D466" s="145"/>
      <c r="Z466" s="177"/>
      <c r="AA466" s="178"/>
      <c r="AB466" s="139"/>
      <c r="AC466" s="173"/>
      <c r="AD466" s="177"/>
      <c r="AE466" s="177"/>
      <c r="AF466" s="139"/>
      <c r="AG466" s="139"/>
      <c r="AH466" s="177"/>
      <c r="AI466" s="178"/>
      <c r="AJ466" s="139"/>
      <c r="AK466" s="173"/>
      <c r="AL466" s="177"/>
      <c r="AM466" s="178"/>
      <c r="AN466" s="173"/>
      <c r="AO466" s="173"/>
      <c r="AP466" s="173"/>
      <c r="AQ466" s="178"/>
      <c r="AR466" s="173"/>
      <c r="AS466" s="173"/>
      <c r="AT466" s="140"/>
      <c r="AX466" s="140"/>
      <c r="BB466" s="173"/>
      <c r="BC466" s="173"/>
    </row>
    <row r="467" spans="2:55" s="134" customFormat="1" x14ac:dyDescent="0.2">
      <c r="B467" s="145"/>
      <c r="D467" s="145"/>
      <c r="Z467" s="177"/>
      <c r="AA467" s="178"/>
      <c r="AB467" s="139"/>
      <c r="AC467" s="173"/>
      <c r="AD467" s="177"/>
      <c r="AE467" s="177"/>
      <c r="AF467" s="139"/>
      <c r="AG467" s="139"/>
      <c r="AH467" s="177"/>
      <c r="AI467" s="178"/>
      <c r="AJ467" s="139"/>
      <c r="AK467" s="173"/>
      <c r="AL467" s="177"/>
      <c r="AM467" s="178"/>
      <c r="AN467" s="173"/>
      <c r="AO467" s="173"/>
      <c r="AP467" s="173"/>
      <c r="AQ467" s="178"/>
      <c r="AR467" s="173"/>
      <c r="AS467" s="173"/>
      <c r="AT467" s="140"/>
      <c r="AX467" s="140"/>
      <c r="BB467" s="173"/>
      <c r="BC467" s="173"/>
    </row>
    <row r="468" spans="2:55" s="134" customFormat="1" x14ac:dyDescent="0.2">
      <c r="B468" s="145"/>
      <c r="D468" s="145"/>
      <c r="Z468" s="177"/>
      <c r="AA468" s="178"/>
      <c r="AB468" s="139"/>
      <c r="AC468" s="173"/>
      <c r="AD468" s="177"/>
      <c r="AE468" s="177"/>
      <c r="AF468" s="139"/>
      <c r="AG468" s="139"/>
      <c r="AH468" s="177"/>
      <c r="AI468" s="178"/>
      <c r="AJ468" s="139"/>
      <c r="AK468" s="173"/>
      <c r="AL468" s="177"/>
      <c r="AM468" s="178"/>
      <c r="AN468" s="173"/>
      <c r="AO468" s="173"/>
      <c r="AP468" s="173"/>
      <c r="AQ468" s="178"/>
      <c r="AR468" s="173"/>
      <c r="AS468" s="173"/>
      <c r="AT468" s="140"/>
      <c r="AX468" s="140"/>
      <c r="BB468" s="173"/>
      <c r="BC468" s="173"/>
    </row>
    <row r="469" spans="2:55" s="134" customFormat="1" x14ac:dyDescent="0.2">
      <c r="B469" s="145"/>
      <c r="D469" s="145"/>
      <c r="Z469" s="177"/>
      <c r="AA469" s="178"/>
      <c r="AB469" s="139"/>
      <c r="AC469" s="173"/>
      <c r="AD469" s="177"/>
      <c r="AE469" s="177"/>
      <c r="AF469" s="139"/>
      <c r="AG469" s="139"/>
      <c r="AH469" s="177"/>
      <c r="AI469" s="178"/>
      <c r="AJ469" s="139"/>
      <c r="AK469" s="173"/>
      <c r="AL469" s="177"/>
      <c r="AM469" s="178"/>
      <c r="AN469" s="173"/>
      <c r="AO469" s="173"/>
      <c r="AP469" s="173"/>
      <c r="AQ469" s="178"/>
      <c r="AR469" s="173"/>
      <c r="AS469" s="173"/>
      <c r="AT469" s="140"/>
      <c r="AX469" s="140"/>
      <c r="BB469" s="173"/>
      <c r="BC469" s="173"/>
    </row>
    <row r="470" spans="2:55" s="134" customFormat="1" x14ac:dyDescent="0.2">
      <c r="B470" s="145"/>
      <c r="D470" s="145"/>
      <c r="Z470" s="177"/>
      <c r="AA470" s="178"/>
      <c r="AB470" s="139"/>
      <c r="AC470" s="173"/>
      <c r="AD470" s="177"/>
      <c r="AE470" s="177"/>
      <c r="AF470" s="139"/>
      <c r="AG470" s="139"/>
      <c r="AH470" s="177"/>
      <c r="AI470" s="178"/>
      <c r="AJ470" s="139"/>
      <c r="AK470" s="173"/>
      <c r="AL470" s="177"/>
      <c r="AM470" s="178"/>
      <c r="AN470" s="173"/>
      <c r="AO470" s="173"/>
      <c r="AP470" s="173"/>
      <c r="AQ470" s="178"/>
      <c r="AR470" s="173"/>
      <c r="AS470" s="173"/>
      <c r="AT470" s="140"/>
      <c r="AX470" s="140"/>
      <c r="BB470" s="173"/>
      <c r="BC470" s="173"/>
    </row>
    <row r="471" spans="2:55" s="134" customFormat="1" x14ac:dyDescent="0.2">
      <c r="B471" s="145"/>
      <c r="D471" s="145"/>
      <c r="Z471" s="177"/>
      <c r="AA471" s="178"/>
      <c r="AB471" s="139"/>
      <c r="AC471" s="173"/>
      <c r="AD471" s="177"/>
      <c r="AE471" s="177"/>
      <c r="AF471" s="139"/>
      <c r="AG471" s="139"/>
      <c r="AH471" s="177"/>
      <c r="AI471" s="178"/>
      <c r="AJ471" s="139"/>
      <c r="AK471" s="173"/>
      <c r="AL471" s="177"/>
      <c r="AM471" s="178"/>
      <c r="AN471" s="173"/>
      <c r="AO471" s="173"/>
      <c r="AP471" s="173"/>
      <c r="AQ471" s="178"/>
      <c r="AR471" s="173"/>
      <c r="AS471" s="173"/>
      <c r="AT471" s="140"/>
      <c r="AX471" s="140"/>
      <c r="BB471" s="173"/>
      <c r="BC471" s="173"/>
    </row>
    <row r="472" spans="2:55" s="134" customFormat="1" x14ac:dyDescent="0.2">
      <c r="B472" s="145"/>
      <c r="D472" s="145"/>
      <c r="Z472" s="177"/>
      <c r="AA472" s="178"/>
      <c r="AB472" s="139"/>
      <c r="AC472" s="173"/>
      <c r="AD472" s="177"/>
      <c r="AE472" s="177"/>
      <c r="AF472" s="139"/>
      <c r="AG472" s="139"/>
      <c r="AH472" s="177"/>
      <c r="AI472" s="178"/>
      <c r="AJ472" s="139"/>
      <c r="AK472" s="173"/>
      <c r="AL472" s="177"/>
      <c r="AM472" s="178"/>
      <c r="AN472" s="173"/>
      <c r="AO472" s="173"/>
      <c r="AP472" s="173"/>
      <c r="AQ472" s="178"/>
      <c r="AR472" s="173"/>
      <c r="AS472" s="173"/>
      <c r="AT472" s="140"/>
      <c r="AX472" s="140"/>
      <c r="BB472" s="173"/>
      <c r="BC472" s="173"/>
    </row>
    <row r="473" spans="2:55" s="134" customFormat="1" x14ac:dyDescent="0.2">
      <c r="B473" s="145"/>
      <c r="D473" s="145"/>
      <c r="Z473" s="177"/>
      <c r="AA473" s="178"/>
      <c r="AB473" s="139"/>
      <c r="AC473" s="173"/>
      <c r="AD473" s="177"/>
      <c r="AE473" s="177"/>
      <c r="AF473" s="139"/>
      <c r="AG473" s="139"/>
      <c r="AH473" s="177"/>
      <c r="AI473" s="178"/>
      <c r="AJ473" s="139"/>
      <c r="AK473" s="173"/>
      <c r="AL473" s="177"/>
      <c r="AM473" s="178"/>
      <c r="AN473" s="173"/>
      <c r="AO473" s="173"/>
      <c r="AP473" s="173"/>
      <c r="AQ473" s="178"/>
      <c r="AR473" s="173"/>
      <c r="AS473" s="173"/>
      <c r="AT473" s="140"/>
      <c r="AX473" s="140"/>
      <c r="BB473" s="173"/>
      <c r="BC473" s="173"/>
    </row>
    <row r="474" spans="2:55" s="134" customFormat="1" x14ac:dyDescent="0.2">
      <c r="B474" s="145"/>
      <c r="D474" s="145"/>
      <c r="Z474" s="177"/>
      <c r="AA474" s="178"/>
      <c r="AB474" s="139"/>
      <c r="AC474" s="173"/>
      <c r="AD474" s="177"/>
      <c r="AE474" s="177"/>
      <c r="AF474" s="139"/>
      <c r="AG474" s="139"/>
      <c r="AH474" s="177"/>
      <c r="AI474" s="178"/>
      <c r="AJ474" s="139"/>
      <c r="AK474" s="173"/>
      <c r="AL474" s="177"/>
      <c r="AM474" s="178"/>
      <c r="AN474" s="173"/>
      <c r="AO474" s="173"/>
      <c r="AP474" s="173"/>
      <c r="AQ474" s="178"/>
      <c r="AR474" s="173"/>
      <c r="AS474" s="173"/>
      <c r="AT474" s="140"/>
      <c r="AX474" s="140"/>
      <c r="BB474" s="173"/>
      <c r="BC474" s="173"/>
    </row>
    <row r="475" spans="2:55" s="134" customFormat="1" x14ac:dyDescent="0.2">
      <c r="B475" s="145"/>
      <c r="D475" s="145"/>
      <c r="Z475" s="177"/>
      <c r="AA475" s="178"/>
      <c r="AB475" s="139"/>
      <c r="AC475" s="173"/>
      <c r="AD475" s="177"/>
      <c r="AE475" s="177"/>
      <c r="AF475" s="139"/>
      <c r="AG475" s="139"/>
      <c r="AH475" s="177"/>
      <c r="AI475" s="178"/>
      <c r="AJ475" s="139"/>
      <c r="AK475" s="173"/>
      <c r="AL475" s="177"/>
      <c r="AM475" s="178"/>
      <c r="AN475" s="173"/>
      <c r="AO475" s="173"/>
      <c r="AP475" s="173"/>
      <c r="AQ475" s="178"/>
      <c r="AR475" s="173"/>
      <c r="AS475" s="173"/>
      <c r="AT475" s="140"/>
      <c r="AX475" s="140"/>
      <c r="BB475" s="173"/>
      <c r="BC475" s="173"/>
    </row>
    <row r="476" spans="2:55" s="134" customFormat="1" x14ac:dyDescent="0.2">
      <c r="B476" s="145"/>
      <c r="D476" s="145"/>
      <c r="Z476" s="177"/>
      <c r="AA476" s="178"/>
      <c r="AB476" s="139"/>
      <c r="AC476" s="173"/>
      <c r="AD476" s="177"/>
      <c r="AE476" s="177"/>
      <c r="AF476" s="139"/>
      <c r="AG476" s="139"/>
      <c r="AH476" s="177"/>
      <c r="AI476" s="178"/>
      <c r="AJ476" s="139"/>
      <c r="AK476" s="173"/>
      <c r="AL476" s="177"/>
      <c r="AM476" s="178"/>
      <c r="AN476" s="173"/>
      <c r="AO476" s="173"/>
      <c r="AP476" s="173"/>
      <c r="AQ476" s="178"/>
      <c r="AR476" s="173"/>
      <c r="AS476" s="173"/>
      <c r="AT476" s="140"/>
      <c r="AX476" s="140"/>
      <c r="BB476" s="173"/>
      <c r="BC476" s="173"/>
    </row>
    <row r="477" spans="2:55" s="134" customFormat="1" x14ac:dyDescent="0.2">
      <c r="B477" s="145"/>
      <c r="D477" s="145"/>
      <c r="Z477" s="177"/>
      <c r="AA477" s="178"/>
      <c r="AB477" s="139"/>
      <c r="AC477" s="173"/>
      <c r="AD477" s="177"/>
      <c r="AE477" s="177"/>
      <c r="AF477" s="139"/>
      <c r="AG477" s="139"/>
      <c r="AH477" s="177"/>
      <c r="AI477" s="178"/>
      <c r="AJ477" s="139"/>
      <c r="AK477" s="173"/>
      <c r="AL477" s="177"/>
      <c r="AM477" s="178"/>
      <c r="AN477" s="173"/>
      <c r="AO477" s="173"/>
      <c r="AP477" s="173"/>
      <c r="AQ477" s="178"/>
      <c r="AR477" s="173"/>
      <c r="AS477" s="173"/>
      <c r="AT477" s="140"/>
      <c r="AX477" s="140"/>
      <c r="BB477" s="173"/>
      <c r="BC477" s="173"/>
    </row>
    <row r="478" spans="2:55" s="134" customFormat="1" x14ac:dyDescent="0.2">
      <c r="B478" s="145"/>
      <c r="D478" s="145"/>
      <c r="Z478" s="177"/>
      <c r="AA478" s="178"/>
      <c r="AB478" s="139"/>
      <c r="AC478" s="173"/>
      <c r="AD478" s="177"/>
      <c r="AE478" s="177"/>
      <c r="AF478" s="139"/>
      <c r="AG478" s="139"/>
      <c r="AH478" s="177"/>
      <c r="AI478" s="178"/>
      <c r="AJ478" s="139"/>
      <c r="AK478" s="173"/>
      <c r="AL478" s="177"/>
      <c r="AM478" s="178"/>
      <c r="AN478" s="173"/>
      <c r="AO478" s="173"/>
      <c r="AP478" s="173"/>
      <c r="AQ478" s="178"/>
      <c r="AR478" s="173"/>
      <c r="AS478" s="173"/>
      <c r="AT478" s="140"/>
      <c r="AX478" s="140"/>
      <c r="BB478" s="173"/>
      <c r="BC478" s="173"/>
    </row>
    <row r="479" spans="2:55" s="134" customFormat="1" x14ac:dyDescent="0.2">
      <c r="B479" s="145"/>
      <c r="D479" s="145"/>
      <c r="Z479" s="177"/>
      <c r="AA479" s="178"/>
      <c r="AB479" s="139"/>
      <c r="AC479" s="173"/>
      <c r="AD479" s="177"/>
      <c r="AE479" s="177"/>
      <c r="AF479" s="139"/>
      <c r="AG479" s="139"/>
      <c r="AH479" s="177"/>
      <c r="AI479" s="178"/>
      <c r="AJ479" s="139"/>
      <c r="AK479" s="173"/>
      <c r="AL479" s="177"/>
      <c r="AM479" s="178"/>
      <c r="AN479" s="173"/>
      <c r="AO479" s="173"/>
      <c r="AP479" s="173"/>
      <c r="AQ479" s="178"/>
      <c r="AR479" s="173"/>
      <c r="AS479" s="173"/>
      <c r="AT479" s="140"/>
      <c r="AX479" s="140"/>
      <c r="BB479" s="173"/>
      <c r="BC479" s="173"/>
    </row>
    <row r="480" spans="2:55" s="134" customFormat="1" x14ac:dyDescent="0.2">
      <c r="B480" s="145"/>
      <c r="D480" s="145"/>
      <c r="Z480" s="177"/>
      <c r="AA480" s="178"/>
      <c r="AB480" s="139"/>
      <c r="AC480" s="173"/>
      <c r="AD480" s="177"/>
      <c r="AE480" s="177"/>
      <c r="AF480" s="139"/>
      <c r="AG480" s="139"/>
      <c r="AH480" s="177"/>
      <c r="AI480" s="178"/>
      <c r="AJ480" s="139"/>
      <c r="AK480" s="173"/>
      <c r="AL480" s="177"/>
      <c r="AM480" s="178"/>
      <c r="AN480" s="173"/>
      <c r="AO480" s="173"/>
      <c r="AP480" s="173"/>
      <c r="AQ480" s="178"/>
      <c r="AR480" s="173"/>
      <c r="AS480" s="173"/>
      <c r="AT480" s="140"/>
      <c r="AX480" s="140"/>
      <c r="BB480" s="173"/>
      <c r="BC480" s="173"/>
    </row>
    <row r="481" spans="2:55" s="134" customFormat="1" x14ac:dyDescent="0.2">
      <c r="B481" s="145"/>
      <c r="D481" s="145"/>
      <c r="Z481" s="177"/>
      <c r="AA481" s="178"/>
      <c r="AB481" s="139"/>
      <c r="AC481" s="173"/>
      <c r="AD481" s="177"/>
      <c r="AE481" s="177"/>
      <c r="AF481" s="139"/>
      <c r="AG481" s="139"/>
      <c r="AH481" s="177"/>
      <c r="AI481" s="178"/>
      <c r="AJ481" s="139"/>
      <c r="AK481" s="173"/>
      <c r="AL481" s="177"/>
      <c r="AM481" s="178"/>
      <c r="AN481" s="173"/>
      <c r="AO481" s="173"/>
      <c r="AP481" s="173"/>
      <c r="AQ481" s="178"/>
      <c r="AR481" s="173"/>
      <c r="AS481" s="173"/>
      <c r="AT481" s="140"/>
      <c r="AX481" s="140"/>
      <c r="BB481" s="173"/>
      <c r="BC481" s="173"/>
    </row>
    <row r="482" spans="2:55" s="134" customFormat="1" x14ac:dyDescent="0.2">
      <c r="B482" s="145"/>
      <c r="D482" s="145"/>
      <c r="Z482" s="177"/>
      <c r="AA482" s="178"/>
      <c r="AB482" s="139"/>
      <c r="AC482" s="173"/>
      <c r="AD482" s="177"/>
      <c r="AE482" s="177"/>
      <c r="AF482" s="139"/>
      <c r="AG482" s="139"/>
      <c r="AH482" s="177"/>
      <c r="AI482" s="178"/>
      <c r="AJ482" s="139"/>
      <c r="AK482" s="173"/>
      <c r="AL482" s="177"/>
      <c r="AM482" s="178"/>
      <c r="AN482" s="173"/>
      <c r="AO482" s="173"/>
      <c r="AP482" s="173"/>
      <c r="AQ482" s="178"/>
      <c r="AR482" s="173"/>
      <c r="AS482" s="173"/>
      <c r="AT482" s="140"/>
      <c r="AX482" s="140"/>
      <c r="BB482" s="173"/>
      <c r="BC482" s="173"/>
    </row>
    <row r="483" spans="2:55" s="134" customFormat="1" x14ac:dyDescent="0.2">
      <c r="B483" s="145"/>
      <c r="D483" s="145"/>
      <c r="Z483" s="177"/>
      <c r="AA483" s="178"/>
      <c r="AB483" s="139"/>
      <c r="AC483" s="173"/>
      <c r="AD483" s="177"/>
      <c r="AE483" s="177"/>
      <c r="AF483" s="139"/>
      <c r="AG483" s="139"/>
      <c r="AH483" s="177"/>
      <c r="AI483" s="178"/>
      <c r="AJ483" s="139"/>
      <c r="AK483" s="173"/>
      <c r="AL483" s="177"/>
      <c r="AM483" s="178"/>
      <c r="AN483" s="173"/>
      <c r="AO483" s="173"/>
      <c r="AP483" s="173"/>
      <c r="AQ483" s="178"/>
      <c r="AR483" s="173"/>
      <c r="AS483" s="173"/>
      <c r="AT483" s="140"/>
      <c r="AX483" s="140"/>
      <c r="BB483" s="173"/>
      <c r="BC483" s="173"/>
    </row>
    <row r="484" spans="2:55" s="134" customFormat="1" x14ac:dyDescent="0.2">
      <c r="B484" s="145"/>
      <c r="D484" s="145"/>
      <c r="Z484" s="177"/>
      <c r="AA484" s="178"/>
      <c r="AB484" s="139"/>
      <c r="AC484" s="173"/>
      <c r="AD484" s="177"/>
      <c r="AE484" s="177"/>
      <c r="AF484" s="139"/>
      <c r="AG484" s="139"/>
      <c r="AH484" s="177"/>
      <c r="AI484" s="178"/>
      <c r="AJ484" s="139"/>
      <c r="AK484" s="173"/>
      <c r="AL484" s="177"/>
      <c r="AM484" s="178"/>
      <c r="AN484" s="173"/>
      <c r="AO484" s="173"/>
      <c r="AP484" s="173"/>
      <c r="AQ484" s="178"/>
      <c r="AR484" s="173"/>
      <c r="AS484" s="173"/>
      <c r="AT484" s="140"/>
      <c r="AX484" s="140"/>
      <c r="BB484" s="173"/>
      <c r="BC484" s="173"/>
    </row>
    <row r="485" spans="2:55" s="134" customFormat="1" x14ac:dyDescent="0.2">
      <c r="B485" s="145"/>
      <c r="D485" s="145"/>
      <c r="Z485" s="177"/>
      <c r="AA485" s="178"/>
      <c r="AB485" s="139"/>
      <c r="AC485" s="173"/>
      <c r="AD485" s="177"/>
      <c r="AE485" s="177"/>
      <c r="AF485" s="139"/>
      <c r="AG485" s="139"/>
      <c r="AH485" s="177"/>
      <c r="AI485" s="178"/>
      <c r="AJ485" s="139"/>
      <c r="AK485" s="173"/>
      <c r="AL485" s="177"/>
      <c r="AM485" s="178"/>
      <c r="AN485" s="173"/>
      <c r="AO485" s="173"/>
      <c r="AP485" s="173"/>
      <c r="AQ485" s="178"/>
      <c r="AR485" s="173"/>
      <c r="AS485" s="173"/>
      <c r="AT485" s="140"/>
      <c r="AX485" s="140"/>
      <c r="BB485" s="173"/>
      <c r="BC485" s="173"/>
    </row>
    <row r="486" spans="2:55" s="134" customFormat="1" x14ac:dyDescent="0.2">
      <c r="B486" s="145"/>
      <c r="D486" s="145"/>
      <c r="Z486" s="177"/>
      <c r="AA486" s="178"/>
      <c r="AB486" s="139"/>
      <c r="AC486" s="173"/>
      <c r="AD486" s="177"/>
      <c r="AE486" s="177"/>
      <c r="AF486" s="139"/>
      <c r="AG486" s="139"/>
      <c r="AH486" s="177"/>
      <c r="AI486" s="178"/>
      <c r="AJ486" s="139"/>
      <c r="AK486" s="173"/>
      <c r="AL486" s="177"/>
      <c r="AM486" s="178"/>
      <c r="AN486" s="173"/>
      <c r="AO486" s="173"/>
      <c r="AP486" s="173"/>
      <c r="AQ486" s="178"/>
      <c r="AR486" s="173"/>
      <c r="AS486" s="173"/>
      <c r="AT486" s="140"/>
      <c r="AX486" s="140"/>
      <c r="BB486" s="173"/>
      <c r="BC486" s="173"/>
    </row>
    <row r="487" spans="2:55" s="134" customFormat="1" x14ac:dyDescent="0.2">
      <c r="B487" s="145"/>
      <c r="D487" s="145"/>
      <c r="Z487" s="177"/>
      <c r="AA487" s="178"/>
      <c r="AB487" s="139"/>
      <c r="AC487" s="173"/>
      <c r="AD487" s="177"/>
      <c r="AE487" s="177"/>
      <c r="AF487" s="139"/>
      <c r="AG487" s="139"/>
      <c r="AH487" s="177"/>
      <c r="AI487" s="178"/>
      <c r="AJ487" s="139"/>
      <c r="AK487" s="173"/>
      <c r="AL487" s="177"/>
      <c r="AM487" s="178"/>
      <c r="AN487" s="173"/>
      <c r="AO487" s="173"/>
      <c r="AP487" s="173"/>
      <c r="AQ487" s="178"/>
      <c r="AR487" s="173"/>
      <c r="AS487" s="173"/>
      <c r="AT487" s="140"/>
      <c r="AX487" s="140"/>
      <c r="BB487" s="173"/>
      <c r="BC487" s="173"/>
    </row>
    <row r="488" spans="2:55" s="134" customFormat="1" x14ac:dyDescent="0.2">
      <c r="B488" s="145"/>
      <c r="D488" s="145"/>
      <c r="Z488" s="177"/>
      <c r="AA488" s="178"/>
      <c r="AB488" s="139"/>
      <c r="AC488" s="173"/>
      <c r="AD488" s="177"/>
      <c r="AE488" s="177"/>
      <c r="AF488" s="139"/>
      <c r="AG488" s="139"/>
      <c r="AH488" s="177"/>
      <c r="AI488" s="178"/>
      <c r="AJ488" s="139"/>
      <c r="AK488" s="173"/>
      <c r="AL488" s="177"/>
      <c r="AM488" s="178"/>
      <c r="AN488" s="173"/>
      <c r="AO488" s="173"/>
      <c r="AP488" s="173"/>
      <c r="AQ488" s="178"/>
      <c r="AR488" s="173"/>
      <c r="AS488" s="173"/>
      <c r="AT488" s="140"/>
      <c r="AX488" s="140"/>
      <c r="BB488" s="173"/>
      <c r="BC488" s="173"/>
    </row>
    <row r="489" spans="2:55" s="134" customFormat="1" x14ac:dyDescent="0.2">
      <c r="B489" s="145"/>
      <c r="D489" s="145"/>
      <c r="Z489" s="177"/>
      <c r="AA489" s="178"/>
      <c r="AB489" s="139"/>
      <c r="AC489" s="173"/>
      <c r="AD489" s="177"/>
      <c r="AE489" s="177"/>
      <c r="AF489" s="139"/>
      <c r="AG489" s="139"/>
      <c r="AH489" s="177"/>
      <c r="AI489" s="178"/>
      <c r="AJ489" s="139"/>
      <c r="AK489" s="173"/>
      <c r="AL489" s="177"/>
      <c r="AM489" s="178"/>
      <c r="AN489" s="173"/>
      <c r="AO489" s="173"/>
      <c r="AP489" s="173"/>
      <c r="AQ489" s="178"/>
      <c r="AR489" s="173"/>
      <c r="AS489" s="173"/>
      <c r="AT489" s="140"/>
      <c r="AX489" s="140"/>
      <c r="BB489" s="173"/>
      <c r="BC489" s="173"/>
    </row>
    <row r="490" spans="2:55" s="134" customFormat="1" x14ac:dyDescent="0.2">
      <c r="B490" s="145"/>
      <c r="D490" s="145"/>
      <c r="Z490" s="177"/>
      <c r="AA490" s="178"/>
      <c r="AB490" s="139"/>
      <c r="AC490" s="173"/>
      <c r="AD490" s="177"/>
      <c r="AE490" s="177"/>
      <c r="AF490" s="139"/>
      <c r="AG490" s="139"/>
      <c r="AH490" s="177"/>
      <c r="AI490" s="178"/>
      <c r="AJ490" s="139"/>
      <c r="AK490" s="173"/>
      <c r="AL490" s="177"/>
      <c r="AM490" s="178"/>
      <c r="AN490" s="173"/>
      <c r="AO490" s="173"/>
      <c r="AP490" s="173"/>
      <c r="AQ490" s="178"/>
      <c r="AR490" s="173"/>
      <c r="AS490" s="173"/>
      <c r="AT490" s="140"/>
      <c r="AX490" s="140"/>
      <c r="BB490" s="173"/>
      <c r="BC490" s="173"/>
    </row>
    <row r="491" spans="2:55" s="134" customFormat="1" x14ac:dyDescent="0.2">
      <c r="B491" s="145"/>
      <c r="D491" s="145"/>
      <c r="Z491" s="177"/>
      <c r="AA491" s="178"/>
      <c r="AB491" s="139"/>
      <c r="AC491" s="173"/>
      <c r="AD491" s="177"/>
      <c r="AE491" s="177"/>
      <c r="AF491" s="139"/>
      <c r="AG491" s="139"/>
      <c r="AH491" s="177"/>
      <c r="AI491" s="178"/>
      <c r="AJ491" s="139"/>
      <c r="AK491" s="173"/>
      <c r="AL491" s="177"/>
      <c r="AM491" s="178"/>
      <c r="AN491" s="173"/>
      <c r="AO491" s="173"/>
      <c r="AP491" s="173"/>
      <c r="AQ491" s="178"/>
      <c r="AR491" s="173"/>
      <c r="AS491" s="173"/>
      <c r="AT491" s="140"/>
      <c r="AX491" s="140"/>
      <c r="BB491" s="173"/>
      <c r="BC491" s="173"/>
    </row>
    <row r="492" spans="2:55" s="134" customFormat="1" x14ac:dyDescent="0.2">
      <c r="B492" s="145"/>
      <c r="D492" s="145"/>
      <c r="Z492" s="177"/>
      <c r="AA492" s="178"/>
      <c r="AB492" s="139"/>
      <c r="AC492" s="173"/>
      <c r="AD492" s="177"/>
      <c r="AE492" s="177"/>
      <c r="AF492" s="139"/>
      <c r="AG492" s="139"/>
      <c r="AH492" s="177"/>
      <c r="AI492" s="178"/>
      <c r="AJ492" s="139"/>
      <c r="AK492" s="173"/>
      <c r="AL492" s="177"/>
      <c r="AM492" s="178"/>
      <c r="AN492" s="173"/>
      <c r="AO492" s="173"/>
      <c r="AP492" s="173"/>
      <c r="AQ492" s="178"/>
      <c r="AR492" s="173"/>
      <c r="AS492" s="173"/>
      <c r="AT492" s="140"/>
      <c r="AX492" s="140"/>
      <c r="BB492" s="173"/>
      <c r="BC492" s="173"/>
    </row>
    <row r="493" spans="2:55" s="134" customFormat="1" x14ac:dyDescent="0.2">
      <c r="B493" s="145"/>
      <c r="D493" s="145"/>
      <c r="Z493" s="177"/>
      <c r="AA493" s="178"/>
      <c r="AB493" s="139"/>
      <c r="AC493" s="173"/>
      <c r="AD493" s="177"/>
      <c r="AE493" s="177"/>
      <c r="AF493" s="139"/>
      <c r="AG493" s="139"/>
      <c r="AH493" s="177"/>
      <c r="AI493" s="178"/>
      <c r="AJ493" s="139"/>
      <c r="AK493" s="173"/>
      <c r="AL493" s="177"/>
      <c r="AM493" s="178"/>
      <c r="AN493" s="173"/>
      <c r="AO493" s="173"/>
      <c r="AP493" s="173"/>
      <c r="AQ493" s="178"/>
      <c r="AR493" s="173"/>
      <c r="AS493" s="173"/>
      <c r="AT493" s="140"/>
      <c r="AX493" s="140"/>
      <c r="BB493" s="173"/>
      <c r="BC493" s="173"/>
    </row>
    <row r="494" spans="2:55" s="134" customFormat="1" x14ac:dyDescent="0.2">
      <c r="B494" s="145"/>
      <c r="D494" s="145"/>
      <c r="Z494" s="177"/>
      <c r="AA494" s="178"/>
      <c r="AB494" s="139"/>
      <c r="AC494" s="173"/>
      <c r="AD494" s="177"/>
      <c r="AE494" s="177"/>
      <c r="AF494" s="139"/>
      <c r="AG494" s="139"/>
      <c r="AH494" s="177"/>
      <c r="AI494" s="178"/>
      <c r="AJ494" s="139"/>
      <c r="AK494" s="173"/>
      <c r="AL494" s="177"/>
      <c r="AM494" s="178"/>
      <c r="AN494" s="173"/>
      <c r="AO494" s="173"/>
      <c r="AP494" s="173"/>
      <c r="AQ494" s="178"/>
      <c r="AR494" s="173"/>
      <c r="AS494" s="173"/>
      <c r="AT494" s="140"/>
      <c r="AX494" s="140"/>
      <c r="BB494" s="173"/>
      <c r="BC494" s="173"/>
    </row>
    <row r="495" spans="2:55" s="134" customFormat="1" x14ac:dyDescent="0.2">
      <c r="B495" s="145"/>
      <c r="D495" s="145"/>
      <c r="Z495" s="177"/>
      <c r="AA495" s="178"/>
      <c r="AB495" s="139"/>
      <c r="AC495" s="173"/>
      <c r="AD495" s="177"/>
      <c r="AE495" s="177"/>
      <c r="AF495" s="139"/>
      <c r="AG495" s="139"/>
      <c r="AH495" s="177"/>
      <c r="AI495" s="178"/>
      <c r="AJ495" s="139"/>
      <c r="AK495" s="173"/>
      <c r="AL495" s="177"/>
      <c r="AM495" s="178"/>
      <c r="AN495" s="173"/>
      <c r="AO495" s="173"/>
      <c r="AP495" s="173"/>
      <c r="AQ495" s="178"/>
      <c r="AR495" s="173"/>
      <c r="AS495" s="173"/>
      <c r="AT495" s="140"/>
      <c r="AX495" s="140"/>
      <c r="BB495" s="173"/>
      <c r="BC495" s="173"/>
    </row>
    <row r="496" spans="2:55" s="134" customFormat="1" x14ac:dyDescent="0.2">
      <c r="B496" s="145"/>
      <c r="D496" s="145"/>
      <c r="Z496" s="177"/>
      <c r="AA496" s="178"/>
      <c r="AB496" s="139"/>
      <c r="AC496" s="173"/>
      <c r="AD496" s="177"/>
      <c r="AE496" s="177"/>
      <c r="AF496" s="139"/>
      <c r="AG496" s="139"/>
      <c r="AH496" s="177"/>
      <c r="AI496" s="178"/>
      <c r="AJ496" s="139"/>
      <c r="AK496" s="173"/>
      <c r="AL496" s="177"/>
      <c r="AM496" s="178"/>
      <c r="AN496" s="173"/>
      <c r="AO496" s="173"/>
      <c r="AP496" s="173"/>
      <c r="AQ496" s="178"/>
      <c r="AR496" s="173"/>
      <c r="AS496" s="173"/>
      <c r="AT496" s="140"/>
      <c r="AX496" s="140"/>
      <c r="BB496" s="173"/>
      <c r="BC496" s="173"/>
    </row>
    <row r="497" spans="2:55" s="134" customFormat="1" x14ac:dyDescent="0.2">
      <c r="B497" s="145"/>
      <c r="D497" s="145"/>
      <c r="Z497" s="177"/>
      <c r="AA497" s="178"/>
      <c r="AB497" s="139"/>
      <c r="AC497" s="173"/>
      <c r="AD497" s="177"/>
      <c r="AE497" s="177"/>
      <c r="AF497" s="139"/>
      <c r="AG497" s="139"/>
      <c r="AH497" s="177"/>
      <c r="AI497" s="178"/>
      <c r="AJ497" s="139"/>
      <c r="AK497" s="173"/>
      <c r="AL497" s="177"/>
      <c r="AM497" s="178"/>
      <c r="AN497" s="173"/>
      <c r="AO497" s="173"/>
      <c r="AP497" s="173"/>
      <c r="AQ497" s="178"/>
      <c r="AR497" s="173"/>
      <c r="AS497" s="173"/>
      <c r="AT497" s="140"/>
      <c r="AX497" s="140"/>
      <c r="BB497" s="173"/>
      <c r="BC497" s="173"/>
    </row>
    <row r="498" spans="2:55" s="134" customFormat="1" x14ac:dyDescent="0.2">
      <c r="B498" s="145"/>
      <c r="D498" s="145"/>
      <c r="Z498" s="177"/>
      <c r="AA498" s="178"/>
      <c r="AB498" s="139"/>
      <c r="AC498" s="173"/>
      <c r="AD498" s="177"/>
      <c r="AE498" s="177"/>
      <c r="AF498" s="139"/>
      <c r="AG498" s="139"/>
      <c r="AH498" s="177"/>
      <c r="AI498" s="178"/>
      <c r="AJ498" s="139"/>
      <c r="AK498" s="173"/>
      <c r="AL498" s="177"/>
      <c r="AM498" s="178"/>
      <c r="AN498" s="173"/>
      <c r="AO498" s="173"/>
      <c r="AP498" s="173"/>
      <c r="AQ498" s="178"/>
      <c r="AR498" s="173"/>
      <c r="AS498" s="173"/>
      <c r="AT498" s="140"/>
      <c r="AX498" s="140"/>
      <c r="BB498" s="173"/>
      <c r="BC498" s="173"/>
    </row>
    <row r="499" spans="2:55" s="134" customFormat="1" x14ac:dyDescent="0.2">
      <c r="B499" s="145"/>
      <c r="D499" s="145"/>
      <c r="Z499" s="177"/>
      <c r="AA499" s="178"/>
      <c r="AB499" s="139"/>
      <c r="AC499" s="173"/>
      <c r="AD499" s="177"/>
      <c r="AE499" s="177"/>
      <c r="AF499" s="139"/>
      <c r="AG499" s="139"/>
      <c r="AH499" s="177"/>
      <c r="AI499" s="178"/>
      <c r="AJ499" s="139"/>
      <c r="AK499" s="173"/>
      <c r="AL499" s="177"/>
      <c r="AM499" s="178"/>
      <c r="AN499" s="173"/>
      <c r="AO499" s="173"/>
      <c r="AP499" s="173"/>
      <c r="AQ499" s="178"/>
      <c r="AR499" s="173"/>
      <c r="AS499" s="173"/>
      <c r="AT499" s="140"/>
      <c r="AX499" s="140"/>
      <c r="BB499" s="173"/>
      <c r="BC499" s="173"/>
    </row>
    <row r="500" spans="2:55" s="134" customFormat="1" x14ac:dyDescent="0.2">
      <c r="B500" s="145"/>
      <c r="D500" s="145"/>
      <c r="Z500" s="177"/>
      <c r="AA500" s="178"/>
      <c r="AB500" s="139"/>
      <c r="AC500" s="173"/>
      <c r="AD500" s="177"/>
      <c r="AE500" s="177"/>
      <c r="AF500" s="139"/>
      <c r="AG500" s="139"/>
      <c r="AH500" s="177"/>
      <c r="AI500" s="178"/>
      <c r="AJ500" s="139"/>
      <c r="AK500" s="173"/>
      <c r="AL500" s="177"/>
      <c r="AM500" s="178"/>
      <c r="AN500" s="173"/>
      <c r="AO500" s="173"/>
      <c r="AP500" s="173"/>
      <c r="AQ500" s="178"/>
      <c r="AR500" s="173"/>
      <c r="AS500" s="173"/>
      <c r="AT500" s="140"/>
      <c r="AX500" s="140"/>
      <c r="BB500" s="173"/>
      <c r="BC500" s="173"/>
    </row>
    <row r="501" spans="2:55" s="134" customFormat="1" x14ac:dyDescent="0.2">
      <c r="B501" s="145"/>
      <c r="D501" s="145"/>
      <c r="Z501" s="177"/>
      <c r="AA501" s="178"/>
      <c r="AB501" s="139"/>
      <c r="AC501" s="173"/>
      <c r="AD501" s="177"/>
      <c r="AE501" s="177"/>
      <c r="AF501" s="139"/>
      <c r="AG501" s="139"/>
      <c r="AH501" s="177"/>
      <c r="AI501" s="178"/>
      <c r="AJ501" s="139"/>
      <c r="AK501" s="173"/>
      <c r="AL501" s="177"/>
      <c r="AM501" s="178"/>
      <c r="AN501" s="173"/>
      <c r="AO501" s="173"/>
      <c r="AP501" s="173"/>
      <c r="AQ501" s="178"/>
      <c r="AR501" s="173"/>
      <c r="AS501" s="173"/>
      <c r="AT501" s="140"/>
      <c r="AX501" s="140"/>
      <c r="BB501" s="173"/>
      <c r="BC501" s="173"/>
    </row>
    <row r="502" spans="2:55" s="134" customFormat="1" x14ac:dyDescent="0.2">
      <c r="B502" s="145"/>
      <c r="D502" s="145"/>
      <c r="Z502" s="177"/>
      <c r="AA502" s="178"/>
      <c r="AB502" s="139"/>
      <c r="AC502" s="173"/>
      <c r="AD502" s="177"/>
      <c r="AE502" s="177"/>
      <c r="AF502" s="139"/>
      <c r="AG502" s="139"/>
      <c r="AH502" s="177"/>
      <c r="AI502" s="178"/>
      <c r="AJ502" s="139"/>
      <c r="AK502" s="173"/>
      <c r="AL502" s="177"/>
      <c r="AM502" s="178"/>
      <c r="AN502" s="173"/>
      <c r="AO502" s="173"/>
      <c r="AP502" s="173"/>
      <c r="AQ502" s="178"/>
      <c r="AR502" s="173"/>
      <c r="AS502" s="173"/>
      <c r="AT502" s="140"/>
      <c r="AX502" s="140"/>
      <c r="BB502" s="173"/>
      <c r="BC502" s="173"/>
    </row>
    <row r="503" spans="2:55" s="134" customFormat="1" x14ac:dyDescent="0.2">
      <c r="B503" s="145"/>
      <c r="D503" s="145"/>
      <c r="Z503" s="177"/>
      <c r="AA503" s="178"/>
      <c r="AB503" s="139"/>
      <c r="AC503" s="173"/>
      <c r="AD503" s="177"/>
      <c r="AE503" s="177"/>
      <c r="AF503" s="139"/>
      <c r="AG503" s="139"/>
      <c r="AH503" s="177"/>
      <c r="AI503" s="178"/>
      <c r="AJ503" s="139"/>
      <c r="AK503" s="173"/>
      <c r="AL503" s="177"/>
      <c r="AM503" s="178"/>
      <c r="AN503" s="173"/>
      <c r="AO503" s="173"/>
      <c r="AP503" s="173"/>
      <c r="AQ503" s="178"/>
      <c r="AR503" s="173"/>
      <c r="AS503" s="173"/>
      <c r="AT503" s="140"/>
      <c r="AX503" s="140"/>
      <c r="BB503" s="173"/>
      <c r="BC503" s="173"/>
    </row>
    <row r="504" spans="2:55" s="134" customFormat="1" x14ac:dyDescent="0.2">
      <c r="B504" s="145"/>
      <c r="D504" s="145"/>
      <c r="Z504" s="177"/>
      <c r="AA504" s="178"/>
      <c r="AB504" s="139"/>
      <c r="AC504" s="173"/>
      <c r="AD504" s="177"/>
      <c r="AE504" s="177"/>
      <c r="AF504" s="139"/>
      <c r="AG504" s="139"/>
      <c r="AH504" s="177"/>
      <c r="AI504" s="178"/>
      <c r="AJ504" s="139"/>
      <c r="AK504" s="173"/>
      <c r="AL504" s="177"/>
      <c r="AM504" s="178"/>
      <c r="AN504" s="173"/>
      <c r="AO504" s="173"/>
      <c r="AP504" s="173"/>
      <c r="AQ504" s="178"/>
      <c r="AR504" s="173"/>
      <c r="AS504" s="173"/>
      <c r="AT504" s="140"/>
      <c r="AX504" s="140"/>
      <c r="BB504" s="173"/>
      <c r="BC504" s="173"/>
    </row>
    <row r="505" spans="2:55" s="134" customFormat="1" x14ac:dyDescent="0.2">
      <c r="B505" s="145"/>
      <c r="D505" s="145"/>
      <c r="Z505" s="177"/>
      <c r="AA505" s="178"/>
      <c r="AB505" s="139"/>
      <c r="AC505" s="173"/>
      <c r="AD505" s="177"/>
      <c r="AE505" s="177"/>
      <c r="AF505" s="139"/>
      <c r="AG505" s="139"/>
      <c r="AH505" s="177"/>
      <c r="AI505" s="178"/>
      <c r="AJ505" s="139"/>
      <c r="AK505" s="173"/>
      <c r="AL505" s="177"/>
      <c r="AM505" s="178"/>
      <c r="AN505" s="173"/>
      <c r="AO505" s="173"/>
      <c r="AP505" s="173"/>
      <c r="AQ505" s="178"/>
      <c r="AR505" s="173"/>
      <c r="AS505" s="173"/>
      <c r="AT505" s="140"/>
      <c r="AX505" s="140"/>
      <c r="BB505" s="173"/>
      <c r="BC505" s="173"/>
    </row>
    <row r="506" spans="2:55" s="134" customFormat="1" x14ac:dyDescent="0.2">
      <c r="B506" s="145"/>
      <c r="D506" s="145"/>
      <c r="Z506" s="177"/>
      <c r="AA506" s="178"/>
      <c r="AB506" s="139"/>
      <c r="AC506" s="173"/>
      <c r="AD506" s="177"/>
      <c r="AE506" s="177"/>
      <c r="AF506" s="139"/>
      <c r="AG506" s="139"/>
      <c r="AH506" s="177"/>
      <c r="AI506" s="178"/>
      <c r="AJ506" s="139"/>
      <c r="AK506" s="173"/>
      <c r="AL506" s="177"/>
      <c r="AM506" s="178"/>
      <c r="AN506" s="173"/>
      <c r="AO506" s="173"/>
      <c r="AP506" s="173"/>
      <c r="AQ506" s="178"/>
      <c r="AR506" s="173"/>
      <c r="AS506" s="173"/>
      <c r="AT506" s="140"/>
      <c r="AX506" s="140"/>
      <c r="BB506" s="173"/>
      <c r="BC506" s="173"/>
    </row>
    <row r="507" spans="2:55" s="134" customFormat="1" x14ac:dyDescent="0.2">
      <c r="B507" s="145"/>
      <c r="D507" s="145"/>
      <c r="Z507" s="177"/>
      <c r="AA507" s="178"/>
      <c r="AB507" s="139"/>
      <c r="AC507" s="173"/>
      <c r="AD507" s="177"/>
      <c r="AE507" s="177"/>
      <c r="AF507" s="139"/>
      <c r="AG507" s="139"/>
      <c r="AH507" s="177"/>
      <c r="AI507" s="178"/>
      <c r="AJ507" s="139"/>
      <c r="AK507" s="173"/>
      <c r="AL507" s="177"/>
      <c r="AM507" s="178"/>
      <c r="AN507" s="173"/>
      <c r="AO507" s="173"/>
      <c r="AP507" s="173"/>
      <c r="AQ507" s="178"/>
      <c r="AR507" s="173"/>
      <c r="AS507" s="173"/>
      <c r="AT507" s="140"/>
      <c r="AX507" s="140"/>
      <c r="BB507" s="173"/>
      <c r="BC507" s="173"/>
    </row>
    <row r="508" spans="2:55" s="134" customFormat="1" x14ac:dyDescent="0.2">
      <c r="B508" s="145"/>
      <c r="D508" s="145"/>
      <c r="Z508" s="177"/>
      <c r="AA508" s="178"/>
      <c r="AB508" s="139"/>
      <c r="AC508" s="173"/>
      <c r="AD508" s="177"/>
      <c r="AE508" s="177"/>
      <c r="AF508" s="139"/>
      <c r="AG508" s="139"/>
      <c r="AH508" s="177"/>
      <c r="AI508" s="178"/>
      <c r="AJ508" s="139"/>
      <c r="AK508" s="173"/>
      <c r="AL508" s="177"/>
      <c r="AM508" s="178"/>
      <c r="AN508" s="173"/>
      <c r="AO508" s="173"/>
      <c r="AP508" s="173"/>
      <c r="AQ508" s="178"/>
      <c r="AR508" s="173"/>
      <c r="AS508" s="173"/>
      <c r="AT508" s="140"/>
      <c r="AX508" s="140"/>
      <c r="BB508" s="173"/>
      <c r="BC508" s="173"/>
    </row>
    <row r="509" spans="2:55" s="134" customFormat="1" x14ac:dyDescent="0.2">
      <c r="B509" s="145"/>
      <c r="D509" s="145"/>
      <c r="Z509" s="177"/>
      <c r="AA509" s="178"/>
      <c r="AB509" s="139"/>
      <c r="AC509" s="173"/>
      <c r="AD509" s="177"/>
      <c r="AE509" s="177"/>
      <c r="AF509" s="139"/>
      <c r="AG509" s="139"/>
      <c r="AH509" s="177"/>
      <c r="AI509" s="178"/>
      <c r="AJ509" s="139"/>
      <c r="AK509" s="173"/>
      <c r="AL509" s="177"/>
      <c r="AM509" s="178"/>
      <c r="AN509" s="173"/>
      <c r="AO509" s="173"/>
      <c r="AP509" s="173"/>
      <c r="AQ509" s="178"/>
      <c r="AR509" s="173"/>
      <c r="AS509" s="173"/>
      <c r="AT509" s="140"/>
      <c r="AX509" s="140"/>
      <c r="BB509" s="173"/>
      <c r="BC509" s="173"/>
    </row>
    <row r="510" spans="2:55" s="134" customFormat="1" x14ac:dyDescent="0.2">
      <c r="B510" s="145"/>
      <c r="D510" s="145"/>
      <c r="Z510" s="177"/>
      <c r="AA510" s="178"/>
      <c r="AB510" s="139"/>
      <c r="AC510" s="173"/>
      <c r="AD510" s="177"/>
      <c r="AE510" s="177"/>
      <c r="AF510" s="139"/>
      <c r="AG510" s="139"/>
      <c r="AH510" s="177"/>
      <c r="AI510" s="178"/>
      <c r="AJ510" s="139"/>
      <c r="AK510" s="173"/>
      <c r="AL510" s="177"/>
      <c r="AM510" s="178"/>
      <c r="AN510" s="173"/>
      <c r="AO510" s="173"/>
      <c r="AP510" s="173"/>
      <c r="AQ510" s="178"/>
      <c r="AR510" s="173"/>
      <c r="AS510" s="173"/>
      <c r="AT510" s="140"/>
      <c r="AX510" s="140"/>
      <c r="BB510" s="173"/>
      <c r="BC510" s="173"/>
    </row>
    <row r="511" spans="2:55" s="134" customFormat="1" x14ac:dyDescent="0.2">
      <c r="B511" s="145"/>
      <c r="D511" s="145"/>
      <c r="Z511" s="177"/>
      <c r="AA511" s="178"/>
      <c r="AB511" s="139"/>
      <c r="AC511" s="173"/>
      <c r="AD511" s="177"/>
      <c r="AE511" s="177"/>
      <c r="AF511" s="139"/>
      <c r="AG511" s="139"/>
      <c r="AH511" s="177"/>
      <c r="AI511" s="178"/>
      <c r="AJ511" s="139"/>
      <c r="AK511" s="173"/>
      <c r="AL511" s="177"/>
      <c r="AM511" s="178"/>
      <c r="AN511" s="173"/>
      <c r="AO511" s="173"/>
      <c r="AP511" s="173"/>
      <c r="AQ511" s="178"/>
      <c r="AR511" s="173"/>
      <c r="AS511" s="173"/>
      <c r="AT511" s="140"/>
      <c r="AX511" s="140"/>
      <c r="BB511" s="173"/>
      <c r="BC511" s="173"/>
    </row>
    <row r="512" spans="2:55" s="134" customFormat="1" x14ac:dyDescent="0.2">
      <c r="B512" s="145"/>
      <c r="D512" s="145"/>
      <c r="Z512" s="177"/>
      <c r="AA512" s="178"/>
      <c r="AB512" s="139"/>
      <c r="AC512" s="173"/>
      <c r="AD512" s="177"/>
      <c r="AE512" s="177"/>
      <c r="AF512" s="139"/>
      <c r="AG512" s="139"/>
      <c r="AH512" s="177"/>
      <c r="AI512" s="178"/>
      <c r="AJ512" s="139"/>
      <c r="AK512" s="173"/>
      <c r="AL512" s="177"/>
      <c r="AM512" s="178"/>
      <c r="AN512" s="173"/>
      <c r="AO512" s="173"/>
      <c r="AP512" s="173"/>
      <c r="AQ512" s="178"/>
      <c r="AR512" s="173"/>
      <c r="AS512" s="173"/>
      <c r="AT512" s="140"/>
      <c r="AX512" s="140"/>
      <c r="BB512" s="173"/>
      <c r="BC512" s="173"/>
    </row>
    <row r="513" spans="2:55" s="134" customFormat="1" x14ac:dyDescent="0.2">
      <c r="B513" s="145"/>
      <c r="D513" s="145"/>
      <c r="Z513" s="177"/>
      <c r="AA513" s="178"/>
      <c r="AB513" s="139"/>
      <c r="AC513" s="173"/>
      <c r="AD513" s="177"/>
      <c r="AE513" s="177"/>
      <c r="AF513" s="139"/>
      <c r="AG513" s="139"/>
      <c r="AH513" s="177"/>
      <c r="AI513" s="178"/>
      <c r="AJ513" s="139"/>
      <c r="AK513" s="173"/>
      <c r="AL513" s="177"/>
      <c r="AM513" s="178"/>
      <c r="AN513" s="173"/>
      <c r="AO513" s="173"/>
      <c r="AP513" s="173"/>
      <c r="AQ513" s="178"/>
      <c r="AR513" s="173"/>
      <c r="AS513" s="173"/>
      <c r="AT513" s="140"/>
      <c r="AX513" s="140"/>
      <c r="BB513" s="173"/>
      <c r="BC513" s="173"/>
    </row>
    <row r="514" spans="2:55" s="134" customFormat="1" x14ac:dyDescent="0.2">
      <c r="B514" s="145"/>
      <c r="D514" s="145"/>
      <c r="Z514" s="177"/>
      <c r="AA514" s="178"/>
      <c r="AB514" s="139"/>
      <c r="AC514" s="173"/>
      <c r="AD514" s="177"/>
      <c r="AE514" s="177"/>
      <c r="AF514" s="139"/>
      <c r="AG514" s="139"/>
      <c r="AH514" s="177"/>
      <c r="AI514" s="178"/>
      <c r="AJ514" s="139"/>
      <c r="AK514" s="173"/>
      <c r="AL514" s="177"/>
      <c r="AM514" s="178"/>
      <c r="AN514" s="173"/>
      <c r="AO514" s="173"/>
      <c r="AP514" s="173"/>
      <c r="AQ514" s="178"/>
      <c r="AR514" s="173"/>
      <c r="AS514" s="173"/>
      <c r="AT514" s="140"/>
      <c r="AX514" s="140"/>
      <c r="BB514" s="173"/>
      <c r="BC514" s="173"/>
    </row>
    <row r="515" spans="2:55" s="134" customFormat="1" x14ac:dyDescent="0.2">
      <c r="B515" s="145"/>
      <c r="D515" s="145"/>
      <c r="Z515" s="177"/>
      <c r="AA515" s="178"/>
      <c r="AB515" s="139"/>
      <c r="AC515" s="173"/>
      <c r="AD515" s="177"/>
      <c r="AE515" s="177"/>
      <c r="AF515" s="139"/>
      <c r="AG515" s="139"/>
      <c r="AH515" s="177"/>
      <c r="AI515" s="178"/>
      <c r="AJ515" s="139"/>
      <c r="AK515" s="173"/>
      <c r="AL515" s="177"/>
      <c r="AM515" s="178"/>
      <c r="AN515" s="173"/>
      <c r="AO515" s="173"/>
      <c r="AP515" s="173"/>
      <c r="AQ515" s="178"/>
      <c r="AR515" s="173"/>
      <c r="AS515" s="173"/>
      <c r="AT515" s="140"/>
      <c r="AX515" s="140"/>
      <c r="BB515" s="173"/>
      <c r="BC515" s="173"/>
    </row>
    <row r="516" spans="2:55" s="134" customFormat="1" x14ac:dyDescent="0.2">
      <c r="B516" s="145"/>
      <c r="D516" s="145"/>
      <c r="Z516" s="177"/>
      <c r="AA516" s="178"/>
      <c r="AB516" s="139"/>
      <c r="AC516" s="173"/>
      <c r="AD516" s="177"/>
      <c r="AE516" s="177"/>
      <c r="AF516" s="139"/>
      <c r="AG516" s="139"/>
      <c r="AH516" s="177"/>
      <c r="AI516" s="178"/>
      <c r="AJ516" s="139"/>
      <c r="AK516" s="173"/>
      <c r="AL516" s="177"/>
      <c r="AM516" s="178"/>
      <c r="AN516" s="173"/>
      <c r="AO516" s="173"/>
      <c r="AP516" s="173"/>
      <c r="AQ516" s="178"/>
      <c r="AR516" s="173"/>
      <c r="AS516" s="173"/>
      <c r="AT516" s="140"/>
      <c r="AX516" s="140"/>
      <c r="BB516" s="173"/>
      <c r="BC516" s="173"/>
    </row>
    <row r="517" spans="2:55" s="134" customFormat="1" x14ac:dyDescent="0.2">
      <c r="B517" s="145"/>
      <c r="D517" s="145"/>
      <c r="Z517" s="177"/>
      <c r="AA517" s="178"/>
      <c r="AB517" s="139"/>
      <c r="AC517" s="173"/>
      <c r="AD517" s="177"/>
      <c r="AE517" s="177"/>
      <c r="AF517" s="139"/>
      <c r="AG517" s="139"/>
      <c r="AH517" s="177"/>
      <c r="AI517" s="178"/>
      <c r="AJ517" s="139"/>
      <c r="AK517" s="173"/>
      <c r="AL517" s="177"/>
      <c r="AM517" s="178"/>
      <c r="AN517" s="173"/>
      <c r="AO517" s="173"/>
      <c r="AP517" s="173"/>
      <c r="AQ517" s="178"/>
      <c r="AR517" s="173"/>
      <c r="AS517" s="173"/>
      <c r="AT517" s="140"/>
      <c r="AX517" s="140"/>
      <c r="BB517" s="173"/>
      <c r="BC517" s="173"/>
    </row>
    <row r="518" spans="2:55" s="134" customFormat="1" x14ac:dyDescent="0.2">
      <c r="B518" s="145"/>
      <c r="D518" s="145"/>
      <c r="Z518" s="177"/>
      <c r="AA518" s="178"/>
      <c r="AB518" s="139"/>
      <c r="AC518" s="173"/>
      <c r="AD518" s="177"/>
      <c r="AE518" s="177"/>
      <c r="AF518" s="139"/>
      <c r="AG518" s="139"/>
      <c r="AH518" s="177"/>
      <c r="AI518" s="178"/>
      <c r="AJ518" s="139"/>
      <c r="AK518" s="173"/>
      <c r="AL518" s="177"/>
      <c r="AM518" s="178"/>
      <c r="AN518" s="173"/>
      <c r="AO518" s="173"/>
      <c r="AP518" s="173"/>
      <c r="AQ518" s="178"/>
      <c r="AR518" s="173"/>
      <c r="AS518" s="173"/>
      <c r="AT518" s="140"/>
      <c r="AX518" s="140"/>
      <c r="BB518" s="173"/>
      <c r="BC518" s="173"/>
    </row>
    <row r="519" spans="2:55" s="134" customFormat="1" x14ac:dyDescent="0.2">
      <c r="B519" s="145"/>
      <c r="D519" s="145"/>
      <c r="Z519" s="177"/>
      <c r="AA519" s="178"/>
      <c r="AB519" s="139"/>
      <c r="AC519" s="173"/>
      <c r="AD519" s="177"/>
      <c r="AE519" s="177"/>
      <c r="AF519" s="139"/>
      <c r="AG519" s="139"/>
      <c r="AH519" s="177"/>
      <c r="AI519" s="178"/>
      <c r="AJ519" s="139"/>
      <c r="AK519" s="173"/>
      <c r="AL519" s="177"/>
      <c r="AM519" s="178"/>
      <c r="AN519" s="173"/>
      <c r="AO519" s="173"/>
      <c r="AP519" s="173"/>
      <c r="AQ519" s="178"/>
      <c r="AR519" s="173"/>
      <c r="AS519" s="173"/>
      <c r="AT519" s="140"/>
      <c r="AX519" s="140"/>
      <c r="BB519" s="173"/>
      <c r="BC519" s="173"/>
    </row>
    <row r="520" spans="2:55" s="134" customFormat="1" x14ac:dyDescent="0.2">
      <c r="B520" s="145"/>
      <c r="D520" s="145"/>
      <c r="Z520" s="177"/>
      <c r="AA520" s="178"/>
      <c r="AB520" s="139"/>
      <c r="AC520" s="173"/>
      <c r="AD520" s="177"/>
      <c r="AE520" s="177"/>
      <c r="AF520" s="139"/>
      <c r="AG520" s="139"/>
      <c r="AH520" s="177"/>
      <c r="AI520" s="178"/>
      <c r="AJ520" s="139"/>
      <c r="AK520" s="173"/>
      <c r="AL520" s="177"/>
      <c r="AM520" s="178"/>
      <c r="AN520" s="173"/>
      <c r="AO520" s="173"/>
      <c r="AP520" s="173"/>
      <c r="AQ520" s="178"/>
      <c r="AR520" s="173"/>
      <c r="AS520" s="173"/>
      <c r="AT520" s="140"/>
      <c r="AX520" s="140"/>
      <c r="BB520" s="173"/>
      <c r="BC520" s="173"/>
    </row>
    <row r="521" spans="2:55" s="134" customFormat="1" x14ac:dyDescent="0.2">
      <c r="B521" s="145"/>
      <c r="D521" s="145"/>
      <c r="Z521" s="177"/>
      <c r="AA521" s="178"/>
      <c r="AB521" s="139"/>
      <c r="AC521" s="173"/>
      <c r="AD521" s="177"/>
      <c r="AE521" s="177"/>
      <c r="AF521" s="139"/>
      <c r="AG521" s="139"/>
      <c r="AH521" s="177"/>
      <c r="AI521" s="178"/>
      <c r="AJ521" s="139"/>
      <c r="AK521" s="173"/>
      <c r="AL521" s="177"/>
      <c r="AM521" s="178"/>
      <c r="AN521" s="173"/>
      <c r="AO521" s="173"/>
      <c r="AP521" s="173"/>
      <c r="AQ521" s="178"/>
      <c r="AR521" s="173"/>
      <c r="AS521" s="173"/>
      <c r="AT521" s="140"/>
      <c r="AX521" s="140"/>
      <c r="BB521" s="173"/>
      <c r="BC521" s="173"/>
    </row>
    <row r="522" spans="2:55" s="134" customFormat="1" x14ac:dyDescent="0.2">
      <c r="B522" s="145"/>
      <c r="D522" s="145"/>
      <c r="Z522" s="177"/>
      <c r="AA522" s="178"/>
      <c r="AB522" s="139"/>
      <c r="AC522" s="173"/>
      <c r="AD522" s="177"/>
      <c r="AE522" s="177"/>
      <c r="AF522" s="139"/>
      <c r="AG522" s="139"/>
      <c r="AH522" s="177"/>
      <c r="AI522" s="178"/>
      <c r="AJ522" s="139"/>
      <c r="AK522" s="173"/>
      <c r="AL522" s="177"/>
      <c r="AM522" s="178"/>
      <c r="AN522" s="173"/>
      <c r="AO522" s="173"/>
      <c r="AP522" s="173"/>
      <c r="AQ522" s="178"/>
      <c r="AR522" s="173"/>
      <c r="AS522" s="173"/>
      <c r="AT522" s="140"/>
      <c r="AX522" s="140"/>
      <c r="BB522" s="173"/>
      <c r="BC522" s="173"/>
    </row>
    <row r="523" spans="2:55" s="134" customFormat="1" x14ac:dyDescent="0.2">
      <c r="B523" s="145"/>
      <c r="D523" s="145"/>
      <c r="Z523" s="177"/>
      <c r="AA523" s="178"/>
      <c r="AB523" s="139"/>
      <c r="AC523" s="173"/>
      <c r="AD523" s="177"/>
      <c r="AE523" s="177"/>
      <c r="AF523" s="139"/>
      <c r="AG523" s="139"/>
      <c r="AH523" s="177"/>
      <c r="AI523" s="178"/>
      <c r="AJ523" s="139"/>
      <c r="AK523" s="173"/>
      <c r="AL523" s="177"/>
      <c r="AM523" s="178"/>
      <c r="AN523" s="173"/>
      <c r="AO523" s="173"/>
      <c r="AP523" s="173"/>
      <c r="AQ523" s="178"/>
      <c r="AR523" s="173"/>
      <c r="AS523" s="173"/>
      <c r="AT523" s="140"/>
      <c r="AX523" s="140"/>
      <c r="BB523" s="173"/>
      <c r="BC523" s="173"/>
    </row>
    <row r="524" spans="2:55" s="134" customFormat="1" x14ac:dyDescent="0.2">
      <c r="B524" s="145"/>
      <c r="D524" s="145"/>
      <c r="Z524" s="177"/>
      <c r="AA524" s="178"/>
      <c r="AB524" s="139"/>
      <c r="AC524" s="173"/>
      <c r="AD524" s="177"/>
      <c r="AE524" s="177"/>
      <c r="AF524" s="139"/>
      <c r="AG524" s="139"/>
      <c r="AH524" s="177"/>
      <c r="AI524" s="178"/>
      <c r="AJ524" s="139"/>
      <c r="AK524" s="173"/>
      <c r="AL524" s="177"/>
      <c r="AM524" s="178"/>
      <c r="AN524" s="173"/>
      <c r="AO524" s="173"/>
      <c r="AP524" s="173"/>
      <c r="AQ524" s="178"/>
      <c r="AR524" s="173"/>
      <c r="AS524" s="173"/>
      <c r="AT524" s="140"/>
      <c r="AX524" s="140"/>
      <c r="BB524" s="173"/>
      <c r="BC524" s="173"/>
    </row>
    <row r="525" spans="2:55" s="134" customFormat="1" x14ac:dyDescent="0.2">
      <c r="B525" s="145"/>
      <c r="D525" s="145"/>
      <c r="Z525" s="177"/>
      <c r="AA525" s="178"/>
      <c r="AB525" s="139"/>
      <c r="AC525" s="173"/>
      <c r="AD525" s="177"/>
      <c r="AE525" s="177"/>
      <c r="AF525" s="139"/>
      <c r="AG525" s="139"/>
      <c r="AH525" s="177"/>
      <c r="AI525" s="178"/>
      <c r="AJ525" s="139"/>
      <c r="AK525" s="173"/>
      <c r="AL525" s="177"/>
      <c r="AM525" s="178"/>
      <c r="AN525" s="173"/>
      <c r="AO525" s="173"/>
      <c r="AP525" s="173"/>
      <c r="AQ525" s="178"/>
      <c r="AR525" s="173"/>
      <c r="AS525" s="173"/>
      <c r="AT525" s="140"/>
      <c r="AX525" s="140"/>
      <c r="BB525" s="173"/>
      <c r="BC525" s="173"/>
    </row>
    <row r="526" spans="2:55" s="134" customFormat="1" x14ac:dyDescent="0.2">
      <c r="B526" s="145"/>
      <c r="D526" s="145"/>
      <c r="Z526" s="177"/>
      <c r="AA526" s="178"/>
      <c r="AB526" s="139"/>
      <c r="AC526" s="173"/>
      <c r="AD526" s="177"/>
      <c r="AE526" s="177"/>
      <c r="AF526" s="139"/>
      <c r="AG526" s="139"/>
      <c r="AH526" s="177"/>
      <c r="AI526" s="178"/>
      <c r="AJ526" s="139"/>
      <c r="AK526" s="173"/>
      <c r="AL526" s="177"/>
      <c r="AM526" s="178"/>
      <c r="AN526" s="173"/>
      <c r="AO526" s="173"/>
      <c r="AP526" s="173"/>
      <c r="AQ526" s="178"/>
      <c r="AR526" s="173"/>
      <c r="AS526" s="173"/>
      <c r="AT526" s="140"/>
      <c r="AX526" s="140"/>
      <c r="BB526" s="173"/>
      <c r="BC526" s="173"/>
    </row>
    <row r="527" spans="2:55" s="134" customFormat="1" x14ac:dyDescent="0.2">
      <c r="B527" s="145"/>
      <c r="D527" s="145"/>
      <c r="Z527" s="177"/>
      <c r="AA527" s="178"/>
      <c r="AB527" s="139"/>
      <c r="AC527" s="173"/>
      <c r="AD527" s="177"/>
      <c r="AE527" s="177"/>
      <c r="AF527" s="139"/>
      <c r="AG527" s="139"/>
      <c r="AH527" s="177"/>
      <c r="AI527" s="178"/>
      <c r="AJ527" s="139"/>
      <c r="AK527" s="173"/>
      <c r="AL527" s="177"/>
      <c r="AM527" s="178"/>
      <c r="AN527" s="173"/>
      <c r="AO527" s="173"/>
      <c r="AP527" s="173"/>
      <c r="AQ527" s="178"/>
      <c r="AR527" s="173"/>
      <c r="AS527" s="173"/>
      <c r="AT527" s="140"/>
      <c r="AX527" s="140"/>
      <c r="BB527" s="173"/>
      <c r="BC527" s="173"/>
    </row>
    <row r="528" spans="2:55" s="134" customFormat="1" x14ac:dyDescent="0.2">
      <c r="B528" s="145"/>
      <c r="D528" s="145"/>
      <c r="Z528" s="177"/>
      <c r="AA528" s="178"/>
      <c r="AB528" s="139"/>
      <c r="AC528" s="173"/>
      <c r="AD528" s="177"/>
      <c r="AE528" s="177"/>
      <c r="AF528" s="139"/>
      <c r="AG528" s="139"/>
      <c r="AH528" s="177"/>
      <c r="AI528" s="178"/>
      <c r="AJ528" s="139"/>
      <c r="AK528" s="173"/>
      <c r="AL528" s="177"/>
      <c r="AM528" s="178"/>
      <c r="AN528" s="173"/>
      <c r="AO528" s="173"/>
      <c r="AP528" s="173"/>
      <c r="AQ528" s="178"/>
      <c r="AR528" s="173"/>
      <c r="AS528" s="173"/>
      <c r="AT528" s="140"/>
      <c r="AX528" s="140"/>
      <c r="BB528" s="173"/>
      <c r="BC528" s="173"/>
    </row>
    <row r="529" spans="2:55" s="134" customFormat="1" x14ac:dyDescent="0.2">
      <c r="B529" s="145"/>
      <c r="D529" s="145"/>
      <c r="Z529" s="177"/>
      <c r="AA529" s="178"/>
      <c r="AB529" s="139"/>
      <c r="AC529" s="173"/>
      <c r="AD529" s="177"/>
      <c r="AE529" s="177"/>
      <c r="AF529" s="139"/>
      <c r="AG529" s="139"/>
      <c r="AH529" s="177"/>
      <c r="AI529" s="178"/>
      <c r="AJ529" s="139"/>
      <c r="AK529" s="173"/>
      <c r="AL529" s="177"/>
      <c r="AM529" s="178"/>
      <c r="AN529" s="173"/>
      <c r="AO529" s="173"/>
      <c r="AP529" s="173"/>
      <c r="AQ529" s="178"/>
      <c r="AR529" s="173"/>
      <c r="AS529" s="173"/>
      <c r="AT529" s="140"/>
      <c r="AX529" s="140"/>
      <c r="BB529" s="173"/>
      <c r="BC529" s="173"/>
    </row>
    <row r="530" spans="2:55" s="134" customFormat="1" x14ac:dyDescent="0.2">
      <c r="B530" s="145"/>
      <c r="D530" s="145"/>
      <c r="Z530" s="177"/>
      <c r="AA530" s="178"/>
      <c r="AB530" s="139"/>
      <c r="AC530" s="173"/>
      <c r="AD530" s="177"/>
      <c r="AE530" s="177"/>
      <c r="AF530" s="139"/>
      <c r="AG530" s="139"/>
      <c r="AH530" s="177"/>
      <c r="AI530" s="178"/>
      <c r="AJ530" s="139"/>
      <c r="AK530" s="173"/>
      <c r="AL530" s="177"/>
      <c r="AM530" s="178"/>
      <c r="AN530" s="173"/>
      <c r="AO530" s="173"/>
      <c r="AP530" s="173"/>
      <c r="AQ530" s="178"/>
      <c r="AR530" s="173"/>
      <c r="AS530" s="173"/>
      <c r="AT530" s="140"/>
      <c r="AX530" s="140"/>
      <c r="BB530" s="173"/>
      <c r="BC530" s="173"/>
    </row>
    <row r="531" spans="2:55" s="134" customFormat="1" x14ac:dyDescent="0.2">
      <c r="B531" s="145"/>
      <c r="D531" s="145"/>
      <c r="Z531" s="177"/>
      <c r="AA531" s="178"/>
      <c r="AB531" s="139"/>
      <c r="AC531" s="173"/>
      <c r="AD531" s="177"/>
      <c r="AE531" s="177"/>
      <c r="AF531" s="139"/>
      <c r="AG531" s="139"/>
      <c r="AH531" s="177"/>
      <c r="AI531" s="178"/>
      <c r="AJ531" s="139"/>
      <c r="AK531" s="173"/>
      <c r="AL531" s="177"/>
      <c r="AM531" s="178"/>
      <c r="AN531" s="173"/>
      <c r="AO531" s="173"/>
      <c r="AP531" s="173"/>
      <c r="AQ531" s="178"/>
      <c r="AR531" s="173"/>
      <c r="AS531" s="173"/>
      <c r="AT531" s="140"/>
      <c r="AX531" s="140"/>
      <c r="BB531" s="173"/>
      <c r="BC531" s="173"/>
    </row>
    <row r="532" spans="2:55" s="134" customFormat="1" x14ac:dyDescent="0.2">
      <c r="B532" s="145"/>
      <c r="D532" s="145"/>
      <c r="Z532" s="177"/>
      <c r="AA532" s="178"/>
      <c r="AB532" s="139"/>
      <c r="AC532" s="173"/>
      <c r="AD532" s="177"/>
      <c r="AE532" s="177"/>
      <c r="AF532" s="139"/>
      <c r="AG532" s="139"/>
      <c r="AH532" s="177"/>
      <c r="AI532" s="178"/>
      <c r="AJ532" s="139"/>
      <c r="AK532" s="173"/>
      <c r="AL532" s="177"/>
      <c r="AM532" s="178"/>
      <c r="AN532" s="173"/>
      <c r="AO532" s="173"/>
      <c r="AP532" s="173"/>
      <c r="AQ532" s="178"/>
      <c r="AR532" s="173"/>
      <c r="AS532" s="173"/>
      <c r="AT532" s="140"/>
      <c r="AX532" s="140"/>
      <c r="BB532" s="173"/>
      <c r="BC532" s="173"/>
    </row>
    <row r="533" spans="2:55" s="134" customFormat="1" x14ac:dyDescent="0.2">
      <c r="B533" s="145"/>
      <c r="D533" s="145"/>
      <c r="Z533" s="177"/>
      <c r="AA533" s="178"/>
      <c r="AB533" s="139"/>
      <c r="AC533" s="173"/>
      <c r="AD533" s="177"/>
      <c r="AE533" s="177"/>
      <c r="AF533" s="139"/>
      <c r="AG533" s="139"/>
      <c r="AH533" s="177"/>
      <c r="AI533" s="178"/>
      <c r="AJ533" s="139"/>
      <c r="AK533" s="173"/>
      <c r="AL533" s="177"/>
      <c r="AM533" s="178"/>
      <c r="AN533" s="173"/>
      <c r="AO533" s="173"/>
      <c r="AP533" s="173"/>
      <c r="AQ533" s="178"/>
      <c r="AR533" s="173"/>
      <c r="AS533" s="173"/>
      <c r="AT533" s="140"/>
      <c r="AX533" s="140"/>
      <c r="BB533" s="173"/>
      <c r="BC533" s="173"/>
    </row>
    <row r="534" spans="2:55" s="134" customFormat="1" x14ac:dyDescent="0.2">
      <c r="B534" s="145"/>
      <c r="D534" s="145"/>
      <c r="Z534" s="177"/>
      <c r="AA534" s="178"/>
      <c r="AB534" s="139"/>
      <c r="AC534" s="173"/>
      <c r="AD534" s="177"/>
      <c r="AE534" s="177"/>
      <c r="AF534" s="139"/>
      <c r="AG534" s="139"/>
      <c r="AH534" s="177"/>
      <c r="AI534" s="178"/>
      <c r="AJ534" s="139"/>
      <c r="AK534" s="173"/>
      <c r="AL534" s="177"/>
      <c r="AM534" s="178"/>
      <c r="AN534" s="173"/>
      <c r="AO534" s="173"/>
      <c r="AP534" s="173"/>
      <c r="AQ534" s="178"/>
      <c r="AR534" s="173"/>
      <c r="AS534" s="173"/>
      <c r="AT534" s="140"/>
      <c r="AX534" s="140"/>
      <c r="BB534" s="173"/>
      <c r="BC534" s="173"/>
    </row>
    <row r="535" spans="2:55" s="134" customFormat="1" x14ac:dyDescent="0.2">
      <c r="B535" s="145"/>
      <c r="D535" s="145"/>
      <c r="Z535" s="177"/>
      <c r="AA535" s="178"/>
      <c r="AB535" s="139"/>
      <c r="AC535" s="173"/>
      <c r="AD535" s="177"/>
      <c r="AE535" s="177"/>
      <c r="AF535" s="139"/>
      <c r="AG535" s="139"/>
      <c r="AH535" s="177"/>
      <c r="AI535" s="178"/>
      <c r="AJ535" s="139"/>
      <c r="AK535" s="173"/>
      <c r="AL535" s="177"/>
      <c r="AM535" s="178"/>
      <c r="AN535" s="173"/>
      <c r="AO535" s="173"/>
      <c r="AP535" s="173"/>
      <c r="AQ535" s="178"/>
      <c r="AR535" s="173"/>
      <c r="AS535" s="173"/>
      <c r="AT535" s="140"/>
      <c r="AX535" s="140"/>
      <c r="BB535" s="173"/>
      <c r="BC535" s="173"/>
    </row>
    <row r="536" spans="2:55" s="134" customFormat="1" x14ac:dyDescent="0.2">
      <c r="B536" s="145"/>
      <c r="D536" s="145"/>
      <c r="Z536" s="177"/>
      <c r="AA536" s="178"/>
      <c r="AB536" s="139"/>
      <c r="AC536" s="173"/>
      <c r="AD536" s="177"/>
      <c r="AE536" s="177"/>
      <c r="AF536" s="139"/>
      <c r="AG536" s="139"/>
      <c r="AH536" s="177"/>
      <c r="AI536" s="178"/>
      <c r="AJ536" s="139"/>
      <c r="AK536" s="173"/>
      <c r="AL536" s="177"/>
      <c r="AM536" s="178"/>
      <c r="AN536" s="173"/>
      <c r="AO536" s="173"/>
      <c r="AP536" s="173"/>
      <c r="AQ536" s="178"/>
      <c r="AR536" s="173"/>
      <c r="AS536" s="173"/>
      <c r="AT536" s="140"/>
      <c r="AX536" s="140"/>
      <c r="BB536" s="173"/>
      <c r="BC536" s="173"/>
    </row>
    <row r="537" spans="2:55" s="134" customFormat="1" x14ac:dyDescent="0.2">
      <c r="B537" s="145"/>
      <c r="D537" s="145"/>
      <c r="Z537" s="177"/>
      <c r="AA537" s="178"/>
      <c r="AB537" s="139"/>
      <c r="AC537" s="173"/>
      <c r="AD537" s="177"/>
      <c r="AE537" s="177"/>
      <c r="AF537" s="139"/>
      <c r="AG537" s="139"/>
      <c r="AH537" s="177"/>
      <c r="AI537" s="178"/>
      <c r="AJ537" s="139"/>
      <c r="AK537" s="173"/>
      <c r="AL537" s="177"/>
      <c r="AM537" s="178"/>
      <c r="AN537" s="173"/>
      <c r="AO537" s="173"/>
      <c r="AP537" s="173"/>
      <c r="AQ537" s="178"/>
      <c r="AR537" s="173"/>
      <c r="AS537" s="173"/>
      <c r="AT537" s="140"/>
      <c r="AX537" s="140"/>
      <c r="BB537" s="173"/>
      <c r="BC537" s="173"/>
    </row>
    <row r="538" spans="2:55" s="134" customFormat="1" x14ac:dyDescent="0.2">
      <c r="B538" s="145"/>
      <c r="D538" s="145"/>
      <c r="Z538" s="177"/>
      <c r="AA538" s="178"/>
      <c r="AB538" s="139"/>
      <c r="AC538" s="173"/>
      <c r="AD538" s="177"/>
      <c r="AE538" s="177"/>
      <c r="AF538" s="139"/>
      <c r="AG538" s="139"/>
      <c r="AH538" s="177"/>
      <c r="AI538" s="178"/>
      <c r="AJ538" s="139"/>
      <c r="AK538" s="173"/>
      <c r="AL538" s="177"/>
      <c r="AM538" s="178"/>
      <c r="AN538" s="173"/>
      <c r="AO538" s="173"/>
      <c r="AP538" s="173"/>
      <c r="AQ538" s="178"/>
      <c r="AR538" s="173"/>
      <c r="AS538" s="173"/>
      <c r="AT538" s="140"/>
      <c r="AX538" s="140"/>
      <c r="BB538" s="173"/>
      <c r="BC538" s="173"/>
    </row>
    <row r="539" spans="2:55" s="134" customFormat="1" x14ac:dyDescent="0.2">
      <c r="B539" s="145"/>
      <c r="D539" s="145"/>
      <c r="Z539" s="177"/>
      <c r="AA539" s="178"/>
      <c r="AB539" s="139"/>
      <c r="AC539" s="173"/>
      <c r="AD539" s="177"/>
      <c r="AE539" s="177"/>
      <c r="AF539" s="139"/>
      <c r="AG539" s="139"/>
      <c r="AH539" s="177"/>
      <c r="AI539" s="178"/>
      <c r="AJ539" s="139"/>
      <c r="AK539" s="173"/>
      <c r="AL539" s="177"/>
      <c r="AM539" s="178"/>
      <c r="AN539" s="173"/>
      <c r="AO539" s="173"/>
      <c r="AP539" s="173"/>
      <c r="AQ539" s="178"/>
      <c r="AR539" s="173"/>
      <c r="AS539" s="173"/>
      <c r="AT539" s="140"/>
      <c r="AX539" s="140"/>
      <c r="BB539" s="173"/>
      <c r="BC539" s="173"/>
    </row>
    <row r="540" spans="2:55" s="134" customFormat="1" x14ac:dyDescent="0.2">
      <c r="B540" s="145"/>
      <c r="D540" s="145"/>
      <c r="Z540" s="177"/>
      <c r="AA540" s="178"/>
      <c r="AB540" s="139"/>
      <c r="AC540" s="173"/>
      <c r="AD540" s="177"/>
      <c r="AE540" s="177"/>
      <c r="AF540" s="139"/>
      <c r="AG540" s="139"/>
      <c r="AH540" s="177"/>
      <c r="AI540" s="178"/>
      <c r="AJ540" s="139"/>
      <c r="AK540" s="173"/>
      <c r="AL540" s="177"/>
      <c r="AM540" s="178"/>
      <c r="AN540" s="173"/>
      <c r="AO540" s="173"/>
      <c r="AP540" s="173"/>
      <c r="AQ540" s="178"/>
      <c r="AR540" s="173"/>
      <c r="AS540" s="173"/>
      <c r="AT540" s="140"/>
      <c r="AX540" s="140"/>
      <c r="BB540" s="173"/>
      <c r="BC540" s="173"/>
    </row>
    <row r="541" spans="2:55" s="134" customFormat="1" x14ac:dyDescent="0.2">
      <c r="B541" s="145"/>
      <c r="D541" s="145"/>
      <c r="Z541" s="177"/>
      <c r="AA541" s="178"/>
      <c r="AB541" s="139"/>
      <c r="AC541" s="173"/>
      <c r="AD541" s="177"/>
      <c r="AE541" s="177"/>
      <c r="AF541" s="139"/>
      <c r="AG541" s="139"/>
      <c r="AH541" s="177"/>
      <c r="AI541" s="178"/>
      <c r="AJ541" s="139"/>
      <c r="AK541" s="173"/>
      <c r="AL541" s="177"/>
      <c r="AM541" s="178"/>
      <c r="AN541" s="173"/>
      <c r="AO541" s="173"/>
      <c r="AP541" s="173"/>
      <c r="AQ541" s="178"/>
      <c r="AR541" s="173"/>
      <c r="AS541" s="173"/>
      <c r="AT541" s="140"/>
      <c r="AX541" s="140"/>
      <c r="BB541" s="173"/>
      <c r="BC541" s="173"/>
    </row>
    <row r="542" spans="2:55" s="134" customFormat="1" x14ac:dyDescent="0.2">
      <c r="B542" s="145"/>
      <c r="D542" s="145"/>
      <c r="Z542" s="177"/>
      <c r="AA542" s="178"/>
      <c r="AB542" s="139"/>
      <c r="AC542" s="173"/>
      <c r="AD542" s="177"/>
      <c r="AE542" s="177"/>
      <c r="AF542" s="139"/>
      <c r="AG542" s="139"/>
      <c r="AH542" s="177"/>
      <c r="AI542" s="178"/>
      <c r="AJ542" s="139"/>
      <c r="AK542" s="173"/>
      <c r="AL542" s="177"/>
      <c r="AM542" s="178"/>
      <c r="AN542" s="173"/>
      <c r="AO542" s="173"/>
      <c r="AP542" s="173"/>
      <c r="AQ542" s="178"/>
      <c r="AR542" s="173"/>
      <c r="AS542" s="173"/>
      <c r="AT542" s="140"/>
      <c r="AX542" s="140"/>
      <c r="BB542" s="173"/>
      <c r="BC542" s="173"/>
    </row>
    <row r="543" spans="2:55" s="134" customFormat="1" x14ac:dyDescent="0.2">
      <c r="B543" s="145"/>
      <c r="D543" s="145"/>
      <c r="Z543" s="177"/>
      <c r="AA543" s="178"/>
      <c r="AB543" s="139"/>
      <c r="AC543" s="173"/>
      <c r="AD543" s="177"/>
      <c r="AE543" s="177"/>
      <c r="AF543" s="139"/>
      <c r="AG543" s="139"/>
      <c r="AH543" s="177"/>
      <c r="AI543" s="178"/>
      <c r="AJ543" s="139"/>
      <c r="AK543" s="173"/>
      <c r="AL543" s="177"/>
      <c r="AM543" s="178"/>
      <c r="AN543" s="173"/>
      <c r="AO543" s="173"/>
      <c r="AP543" s="173"/>
      <c r="AQ543" s="178"/>
      <c r="AR543" s="173"/>
      <c r="AS543" s="173"/>
      <c r="AT543" s="140"/>
      <c r="AX543" s="140"/>
      <c r="BB543" s="173"/>
      <c r="BC543" s="173"/>
    </row>
    <row r="544" spans="2:55" s="134" customFormat="1" x14ac:dyDescent="0.2">
      <c r="B544" s="145"/>
      <c r="D544" s="145"/>
      <c r="Z544" s="177"/>
      <c r="AA544" s="178"/>
      <c r="AB544" s="139"/>
      <c r="AC544" s="173"/>
      <c r="AD544" s="177"/>
      <c r="AE544" s="177"/>
      <c r="AF544" s="139"/>
      <c r="AG544" s="139"/>
      <c r="AH544" s="177"/>
      <c r="AI544" s="178"/>
      <c r="AJ544" s="139"/>
      <c r="AK544" s="173"/>
      <c r="AL544" s="177"/>
      <c r="AM544" s="178"/>
      <c r="AN544" s="173"/>
      <c r="AO544" s="173"/>
      <c r="AP544" s="173"/>
      <c r="AQ544" s="178"/>
      <c r="AR544" s="173"/>
      <c r="AS544" s="173"/>
      <c r="AT544" s="140"/>
      <c r="AX544" s="140"/>
      <c r="BB544" s="173"/>
      <c r="BC544" s="173"/>
    </row>
    <row r="545" spans="2:55" s="134" customFormat="1" x14ac:dyDescent="0.2">
      <c r="B545" s="145"/>
      <c r="D545" s="145"/>
      <c r="Z545" s="177"/>
      <c r="AA545" s="178"/>
      <c r="AB545" s="139"/>
      <c r="AC545" s="173"/>
      <c r="AD545" s="177"/>
      <c r="AE545" s="177"/>
      <c r="AF545" s="139"/>
      <c r="AG545" s="139"/>
      <c r="AH545" s="177"/>
      <c r="AI545" s="178"/>
      <c r="AJ545" s="139"/>
      <c r="AK545" s="173"/>
      <c r="AL545" s="177"/>
      <c r="AM545" s="178"/>
      <c r="AN545" s="173"/>
      <c r="AO545" s="173"/>
      <c r="AP545" s="173"/>
      <c r="AQ545" s="178"/>
      <c r="AR545" s="173"/>
      <c r="AS545" s="173"/>
      <c r="AT545" s="140"/>
      <c r="AX545" s="140"/>
      <c r="BB545" s="173"/>
      <c r="BC545" s="173"/>
    </row>
    <row r="546" spans="2:55" s="134" customFormat="1" x14ac:dyDescent="0.2">
      <c r="B546" s="145"/>
      <c r="D546" s="145"/>
      <c r="Z546" s="177"/>
      <c r="AA546" s="178"/>
      <c r="AB546" s="139"/>
      <c r="AC546" s="173"/>
      <c r="AD546" s="177"/>
      <c r="AE546" s="177"/>
      <c r="AF546" s="139"/>
      <c r="AG546" s="139"/>
      <c r="AH546" s="177"/>
      <c r="AI546" s="178"/>
      <c r="AJ546" s="139"/>
      <c r="AK546" s="173"/>
      <c r="AL546" s="177"/>
      <c r="AM546" s="178"/>
      <c r="AN546" s="173"/>
      <c r="AO546" s="173"/>
      <c r="AP546" s="173"/>
      <c r="AQ546" s="178"/>
      <c r="AR546" s="173"/>
      <c r="AS546" s="173"/>
      <c r="AT546" s="140"/>
      <c r="AX546" s="140"/>
      <c r="BB546" s="173"/>
      <c r="BC546" s="173"/>
    </row>
    <row r="547" spans="2:55" s="134" customFormat="1" x14ac:dyDescent="0.2">
      <c r="B547" s="145"/>
      <c r="D547" s="145"/>
      <c r="Z547" s="177"/>
      <c r="AA547" s="178"/>
      <c r="AB547" s="139"/>
      <c r="AC547" s="173"/>
      <c r="AD547" s="177"/>
      <c r="AE547" s="177"/>
      <c r="AF547" s="139"/>
      <c r="AG547" s="139"/>
      <c r="AH547" s="177"/>
      <c r="AI547" s="178"/>
      <c r="AJ547" s="139"/>
      <c r="AK547" s="173"/>
      <c r="AL547" s="177"/>
      <c r="AM547" s="178"/>
      <c r="AN547" s="173"/>
      <c r="AO547" s="173"/>
      <c r="AP547" s="173"/>
      <c r="AQ547" s="178"/>
      <c r="AR547" s="173"/>
      <c r="AS547" s="173"/>
      <c r="AT547" s="140"/>
      <c r="AX547" s="140"/>
      <c r="BB547" s="173"/>
      <c r="BC547" s="173"/>
    </row>
    <row r="548" spans="2:55" s="134" customFormat="1" x14ac:dyDescent="0.2">
      <c r="B548" s="145"/>
      <c r="D548" s="145"/>
      <c r="Z548" s="177"/>
      <c r="AA548" s="178"/>
      <c r="AB548" s="139"/>
      <c r="AC548" s="173"/>
      <c r="AD548" s="177"/>
      <c r="AE548" s="177"/>
      <c r="AF548" s="139"/>
      <c r="AG548" s="139"/>
      <c r="AH548" s="177"/>
      <c r="AI548" s="178"/>
      <c r="AJ548" s="139"/>
      <c r="AK548" s="173"/>
      <c r="AL548" s="177"/>
      <c r="AM548" s="178"/>
      <c r="AN548" s="173"/>
      <c r="AO548" s="173"/>
      <c r="AP548" s="173"/>
      <c r="AQ548" s="178"/>
      <c r="AR548" s="173"/>
      <c r="AS548" s="173"/>
      <c r="AT548" s="140"/>
      <c r="AX548" s="140"/>
      <c r="BB548" s="173"/>
      <c r="BC548" s="173"/>
    </row>
    <row r="549" spans="2:55" s="134" customFormat="1" x14ac:dyDescent="0.2">
      <c r="B549" s="145"/>
      <c r="D549" s="145"/>
      <c r="Z549" s="177"/>
      <c r="AA549" s="178"/>
      <c r="AB549" s="139"/>
      <c r="AC549" s="173"/>
      <c r="AD549" s="177"/>
      <c r="AE549" s="177"/>
      <c r="AF549" s="139"/>
      <c r="AG549" s="139"/>
      <c r="AH549" s="177"/>
      <c r="AI549" s="178"/>
      <c r="AJ549" s="139"/>
      <c r="AK549" s="173"/>
      <c r="AL549" s="177"/>
      <c r="AM549" s="178"/>
      <c r="AN549" s="173"/>
      <c r="AO549" s="173"/>
      <c r="AP549" s="173"/>
      <c r="AQ549" s="178"/>
      <c r="AR549" s="173"/>
      <c r="AS549" s="173"/>
      <c r="AT549" s="140"/>
      <c r="AX549" s="140"/>
      <c r="BB549" s="173"/>
      <c r="BC549" s="173"/>
    </row>
    <row r="550" spans="2:55" s="134" customFormat="1" x14ac:dyDescent="0.2">
      <c r="B550" s="145"/>
      <c r="D550" s="145"/>
      <c r="Z550" s="177"/>
      <c r="AA550" s="178"/>
      <c r="AB550" s="139"/>
      <c r="AC550" s="173"/>
      <c r="AD550" s="177"/>
      <c r="AE550" s="177"/>
      <c r="AF550" s="139"/>
      <c r="AG550" s="139"/>
      <c r="AH550" s="177"/>
      <c r="AI550" s="178"/>
      <c r="AJ550" s="139"/>
      <c r="AK550" s="173"/>
      <c r="AL550" s="177"/>
      <c r="AM550" s="178"/>
      <c r="AN550" s="173"/>
      <c r="AO550" s="173"/>
      <c r="AP550" s="173"/>
      <c r="AQ550" s="178"/>
      <c r="AR550" s="173"/>
      <c r="AS550" s="173"/>
      <c r="AT550" s="140"/>
      <c r="AX550" s="140"/>
      <c r="BB550" s="173"/>
      <c r="BC550" s="173"/>
    </row>
    <row r="551" spans="2:55" s="134" customFormat="1" x14ac:dyDescent="0.2">
      <c r="B551" s="145"/>
      <c r="D551" s="145"/>
      <c r="Z551" s="177"/>
      <c r="AA551" s="178"/>
      <c r="AB551" s="139"/>
      <c r="AC551" s="173"/>
      <c r="AD551" s="177"/>
      <c r="AE551" s="177"/>
      <c r="AF551" s="139"/>
      <c r="AG551" s="139"/>
      <c r="AH551" s="177"/>
      <c r="AI551" s="178"/>
      <c r="AJ551" s="139"/>
      <c r="AK551" s="173"/>
      <c r="AL551" s="177"/>
      <c r="AM551" s="178"/>
      <c r="AN551" s="173"/>
      <c r="AO551" s="173"/>
      <c r="AP551" s="173"/>
      <c r="AQ551" s="178"/>
      <c r="AR551" s="173"/>
      <c r="AS551" s="173"/>
      <c r="AT551" s="140"/>
      <c r="AX551" s="140"/>
      <c r="BB551" s="173"/>
      <c r="BC551" s="173"/>
    </row>
    <row r="552" spans="2:55" s="134" customFormat="1" x14ac:dyDescent="0.2">
      <c r="B552" s="145"/>
      <c r="D552" s="145"/>
      <c r="Z552" s="177"/>
      <c r="AA552" s="178"/>
      <c r="AB552" s="139"/>
      <c r="AC552" s="173"/>
      <c r="AD552" s="177"/>
      <c r="AE552" s="177"/>
      <c r="AF552" s="139"/>
      <c r="AG552" s="139"/>
      <c r="AH552" s="177"/>
      <c r="AI552" s="178"/>
      <c r="AJ552" s="139"/>
      <c r="AK552" s="173"/>
      <c r="AL552" s="177"/>
      <c r="AM552" s="178"/>
      <c r="AN552" s="173"/>
      <c r="AO552" s="173"/>
      <c r="AP552" s="173"/>
      <c r="AQ552" s="178"/>
      <c r="AR552" s="173"/>
      <c r="AS552" s="173"/>
      <c r="AT552" s="140"/>
      <c r="AX552" s="140"/>
      <c r="BB552" s="173"/>
      <c r="BC552" s="173"/>
    </row>
    <row r="553" spans="2:55" s="134" customFormat="1" x14ac:dyDescent="0.2">
      <c r="B553" s="145"/>
      <c r="D553" s="145"/>
      <c r="Z553" s="177"/>
      <c r="AA553" s="178"/>
      <c r="AB553" s="139"/>
      <c r="AC553" s="173"/>
      <c r="AD553" s="177"/>
      <c r="AE553" s="177"/>
      <c r="AF553" s="139"/>
      <c r="AG553" s="139"/>
      <c r="AH553" s="177"/>
      <c r="AI553" s="178"/>
      <c r="AJ553" s="139"/>
      <c r="AK553" s="173"/>
      <c r="AL553" s="177"/>
      <c r="AM553" s="178"/>
      <c r="AN553" s="173"/>
      <c r="AO553" s="173"/>
      <c r="AP553" s="173"/>
      <c r="AQ553" s="178"/>
      <c r="AR553" s="173"/>
      <c r="AS553" s="173"/>
      <c r="AT553" s="140"/>
      <c r="AX553" s="140"/>
      <c r="BB553" s="173"/>
      <c r="BC553" s="173"/>
    </row>
    <row r="554" spans="2:55" s="134" customFormat="1" x14ac:dyDescent="0.2">
      <c r="B554" s="145"/>
      <c r="D554" s="145"/>
      <c r="Z554" s="177"/>
      <c r="AA554" s="178"/>
      <c r="AB554" s="139"/>
      <c r="AC554" s="173"/>
      <c r="AD554" s="177"/>
      <c r="AE554" s="177"/>
      <c r="AF554" s="139"/>
      <c r="AG554" s="139"/>
      <c r="AH554" s="177"/>
      <c r="AI554" s="178"/>
      <c r="AJ554" s="139"/>
      <c r="AK554" s="173"/>
      <c r="AL554" s="177"/>
      <c r="AM554" s="178"/>
      <c r="AN554" s="173"/>
      <c r="AO554" s="173"/>
      <c r="AP554" s="173"/>
      <c r="AQ554" s="178"/>
      <c r="AR554" s="173"/>
      <c r="AS554" s="173"/>
      <c r="AT554" s="140"/>
      <c r="AX554" s="140"/>
      <c r="BB554" s="173"/>
      <c r="BC554" s="173"/>
    </row>
    <row r="555" spans="2:55" s="134" customFormat="1" x14ac:dyDescent="0.2">
      <c r="B555" s="145"/>
      <c r="D555" s="145"/>
      <c r="Z555" s="177"/>
      <c r="AA555" s="178"/>
      <c r="AB555" s="139"/>
      <c r="AC555" s="173"/>
      <c r="AD555" s="177"/>
      <c r="AE555" s="177"/>
      <c r="AF555" s="139"/>
      <c r="AG555" s="139"/>
      <c r="AH555" s="177"/>
      <c r="AI555" s="178"/>
      <c r="AJ555" s="139"/>
      <c r="AK555" s="173"/>
      <c r="AL555" s="177"/>
      <c r="AM555" s="178"/>
      <c r="AN555" s="173"/>
      <c r="AO555" s="173"/>
      <c r="AP555" s="173"/>
      <c r="AQ555" s="178"/>
      <c r="AR555" s="173"/>
      <c r="AS555" s="173"/>
      <c r="AT555" s="140"/>
      <c r="AX555" s="140"/>
      <c r="BB555" s="173"/>
      <c r="BC555" s="173"/>
    </row>
    <row r="556" spans="2:55" s="134" customFormat="1" x14ac:dyDescent="0.2">
      <c r="B556" s="145"/>
      <c r="D556" s="145"/>
      <c r="Z556" s="177"/>
      <c r="AA556" s="178"/>
      <c r="AB556" s="139"/>
      <c r="AC556" s="173"/>
      <c r="AD556" s="177"/>
      <c r="AE556" s="177"/>
      <c r="AF556" s="139"/>
      <c r="AG556" s="139"/>
      <c r="AH556" s="177"/>
      <c r="AI556" s="178"/>
      <c r="AJ556" s="139"/>
      <c r="AK556" s="173"/>
      <c r="AL556" s="177"/>
      <c r="AM556" s="178"/>
      <c r="AN556" s="173"/>
      <c r="AO556" s="173"/>
      <c r="AP556" s="173"/>
      <c r="AQ556" s="178"/>
      <c r="AR556" s="173"/>
      <c r="AS556" s="173"/>
      <c r="AT556" s="140"/>
      <c r="AX556" s="140"/>
      <c r="BB556" s="173"/>
      <c r="BC556" s="173"/>
    </row>
    <row r="557" spans="2:55" s="134" customFormat="1" x14ac:dyDescent="0.2">
      <c r="B557" s="145"/>
      <c r="D557" s="145"/>
      <c r="Z557" s="177"/>
      <c r="AA557" s="178"/>
      <c r="AB557" s="139"/>
      <c r="AC557" s="173"/>
      <c r="AD557" s="177"/>
      <c r="AE557" s="177"/>
      <c r="AF557" s="139"/>
      <c r="AG557" s="139"/>
      <c r="AH557" s="177"/>
      <c r="AI557" s="178"/>
      <c r="AJ557" s="139"/>
      <c r="AK557" s="173"/>
      <c r="AL557" s="177"/>
      <c r="AM557" s="178"/>
      <c r="AN557" s="173"/>
      <c r="AO557" s="173"/>
      <c r="AP557" s="173"/>
      <c r="AQ557" s="178"/>
      <c r="AR557" s="173"/>
      <c r="AS557" s="173"/>
      <c r="AT557" s="140"/>
      <c r="AX557" s="140"/>
      <c r="BB557" s="173"/>
      <c r="BC557" s="173"/>
    </row>
    <row r="558" spans="2:55" s="134" customFormat="1" x14ac:dyDescent="0.2">
      <c r="B558" s="145"/>
      <c r="D558" s="145"/>
      <c r="Z558" s="177"/>
      <c r="AA558" s="178"/>
      <c r="AB558" s="139"/>
      <c r="AC558" s="173"/>
      <c r="AD558" s="177"/>
      <c r="AE558" s="177"/>
      <c r="AF558" s="139"/>
      <c r="AG558" s="139"/>
      <c r="AH558" s="177"/>
      <c r="AI558" s="178"/>
      <c r="AJ558" s="139"/>
      <c r="AK558" s="173"/>
      <c r="AL558" s="177"/>
      <c r="AM558" s="178"/>
      <c r="AN558" s="173"/>
      <c r="AO558" s="173"/>
      <c r="AP558" s="173"/>
      <c r="AQ558" s="178"/>
      <c r="AR558" s="173"/>
      <c r="AS558" s="173"/>
      <c r="AT558" s="140"/>
      <c r="AX558" s="140"/>
      <c r="BB558" s="173"/>
      <c r="BC558" s="173"/>
    </row>
    <row r="559" spans="2:55" s="134" customFormat="1" x14ac:dyDescent="0.2">
      <c r="B559" s="145"/>
      <c r="D559" s="145"/>
      <c r="Z559" s="177"/>
      <c r="AA559" s="178"/>
      <c r="AB559" s="139"/>
      <c r="AC559" s="173"/>
      <c r="AD559" s="177"/>
      <c r="AE559" s="177"/>
      <c r="AF559" s="139"/>
      <c r="AG559" s="139"/>
      <c r="AH559" s="177"/>
      <c r="AI559" s="178"/>
      <c r="AJ559" s="139"/>
      <c r="AK559" s="173"/>
      <c r="AL559" s="177"/>
      <c r="AM559" s="178"/>
      <c r="AN559" s="173"/>
      <c r="AO559" s="173"/>
      <c r="AP559" s="173"/>
      <c r="AQ559" s="178"/>
      <c r="AR559" s="173"/>
      <c r="AS559" s="173"/>
      <c r="AT559" s="140"/>
      <c r="AX559" s="140"/>
      <c r="BB559" s="173"/>
      <c r="BC559" s="173"/>
    </row>
    <row r="560" spans="2:55" s="134" customFormat="1" x14ac:dyDescent="0.2">
      <c r="B560" s="145"/>
      <c r="D560" s="145"/>
      <c r="Z560" s="177"/>
      <c r="AA560" s="178"/>
      <c r="AB560" s="139"/>
      <c r="AC560" s="173"/>
      <c r="AD560" s="177"/>
      <c r="AE560" s="177"/>
      <c r="AF560" s="139"/>
      <c r="AG560" s="139"/>
      <c r="AH560" s="177"/>
      <c r="AI560" s="178"/>
      <c r="AJ560" s="139"/>
      <c r="AK560" s="173"/>
      <c r="AL560" s="177"/>
      <c r="AM560" s="178"/>
      <c r="AN560" s="173"/>
      <c r="AO560" s="173"/>
      <c r="AP560" s="173"/>
      <c r="AQ560" s="178"/>
      <c r="AR560" s="173"/>
      <c r="AS560" s="173"/>
      <c r="AT560" s="140"/>
      <c r="AX560" s="140"/>
      <c r="BB560" s="173"/>
      <c r="BC560" s="173"/>
    </row>
    <row r="561" spans="2:55" s="134" customFormat="1" x14ac:dyDescent="0.2">
      <c r="B561" s="145"/>
      <c r="D561" s="145"/>
      <c r="Z561" s="177"/>
      <c r="AA561" s="178"/>
      <c r="AB561" s="139"/>
      <c r="AC561" s="173"/>
      <c r="AD561" s="177"/>
      <c r="AE561" s="177"/>
      <c r="AF561" s="139"/>
      <c r="AG561" s="139"/>
      <c r="AH561" s="177"/>
      <c r="AI561" s="178"/>
      <c r="AJ561" s="139"/>
      <c r="AK561" s="173"/>
      <c r="AL561" s="177"/>
      <c r="AM561" s="178"/>
      <c r="AN561" s="173"/>
      <c r="AO561" s="173"/>
      <c r="AP561" s="173"/>
      <c r="AQ561" s="178"/>
      <c r="AR561" s="173"/>
      <c r="AS561" s="173"/>
      <c r="AT561" s="140"/>
      <c r="AX561" s="140"/>
      <c r="BB561" s="173"/>
      <c r="BC561" s="173"/>
    </row>
    <row r="562" spans="2:55" s="134" customFormat="1" x14ac:dyDescent="0.2">
      <c r="B562" s="145"/>
      <c r="D562" s="145"/>
      <c r="Z562" s="177"/>
      <c r="AA562" s="178"/>
      <c r="AB562" s="139"/>
      <c r="AC562" s="173"/>
      <c r="AD562" s="177"/>
      <c r="AE562" s="177"/>
      <c r="AF562" s="139"/>
      <c r="AG562" s="139"/>
      <c r="AH562" s="177"/>
      <c r="AI562" s="178"/>
      <c r="AJ562" s="139"/>
      <c r="AK562" s="173"/>
      <c r="AL562" s="177"/>
      <c r="AM562" s="178"/>
      <c r="AN562" s="173"/>
      <c r="AO562" s="173"/>
      <c r="AP562" s="173"/>
      <c r="AQ562" s="178"/>
      <c r="AR562" s="173"/>
      <c r="AS562" s="173"/>
      <c r="AT562" s="140"/>
      <c r="AX562" s="140"/>
      <c r="BB562" s="173"/>
      <c r="BC562" s="173"/>
    </row>
    <row r="563" spans="2:55" s="134" customFormat="1" x14ac:dyDescent="0.2">
      <c r="B563" s="145"/>
      <c r="D563" s="145"/>
      <c r="Z563" s="177"/>
      <c r="AA563" s="178"/>
      <c r="AB563" s="139"/>
      <c r="AC563" s="173"/>
      <c r="AD563" s="177"/>
      <c r="AE563" s="177"/>
      <c r="AF563" s="139"/>
      <c r="AG563" s="139"/>
      <c r="AH563" s="177"/>
      <c r="AI563" s="178"/>
      <c r="AJ563" s="139"/>
      <c r="AK563" s="173"/>
      <c r="AL563" s="177"/>
      <c r="AM563" s="178"/>
      <c r="AN563" s="173"/>
      <c r="AO563" s="173"/>
      <c r="AP563" s="173"/>
      <c r="AQ563" s="178"/>
      <c r="AR563" s="173"/>
      <c r="AS563" s="173"/>
      <c r="AT563" s="140"/>
      <c r="AX563" s="140"/>
      <c r="BB563" s="173"/>
      <c r="BC563" s="173"/>
    </row>
    <row r="564" spans="2:55" s="134" customFormat="1" x14ac:dyDescent="0.2">
      <c r="B564" s="145"/>
      <c r="D564" s="145"/>
      <c r="Z564" s="177"/>
      <c r="AA564" s="178"/>
      <c r="AB564" s="139"/>
      <c r="AC564" s="173"/>
      <c r="AD564" s="177"/>
      <c r="AE564" s="177"/>
      <c r="AF564" s="139"/>
      <c r="AG564" s="139"/>
      <c r="AH564" s="177"/>
      <c r="AI564" s="178"/>
      <c r="AJ564" s="139"/>
      <c r="AK564" s="173"/>
      <c r="AL564" s="177"/>
      <c r="AM564" s="178"/>
      <c r="AN564" s="173"/>
      <c r="AO564" s="173"/>
      <c r="AP564" s="173"/>
      <c r="AQ564" s="178"/>
      <c r="AR564" s="173"/>
      <c r="AS564" s="173"/>
      <c r="AT564" s="140"/>
      <c r="AX564" s="140"/>
      <c r="BB564" s="173"/>
      <c r="BC564" s="173"/>
    </row>
    <row r="565" spans="2:55" s="134" customFormat="1" x14ac:dyDescent="0.2">
      <c r="B565" s="145"/>
      <c r="D565" s="145"/>
      <c r="Z565" s="177"/>
      <c r="AA565" s="178"/>
      <c r="AB565" s="139"/>
      <c r="AC565" s="173"/>
      <c r="AD565" s="177"/>
      <c r="AE565" s="177"/>
      <c r="AF565" s="139"/>
      <c r="AG565" s="139"/>
      <c r="AH565" s="177"/>
      <c r="AI565" s="178"/>
      <c r="AJ565" s="139"/>
      <c r="AK565" s="173"/>
      <c r="AL565" s="177"/>
      <c r="AM565" s="178"/>
      <c r="AN565" s="173"/>
      <c r="AO565" s="173"/>
      <c r="AP565" s="173"/>
      <c r="AQ565" s="178"/>
      <c r="AR565" s="173"/>
      <c r="AS565" s="173"/>
      <c r="AT565" s="140"/>
      <c r="AX565" s="140"/>
      <c r="BB565" s="173"/>
      <c r="BC565" s="173"/>
    </row>
    <row r="566" spans="2:55" s="134" customFormat="1" x14ac:dyDescent="0.2">
      <c r="B566" s="145"/>
      <c r="D566" s="145"/>
      <c r="Z566" s="177"/>
      <c r="AA566" s="178"/>
      <c r="AB566" s="139"/>
      <c r="AC566" s="173"/>
      <c r="AD566" s="177"/>
      <c r="AE566" s="177"/>
      <c r="AF566" s="139"/>
      <c r="AG566" s="139"/>
      <c r="AH566" s="177"/>
      <c r="AI566" s="178"/>
      <c r="AJ566" s="139"/>
      <c r="AK566" s="173"/>
      <c r="AL566" s="177"/>
      <c r="AM566" s="178"/>
      <c r="AN566" s="173"/>
      <c r="AO566" s="173"/>
      <c r="AP566" s="173"/>
      <c r="AQ566" s="178"/>
      <c r="AR566" s="173"/>
      <c r="AS566" s="173"/>
      <c r="AT566" s="140"/>
      <c r="AX566" s="140"/>
      <c r="BB566" s="173"/>
      <c r="BC566" s="173"/>
    </row>
    <row r="567" spans="2:55" s="134" customFormat="1" x14ac:dyDescent="0.2">
      <c r="B567" s="145"/>
      <c r="D567" s="145"/>
      <c r="Z567" s="177"/>
      <c r="AA567" s="178"/>
      <c r="AB567" s="139"/>
      <c r="AC567" s="173"/>
      <c r="AD567" s="177"/>
      <c r="AE567" s="177"/>
      <c r="AF567" s="139"/>
      <c r="AG567" s="139"/>
      <c r="AH567" s="177"/>
      <c r="AI567" s="178"/>
      <c r="AJ567" s="139"/>
      <c r="AK567" s="173"/>
      <c r="AL567" s="177"/>
      <c r="AM567" s="178"/>
      <c r="AN567" s="173"/>
      <c r="AO567" s="173"/>
      <c r="AP567" s="173"/>
      <c r="AQ567" s="178"/>
      <c r="AR567" s="173"/>
      <c r="AS567" s="173"/>
      <c r="AT567" s="140"/>
      <c r="AX567" s="140"/>
      <c r="BB567" s="173"/>
      <c r="BC567" s="173"/>
    </row>
    <row r="568" spans="2:55" s="134" customFormat="1" x14ac:dyDescent="0.2">
      <c r="B568" s="145"/>
      <c r="D568" s="145"/>
      <c r="Z568" s="177"/>
      <c r="AA568" s="178"/>
      <c r="AB568" s="139"/>
      <c r="AC568" s="173"/>
      <c r="AD568" s="177"/>
      <c r="AE568" s="177"/>
      <c r="AF568" s="139"/>
      <c r="AG568" s="139"/>
      <c r="AH568" s="177"/>
      <c r="AI568" s="178"/>
      <c r="AJ568" s="139"/>
      <c r="AK568" s="173"/>
      <c r="AL568" s="177"/>
      <c r="AM568" s="178"/>
      <c r="AN568" s="173"/>
      <c r="AO568" s="173"/>
      <c r="AP568" s="173"/>
      <c r="AQ568" s="178"/>
      <c r="AR568" s="173"/>
      <c r="AS568" s="173"/>
      <c r="AT568" s="140"/>
      <c r="AX568" s="140"/>
      <c r="BB568" s="173"/>
      <c r="BC568" s="173"/>
    </row>
    <row r="569" spans="2:55" s="134" customFormat="1" x14ac:dyDescent="0.2">
      <c r="B569" s="145"/>
      <c r="D569" s="145"/>
      <c r="Z569" s="177"/>
      <c r="AA569" s="178"/>
      <c r="AB569" s="139"/>
      <c r="AC569" s="173"/>
      <c r="AD569" s="177"/>
      <c r="AE569" s="177"/>
      <c r="AF569" s="139"/>
      <c r="AG569" s="139"/>
      <c r="AH569" s="177"/>
      <c r="AI569" s="178"/>
      <c r="AJ569" s="139"/>
      <c r="AK569" s="173"/>
      <c r="AL569" s="177"/>
      <c r="AM569" s="178"/>
      <c r="AN569" s="173"/>
      <c r="AO569" s="173"/>
      <c r="AP569" s="173"/>
      <c r="AQ569" s="178"/>
      <c r="AR569" s="173"/>
      <c r="AS569" s="173"/>
      <c r="AT569" s="140"/>
      <c r="AX569" s="140"/>
      <c r="BB569" s="173"/>
      <c r="BC569" s="173"/>
    </row>
    <row r="570" spans="2:55" s="134" customFormat="1" x14ac:dyDescent="0.2">
      <c r="B570" s="145"/>
      <c r="D570" s="145"/>
      <c r="Z570" s="177"/>
      <c r="AA570" s="178"/>
      <c r="AB570" s="139"/>
      <c r="AC570" s="173"/>
      <c r="AD570" s="177"/>
      <c r="AE570" s="177"/>
      <c r="AF570" s="139"/>
      <c r="AG570" s="139"/>
      <c r="AH570" s="177"/>
      <c r="AI570" s="178"/>
      <c r="AJ570" s="139"/>
      <c r="AK570" s="173"/>
      <c r="AL570" s="177"/>
      <c r="AM570" s="178"/>
      <c r="AN570" s="173"/>
      <c r="AO570" s="173"/>
      <c r="AP570" s="173"/>
      <c r="AQ570" s="178"/>
      <c r="AR570" s="173"/>
      <c r="AS570" s="173"/>
      <c r="AT570" s="140"/>
      <c r="AX570" s="140"/>
      <c r="BB570" s="173"/>
      <c r="BC570" s="173"/>
    </row>
    <row r="571" spans="2:55" s="134" customFormat="1" x14ac:dyDescent="0.2">
      <c r="B571" s="145"/>
      <c r="D571" s="145"/>
      <c r="Z571" s="177"/>
      <c r="AA571" s="178"/>
      <c r="AB571" s="139"/>
      <c r="AC571" s="173"/>
      <c r="AD571" s="177"/>
      <c r="AE571" s="177"/>
      <c r="AF571" s="139"/>
      <c r="AG571" s="139"/>
      <c r="AH571" s="177"/>
      <c r="AI571" s="178"/>
      <c r="AJ571" s="139"/>
      <c r="AK571" s="173"/>
      <c r="AL571" s="177"/>
      <c r="AM571" s="178"/>
      <c r="AN571" s="173"/>
      <c r="AO571" s="173"/>
      <c r="AP571" s="173"/>
      <c r="AQ571" s="178"/>
      <c r="AR571" s="173"/>
      <c r="AS571" s="173"/>
      <c r="AT571" s="140"/>
      <c r="AX571" s="140"/>
      <c r="BB571" s="173"/>
      <c r="BC571" s="173"/>
    </row>
    <row r="572" spans="2:55" s="134" customFormat="1" x14ac:dyDescent="0.2">
      <c r="B572" s="145"/>
      <c r="D572" s="145"/>
      <c r="Z572" s="177"/>
      <c r="AA572" s="178"/>
      <c r="AB572" s="139"/>
      <c r="AC572" s="173"/>
      <c r="AD572" s="177"/>
      <c r="AE572" s="177"/>
      <c r="AF572" s="139"/>
      <c r="AG572" s="139"/>
      <c r="AH572" s="177"/>
      <c r="AI572" s="178"/>
      <c r="AJ572" s="139"/>
      <c r="AK572" s="173"/>
      <c r="AL572" s="177"/>
      <c r="AM572" s="178"/>
      <c r="AN572" s="173"/>
      <c r="AO572" s="173"/>
      <c r="AP572" s="173"/>
      <c r="AQ572" s="178"/>
      <c r="AR572" s="173"/>
      <c r="AS572" s="173"/>
      <c r="AT572" s="140"/>
      <c r="AX572" s="140"/>
      <c r="BB572" s="173"/>
      <c r="BC572" s="173"/>
    </row>
    <row r="573" spans="2:55" s="134" customFormat="1" x14ac:dyDescent="0.2">
      <c r="B573" s="145"/>
      <c r="D573" s="145"/>
      <c r="Z573" s="177"/>
      <c r="AA573" s="178"/>
      <c r="AB573" s="139"/>
      <c r="AC573" s="173"/>
      <c r="AD573" s="177"/>
      <c r="AE573" s="177"/>
      <c r="AF573" s="139"/>
      <c r="AG573" s="139"/>
      <c r="AH573" s="177"/>
      <c r="AI573" s="178"/>
      <c r="AJ573" s="139"/>
      <c r="AK573" s="173"/>
      <c r="AL573" s="177"/>
      <c r="AM573" s="178"/>
      <c r="AN573" s="173"/>
      <c r="AO573" s="173"/>
      <c r="AP573" s="173"/>
      <c r="AQ573" s="178"/>
      <c r="AR573" s="173"/>
      <c r="AS573" s="173"/>
      <c r="AT573" s="140"/>
      <c r="AX573" s="140"/>
      <c r="BB573" s="173"/>
      <c r="BC573" s="173"/>
    </row>
    <row r="574" spans="2:55" s="134" customFormat="1" x14ac:dyDescent="0.2">
      <c r="B574" s="145"/>
      <c r="D574" s="145"/>
      <c r="Z574" s="177"/>
      <c r="AA574" s="178"/>
      <c r="AB574" s="139"/>
      <c r="AC574" s="173"/>
      <c r="AD574" s="177"/>
      <c r="AE574" s="177"/>
      <c r="AF574" s="139"/>
      <c r="AG574" s="139"/>
      <c r="AH574" s="177"/>
      <c r="AI574" s="178"/>
      <c r="AJ574" s="139"/>
      <c r="AK574" s="173"/>
      <c r="AL574" s="177"/>
      <c r="AM574" s="178"/>
      <c r="AN574" s="173"/>
      <c r="AO574" s="173"/>
      <c r="AP574" s="173"/>
      <c r="AQ574" s="178"/>
      <c r="AR574" s="173"/>
      <c r="AS574" s="173"/>
      <c r="AT574" s="140"/>
      <c r="AX574" s="140"/>
      <c r="BB574" s="173"/>
      <c r="BC574" s="173"/>
    </row>
    <row r="575" spans="2:55" s="134" customFormat="1" x14ac:dyDescent="0.2">
      <c r="B575" s="145"/>
      <c r="D575" s="145"/>
      <c r="Z575" s="177"/>
      <c r="AA575" s="178"/>
      <c r="AB575" s="139"/>
      <c r="AC575" s="173"/>
      <c r="AD575" s="177"/>
      <c r="AE575" s="177"/>
      <c r="AF575" s="139"/>
      <c r="AG575" s="139"/>
      <c r="AH575" s="177"/>
      <c r="AI575" s="178"/>
      <c r="AJ575" s="139"/>
      <c r="AK575" s="173"/>
      <c r="AL575" s="177"/>
      <c r="AM575" s="178"/>
      <c r="AN575" s="173"/>
      <c r="AO575" s="173"/>
      <c r="AP575" s="173"/>
      <c r="AQ575" s="178"/>
      <c r="AR575" s="173"/>
      <c r="AS575" s="173"/>
      <c r="AT575" s="140"/>
      <c r="AX575" s="140"/>
      <c r="BB575" s="173"/>
      <c r="BC575" s="173"/>
    </row>
    <row r="576" spans="2:55" s="134" customFormat="1" x14ac:dyDescent="0.2">
      <c r="B576" s="145"/>
      <c r="D576" s="145"/>
      <c r="Z576" s="177"/>
      <c r="AA576" s="178"/>
      <c r="AB576" s="139"/>
      <c r="AC576" s="173"/>
      <c r="AD576" s="177"/>
      <c r="AE576" s="177"/>
      <c r="AF576" s="139"/>
      <c r="AG576" s="139"/>
      <c r="AH576" s="177"/>
      <c r="AI576" s="178"/>
      <c r="AJ576" s="139"/>
      <c r="AK576" s="173"/>
      <c r="AL576" s="177"/>
      <c r="AM576" s="178"/>
      <c r="AN576" s="173"/>
      <c r="AO576" s="173"/>
      <c r="AP576" s="173"/>
      <c r="AQ576" s="178"/>
      <c r="AR576" s="173"/>
      <c r="AS576" s="173"/>
      <c r="AT576" s="140"/>
      <c r="AX576" s="140"/>
      <c r="BB576" s="173"/>
      <c r="BC576" s="173"/>
    </row>
    <row r="577" spans="2:55" s="134" customFormat="1" x14ac:dyDescent="0.2">
      <c r="B577" s="145"/>
      <c r="D577" s="145"/>
      <c r="Z577" s="177"/>
      <c r="AA577" s="178"/>
      <c r="AB577" s="139"/>
      <c r="AC577" s="173"/>
      <c r="AD577" s="177"/>
      <c r="AE577" s="177"/>
      <c r="AF577" s="139"/>
      <c r="AG577" s="139"/>
      <c r="AH577" s="177"/>
      <c r="AI577" s="178"/>
      <c r="AJ577" s="139"/>
      <c r="AK577" s="173"/>
      <c r="AL577" s="177"/>
      <c r="AM577" s="178"/>
      <c r="AN577" s="173"/>
      <c r="AO577" s="173"/>
      <c r="AP577" s="173"/>
      <c r="AQ577" s="178"/>
      <c r="AR577" s="173"/>
      <c r="AS577" s="173"/>
      <c r="AT577" s="140"/>
      <c r="AX577" s="140"/>
      <c r="BB577" s="173"/>
      <c r="BC577" s="173"/>
    </row>
    <row r="578" spans="2:55" s="134" customFormat="1" x14ac:dyDescent="0.2">
      <c r="B578" s="145"/>
      <c r="D578" s="145"/>
      <c r="Z578" s="177"/>
      <c r="AA578" s="178"/>
      <c r="AB578" s="139"/>
      <c r="AC578" s="173"/>
      <c r="AD578" s="177"/>
      <c r="AE578" s="177"/>
      <c r="AF578" s="139"/>
      <c r="AG578" s="139"/>
      <c r="AH578" s="177"/>
      <c r="AI578" s="178"/>
      <c r="AJ578" s="139"/>
      <c r="AK578" s="173"/>
      <c r="AL578" s="177"/>
      <c r="AM578" s="178"/>
      <c r="AN578" s="173"/>
      <c r="AO578" s="173"/>
      <c r="AP578" s="173"/>
      <c r="AQ578" s="178"/>
      <c r="AR578" s="173"/>
      <c r="AS578" s="173"/>
      <c r="AT578" s="140"/>
      <c r="AX578" s="140"/>
      <c r="BB578" s="173"/>
      <c r="BC578" s="173"/>
    </row>
    <row r="579" spans="2:55" s="134" customFormat="1" x14ac:dyDescent="0.2">
      <c r="B579" s="145"/>
      <c r="D579" s="145"/>
      <c r="Z579" s="177"/>
      <c r="AA579" s="178"/>
      <c r="AB579" s="139"/>
      <c r="AC579" s="173"/>
      <c r="AD579" s="177"/>
      <c r="AE579" s="177"/>
      <c r="AF579" s="139"/>
      <c r="AG579" s="139"/>
      <c r="AH579" s="177"/>
      <c r="AI579" s="178"/>
      <c r="AJ579" s="139"/>
      <c r="AK579" s="173"/>
      <c r="AL579" s="177"/>
      <c r="AM579" s="178"/>
      <c r="AN579" s="173"/>
      <c r="AO579" s="173"/>
      <c r="AP579" s="173"/>
      <c r="AQ579" s="178"/>
      <c r="AR579" s="173"/>
      <c r="AS579" s="173"/>
      <c r="AT579" s="140"/>
      <c r="AX579" s="140"/>
      <c r="BB579" s="173"/>
      <c r="BC579" s="173"/>
    </row>
    <row r="580" spans="2:55" s="134" customFormat="1" x14ac:dyDescent="0.2">
      <c r="B580" s="145"/>
      <c r="D580" s="145"/>
      <c r="Z580" s="177"/>
      <c r="AA580" s="178"/>
      <c r="AB580" s="139"/>
      <c r="AC580" s="173"/>
      <c r="AD580" s="177"/>
      <c r="AE580" s="177"/>
      <c r="AF580" s="139"/>
      <c r="AG580" s="139"/>
      <c r="AH580" s="177"/>
      <c r="AI580" s="178"/>
      <c r="AJ580" s="139"/>
      <c r="AK580" s="173"/>
      <c r="AL580" s="177"/>
      <c r="AM580" s="178"/>
      <c r="AN580" s="173"/>
      <c r="AO580" s="173"/>
      <c r="AP580" s="173"/>
      <c r="AQ580" s="178"/>
      <c r="AR580" s="173"/>
      <c r="AS580" s="173"/>
      <c r="AT580" s="140"/>
      <c r="AX580" s="140"/>
      <c r="BB580" s="173"/>
      <c r="BC580" s="173"/>
    </row>
    <row r="581" spans="2:55" s="134" customFormat="1" x14ac:dyDescent="0.2">
      <c r="B581" s="145"/>
      <c r="D581" s="145"/>
      <c r="Z581" s="177"/>
      <c r="AA581" s="178"/>
      <c r="AB581" s="139"/>
      <c r="AC581" s="173"/>
      <c r="AD581" s="177"/>
      <c r="AE581" s="177"/>
      <c r="AF581" s="139"/>
      <c r="AG581" s="139"/>
      <c r="AH581" s="177"/>
      <c r="AI581" s="178"/>
      <c r="AJ581" s="139"/>
      <c r="AK581" s="173"/>
      <c r="AL581" s="177"/>
      <c r="AM581" s="178"/>
      <c r="AN581" s="173"/>
      <c r="AO581" s="173"/>
      <c r="AP581" s="173"/>
      <c r="AQ581" s="178"/>
      <c r="AR581" s="173"/>
      <c r="AS581" s="173"/>
      <c r="AT581" s="140"/>
      <c r="AX581" s="140"/>
      <c r="BB581" s="173"/>
      <c r="BC581" s="173"/>
    </row>
    <row r="582" spans="2:55" s="134" customFormat="1" x14ac:dyDescent="0.2">
      <c r="B582" s="145"/>
      <c r="D582" s="145"/>
      <c r="Z582" s="177"/>
      <c r="AA582" s="178"/>
      <c r="AB582" s="139"/>
      <c r="AC582" s="173"/>
      <c r="AD582" s="177"/>
      <c r="AE582" s="177"/>
      <c r="AF582" s="139"/>
      <c r="AG582" s="139"/>
      <c r="AH582" s="177"/>
      <c r="AI582" s="178"/>
      <c r="AJ582" s="139"/>
      <c r="AK582" s="173"/>
      <c r="AL582" s="177"/>
      <c r="AM582" s="178"/>
      <c r="AN582" s="173"/>
      <c r="AO582" s="173"/>
      <c r="AP582" s="173"/>
      <c r="AQ582" s="178"/>
      <c r="AR582" s="173"/>
      <c r="AS582" s="173"/>
      <c r="AT582" s="140"/>
      <c r="AX582" s="140"/>
      <c r="BB582" s="173"/>
      <c r="BC582" s="173"/>
    </row>
    <row r="583" spans="2:55" s="134" customFormat="1" x14ac:dyDescent="0.2">
      <c r="B583" s="145"/>
      <c r="D583" s="145"/>
      <c r="Z583" s="177"/>
      <c r="AA583" s="178"/>
      <c r="AB583" s="139"/>
      <c r="AC583" s="173"/>
      <c r="AD583" s="177"/>
      <c r="AE583" s="177"/>
      <c r="AF583" s="139"/>
      <c r="AG583" s="139"/>
      <c r="AH583" s="177"/>
      <c r="AI583" s="178"/>
      <c r="AJ583" s="139"/>
      <c r="AK583" s="173"/>
      <c r="AL583" s="177"/>
      <c r="AM583" s="178"/>
      <c r="AN583" s="173"/>
      <c r="AO583" s="173"/>
      <c r="AP583" s="173"/>
      <c r="AQ583" s="178"/>
      <c r="AR583" s="173"/>
      <c r="AS583" s="173"/>
      <c r="AT583" s="140"/>
      <c r="AX583" s="140"/>
      <c r="BB583" s="173"/>
      <c r="BC583" s="173"/>
    </row>
    <row r="584" spans="2:55" s="134" customFormat="1" x14ac:dyDescent="0.2">
      <c r="B584" s="145"/>
      <c r="D584" s="145"/>
      <c r="Z584" s="177"/>
      <c r="AA584" s="178"/>
      <c r="AB584" s="139"/>
      <c r="AC584" s="173"/>
      <c r="AD584" s="177"/>
      <c r="AE584" s="177"/>
      <c r="AF584" s="139"/>
      <c r="AG584" s="139"/>
      <c r="AH584" s="177"/>
      <c r="AI584" s="178"/>
      <c r="AJ584" s="139"/>
      <c r="AK584" s="173"/>
      <c r="AL584" s="177"/>
      <c r="AM584" s="178"/>
      <c r="AN584" s="173"/>
      <c r="AO584" s="173"/>
      <c r="AP584" s="173"/>
      <c r="AQ584" s="178"/>
      <c r="AR584" s="173"/>
      <c r="AS584" s="173"/>
      <c r="AT584" s="140"/>
      <c r="AX584" s="140"/>
      <c r="BB584" s="173"/>
      <c r="BC584" s="173"/>
    </row>
    <row r="585" spans="2:55" s="134" customFormat="1" x14ac:dyDescent="0.2">
      <c r="B585" s="145"/>
      <c r="D585" s="145"/>
      <c r="Z585" s="177"/>
      <c r="AA585" s="178"/>
      <c r="AB585" s="139"/>
      <c r="AC585" s="173"/>
      <c r="AD585" s="177"/>
      <c r="AE585" s="177"/>
      <c r="AF585" s="139"/>
      <c r="AG585" s="139"/>
      <c r="AH585" s="177"/>
      <c r="AI585" s="178"/>
      <c r="AJ585" s="139"/>
      <c r="AK585" s="173"/>
      <c r="AL585" s="177"/>
      <c r="AM585" s="178"/>
      <c r="AN585" s="173"/>
      <c r="AO585" s="173"/>
      <c r="AP585" s="173"/>
      <c r="AQ585" s="178"/>
      <c r="AR585" s="173"/>
      <c r="AS585" s="173"/>
      <c r="AT585" s="140"/>
      <c r="AX585" s="140"/>
      <c r="BB585" s="173"/>
      <c r="BC585" s="173"/>
    </row>
    <row r="586" spans="2:55" s="134" customFormat="1" x14ac:dyDescent="0.2">
      <c r="B586" s="145"/>
      <c r="D586" s="145"/>
      <c r="Z586" s="177"/>
      <c r="AA586" s="178"/>
      <c r="AB586" s="139"/>
      <c r="AC586" s="173"/>
      <c r="AD586" s="177"/>
      <c r="AE586" s="177"/>
      <c r="AF586" s="139"/>
      <c r="AG586" s="139"/>
      <c r="AH586" s="177"/>
      <c r="AI586" s="178"/>
      <c r="AJ586" s="139"/>
      <c r="AK586" s="173"/>
      <c r="AL586" s="177"/>
      <c r="AM586" s="178"/>
      <c r="AN586" s="173"/>
      <c r="AO586" s="173"/>
      <c r="AP586" s="173"/>
      <c r="AQ586" s="178"/>
      <c r="AR586" s="173"/>
      <c r="AS586" s="173"/>
      <c r="AT586" s="140"/>
      <c r="AX586" s="140"/>
      <c r="BB586" s="173"/>
      <c r="BC586" s="173"/>
    </row>
    <row r="587" spans="2:55" s="134" customFormat="1" x14ac:dyDescent="0.2">
      <c r="B587" s="145"/>
      <c r="D587" s="145"/>
      <c r="Z587" s="177"/>
      <c r="AA587" s="178"/>
      <c r="AB587" s="139"/>
      <c r="AC587" s="173"/>
      <c r="AD587" s="177"/>
      <c r="AE587" s="177"/>
      <c r="AF587" s="139"/>
      <c r="AG587" s="139"/>
      <c r="AH587" s="177"/>
      <c r="AI587" s="178"/>
      <c r="AJ587" s="139"/>
      <c r="AK587" s="173"/>
      <c r="AL587" s="177"/>
      <c r="AM587" s="178"/>
      <c r="AN587" s="173"/>
      <c r="AO587" s="173"/>
      <c r="AP587" s="173"/>
      <c r="AQ587" s="178"/>
      <c r="AR587" s="173"/>
      <c r="AS587" s="173"/>
      <c r="AT587" s="140"/>
      <c r="AX587" s="140"/>
      <c r="BB587" s="173"/>
      <c r="BC587" s="173"/>
    </row>
    <row r="588" spans="2:55" s="134" customFormat="1" x14ac:dyDescent="0.2">
      <c r="B588" s="145"/>
      <c r="D588" s="145"/>
      <c r="Z588" s="177"/>
      <c r="AA588" s="178"/>
      <c r="AB588" s="139"/>
      <c r="AC588" s="173"/>
      <c r="AD588" s="177"/>
      <c r="AE588" s="177"/>
      <c r="AF588" s="139"/>
      <c r="AG588" s="139"/>
      <c r="AH588" s="177"/>
      <c r="AI588" s="178"/>
      <c r="AJ588" s="139"/>
      <c r="AK588" s="173"/>
      <c r="AL588" s="177"/>
      <c r="AM588" s="178"/>
      <c r="AN588" s="173"/>
      <c r="AO588" s="173"/>
      <c r="AP588" s="173"/>
      <c r="AQ588" s="178"/>
      <c r="AR588" s="173"/>
      <c r="AS588" s="173"/>
      <c r="AT588" s="140"/>
      <c r="AX588" s="140"/>
      <c r="BB588" s="173"/>
      <c r="BC588" s="173"/>
    </row>
    <row r="589" spans="2:55" s="134" customFormat="1" x14ac:dyDescent="0.2">
      <c r="B589" s="145"/>
      <c r="D589" s="145"/>
      <c r="Z589" s="177"/>
      <c r="AA589" s="178"/>
      <c r="AB589" s="139"/>
      <c r="AC589" s="173"/>
      <c r="AD589" s="177"/>
      <c r="AE589" s="177"/>
      <c r="AF589" s="139"/>
      <c r="AG589" s="139"/>
      <c r="AH589" s="177"/>
      <c r="AI589" s="178"/>
      <c r="AJ589" s="139"/>
      <c r="AK589" s="173"/>
      <c r="AL589" s="177"/>
      <c r="AM589" s="178"/>
      <c r="AN589" s="173"/>
      <c r="AO589" s="173"/>
      <c r="AP589" s="173"/>
      <c r="AQ589" s="178"/>
      <c r="AR589" s="173"/>
      <c r="AS589" s="173"/>
      <c r="AT589" s="140"/>
      <c r="AX589" s="140"/>
      <c r="BB589" s="173"/>
      <c r="BC589" s="173"/>
    </row>
    <row r="590" spans="2:55" s="134" customFormat="1" x14ac:dyDescent="0.2">
      <c r="B590" s="145"/>
      <c r="D590" s="145"/>
      <c r="Z590" s="177"/>
      <c r="AA590" s="178"/>
      <c r="AB590" s="139"/>
      <c r="AC590" s="173"/>
      <c r="AD590" s="177"/>
      <c r="AE590" s="177"/>
      <c r="AF590" s="139"/>
      <c r="AG590" s="139"/>
      <c r="AH590" s="177"/>
      <c r="AI590" s="178"/>
      <c r="AJ590" s="139"/>
      <c r="AK590" s="173"/>
      <c r="AL590" s="177"/>
      <c r="AM590" s="178"/>
      <c r="AN590" s="173"/>
      <c r="AO590" s="173"/>
      <c r="AP590" s="173"/>
      <c r="AQ590" s="178"/>
      <c r="AR590" s="173"/>
      <c r="AS590" s="173"/>
      <c r="AT590" s="140"/>
      <c r="AX590" s="140"/>
      <c r="BB590" s="173"/>
      <c r="BC590" s="173"/>
    </row>
    <row r="591" spans="2:55" s="134" customFormat="1" x14ac:dyDescent="0.2">
      <c r="B591" s="145"/>
      <c r="D591" s="145"/>
      <c r="Z591" s="177"/>
      <c r="AA591" s="178"/>
      <c r="AB591" s="139"/>
      <c r="AC591" s="173"/>
      <c r="AD591" s="177"/>
      <c r="AE591" s="177"/>
      <c r="AF591" s="139"/>
      <c r="AG591" s="139"/>
      <c r="AH591" s="177"/>
      <c r="AI591" s="178"/>
      <c r="AJ591" s="139"/>
      <c r="AK591" s="173"/>
      <c r="AL591" s="177"/>
      <c r="AM591" s="178"/>
      <c r="AN591" s="173"/>
      <c r="AO591" s="173"/>
      <c r="AP591" s="173"/>
      <c r="AQ591" s="178"/>
      <c r="AR591" s="173"/>
      <c r="AS591" s="173"/>
      <c r="AT591" s="140"/>
      <c r="AX591" s="140"/>
      <c r="BB591" s="173"/>
      <c r="BC591" s="173"/>
    </row>
    <row r="592" spans="2:55" s="134" customFormat="1" x14ac:dyDescent="0.2">
      <c r="B592" s="145"/>
      <c r="D592" s="145"/>
      <c r="Z592" s="177"/>
      <c r="AA592" s="178"/>
      <c r="AB592" s="139"/>
      <c r="AC592" s="173"/>
      <c r="AD592" s="177"/>
      <c r="AE592" s="177"/>
      <c r="AF592" s="139"/>
      <c r="AG592" s="139"/>
      <c r="AH592" s="177"/>
      <c r="AI592" s="178"/>
      <c r="AJ592" s="139"/>
      <c r="AK592" s="173"/>
      <c r="AL592" s="177"/>
      <c r="AM592" s="178"/>
      <c r="AN592" s="173"/>
      <c r="AO592" s="173"/>
      <c r="AP592" s="173"/>
      <c r="AQ592" s="178"/>
      <c r="AR592" s="173"/>
      <c r="AS592" s="173"/>
      <c r="AT592" s="140"/>
      <c r="AX592" s="140"/>
      <c r="BB592" s="173"/>
      <c r="BC592" s="173"/>
    </row>
    <row r="593" spans="2:55" s="134" customFormat="1" x14ac:dyDescent="0.2">
      <c r="B593" s="145"/>
      <c r="D593" s="145"/>
      <c r="Z593" s="177"/>
      <c r="AA593" s="178"/>
      <c r="AB593" s="139"/>
      <c r="AC593" s="173"/>
      <c r="AD593" s="177"/>
      <c r="AE593" s="177"/>
      <c r="AF593" s="139"/>
      <c r="AG593" s="139"/>
      <c r="AH593" s="177"/>
      <c r="AI593" s="178"/>
      <c r="AJ593" s="139"/>
      <c r="AK593" s="173"/>
      <c r="AL593" s="177"/>
      <c r="AM593" s="178"/>
      <c r="AN593" s="173"/>
      <c r="AO593" s="173"/>
      <c r="AP593" s="173"/>
      <c r="AQ593" s="178"/>
      <c r="AR593" s="173"/>
      <c r="AS593" s="173"/>
      <c r="AT593" s="140"/>
      <c r="AX593" s="140"/>
      <c r="BB593" s="173"/>
      <c r="BC593" s="173"/>
    </row>
    <row r="594" spans="2:55" s="134" customFormat="1" x14ac:dyDescent="0.2">
      <c r="B594" s="145"/>
      <c r="D594" s="145"/>
      <c r="Z594" s="177"/>
      <c r="AA594" s="178"/>
      <c r="AB594" s="139"/>
      <c r="AC594" s="173"/>
      <c r="AD594" s="177"/>
      <c r="AE594" s="177"/>
      <c r="AF594" s="139"/>
      <c r="AG594" s="139"/>
      <c r="AH594" s="177"/>
      <c r="AI594" s="178"/>
      <c r="AJ594" s="139"/>
      <c r="AK594" s="173"/>
      <c r="AL594" s="177"/>
      <c r="AM594" s="178"/>
      <c r="AN594" s="173"/>
      <c r="AO594" s="173"/>
      <c r="AP594" s="173"/>
      <c r="AQ594" s="178"/>
      <c r="AR594" s="173"/>
      <c r="AS594" s="173"/>
      <c r="AT594" s="140"/>
      <c r="AX594" s="140"/>
      <c r="BB594" s="173"/>
      <c r="BC594" s="173"/>
    </row>
    <row r="595" spans="2:55" s="134" customFormat="1" x14ac:dyDescent="0.2">
      <c r="B595" s="145"/>
      <c r="D595" s="145"/>
      <c r="Z595" s="177"/>
      <c r="AA595" s="178"/>
      <c r="AB595" s="139"/>
      <c r="AC595" s="173"/>
      <c r="AD595" s="177"/>
      <c r="AE595" s="177"/>
      <c r="AF595" s="139"/>
      <c r="AG595" s="139"/>
      <c r="AH595" s="177"/>
      <c r="AI595" s="178"/>
      <c r="AJ595" s="139"/>
      <c r="AK595" s="173"/>
      <c r="AL595" s="177"/>
      <c r="AM595" s="178"/>
      <c r="AN595" s="173"/>
      <c r="AO595" s="173"/>
      <c r="AP595" s="173"/>
      <c r="AQ595" s="178"/>
      <c r="AR595" s="173"/>
      <c r="AS595" s="173"/>
      <c r="AT595" s="140"/>
      <c r="AX595" s="140"/>
      <c r="BB595" s="173"/>
      <c r="BC595" s="173"/>
    </row>
    <row r="596" spans="2:55" s="134" customFormat="1" x14ac:dyDescent="0.2">
      <c r="B596" s="145"/>
      <c r="D596" s="145"/>
      <c r="Z596" s="177"/>
      <c r="AA596" s="178"/>
      <c r="AB596" s="139"/>
      <c r="AC596" s="173"/>
      <c r="AD596" s="177"/>
      <c r="AE596" s="177"/>
      <c r="AF596" s="139"/>
      <c r="AG596" s="139"/>
      <c r="AH596" s="177"/>
      <c r="AI596" s="178"/>
      <c r="AJ596" s="139"/>
      <c r="AK596" s="173"/>
      <c r="AL596" s="177"/>
      <c r="AM596" s="178"/>
      <c r="AN596" s="173"/>
      <c r="AO596" s="173"/>
      <c r="AP596" s="173"/>
      <c r="AQ596" s="178"/>
      <c r="AR596" s="173"/>
      <c r="AS596" s="173"/>
      <c r="AT596" s="140"/>
      <c r="AX596" s="140"/>
      <c r="BB596" s="173"/>
      <c r="BC596" s="173"/>
    </row>
    <row r="597" spans="2:55" s="134" customFormat="1" x14ac:dyDescent="0.2">
      <c r="B597" s="145"/>
      <c r="D597" s="145"/>
      <c r="Z597" s="177"/>
      <c r="AA597" s="178"/>
      <c r="AB597" s="139"/>
      <c r="AC597" s="173"/>
      <c r="AD597" s="177"/>
      <c r="AE597" s="177"/>
      <c r="AF597" s="139"/>
      <c r="AG597" s="139"/>
      <c r="AH597" s="177"/>
      <c r="AI597" s="178"/>
      <c r="AJ597" s="139"/>
      <c r="AK597" s="173"/>
      <c r="AL597" s="177"/>
      <c r="AM597" s="178"/>
      <c r="AN597" s="173"/>
      <c r="AO597" s="173"/>
      <c r="AP597" s="173"/>
      <c r="AQ597" s="178"/>
      <c r="AR597" s="173"/>
      <c r="AS597" s="173"/>
      <c r="AT597" s="140"/>
      <c r="AX597" s="140"/>
      <c r="BB597" s="173"/>
      <c r="BC597" s="173"/>
    </row>
    <row r="598" spans="2:55" s="134" customFormat="1" x14ac:dyDescent="0.2">
      <c r="B598" s="145"/>
      <c r="D598" s="145"/>
      <c r="Z598" s="177"/>
      <c r="AA598" s="178"/>
      <c r="AB598" s="139"/>
      <c r="AC598" s="173"/>
      <c r="AD598" s="177"/>
      <c r="AE598" s="177"/>
      <c r="AF598" s="139"/>
      <c r="AG598" s="139"/>
      <c r="AH598" s="177"/>
      <c r="AI598" s="178"/>
      <c r="AJ598" s="139"/>
      <c r="AK598" s="173"/>
      <c r="AL598" s="177"/>
      <c r="AM598" s="178"/>
      <c r="AN598" s="173"/>
      <c r="AO598" s="173"/>
      <c r="AP598" s="173"/>
      <c r="AQ598" s="178"/>
      <c r="AR598" s="173"/>
      <c r="AS598" s="173"/>
      <c r="AT598" s="140"/>
      <c r="AX598" s="140"/>
      <c r="BB598" s="173"/>
      <c r="BC598" s="173"/>
    </row>
    <row r="599" spans="2:55" s="134" customFormat="1" x14ac:dyDescent="0.2">
      <c r="B599" s="145"/>
      <c r="D599" s="145"/>
      <c r="Z599" s="177"/>
      <c r="AA599" s="178"/>
      <c r="AB599" s="139"/>
      <c r="AC599" s="173"/>
      <c r="AD599" s="177"/>
      <c r="AE599" s="177"/>
      <c r="AF599" s="139"/>
      <c r="AG599" s="139"/>
      <c r="AH599" s="177"/>
      <c r="AI599" s="178"/>
      <c r="AJ599" s="139"/>
      <c r="AK599" s="173"/>
      <c r="AL599" s="177"/>
      <c r="AM599" s="178"/>
      <c r="AN599" s="173"/>
      <c r="AO599" s="173"/>
      <c r="AP599" s="173"/>
      <c r="AQ599" s="178"/>
      <c r="AR599" s="173"/>
      <c r="AS599" s="173"/>
      <c r="AT599" s="140"/>
      <c r="AX599" s="140"/>
      <c r="BB599" s="173"/>
      <c r="BC599" s="173"/>
    </row>
    <row r="600" spans="2:55" s="134" customFormat="1" x14ac:dyDescent="0.2">
      <c r="B600" s="145"/>
      <c r="D600" s="145"/>
      <c r="Z600" s="177"/>
      <c r="AA600" s="178"/>
      <c r="AB600" s="139"/>
      <c r="AC600" s="173"/>
      <c r="AD600" s="177"/>
      <c r="AE600" s="177"/>
      <c r="AF600" s="139"/>
      <c r="AG600" s="139"/>
      <c r="AH600" s="177"/>
      <c r="AI600" s="178"/>
      <c r="AJ600" s="139"/>
      <c r="AK600" s="173"/>
      <c r="AL600" s="177"/>
      <c r="AM600" s="178"/>
      <c r="AN600" s="173"/>
      <c r="AO600" s="173"/>
      <c r="AP600" s="173"/>
      <c r="AQ600" s="178"/>
      <c r="AR600" s="173"/>
      <c r="AS600" s="173"/>
      <c r="AT600" s="140"/>
      <c r="AX600" s="140"/>
      <c r="BB600" s="173"/>
      <c r="BC600" s="173"/>
    </row>
    <row r="601" spans="2:55" s="134" customFormat="1" x14ac:dyDescent="0.2">
      <c r="B601" s="145"/>
      <c r="D601" s="145"/>
      <c r="Z601" s="177"/>
      <c r="AA601" s="178"/>
      <c r="AB601" s="139"/>
      <c r="AC601" s="173"/>
      <c r="AD601" s="177"/>
      <c r="AE601" s="177"/>
      <c r="AF601" s="139"/>
      <c r="AG601" s="139"/>
      <c r="AH601" s="177"/>
      <c r="AI601" s="178"/>
      <c r="AJ601" s="139"/>
      <c r="AK601" s="173"/>
      <c r="AL601" s="177"/>
      <c r="AM601" s="178"/>
      <c r="AN601" s="173"/>
      <c r="AO601" s="173"/>
      <c r="AP601" s="173"/>
      <c r="AQ601" s="178"/>
      <c r="AR601" s="173"/>
      <c r="AS601" s="173"/>
      <c r="AT601" s="140"/>
      <c r="AX601" s="140"/>
      <c r="BB601" s="173"/>
      <c r="BC601" s="173"/>
    </row>
    <row r="602" spans="2:55" s="134" customFormat="1" x14ac:dyDescent="0.2">
      <c r="B602" s="145"/>
      <c r="D602" s="145"/>
      <c r="Z602" s="177"/>
      <c r="AA602" s="178"/>
      <c r="AB602" s="139"/>
      <c r="AC602" s="173"/>
      <c r="AD602" s="177"/>
      <c r="AE602" s="177"/>
      <c r="AF602" s="139"/>
      <c r="AG602" s="139"/>
      <c r="AH602" s="177"/>
      <c r="AI602" s="178"/>
      <c r="AJ602" s="139"/>
      <c r="AK602" s="173"/>
      <c r="AL602" s="177"/>
      <c r="AM602" s="178"/>
      <c r="AN602" s="173"/>
      <c r="AO602" s="173"/>
      <c r="AP602" s="173"/>
      <c r="AQ602" s="178"/>
      <c r="AR602" s="173"/>
      <c r="AS602" s="173"/>
      <c r="AT602" s="140"/>
      <c r="AX602" s="140"/>
      <c r="BB602" s="173"/>
      <c r="BC602" s="173"/>
    </row>
    <row r="603" spans="2:55" s="134" customFormat="1" x14ac:dyDescent="0.2">
      <c r="B603" s="145"/>
      <c r="D603" s="145"/>
      <c r="Z603" s="177"/>
      <c r="AA603" s="178"/>
      <c r="AB603" s="139"/>
      <c r="AC603" s="173"/>
      <c r="AD603" s="177"/>
      <c r="AE603" s="177"/>
      <c r="AF603" s="139"/>
      <c r="AG603" s="139"/>
      <c r="AH603" s="177"/>
      <c r="AI603" s="178"/>
      <c r="AJ603" s="139"/>
      <c r="AK603" s="173"/>
      <c r="AL603" s="177"/>
      <c r="AM603" s="178"/>
      <c r="AN603" s="173"/>
      <c r="AO603" s="173"/>
      <c r="AP603" s="173"/>
      <c r="AQ603" s="178"/>
      <c r="AR603" s="173"/>
      <c r="AS603" s="173"/>
      <c r="AT603" s="140"/>
      <c r="AX603" s="140"/>
      <c r="BB603" s="173"/>
      <c r="BC603" s="173"/>
    </row>
    <row r="604" spans="2:55" s="134" customFormat="1" x14ac:dyDescent="0.2">
      <c r="B604" s="145"/>
      <c r="D604" s="145"/>
      <c r="Z604" s="177"/>
      <c r="AA604" s="178"/>
      <c r="AB604" s="139"/>
      <c r="AC604" s="173"/>
      <c r="AD604" s="177"/>
      <c r="AE604" s="177"/>
      <c r="AF604" s="139"/>
      <c r="AG604" s="139"/>
      <c r="AH604" s="177"/>
      <c r="AI604" s="178"/>
      <c r="AJ604" s="139"/>
      <c r="AK604" s="173"/>
      <c r="AL604" s="177"/>
      <c r="AM604" s="178"/>
      <c r="AN604" s="173"/>
      <c r="AO604" s="173"/>
      <c r="AP604" s="173"/>
      <c r="AQ604" s="178"/>
      <c r="AR604" s="173"/>
      <c r="AS604" s="173"/>
      <c r="AT604" s="140"/>
      <c r="AX604" s="140"/>
      <c r="BB604" s="173"/>
      <c r="BC604" s="173"/>
    </row>
    <row r="605" spans="2:55" s="134" customFormat="1" x14ac:dyDescent="0.2">
      <c r="B605" s="145"/>
      <c r="D605" s="145"/>
      <c r="Z605" s="177"/>
      <c r="AA605" s="178"/>
      <c r="AB605" s="139"/>
      <c r="AC605" s="173"/>
      <c r="AD605" s="177"/>
      <c r="AE605" s="177"/>
      <c r="AF605" s="139"/>
      <c r="AG605" s="139"/>
      <c r="AH605" s="177"/>
      <c r="AI605" s="178"/>
      <c r="AJ605" s="139"/>
      <c r="AK605" s="173"/>
      <c r="AL605" s="177"/>
      <c r="AM605" s="178"/>
      <c r="AN605" s="173"/>
      <c r="AO605" s="173"/>
      <c r="AP605" s="173"/>
      <c r="AQ605" s="178"/>
      <c r="AR605" s="173"/>
      <c r="AS605" s="173"/>
      <c r="AT605" s="140"/>
      <c r="AX605" s="140"/>
      <c r="BB605" s="173"/>
      <c r="BC605" s="173"/>
    </row>
    <row r="606" spans="2:55" s="134" customFormat="1" x14ac:dyDescent="0.2">
      <c r="B606" s="145"/>
      <c r="D606" s="145"/>
      <c r="Z606" s="177"/>
      <c r="AA606" s="178"/>
      <c r="AB606" s="139"/>
      <c r="AC606" s="173"/>
      <c r="AD606" s="177"/>
      <c r="AE606" s="177"/>
      <c r="AF606" s="139"/>
      <c r="AG606" s="139"/>
      <c r="AH606" s="177"/>
      <c r="AI606" s="178"/>
      <c r="AJ606" s="139"/>
      <c r="AK606" s="173"/>
      <c r="AL606" s="177"/>
      <c r="AM606" s="178"/>
      <c r="AN606" s="173"/>
      <c r="AO606" s="173"/>
      <c r="AP606" s="173"/>
      <c r="AQ606" s="178"/>
      <c r="AR606" s="173"/>
      <c r="AS606" s="173"/>
      <c r="AT606" s="140"/>
      <c r="AX606" s="140"/>
      <c r="BB606" s="173"/>
      <c r="BC606" s="173"/>
    </row>
    <row r="607" spans="2:55" s="134" customFormat="1" x14ac:dyDescent="0.2">
      <c r="B607" s="145"/>
      <c r="D607" s="145"/>
      <c r="Z607" s="177"/>
      <c r="AA607" s="178"/>
      <c r="AB607" s="139"/>
      <c r="AC607" s="173"/>
      <c r="AD607" s="177"/>
      <c r="AE607" s="177"/>
      <c r="AF607" s="139"/>
      <c r="AG607" s="139"/>
      <c r="AH607" s="177"/>
      <c r="AI607" s="178"/>
      <c r="AJ607" s="139"/>
      <c r="AK607" s="173"/>
      <c r="AL607" s="177"/>
      <c r="AM607" s="178"/>
      <c r="AN607" s="173"/>
      <c r="AO607" s="173"/>
      <c r="AP607" s="173"/>
      <c r="AQ607" s="178"/>
      <c r="AR607" s="173"/>
      <c r="AS607" s="173"/>
      <c r="AT607" s="140"/>
      <c r="AX607" s="140"/>
      <c r="BB607" s="173"/>
      <c r="BC607" s="173"/>
    </row>
    <row r="608" spans="2:55" s="134" customFormat="1" x14ac:dyDescent="0.2">
      <c r="B608" s="145"/>
      <c r="D608" s="145"/>
      <c r="Z608" s="177"/>
      <c r="AA608" s="178"/>
      <c r="AB608" s="139"/>
      <c r="AC608" s="173"/>
      <c r="AD608" s="177"/>
      <c r="AE608" s="177"/>
      <c r="AF608" s="139"/>
      <c r="AG608" s="139"/>
      <c r="AH608" s="177"/>
      <c r="AI608" s="178"/>
      <c r="AJ608" s="139"/>
      <c r="AK608" s="173"/>
      <c r="AL608" s="177"/>
      <c r="AM608" s="178"/>
      <c r="AN608" s="173"/>
      <c r="AO608" s="173"/>
      <c r="AP608" s="173"/>
      <c r="AQ608" s="178"/>
      <c r="AR608" s="173"/>
      <c r="AS608" s="173"/>
      <c r="AT608" s="140"/>
      <c r="AX608" s="140"/>
      <c r="BB608" s="173"/>
      <c r="BC608" s="173"/>
    </row>
    <row r="609" spans="2:55" s="134" customFormat="1" x14ac:dyDescent="0.2">
      <c r="B609" s="145"/>
      <c r="D609" s="145"/>
      <c r="Z609" s="177"/>
      <c r="AA609" s="178"/>
      <c r="AB609" s="139"/>
      <c r="AC609" s="173"/>
      <c r="AD609" s="177"/>
      <c r="AE609" s="177"/>
      <c r="AF609" s="139"/>
      <c r="AG609" s="139"/>
      <c r="AH609" s="177"/>
      <c r="AI609" s="178"/>
      <c r="AJ609" s="139"/>
      <c r="AK609" s="173"/>
      <c r="AL609" s="177"/>
      <c r="AM609" s="178"/>
      <c r="AN609" s="173"/>
      <c r="AO609" s="173"/>
      <c r="AP609" s="173"/>
      <c r="AQ609" s="178"/>
      <c r="AR609" s="173"/>
      <c r="AS609" s="173"/>
      <c r="AT609" s="140"/>
      <c r="AX609" s="140"/>
      <c r="BB609" s="173"/>
      <c r="BC609" s="173"/>
    </row>
    <row r="610" spans="2:55" s="134" customFormat="1" x14ac:dyDescent="0.2">
      <c r="B610" s="145"/>
      <c r="D610" s="145"/>
      <c r="Z610" s="177"/>
      <c r="AA610" s="178"/>
      <c r="AB610" s="139"/>
      <c r="AC610" s="173"/>
      <c r="AD610" s="177"/>
      <c r="AE610" s="177"/>
      <c r="AF610" s="139"/>
      <c r="AG610" s="139"/>
      <c r="AH610" s="177"/>
      <c r="AI610" s="178"/>
      <c r="AJ610" s="139"/>
      <c r="AK610" s="173"/>
      <c r="AL610" s="177"/>
      <c r="AM610" s="178"/>
      <c r="AN610" s="173"/>
      <c r="AO610" s="173"/>
      <c r="AP610" s="173"/>
      <c r="AQ610" s="178"/>
      <c r="AR610" s="173"/>
      <c r="AS610" s="173"/>
      <c r="AT610" s="140"/>
      <c r="AX610" s="140"/>
      <c r="BB610" s="173"/>
      <c r="BC610" s="173"/>
    </row>
    <row r="611" spans="2:55" s="134" customFormat="1" x14ac:dyDescent="0.2">
      <c r="B611" s="145"/>
      <c r="D611" s="145"/>
      <c r="Z611" s="177"/>
      <c r="AA611" s="178"/>
      <c r="AB611" s="139"/>
      <c r="AC611" s="173"/>
      <c r="AD611" s="177"/>
      <c r="AE611" s="177"/>
      <c r="AF611" s="139"/>
      <c r="AG611" s="139"/>
      <c r="AH611" s="177"/>
      <c r="AI611" s="178"/>
      <c r="AJ611" s="139"/>
      <c r="AK611" s="173"/>
      <c r="AL611" s="177"/>
      <c r="AM611" s="178"/>
      <c r="AN611" s="173"/>
      <c r="AO611" s="173"/>
      <c r="AP611" s="173"/>
      <c r="AQ611" s="178"/>
      <c r="AR611" s="173"/>
      <c r="AS611" s="173"/>
      <c r="AT611" s="140"/>
      <c r="AX611" s="140"/>
      <c r="BB611" s="173"/>
      <c r="BC611" s="173"/>
    </row>
    <row r="612" spans="2:55" s="134" customFormat="1" x14ac:dyDescent="0.2">
      <c r="B612" s="145"/>
      <c r="D612" s="145"/>
      <c r="Z612" s="177"/>
      <c r="AA612" s="178"/>
      <c r="AB612" s="139"/>
      <c r="AC612" s="173"/>
      <c r="AD612" s="177"/>
      <c r="AE612" s="177"/>
      <c r="AF612" s="139"/>
      <c r="AG612" s="139"/>
      <c r="AH612" s="177"/>
      <c r="AI612" s="178"/>
      <c r="AJ612" s="139"/>
      <c r="AK612" s="173"/>
      <c r="AL612" s="177"/>
      <c r="AM612" s="178"/>
      <c r="AN612" s="173"/>
      <c r="AO612" s="173"/>
      <c r="AP612" s="173"/>
      <c r="AQ612" s="178"/>
      <c r="AR612" s="173"/>
      <c r="AS612" s="173"/>
      <c r="AT612" s="140"/>
      <c r="AX612" s="140"/>
      <c r="BB612" s="173"/>
      <c r="BC612" s="173"/>
    </row>
    <row r="613" spans="2:55" s="134" customFormat="1" x14ac:dyDescent="0.2">
      <c r="B613" s="145"/>
      <c r="D613" s="145"/>
      <c r="Z613" s="177"/>
      <c r="AA613" s="178"/>
      <c r="AB613" s="139"/>
      <c r="AC613" s="173"/>
      <c r="AD613" s="177"/>
      <c r="AE613" s="177"/>
      <c r="AF613" s="139"/>
      <c r="AG613" s="139"/>
      <c r="AH613" s="177"/>
      <c r="AI613" s="178"/>
      <c r="AJ613" s="139"/>
      <c r="AK613" s="173"/>
      <c r="AL613" s="177"/>
      <c r="AM613" s="178"/>
      <c r="AN613" s="173"/>
      <c r="AO613" s="173"/>
      <c r="AP613" s="173"/>
      <c r="AQ613" s="178"/>
      <c r="AR613" s="173"/>
      <c r="AS613" s="173"/>
      <c r="AT613" s="140"/>
      <c r="AX613" s="140"/>
      <c r="BB613" s="173"/>
      <c r="BC613" s="173"/>
    </row>
    <row r="614" spans="2:55" s="134" customFormat="1" x14ac:dyDescent="0.2">
      <c r="B614" s="145"/>
      <c r="D614" s="145"/>
      <c r="Z614" s="177"/>
      <c r="AA614" s="178"/>
      <c r="AB614" s="139"/>
      <c r="AC614" s="173"/>
      <c r="AD614" s="177"/>
      <c r="AE614" s="177"/>
      <c r="AF614" s="139"/>
      <c r="AG614" s="139"/>
      <c r="AH614" s="177"/>
      <c r="AI614" s="178"/>
      <c r="AJ614" s="139"/>
      <c r="AK614" s="173"/>
      <c r="AL614" s="177"/>
      <c r="AM614" s="178"/>
      <c r="AN614" s="173"/>
      <c r="AO614" s="173"/>
      <c r="AP614" s="173"/>
      <c r="AQ614" s="178"/>
      <c r="AR614" s="173"/>
      <c r="AS614" s="173"/>
      <c r="AT614" s="140"/>
      <c r="AX614" s="140"/>
      <c r="BB614" s="173"/>
      <c r="BC614" s="173"/>
    </row>
    <row r="615" spans="2:55" s="134" customFormat="1" x14ac:dyDescent="0.2">
      <c r="B615" s="145"/>
      <c r="D615" s="145"/>
      <c r="Z615" s="177"/>
      <c r="AA615" s="178"/>
      <c r="AB615" s="139"/>
      <c r="AC615" s="173"/>
      <c r="AD615" s="177"/>
      <c r="AE615" s="177"/>
      <c r="AF615" s="139"/>
      <c r="AG615" s="139"/>
      <c r="AH615" s="177"/>
      <c r="AI615" s="178"/>
      <c r="AJ615" s="139"/>
      <c r="AK615" s="173"/>
      <c r="AL615" s="177"/>
      <c r="AM615" s="178"/>
      <c r="AN615" s="173"/>
      <c r="AO615" s="173"/>
      <c r="AP615" s="173"/>
      <c r="AQ615" s="178"/>
      <c r="AR615" s="173"/>
      <c r="AS615" s="173"/>
      <c r="AT615" s="140"/>
      <c r="AX615" s="140"/>
      <c r="BB615" s="173"/>
      <c r="BC615" s="173"/>
    </row>
    <row r="616" spans="2:55" s="134" customFormat="1" x14ac:dyDescent="0.2">
      <c r="B616" s="145"/>
      <c r="D616" s="145"/>
      <c r="Z616" s="177"/>
      <c r="AA616" s="178"/>
      <c r="AB616" s="139"/>
      <c r="AC616" s="173"/>
      <c r="AD616" s="177"/>
      <c r="AE616" s="177"/>
      <c r="AF616" s="139"/>
      <c r="AG616" s="139"/>
      <c r="AH616" s="177"/>
      <c r="AI616" s="178"/>
      <c r="AJ616" s="139"/>
      <c r="AK616" s="173"/>
      <c r="AL616" s="177"/>
      <c r="AM616" s="178"/>
      <c r="AN616" s="173"/>
      <c r="AO616" s="173"/>
      <c r="AP616" s="173"/>
      <c r="AQ616" s="178"/>
      <c r="AR616" s="173"/>
      <c r="AS616" s="173"/>
      <c r="AT616" s="140"/>
      <c r="AX616" s="140"/>
      <c r="BB616" s="173"/>
      <c r="BC616" s="173"/>
    </row>
    <row r="617" spans="2:55" s="134" customFormat="1" x14ac:dyDescent="0.2">
      <c r="B617" s="145"/>
      <c r="D617" s="145"/>
      <c r="Z617" s="177"/>
      <c r="AA617" s="178"/>
      <c r="AB617" s="139"/>
      <c r="AC617" s="173"/>
      <c r="AD617" s="177"/>
      <c r="AE617" s="177"/>
      <c r="AF617" s="139"/>
      <c r="AG617" s="139"/>
      <c r="AH617" s="177"/>
      <c r="AI617" s="178"/>
      <c r="AJ617" s="139"/>
      <c r="AK617" s="173"/>
      <c r="AL617" s="177"/>
      <c r="AM617" s="178"/>
      <c r="AN617" s="173"/>
      <c r="AO617" s="173"/>
      <c r="AP617" s="173"/>
      <c r="AQ617" s="178"/>
      <c r="AR617" s="173"/>
      <c r="AS617" s="173"/>
      <c r="AT617" s="140"/>
      <c r="AX617" s="140"/>
      <c r="BB617" s="173"/>
      <c r="BC617" s="173"/>
    </row>
    <row r="618" spans="2:55" s="134" customFormat="1" x14ac:dyDescent="0.2">
      <c r="B618" s="145"/>
      <c r="D618" s="145"/>
      <c r="Z618" s="177"/>
      <c r="AA618" s="178"/>
      <c r="AB618" s="139"/>
      <c r="AC618" s="173"/>
      <c r="AD618" s="177"/>
      <c r="AE618" s="177"/>
      <c r="AF618" s="139"/>
      <c r="AG618" s="139"/>
      <c r="AH618" s="177"/>
      <c r="AI618" s="178"/>
      <c r="AJ618" s="139"/>
      <c r="AK618" s="173"/>
      <c r="AL618" s="177"/>
      <c r="AM618" s="178"/>
      <c r="AN618" s="173"/>
      <c r="AO618" s="173"/>
      <c r="AP618" s="173"/>
      <c r="AQ618" s="178"/>
      <c r="AR618" s="173"/>
      <c r="AS618" s="173"/>
      <c r="AT618" s="140"/>
      <c r="AX618" s="140"/>
      <c r="BB618" s="173"/>
      <c r="BC618" s="173"/>
    </row>
    <row r="619" spans="2:55" s="134" customFormat="1" x14ac:dyDescent="0.2">
      <c r="B619" s="145"/>
      <c r="D619" s="145"/>
      <c r="Z619" s="177"/>
      <c r="AA619" s="178"/>
      <c r="AB619" s="139"/>
      <c r="AC619" s="173"/>
      <c r="AD619" s="177"/>
      <c r="AE619" s="177"/>
      <c r="AF619" s="139"/>
      <c r="AG619" s="139"/>
      <c r="AH619" s="177"/>
      <c r="AI619" s="178"/>
      <c r="AJ619" s="139"/>
      <c r="AK619" s="173"/>
      <c r="AL619" s="177"/>
      <c r="AM619" s="178"/>
      <c r="AN619" s="173"/>
      <c r="AO619" s="173"/>
      <c r="AP619" s="173"/>
      <c r="AQ619" s="178"/>
      <c r="AR619" s="173"/>
      <c r="AS619" s="173"/>
      <c r="AT619" s="140"/>
      <c r="AX619" s="140"/>
      <c r="BB619" s="173"/>
      <c r="BC619" s="173"/>
    </row>
    <row r="620" spans="2:55" s="134" customFormat="1" x14ac:dyDescent="0.2">
      <c r="B620" s="145"/>
      <c r="D620" s="145"/>
      <c r="Z620" s="177"/>
      <c r="AA620" s="178"/>
      <c r="AB620" s="139"/>
      <c r="AC620" s="173"/>
      <c r="AD620" s="177"/>
      <c r="AE620" s="177"/>
      <c r="AF620" s="139"/>
      <c r="AG620" s="139"/>
      <c r="AH620" s="177"/>
      <c r="AI620" s="178"/>
      <c r="AJ620" s="139"/>
      <c r="AK620" s="173"/>
      <c r="AL620" s="177"/>
      <c r="AM620" s="178"/>
      <c r="AN620" s="173"/>
      <c r="AO620" s="173"/>
      <c r="AP620" s="173"/>
      <c r="AQ620" s="178"/>
      <c r="AR620" s="173"/>
      <c r="AS620" s="173"/>
      <c r="AT620" s="140"/>
      <c r="AX620" s="140"/>
      <c r="BB620" s="173"/>
      <c r="BC620" s="173"/>
    </row>
    <row r="621" spans="2:55" s="134" customFormat="1" x14ac:dyDescent="0.2">
      <c r="B621" s="145"/>
      <c r="D621" s="145"/>
      <c r="Z621" s="177"/>
      <c r="AA621" s="178"/>
      <c r="AB621" s="139"/>
      <c r="AC621" s="173"/>
      <c r="AD621" s="177"/>
      <c r="AE621" s="177"/>
      <c r="AF621" s="139"/>
      <c r="AG621" s="139"/>
      <c r="AH621" s="177"/>
      <c r="AI621" s="178"/>
      <c r="AJ621" s="139"/>
      <c r="AK621" s="173"/>
      <c r="AL621" s="177"/>
      <c r="AM621" s="178"/>
      <c r="AN621" s="173"/>
      <c r="AO621" s="173"/>
      <c r="AP621" s="173"/>
      <c r="AQ621" s="178"/>
      <c r="AR621" s="173"/>
      <c r="AS621" s="173"/>
      <c r="AT621" s="140"/>
      <c r="AX621" s="140"/>
      <c r="BB621" s="173"/>
      <c r="BC621" s="173"/>
    </row>
    <row r="622" spans="2:55" s="134" customFormat="1" x14ac:dyDescent="0.2">
      <c r="B622" s="145"/>
      <c r="D622" s="145"/>
      <c r="Z622" s="177"/>
      <c r="AA622" s="178"/>
      <c r="AB622" s="139"/>
      <c r="AC622" s="173"/>
      <c r="AD622" s="177"/>
      <c r="AE622" s="177"/>
      <c r="AF622" s="139"/>
      <c r="AG622" s="139"/>
      <c r="AH622" s="177"/>
      <c r="AI622" s="178"/>
      <c r="AJ622" s="139"/>
      <c r="AK622" s="173"/>
      <c r="AL622" s="177"/>
      <c r="AM622" s="178"/>
      <c r="AN622" s="173"/>
      <c r="AO622" s="173"/>
      <c r="AP622" s="173"/>
      <c r="AQ622" s="178"/>
      <c r="AR622" s="173"/>
      <c r="AS622" s="173"/>
      <c r="AT622" s="140"/>
      <c r="AX622" s="140"/>
      <c r="BB622" s="173"/>
      <c r="BC622" s="173"/>
    </row>
    <row r="623" spans="2:55" s="134" customFormat="1" x14ac:dyDescent="0.2">
      <c r="B623" s="145"/>
      <c r="D623" s="145"/>
      <c r="Z623" s="177"/>
      <c r="AA623" s="178"/>
      <c r="AB623" s="139"/>
      <c r="AC623" s="173"/>
      <c r="AD623" s="177"/>
      <c r="AE623" s="177"/>
      <c r="AF623" s="139"/>
      <c r="AG623" s="139"/>
      <c r="AH623" s="177"/>
      <c r="AI623" s="178"/>
      <c r="AJ623" s="139"/>
      <c r="AK623" s="173"/>
      <c r="AL623" s="177"/>
      <c r="AM623" s="178"/>
      <c r="AN623" s="173"/>
      <c r="AO623" s="173"/>
      <c r="AP623" s="173"/>
      <c r="AQ623" s="178"/>
      <c r="AR623" s="173"/>
      <c r="AS623" s="173"/>
      <c r="AT623" s="140"/>
      <c r="AX623" s="140"/>
      <c r="BB623" s="173"/>
      <c r="BC623" s="173"/>
    </row>
    <row r="624" spans="2:55" s="134" customFormat="1" x14ac:dyDescent="0.2">
      <c r="B624" s="145"/>
      <c r="D624" s="145"/>
      <c r="Z624" s="177"/>
      <c r="AA624" s="178"/>
      <c r="AB624" s="139"/>
      <c r="AC624" s="173"/>
      <c r="AD624" s="177"/>
      <c r="AE624" s="177"/>
      <c r="AF624" s="139"/>
      <c r="AG624" s="139"/>
      <c r="AH624" s="177"/>
      <c r="AI624" s="178"/>
      <c r="AJ624" s="139"/>
      <c r="AK624" s="173"/>
      <c r="AL624" s="177"/>
      <c r="AM624" s="178"/>
      <c r="AN624" s="173"/>
      <c r="AO624" s="173"/>
      <c r="AP624" s="173"/>
      <c r="AQ624" s="178"/>
      <c r="AR624" s="173"/>
      <c r="AS624" s="173"/>
      <c r="AT624" s="140"/>
      <c r="AX624" s="140"/>
      <c r="BB624" s="173"/>
      <c r="BC624" s="173"/>
    </row>
    <row r="625" spans="2:55" s="134" customFormat="1" x14ac:dyDescent="0.2">
      <c r="B625" s="145"/>
      <c r="D625" s="145"/>
      <c r="Z625" s="177"/>
      <c r="AA625" s="178"/>
      <c r="AB625" s="139"/>
      <c r="AC625" s="173"/>
      <c r="AD625" s="177"/>
      <c r="AE625" s="177"/>
      <c r="AF625" s="139"/>
      <c r="AG625" s="139"/>
      <c r="AH625" s="177"/>
      <c r="AI625" s="178"/>
      <c r="AJ625" s="139"/>
      <c r="AK625" s="173"/>
      <c r="AL625" s="177"/>
      <c r="AM625" s="178"/>
      <c r="AN625" s="173"/>
      <c r="AO625" s="173"/>
      <c r="AP625" s="173"/>
      <c r="AQ625" s="178"/>
      <c r="AR625" s="173"/>
      <c r="AS625" s="173"/>
      <c r="AT625" s="140"/>
      <c r="AX625" s="140"/>
      <c r="BB625" s="173"/>
      <c r="BC625" s="173"/>
    </row>
    <row r="626" spans="2:55" s="134" customFormat="1" x14ac:dyDescent="0.2">
      <c r="B626" s="145"/>
      <c r="D626" s="145"/>
      <c r="Z626" s="177"/>
      <c r="AA626" s="178"/>
      <c r="AB626" s="139"/>
      <c r="AC626" s="173"/>
      <c r="AD626" s="177"/>
      <c r="AE626" s="177"/>
      <c r="AF626" s="139"/>
      <c r="AG626" s="139"/>
      <c r="AH626" s="177"/>
      <c r="AI626" s="178"/>
      <c r="AJ626" s="139"/>
      <c r="AK626" s="173"/>
      <c r="AL626" s="177"/>
      <c r="AM626" s="178"/>
      <c r="AN626" s="173"/>
      <c r="AO626" s="173"/>
      <c r="AP626" s="173"/>
      <c r="AQ626" s="178"/>
      <c r="AR626" s="173"/>
      <c r="AS626" s="173"/>
      <c r="AT626" s="140"/>
      <c r="AX626" s="140"/>
      <c r="BB626" s="173"/>
      <c r="BC626" s="173"/>
    </row>
    <row r="627" spans="2:55" s="134" customFormat="1" x14ac:dyDescent="0.2">
      <c r="B627" s="145"/>
      <c r="D627" s="145"/>
      <c r="Z627" s="177"/>
      <c r="AA627" s="178"/>
      <c r="AB627" s="139"/>
      <c r="AC627" s="173"/>
      <c r="AD627" s="177"/>
      <c r="AE627" s="177"/>
      <c r="AF627" s="139"/>
      <c r="AG627" s="139"/>
      <c r="AH627" s="177"/>
      <c r="AI627" s="178"/>
      <c r="AJ627" s="139"/>
      <c r="AK627" s="173"/>
      <c r="AL627" s="177"/>
      <c r="AM627" s="178"/>
      <c r="AN627" s="173"/>
      <c r="AO627" s="173"/>
      <c r="AP627" s="173"/>
      <c r="AQ627" s="178"/>
      <c r="AR627" s="173"/>
      <c r="AS627" s="173"/>
      <c r="AT627" s="140"/>
      <c r="AX627" s="140"/>
      <c r="BB627" s="173"/>
      <c r="BC627" s="173"/>
    </row>
    <row r="628" spans="2:55" s="134" customFormat="1" x14ac:dyDescent="0.2">
      <c r="B628" s="145"/>
      <c r="D628" s="145"/>
      <c r="Z628" s="177"/>
      <c r="AA628" s="178"/>
      <c r="AB628" s="139"/>
      <c r="AC628" s="173"/>
      <c r="AD628" s="177"/>
      <c r="AE628" s="177"/>
      <c r="AF628" s="139"/>
      <c r="AG628" s="139"/>
      <c r="AH628" s="177"/>
      <c r="AI628" s="178"/>
      <c r="AJ628" s="139"/>
      <c r="AK628" s="173"/>
      <c r="AL628" s="177"/>
      <c r="AM628" s="178"/>
      <c r="AN628" s="173"/>
      <c r="AO628" s="173"/>
      <c r="AP628" s="173"/>
      <c r="AQ628" s="178"/>
      <c r="AR628" s="173"/>
      <c r="AS628" s="173"/>
      <c r="AT628" s="140"/>
      <c r="AX628" s="140"/>
      <c r="BB628" s="173"/>
      <c r="BC628" s="173"/>
    </row>
    <row r="629" spans="2:55" s="134" customFormat="1" x14ac:dyDescent="0.2">
      <c r="B629" s="145"/>
      <c r="D629" s="145"/>
      <c r="Z629" s="177"/>
      <c r="AA629" s="178"/>
      <c r="AB629" s="139"/>
      <c r="AC629" s="173"/>
      <c r="AD629" s="177"/>
      <c r="AE629" s="177"/>
      <c r="AF629" s="139"/>
      <c r="AG629" s="139"/>
      <c r="AH629" s="177"/>
      <c r="AI629" s="178"/>
      <c r="AJ629" s="139"/>
      <c r="AK629" s="173"/>
      <c r="AL629" s="177"/>
      <c r="AM629" s="178"/>
      <c r="AN629" s="173"/>
      <c r="AO629" s="173"/>
      <c r="AP629" s="173"/>
      <c r="AQ629" s="178"/>
      <c r="AR629" s="173"/>
      <c r="AS629" s="173"/>
      <c r="AT629" s="140"/>
      <c r="AX629" s="140"/>
      <c r="BB629" s="173"/>
      <c r="BC629" s="173"/>
    </row>
    <row r="630" spans="2:55" s="134" customFormat="1" x14ac:dyDescent="0.2">
      <c r="B630" s="145"/>
      <c r="D630" s="145"/>
      <c r="Z630" s="177"/>
      <c r="AA630" s="178"/>
      <c r="AB630" s="139"/>
      <c r="AC630" s="173"/>
      <c r="AD630" s="177"/>
      <c r="AE630" s="177"/>
      <c r="AF630" s="139"/>
      <c r="AG630" s="139"/>
      <c r="AH630" s="177"/>
      <c r="AI630" s="178"/>
      <c r="AJ630" s="139"/>
      <c r="AK630" s="173"/>
      <c r="AL630" s="177"/>
      <c r="AM630" s="178"/>
      <c r="AN630" s="173"/>
      <c r="AO630" s="173"/>
      <c r="AP630" s="173"/>
      <c r="AQ630" s="178"/>
      <c r="AR630" s="173"/>
      <c r="AS630" s="173"/>
      <c r="AT630" s="140"/>
      <c r="AX630" s="140"/>
      <c r="BB630" s="173"/>
      <c r="BC630" s="173"/>
    </row>
    <row r="631" spans="2:55" s="134" customFormat="1" x14ac:dyDescent="0.2">
      <c r="B631" s="145"/>
      <c r="D631" s="145"/>
      <c r="Z631" s="177"/>
      <c r="AA631" s="178"/>
      <c r="AB631" s="139"/>
      <c r="AC631" s="173"/>
      <c r="AD631" s="177"/>
      <c r="AE631" s="177"/>
      <c r="AF631" s="139"/>
      <c r="AG631" s="139"/>
      <c r="AH631" s="177"/>
      <c r="AI631" s="178"/>
      <c r="AJ631" s="139"/>
      <c r="AK631" s="173"/>
      <c r="AL631" s="177"/>
      <c r="AM631" s="178"/>
      <c r="AN631" s="173"/>
      <c r="AO631" s="173"/>
      <c r="AP631" s="173"/>
      <c r="AQ631" s="178"/>
      <c r="AR631" s="173"/>
      <c r="AS631" s="173"/>
      <c r="AT631" s="140"/>
      <c r="AX631" s="140"/>
      <c r="BB631" s="173"/>
      <c r="BC631" s="173"/>
    </row>
    <row r="632" spans="2:55" s="134" customFormat="1" x14ac:dyDescent="0.2">
      <c r="B632" s="145"/>
      <c r="D632" s="145"/>
      <c r="Z632" s="177"/>
      <c r="AA632" s="178"/>
      <c r="AB632" s="139"/>
      <c r="AC632" s="173"/>
      <c r="AD632" s="177"/>
      <c r="AE632" s="177"/>
      <c r="AF632" s="139"/>
      <c r="AG632" s="139"/>
      <c r="AH632" s="177"/>
      <c r="AI632" s="178"/>
      <c r="AJ632" s="139"/>
      <c r="AK632" s="173"/>
      <c r="AL632" s="177"/>
      <c r="AM632" s="178"/>
      <c r="AN632" s="173"/>
      <c r="AO632" s="173"/>
      <c r="AP632" s="173"/>
      <c r="AQ632" s="178"/>
      <c r="AR632" s="173"/>
      <c r="AS632" s="173"/>
      <c r="AT632" s="140"/>
      <c r="AX632" s="140"/>
      <c r="BB632" s="173"/>
      <c r="BC632" s="173"/>
    </row>
    <row r="633" spans="2:55" s="134" customFormat="1" x14ac:dyDescent="0.2">
      <c r="B633" s="145"/>
      <c r="D633" s="145"/>
      <c r="Z633" s="177"/>
      <c r="AA633" s="178"/>
      <c r="AB633" s="139"/>
      <c r="AC633" s="173"/>
      <c r="AD633" s="177"/>
      <c r="AE633" s="177"/>
      <c r="AF633" s="139"/>
      <c r="AG633" s="139"/>
      <c r="AH633" s="177"/>
      <c r="AI633" s="178"/>
      <c r="AJ633" s="139"/>
      <c r="AK633" s="173"/>
      <c r="AL633" s="177"/>
      <c r="AM633" s="178"/>
      <c r="AN633" s="173"/>
      <c r="AO633" s="173"/>
      <c r="AP633" s="173"/>
      <c r="AQ633" s="178"/>
      <c r="AR633" s="173"/>
      <c r="AS633" s="173"/>
      <c r="AT633" s="140"/>
      <c r="AX633" s="140"/>
      <c r="BB633" s="173"/>
      <c r="BC633" s="173"/>
    </row>
    <row r="634" spans="2:55" s="134" customFormat="1" x14ac:dyDescent="0.2">
      <c r="B634" s="145"/>
      <c r="D634" s="145"/>
      <c r="Z634" s="177"/>
      <c r="AA634" s="178"/>
      <c r="AB634" s="139"/>
      <c r="AC634" s="173"/>
      <c r="AD634" s="177"/>
      <c r="AE634" s="177"/>
      <c r="AF634" s="139"/>
      <c r="AG634" s="139"/>
      <c r="AH634" s="177"/>
      <c r="AI634" s="178"/>
      <c r="AJ634" s="139"/>
      <c r="AK634" s="173"/>
      <c r="AL634" s="177"/>
      <c r="AM634" s="178"/>
      <c r="AN634" s="173"/>
      <c r="AO634" s="173"/>
      <c r="AP634" s="173"/>
      <c r="AQ634" s="178"/>
      <c r="AR634" s="173"/>
      <c r="AS634" s="173"/>
      <c r="AT634" s="140"/>
      <c r="AX634" s="140"/>
      <c r="BB634" s="173"/>
      <c r="BC634" s="173"/>
    </row>
    <row r="635" spans="2:55" s="134" customFormat="1" x14ac:dyDescent="0.2">
      <c r="B635" s="145"/>
      <c r="D635" s="145"/>
      <c r="Z635" s="177"/>
      <c r="AA635" s="178"/>
      <c r="AB635" s="139"/>
      <c r="AC635" s="173"/>
      <c r="AD635" s="177"/>
      <c r="AE635" s="177"/>
      <c r="AF635" s="139"/>
      <c r="AG635" s="139"/>
      <c r="AH635" s="177"/>
      <c r="AI635" s="178"/>
      <c r="AJ635" s="139"/>
      <c r="AK635" s="173"/>
      <c r="AL635" s="177"/>
      <c r="AM635" s="178"/>
      <c r="AN635" s="173"/>
      <c r="AO635" s="173"/>
      <c r="AP635" s="173"/>
      <c r="AQ635" s="178"/>
      <c r="AR635" s="173"/>
      <c r="AS635" s="173"/>
      <c r="AT635" s="140"/>
      <c r="AX635" s="140"/>
      <c r="BB635" s="173"/>
      <c r="BC635" s="173"/>
    </row>
    <row r="636" spans="2:55" s="134" customFormat="1" x14ac:dyDescent="0.2">
      <c r="B636" s="145"/>
      <c r="D636" s="145"/>
      <c r="Z636" s="177"/>
      <c r="AA636" s="178"/>
      <c r="AB636" s="139"/>
      <c r="AC636" s="173"/>
      <c r="AD636" s="177"/>
      <c r="AE636" s="177"/>
      <c r="AF636" s="139"/>
      <c r="AG636" s="139"/>
      <c r="AH636" s="177"/>
      <c r="AI636" s="178"/>
      <c r="AJ636" s="139"/>
      <c r="AK636" s="173"/>
      <c r="AL636" s="177"/>
      <c r="AM636" s="178"/>
      <c r="AN636" s="173"/>
      <c r="AO636" s="173"/>
      <c r="AP636" s="173"/>
      <c r="AQ636" s="178"/>
      <c r="AR636" s="173"/>
      <c r="AS636" s="173"/>
      <c r="AT636" s="140"/>
      <c r="AX636" s="140"/>
      <c r="BB636" s="173"/>
      <c r="BC636" s="173"/>
    </row>
    <row r="637" spans="2:55" s="134" customFormat="1" x14ac:dyDescent="0.2">
      <c r="B637" s="145"/>
      <c r="D637" s="145"/>
      <c r="Z637" s="177"/>
      <c r="AA637" s="178"/>
      <c r="AB637" s="139"/>
      <c r="AC637" s="173"/>
      <c r="AD637" s="177"/>
      <c r="AE637" s="177"/>
      <c r="AF637" s="139"/>
      <c r="AG637" s="139"/>
      <c r="AH637" s="177"/>
      <c r="AI637" s="178"/>
      <c r="AJ637" s="139"/>
      <c r="AK637" s="173"/>
      <c r="AL637" s="177"/>
      <c r="AM637" s="178"/>
      <c r="AN637" s="173"/>
      <c r="AO637" s="173"/>
      <c r="AP637" s="173"/>
      <c r="AQ637" s="178"/>
      <c r="AR637" s="173"/>
      <c r="AS637" s="173"/>
      <c r="AT637" s="140"/>
      <c r="AX637" s="140"/>
      <c r="BB637" s="173"/>
      <c r="BC637" s="173"/>
    </row>
    <row r="638" spans="2:55" s="134" customFormat="1" x14ac:dyDescent="0.2">
      <c r="B638" s="145"/>
      <c r="D638" s="145"/>
      <c r="Z638" s="177"/>
      <c r="AA638" s="178"/>
      <c r="AB638" s="139"/>
      <c r="AC638" s="173"/>
      <c r="AD638" s="177"/>
      <c r="AE638" s="177"/>
      <c r="AF638" s="139"/>
      <c r="AG638" s="139"/>
      <c r="AH638" s="177"/>
      <c r="AI638" s="178"/>
      <c r="AJ638" s="139"/>
      <c r="AK638" s="173"/>
      <c r="AL638" s="177"/>
      <c r="AM638" s="178"/>
      <c r="AN638" s="173"/>
      <c r="AO638" s="173"/>
      <c r="AP638" s="173"/>
      <c r="AQ638" s="178"/>
      <c r="AR638" s="173"/>
      <c r="AS638" s="173"/>
      <c r="AT638" s="140"/>
      <c r="AX638" s="140"/>
      <c r="BB638" s="173"/>
      <c r="BC638" s="173"/>
    </row>
    <row r="639" spans="2:55" s="134" customFormat="1" x14ac:dyDescent="0.2">
      <c r="B639" s="145"/>
      <c r="D639" s="145"/>
      <c r="Z639" s="177"/>
      <c r="AA639" s="178"/>
      <c r="AB639" s="139"/>
      <c r="AC639" s="173"/>
      <c r="AD639" s="177"/>
      <c r="AE639" s="177"/>
      <c r="AF639" s="139"/>
      <c r="AG639" s="139"/>
      <c r="AH639" s="177"/>
      <c r="AI639" s="178"/>
      <c r="AJ639" s="139"/>
      <c r="AK639" s="173"/>
      <c r="AL639" s="177"/>
      <c r="AM639" s="178"/>
      <c r="AN639" s="173"/>
      <c r="AO639" s="173"/>
      <c r="AP639" s="173"/>
      <c r="AQ639" s="178"/>
      <c r="AR639" s="173"/>
      <c r="AS639" s="173"/>
      <c r="AT639" s="140"/>
      <c r="AX639" s="140"/>
      <c r="BB639" s="173"/>
      <c r="BC639" s="173"/>
    </row>
    <row r="640" spans="2:55" s="134" customFormat="1" x14ac:dyDescent="0.2">
      <c r="B640" s="145"/>
      <c r="D640" s="145"/>
      <c r="Z640" s="177"/>
      <c r="AA640" s="178"/>
      <c r="AB640" s="139"/>
      <c r="AC640" s="173"/>
      <c r="AD640" s="177"/>
      <c r="AE640" s="177"/>
      <c r="AF640" s="139"/>
      <c r="AG640" s="139"/>
      <c r="AH640" s="177"/>
      <c r="AI640" s="178"/>
      <c r="AJ640" s="139"/>
      <c r="AK640" s="173"/>
      <c r="AL640" s="177"/>
      <c r="AM640" s="178"/>
      <c r="AN640" s="173"/>
      <c r="AO640" s="173"/>
      <c r="AP640" s="173"/>
      <c r="AQ640" s="178"/>
      <c r="AR640" s="173"/>
      <c r="AS640" s="173"/>
      <c r="AT640" s="140"/>
      <c r="AX640" s="140"/>
      <c r="BB640" s="173"/>
      <c r="BC640" s="173"/>
    </row>
    <row r="641" spans="2:55" s="134" customFormat="1" x14ac:dyDescent="0.2">
      <c r="B641" s="145"/>
      <c r="D641" s="145"/>
      <c r="Z641" s="177"/>
      <c r="AA641" s="178"/>
      <c r="AB641" s="139"/>
      <c r="AC641" s="173"/>
      <c r="AD641" s="177"/>
      <c r="AE641" s="177"/>
      <c r="AF641" s="139"/>
      <c r="AG641" s="139"/>
      <c r="AH641" s="177"/>
      <c r="AI641" s="178"/>
      <c r="AJ641" s="139"/>
      <c r="AK641" s="173"/>
      <c r="AL641" s="177"/>
      <c r="AM641" s="178"/>
      <c r="AN641" s="173"/>
      <c r="AO641" s="173"/>
      <c r="AP641" s="173"/>
      <c r="AQ641" s="178"/>
      <c r="AR641" s="173"/>
      <c r="AS641" s="173"/>
      <c r="AT641" s="140"/>
      <c r="AX641" s="140"/>
      <c r="BB641" s="173"/>
      <c r="BC641" s="173"/>
    </row>
    <row r="642" spans="2:55" s="134" customFormat="1" x14ac:dyDescent="0.2">
      <c r="B642" s="145"/>
      <c r="D642" s="145"/>
      <c r="Z642" s="177"/>
      <c r="AA642" s="178"/>
      <c r="AB642" s="139"/>
      <c r="AC642" s="173"/>
      <c r="AD642" s="177"/>
      <c r="AE642" s="177"/>
      <c r="AF642" s="139"/>
      <c r="AG642" s="139"/>
      <c r="AH642" s="177"/>
      <c r="AI642" s="178"/>
      <c r="AJ642" s="139"/>
      <c r="AK642" s="173"/>
      <c r="AL642" s="177"/>
      <c r="AM642" s="178"/>
      <c r="AN642" s="173"/>
      <c r="AO642" s="173"/>
      <c r="AP642" s="173"/>
      <c r="AQ642" s="178"/>
      <c r="AR642" s="173"/>
      <c r="AS642" s="173"/>
      <c r="AT642" s="140"/>
      <c r="AX642" s="140"/>
      <c r="BB642" s="173"/>
      <c r="BC642" s="173"/>
    </row>
    <row r="643" spans="2:55" s="134" customFormat="1" x14ac:dyDescent="0.2">
      <c r="B643" s="145"/>
      <c r="D643" s="145"/>
      <c r="Z643" s="177"/>
      <c r="AA643" s="178"/>
      <c r="AB643" s="139"/>
      <c r="AC643" s="173"/>
      <c r="AD643" s="177"/>
      <c r="AE643" s="177"/>
      <c r="AF643" s="139"/>
      <c r="AG643" s="139"/>
      <c r="AH643" s="177"/>
      <c r="AI643" s="178"/>
      <c r="AJ643" s="139"/>
      <c r="AK643" s="173"/>
      <c r="AL643" s="177"/>
      <c r="AM643" s="178"/>
      <c r="AN643" s="173"/>
      <c r="AO643" s="173"/>
      <c r="AP643" s="173"/>
      <c r="AQ643" s="178"/>
      <c r="AR643" s="173"/>
      <c r="AS643" s="173"/>
      <c r="AT643" s="140"/>
      <c r="AX643" s="140"/>
      <c r="BB643" s="173"/>
      <c r="BC643" s="173"/>
    </row>
    <row r="644" spans="2:55" s="134" customFormat="1" x14ac:dyDescent="0.2">
      <c r="B644" s="145"/>
      <c r="D644" s="145"/>
      <c r="Z644" s="177"/>
      <c r="AA644" s="178"/>
      <c r="AB644" s="139"/>
      <c r="AC644" s="173"/>
      <c r="AD644" s="177"/>
      <c r="AE644" s="177"/>
      <c r="AF644" s="139"/>
      <c r="AG644" s="139"/>
      <c r="AH644" s="177"/>
      <c r="AI644" s="178"/>
      <c r="AJ644" s="139"/>
      <c r="AK644" s="173"/>
      <c r="AL644" s="177"/>
      <c r="AM644" s="178"/>
      <c r="AN644" s="173"/>
      <c r="AO644" s="173"/>
      <c r="AP644" s="173"/>
      <c r="AQ644" s="178"/>
      <c r="AR644" s="173"/>
      <c r="AS644" s="173"/>
      <c r="AT644" s="140"/>
      <c r="AX644" s="140"/>
      <c r="BB644" s="173"/>
      <c r="BC644" s="173"/>
    </row>
    <row r="645" spans="2:55" s="134" customFormat="1" x14ac:dyDescent="0.2">
      <c r="B645" s="145"/>
      <c r="D645" s="145"/>
      <c r="Z645" s="177"/>
      <c r="AA645" s="178"/>
      <c r="AB645" s="139"/>
      <c r="AC645" s="173"/>
      <c r="AD645" s="177"/>
      <c r="AE645" s="177"/>
      <c r="AF645" s="139"/>
      <c r="AG645" s="139"/>
      <c r="AH645" s="177"/>
      <c r="AI645" s="178"/>
      <c r="AJ645" s="139"/>
      <c r="AK645" s="173"/>
      <c r="AL645" s="177"/>
      <c r="AM645" s="178"/>
      <c r="AN645" s="173"/>
      <c r="AO645" s="173"/>
      <c r="AP645" s="173"/>
      <c r="AQ645" s="178"/>
      <c r="AR645" s="173"/>
      <c r="AS645" s="173"/>
      <c r="AT645" s="140"/>
      <c r="AX645" s="140"/>
      <c r="BB645" s="173"/>
      <c r="BC645" s="173"/>
    </row>
    <row r="646" spans="2:55" s="134" customFormat="1" x14ac:dyDescent="0.2">
      <c r="B646" s="145"/>
      <c r="D646" s="145"/>
      <c r="Z646" s="177"/>
      <c r="AA646" s="178"/>
      <c r="AB646" s="139"/>
      <c r="AC646" s="173"/>
      <c r="AD646" s="177"/>
      <c r="AE646" s="177"/>
      <c r="AF646" s="139"/>
      <c r="AG646" s="139"/>
      <c r="AH646" s="177"/>
      <c r="AI646" s="178"/>
      <c r="AJ646" s="139"/>
      <c r="AK646" s="173"/>
      <c r="AL646" s="177"/>
      <c r="AM646" s="178"/>
      <c r="AN646" s="173"/>
      <c r="AO646" s="173"/>
      <c r="AP646" s="173"/>
      <c r="AQ646" s="178"/>
      <c r="AR646" s="173"/>
      <c r="AS646" s="173"/>
      <c r="AT646" s="140"/>
      <c r="AX646" s="140"/>
      <c r="BB646" s="173"/>
      <c r="BC646" s="173"/>
    </row>
    <row r="647" spans="2:55" s="134" customFormat="1" x14ac:dyDescent="0.2">
      <c r="B647" s="145"/>
      <c r="D647" s="145"/>
      <c r="Z647" s="177"/>
      <c r="AA647" s="178"/>
      <c r="AB647" s="139"/>
      <c r="AC647" s="173"/>
      <c r="AD647" s="177"/>
      <c r="AE647" s="177"/>
      <c r="AF647" s="139"/>
      <c r="AG647" s="139"/>
      <c r="AH647" s="177"/>
      <c r="AI647" s="178"/>
      <c r="AJ647" s="139"/>
      <c r="AK647" s="173"/>
      <c r="AL647" s="177"/>
      <c r="AM647" s="178"/>
      <c r="AN647" s="173"/>
      <c r="AO647" s="173"/>
      <c r="AP647" s="173"/>
      <c r="AQ647" s="178"/>
      <c r="AR647" s="173"/>
      <c r="AS647" s="173"/>
      <c r="AT647" s="140"/>
      <c r="AX647" s="140"/>
      <c r="BB647" s="173"/>
      <c r="BC647" s="173"/>
    </row>
    <row r="648" spans="2:55" s="134" customFormat="1" x14ac:dyDescent="0.2">
      <c r="B648" s="145"/>
      <c r="D648" s="145"/>
      <c r="Z648" s="177"/>
      <c r="AA648" s="178"/>
      <c r="AB648" s="139"/>
      <c r="AC648" s="173"/>
      <c r="AD648" s="177"/>
      <c r="AE648" s="177"/>
      <c r="AF648" s="139"/>
      <c r="AG648" s="139"/>
      <c r="AH648" s="177"/>
      <c r="AI648" s="178"/>
      <c r="AJ648" s="139"/>
      <c r="AK648" s="173"/>
      <c r="AL648" s="177"/>
      <c r="AM648" s="178"/>
      <c r="AN648" s="173"/>
      <c r="AO648" s="173"/>
      <c r="AP648" s="173"/>
      <c r="AQ648" s="178"/>
      <c r="AR648" s="173"/>
      <c r="AS648" s="173"/>
      <c r="AT648" s="140"/>
      <c r="AX648" s="140"/>
      <c r="BB648" s="173"/>
      <c r="BC648" s="173"/>
    </row>
    <row r="649" spans="2:55" s="134" customFormat="1" x14ac:dyDescent="0.2">
      <c r="B649" s="145"/>
      <c r="D649" s="145"/>
      <c r="Z649" s="177"/>
      <c r="AA649" s="178"/>
      <c r="AB649" s="139"/>
      <c r="AC649" s="173"/>
      <c r="AD649" s="177"/>
      <c r="AE649" s="177"/>
      <c r="AF649" s="139"/>
      <c r="AG649" s="139"/>
      <c r="AH649" s="177"/>
      <c r="AI649" s="178"/>
      <c r="AJ649" s="139"/>
      <c r="AK649" s="173"/>
      <c r="AL649" s="177"/>
      <c r="AM649" s="178"/>
      <c r="AN649" s="173"/>
      <c r="AO649" s="173"/>
      <c r="AP649" s="173"/>
      <c r="AQ649" s="178"/>
      <c r="AR649" s="173"/>
      <c r="AS649" s="173"/>
      <c r="AT649" s="140"/>
      <c r="AX649" s="140"/>
      <c r="BB649" s="173"/>
      <c r="BC649" s="173"/>
    </row>
    <row r="650" spans="2:55" s="134" customFormat="1" x14ac:dyDescent="0.2">
      <c r="B650" s="145"/>
      <c r="D650" s="145"/>
      <c r="Z650" s="177"/>
      <c r="AA650" s="178"/>
      <c r="AB650" s="139"/>
      <c r="AC650" s="173"/>
      <c r="AD650" s="177"/>
      <c r="AE650" s="177"/>
      <c r="AF650" s="139"/>
      <c r="AG650" s="139"/>
      <c r="AH650" s="177"/>
      <c r="AI650" s="178"/>
      <c r="AJ650" s="139"/>
      <c r="AK650" s="173"/>
      <c r="AL650" s="177"/>
      <c r="AM650" s="178"/>
      <c r="AN650" s="173"/>
      <c r="AO650" s="173"/>
      <c r="AP650" s="173"/>
      <c r="AQ650" s="178"/>
      <c r="AR650" s="173"/>
      <c r="AS650" s="173"/>
      <c r="AT650" s="140"/>
      <c r="AX650" s="140"/>
      <c r="BB650" s="173"/>
      <c r="BC650" s="173"/>
    </row>
    <row r="651" spans="2:55" s="134" customFormat="1" x14ac:dyDescent="0.2">
      <c r="B651" s="145"/>
      <c r="D651" s="145"/>
      <c r="Z651" s="177"/>
      <c r="AA651" s="178"/>
      <c r="AB651" s="139"/>
      <c r="AC651" s="173"/>
      <c r="AD651" s="177"/>
      <c r="AE651" s="177"/>
      <c r="AF651" s="139"/>
      <c r="AG651" s="139"/>
      <c r="AH651" s="177"/>
      <c r="AI651" s="178"/>
      <c r="AJ651" s="139"/>
      <c r="AK651" s="173"/>
      <c r="AL651" s="177"/>
      <c r="AM651" s="178"/>
      <c r="AN651" s="173"/>
      <c r="AO651" s="173"/>
      <c r="AP651" s="173"/>
      <c r="AQ651" s="178"/>
      <c r="AR651" s="173"/>
      <c r="AS651" s="173"/>
      <c r="AT651" s="140"/>
      <c r="AX651" s="140"/>
      <c r="BB651" s="173"/>
      <c r="BC651" s="173"/>
    </row>
    <row r="652" spans="2:55" s="134" customFormat="1" x14ac:dyDescent="0.2">
      <c r="B652" s="145"/>
      <c r="D652" s="145"/>
      <c r="Z652" s="177"/>
      <c r="AA652" s="178"/>
      <c r="AB652" s="139"/>
      <c r="AC652" s="173"/>
      <c r="AD652" s="177"/>
      <c r="AE652" s="177"/>
      <c r="AF652" s="139"/>
      <c r="AG652" s="139"/>
      <c r="AH652" s="177"/>
      <c r="AI652" s="178"/>
      <c r="AJ652" s="139"/>
      <c r="AK652" s="173"/>
      <c r="AL652" s="177"/>
      <c r="AM652" s="178"/>
      <c r="AN652" s="173"/>
      <c r="AO652" s="173"/>
      <c r="AP652" s="173"/>
      <c r="AQ652" s="178"/>
      <c r="AR652" s="173"/>
      <c r="AS652" s="173"/>
      <c r="AT652" s="140"/>
      <c r="AX652" s="140"/>
      <c r="BB652" s="173"/>
      <c r="BC652" s="173"/>
    </row>
    <row r="653" spans="2:55" s="134" customFormat="1" x14ac:dyDescent="0.2">
      <c r="B653" s="145"/>
      <c r="D653" s="145"/>
      <c r="Z653" s="177"/>
      <c r="AA653" s="178"/>
      <c r="AB653" s="139"/>
      <c r="AC653" s="173"/>
      <c r="AD653" s="177"/>
      <c r="AE653" s="177"/>
      <c r="AF653" s="139"/>
      <c r="AG653" s="139"/>
      <c r="AH653" s="177"/>
      <c r="AI653" s="178"/>
      <c r="AJ653" s="139"/>
      <c r="AK653" s="173"/>
      <c r="AL653" s="177"/>
      <c r="AM653" s="178"/>
      <c r="AN653" s="173"/>
      <c r="AO653" s="173"/>
      <c r="AP653" s="173"/>
      <c r="AQ653" s="178"/>
      <c r="AR653" s="173"/>
      <c r="AS653" s="173"/>
      <c r="AT653" s="140"/>
      <c r="AX653" s="140"/>
      <c r="BB653" s="173"/>
      <c r="BC653" s="173"/>
    </row>
    <row r="654" spans="2:55" s="134" customFormat="1" x14ac:dyDescent="0.2">
      <c r="B654" s="145"/>
      <c r="D654" s="145"/>
      <c r="Z654" s="177"/>
      <c r="AA654" s="178"/>
      <c r="AB654" s="139"/>
      <c r="AC654" s="173"/>
      <c r="AD654" s="177"/>
      <c r="AE654" s="177"/>
      <c r="AF654" s="139"/>
      <c r="AG654" s="139"/>
      <c r="AH654" s="177"/>
      <c r="AI654" s="178"/>
      <c r="AJ654" s="139"/>
      <c r="AK654" s="173"/>
      <c r="AL654" s="177"/>
      <c r="AM654" s="178"/>
      <c r="AN654" s="173"/>
      <c r="AO654" s="173"/>
      <c r="AP654" s="173"/>
      <c r="AQ654" s="178"/>
      <c r="AR654" s="173"/>
      <c r="AS654" s="173"/>
      <c r="AT654" s="140"/>
      <c r="AX654" s="140"/>
      <c r="BB654" s="173"/>
      <c r="BC654" s="173"/>
    </row>
    <row r="655" spans="2:55" s="134" customFormat="1" x14ac:dyDescent="0.2">
      <c r="B655" s="145"/>
      <c r="D655" s="145"/>
      <c r="Z655" s="177"/>
      <c r="AA655" s="178"/>
      <c r="AB655" s="139"/>
      <c r="AC655" s="173"/>
      <c r="AD655" s="177"/>
      <c r="AE655" s="177"/>
      <c r="AF655" s="139"/>
      <c r="AG655" s="139"/>
      <c r="AH655" s="177"/>
      <c r="AI655" s="178"/>
      <c r="AJ655" s="139"/>
      <c r="AK655" s="173"/>
      <c r="AL655" s="177"/>
      <c r="AM655" s="178"/>
      <c r="AN655" s="173"/>
      <c r="AO655" s="173"/>
      <c r="AP655" s="173"/>
      <c r="AQ655" s="178"/>
      <c r="AR655" s="173"/>
      <c r="AS655" s="173"/>
      <c r="AT655" s="140"/>
      <c r="AX655" s="140"/>
      <c r="BB655" s="173"/>
      <c r="BC655" s="173"/>
    </row>
    <row r="656" spans="2:55" s="134" customFormat="1" x14ac:dyDescent="0.2">
      <c r="B656" s="145"/>
      <c r="D656" s="145"/>
      <c r="Z656" s="177"/>
      <c r="AA656" s="178"/>
      <c r="AB656" s="139"/>
      <c r="AC656" s="173"/>
      <c r="AD656" s="177"/>
      <c r="AE656" s="177"/>
      <c r="AF656" s="139"/>
      <c r="AG656" s="139"/>
      <c r="AH656" s="177"/>
      <c r="AI656" s="178"/>
      <c r="AJ656" s="139"/>
      <c r="AK656" s="173"/>
      <c r="AL656" s="177"/>
      <c r="AM656" s="178"/>
      <c r="AN656" s="173"/>
      <c r="AO656" s="173"/>
      <c r="AP656" s="173"/>
      <c r="AQ656" s="178"/>
      <c r="AR656" s="173"/>
      <c r="AS656" s="173"/>
      <c r="AT656" s="140"/>
      <c r="AX656" s="140"/>
      <c r="BB656" s="173"/>
      <c r="BC656" s="173"/>
    </row>
    <row r="657" spans="2:55" s="134" customFormat="1" x14ac:dyDescent="0.2">
      <c r="B657" s="145"/>
      <c r="D657" s="145"/>
      <c r="Z657" s="177"/>
      <c r="AA657" s="178"/>
      <c r="AB657" s="139"/>
      <c r="AC657" s="173"/>
      <c r="AD657" s="177"/>
      <c r="AE657" s="177"/>
      <c r="AF657" s="139"/>
      <c r="AG657" s="139"/>
      <c r="AH657" s="177"/>
      <c r="AI657" s="178"/>
      <c r="AJ657" s="139"/>
      <c r="AK657" s="173"/>
      <c r="AL657" s="177"/>
      <c r="AM657" s="178"/>
      <c r="AN657" s="173"/>
      <c r="AO657" s="173"/>
      <c r="AP657" s="173"/>
      <c r="AQ657" s="178"/>
      <c r="AR657" s="173"/>
      <c r="AS657" s="173"/>
      <c r="AT657" s="140"/>
      <c r="AX657" s="140"/>
      <c r="BB657" s="173"/>
      <c r="BC657" s="173"/>
    </row>
    <row r="658" spans="2:55" s="134" customFormat="1" x14ac:dyDescent="0.2">
      <c r="B658" s="145"/>
      <c r="D658" s="145"/>
      <c r="Z658" s="177"/>
      <c r="AA658" s="178"/>
      <c r="AB658" s="139"/>
      <c r="AC658" s="173"/>
      <c r="AD658" s="177"/>
      <c r="AE658" s="177"/>
      <c r="AF658" s="139"/>
      <c r="AG658" s="139"/>
      <c r="AH658" s="177"/>
      <c r="AI658" s="178"/>
      <c r="AJ658" s="139"/>
      <c r="AK658" s="173"/>
      <c r="AL658" s="177"/>
      <c r="AM658" s="178"/>
      <c r="AN658" s="173"/>
      <c r="AO658" s="173"/>
      <c r="AP658" s="173"/>
      <c r="AQ658" s="178"/>
      <c r="AR658" s="173"/>
      <c r="AS658" s="173"/>
      <c r="AT658" s="140"/>
      <c r="AX658" s="140"/>
      <c r="BB658" s="173"/>
      <c r="BC658" s="173"/>
    </row>
    <row r="659" spans="2:55" s="134" customFormat="1" x14ac:dyDescent="0.2">
      <c r="B659" s="145"/>
      <c r="D659" s="145"/>
      <c r="Z659" s="177"/>
      <c r="AA659" s="178"/>
      <c r="AB659" s="139"/>
      <c r="AC659" s="173"/>
      <c r="AD659" s="177"/>
      <c r="AE659" s="177"/>
      <c r="AF659" s="139"/>
      <c r="AG659" s="139"/>
      <c r="AH659" s="177"/>
      <c r="AI659" s="178"/>
      <c r="AJ659" s="139"/>
      <c r="AK659" s="173"/>
      <c r="AL659" s="177"/>
      <c r="AM659" s="178"/>
      <c r="AN659" s="173"/>
      <c r="AO659" s="173"/>
      <c r="AP659" s="173"/>
      <c r="AQ659" s="178"/>
      <c r="AR659" s="173"/>
      <c r="AS659" s="173"/>
      <c r="AT659" s="140"/>
      <c r="AX659" s="140"/>
      <c r="BB659" s="173"/>
      <c r="BC659" s="173"/>
    </row>
    <row r="660" spans="2:55" s="134" customFormat="1" x14ac:dyDescent="0.2">
      <c r="B660" s="145"/>
      <c r="D660" s="145"/>
      <c r="Z660" s="177"/>
      <c r="AA660" s="178"/>
      <c r="AB660" s="139"/>
      <c r="AC660" s="173"/>
      <c r="AD660" s="177"/>
      <c r="AE660" s="177"/>
      <c r="AF660" s="139"/>
      <c r="AG660" s="139"/>
      <c r="AH660" s="177"/>
      <c r="AI660" s="178"/>
      <c r="AJ660" s="139"/>
      <c r="AK660" s="173"/>
      <c r="AL660" s="177"/>
      <c r="AM660" s="178"/>
      <c r="AN660" s="173"/>
      <c r="AO660" s="173"/>
      <c r="AP660" s="173"/>
      <c r="AQ660" s="178"/>
      <c r="AR660" s="173"/>
      <c r="AS660" s="173"/>
      <c r="AT660" s="140"/>
      <c r="AX660" s="140"/>
      <c r="BB660" s="173"/>
      <c r="BC660" s="173"/>
    </row>
    <row r="661" spans="2:55" s="134" customFormat="1" x14ac:dyDescent="0.2">
      <c r="B661" s="145"/>
      <c r="D661" s="145"/>
      <c r="Z661" s="177"/>
      <c r="AA661" s="178"/>
      <c r="AB661" s="139"/>
      <c r="AC661" s="173"/>
      <c r="AD661" s="177"/>
      <c r="AE661" s="177"/>
      <c r="AF661" s="139"/>
      <c r="AG661" s="139"/>
      <c r="AH661" s="177"/>
      <c r="AI661" s="178"/>
      <c r="AJ661" s="139"/>
      <c r="AK661" s="173"/>
      <c r="AL661" s="177"/>
      <c r="AM661" s="178"/>
      <c r="AN661" s="173"/>
      <c r="AO661" s="173"/>
      <c r="AP661" s="173"/>
      <c r="AQ661" s="178"/>
      <c r="AR661" s="173"/>
      <c r="AS661" s="173"/>
      <c r="AT661" s="140"/>
      <c r="AX661" s="140"/>
      <c r="BB661" s="173"/>
      <c r="BC661" s="173"/>
    </row>
    <row r="662" spans="2:55" s="134" customFormat="1" x14ac:dyDescent="0.2">
      <c r="B662" s="145"/>
      <c r="D662" s="145"/>
      <c r="Z662" s="177"/>
      <c r="AA662" s="178"/>
      <c r="AB662" s="139"/>
      <c r="AC662" s="173"/>
      <c r="AD662" s="177"/>
      <c r="AE662" s="177"/>
      <c r="AF662" s="139"/>
      <c r="AG662" s="139"/>
      <c r="AH662" s="177"/>
      <c r="AI662" s="178"/>
      <c r="AJ662" s="139"/>
      <c r="AK662" s="173"/>
      <c r="AL662" s="177"/>
      <c r="AM662" s="178"/>
      <c r="AN662" s="173"/>
      <c r="AO662" s="173"/>
      <c r="AP662" s="173"/>
      <c r="AQ662" s="178"/>
      <c r="AR662" s="173"/>
      <c r="AS662" s="173"/>
      <c r="AT662" s="140"/>
      <c r="AX662" s="140"/>
      <c r="BB662" s="173"/>
      <c r="BC662" s="173"/>
    </row>
    <row r="663" spans="2:55" s="134" customFormat="1" x14ac:dyDescent="0.2">
      <c r="B663" s="145"/>
      <c r="D663" s="145"/>
      <c r="Z663" s="177"/>
      <c r="AA663" s="178"/>
      <c r="AB663" s="139"/>
      <c r="AC663" s="173"/>
      <c r="AD663" s="177"/>
      <c r="AE663" s="177"/>
      <c r="AF663" s="139"/>
      <c r="AG663" s="139"/>
      <c r="AH663" s="177"/>
      <c r="AI663" s="178"/>
      <c r="AJ663" s="139"/>
      <c r="AK663" s="173"/>
      <c r="AL663" s="177"/>
      <c r="AM663" s="178"/>
      <c r="AN663" s="173"/>
      <c r="AO663" s="173"/>
      <c r="AP663" s="173"/>
      <c r="AQ663" s="178"/>
      <c r="AR663" s="173"/>
      <c r="AS663" s="173"/>
      <c r="AT663" s="140"/>
      <c r="AX663" s="140"/>
      <c r="BB663" s="173"/>
      <c r="BC663" s="173"/>
    </row>
    <row r="664" spans="2:55" s="134" customFormat="1" x14ac:dyDescent="0.2">
      <c r="B664" s="145"/>
      <c r="D664" s="145"/>
      <c r="Z664" s="177"/>
      <c r="AA664" s="178"/>
      <c r="AB664" s="139"/>
      <c r="AC664" s="173"/>
      <c r="AD664" s="177"/>
      <c r="AE664" s="177"/>
      <c r="AF664" s="139"/>
      <c r="AG664" s="139"/>
      <c r="AH664" s="177"/>
      <c r="AI664" s="178"/>
      <c r="AJ664" s="139"/>
      <c r="AK664" s="173"/>
      <c r="AL664" s="177"/>
      <c r="AM664" s="178"/>
      <c r="AN664" s="173"/>
      <c r="AO664" s="173"/>
      <c r="AP664" s="173"/>
      <c r="AQ664" s="178"/>
      <c r="AR664" s="173"/>
      <c r="AS664" s="173"/>
      <c r="AT664" s="140"/>
      <c r="AX664" s="140"/>
      <c r="BB664" s="173"/>
      <c r="BC664" s="173"/>
    </row>
    <row r="665" spans="2:55" s="134" customFormat="1" x14ac:dyDescent="0.2">
      <c r="B665" s="145"/>
      <c r="D665" s="145"/>
      <c r="Z665" s="177"/>
      <c r="AA665" s="178"/>
      <c r="AB665" s="139"/>
      <c r="AC665" s="173"/>
      <c r="AD665" s="177"/>
      <c r="AE665" s="177"/>
      <c r="AF665" s="139"/>
      <c r="AG665" s="139"/>
      <c r="AH665" s="177"/>
      <c r="AI665" s="178"/>
      <c r="AJ665" s="139"/>
      <c r="AK665" s="173"/>
      <c r="AL665" s="177"/>
      <c r="AM665" s="178"/>
      <c r="AN665" s="173"/>
      <c r="AO665" s="173"/>
      <c r="AP665" s="173"/>
      <c r="AQ665" s="178"/>
      <c r="AR665" s="173"/>
      <c r="AS665" s="173"/>
      <c r="AT665" s="140"/>
      <c r="AX665" s="140"/>
      <c r="BB665" s="173"/>
      <c r="BC665" s="173"/>
    </row>
    <row r="666" spans="2:55" s="134" customFormat="1" x14ac:dyDescent="0.2">
      <c r="B666" s="145"/>
      <c r="D666" s="145"/>
      <c r="Z666" s="177"/>
      <c r="AA666" s="178"/>
      <c r="AB666" s="139"/>
      <c r="AC666" s="173"/>
      <c r="AD666" s="177"/>
      <c r="AE666" s="177"/>
      <c r="AF666" s="139"/>
      <c r="AG666" s="139"/>
      <c r="AH666" s="177"/>
      <c r="AI666" s="178"/>
      <c r="AJ666" s="139"/>
      <c r="AK666" s="173"/>
      <c r="AL666" s="177"/>
      <c r="AM666" s="178"/>
      <c r="AN666" s="173"/>
      <c r="AO666" s="173"/>
      <c r="AP666" s="173"/>
      <c r="AQ666" s="178"/>
      <c r="AR666" s="173"/>
      <c r="AS666" s="173"/>
      <c r="AT666" s="140"/>
      <c r="AX666" s="140"/>
      <c r="BB666" s="173"/>
      <c r="BC666" s="173"/>
    </row>
    <row r="667" spans="2:55" s="134" customFormat="1" x14ac:dyDescent="0.2">
      <c r="B667" s="145"/>
      <c r="D667" s="145"/>
      <c r="Z667" s="177"/>
      <c r="AA667" s="178"/>
      <c r="AB667" s="139"/>
      <c r="AC667" s="173"/>
      <c r="AD667" s="177"/>
      <c r="AE667" s="177"/>
      <c r="AF667" s="139"/>
      <c r="AG667" s="139"/>
      <c r="AH667" s="177"/>
      <c r="AI667" s="178"/>
      <c r="AJ667" s="139"/>
      <c r="AK667" s="173"/>
      <c r="AL667" s="177"/>
      <c r="AM667" s="178"/>
      <c r="AN667" s="173"/>
      <c r="AO667" s="173"/>
      <c r="AP667" s="173"/>
      <c r="AQ667" s="178"/>
      <c r="AR667" s="173"/>
      <c r="AS667" s="173"/>
      <c r="AT667" s="140"/>
      <c r="AX667" s="140"/>
      <c r="BB667" s="173"/>
      <c r="BC667" s="173"/>
    </row>
    <row r="668" spans="2:55" s="134" customFormat="1" x14ac:dyDescent="0.2">
      <c r="B668" s="145"/>
      <c r="D668" s="145"/>
      <c r="Z668" s="177"/>
      <c r="AA668" s="178"/>
      <c r="AB668" s="139"/>
      <c r="AC668" s="173"/>
      <c r="AD668" s="177"/>
      <c r="AE668" s="177"/>
      <c r="AF668" s="139"/>
      <c r="AG668" s="139"/>
      <c r="AH668" s="177"/>
      <c r="AI668" s="178"/>
      <c r="AJ668" s="139"/>
      <c r="AK668" s="173"/>
      <c r="AL668" s="177"/>
      <c r="AM668" s="178"/>
      <c r="AN668" s="173"/>
      <c r="AO668" s="173"/>
      <c r="AP668" s="173"/>
      <c r="AQ668" s="178"/>
      <c r="AR668" s="173"/>
      <c r="AS668" s="173"/>
      <c r="AT668" s="140"/>
      <c r="AX668" s="140"/>
      <c r="BB668" s="173"/>
      <c r="BC668" s="173"/>
    </row>
    <row r="669" spans="2:55" s="134" customFormat="1" x14ac:dyDescent="0.2">
      <c r="B669" s="145"/>
      <c r="D669" s="145"/>
      <c r="Z669" s="177"/>
      <c r="AA669" s="178"/>
      <c r="AB669" s="139"/>
      <c r="AC669" s="173"/>
      <c r="AD669" s="177"/>
      <c r="AE669" s="177"/>
      <c r="AF669" s="139"/>
      <c r="AG669" s="139"/>
      <c r="AH669" s="177"/>
      <c r="AI669" s="178"/>
      <c r="AJ669" s="139"/>
      <c r="AK669" s="173"/>
      <c r="AL669" s="177"/>
      <c r="AM669" s="178"/>
      <c r="AN669" s="173"/>
      <c r="AO669" s="173"/>
      <c r="AP669" s="173"/>
      <c r="AQ669" s="178"/>
      <c r="AR669" s="173"/>
      <c r="AS669" s="173"/>
      <c r="AT669" s="140"/>
      <c r="AX669" s="140"/>
      <c r="BB669" s="173"/>
      <c r="BC669" s="173"/>
    </row>
    <row r="670" spans="2:55" s="134" customFormat="1" x14ac:dyDescent="0.2">
      <c r="B670" s="145"/>
      <c r="D670" s="145"/>
      <c r="Z670" s="177"/>
      <c r="AA670" s="178"/>
      <c r="AB670" s="139"/>
      <c r="AC670" s="173"/>
      <c r="AD670" s="177"/>
      <c r="AE670" s="177"/>
      <c r="AF670" s="139"/>
      <c r="AG670" s="139"/>
      <c r="AH670" s="177"/>
      <c r="AI670" s="178"/>
      <c r="AJ670" s="139"/>
      <c r="AK670" s="173"/>
      <c r="AL670" s="177"/>
      <c r="AM670" s="178"/>
      <c r="AN670" s="173"/>
      <c r="AO670" s="173"/>
      <c r="AP670" s="173"/>
      <c r="AQ670" s="178"/>
      <c r="AR670" s="173"/>
      <c r="AS670" s="173"/>
      <c r="AT670" s="140"/>
      <c r="AX670" s="140"/>
      <c r="BB670" s="173"/>
      <c r="BC670" s="173"/>
    </row>
    <row r="671" spans="2:55" s="134" customFormat="1" x14ac:dyDescent="0.2">
      <c r="B671" s="145"/>
      <c r="D671" s="145"/>
      <c r="Z671" s="177"/>
      <c r="AA671" s="178"/>
      <c r="AB671" s="139"/>
      <c r="AC671" s="173"/>
      <c r="AD671" s="177"/>
      <c r="AE671" s="177"/>
      <c r="AF671" s="139"/>
      <c r="AG671" s="139"/>
      <c r="AH671" s="177"/>
      <c r="AI671" s="178"/>
      <c r="AJ671" s="139"/>
      <c r="AK671" s="173"/>
      <c r="AL671" s="177"/>
      <c r="AM671" s="178"/>
      <c r="AN671" s="173"/>
      <c r="AO671" s="173"/>
      <c r="AP671" s="173"/>
      <c r="AQ671" s="178"/>
      <c r="AR671" s="173"/>
      <c r="AS671" s="173"/>
      <c r="AT671" s="140"/>
      <c r="AX671" s="140"/>
      <c r="BB671" s="173"/>
      <c r="BC671" s="173"/>
    </row>
    <row r="672" spans="2:55" s="134" customFormat="1" x14ac:dyDescent="0.2">
      <c r="B672" s="145"/>
      <c r="D672" s="145"/>
      <c r="Z672" s="177"/>
      <c r="AA672" s="178"/>
      <c r="AB672" s="139"/>
      <c r="AC672" s="173"/>
      <c r="AD672" s="177"/>
      <c r="AE672" s="177"/>
      <c r="AF672" s="139"/>
      <c r="AG672" s="139"/>
      <c r="AH672" s="177"/>
      <c r="AI672" s="178"/>
      <c r="AJ672" s="139"/>
      <c r="AK672" s="173"/>
      <c r="AL672" s="177"/>
      <c r="AM672" s="178"/>
      <c r="AN672" s="173"/>
      <c r="AO672" s="173"/>
      <c r="AP672" s="173"/>
      <c r="AQ672" s="178"/>
      <c r="AR672" s="173"/>
      <c r="AS672" s="173"/>
      <c r="AT672" s="140"/>
      <c r="AX672" s="140"/>
      <c r="BB672" s="173"/>
      <c r="BC672" s="173"/>
    </row>
    <row r="673" spans="2:55" s="134" customFormat="1" x14ac:dyDescent="0.2">
      <c r="B673" s="145"/>
      <c r="D673" s="145"/>
      <c r="Z673" s="177"/>
      <c r="AA673" s="178"/>
      <c r="AB673" s="139"/>
      <c r="AC673" s="173"/>
      <c r="AD673" s="177"/>
      <c r="AE673" s="177"/>
      <c r="AF673" s="139"/>
      <c r="AG673" s="139"/>
      <c r="AH673" s="177"/>
      <c r="AI673" s="178"/>
      <c r="AJ673" s="139"/>
      <c r="AK673" s="173"/>
      <c r="AL673" s="177"/>
      <c r="AM673" s="178"/>
      <c r="AN673" s="173"/>
      <c r="AO673" s="173"/>
      <c r="AP673" s="173"/>
      <c r="AQ673" s="178"/>
      <c r="AR673" s="173"/>
      <c r="AS673" s="173"/>
      <c r="AT673" s="140"/>
      <c r="AX673" s="140"/>
      <c r="BB673" s="173"/>
      <c r="BC673" s="173"/>
    </row>
    <row r="674" spans="2:55" s="134" customFormat="1" x14ac:dyDescent="0.2">
      <c r="B674" s="145"/>
      <c r="D674" s="145"/>
      <c r="Z674" s="177"/>
      <c r="AA674" s="178"/>
      <c r="AB674" s="139"/>
      <c r="AC674" s="173"/>
      <c r="AD674" s="177"/>
      <c r="AE674" s="177"/>
      <c r="AF674" s="139"/>
      <c r="AG674" s="139"/>
      <c r="AH674" s="177"/>
      <c r="AI674" s="178"/>
      <c r="AJ674" s="139"/>
      <c r="AK674" s="173"/>
      <c r="AL674" s="177"/>
      <c r="AM674" s="178"/>
      <c r="AN674" s="173"/>
      <c r="AO674" s="173"/>
      <c r="AP674" s="173"/>
      <c r="AQ674" s="178"/>
      <c r="AR674" s="173"/>
      <c r="AS674" s="173"/>
      <c r="AT674" s="140"/>
      <c r="AX674" s="140"/>
      <c r="BB674" s="173"/>
      <c r="BC674" s="173"/>
    </row>
    <row r="675" spans="2:55" s="134" customFormat="1" x14ac:dyDescent="0.2">
      <c r="B675" s="145"/>
      <c r="D675" s="145"/>
      <c r="Z675" s="177"/>
      <c r="AA675" s="178"/>
      <c r="AB675" s="139"/>
      <c r="AC675" s="173"/>
      <c r="AD675" s="177"/>
      <c r="AE675" s="177"/>
      <c r="AF675" s="139"/>
      <c r="AG675" s="139"/>
      <c r="AH675" s="177"/>
      <c r="AI675" s="178"/>
      <c r="AJ675" s="139"/>
      <c r="AK675" s="173"/>
      <c r="AL675" s="177"/>
      <c r="AM675" s="178"/>
      <c r="AN675" s="173"/>
      <c r="AO675" s="173"/>
      <c r="AP675" s="173"/>
      <c r="AQ675" s="178"/>
      <c r="AR675" s="173"/>
      <c r="AS675" s="173"/>
      <c r="AT675" s="140"/>
      <c r="AX675" s="140"/>
      <c r="BB675" s="173"/>
      <c r="BC675" s="173"/>
    </row>
    <row r="676" spans="2:55" s="134" customFormat="1" x14ac:dyDescent="0.2">
      <c r="B676" s="145"/>
      <c r="D676" s="145"/>
      <c r="Z676" s="177"/>
      <c r="AA676" s="178"/>
      <c r="AB676" s="139"/>
      <c r="AC676" s="173"/>
      <c r="AD676" s="177"/>
      <c r="AE676" s="177"/>
      <c r="AF676" s="139"/>
      <c r="AG676" s="139"/>
      <c r="AH676" s="177"/>
      <c r="AI676" s="178"/>
      <c r="AJ676" s="139"/>
      <c r="AK676" s="173"/>
      <c r="AL676" s="177"/>
      <c r="AM676" s="178"/>
      <c r="AN676" s="173"/>
      <c r="AO676" s="173"/>
      <c r="AP676" s="173"/>
      <c r="AQ676" s="178"/>
      <c r="AR676" s="173"/>
      <c r="AS676" s="173"/>
      <c r="AT676" s="140"/>
      <c r="AX676" s="140"/>
      <c r="BB676" s="173"/>
      <c r="BC676" s="173"/>
    </row>
    <row r="677" spans="2:55" s="134" customFormat="1" x14ac:dyDescent="0.2">
      <c r="B677" s="145"/>
      <c r="D677" s="145"/>
      <c r="Z677" s="177"/>
      <c r="AA677" s="178"/>
      <c r="AB677" s="139"/>
      <c r="AC677" s="173"/>
      <c r="AD677" s="177"/>
      <c r="AE677" s="177"/>
      <c r="AF677" s="139"/>
      <c r="AG677" s="139"/>
      <c r="AH677" s="177"/>
      <c r="AI677" s="178"/>
      <c r="AJ677" s="139"/>
      <c r="AK677" s="173"/>
      <c r="AL677" s="177"/>
      <c r="AM677" s="178"/>
      <c r="AN677" s="173"/>
      <c r="AO677" s="173"/>
      <c r="AP677" s="173"/>
      <c r="AQ677" s="178"/>
      <c r="AR677" s="173"/>
      <c r="AS677" s="173"/>
      <c r="AT677" s="140"/>
      <c r="AX677" s="140"/>
      <c r="BB677" s="173"/>
      <c r="BC677" s="173"/>
    </row>
    <row r="678" spans="2:55" s="134" customFormat="1" x14ac:dyDescent="0.2">
      <c r="B678" s="145"/>
      <c r="D678" s="145"/>
      <c r="Z678" s="177"/>
      <c r="AA678" s="178"/>
      <c r="AB678" s="139"/>
      <c r="AC678" s="173"/>
      <c r="AD678" s="177"/>
      <c r="AE678" s="177"/>
      <c r="AF678" s="139"/>
      <c r="AG678" s="139"/>
      <c r="AH678" s="177"/>
      <c r="AI678" s="178"/>
      <c r="AJ678" s="139"/>
      <c r="AK678" s="173"/>
      <c r="AL678" s="177"/>
      <c r="AM678" s="178"/>
      <c r="AN678" s="173"/>
      <c r="AO678" s="173"/>
      <c r="AP678" s="173"/>
      <c r="AQ678" s="178"/>
      <c r="AR678" s="173"/>
      <c r="AS678" s="173"/>
      <c r="AT678" s="140"/>
      <c r="AX678" s="140"/>
      <c r="BB678" s="173"/>
      <c r="BC678" s="173"/>
    </row>
    <row r="679" spans="2:55" s="134" customFormat="1" x14ac:dyDescent="0.2">
      <c r="B679" s="145"/>
      <c r="D679" s="145"/>
      <c r="Z679" s="177"/>
      <c r="AA679" s="178"/>
      <c r="AB679" s="139"/>
      <c r="AC679" s="173"/>
      <c r="AD679" s="177"/>
      <c r="AE679" s="177"/>
      <c r="AF679" s="139"/>
      <c r="AG679" s="139"/>
      <c r="AH679" s="177"/>
      <c r="AI679" s="178"/>
      <c r="AJ679" s="139"/>
      <c r="AK679" s="173"/>
      <c r="AL679" s="177"/>
      <c r="AM679" s="178"/>
      <c r="AN679" s="173"/>
      <c r="AO679" s="173"/>
      <c r="AP679" s="173"/>
      <c r="AQ679" s="178"/>
      <c r="AR679" s="173"/>
      <c r="AS679" s="173"/>
      <c r="AT679" s="140"/>
      <c r="AX679" s="140"/>
      <c r="BB679" s="173"/>
      <c r="BC679" s="173"/>
    </row>
    <row r="680" spans="2:55" s="134" customFormat="1" x14ac:dyDescent="0.2">
      <c r="B680" s="145"/>
      <c r="D680" s="145"/>
      <c r="Z680" s="177"/>
      <c r="AA680" s="178"/>
      <c r="AB680" s="139"/>
      <c r="AC680" s="173"/>
      <c r="AD680" s="177"/>
      <c r="AE680" s="177"/>
      <c r="AF680" s="139"/>
      <c r="AG680" s="139"/>
      <c r="AH680" s="177"/>
      <c r="AI680" s="178"/>
      <c r="AJ680" s="139"/>
      <c r="AK680" s="173"/>
      <c r="AL680" s="177"/>
      <c r="AM680" s="178"/>
      <c r="AN680" s="173"/>
      <c r="AO680" s="173"/>
      <c r="AP680" s="173"/>
      <c r="AQ680" s="178"/>
      <c r="AR680" s="173"/>
      <c r="AS680" s="173"/>
      <c r="AT680" s="140"/>
      <c r="AX680" s="140"/>
      <c r="BB680" s="173"/>
      <c r="BC680" s="173"/>
    </row>
    <row r="681" spans="2:55" s="134" customFormat="1" x14ac:dyDescent="0.2">
      <c r="B681" s="145"/>
      <c r="D681" s="145"/>
      <c r="Z681" s="177"/>
      <c r="AA681" s="178"/>
      <c r="AB681" s="139"/>
      <c r="AC681" s="173"/>
      <c r="AD681" s="177"/>
      <c r="AE681" s="177"/>
      <c r="AF681" s="139"/>
      <c r="AG681" s="139"/>
      <c r="AH681" s="177"/>
      <c r="AI681" s="178"/>
      <c r="AJ681" s="139"/>
      <c r="AK681" s="173"/>
      <c r="AL681" s="177"/>
      <c r="AM681" s="178"/>
      <c r="AN681" s="173"/>
      <c r="AO681" s="173"/>
      <c r="AP681" s="173"/>
      <c r="AQ681" s="178"/>
      <c r="AR681" s="173"/>
      <c r="AS681" s="173"/>
      <c r="AT681" s="140"/>
      <c r="AX681" s="140"/>
      <c r="BB681" s="173"/>
      <c r="BC681" s="173"/>
    </row>
    <row r="682" spans="2:55" s="134" customFormat="1" x14ac:dyDescent="0.2">
      <c r="B682" s="145"/>
      <c r="D682" s="145"/>
      <c r="Z682" s="177"/>
      <c r="AA682" s="178"/>
      <c r="AB682" s="139"/>
      <c r="AC682" s="173"/>
      <c r="AD682" s="177"/>
      <c r="AE682" s="177"/>
      <c r="AF682" s="139"/>
      <c r="AG682" s="139"/>
      <c r="AH682" s="177"/>
      <c r="AI682" s="178"/>
      <c r="AJ682" s="139"/>
      <c r="AK682" s="173"/>
      <c r="AL682" s="177"/>
      <c r="AM682" s="178"/>
      <c r="AN682" s="173"/>
      <c r="AO682" s="173"/>
      <c r="AP682" s="173"/>
      <c r="AQ682" s="178"/>
      <c r="AR682" s="173"/>
      <c r="AS682" s="173"/>
      <c r="AT682" s="140"/>
      <c r="AX682" s="140"/>
      <c r="BB682" s="173"/>
      <c r="BC682" s="173"/>
    </row>
    <row r="683" spans="2:55" s="134" customFormat="1" x14ac:dyDescent="0.2">
      <c r="B683" s="145"/>
      <c r="D683" s="145"/>
      <c r="Z683" s="177"/>
      <c r="AA683" s="178"/>
      <c r="AB683" s="139"/>
      <c r="AC683" s="173"/>
      <c r="AD683" s="177"/>
      <c r="AE683" s="177"/>
      <c r="AF683" s="139"/>
      <c r="AG683" s="139"/>
      <c r="AH683" s="177"/>
      <c r="AI683" s="178"/>
      <c r="AJ683" s="139"/>
      <c r="AK683" s="173"/>
      <c r="AL683" s="177"/>
      <c r="AM683" s="178"/>
      <c r="AN683" s="173"/>
      <c r="AO683" s="173"/>
      <c r="AP683" s="173"/>
      <c r="AQ683" s="178"/>
      <c r="AR683" s="173"/>
      <c r="AS683" s="173"/>
      <c r="AT683" s="140"/>
      <c r="AX683" s="140"/>
      <c r="BB683" s="173"/>
      <c r="BC683" s="173"/>
    </row>
    <row r="684" spans="2:55" s="134" customFormat="1" x14ac:dyDescent="0.2">
      <c r="B684" s="145"/>
      <c r="D684" s="145"/>
      <c r="Z684" s="177"/>
      <c r="AA684" s="178"/>
      <c r="AB684" s="139"/>
      <c r="AC684" s="173"/>
      <c r="AD684" s="177"/>
      <c r="AE684" s="177"/>
      <c r="AF684" s="139"/>
      <c r="AG684" s="139"/>
      <c r="AH684" s="177"/>
      <c r="AI684" s="178"/>
      <c r="AJ684" s="139"/>
      <c r="AK684" s="173"/>
      <c r="AL684" s="177"/>
      <c r="AM684" s="178"/>
      <c r="AN684" s="173"/>
      <c r="AO684" s="173"/>
      <c r="AP684" s="173"/>
      <c r="AQ684" s="178"/>
      <c r="AR684" s="173"/>
      <c r="AS684" s="173"/>
      <c r="AT684" s="140"/>
      <c r="AX684" s="140"/>
      <c r="BB684" s="173"/>
      <c r="BC684" s="173"/>
    </row>
    <row r="685" spans="2:55" s="134" customFormat="1" x14ac:dyDescent="0.2">
      <c r="B685" s="145"/>
      <c r="D685" s="145"/>
      <c r="Z685" s="177"/>
      <c r="AA685" s="178"/>
      <c r="AB685" s="139"/>
      <c r="AC685" s="173"/>
      <c r="AD685" s="177"/>
      <c r="AE685" s="177"/>
      <c r="AF685" s="139"/>
      <c r="AG685" s="139"/>
      <c r="AH685" s="177"/>
      <c r="AI685" s="178"/>
      <c r="AJ685" s="139"/>
      <c r="AK685" s="173"/>
      <c r="AL685" s="177"/>
      <c r="AM685" s="178"/>
      <c r="AN685" s="173"/>
      <c r="AO685" s="173"/>
      <c r="AP685" s="173"/>
      <c r="AQ685" s="178"/>
      <c r="AR685" s="173"/>
      <c r="AS685" s="173"/>
      <c r="AT685" s="140"/>
      <c r="AX685" s="140"/>
      <c r="BB685" s="173"/>
      <c r="BC685" s="173"/>
    </row>
    <row r="686" spans="2:55" s="134" customFormat="1" x14ac:dyDescent="0.2">
      <c r="B686" s="145"/>
      <c r="D686" s="145"/>
      <c r="Z686" s="177"/>
      <c r="AA686" s="178"/>
      <c r="AB686" s="139"/>
      <c r="AC686" s="173"/>
      <c r="AD686" s="177"/>
      <c r="AE686" s="177"/>
      <c r="AF686" s="139"/>
      <c r="AG686" s="139"/>
      <c r="AH686" s="177"/>
      <c r="AI686" s="178"/>
      <c r="AJ686" s="139"/>
      <c r="AK686" s="173"/>
      <c r="AL686" s="177"/>
      <c r="AM686" s="178"/>
      <c r="AN686" s="173"/>
      <c r="AO686" s="173"/>
      <c r="AP686" s="173"/>
      <c r="AQ686" s="178"/>
      <c r="AR686" s="173"/>
      <c r="AS686" s="173"/>
      <c r="AT686" s="140"/>
      <c r="AX686" s="140"/>
      <c r="BB686" s="173"/>
      <c r="BC686" s="173"/>
    </row>
    <row r="687" spans="2:55" s="134" customFormat="1" x14ac:dyDescent="0.2">
      <c r="B687" s="145"/>
      <c r="D687" s="145"/>
      <c r="Z687" s="177"/>
      <c r="AA687" s="178"/>
      <c r="AB687" s="139"/>
      <c r="AC687" s="173"/>
      <c r="AD687" s="177"/>
      <c r="AE687" s="177"/>
      <c r="AF687" s="139"/>
      <c r="AG687" s="139"/>
      <c r="AH687" s="177"/>
      <c r="AI687" s="178"/>
      <c r="AJ687" s="139"/>
      <c r="AK687" s="173"/>
      <c r="AL687" s="177"/>
      <c r="AM687" s="178"/>
      <c r="AN687" s="173"/>
      <c r="AO687" s="173"/>
      <c r="AP687" s="173"/>
      <c r="AQ687" s="178"/>
      <c r="AR687" s="173"/>
      <c r="AS687" s="173"/>
      <c r="AT687" s="140"/>
      <c r="AX687" s="140"/>
      <c r="BB687" s="173"/>
      <c r="BC687" s="173"/>
    </row>
    <row r="688" spans="2:55" s="134" customFormat="1" x14ac:dyDescent="0.2">
      <c r="B688" s="145"/>
      <c r="D688" s="145"/>
      <c r="Z688" s="177"/>
      <c r="AA688" s="178"/>
      <c r="AB688" s="139"/>
      <c r="AC688" s="173"/>
      <c r="AD688" s="177"/>
      <c r="AE688" s="177"/>
      <c r="AF688" s="139"/>
      <c r="AG688" s="139"/>
      <c r="AH688" s="177"/>
      <c r="AI688" s="178"/>
      <c r="AJ688" s="139"/>
      <c r="AK688" s="173"/>
      <c r="AL688" s="177"/>
      <c r="AM688" s="178"/>
      <c r="AN688" s="173"/>
      <c r="AO688" s="173"/>
      <c r="AP688" s="173"/>
      <c r="AQ688" s="178"/>
      <c r="AR688" s="173"/>
      <c r="AS688" s="173"/>
      <c r="AT688" s="140"/>
      <c r="AX688" s="140"/>
      <c r="BB688" s="173"/>
      <c r="BC688" s="173"/>
    </row>
    <row r="689" spans="2:55" s="134" customFormat="1" x14ac:dyDescent="0.2">
      <c r="B689" s="145"/>
      <c r="D689" s="145"/>
      <c r="Z689" s="177"/>
      <c r="AA689" s="178"/>
      <c r="AB689" s="139"/>
      <c r="AC689" s="173"/>
      <c r="AD689" s="177"/>
      <c r="AE689" s="177"/>
      <c r="AF689" s="139"/>
      <c r="AG689" s="139"/>
      <c r="AH689" s="177"/>
      <c r="AI689" s="178"/>
      <c r="AJ689" s="139"/>
      <c r="AK689" s="173"/>
      <c r="AL689" s="177"/>
      <c r="AM689" s="178"/>
      <c r="AN689" s="173"/>
      <c r="AO689" s="173"/>
      <c r="AP689" s="173"/>
      <c r="AQ689" s="178"/>
      <c r="AR689" s="173"/>
      <c r="AS689" s="173"/>
      <c r="AT689" s="140"/>
      <c r="AX689" s="140"/>
      <c r="BB689" s="173"/>
      <c r="BC689" s="173"/>
    </row>
    <row r="690" spans="2:55" s="134" customFormat="1" x14ac:dyDescent="0.2">
      <c r="B690" s="145"/>
      <c r="D690" s="145"/>
      <c r="Z690" s="177"/>
      <c r="AA690" s="178"/>
      <c r="AB690" s="139"/>
      <c r="AC690" s="173"/>
      <c r="AD690" s="177"/>
      <c r="AE690" s="177"/>
      <c r="AF690" s="139"/>
      <c r="AG690" s="139"/>
      <c r="AH690" s="177"/>
      <c r="AI690" s="178"/>
      <c r="AJ690" s="139"/>
      <c r="AK690" s="173"/>
      <c r="AL690" s="177"/>
      <c r="AM690" s="178"/>
      <c r="AN690" s="173"/>
      <c r="AO690" s="173"/>
      <c r="AP690" s="173"/>
      <c r="AQ690" s="178"/>
      <c r="AR690" s="173"/>
      <c r="AS690" s="173"/>
      <c r="AT690" s="140"/>
      <c r="AX690" s="140"/>
      <c r="BB690" s="173"/>
      <c r="BC690" s="173"/>
    </row>
    <row r="691" spans="2:55" s="134" customFormat="1" x14ac:dyDescent="0.2">
      <c r="B691" s="145"/>
      <c r="D691" s="145"/>
      <c r="Z691" s="177"/>
      <c r="AA691" s="178"/>
      <c r="AB691" s="139"/>
      <c r="AC691" s="173"/>
      <c r="AD691" s="177"/>
      <c r="AE691" s="177"/>
      <c r="AF691" s="139"/>
      <c r="AG691" s="139"/>
      <c r="AH691" s="177"/>
      <c r="AI691" s="178"/>
      <c r="AJ691" s="139"/>
      <c r="AK691" s="173"/>
      <c r="AL691" s="177"/>
      <c r="AM691" s="178"/>
      <c r="AN691" s="173"/>
      <c r="AO691" s="173"/>
      <c r="AP691" s="173"/>
      <c r="AQ691" s="178"/>
      <c r="AR691" s="173"/>
      <c r="AS691" s="173"/>
      <c r="AT691" s="140"/>
      <c r="AX691" s="140"/>
      <c r="BB691" s="173"/>
      <c r="BC691" s="173"/>
    </row>
    <row r="692" spans="2:55" s="134" customFormat="1" x14ac:dyDescent="0.2">
      <c r="B692" s="145"/>
      <c r="D692" s="145"/>
      <c r="Z692" s="177"/>
      <c r="AA692" s="178"/>
      <c r="AB692" s="139"/>
      <c r="AC692" s="173"/>
      <c r="AD692" s="177"/>
      <c r="AE692" s="177"/>
      <c r="AF692" s="139"/>
      <c r="AG692" s="139"/>
      <c r="AH692" s="177"/>
      <c r="AI692" s="178"/>
      <c r="AJ692" s="139"/>
      <c r="AK692" s="173"/>
      <c r="AL692" s="177"/>
      <c r="AM692" s="178"/>
      <c r="AN692" s="173"/>
      <c r="AO692" s="173"/>
      <c r="AP692" s="173"/>
      <c r="AQ692" s="178"/>
      <c r="AR692" s="173"/>
      <c r="AS692" s="173"/>
      <c r="AT692" s="140"/>
      <c r="AX692" s="140"/>
      <c r="BB692" s="173"/>
      <c r="BC692" s="173"/>
    </row>
    <row r="693" spans="2:55" s="134" customFormat="1" x14ac:dyDescent="0.2">
      <c r="B693" s="145"/>
      <c r="D693" s="145"/>
      <c r="Z693" s="177"/>
      <c r="AA693" s="178"/>
      <c r="AB693" s="139"/>
      <c r="AC693" s="173"/>
      <c r="AD693" s="177"/>
      <c r="AE693" s="177"/>
      <c r="AF693" s="139"/>
      <c r="AG693" s="139"/>
      <c r="AH693" s="177"/>
      <c r="AI693" s="178"/>
      <c r="AJ693" s="139"/>
      <c r="AK693" s="173"/>
      <c r="AL693" s="177"/>
      <c r="AM693" s="178"/>
      <c r="AN693" s="173"/>
      <c r="AO693" s="173"/>
      <c r="AP693" s="173"/>
      <c r="AQ693" s="178"/>
      <c r="AR693" s="173"/>
      <c r="AS693" s="173"/>
      <c r="AT693" s="140"/>
      <c r="AX693" s="140"/>
      <c r="BB693" s="173"/>
      <c r="BC693" s="173"/>
    </row>
    <row r="694" spans="2:55" s="134" customFormat="1" x14ac:dyDescent="0.2">
      <c r="B694" s="145"/>
      <c r="D694" s="145"/>
      <c r="Z694" s="177"/>
      <c r="AA694" s="178"/>
      <c r="AB694" s="139"/>
      <c r="AC694" s="173"/>
      <c r="AD694" s="177"/>
      <c r="AE694" s="177"/>
      <c r="AF694" s="139"/>
      <c r="AG694" s="139"/>
      <c r="AH694" s="177"/>
      <c r="AI694" s="178"/>
      <c r="AJ694" s="139"/>
      <c r="AK694" s="173"/>
      <c r="AL694" s="177"/>
      <c r="AM694" s="178"/>
      <c r="AN694" s="173"/>
      <c r="AO694" s="173"/>
      <c r="AP694" s="173"/>
      <c r="AQ694" s="178"/>
      <c r="AR694" s="173"/>
      <c r="AS694" s="173"/>
      <c r="AT694" s="140"/>
      <c r="AX694" s="140"/>
      <c r="BB694" s="173"/>
      <c r="BC694" s="173"/>
    </row>
    <row r="695" spans="2:55" s="134" customFormat="1" x14ac:dyDescent="0.2">
      <c r="B695" s="145"/>
      <c r="D695" s="145"/>
      <c r="Z695" s="177"/>
      <c r="AA695" s="178"/>
      <c r="AB695" s="139"/>
      <c r="AC695" s="173"/>
      <c r="AD695" s="177"/>
      <c r="AE695" s="177"/>
      <c r="AF695" s="139"/>
      <c r="AG695" s="139"/>
      <c r="AH695" s="177"/>
      <c r="AI695" s="178"/>
      <c r="AJ695" s="139"/>
      <c r="AK695" s="173"/>
      <c r="AL695" s="177"/>
      <c r="AM695" s="178"/>
      <c r="AN695" s="173"/>
      <c r="AO695" s="173"/>
      <c r="AP695" s="173"/>
      <c r="AQ695" s="178"/>
      <c r="AR695" s="173"/>
      <c r="AS695" s="173"/>
      <c r="AT695" s="140"/>
      <c r="AX695" s="140"/>
      <c r="BB695" s="173"/>
      <c r="BC695" s="173"/>
    </row>
    <row r="696" spans="2:55" s="134" customFormat="1" x14ac:dyDescent="0.2">
      <c r="B696" s="145"/>
      <c r="D696" s="145"/>
      <c r="Z696" s="177"/>
      <c r="AA696" s="178"/>
      <c r="AB696" s="139"/>
      <c r="AC696" s="173"/>
      <c r="AD696" s="177"/>
      <c r="AE696" s="177"/>
      <c r="AF696" s="139"/>
      <c r="AG696" s="139"/>
      <c r="AH696" s="177"/>
      <c r="AI696" s="178"/>
      <c r="AJ696" s="139"/>
      <c r="AK696" s="173"/>
      <c r="AL696" s="177"/>
      <c r="AM696" s="178"/>
      <c r="AN696" s="173"/>
      <c r="AO696" s="173"/>
      <c r="AP696" s="173"/>
      <c r="AQ696" s="178"/>
      <c r="AR696" s="173"/>
      <c r="AS696" s="173"/>
      <c r="AT696" s="140"/>
      <c r="AX696" s="140"/>
      <c r="BB696" s="173"/>
      <c r="BC696" s="173"/>
    </row>
    <row r="697" spans="2:55" s="134" customFormat="1" x14ac:dyDescent="0.2">
      <c r="B697" s="145"/>
      <c r="D697" s="145"/>
      <c r="Z697" s="177"/>
      <c r="AA697" s="178"/>
      <c r="AB697" s="139"/>
      <c r="AC697" s="173"/>
      <c r="AD697" s="177"/>
      <c r="AE697" s="177"/>
      <c r="AF697" s="139"/>
      <c r="AG697" s="139"/>
      <c r="AH697" s="177"/>
      <c r="AI697" s="178"/>
      <c r="AJ697" s="139"/>
      <c r="AK697" s="173"/>
      <c r="AL697" s="177"/>
      <c r="AM697" s="178"/>
      <c r="AN697" s="173"/>
      <c r="AO697" s="173"/>
      <c r="AP697" s="173"/>
      <c r="AQ697" s="178"/>
      <c r="AR697" s="173"/>
      <c r="AS697" s="173"/>
      <c r="AT697" s="140"/>
      <c r="AX697" s="140"/>
      <c r="BB697" s="173"/>
      <c r="BC697" s="173"/>
    </row>
    <row r="698" spans="2:55" s="134" customFormat="1" x14ac:dyDescent="0.2">
      <c r="B698" s="145"/>
      <c r="D698" s="145"/>
      <c r="Z698" s="177"/>
      <c r="AA698" s="178"/>
      <c r="AB698" s="139"/>
      <c r="AC698" s="173"/>
      <c r="AD698" s="177"/>
      <c r="AE698" s="177"/>
      <c r="AF698" s="139"/>
      <c r="AG698" s="139"/>
      <c r="AH698" s="177"/>
      <c r="AI698" s="178"/>
      <c r="AJ698" s="139"/>
      <c r="AK698" s="173"/>
      <c r="AL698" s="177"/>
      <c r="AM698" s="178"/>
      <c r="AN698" s="173"/>
      <c r="AO698" s="173"/>
      <c r="AP698" s="173"/>
      <c r="AQ698" s="178"/>
      <c r="AR698" s="173"/>
      <c r="AS698" s="173"/>
      <c r="AT698" s="140"/>
      <c r="AX698" s="140"/>
      <c r="BB698" s="173"/>
      <c r="BC698" s="173"/>
    </row>
    <row r="699" spans="2:55" s="134" customFormat="1" x14ac:dyDescent="0.2">
      <c r="B699" s="145"/>
      <c r="D699" s="145"/>
      <c r="Z699" s="177"/>
      <c r="AA699" s="178"/>
      <c r="AB699" s="139"/>
      <c r="AC699" s="173"/>
      <c r="AD699" s="177"/>
      <c r="AE699" s="177"/>
      <c r="AF699" s="139"/>
      <c r="AG699" s="139"/>
      <c r="AH699" s="177"/>
      <c r="AI699" s="178"/>
      <c r="AJ699" s="139"/>
      <c r="AK699" s="173"/>
      <c r="AL699" s="177"/>
      <c r="AM699" s="178"/>
      <c r="AN699" s="173"/>
      <c r="AO699" s="173"/>
      <c r="AP699" s="173"/>
      <c r="AQ699" s="178"/>
      <c r="AR699" s="173"/>
      <c r="AS699" s="173"/>
      <c r="AT699" s="140"/>
      <c r="AX699" s="140"/>
      <c r="BB699" s="173"/>
      <c r="BC699" s="173"/>
    </row>
    <row r="700" spans="2:55" s="134" customFormat="1" x14ac:dyDescent="0.2">
      <c r="B700" s="145"/>
      <c r="D700" s="145"/>
      <c r="Z700" s="177"/>
      <c r="AA700" s="178"/>
      <c r="AB700" s="139"/>
      <c r="AC700" s="173"/>
      <c r="AD700" s="177"/>
      <c r="AE700" s="177"/>
      <c r="AF700" s="139"/>
      <c r="AG700" s="139"/>
      <c r="AH700" s="177"/>
      <c r="AI700" s="178"/>
      <c r="AJ700" s="139"/>
      <c r="AK700" s="173"/>
      <c r="AL700" s="177"/>
      <c r="AM700" s="178"/>
      <c r="AN700" s="173"/>
      <c r="AO700" s="173"/>
      <c r="AP700" s="173"/>
      <c r="AQ700" s="178"/>
      <c r="AR700" s="173"/>
      <c r="AS700" s="173"/>
      <c r="AT700" s="140"/>
      <c r="AX700" s="140"/>
      <c r="BB700" s="173"/>
      <c r="BC700" s="173"/>
    </row>
    <row r="701" spans="2:55" s="134" customFormat="1" x14ac:dyDescent="0.2">
      <c r="B701" s="145"/>
      <c r="D701" s="145"/>
      <c r="Z701" s="177"/>
      <c r="AA701" s="178"/>
      <c r="AB701" s="139"/>
      <c r="AC701" s="173"/>
      <c r="AD701" s="177"/>
      <c r="AE701" s="177"/>
      <c r="AF701" s="139"/>
      <c r="AG701" s="139"/>
      <c r="AH701" s="177"/>
      <c r="AI701" s="178"/>
      <c r="AJ701" s="139"/>
      <c r="AK701" s="173"/>
      <c r="AL701" s="177"/>
      <c r="AM701" s="178"/>
      <c r="AN701" s="173"/>
      <c r="AO701" s="173"/>
      <c r="AP701" s="173"/>
      <c r="AQ701" s="178"/>
      <c r="AR701" s="173"/>
      <c r="AS701" s="173"/>
      <c r="AT701" s="140"/>
      <c r="AX701" s="140"/>
      <c r="BB701" s="173"/>
      <c r="BC701" s="173"/>
    </row>
    <row r="702" spans="2:55" s="134" customFormat="1" x14ac:dyDescent="0.2">
      <c r="B702" s="145"/>
      <c r="D702" s="145"/>
      <c r="Z702" s="177"/>
      <c r="AA702" s="178"/>
      <c r="AB702" s="139"/>
      <c r="AC702" s="173"/>
      <c r="AD702" s="177"/>
      <c r="AE702" s="177"/>
      <c r="AF702" s="139"/>
      <c r="AG702" s="139"/>
      <c r="AH702" s="177"/>
      <c r="AI702" s="178"/>
      <c r="AJ702" s="139"/>
      <c r="AK702" s="173"/>
      <c r="AL702" s="177"/>
      <c r="AM702" s="178"/>
      <c r="AN702" s="173"/>
      <c r="AO702" s="173"/>
      <c r="AP702" s="173"/>
      <c r="AQ702" s="178"/>
      <c r="AR702" s="173"/>
      <c r="AS702" s="173"/>
      <c r="AT702" s="140"/>
      <c r="AX702" s="140"/>
      <c r="BB702" s="173"/>
      <c r="BC702" s="173"/>
    </row>
    <row r="703" spans="2:55" s="134" customFormat="1" x14ac:dyDescent="0.2">
      <c r="B703" s="145"/>
      <c r="D703" s="145"/>
      <c r="Z703" s="177"/>
      <c r="AA703" s="178"/>
      <c r="AB703" s="139"/>
      <c r="AC703" s="173"/>
      <c r="AD703" s="177"/>
      <c r="AE703" s="177"/>
      <c r="AF703" s="139"/>
      <c r="AG703" s="139"/>
      <c r="AH703" s="177"/>
      <c r="AI703" s="178"/>
      <c r="AJ703" s="139"/>
      <c r="AK703" s="173"/>
      <c r="AL703" s="177"/>
      <c r="AM703" s="178"/>
      <c r="AN703" s="173"/>
      <c r="AO703" s="173"/>
      <c r="AP703" s="173"/>
      <c r="AQ703" s="178"/>
      <c r="AR703" s="173"/>
      <c r="AS703" s="173"/>
      <c r="AT703" s="140"/>
      <c r="AX703" s="140"/>
      <c r="BB703" s="173"/>
      <c r="BC703" s="173"/>
    </row>
    <row r="704" spans="2:55" s="134" customFormat="1" x14ac:dyDescent="0.2">
      <c r="B704" s="145"/>
      <c r="D704" s="145"/>
      <c r="Z704" s="177"/>
      <c r="AA704" s="178"/>
      <c r="AB704" s="139"/>
      <c r="AC704" s="173"/>
      <c r="AD704" s="177"/>
      <c r="AE704" s="177"/>
      <c r="AF704" s="139"/>
      <c r="AG704" s="139"/>
      <c r="AH704" s="177"/>
      <c r="AI704" s="178"/>
      <c r="AJ704" s="139"/>
      <c r="AK704" s="173"/>
      <c r="AL704" s="177"/>
      <c r="AM704" s="178"/>
      <c r="AN704" s="173"/>
      <c r="AO704" s="173"/>
      <c r="AP704" s="173"/>
      <c r="AQ704" s="178"/>
      <c r="AR704" s="173"/>
      <c r="AS704" s="173"/>
      <c r="AT704" s="140"/>
      <c r="AX704" s="140"/>
      <c r="BB704" s="173"/>
      <c r="BC704" s="173"/>
    </row>
    <row r="705" spans="2:55" s="134" customFormat="1" x14ac:dyDescent="0.2">
      <c r="B705" s="145"/>
      <c r="D705" s="145"/>
      <c r="Z705" s="177"/>
      <c r="AA705" s="178"/>
      <c r="AB705" s="139"/>
      <c r="AC705" s="173"/>
      <c r="AD705" s="177"/>
      <c r="AE705" s="177"/>
      <c r="AF705" s="139"/>
      <c r="AG705" s="139"/>
      <c r="AH705" s="177"/>
      <c r="AI705" s="178"/>
      <c r="AJ705" s="139"/>
      <c r="AK705" s="173"/>
      <c r="AL705" s="177"/>
      <c r="AM705" s="178"/>
      <c r="AN705" s="173"/>
      <c r="AO705" s="173"/>
      <c r="AP705" s="173"/>
      <c r="AQ705" s="178"/>
      <c r="AR705" s="173"/>
      <c r="AS705" s="173"/>
      <c r="AT705" s="140"/>
      <c r="AX705" s="140"/>
      <c r="BB705" s="173"/>
      <c r="BC705" s="173"/>
    </row>
    <row r="706" spans="2:55" s="134" customFormat="1" x14ac:dyDescent="0.2">
      <c r="B706" s="145"/>
      <c r="D706" s="145"/>
      <c r="Z706" s="177"/>
      <c r="AA706" s="178"/>
      <c r="AB706" s="139"/>
      <c r="AC706" s="173"/>
      <c r="AD706" s="177"/>
      <c r="AE706" s="177"/>
      <c r="AF706" s="139"/>
      <c r="AG706" s="139"/>
      <c r="AH706" s="177"/>
      <c r="AI706" s="178"/>
      <c r="AJ706" s="139"/>
      <c r="AK706" s="173"/>
      <c r="AL706" s="177"/>
      <c r="AM706" s="178"/>
      <c r="AN706" s="173"/>
      <c r="AO706" s="173"/>
      <c r="AP706" s="173"/>
      <c r="AQ706" s="178"/>
      <c r="AR706" s="173"/>
      <c r="AS706" s="173"/>
      <c r="AT706" s="140"/>
      <c r="AX706" s="140"/>
      <c r="BB706" s="173"/>
      <c r="BC706" s="173"/>
    </row>
    <row r="707" spans="2:55" s="134" customFormat="1" x14ac:dyDescent="0.2">
      <c r="B707" s="145"/>
      <c r="D707" s="145"/>
      <c r="Z707" s="177"/>
      <c r="AA707" s="178"/>
      <c r="AB707" s="139"/>
      <c r="AC707" s="173"/>
      <c r="AD707" s="177"/>
      <c r="AE707" s="177"/>
      <c r="AF707" s="139"/>
      <c r="AG707" s="139"/>
      <c r="AH707" s="177"/>
      <c r="AI707" s="178"/>
      <c r="AJ707" s="139"/>
      <c r="AK707" s="173"/>
      <c r="AL707" s="177"/>
      <c r="AM707" s="178"/>
      <c r="AN707" s="173"/>
      <c r="AO707" s="173"/>
      <c r="AP707" s="173"/>
      <c r="AQ707" s="178"/>
      <c r="AR707" s="173"/>
      <c r="AS707" s="173"/>
      <c r="AT707" s="140"/>
      <c r="AX707" s="140"/>
      <c r="BB707" s="173"/>
      <c r="BC707" s="173"/>
    </row>
    <row r="708" spans="2:55" s="134" customFormat="1" x14ac:dyDescent="0.2">
      <c r="B708" s="145"/>
      <c r="D708" s="145"/>
      <c r="Z708" s="177"/>
      <c r="AA708" s="178"/>
      <c r="AB708" s="139"/>
      <c r="AC708" s="173"/>
      <c r="AD708" s="177"/>
      <c r="AE708" s="177"/>
      <c r="AF708" s="139"/>
      <c r="AG708" s="139"/>
      <c r="AH708" s="177"/>
      <c r="AI708" s="178"/>
      <c r="AJ708" s="139"/>
      <c r="AK708" s="173"/>
      <c r="AL708" s="177"/>
      <c r="AM708" s="178"/>
      <c r="AN708" s="173"/>
      <c r="AO708" s="173"/>
      <c r="AP708" s="173"/>
      <c r="AQ708" s="178"/>
      <c r="AR708" s="173"/>
      <c r="AS708" s="173"/>
      <c r="AT708" s="140"/>
      <c r="AX708" s="140"/>
      <c r="BB708" s="173"/>
      <c r="BC708" s="173"/>
    </row>
    <row r="709" spans="2:55" s="134" customFormat="1" x14ac:dyDescent="0.2">
      <c r="B709" s="145"/>
      <c r="D709" s="145"/>
      <c r="Z709" s="177"/>
      <c r="AA709" s="178"/>
      <c r="AB709" s="139"/>
      <c r="AC709" s="173"/>
      <c r="AD709" s="177"/>
      <c r="AE709" s="177"/>
      <c r="AF709" s="139"/>
      <c r="AG709" s="139"/>
      <c r="AH709" s="177"/>
      <c r="AI709" s="178"/>
      <c r="AJ709" s="139"/>
      <c r="AK709" s="173"/>
      <c r="AL709" s="177"/>
      <c r="AM709" s="178"/>
      <c r="AN709" s="173"/>
      <c r="AO709" s="173"/>
      <c r="AP709" s="173"/>
      <c r="AQ709" s="178"/>
      <c r="AR709" s="173"/>
      <c r="AS709" s="173"/>
      <c r="AT709" s="140"/>
      <c r="AX709" s="140"/>
      <c r="BB709" s="173"/>
      <c r="BC709" s="173"/>
    </row>
    <row r="710" spans="2:55" s="134" customFormat="1" x14ac:dyDescent="0.2">
      <c r="B710" s="145"/>
      <c r="D710" s="145"/>
      <c r="Z710" s="177"/>
      <c r="AA710" s="178"/>
      <c r="AB710" s="139"/>
      <c r="AC710" s="173"/>
      <c r="AD710" s="177"/>
      <c r="AE710" s="177"/>
      <c r="AF710" s="139"/>
      <c r="AG710" s="139"/>
      <c r="AH710" s="177"/>
      <c r="AI710" s="178"/>
      <c r="AJ710" s="139"/>
      <c r="AK710" s="173"/>
      <c r="AL710" s="177"/>
      <c r="AM710" s="178"/>
      <c r="AN710" s="173"/>
      <c r="AO710" s="173"/>
      <c r="AP710" s="173"/>
      <c r="AQ710" s="178"/>
      <c r="AR710" s="173"/>
      <c r="AS710" s="173"/>
      <c r="AT710" s="140"/>
      <c r="AX710" s="140"/>
      <c r="BB710" s="173"/>
      <c r="BC710" s="173"/>
    </row>
    <row r="711" spans="2:55" s="134" customFormat="1" x14ac:dyDescent="0.2">
      <c r="B711" s="145"/>
      <c r="D711" s="145"/>
      <c r="Z711" s="177"/>
      <c r="AA711" s="178"/>
      <c r="AB711" s="139"/>
      <c r="AC711" s="173"/>
      <c r="AD711" s="177"/>
      <c r="AE711" s="177"/>
      <c r="AF711" s="139"/>
      <c r="AG711" s="139"/>
      <c r="AH711" s="177"/>
      <c r="AI711" s="178"/>
      <c r="AJ711" s="139"/>
      <c r="AK711" s="173"/>
      <c r="AL711" s="177"/>
      <c r="AM711" s="178"/>
      <c r="AN711" s="173"/>
      <c r="AO711" s="173"/>
      <c r="AP711" s="173"/>
      <c r="AQ711" s="178"/>
      <c r="AR711" s="173"/>
      <c r="AS711" s="173"/>
      <c r="AT711" s="140"/>
      <c r="AX711" s="140"/>
      <c r="BB711" s="173"/>
      <c r="BC711" s="173"/>
    </row>
    <row r="712" spans="2:55" s="134" customFormat="1" x14ac:dyDescent="0.2">
      <c r="B712" s="145"/>
      <c r="D712" s="145"/>
      <c r="Z712" s="177"/>
      <c r="AA712" s="178"/>
      <c r="AB712" s="139"/>
      <c r="AC712" s="173"/>
      <c r="AD712" s="177"/>
      <c r="AE712" s="177"/>
      <c r="AF712" s="139"/>
      <c r="AG712" s="139"/>
      <c r="AH712" s="177"/>
      <c r="AI712" s="178"/>
      <c r="AJ712" s="139"/>
      <c r="AK712" s="173"/>
      <c r="AL712" s="177"/>
      <c r="AM712" s="178"/>
      <c r="AN712" s="173"/>
      <c r="AO712" s="173"/>
      <c r="AP712" s="173"/>
      <c r="AQ712" s="178"/>
      <c r="AR712" s="173"/>
      <c r="AS712" s="173"/>
      <c r="AT712" s="140"/>
      <c r="AX712" s="140"/>
      <c r="BB712" s="173"/>
      <c r="BC712" s="173"/>
    </row>
    <row r="713" spans="2:55" s="134" customFormat="1" x14ac:dyDescent="0.2">
      <c r="B713" s="145"/>
      <c r="D713" s="145"/>
      <c r="Z713" s="177"/>
      <c r="AA713" s="178"/>
      <c r="AB713" s="139"/>
      <c r="AC713" s="173"/>
      <c r="AD713" s="177"/>
      <c r="AE713" s="177"/>
      <c r="AF713" s="139"/>
      <c r="AG713" s="139"/>
      <c r="AH713" s="177"/>
      <c r="AI713" s="178"/>
      <c r="AJ713" s="139"/>
      <c r="AK713" s="173"/>
      <c r="AL713" s="177"/>
      <c r="AM713" s="178"/>
      <c r="AN713" s="173"/>
      <c r="AO713" s="173"/>
      <c r="AP713" s="173"/>
      <c r="AQ713" s="178"/>
      <c r="AR713" s="173"/>
      <c r="AS713" s="173"/>
      <c r="AT713" s="140"/>
      <c r="AX713" s="140"/>
      <c r="BB713" s="173"/>
      <c r="BC713" s="173"/>
    </row>
    <row r="714" spans="2:55" s="134" customFormat="1" x14ac:dyDescent="0.2">
      <c r="B714" s="145"/>
      <c r="D714" s="145"/>
      <c r="Z714" s="177"/>
      <c r="AA714" s="178"/>
      <c r="AB714" s="139"/>
      <c r="AC714" s="173"/>
      <c r="AD714" s="177"/>
      <c r="AE714" s="177"/>
      <c r="AF714" s="139"/>
      <c r="AG714" s="139"/>
      <c r="AH714" s="177"/>
      <c r="AI714" s="178"/>
      <c r="AJ714" s="139"/>
      <c r="AK714" s="173"/>
      <c r="AL714" s="177"/>
      <c r="AM714" s="178"/>
      <c r="AN714" s="173"/>
      <c r="AO714" s="173"/>
      <c r="AP714" s="173"/>
      <c r="AQ714" s="178"/>
      <c r="AR714" s="173"/>
      <c r="AS714" s="173"/>
      <c r="AT714" s="140"/>
      <c r="AX714" s="140"/>
      <c r="BB714" s="173"/>
      <c r="BC714" s="173"/>
    </row>
    <row r="715" spans="2:55" s="134" customFormat="1" x14ac:dyDescent="0.2">
      <c r="B715" s="145"/>
      <c r="D715" s="145"/>
      <c r="Z715" s="177"/>
      <c r="AA715" s="178"/>
      <c r="AB715" s="139"/>
      <c r="AC715" s="173"/>
      <c r="AD715" s="177"/>
      <c r="AE715" s="177"/>
      <c r="AF715" s="139"/>
      <c r="AG715" s="139"/>
      <c r="AH715" s="177"/>
      <c r="AI715" s="178"/>
      <c r="AJ715" s="139"/>
      <c r="AK715" s="173"/>
      <c r="AL715" s="177"/>
      <c r="AM715" s="178"/>
      <c r="AN715" s="173"/>
      <c r="AO715" s="173"/>
      <c r="AP715" s="173"/>
      <c r="AQ715" s="178"/>
      <c r="AR715" s="173"/>
      <c r="AS715" s="173"/>
      <c r="AT715" s="140"/>
      <c r="AX715" s="140"/>
      <c r="BB715" s="173"/>
      <c r="BC715" s="173"/>
    </row>
    <row r="716" spans="2:55" s="134" customFormat="1" x14ac:dyDescent="0.2">
      <c r="B716" s="145"/>
      <c r="D716" s="145"/>
      <c r="Z716" s="177"/>
      <c r="AA716" s="178"/>
      <c r="AB716" s="139"/>
      <c r="AC716" s="173"/>
      <c r="AD716" s="177"/>
      <c r="AE716" s="177"/>
      <c r="AF716" s="139"/>
      <c r="AG716" s="139"/>
      <c r="AH716" s="177"/>
      <c r="AI716" s="178"/>
      <c r="AJ716" s="139"/>
      <c r="AK716" s="173"/>
      <c r="AL716" s="177"/>
      <c r="AM716" s="178"/>
      <c r="AN716" s="173"/>
      <c r="AO716" s="173"/>
      <c r="AP716" s="173"/>
      <c r="AQ716" s="178"/>
      <c r="AR716" s="173"/>
      <c r="AS716" s="173"/>
      <c r="AT716" s="140"/>
      <c r="AX716" s="140"/>
      <c r="BB716" s="173"/>
      <c r="BC716" s="173"/>
    </row>
    <row r="717" spans="2:55" s="134" customFormat="1" x14ac:dyDescent="0.2">
      <c r="B717" s="145"/>
      <c r="D717" s="145"/>
      <c r="Z717" s="177"/>
      <c r="AA717" s="178"/>
      <c r="AB717" s="139"/>
      <c r="AC717" s="173"/>
      <c r="AD717" s="177"/>
      <c r="AE717" s="177"/>
      <c r="AF717" s="139"/>
      <c r="AG717" s="139"/>
      <c r="AH717" s="177"/>
      <c r="AI717" s="178"/>
      <c r="AJ717" s="139"/>
      <c r="AK717" s="173"/>
      <c r="AL717" s="177"/>
      <c r="AM717" s="178"/>
      <c r="AN717" s="173"/>
      <c r="AO717" s="173"/>
      <c r="AP717" s="173"/>
      <c r="AQ717" s="178"/>
      <c r="AR717" s="173"/>
      <c r="AS717" s="173"/>
      <c r="AT717" s="140"/>
      <c r="AX717" s="140"/>
      <c r="BB717" s="173"/>
      <c r="BC717" s="173"/>
    </row>
    <row r="718" spans="2:55" s="134" customFormat="1" x14ac:dyDescent="0.2">
      <c r="B718" s="145"/>
      <c r="D718" s="145"/>
      <c r="Z718" s="177"/>
      <c r="AA718" s="178"/>
      <c r="AB718" s="139"/>
      <c r="AC718" s="173"/>
      <c r="AD718" s="177"/>
      <c r="AE718" s="177"/>
      <c r="AF718" s="139"/>
      <c r="AG718" s="139"/>
      <c r="AH718" s="177"/>
      <c r="AI718" s="178"/>
      <c r="AJ718" s="139"/>
      <c r="AK718" s="173"/>
      <c r="AL718" s="177"/>
      <c r="AM718" s="178"/>
      <c r="AN718" s="173"/>
      <c r="AO718" s="173"/>
      <c r="AP718" s="173"/>
      <c r="AQ718" s="178"/>
      <c r="AR718" s="173"/>
      <c r="AS718" s="173"/>
      <c r="AT718" s="140"/>
      <c r="AX718" s="140"/>
      <c r="BB718" s="173"/>
      <c r="BC718" s="173"/>
    </row>
    <row r="719" spans="2:55" s="134" customFormat="1" x14ac:dyDescent="0.2">
      <c r="B719" s="145"/>
      <c r="D719" s="145"/>
      <c r="Z719" s="177"/>
      <c r="AA719" s="178"/>
      <c r="AB719" s="139"/>
      <c r="AC719" s="173"/>
      <c r="AD719" s="177"/>
      <c r="AE719" s="177"/>
      <c r="AF719" s="139"/>
      <c r="AG719" s="139"/>
      <c r="AH719" s="177"/>
      <c r="AI719" s="178"/>
      <c r="AJ719" s="139"/>
      <c r="AK719" s="173"/>
      <c r="AL719" s="177"/>
      <c r="AM719" s="178"/>
      <c r="AN719" s="173"/>
      <c r="AO719" s="173"/>
      <c r="AP719" s="173"/>
      <c r="AQ719" s="178"/>
      <c r="AR719" s="173"/>
      <c r="AS719" s="173"/>
      <c r="AT719" s="140"/>
      <c r="AX719" s="140"/>
      <c r="BB719" s="173"/>
      <c r="BC719" s="173"/>
    </row>
    <row r="720" spans="2:55" s="134" customFormat="1" x14ac:dyDescent="0.2">
      <c r="B720" s="145"/>
      <c r="D720" s="145"/>
      <c r="Z720" s="177"/>
      <c r="AA720" s="178"/>
      <c r="AB720" s="139"/>
      <c r="AC720" s="173"/>
      <c r="AD720" s="177"/>
      <c r="AE720" s="177"/>
      <c r="AF720" s="139"/>
      <c r="AG720" s="139"/>
      <c r="AH720" s="177"/>
      <c r="AI720" s="178"/>
      <c r="AJ720" s="139"/>
      <c r="AK720" s="173"/>
      <c r="AL720" s="177"/>
      <c r="AM720" s="178"/>
      <c r="AN720" s="173"/>
      <c r="AO720" s="173"/>
      <c r="AP720" s="173"/>
      <c r="AQ720" s="178"/>
      <c r="AR720" s="173"/>
      <c r="AS720" s="173"/>
      <c r="AT720" s="140"/>
      <c r="AX720" s="140"/>
      <c r="BB720" s="173"/>
      <c r="BC720" s="173"/>
    </row>
    <row r="721" spans="2:55" s="134" customFormat="1" x14ac:dyDescent="0.2">
      <c r="B721" s="145"/>
      <c r="D721" s="145"/>
      <c r="Z721" s="177"/>
      <c r="AA721" s="178"/>
      <c r="AB721" s="139"/>
      <c r="AC721" s="173"/>
      <c r="AD721" s="177"/>
      <c r="AE721" s="177"/>
      <c r="AF721" s="139"/>
      <c r="AG721" s="139"/>
      <c r="AH721" s="177"/>
      <c r="AI721" s="178"/>
      <c r="AJ721" s="139"/>
      <c r="AK721" s="173"/>
      <c r="AL721" s="177"/>
      <c r="AM721" s="178"/>
      <c r="AN721" s="173"/>
      <c r="AO721" s="173"/>
      <c r="AP721" s="173"/>
      <c r="AQ721" s="178"/>
      <c r="AR721" s="173"/>
      <c r="AS721" s="173"/>
      <c r="AT721" s="140"/>
      <c r="AX721" s="140"/>
      <c r="BB721" s="173"/>
      <c r="BC721" s="173"/>
    </row>
    <row r="722" spans="2:55" s="134" customFormat="1" x14ac:dyDescent="0.2">
      <c r="B722" s="145"/>
      <c r="D722" s="145"/>
      <c r="Z722" s="177"/>
      <c r="AA722" s="178"/>
      <c r="AB722" s="139"/>
      <c r="AC722" s="173"/>
      <c r="AD722" s="177"/>
      <c r="AE722" s="177"/>
      <c r="AF722" s="139"/>
      <c r="AG722" s="139"/>
      <c r="AH722" s="177"/>
      <c r="AI722" s="178"/>
      <c r="AJ722" s="139"/>
      <c r="AK722" s="173"/>
      <c r="AL722" s="177"/>
      <c r="AM722" s="178"/>
      <c r="AN722" s="173"/>
      <c r="AO722" s="173"/>
      <c r="AP722" s="173"/>
      <c r="AQ722" s="178"/>
      <c r="AR722" s="173"/>
      <c r="AS722" s="173"/>
      <c r="AT722" s="140"/>
      <c r="AX722" s="140"/>
      <c r="BB722" s="173"/>
      <c r="BC722" s="173"/>
    </row>
    <row r="723" spans="2:55" s="134" customFormat="1" x14ac:dyDescent="0.2">
      <c r="B723" s="145"/>
      <c r="D723" s="145"/>
      <c r="Z723" s="177"/>
      <c r="AA723" s="178"/>
      <c r="AB723" s="139"/>
      <c r="AC723" s="173"/>
      <c r="AD723" s="177"/>
      <c r="AE723" s="177"/>
      <c r="AF723" s="139"/>
      <c r="AG723" s="139"/>
      <c r="AH723" s="177"/>
      <c r="AI723" s="178"/>
      <c r="AJ723" s="139"/>
      <c r="AK723" s="173"/>
      <c r="AL723" s="177"/>
      <c r="AM723" s="178"/>
      <c r="AN723" s="173"/>
      <c r="AO723" s="173"/>
      <c r="AP723" s="173"/>
      <c r="AQ723" s="178"/>
      <c r="AR723" s="173"/>
      <c r="AS723" s="173"/>
      <c r="AT723" s="140"/>
      <c r="AX723" s="140"/>
      <c r="BB723" s="173"/>
      <c r="BC723" s="173"/>
    </row>
    <row r="724" spans="2:55" s="134" customFormat="1" x14ac:dyDescent="0.2">
      <c r="B724" s="145"/>
      <c r="D724" s="145"/>
      <c r="Z724" s="177"/>
      <c r="AA724" s="178"/>
      <c r="AB724" s="139"/>
      <c r="AC724" s="173"/>
      <c r="AD724" s="177"/>
      <c r="AE724" s="177"/>
      <c r="AF724" s="139"/>
      <c r="AG724" s="139"/>
      <c r="AH724" s="177"/>
      <c r="AI724" s="178"/>
      <c r="AJ724" s="139"/>
      <c r="AK724" s="173"/>
      <c r="AL724" s="177"/>
      <c r="AM724" s="178"/>
      <c r="AN724" s="173"/>
      <c r="AO724" s="173"/>
      <c r="AP724" s="173"/>
      <c r="AQ724" s="178"/>
      <c r="AR724" s="173"/>
      <c r="AS724" s="173"/>
      <c r="AT724" s="140"/>
      <c r="AX724" s="140"/>
      <c r="BB724" s="173"/>
      <c r="BC724" s="173"/>
    </row>
    <row r="725" spans="2:55" s="134" customFormat="1" x14ac:dyDescent="0.2">
      <c r="B725" s="145"/>
      <c r="D725" s="145"/>
      <c r="Z725" s="177"/>
      <c r="AA725" s="178"/>
      <c r="AB725" s="139"/>
      <c r="AC725" s="173"/>
      <c r="AD725" s="177"/>
      <c r="AE725" s="177"/>
      <c r="AF725" s="139"/>
      <c r="AG725" s="139"/>
      <c r="AH725" s="177"/>
      <c r="AI725" s="178"/>
      <c r="AJ725" s="139"/>
      <c r="AK725" s="173"/>
      <c r="AL725" s="177"/>
      <c r="AM725" s="178"/>
      <c r="AN725" s="173"/>
      <c r="AO725" s="173"/>
      <c r="AP725" s="173"/>
      <c r="AQ725" s="178"/>
      <c r="AR725" s="173"/>
      <c r="AS725" s="173"/>
      <c r="AT725" s="140"/>
      <c r="AX725" s="140"/>
      <c r="BB725" s="173"/>
      <c r="BC725" s="173"/>
    </row>
    <row r="726" spans="2:55" s="134" customFormat="1" x14ac:dyDescent="0.2">
      <c r="B726" s="145"/>
      <c r="D726" s="145"/>
      <c r="Z726" s="177"/>
      <c r="AA726" s="178"/>
      <c r="AB726" s="139"/>
      <c r="AC726" s="173"/>
      <c r="AD726" s="177"/>
      <c r="AE726" s="177"/>
      <c r="AF726" s="139"/>
      <c r="AG726" s="139"/>
      <c r="AH726" s="177"/>
      <c r="AI726" s="178"/>
      <c r="AJ726" s="139"/>
      <c r="AK726" s="173"/>
      <c r="AL726" s="177"/>
      <c r="AM726" s="178"/>
      <c r="AN726" s="173"/>
      <c r="AO726" s="173"/>
      <c r="AP726" s="173"/>
      <c r="AQ726" s="178"/>
      <c r="AR726" s="173"/>
      <c r="AS726" s="173"/>
      <c r="AT726" s="140"/>
      <c r="AX726" s="140"/>
      <c r="BB726" s="173"/>
      <c r="BC726" s="173"/>
    </row>
    <row r="727" spans="2:55" s="134" customFormat="1" x14ac:dyDescent="0.2">
      <c r="B727" s="145"/>
      <c r="D727" s="145"/>
      <c r="Z727" s="177"/>
      <c r="AA727" s="178"/>
      <c r="AB727" s="139"/>
      <c r="AC727" s="173"/>
      <c r="AD727" s="177"/>
      <c r="AE727" s="177"/>
      <c r="AF727" s="139"/>
      <c r="AG727" s="139"/>
      <c r="AH727" s="177"/>
      <c r="AI727" s="178"/>
      <c r="AJ727" s="139"/>
      <c r="AK727" s="173"/>
      <c r="AL727" s="177"/>
      <c r="AM727" s="178"/>
      <c r="AN727" s="173"/>
      <c r="AO727" s="173"/>
      <c r="AP727" s="173"/>
      <c r="AQ727" s="178"/>
      <c r="AR727" s="173"/>
      <c r="AS727" s="173"/>
      <c r="AT727" s="140"/>
      <c r="AX727" s="140"/>
      <c r="BB727" s="173"/>
      <c r="BC727" s="173"/>
    </row>
    <row r="728" spans="2:55" s="134" customFormat="1" x14ac:dyDescent="0.2">
      <c r="B728" s="145"/>
      <c r="D728" s="145"/>
      <c r="Z728" s="177"/>
      <c r="AA728" s="178"/>
      <c r="AB728" s="139"/>
      <c r="AC728" s="173"/>
      <c r="AD728" s="177"/>
      <c r="AE728" s="177"/>
      <c r="AF728" s="139"/>
      <c r="AG728" s="139"/>
      <c r="AH728" s="177"/>
      <c r="AI728" s="178"/>
      <c r="AJ728" s="139"/>
      <c r="AK728" s="173"/>
      <c r="AL728" s="177"/>
      <c r="AM728" s="178"/>
      <c r="AN728" s="173"/>
      <c r="AO728" s="173"/>
      <c r="AP728" s="173"/>
      <c r="AQ728" s="178"/>
      <c r="AR728" s="173"/>
      <c r="AS728" s="173"/>
      <c r="AT728" s="140"/>
      <c r="AX728" s="140"/>
      <c r="BB728" s="173"/>
      <c r="BC728" s="173"/>
    </row>
    <row r="729" spans="2:55" s="134" customFormat="1" x14ac:dyDescent="0.2">
      <c r="B729" s="145"/>
      <c r="D729" s="145"/>
      <c r="Z729" s="177"/>
      <c r="AA729" s="178"/>
      <c r="AB729" s="139"/>
      <c r="AC729" s="173"/>
      <c r="AD729" s="177"/>
      <c r="AE729" s="177"/>
      <c r="AF729" s="139"/>
      <c r="AG729" s="139"/>
      <c r="AH729" s="177"/>
      <c r="AI729" s="178"/>
      <c r="AJ729" s="139"/>
      <c r="AK729" s="173"/>
      <c r="AL729" s="177"/>
      <c r="AM729" s="178"/>
      <c r="AN729" s="173"/>
      <c r="AO729" s="173"/>
      <c r="AP729" s="173"/>
      <c r="AQ729" s="178"/>
      <c r="AR729" s="173"/>
      <c r="AS729" s="173"/>
      <c r="AT729" s="140"/>
      <c r="AX729" s="140"/>
      <c r="BB729" s="173"/>
      <c r="BC729" s="173"/>
    </row>
    <row r="730" spans="2:55" s="134" customFormat="1" x14ac:dyDescent="0.2">
      <c r="B730" s="145"/>
      <c r="D730" s="145"/>
      <c r="Z730" s="177"/>
      <c r="AA730" s="178"/>
      <c r="AB730" s="139"/>
      <c r="AC730" s="173"/>
      <c r="AD730" s="177"/>
      <c r="AE730" s="177"/>
      <c r="AF730" s="139"/>
      <c r="AG730" s="139"/>
      <c r="AH730" s="177"/>
      <c r="AI730" s="178"/>
      <c r="AJ730" s="139"/>
      <c r="AK730" s="173"/>
      <c r="AL730" s="177"/>
      <c r="AM730" s="178"/>
      <c r="AN730" s="173"/>
      <c r="AO730" s="173"/>
      <c r="AP730" s="173"/>
      <c r="AQ730" s="178"/>
      <c r="AR730" s="173"/>
      <c r="AS730" s="173"/>
      <c r="AT730" s="140"/>
      <c r="AX730" s="140"/>
      <c r="BB730" s="173"/>
      <c r="BC730" s="173"/>
    </row>
    <row r="731" spans="2:55" s="134" customFormat="1" x14ac:dyDescent="0.2">
      <c r="B731" s="145"/>
      <c r="D731" s="145"/>
      <c r="Z731" s="177"/>
      <c r="AA731" s="178"/>
      <c r="AB731" s="139"/>
      <c r="AC731" s="173"/>
      <c r="AD731" s="177"/>
      <c r="AE731" s="177"/>
      <c r="AF731" s="139"/>
      <c r="AG731" s="139"/>
      <c r="AH731" s="177"/>
      <c r="AI731" s="178"/>
      <c r="AJ731" s="139"/>
      <c r="AK731" s="173"/>
      <c r="AL731" s="177"/>
      <c r="AM731" s="178"/>
      <c r="AN731" s="173"/>
      <c r="AO731" s="173"/>
      <c r="AP731" s="173"/>
      <c r="AQ731" s="178"/>
      <c r="AR731" s="173"/>
      <c r="AS731" s="173"/>
      <c r="AT731" s="140"/>
      <c r="AX731" s="140"/>
      <c r="BB731" s="173"/>
      <c r="BC731" s="173"/>
    </row>
    <row r="732" spans="2:55" s="134" customFormat="1" x14ac:dyDescent="0.2">
      <c r="B732" s="145"/>
      <c r="D732" s="145"/>
      <c r="Z732" s="177"/>
      <c r="AA732" s="178"/>
      <c r="AB732" s="139"/>
      <c r="AC732" s="173"/>
      <c r="AD732" s="177"/>
      <c r="AE732" s="177"/>
      <c r="AF732" s="139"/>
      <c r="AG732" s="139"/>
      <c r="AH732" s="177"/>
      <c r="AI732" s="178"/>
      <c r="AJ732" s="139"/>
      <c r="AK732" s="173"/>
      <c r="AL732" s="177"/>
      <c r="AM732" s="178"/>
      <c r="AN732" s="173"/>
      <c r="AO732" s="173"/>
      <c r="AP732" s="173"/>
      <c r="AQ732" s="178"/>
      <c r="AR732" s="173"/>
      <c r="AS732" s="173"/>
      <c r="AT732" s="140"/>
      <c r="AX732" s="140"/>
      <c r="BB732" s="173"/>
      <c r="BC732" s="173"/>
    </row>
    <row r="733" spans="2:55" s="134" customFormat="1" x14ac:dyDescent="0.2">
      <c r="B733" s="145"/>
      <c r="D733" s="145"/>
      <c r="Z733" s="177"/>
      <c r="AA733" s="178"/>
      <c r="AB733" s="139"/>
      <c r="AC733" s="173"/>
      <c r="AD733" s="177"/>
      <c r="AE733" s="177"/>
      <c r="AF733" s="139"/>
      <c r="AG733" s="139"/>
      <c r="AH733" s="177"/>
      <c r="AI733" s="178"/>
      <c r="AJ733" s="139"/>
      <c r="AK733" s="173"/>
      <c r="AL733" s="177"/>
      <c r="AM733" s="178"/>
      <c r="AN733" s="173"/>
      <c r="AO733" s="173"/>
      <c r="AP733" s="173"/>
      <c r="AQ733" s="178"/>
      <c r="AR733" s="173"/>
      <c r="AS733" s="173"/>
      <c r="AT733" s="140"/>
      <c r="AX733" s="140"/>
      <c r="BB733" s="173"/>
      <c r="BC733" s="173"/>
    </row>
    <row r="734" spans="2:55" s="134" customFormat="1" x14ac:dyDescent="0.2">
      <c r="B734" s="145"/>
      <c r="D734" s="145"/>
      <c r="Z734" s="177"/>
      <c r="AA734" s="178"/>
      <c r="AB734" s="139"/>
      <c r="AC734" s="173"/>
      <c r="AD734" s="177"/>
      <c r="AE734" s="177"/>
      <c r="AF734" s="139"/>
      <c r="AG734" s="139"/>
      <c r="AH734" s="177"/>
      <c r="AI734" s="178"/>
      <c r="AJ734" s="139"/>
      <c r="AK734" s="173"/>
      <c r="AL734" s="177"/>
      <c r="AM734" s="178"/>
      <c r="AN734" s="173"/>
      <c r="AO734" s="173"/>
      <c r="AP734" s="173"/>
      <c r="AQ734" s="178"/>
      <c r="AR734" s="173"/>
      <c r="AS734" s="173"/>
      <c r="AT734" s="140"/>
      <c r="AX734" s="140"/>
      <c r="BB734" s="173"/>
      <c r="BC734" s="173"/>
    </row>
    <row r="735" spans="2:55" s="134" customFormat="1" x14ac:dyDescent="0.2">
      <c r="B735" s="145"/>
      <c r="D735" s="145"/>
      <c r="Z735" s="177"/>
      <c r="AA735" s="178"/>
      <c r="AB735" s="139"/>
      <c r="AC735" s="173"/>
      <c r="AD735" s="177"/>
      <c r="AE735" s="177"/>
      <c r="AF735" s="139"/>
      <c r="AG735" s="139"/>
      <c r="AH735" s="177"/>
      <c r="AI735" s="178"/>
      <c r="AJ735" s="139"/>
      <c r="AK735" s="173"/>
      <c r="AL735" s="177"/>
      <c r="AM735" s="178"/>
      <c r="AN735" s="173"/>
      <c r="AO735" s="173"/>
      <c r="AP735" s="173"/>
      <c r="AQ735" s="178"/>
      <c r="AR735" s="173"/>
      <c r="AS735" s="173"/>
      <c r="AT735" s="140"/>
      <c r="AX735" s="140"/>
      <c r="BB735" s="173"/>
      <c r="BC735" s="173"/>
    </row>
    <row r="736" spans="2:55" s="134" customFormat="1" x14ac:dyDescent="0.2">
      <c r="B736" s="145"/>
      <c r="D736" s="145"/>
      <c r="Z736" s="177"/>
      <c r="AA736" s="178"/>
      <c r="AB736" s="139"/>
      <c r="AC736" s="173"/>
      <c r="AD736" s="177"/>
      <c r="AE736" s="177"/>
      <c r="AF736" s="139"/>
      <c r="AG736" s="139"/>
      <c r="AH736" s="177"/>
      <c r="AI736" s="178"/>
      <c r="AJ736" s="139"/>
      <c r="AK736" s="173"/>
      <c r="AL736" s="177"/>
      <c r="AM736" s="178"/>
      <c r="AN736" s="173"/>
      <c r="AO736" s="173"/>
      <c r="AP736" s="173"/>
      <c r="AQ736" s="178"/>
      <c r="AR736" s="173"/>
      <c r="AS736" s="173"/>
      <c r="AT736" s="140"/>
      <c r="AX736" s="140"/>
      <c r="BB736" s="173"/>
      <c r="BC736" s="173"/>
    </row>
    <row r="737" spans="2:55" s="134" customFormat="1" x14ac:dyDescent="0.2">
      <c r="B737" s="145"/>
      <c r="D737" s="145"/>
      <c r="Z737" s="177"/>
      <c r="AA737" s="178"/>
      <c r="AB737" s="139"/>
      <c r="AC737" s="173"/>
      <c r="AD737" s="177"/>
      <c r="AE737" s="177"/>
      <c r="AF737" s="139"/>
      <c r="AG737" s="139"/>
      <c r="AH737" s="177"/>
      <c r="AI737" s="178"/>
      <c r="AJ737" s="139"/>
      <c r="AK737" s="173"/>
      <c r="AL737" s="177"/>
      <c r="AM737" s="178"/>
      <c r="AN737" s="173"/>
      <c r="AO737" s="173"/>
      <c r="AP737" s="173"/>
      <c r="AQ737" s="178"/>
      <c r="AR737" s="173"/>
      <c r="AS737" s="173"/>
      <c r="AT737" s="140"/>
      <c r="AX737" s="140"/>
      <c r="BB737" s="173"/>
      <c r="BC737" s="173"/>
    </row>
    <row r="738" spans="2:55" s="134" customFormat="1" x14ac:dyDescent="0.2">
      <c r="B738" s="145"/>
      <c r="D738" s="145"/>
      <c r="Z738" s="177"/>
      <c r="AA738" s="178"/>
      <c r="AB738" s="139"/>
      <c r="AC738" s="173"/>
      <c r="AD738" s="177"/>
      <c r="AE738" s="177"/>
      <c r="AF738" s="139"/>
      <c r="AG738" s="139"/>
      <c r="AH738" s="177"/>
      <c r="AI738" s="178"/>
      <c r="AJ738" s="139"/>
      <c r="AK738" s="173"/>
      <c r="AL738" s="177"/>
      <c r="AM738" s="178"/>
      <c r="AN738" s="173"/>
      <c r="AO738" s="173"/>
      <c r="AP738" s="173"/>
      <c r="AQ738" s="178"/>
      <c r="AR738" s="173"/>
      <c r="AS738" s="173"/>
      <c r="AT738" s="140"/>
      <c r="AX738" s="140"/>
      <c r="BB738" s="173"/>
      <c r="BC738" s="173"/>
    </row>
    <row r="739" spans="2:55" s="134" customFormat="1" x14ac:dyDescent="0.2">
      <c r="B739" s="145"/>
      <c r="D739" s="145"/>
      <c r="Z739" s="177"/>
      <c r="AA739" s="178"/>
      <c r="AB739" s="139"/>
      <c r="AC739" s="173"/>
      <c r="AD739" s="177"/>
      <c r="AE739" s="177"/>
      <c r="AF739" s="139"/>
      <c r="AG739" s="139"/>
      <c r="AH739" s="177"/>
      <c r="AI739" s="178"/>
      <c r="AJ739" s="139"/>
      <c r="AK739" s="173"/>
      <c r="AL739" s="177"/>
      <c r="AM739" s="178"/>
      <c r="AN739" s="173"/>
      <c r="AO739" s="173"/>
      <c r="AP739" s="173"/>
      <c r="AQ739" s="178"/>
      <c r="AR739" s="173"/>
      <c r="AS739" s="173"/>
      <c r="AT739" s="140"/>
      <c r="AX739" s="140"/>
      <c r="BB739" s="173"/>
      <c r="BC739" s="173"/>
    </row>
    <row r="740" spans="2:55" s="134" customFormat="1" x14ac:dyDescent="0.2">
      <c r="B740" s="145"/>
      <c r="D740" s="145"/>
      <c r="Z740" s="177"/>
      <c r="AA740" s="178"/>
      <c r="AB740" s="139"/>
      <c r="AC740" s="173"/>
      <c r="AD740" s="177"/>
      <c r="AE740" s="177"/>
      <c r="AF740" s="139"/>
      <c r="AG740" s="139"/>
      <c r="AH740" s="177"/>
      <c r="AI740" s="178"/>
      <c r="AJ740" s="139"/>
      <c r="AK740" s="173"/>
      <c r="AL740" s="177"/>
      <c r="AM740" s="178"/>
      <c r="AN740" s="173"/>
      <c r="AO740" s="173"/>
      <c r="AP740" s="173"/>
      <c r="AQ740" s="178"/>
      <c r="AR740" s="173"/>
      <c r="AS740" s="173"/>
      <c r="AT740" s="140"/>
      <c r="AX740" s="140"/>
      <c r="BB740" s="173"/>
      <c r="BC740" s="173"/>
    </row>
    <row r="741" spans="2:55" s="134" customFormat="1" x14ac:dyDescent="0.2">
      <c r="B741" s="145"/>
      <c r="D741" s="145"/>
      <c r="Z741" s="177"/>
      <c r="AA741" s="178"/>
      <c r="AB741" s="139"/>
      <c r="AC741" s="173"/>
      <c r="AD741" s="177"/>
      <c r="AE741" s="177"/>
      <c r="AF741" s="139"/>
      <c r="AG741" s="139"/>
      <c r="AH741" s="177"/>
      <c r="AI741" s="178"/>
      <c r="AJ741" s="139"/>
      <c r="AK741" s="173"/>
      <c r="AL741" s="177"/>
      <c r="AM741" s="178"/>
      <c r="AN741" s="173"/>
      <c r="AO741" s="173"/>
      <c r="AP741" s="173"/>
      <c r="AQ741" s="178"/>
      <c r="AR741" s="173"/>
      <c r="AS741" s="173"/>
      <c r="AT741" s="140"/>
      <c r="AX741" s="140"/>
      <c r="BB741" s="173"/>
      <c r="BC741" s="173"/>
    </row>
    <row r="742" spans="2:55" s="134" customFormat="1" x14ac:dyDescent="0.2">
      <c r="B742" s="145"/>
      <c r="D742" s="145"/>
      <c r="Z742" s="177"/>
      <c r="AA742" s="178"/>
      <c r="AB742" s="139"/>
      <c r="AC742" s="173"/>
      <c r="AD742" s="177"/>
      <c r="AE742" s="177"/>
      <c r="AF742" s="139"/>
      <c r="AG742" s="139"/>
      <c r="AH742" s="177"/>
      <c r="AI742" s="178"/>
      <c r="AJ742" s="139"/>
      <c r="AK742" s="173"/>
      <c r="AL742" s="177"/>
      <c r="AM742" s="178"/>
      <c r="AN742" s="173"/>
      <c r="AO742" s="173"/>
      <c r="AP742" s="173"/>
      <c r="AQ742" s="178"/>
      <c r="AR742" s="173"/>
      <c r="AS742" s="173"/>
      <c r="AT742" s="140"/>
      <c r="AX742" s="140"/>
      <c r="BB742" s="173"/>
      <c r="BC742" s="173"/>
    </row>
    <row r="743" spans="2:55" s="134" customFormat="1" x14ac:dyDescent="0.2">
      <c r="B743" s="145"/>
      <c r="D743" s="145"/>
      <c r="Z743" s="177"/>
      <c r="AA743" s="178"/>
      <c r="AB743" s="139"/>
      <c r="AC743" s="173"/>
      <c r="AD743" s="177"/>
      <c r="AE743" s="177"/>
      <c r="AF743" s="139"/>
      <c r="AG743" s="139"/>
      <c r="AH743" s="177"/>
      <c r="AI743" s="178"/>
      <c r="AJ743" s="139"/>
      <c r="AK743" s="173"/>
      <c r="AL743" s="177"/>
      <c r="AM743" s="178"/>
      <c r="AN743" s="173"/>
      <c r="AO743" s="173"/>
      <c r="AP743" s="173"/>
      <c r="AQ743" s="178"/>
      <c r="AR743" s="173"/>
      <c r="AS743" s="173"/>
      <c r="AT743" s="140"/>
      <c r="AX743" s="140"/>
      <c r="BB743" s="173"/>
      <c r="BC743" s="173"/>
    </row>
    <row r="744" spans="2:55" s="134" customFormat="1" x14ac:dyDescent="0.2">
      <c r="B744" s="145"/>
      <c r="D744" s="145"/>
      <c r="Z744" s="177"/>
      <c r="AA744" s="178"/>
      <c r="AB744" s="139"/>
      <c r="AC744" s="173"/>
      <c r="AD744" s="177"/>
      <c r="AE744" s="177"/>
      <c r="AF744" s="139"/>
      <c r="AG744" s="139"/>
      <c r="AH744" s="177"/>
      <c r="AI744" s="178"/>
      <c r="AJ744" s="139"/>
      <c r="AK744" s="173"/>
      <c r="AL744" s="177"/>
      <c r="AM744" s="178"/>
      <c r="AN744" s="173"/>
      <c r="AO744" s="173"/>
      <c r="AP744" s="173"/>
      <c r="AQ744" s="178"/>
      <c r="AR744" s="173"/>
      <c r="AS744" s="173"/>
      <c r="AT744" s="140"/>
      <c r="AX744" s="140"/>
      <c r="BB744" s="173"/>
      <c r="BC744" s="173"/>
    </row>
    <row r="745" spans="2:55" s="134" customFormat="1" x14ac:dyDescent="0.2">
      <c r="B745" s="145"/>
      <c r="D745" s="145"/>
      <c r="Z745" s="177"/>
      <c r="AA745" s="178"/>
      <c r="AB745" s="139"/>
      <c r="AC745" s="173"/>
      <c r="AD745" s="177"/>
      <c r="AE745" s="177"/>
      <c r="AF745" s="139"/>
      <c r="AG745" s="139"/>
      <c r="AH745" s="177"/>
      <c r="AI745" s="178"/>
      <c r="AJ745" s="139"/>
      <c r="AK745" s="173"/>
      <c r="AL745" s="177"/>
      <c r="AM745" s="178"/>
      <c r="AN745" s="173"/>
      <c r="AO745" s="173"/>
      <c r="AP745" s="173"/>
      <c r="AQ745" s="178"/>
      <c r="AR745" s="173"/>
      <c r="AS745" s="173"/>
      <c r="AT745" s="140"/>
      <c r="AX745" s="140"/>
      <c r="BB745" s="173"/>
      <c r="BC745" s="173"/>
    </row>
    <row r="746" spans="2:55" s="134" customFormat="1" x14ac:dyDescent="0.2">
      <c r="B746" s="145"/>
      <c r="D746" s="145"/>
      <c r="Z746" s="177"/>
      <c r="AA746" s="178"/>
      <c r="AB746" s="139"/>
      <c r="AC746" s="173"/>
      <c r="AD746" s="177"/>
      <c r="AE746" s="177"/>
      <c r="AF746" s="139"/>
      <c r="AG746" s="139"/>
      <c r="AH746" s="177"/>
      <c r="AI746" s="178"/>
      <c r="AJ746" s="139"/>
      <c r="AK746" s="173"/>
      <c r="AL746" s="177"/>
      <c r="AM746" s="178"/>
      <c r="AN746" s="173"/>
      <c r="AO746" s="173"/>
      <c r="AP746" s="173"/>
      <c r="AQ746" s="178"/>
      <c r="AR746" s="173"/>
      <c r="AS746" s="173"/>
      <c r="AT746" s="140"/>
      <c r="AX746" s="140"/>
      <c r="BB746" s="173"/>
      <c r="BC746" s="173"/>
    </row>
    <row r="747" spans="2:55" s="134" customFormat="1" x14ac:dyDescent="0.2">
      <c r="B747" s="145"/>
      <c r="D747" s="145"/>
      <c r="Z747" s="177"/>
      <c r="AA747" s="178"/>
      <c r="AB747" s="139"/>
      <c r="AC747" s="173"/>
      <c r="AD747" s="177"/>
      <c r="AE747" s="177"/>
      <c r="AF747" s="139"/>
      <c r="AG747" s="139"/>
      <c r="AH747" s="177"/>
      <c r="AI747" s="178"/>
      <c r="AJ747" s="139"/>
      <c r="AK747" s="173"/>
      <c r="AL747" s="177"/>
      <c r="AM747" s="178"/>
      <c r="AN747" s="173"/>
      <c r="AO747" s="173"/>
      <c r="AP747" s="173"/>
      <c r="AQ747" s="178"/>
      <c r="AR747" s="173"/>
      <c r="AS747" s="173"/>
      <c r="AT747" s="140"/>
      <c r="AX747" s="140"/>
      <c r="BB747" s="173"/>
      <c r="BC747" s="173"/>
    </row>
    <row r="748" spans="2:55" s="134" customFormat="1" x14ac:dyDescent="0.2">
      <c r="B748" s="145"/>
      <c r="D748" s="145"/>
      <c r="Z748" s="177"/>
      <c r="AA748" s="178"/>
      <c r="AB748" s="139"/>
      <c r="AC748" s="173"/>
      <c r="AD748" s="177"/>
      <c r="AE748" s="177"/>
      <c r="AF748" s="139"/>
      <c r="AG748" s="139"/>
      <c r="AH748" s="177"/>
      <c r="AI748" s="178"/>
      <c r="AJ748" s="139"/>
      <c r="AK748" s="173"/>
      <c r="AL748" s="177"/>
      <c r="AM748" s="178"/>
      <c r="AN748" s="173"/>
      <c r="AO748" s="173"/>
      <c r="AP748" s="173"/>
      <c r="AQ748" s="178"/>
      <c r="AR748" s="173"/>
      <c r="AS748" s="173"/>
      <c r="AT748" s="140"/>
      <c r="AX748" s="140"/>
      <c r="BB748" s="173"/>
      <c r="BC748" s="173"/>
    </row>
    <row r="749" spans="2:55" s="134" customFormat="1" x14ac:dyDescent="0.2">
      <c r="B749" s="145"/>
      <c r="D749" s="145"/>
      <c r="Z749" s="177"/>
      <c r="AA749" s="178"/>
      <c r="AB749" s="139"/>
      <c r="AC749" s="173"/>
      <c r="AD749" s="177"/>
      <c r="AE749" s="177"/>
      <c r="AF749" s="139"/>
      <c r="AG749" s="139"/>
      <c r="AH749" s="177"/>
      <c r="AI749" s="178"/>
      <c r="AJ749" s="139"/>
      <c r="AK749" s="173"/>
      <c r="AL749" s="177"/>
      <c r="AM749" s="178"/>
      <c r="AN749" s="173"/>
      <c r="AO749" s="173"/>
      <c r="AP749" s="173"/>
      <c r="AQ749" s="178"/>
      <c r="AR749" s="173"/>
      <c r="AS749" s="173"/>
      <c r="AT749" s="140"/>
      <c r="AX749" s="140"/>
      <c r="BB749" s="173"/>
      <c r="BC749" s="173"/>
    </row>
    <row r="750" spans="2:55" s="134" customFormat="1" x14ac:dyDescent="0.2">
      <c r="B750" s="145"/>
      <c r="D750" s="145"/>
      <c r="Z750" s="177"/>
      <c r="AA750" s="178"/>
      <c r="AB750" s="139"/>
      <c r="AC750" s="173"/>
      <c r="AD750" s="177"/>
      <c r="AE750" s="177"/>
      <c r="AF750" s="139"/>
      <c r="AG750" s="139"/>
      <c r="AH750" s="177"/>
      <c r="AI750" s="178"/>
      <c r="AJ750" s="139"/>
      <c r="AK750" s="173"/>
      <c r="AL750" s="177"/>
      <c r="AM750" s="178"/>
      <c r="AN750" s="173"/>
      <c r="AO750" s="173"/>
      <c r="AP750" s="173"/>
      <c r="AQ750" s="178"/>
      <c r="AR750" s="173"/>
      <c r="AS750" s="173"/>
      <c r="AT750" s="140"/>
      <c r="AX750" s="140"/>
      <c r="BB750" s="173"/>
      <c r="BC750" s="173"/>
    </row>
    <row r="751" spans="2:55" s="134" customFormat="1" x14ac:dyDescent="0.2">
      <c r="B751" s="145"/>
      <c r="D751" s="145"/>
      <c r="Z751" s="177"/>
      <c r="AA751" s="178"/>
      <c r="AB751" s="139"/>
      <c r="AC751" s="173"/>
      <c r="AD751" s="177"/>
      <c r="AE751" s="177"/>
      <c r="AF751" s="139"/>
      <c r="AG751" s="139"/>
      <c r="AH751" s="177"/>
      <c r="AI751" s="178"/>
      <c r="AJ751" s="139"/>
      <c r="AK751" s="173"/>
      <c r="AL751" s="177"/>
      <c r="AM751" s="178"/>
      <c r="AN751" s="173"/>
      <c r="AO751" s="173"/>
      <c r="AP751" s="173"/>
      <c r="AQ751" s="178"/>
      <c r="AR751" s="173"/>
      <c r="AS751" s="173"/>
      <c r="AT751" s="140"/>
      <c r="AX751" s="140"/>
      <c r="BB751" s="173"/>
      <c r="BC751" s="173"/>
    </row>
    <row r="752" spans="2:55" s="134" customFormat="1" x14ac:dyDescent="0.2">
      <c r="B752" s="145"/>
      <c r="D752" s="145"/>
      <c r="Z752" s="177"/>
      <c r="AA752" s="178"/>
      <c r="AB752" s="139"/>
      <c r="AC752" s="173"/>
      <c r="AD752" s="177"/>
      <c r="AE752" s="177"/>
      <c r="AF752" s="139"/>
      <c r="AG752" s="139"/>
      <c r="AH752" s="177"/>
      <c r="AI752" s="178"/>
      <c r="AJ752" s="139"/>
      <c r="AK752" s="173"/>
      <c r="AL752" s="177"/>
      <c r="AM752" s="178"/>
      <c r="AN752" s="173"/>
      <c r="AO752" s="173"/>
      <c r="AP752" s="173"/>
      <c r="AQ752" s="178"/>
      <c r="AR752" s="173"/>
      <c r="AS752" s="173"/>
      <c r="AT752" s="140"/>
      <c r="AX752" s="140"/>
      <c r="BB752" s="173"/>
      <c r="BC752" s="173"/>
    </row>
    <row r="753" spans="2:55" s="134" customFormat="1" x14ac:dyDescent="0.2">
      <c r="B753" s="145"/>
      <c r="D753" s="145"/>
      <c r="Z753" s="177"/>
      <c r="AA753" s="178"/>
      <c r="AB753" s="139"/>
      <c r="AC753" s="173"/>
      <c r="AD753" s="177"/>
      <c r="AE753" s="177"/>
      <c r="AF753" s="139"/>
      <c r="AG753" s="139"/>
      <c r="AH753" s="177"/>
      <c r="AI753" s="178"/>
      <c r="AJ753" s="139"/>
      <c r="AK753" s="173"/>
      <c r="AL753" s="177"/>
      <c r="AM753" s="178"/>
      <c r="AN753" s="173"/>
      <c r="AO753" s="173"/>
      <c r="AP753" s="173"/>
      <c r="AQ753" s="178"/>
      <c r="AR753" s="173"/>
      <c r="AS753" s="173"/>
      <c r="AT753" s="140"/>
      <c r="AX753" s="140"/>
      <c r="BB753" s="173"/>
      <c r="BC753" s="173"/>
    </row>
    <row r="754" spans="2:55" s="134" customFormat="1" x14ac:dyDescent="0.2">
      <c r="B754" s="145"/>
      <c r="D754" s="145"/>
      <c r="Z754" s="177"/>
      <c r="AA754" s="178"/>
      <c r="AB754" s="139"/>
      <c r="AC754" s="173"/>
      <c r="AD754" s="177"/>
      <c r="AE754" s="177"/>
      <c r="AF754" s="139"/>
      <c r="AG754" s="139"/>
      <c r="AH754" s="177"/>
      <c r="AI754" s="178"/>
      <c r="AJ754" s="139"/>
      <c r="AK754" s="173"/>
      <c r="AL754" s="177"/>
      <c r="AM754" s="178"/>
      <c r="AN754" s="173"/>
      <c r="AO754" s="173"/>
      <c r="AP754" s="173"/>
      <c r="AQ754" s="178"/>
      <c r="AR754" s="173"/>
      <c r="AS754" s="173"/>
      <c r="AT754" s="140"/>
      <c r="AX754" s="140"/>
      <c r="BB754" s="173"/>
      <c r="BC754" s="173"/>
    </row>
    <row r="755" spans="2:55" s="134" customFormat="1" x14ac:dyDescent="0.2">
      <c r="B755" s="145"/>
      <c r="D755" s="145"/>
      <c r="Z755" s="177"/>
      <c r="AA755" s="178"/>
      <c r="AB755" s="139"/>
      <c r="AC755" s="173"/>
      <c r="AD755" s="177"/>
      <c r="AE755" s="177"/>
      <c r="AF755" s="139"/>
      <c r="AG755" s="139"/>
      <c r="AH755" s="177"/>
      <c r="AI755" s="178"/>
      <c r="AJ755" s="139"/>
      <c r="AK755" s="173"/>
      <c r="AL755" s="177"/>
      <c r="AM755" s="178"/>
      <c r="AN755" s="173"/>
      <c r="AO755" s="173"/>
      <c r="AP755" s="173"/>
      <c r="AQ755" s="178"/>
      <c r="AR755" s="173"/>
      <c r="AS755" s="173"/>
      <c r="AT755" s="140"/>
      <c r="AX755" s="140"/>
      <c r="BB755" s="173"/>
      <c r="BC755" s="173"/>
    </row>
    <row r="756" spans="2:55" s="134" customFormat="1" x14ac:dyDescent="0.2">
      <c r="B756" s="145"/>
      <c r="D756" s="145"/>
      <c r="Z756" s="177"/>
      <c r="AA756" s="178"/>
      <c r="AB756" s="139"/>
      <c r="AC756" s="173"/>
      <c r="AD756" s="177"/>
      <c r="AE756" s="177"/>
      <c r="AF756" s="139"/>
      <c r="AG756" s="139"/>
      <c r="AH756" s="177"/>
      <c r="AI756" s="178"/>
      <c r="AJ756" s="139"/>
      <c r="AK756" s="173"/>
      <c r="AL756" s="177"/>
      <c r="AM756" s="178"/>
      <c r="AN756" s="173"/>
      <c r="AO756" s="173"/>
      <c r="AP756" s="173"/>
      <c r="AQ756" s="178"/>
      <c r="AR756" s="173"/>
      <c r="AS756" s="173"/>
      <c r="AT756" s="140"/>
      <c r="AX756" s="140"/>
      <c r="BB756" s="173"/>
      <c r="BC756" s="173"/>
    </row>
    <row r="757" spans="2:55" s="134" customFormat="1" x14ac:dyDescent="0.2">
      <c r="B757" s="145"/>
      <c r="D757" s="145"/>
      <c r="Z757" s="177"/>
      <c r="AA757" s="178"/>
      <c r="AB757" s="139"/>
      <c r="AC757" s="173"/>
      <c r="AD757" s="177"/>
      <c r="AE757" s="177"/>
      <c r="AF757" s="139"/>
      <c r="AG757" s="139"/>
      <c r="AH757" s="177"/>
      <c r="AI757" s="178"/>
      <c r="AJ757" s="139"/>
      <c r="AK757" s="173"/>
      <c r="AL757" s="177"/>
      <c r="AM757" s="178"/>
      <c r="AN757" s="173"/>
      <c r="AO757" s="173"/>
      <c r="AP757" s="173"/>
      <c r="AQ757" s="178"/>
      <c r="AR757" s="173"/>
      <c r="AS757" s="173"/>
      <c r="AT757" s="140"/>
      <c r="AX757" s="140"/>
      <c r="BB757" s="173"/>
      <c r="BC757" s="173"/>
    </row>
    <row r="758" spans="2:55" s="134" customFormat="1" x14ac:dyDescent="0.2">
      <c r="B758" s="145"/>
      <c r="D758" s="145"/>
      <c r="Z758" s="177"/>
      <c r="AA758" s="178"/>
      <c r="AB758" s="139"/>
      <c r="AC758" s="173"/>
      <c r="AD758" s="177"/>
      <c r="AE758" s="177"/>
      <c r="AF758" s="139"/>
      <c r="AG758" s="139"/>
      <c r="AH758" s="177"/>
      <c r="AI758" s="178"/>
      <c r="AJ758" s="139"/>
      <c r="AK758" s="173"/>
      <c r="AL758" s="177"/>
      <c r="AM758" s="178"/>
      <c r="AN758" s="173"/>
      <c r="AO758" s="173"/>
      <c r="AP758" s="173"/>
      <c r="AQ758" s="178"/>
      <c r="AR758" s="173"/>
      <c r="AS758" s="173"/>
      <c r="AT758" s="140"/>
      <c r="AX758" s="140"/>
      <c r="BB758" s="173"/>
      <c r="BC758" s="173"/>
    </row>
    <row r="759" spans="2:55" s="134" customFormat="1" x14ac:dyDescent="0.2">
      <c r="B759" s="145"/>
      <c r="D759" s="145"/>
      <c r="Z759" s="177"/>
      <c r="AA759" s="178"/>
      <c r="AB759" s="139"/>
      <c r="AC759" s="173"/>
      <c r="AD759" s="177"/>
      <c r="AE759" s="177"/>
      <c r="AF759" s="139"/>
      <c r="AG759" s="139"/>
      <c r="AH759" s="177"/>
      <c r="AI759" s="178"/>
      <c r="AJ759" s="139"/>
      <c r="AK759" s="173"/>
      <c r="AL759" s="177"/>
      <c r="AM759" s="178"/>
      <c r="AN759" s="173"/>
      <c r="AO759" s="173"/>
      <c r="AP759" s="173"/>
      <c r="AQ759" s="178"/>
      <c r="AR759" s="173"/>
      <c r="AS759" s="173"/>
      <c r="AT759" s="140"/>
      <c r="AX759" s="140"/>
      <c r="BB759" s="173"/>
      <c r="BC759" s="173"/>
    </row>
    <row r="760" spans="2:55" s="134" customFormat="1" x14ac:dyDescent="0.2">
      <c r="B760" s="145"/>
      <c r="D760" s="145"/>
      <c r="Z760" s="177"/>
      <c r="AA760" s="178"/>
      <c r="AB760" s="139"/>
      <c r="AC760" s="173"/>
      <c r="AD760" s="177"/>
      <c r="AE760" s="177"/>
      <c r="AF760" s="139"/>
      <c r="AG760" s="139"/>
      <c r="AH760" s="177"/>
      <c r="AI760" s="178"/>
      <c r="AJ760" s="139"/>
      <c r="AK760" s="173"/>
      <c r="AL760" s="177"/>
      <c r="AM760" s="178"/>
      <c r="AN760" s="173"/>
      <c r="AO760" s="173"/>
      <c r="AP760" s="173"/>
      <c r="AQ760" s="178"/>
      <c r="AR760" s="173"/>
      <c r="AS760" s="173"/>
      <c r="AT760" s="140"/>
      <c r="AX760" s="140"/>
      <c r="BB760" s="173"/>
      <c r="BC760" s="173"/>
    </row>
    <row r="761" spans="2:55" s="134" customFormat="1" x14ac:dyDescent="0.2">
      <c r="B761" s="145"/>
      <c r="D761" s="145"/>
      <c r="Z761" s="177"/>
      <c r="AA761" s="178"/>
      <c r="AB761" s="139"/>
      <c r="AC761" s="173"/>
      <c r="AD761" s="177"/>
      <c r="AE761" s="177"/>
      <c r="AF761" s="139"/>
      <c r="AG761" s="139"/>
      <c r="AH761" s="177"/>
      <c r="AI761" s="178"/>
      <c r="AJ761" s="139"/>
      <c r="AK761" s="173"/>
      <c r="AL761" s="177"/>
      <c r="AM761" s="178"/>
      <c r="AN761" s="173"/>
      <c r="AO761" s="173"/>
      <c r="AP761" s="173"/>
      <c r="AQ761" s="178"/>
      <c r="AR761" s="173"/>
      <c r="AS761" s="173"/>
      <c r="AT761" s="140"/>
      <c r="AX761" s="140"/>
      <c r="BB761" s="173"/>
      <c r="BC761" s="173"/>
    </row>
    <row r="762" spans="2:55" s="134" customFormat="1" x14ac:dyDescent="0.2">
      <c r="B762" s="145"/>
      <c r="D762" s="145"/>
      <c r="Z762" s="177"/>
      <c r="AA762" s="178"/>
      <c r="AB762" s="139"/>
      <c r="AC762" s="173"/>
      <c r="AD762" s="177"/>
      <c r="AE762" s="177"/>
      <c r="AF762" s="139"/>
      <c r="AG762" s="139"/>
      <c r="AH762" s="177"/>
      <c r="AI762" s="178"/>
      <c r="AJ762" s="139"/>
      <c r="AK762" s="173"/>
      <c r="AL762" s="177"/>
      <c r="AM762" s="178"/>
      <c r="AN762" s="173"/>
      <c r="AO762" s="173"/>
      <c r="AP762" s="173"/>
      <c r="AQ762" s="178"/>
      <c r="AR762" s="173"/>
      <c r="AS762" s="173"/>
      <c r="AT762" s="140"/>
      <c r="AX762" s="140"/>
      <c r="BB762" s="173"/>
      <c r="BC762" s="173"/>
    </row>
    <row r="763" spans="2:55" s="134" customFormat="1" x14ac:dyDescent="0.2">
      <c r="B763" s="145"/>
      <c r="D763" s="145"/>
      <c r="Z763" s="177"/>
      <c r="AA763" s="178"/>
      <c r="AB763" s="139"/>
      <c r="AC763" s="173"/>
      <c r="AD763" s="177"/>
      <c r="AE763" s="177"/>
      <c r="AF763" s="139"/>
      <c r="AG763" s="139"/>
      <c r="AH763" s="177"/>
      <c r="AI763" s="178"/>
      <c r="AJ763" s="139"/>
      <c r="AK763" s="173"/>
      <c r="AL763" s="177"/>
      <c r="AM763" s="178"/>
      <c r="AN763" s="173"/>
      <c r="AO763" s="173"/>
      <c r="AP763" s="173"/>
      <c r="AQ763" s="178"/>
      <c r="AR763" s="173"/>
      <c r="AS763" s="173"/>
      <c r="AT763" s="140"/>
      <c r="AX763" s="140"/>
      <c r="BB763" s="173"/>
      <c r="BC763" s="173"/>
    </row>
    <row r="764" spans="2:55" s="134" customFormat="1" x14ac:dyDescent="0.2">
      <c r="B764" s="145"/>
      <c r="D764" s="145"/>
      <c r="Z764" s="177"/>
      <c r="AA764" s="178"/>
      <c r="AB764" s="139"/>
      <c r="AC764" s="173"/>
      <c r="AD764" s="177"/>
      <c r="AE764" s="177"/>
      <c r="AF764" s="139"/>
      <c r="AG764" s="139"/>
      <c r="AH764" s="177"/>
      <c r="AI764" s="178"/>
      <c r="AJ764" s="139"/>
      <c r="AK764" s="173"/>
      <c r="AL764" s="177"/>
      <c r="AM764" s="178"/>
      <c r="AN764" s="173"/>
      <c r="AO764" s="173"/>
      <c r="AP764" s="173"/>
      <c r="AQ764" s="178"/>
      <c r="AR764" s="173"/>
      <c r="AS764" s="173"/>
      <c r="AT764" s="140"/>
      <c r="AX764" s="140"/>
      <c r="BB764" s="173"/>
      <c r="BC764" s="173"/>
    </row>
    <row r="765" spans="2:55" s="134" customFormat="1" x14ac:dyDescent="0.2">
      <c r="B765" s="145"/>
      <c r="D765" s="145"/>
      <c r="Z765" s="177"/>
      <c r="AA765" s="178"/>
      <c r="AB765" s="139"/>
      <c r="AC765" s="173"/>
      <c r="AD765" s="177"/>
      <c r="AE765" s="177"/>
      <c r="AF765" s="139"/>
      <c r="AG765" s="139"/>
      <c r="AH765" s="177"/>
      <c r="AI765" s="178"/>
      <c r="AJ765" s="139"/>
      <c r="AK765" s="173"/>
      <c r="AL765" s="177"/>
      <c r="AM765" s="178"/>
      <c r="AN765" s="173"/>
      <c r="AO765" s="173"/>
      <c r="AP765" s="173"/>
      <c r="AQ765" s="178"/>
      <c r="AR765" s="173"/>
      <c r="AS765" s="173"/>
      <c r="AT765" s="140"/>
      <c r="AX765" s="140"/>
      <c r="BB765" s="173"/>
      <c r="BC765" s="173"/>
    </row>
    <row r="766" spans="2:55" s="134" customFormat="1" x14ac:dyDescent="0.2">
      <c r="B766" s="145"/>
      <c r="D766" s="145"/>
      <c r="Z766" s="177"/>
      <c r="AA766" s="178"/>
      <c r="AB766" s="139"/>
      <c r="AC766" s="173"/>
      <c r="AD766" s="177"/>
      <c r="AE766" s="177"/>
      <c r="AF766" s="139"/>
      <c r="AG766" s="139"/>
      <c r="AH766" s="177"/>
      <c r="AI766" s="178"/>
      <c r="AJ766" s="139"/>
      <c r="AK766" s="173"/>
      <c r="AL766" s="177"/>
      <c r="AM766" s="178"/>
      <c r="AN766" s="173"/>
      <c r="AO766" s="173"/>
      <c r="AP766" s="173"/>
      <c r="AQ766" s="178"/>
      <c r="AR766" s="173"/>
      <c r="AS766" s="173"/>
      <c r="AT766" s="140"/>
      <c r="AX766" s="140"/>
      <c r="BB766" s="173"/>
      <c r="BC766" s="173"/>
    </row>
    <row r="767" spans="2:55" s="134" customFormat="1" x14ac:dyDescent="0.2">
      <c r="B767" s="145"/>
      <c r="D767" s="145"/>
      <c r="Z767" s="177"/>
      <c r="AA767" s="178"/>
      <c r="AB767" s="139"/>
      <c r="AC767" s="173"/>
      <c r="AD767" s="177"/>
      <c r="AE767" s="177"/>
      <c r="AF767" s="139"/>
      <c r="AG767" s="139"/>
      <c r="AH767" s="177"/>
      <c r="AI767" s="178"/>
      <c r="AJ767" s="139"/>
      <c r="AK767" s="173"/>
      <c r="AL767" s="177"/>
      <c r="AM767" s="178"/>
      <c r="AN767" s="173"/>
      <c r="AO767" s="173"/>
      <c r="AP767" s="173"/>
      <c r="AQ767" s="178"/>
      <c r="AR767" s="173"/>
      <c r="AS767" s="173"/>
      <c r="AT767" s="140"/>
      <c r="AX767" s="140"/>
      <c r="BB767" s="173"/>
      <c r="BC767" s="173"/>
    </row>
    <row r="768" spans="2:55" s="134" customFormat="1" x14ac:dyDescent="0.2">
      <c r="B768" s="145"/>
      <c r="D768" s="145"/>
      <c r="Z768" s="177"/>
      <c r="AA768" s="178"/>
      <c r="AB768" s="139"/>
      <c r="AC768" s="173"/>
      <c r="AD768" s="177"/>
      <c r="AE768" s="177"/>
      <c r="AF768" s="139"/>
      <c r="AG768" s="139"/>
      <c r="AH768" s="177"/>
      <c r="AI768" s="178"/>
      <c r="AJ768" s="139"/>
      <c r="AK768" s="173"/>
      <c r="AL768" s="177"/>
      <c r="AM768" s="178"/>
      <c r="AN768" s="173"/>
      <c r="AO768" s="173"/>
      <c r="AP768" s="173"/>
      <c r="AQ768" s="178"/>
      <c r="AR768" s="173"/>
      <c r="AS768" s="173"/>
      <c r="AT768" s="140"/>
      <c r="AX768" s="140"/>
      <c r="BB768" s="173"/>
      <c r="BC768" s="173"/>
    </row>
    <row r="769" spans="2:55" s="134" customFormat="1" x14ac:dyDescent="0.2">
      <c r="B769" s="145"/>
      <c r="D769" s="145"/>
      <c r="Z769" s="177"/>
      <c r="AA769" s="178"/>
      <c r="AB769" s="139"/>
      <c r="AC769" s="173"/>
      <c r="AD769" s="177"/>
      <c r="AE769" s="177"/>
      <c r="AF769" s="139"/>
      <c r="AG769" s="139"/>
      <c r="AH769" s="177"/>
      <c r="AI769" s="178"/>
      <c r="AJ769" s="139"/>
      <c r="AK769" s="173"/>
      <c r="AL769" s="177"/>
      <c r="AM769" s="178"/>
      <c r="AN769" s="173"/>
      <c r="AO769" s="173"/>
      <c r="AP769" s="173"/>
      <c r="AQ769" s="178"/>
      <c r="AR769" s="173"/>
      <c r="AS769" s="173"/>
      <c r="AT769" s="140"/>
      <c r="AX769" s="140"/>
      <c r="BB769" s="173"/>
      <c r="BC769" s="173"/>
    </row>
    <row r="770" spans="2:55" s="134" customFormat="1" x14ac:dyDescent="0.2">
      <c r="B770" s="145"/>
      <c r="D770" s="145"/>
      <c r="Z770" s="177"/>
      <c r="AA770" s="178"/>
      <c r="AB770" s="139"/>
      <c r="AC770" s="173"/>
      <c r="AD770" s="177"/>
      <c r="AE770" s="177"/>
      <c r="AF770" s="139"/>
      <c r="AG770" s="139"/>
      <c r="AH770" s="177"/>
      <c r="AI770" s="178"/>
      <c r="AJ770" s="139"/>
      <c r="AK770" s="173"/>
      <c r="AL770" s="177"/>
      <c r="AM770" s="178"/>
      <c r="AN770" s="173"/>
      <c r="AO770" s="173"/>
      <c r="AP770" s="173"/>
      <c r="AQ770" s="178"/>
      <c r="AR770" s="173"/>
      <c r="AS770" s="173"/>
      <c r="AT770" s="140"/>
      <c r="AX770" s="140"/>
      <c r="BB770" s="173"/>
      <c r="BC770" s="173"/>
    </row>
    <row r="771" spans="2:55" s="134" customFormat="1" x14ac:dyDescent="0.2">
      <c r="B771" s="145"/>
      <c r="D771" s="145"/>
      <c r="Z771" s="177"/>
      <c r="AA771" s="178"/>
      <c r="AB771" s="139"/>
      <c r="AC771" s="173"/>
      <c r="AD771" s="177"/>
      <c r="AE771" s="177"/>
      <c r="AF771" s="139"/>
      <c r="AG771" s="139"/>
      <c r="AH771" s="177"/>
      <c r="AI771" s="178"/>
      <c r="AJ771" s="139"/>
      <c r="AK771" s="173"/>
      <c r="AL771" s="177"/>
      <c r="AM771" s="178"/>
      <c r="AN771" s="173"/>
      <c r="AO771" s="173"/>
      <c r="AP771" s="173"/>
      <c r="AQ771" s="178"/>
      <c r="AR771" s="173"/>
      <c r="AS771" s="173"/>
      <c r="AT771" s="140"/>
      <c r="AX771" s="140"/>
      <c r="BB771" s="173"/>
      <c r="BC771" s="173"/>
    </row>
    <row r="772" spans="2:55" s="134" customFormat="1" x14ac:dyDescent="0.2">
      <c r="B772" s="145"/>
      <c r="D772" s="145"/>
      <c r="Z772" s="177"/>
      <c r="AA772" s="178"/>
      <c r="AB772" s="139"/>
      <c r="AC772" s="173"/>
      <c r="AD772" s="177"/>
      <c r="AE772" s="177"/>
      <c r="AF772" s="139"/>
      <c r="AG772" s="139"/>
      <c r="AH772" s="177"/>
      <c r="AI772" s="178"/>
      <c r="AJ772" s="139"/>
      <c r="AK772" s="173"/>
      <c r="AL772" s="177"/>
      <c r="AM772" s="178"/>
      <c r="AN772" s="173"/>
      <c r="AO772" s="173"/>
      <c r="AP772" s="173"/>
      <c r="AQ772" s="178"/>
      <c r="AR772" s="173"/>
      <c r="AS772" s="173"/>
      <c r="AT772" s="140"/>
      <c r="AX772" s="140"/>
      <c r="BB772" s="173"/>
      <c r="BC772" s="173"/>
    </row>
    <row r="773" spans="2:55" s="134" customFormat="1" x14ac:dyDescent="0.2">
      <c r="B773" s="145"/>
      <c r="D773" s="145"/>
      <c r="Z773" s="177"/>
      <c r="AA773" s="178"/>
      <c r="AB773" s="139"/>
      <c r="AC773" s="173"/>
      <c r="AD773" s="177"/>
      <c r="AE773" s="177"/>
      <c r="AF773" s="139"/>
      <c r="AG773" s="139"/>
      <c r="AH773" s="177"/>
      <c r="AI773" s="178"/>
      <c r="AJ773" s="139"/>
      <c r="AK773" s="173"/>
      <c r="AL773" s="177"/>
      <c r="AM773" s="178"/>
      <c r="AN773" s="173"/>
      <c r="AO773" s="173"/>
      <c r="AP773" s="173"/>
      <c r="AQ773" s="178"/>
      <c r="AR773" s="173"/>
      <c r="AS773" s="173"/>
      <c r="AT773" s="140"/>
      <c r="AX773" s="140"/>
      <c r="BB773" s="173"/>
      <c r="BC773" s="173"/>
    </row>
    <row r="774" spans="2:55" s="134" customFormat="1" x14ac:dyDescent="0.2">
      <c r="B774" s="145"/>
      <c r="D774" s="145"/>
      <c r="Z774" s="177"/>
      <c r="AA774" s="178"/>
      <c r="AB774" s="139"/>
      <c r="AC774" s="173"/>
      <c r="AD774" s="177"/>
      <c r="AE774" s="177"/>
      <c r="AF774" s="139"/>
      <c r="AG774" s="139"/>
      <c r="AH774" s="177"/>
      <c r="AI774" s="178"/>
      <c r="AJ774" s="139"/>
      <c r="AK774" s="173"/>
      <c r="AL774" s="177"/>
      <c r="AM774" s="178"/>
      <c r="AN774" s="173"/>
      <c r="AO774" s="173"/>
      <c r="AP774" s="173"/>
      <c r="AQ774" s="178"/>
      <c r="AR774" s="173"/>
      <c r="AS774" s="173"/>
      <c r="AT774" s="140"/>
      <c r="AX774" s="140"/>
      <c r="BB774" s="173"/>
      <c r="BC774" s="173"/>
    </row>
    <row r="775" spans="2:55" s="134" customFormat="1" x14ac:dyDescent="0.2">
      <c r="B775" s="145"/>
      <c r="D775" s="145"/>
      <c r="Z775" s="177"/>
      <c r="AA775" s="178"/>
      <c r="AB775" s="139"/>
      <c r="AC775" s="173"/>
      <c r="AD775" s="177"/>
      <c r="AE775" s="177"/>
      <c r="AF775" s="139"/>
      <c r="AG775" s="139"/>
      <c r="AH775" s="177"/>
      <c r="AI775" s="178"/>
      <c r="AJ775" s="139"/>
      <c r="AK775" s="173"/>
      <c r="AL775" s="177"/>
      <c r="AM775" s="178"/>
      <c r="AN775" s="173"/>
      <c r="AO775" s="173"/>
      <c r="AP775" s="173"/>
      <c r="AQ775" s="178"/>
      <c r="AR775" s="173"/>
      <c r="AS775" s="173"/>
      <c r="AT775" s="140"/>
      <c r="AX775" s="140"/>
      <c r="BB775" s="173"/>
      <c r="BC775" s="173"/>
    </row>
    <row r="776" spans="2:55" s="134" customFormat="1" x14ac:dyDescent="0.2">
      <c r="B776" s="145"/>
      <c r="D776" s="145"/>
      <c r="Z776" s="177"/>
      <c r="AA776" s="178"/>
      <c r="AB776" s="139"/>
      <c r="AC776" s="173"/>
      <c r="AD776" s="177"/>
      <c r="AE776" s="177"/>
      <c r="AF776" s="139"/>
      <c r="AG776" s="139"/>
      <c r="AH776" s="177"/>
      <c r="AI776" s="178"/>
      <c r="AJ776" s="139"/>
      <c r="AK776" s="173"/>
      <c r="AL776" s="177"/>
      <c r="AM776" s="178"/>
      <c r="AN776" s="173"/>
      <c r="AO776" s="173"/>
      <c r="AP776" s="173"/>
      <c r="AQ776" s="178"/>
      <c r="AR776" s="173"/>
      <c r="AS776" s="173"/>
      <c r="AT776" s="140"/>
      <c r="AX776" s="140"/>
      <c r="BB776" s="173"/>
      <c r="BC776" s="173"/>
    </row>
    <row r="777" spans="2:55" s="134" customFormat="1" x14ac:dyDescent="0.2">
      <c r="B777" s="145"/>
      <c r="D777" s="145"/>
      <c r="Z777" s="177"/>
      <c r="AA777" s="178"/>
      <c r="AB777" s="139"/>
      <c r="AC777" s="173"/>
      <c r="AD777" s="177"/>
      <c r="AE777" s="177"/>
      <c r="AF777" s="139"/>
      <c r="AG777" s="139"/>
      <c r="AH777" s="177"/>
      <c r="AI777" s="178"/>
      <c r="AJ777" s="139"/>
      <c r="AK777" s="173"/>
      <c r="AL777" s="177"/>
      <c r="AM777" s="178"/>
      <c r="AN777" s="173"/>
      <c r="AO777" s="173"/>
      <c r="AP777" s="173"/>
      <c r="AQ777" s="178"/>
      <c r="AR777" s="173"/>
      <c r="AS777" s="173"/>
      <c r="AT777" s="140"/>
      <c r="AX777" s="140"/>
      <c r="BB777" s="173"/>
      <c r="BC777" s="173"/>
    </row>
    <row r="778" spans="2:55" s="134" customFormat="1" x14ac:dyDescent="0.2">
      <c r="B778" s="145"/>
      <c r="D778" s="145"/>
      <c r="Z778" s="177"/>
      <c r="AA778" s="178"/>
      <c r="AB778" s="139"/>
      <c r="AC778" s="173"/>
      <c r="AD778" s="177"/>
      <c r="AE778" s="177"/>
      <c r="AF778" s="139"/>
      <c r="AG778" s="139"/>
      <c r="AH778" s="177"/>
      <c r="AI778" s="178"/>
      <c r="AJ778" s="139"/>
      <c r="AK778" s="173"/>
      <c r="AL778" s="177"/>
      <c r="AM778" s="178"/>
      <c r="AN778" s="173"/>
      <c r="AO778" s="173"/>
      <c r="AP778" s="173"/>
      <c r="AQ778" s="178"/>
      <c r="AR778" s="173"/>
      <c r="AS778" s="173"/>
      <c r="AT778" s="140"/>
      <c r="AX778" s="140"/>
      <c r="BB778" s="173"/>
      <c r="BC778" s="173"/>
    </row>
    <row r="779" spans="2:55" s="134" customFormat="1" x14ac:dyDescent="0.2">
      <c r="B779" s="145"/>
      <c r="D779" s="145"/>
      <c r="Z779" s="177"/>
      <c r="AA779" s="178"/>
      <c r="AB779" s="139"/>
      <c r="AC779" s="173"/>
      <c r="AD779" s="177"/>
      <c r="AE779" s="177"/>
      <c r="AF779" s="139"/>
      <c r="AG779" s="139"/>
      <c r="AH779" s="177"/>
      <c r="AI779" s="178"/>
      <c r="AJ779" s="139"/>
      <c r="AK779" s="173"/>
      <c r="AL779" s="177"/>
      <c r="AM779" s="178"/>
      <c r="AN779" s="173"/>
      <c r="AO779" s="173"/>
      <c r="AP779" s="173"/>
      <c r="AQ779" s="178"/>
      <c r="AR779" s="173"/>
      <c r="AS779" s="173"/>
      <c r="AT779" s="140"/>
      <c r="AX779" s="140"/>
      <c r="BB779" s="173"/>
      <c r="BC779" s="173"/>
    </row>
    <row r="780" spans="2:55" s="134" customFormat="1" x14ac:dyDescent="0.2">
      <c r="B780" s="145"/>
      <c r="D780" s="145"/>
      <c r="Z780" s="177"/>
      <c r="AA780" s="178"/>
      <c r="AB780" s="139"/>
      <c r="AC780" s="173"/>
      <c r="AD780" s="177"/>
      <c r="AE780" s="177"/>
      <c r="AF780" s="139"/>
      <c r="AG780" s="139"/>
      <c r="AH780" s="177"/>
      <c r="AI780" s="178"/>
      <c r="AJ780" s="139"/>
      <c r="AK780" s="173"/>
      <c r="AL780" s="177"/>
      <c r="AM780" s="178"/>
      <c r="AN780" s="173"/>
      <c r="AO780" s="173"/>
      <c r="AP780" s="173"/>
      <c r="AQ780" s="178"/>
      <c r="AR780" s="173"/>
      <c r="AS780" s="173"/>
      <c r="AT780" s="140"/>
      <c r="AX780" s="140"/>
      <c r="BB780" s="173"/>
      <c r="BC780" s="173"/>
    </row>
    <row r="781" spans="2:55" s="134" customFormat="1" x14ac:dyDescent="0.2">
      <c r="B781" s="145"/>
      <c r="D781" s="145"/>
      <c r="Z781" s="177"/>
      <c r="AA781" s="178"/>
      <c r="AB781" s="139"/>
      <c r="AC781" s="173"/>
      <c r="AD781" s="177"/>
      <c r="AE781" s="177"/>
      <c r="AF781" s="139"/>
      <c r="AG781" s="139"/>
      <c r="AH781" s="177"/>
      <c r="AI781" s="178"/>
      <c r="AJ781" s="139"/>
      <c r="AK781" s="173"/>
      <c r="AL781" s="177"/>
      <c r="AM781" s="178"/>
      <c r="AN781" s="173"/>
      <c r="AO781" s="173"/>
      <c r="AP781" s="173"/>
      <c r="AQ781" s="178"/>
      <c r="AR781" s="173"/>
      <c r="AS781" s="173"/>
      <c r="AT781" s="140"/>
      <c r="AX781" s="140"/>
      <c r="BB781" s="173"/>
      <c r="BC781" s="173"/>
    </row>
    <row r="782" spans="2:55" s="134" customFormat="1" x14ac:dyDescent="0.2">
      <c r="B782" s="145"/>
      <c r="D782" s="145"/>
      <c r="Z782" s="177"/>
      <c r="AA782" s="178"/>
      <c r="AB782" s="139"/>
      <c r="AC782" s="173"/>
      <c r="AD782" s="177"/>
      <c r="AE782" s="177"/>
      <c r="AF782" s="139"/>
      <c r="AG782" s="139"/>
      <c r="AH782" s="177"/>
      <c r="AI782" s="178"/>
      <c r="AJ782" s="139"/>
      <c r="AK782" s="173"/>
      <c r="AL782" s="177"/>
      <c r="AM782" s="178"/>
      <c r="AN782" s="173"/>
      <c r="AO782" s="173"/>
      <c r="AP782" s="173"/>
      <c r="AQ782" s="178"/>
      <c r="AR782" s="173"/>
      <c r="AS782" s="173"/>
      <c r="AT782" s="140"/>
      <c r="AX782" s="140"/>
      <c r="BB782" s="173"/>
      <c r="BC782" s="173"/>
    </row>
    <row r="783" spans="2:55" s="134" customFormat="1" x14ac:dyDescent="0.2">
      <c r="B783" s="145"/>
      <c r="D783" s="145"/>
      <c r="Z783" s="177"/>
      <c r="AA783" s="178"/>
      <c r="AB783" s="139"/>
      <c r="AC783" s="173"/>
      <c r="AD783" s="177"/>
      <c r="AE783" s="177"/>
      <c r="AF783" s="139"/>
      <c r="AG783" s="139"/>
      <c r="AH783" s="177"/>
      <c r="AI783" s="178"/>
      <c r="AJ783" s="139"/>
      <c r="AK783" s="173"/>
      <c r="AL783" s="177"/>
      <c r="AM783" s="178"/>
      <c r="AN783" s="173"/>
      <c r="AO783" s="173"/>
      <c r="AP783" s="173"/>
      <c r="AQ783" s="178"/>
      <c r="AR783" s="173"/>
      <c r="AS783" s="173"/>
      <c r="AT783" s="140"/>
      <c r="AX783" s="140"/>
      <c r="BB783" s="173"/>
      <c r="BC783" s="173"/>
    </row>
    <row r="784" spans="2:55" s="134" customFormat="1" x14ac:dyDescent="0.2">
      <c r="B784" s="145"/>
      <c r="D784" s="145"/>
      <c r="Z784" s="177"/>
      <c r="AA784" s="178"/>
      <c r="AB784" s="139"/>
      <c r="AC784" s="173"/>
      <c r="AD784" s="177"/>
      <c r="AE784" s="177"/>
      <c r="AF784" s="139"/>
      <c r="AG784" s="139"/>
      <c r="AH784" s="177"/>
      <c r="AI784" s="178"/>
      <c r="AJ784" s="139"/>
      <c r="AK784" s="173"/>
      <c r="AL784" s="177"/>
      <c r="AM784" s="178"/>
      <c r="AN784" s="173"/>
      <c r="AO784" s="173"/>
      <c r="AP784" s="173"/>
      <c r="AQ784" s="178"/>
      <c r="AR784" s="173"/>
      <c r="AS784" s="173"/>
      <c r="AT784" s="140"/>
      <c r="AX784" s="140"/>
      <c r="BB784" s="173"/>
      <c r="BC784" s="173"/>
    </row>
    <row r="785" spans="2:55" s="134" customFormat="1" x14ac:dyDescent="0.2">
      <c r="B785" s="145"/>
      <c r="D785" s="145"/>
      <c r="Z785" s="177"/>
      <c r="AA785" s="178"/>
      <c r="AB785" s="139"/>
      <c r="AC785" s="173"/>
      <c r="AD785" s="177"/>
      <c r="AE785" s="177"/>
      <c r="AF785" s="139"/>
      <c r="AG785" s="139"/>
      <c r="AH785" s="177"/>
      <c r="AI785" s="178"/>
      <c r="AJ785" s="139"/>
      <c r="AK785" s="173"/>
      <c r="AL785" s="177"/>
      <c r="AM785" s="178"/>
      <c r="AN785" s="173"/>
      <c r="AO785" s="173"/>
      <c r="AP785" s="173"/>
      <c r="AQ785" s="178"/>
      <c r="AR785" s="173"/>
      <c r="AS785" s="173"/>
      <c r="AT785" s="140"/>
      <c r="AX785" s="140"/>
      <c r="BB785" s="173"/>
      <c r="BC785" s="173"/>
    </row>
    <row r="786" spans="2:55" s="134" customFormat="1" x14ac:dyDescent="0.2">
      <c r="B786" s="145"/>
      <c r="D786" s="145"/>
      <c r="Z786" s="177"/>
      <c r="AA786" s="178"/>
      <c r="AB786" s="139"/>
      <c r="AC786" s="173"/>
      <c r="AD786" s="177"/>
      <c r="AE786" s="177"/>
      <c r="AF786" s="139"/>
      <c r="AG786" s="139"/>
      <c r="AH786" s="177"/>
      <c r="AI786" s="178"/>
      <c r="AJ786" s="139"/>
      <c r="AK786" s="173"/>
      <c r="AL786" s="177"/>
      <c r="AM786" s="178"/>
      <c r="AN786" s="173"/>
      <c r="AO786" s="173"/>
      <c r="AP786" s="173"/>
      <c r="AQ786" s="178"/>
      <c r="AR786" s="173"/>
      <c r="AS786" s="173"/>
      <c r="AT786" s="140"/>
      <c r="AX786" s="140"/>
      <c r="BB786" s="173"/>
      <c r="BC786" s="173"/>
    </row>
    <row r="787" spans="2:55" s="134" customFormat="1" x14ac:dyDescent="0.2">
      <c r="B787" s="145"/>
      <c r="D787" s="145"/>
      <c r="Z787" s="177"/>
      <c r="AA787" s="178"/>
      <c r="AB787" s="139"/>
      <c r="AC787" s="173"/>
      <c r="AD787" s="177"/>
      <c r="AE787" s="177"/>
      <c r="AF787" s="139"/>
      <c r="AG787" s="139"/>
      <c r="AH787" s="177"/>
      <c r="AI787" s="178"/>
      <c r="AJ787" s="139"/>
      <c r="AK787" s="173"/>
      <c r="AL787" s="177"/>
      <c r="AM787" s="178"/>
      <c r="AN787" s="173"/>
      <c r="AO787" s="173"/>
      <c r="AP787" s="173"/>
      <c r="AQ787" s="178"/>
      <c r="AR787" s="173"/>
      <c r="AS787" s="173"/>
      <c r="AT787" s="140"/>
      <c r="AX787" s="140"/>
      <c r="BB787" s="173"/>
      <c r="BC787" s="173"/>
    </row>
    <row r="788" spans="2:55" s="134" customFormat="1" x14ac:dyDescent="0.2">
      <c r="B788" s="145"/>
      <c r="D788" s="145"/>
      <c r="Z788" s="177"/>
      <c r="AA788" s="178"/>
      <c r="AB788" s="139"/>
      <c r="AC788" s="173"/>
      <c r="AD788" s="177"/>
      <c r="AE788" s="177"/>
      <c r="AF788" s="139"/>
      <c r="AG788" s="139"/>
      <c r="AH788" s="177"/>
      <c r="AI788" s="178"/>
      <c r="AJ788" s="139"/>
      <c r="AK788" s="173"/>
      <c r="AL788" s="177"/>
      <c r="AM788" s="178"/>
      <c r="AN788" s="173"/>
      <c r="AO788" s="173"/>
      <c r="AP788" s="173"/>
      <c r="AQ788" s="178"/>
      <c r="AR788" s="173"/>
      <c r="AS788" s="173"/>
      <c r="AT788" s="140"/>
      <c r="AX788" s="140"/>
      <c r="BB788" s="173"/>
      <c r="BC788" s="173"/>
    </row>
    <row r="789" spans="2:55" s="134" customFormat="1" x14ac:dyDescent="0.2">
      <c r="B789" s="145"/>
      <c r="D789" s="145"/>
      <c r="Z789" s="177"/>
      <c r="AA789" s="178"/>
      <c r="AB789" s="139"/>
      <c r="AC789" s="173"/>
      <c r="AD789" s="177"/>
      <c r="AE789" s="177"/>
      <c r="AF789" s="139"/>
      <c r="AG789" s="139"/>
      <c r="AH789" s="177"/>
      <c r="AI789" s="178"/>
      <c r="AJ789" s="139"/>
      <c r="AK789" s="173"/>
      <c r="AL789" s="177"/>
      <c r="AM789" s="178"/>
      <c r="AN789" s="173"/>
      <c r="AO789" s="173"/>
      <c r="AP789" s="173"/>
      <c r="AQ789" s="178"/>
      <c r="AR789" s="173"/>
      <c r="AS789" s="173"/>
      <c r="AT789" s="140"/>
      <c r="AX789" s="140"/>
      <c r="BB789" s="173"/>
      <c r="BC789" s="173"/>
    </row>
    <row r="790" spans="2:55" s="134" customFormat="1" x14ac:dyDescent="0.2">
      <c r="B790" s="145"/>
      <c r="D790" s="145"/>
      <c r="Z790" s="177"/>
      <c r="AA790" s="178"/>
      <c r="AB790" s="139"/>
      <c r="AC790" s="173"/>
      <c r="AD790" s="177"/>
      <c r="AE790" s="177"/>
      <c r="AF790" s="139"/>
      <c r="AG790" s="139"/>
      <c r="AH790" s="177"/>
      <c r="AI790" s="178"/>
      <c r="AJ790" s="139"/>
      <c r="AK790" s="173"/>
      <c r="AL790" s="177"/>
      <c r="AM790" s="178"/>
      <c r="AN790" s="173"/>
      <c r="AO790" s="173"/>
      <c r="AP790" s="173"/>
      <c r="AQ790" s="178"/>
      <c r="AR790" s="173"/>
      <c r="AS790" s="173"/>
      <c r="AT790" s="140"/>
      <c r="AX790" s="140"/>
      <c r="BB790" s="173"/>
      <c r="BC790" s="173"/>
    </row>
    <row r="791" spans="2:55" s="134" customFormat="1" x14ac:dyDescent="0.2">
      <c r="B791" s="145"/>
      <c r="D791" s="145"/>
      <c r="Z791" s="177"/>
      <c r="AA791" s="178"/>
      <c r="AB791" s="139"/>
      <c r="AC791" s="173"/>
      <c r="AD791" s="177"/>
      <c r="AE791" s="177"/>
      <c r="AF791" s="139"/>
      <c r="AG791" s="139"/>
      <c r="AH791" s="177"/>
      <c r="AI791" s="178"/>
      <c r="AJ791" s="139"/>
      <c r="AK791" s="173"/>
      <c r="AL791" s="177"/>
      <c r="AM791" s="178"/>
      <c r="AN791" s="173"/>
      <c r="AO791" s="173"/>
      <c r="AP791" s="173"/>
      <c r="AQ791" s="178"/>
      <c r="AR791" s="173"/>
      <c r="AS791" s="173"/>
      <c r="AT791" s="140"/>
      <c r="AX791" s="140"/>
      <c r="BB791" s="173"/>
      <c r="BC791" s="173"/>
    </row>
    <row r="792" spans="2:55" s="134" customFormat="1" x14ac:dyDescent="0.2">
      <c r="B792" s="145"/>
      <c r="D792" s="145"/>
      <c r="Z792" s="177"/>
      <c r="AA792" s="178"/>
      <c r="AB792" s="139"/>
      <c r="AC792" s="173"/>
      <c r="AD792" s="177"/>
      <c r="AE792" s="177"/>
      <c r="AF792" s="139"/>
      <c r="AG792" s="139"/>
      <c r="AH792" s="177"/>
      <c r="AI792" s="178"/>
      <c r="AJ792" s="139"/>
      <c r="AK792" s="173"/>
      <c r="AL792" s="177"/>
      <c r="AM792" s="178"/>
      <c r="AN792" s="173"/>
      <c r="AO792" s="173"/>
      <c r="AP792" s="173"/>
      <c r="AQ792" s="178"/>
      <c r="AR792" s="173"/>
      <c r="AS792" s="173"/>
      <c r="AT792" s="140"/>
      <c r="AX792" s="140"/>
      <c r="BB792" s="173"/>
      <c r="BC792" s="173"/>
    </row>
    <row r="793" spans="2:55" s="134" customFormat="1" x14ac:dyDescent="0.2">
      <c r="B793" s="145"/>
      <c r="D793" s="145"/>
      <c r="Z793" s="177"/>
      <c r="AA793" s="178"/>
      <c r="AB793" s="139"/>
      <c r="AC793" s="173"/>
      <c r="AD793" s="177"/>
      <c r="AE793" s="177"/>
      <c r="AF793" s="139"/>
      <c r="AG793" s="139"/>
      <c r="AH793" s="177"/>
      <c r="AI793" s="178"/>
      <c r="AJ793" s="139"/>
      <c r="AK793" s="173"/>
      <c r="AL793" s="177"/>
      <c r="AM793" s="178"/>
      <c r="AN793" s="173"/>
      <c r="AO793" s="173"/>
      <c r="AP793" s="173"/>
      <c r="AQ793" s="178"/>
      <c r="AR793" s="173"/>
      <c r="AS793" s="173"/>
      <c r="AT793" s="140"/>
      <c r="AX793" s="140"/>
      <c r="BB793" s="173"/>
      <c r="BC793" s="173"/>
    </row>
    <row r="794" spans="2:55" s="134" customFormat="1" x14ac:dyDescent="0.2">
      <c r="B794" s="145"/>
      <c r="D794" s="145"/>
      <c r="Z794" s="177"/>
      <c r="AA794" s="178"/>
      <c r="AB794" s="139"/>
      <c r="AC794" s="173"/>
      <c r="AD794" s="177"/>
      <c r="AE794" s="177"/>
      <c r="AF794" s="139"/>
      <c r="AG794" s="139"/>
      <c r="AH794" s="177"/>
      <c r="AI794" s="178"/>
      <c r="AJ794" s="139"/>
      <c r="AK794" s="173"/>
      <c r="AL794" s="177"/>
      <c r="AM794" s="178"/>
      <c r="AN794" s="173"/>
      <c r="AO794" s="173"/>
      <c r="AP794" s="173"/>
      <c r="AQ794" s="178"/>
      <c r="AR794" s="173"/>
      <c r="AS794" s="173"/>
      <c r="AT794" s="140"/>
      <c r="AX794" s="140"/>
      <c r="BB794" s="173"/>
      <c r="BC794" s="173"/>
    </row>
    <row r="795" spans="2:55" s="134" customFormat="1" x14ac:dyDescent="0.2">
      <c r="B795" s="145"/>
      <c r="D795" s="145"/>
      <c r="Z795" s="177"/>
      <c r="AA795" s="178"/>
      <c r="AB795" s="139"/>
      <c r="AC795" s="173"/>
      <c r="AD795" s="177"/>
      <c r="AE795" s="177"/>
      <c r="AF795" s="139"/>
      <c r="AG795" s="139"/>
      <c r="AH795" s="177"/>
      <c r="AI795" s="178"/>
      <c r="AJ795" s="139"/>
      <c r="AK795" s="173"/>
      <c r="AL795" s="177"/>
      <c r="AM795" s="178"/>
      <c r="AN795" s="173"/>
      <c r="AO795" s="173"/>
      <c r="AP795" s="173"/>
      <c r="AQ795" s="178"/>
      <c r="AR795" s="173"/>
      <c r="AS795" s="173"/>
      <c r="AT795" s="140"/>
      <c r="AX795" s="140"/>
      <c r="BB795" s="173"/>
      <c r="BC795" s="173"/>
    </row>
    <row r="796" spans="2:55" s="134" customFormat="1" x14ac:dyDescent="0.2">
      <c r="B796" s="145"/>
      <c r="D796" s="145"/>
      <c r="Z796" s="177"/>
      <c r="AA796" s="178"/>
      <c r="AB796" s="139"/>
      <c r="AC796" s="173"/>
      <c r="AD796" s="177"/>
      <c r="AE796" s="177"/>
      <c r="AF796" s="139"/>
      <c r="AG796" s="139"/>
      <c r="AH796" s="177"/>
      <c r="AI796" s="178"/>
      <c r="AJ796" s="139"/>
      <c r="AK796" s="173"/>
      <c r="AL796" s="177"/>
      <c r="AM796" s="178"/>
      <c r="AN796" s="173"/>
      <c r="AO796" s="173"/>
      <c r="AP796" s="173"/>
      <c r="AQ796" s="178"/>
      <c r="AR796" s="173"/>
      <c r="AS796" s="173"/>
      <c r="AT796" s="140"/>
      <c r="AX796" s="140"/>
      <c r="BB796" s="173"/>
      <c r="BC796" s="173"/>
    </row>
    <row r="797" spans="2:55" s="134" customFormat="1" x14ac:dyDescent="0.2">
      <c r="B797" s="145"/>
      <c r="D797" s="145"/>
      <c r="Z797" s="177"/>
      <c r="AA797" s="178"/>
      <c r="AB797" s="139"/>
      <c r="AC797" s="173"/>
      <c r="AD797" s="177"/>
      <c r="AE797" s="177"/>
      <c r="AF797" s="139"/>
      <c r="AG797" s="139"/>
      <c r="AH797" s="177"/>
      <c r="AI797" s="178"/>
      <c r="AJ797" s="139"/>
      <c r="AK797" s="173"/>
      <c r="AL797" s="177"/>
      <c r="AM797" s="178"/>
      <c r="AN797" s="173"/>
      <c r="AO797" s="173"/>
      <c r="AP797" s="173"/>
      <c r="AQ797" s="178"/>
      <c r="AR797" s="173"/>
      <c r="AS797" s="173"/>
      <c r="AT797" s="140"/>
      <c r="AX797" s="140"/>
      <c r="BB797" s="173"/>
      <c r="BC797" s="173"/>
    </row>
    <row r="798" spans="2:55" s="134" customFormat="1" x14ac:dyDescent="0.2">
      <c r="B798" s="145"/>
      <c r="D798" s="145"/>
      <c r="Z798" s="177"/>
      <c r="AA798" s="178"/>
      <c r="AB798" s="139"/>
      <c r="AC798" s="173"/>
      <c r="AD798" s="177"/>
      <c r="AE798" s="177"/>
      <c r="AF798" s="139"/>
      <c r="AG798" s="139"/>
      <c r="AH798" s="177"/>
      <c r="AI798" s="178"/>
      <c r="AJ798" s="139"/>
      <c r="AK798" s="173"/>
      <c r="AL798" s="177"/>
      <c r="AM798" s="178"/>
      <c r="AN798" s="173"/>
      <c r="AO798" s="173"/>
      <c r="AP798" s="173"/>
      <c r="AQ798" s="178"/>
      <c r="AR798" s="173"/>
      <c r="AS798" s="173"/>
      <c r="AT798" s="140"/>
      <c r="AX798" s="140"/>
      <c r="BB798" s="173"/>
      <c r="BC798" s="173"/>
    </row>
    <row r="799" spans="2:55" s="134" customFormat="1" x14ac:dyDescent="0.2">
      <c r="B799" s="145"/>
      <c r="D799" s="145"/>
      <c r="Z799" s="177"/>
      <c r="AA799" s="178"/>
      <c r="AB799" s="139"/>
      <c r="AC799" s="173"/>
      <c r="AD799" s="177"/>
      <c r="AE799" s="177"/>
      <c r="AF799" s="139"/>
      <c r="AG799" s="139"/>
      <c r="AH799" s="177"/>
      <c r="AI799" s="178"/>
      <c r="AJ799" s="139"/>
      <c r="AK799" s="173"/>
      <c r="AL799" s="177"/>
      <c r="AM799" s="178"/>
      <c r="AN799" s="173"/>
      <c r="AO799" s="173"/>
      <c r="AP799" s="173"/>
      <c r="AQ799" s="178"/>
      <c r="AR799" s="173"/>
      <c r="AS799" s="173"/>
      <c r="AT799" s="140"/>
      <c r="AX799" s="140"/>
      <c r="BB799" s="173"/>
      <c r="BC799" s="173"/>
    </row>
    <row r="800" spans="2:55" s="134" customFormat="1" x14ac:dyDescent="0.2">
      <c r="B800" s="145"/>
      <c r="D800" s="145"/>
      <c r="Z800" s="177"/>
      <c r="AA800" s="178"/>
      <c r="AB800" s="139"/>
      <c r="AC800" s="173"/>
      <c r="AD800" s="177"/>
      <c r="AE800" s="177"/>
      <c r="AF800" s="139"/>
      <c r="AG800" s="139"/>
      <c r="AH800" s="177"/>
      <c r="AI800" s="178"/>
      <c r="AJ800" s="139"/>
      <c r="AK800" s="173"/>
      <c r="AL800" s="177"/>
      <c r="AM800" s="178"/>
      <c r="AN800" s="173"/>
      <c r="AO800" s="173"/>
      <c r="AP800" s="173"/>
      <c r="AQ800" s="178"/>
      <c r="AR800" s="173"/>
      <c r="AS800" s="173"/>
      <c r="AT800" s="140"/>
      <c r="AX800" s="140"/>
      <c r="BB800" s="173"/>
      <c r="BC800" s="173"/>
    </row>
    <row r="801" spans="2:55" s="134" customFormat="1" x14ac:dyDescent="0.2">
      <c r="B801" s="145"/>
      <c r="D801" s="145"/>
      <c r="Z801" s="177"/>
      <c r="AA801" s="178"/>
      <c r="AB801" s="139"/>
      <c r="AC801" s="173"/>
      <c r="AD801" s="177"/>
      <c r="AE801" s="177"/>
      <c r="AF801" s="139"/>
      <c r="AG801" s="139"/>
      <c r="AH801" s="177"/>
      <c r="AI801" s="178"/>
      <c r="AJ801" s="139"/>
      <c r="AK801" s="173"/>
      <c r="AL801" s="177"/>
      <c r="AM801" s="178"/>
      <c r="AN801" s="173"/>
      <c r="AO801" s="173"/>
      <c r="AP801" s="173"/>
      <c r="AQ801" s="178"/>
      <c r="AR801" s="173"/>
      <c r="AS801" s="173"/>
      <c r="AT801" s="140"/>
      <c r="AX801" s="140"/>
      <c r="BB801" s="173"/>
      <c r="BC801" s="173"/>
    </row>
    <row r="802" spans="2:55" s="134" customFormat="1" x14ac:dyDescent="0.2">
      <c r="B802" s="145"/>
      <c r="D802" s="145"/>
      <c r="Z802" s="177"/>
      <c r="AA802" s="178"/>
      <c r="AB802" s="139"/>
      <c r="AC802" s="173"/>
      <c r="AD802" s="177"/>
      <c r="AE802" s="177"/>
      <c r="AF802" s="139"/>
      <c r="AG802" s="139"/>
      <c r="AH802" s="177"/>
      <c r="AI802" s="178"/>
      <c r="AJ802" s="139"/>
      <c r="AK802" s="173"/>
      <c r="AL802" s="177"/>
      <c r="AM802" s="178"/>
      <c r="AN802" s="173"/>
      <c r="AO802" s="173"/>
      <c r="AP802" s="173"/>
      <c r="AQ802" s="178"/>
      <c r="AR802" s="173"/>
      <c r="AS802" s="173"/>
      <c r="AT802" s="140"/>
      <c r="AX802" s="140"/>
      <c r="BB802" s="173"/>
      <c r="BC802" s="173"/>
    </row>
    <row r="803" spans="2:55" s="134" customFormat="1" x14ac:dyDescent="0.2">
      <c r="B803" s="145"/>
      <c r="D803" s="145"/>
      <c r="Z803" s="177"/>
      <c r="AA803" s="178"/>
      <c r="AB803" s="139"/>
      <c r="AC803" s="173"/>
      <c r="AD803" s="177"/>
      <c r="AE803" s="177"/>
      <c r="AF803" s="139"/>
      <c r="AG803" s="139"/>
      <c r="AH803" s="177"/>
      <c r="AI803" s="178"/>
      <c r="AJ803" s="139"/>
      <c r="AK803" s="173"/>
      <c r="AL803" s="177"/>
      <c r="AM803" s="178"/>
      <c r="AN803" s="173"/>
      <c r="AO803" s="173"/>
      <c r="AP803" s="173"/>
      <c r="AQ803" s="178"/>
      <c r="AR803" s="173"/>
      <c r="AS803" s="173"/>
      <c r="AT803" s="140"/>
      <c r="AX803" s="140"/>
      <c r="BB803" s="173"/>
      <c r="BC803" s="173"/>
    </row>
    <row r="804" spans="2:55" s="134" customFormat="1" x14ac:dyDescent="0.2">
      <c r="B804" s="145"/>
      <c r="D804" s="145"/>
      <c r="Z804" s="177"/>
      <c r="AA804" s="178"/>
      <c r="AB804" s="139"/>
      <c r="AC804" s="173"/>
      <c r="AD804" s="177"/>
      <c r="AE804" s="177"/>
      <c r="AF804" s="139"/>
      <c r="AG804" s="139"/>
      <c r="AH804" s="177"/>
      <c r="AI804" s="178"/>
      <c r="AJ804" s="139"/>
      <c r="AK804" s="173"/>
      <c r="AL804" s="177"/>
      <c r="AM804" s="178"/>
      <c r="AN804" s="173"/>
      <c r="AO804" s="173"/>
      <c r="AP804" s="173"/>
      <c r="AQ804" s="178"/>
      <c r="AR804" s="173"/>
      <c r="AS804" s="173"/>
      <c r="AT804" s="140"/>
      <c r="AX804" s="140"/>
      <c r="BB804" s="173"/>
      <c r="BC804" s="173"/>
    </row>
    <row r="805" spans="2:55" s="134" customFormat="1" x14ac:dyDescent="0.2">
      <c r="B805" s="145"/>
      <c r="D805" s="145"/>
      <c r="Z805" s="177"/>
      <c r="AA805" s="178"/>
      <c r="AB805" s="139"/>
      <c r="AC805" s="173"/>
      <c r="AD805" s="177"/>
      <c r="AE805" s="177"/>
      <c r="AF805" s="139"/>
      <c r="AG805" s="139"/>
      <c r="AH805" s="177"/>
      <c r="AI805" s="178"/>
      <c r="AJ805" s="139"/>
      <c r="AK805" s="173"/>
      <c r="AL805" s="177"/>
      <c r="AM805" s="178"/>
      <c r="AN805" s="173"/>
      <c r="AO805" s="173"/>
      <c r="AP805" s="173"/>
      <c r="AQ805" s="178"/>
      <c r="AR805" s="173"/>
      <c r="AS805" s="173"/>
      <c r="AT805" s="140"/>
      <c r="AX805" s="140"/>
      <c r="BB805" s="173"/>
      <c r="BC805" s="173"/>
    </row>
    <row r="806" spans="2:55" s="134" customFormat="1" x14ac:dyDescent="0.2">
      <c r="B806" s="145"/>
      <c r="D806" s="145"/>
      <c r="Z806" s="177"/>
      <c r="AA806" s="178"/>
      <c r="AB806" s="139"/>
      <c r="AC806" s="173"/>
      <c r="AD806" s="177"/>
      <c r="AE806" s="177"/>
      <c r="AF806" s="139"/>
      <c r="AG806" s="139"/>
      <c r="AH806" s="177"/>
      <c r="AI806" s="178"/>
      <c r="AJ806" s="139"/>
      <c r="AK806" s="173"/>
      <c r="AL806" s="177"/>
      <c r="AM806" s="178"/>
      <c r="AN806" s="173"/>
      <c r="AO806" s="173"/>
      <c r="AP806" s="173"/>
      <c r="AQ806" s="178"/>
      <c r="AR806" s="173"/>
      <c r="AS806" s="173"/>
      <c r="AT806" s="140"/>
      <c r="AX806" s="140"/>
      <c r="BB806" s="173"/>
      <c r="BC806" s="173"/>
    </row>
    <row r="807" spans="2:55" s="134" customFormat="1" x14ac:dyDescent="0.2">
      <c r="B807" s="145"/>
      <c r="D807" s="145"/>
      <c r="Z807" s="177"/>
      <c r="AA807" s="178"/>
      <c r="AB807" s="139"/>
      <c r="AC807" s="173"/>
      <c r="AD807" s="177"/>
      <c r="AE807" s="177"/>
      <c r="AF807" s="139"/>
      <c r="AG807" s="139"/>
      <c r="AH807" s="177"/>
      <c r="AI807" s="178"/>
      <c r="AJ807" s="139"/>
      <c r="AK807" s="173"/>
      <c r="AL807" s="177"/>
      <c r="AM807" s="178"/>
      <c r="AN807" s="173"/>
      <c r="AO807" s="173"/>
      <c r="AP807" s="173"/>
      <c r="AQ807" s="178"/>
      <c r="AR807" s="173"/>
      <c r="AS807" s="173"/>
      <c r="AT807" s="140"/>
      <c r="AX807" s="140"/>
      <c r="BB807" s="173"/>
      <c r="BC807" s="173"/>
    </row>
    <row r="808" spans="2:55" s="134" customFormat="1" x14ac:dyDescent="0.2">
      <c r="B808" s="145"/>
      <c r="D808" s="145"/>
      <c r="Z808" s="177"/>
      <c r="AA808" s="178"/>
      <c r="AB808" s="139"/>
      <c r="AC808" s="173"/>
      <c r="AD808" s="177"/>
      <c r="AE808" s="177"/>
      <c r="AF808" s="139"/>
      <c r="AG808" s="139"/>
      <c r="AH808" s="177"/>
      <c r="AI808" s="178"/>
      <c r="AJ808" s="139"/>
      <c r="AK808" s="173"/>
      <c r="AL808" s="177"/>
      <c r="AM808" s="178"/>
      <c r="AN808" s="173"/>
      <c r="AO808" s="173"/>
      <c r="AP808" s="173"/>
      <c r="AQ808" s="178"/>
      <c r="AR808" s="173"/>
      <c r="AS808" s="173"/>
      <c r="AT808" s="140"/>
      <c r="AX808" s="140"/>
      <c r="BB808" s="173"/>
      <c r="BC808" s="173"/>
    </row>
    <row r="809" spans="2:55" s="134" customFormat="1" x14ac:dyDescent="0.2">
      <c r="B809" s="145"/>
      <c r="D809" s="145"/>
      <c r="Z809" s="177"/>
      <c r="AA809" s="178"/>
      <c r="AB809" s="139"/>
      <c r="AC809" s="173"/>
      <c r="AD809" s="177"/>
      <c r="AE809" s="177"/>
      <c r="AF809" s="139"/>
      <c r="AG809" s="139"/>
      <c r="AH809" s="177"/>
      <c r="AI809" s="178"/>
      <c r="AJ809" s="139"/>
      <c r="AK809" s="173"/>
      <c r="AL809" s="177"/>
      <c r="AM809" s="178"/>
      <c r="AN809" s="173"/>
      <c r="AO809" s="173"/>
      <c r="AP809" s="173"/>
      <c r="AQ809" s="178"/>
      <c r="AR809" s="173"/>
      <c r="AS809" s="173"/>
      <c r="AT809" s="140"/>
      <c r="AX809" s="140"/>
      <c r="BB809" s="173"/>
      <c r="BC809" s="173"/>
    </row>
    <row r="810" spans="2:55" s="134" customFormat="1" x14ac:dyDescent="0.2">
      <c r="B810" s="145"/>
      <c r="D810" s="145"/>
      <c r="Z810" s="177"/>
      <c r="AA810" s="178"/>
      <c r="AB810" s="139"/>
      <c r="AC810" s="173"/>
      <c r="AD810" s="177"/>
      <c r="AE810" s="177"/>
      <c r="AF810" s="139"/>
      <c r="AG810" s="139"/>
      <c r="AH810" s="177"/>
      <c r="AI810" s="178"/>
      <c r="AJ810" s="139"/>
      <c r="AK810" s="173"/>
      <c r="AL810" s="177"/>
      <c r="AM810" s="178"/>
      <c r="AN810" s="173"/>
      <c r="AO810" s="173"/>
      <c r="AP810" s="173"/>
      <c r="AQ810" s="178"/>
      <c r="AR810" s="173"/>
      <c r="AS810" s="173"/>
      <c r="AT810" s="140"/>
      <c r="AX810" s="140"/>
      <c r="BB810" s="173"/>
      <c r="BC810" s="173"/>
    </row>
    <row r="811" spans="2:55" s="134" customFormat="1" x14ac:dyDescent="0.2">
      <c r="B811" s="145"/>
      <c r="D811" s="145"/>
      <c r="Z811" s="177"/>
      <c r="AA811" s="178"/>
      <c r="AB811" s="139"/>
      <c r="AC811" s="173"/>
      <c r="AD811" s="177"/>
      <c r="AE811" s="177"/>
      <c r="AF811" s="139"/>
      <c r="AG811" s="139"/>
      <c r="AH811" s="177"/>
      <c r="AI811" s="178"/>
      <c r="AJ811" s="139"/>
      <c r="AK811" s="173"/>
      <c r="AL811" s="177"/>
      <c r="AM811" s="178"/>
      <c r="AN811" s="173"/>
      <c r="AO811" s="173"/>
      <c r="AP811" s="173"/>
      <c r="AQ811" s="178"/>
      <c r="AR811" s="173"/>
      <c r="AS811" s="173"/>
      <c r="AT811" s="140"/>
      <c r="AX811" s="140"/>
      <c r="BB811" s="173"/>
      <c r="BC811" s="173"/>
    </row>
    <row r="812" spans="2:55" s="134" customFormat="1" x14ac:dyDescent="0.2">
      <c r="B812" s="145"/>
      <c r="D812" s="145"/>
      <c r="Z812" s="177"/>
      <c r="AA812" s="178"/>
      <c r="AB812" s="139"/>
      <c r="AC812" s="173"/>
      <c r="AD812" s="177"/>
      <c r="AE812" s="177"/>
      <c r="AF812" s="139"/>
      <c r="AG812" s="139"/>
      <c r="AH812" s="177"/>
      <c r="AI812" s="178"/>
      <c r="AJ812" s="139"/>
      <c r="AK812" s="173"/>
      <c r="AL812" s="177"/>
      <c r="AM812" s="178"/>
      <c r="AN812" s="173"/>
      <c r="AO812" s="173"/>
      <c r="AP812" s="173"/>
      <c r="AQ812" s="178"/>
      <c r="AR812" s="173"/>
      <c r="AS812" s="173"/>
      <c r="AT812" s="140"/>
      <c r="AX812" s="140"/>
      <c r="BB812" s="173"/>
      <c r="BC812" s="173"/>
    </row>
    <row r="813" spans="2:55" s="134" customFormat="1" x14ac:dyDescent="0.2">
      <c r="B813" s="145"/>
      <c r="D813" s="145"/>
      <c r="Z813" s="177"/>
      <c r="AA813" s="178"/>
      <c r="AB813" s="139"/>
      <c r="AC813" s="173"/>
      <c r="AD813" s="177"/>
      <c r="AE813" s="177"/>
      <c r="AF813" s="139"/>
      <c r="AG813" s="139"/>
      <c r="AH813" s="177"/>
      <c r="AI813" s="178"/>
      <c r="AJ813" s="139"/>
      <c r="AK813" s="173"/>
      <c r="AL813" s="177"/>
      <c r="AM813" s="178"/>
      <c r="AN813" s="173"/>
      <c r="AO813" s="173"/>
      <c r="AP813" s="173"/>
      <c r="AQ813" s="178"/>
      <c r="AR813" s="173"/>
      <c r="AS813" s="173"/>
      <c r="AT813" s="140"/>
      <c r="AX813" s="140"/>
      <c r="BB813" s="173"/>
      <c r="BC813" s="173"/>
    </row>
    <row r="814" spans="2:55" s="134" customFormat="1" x14ac:dyDescent="0.2">
      <c r="B814" s="145"/>
      <c r="D814" s="145"/>
      <c r="Z814" s="177"/>
      <c r="AA814" s="178"/>
      <c r="AB814" s="139"/>
      <c r="AC814" s="173"/>
      <c r="AD814" s="177"/>
      <c r="AE814" s="177"/>
      <c r="AF814" s="139"/>
      <c r="AG814" s="139"/>
      <c r="AH814" s="177"/>
      <c r="AI814" s="178"/>
      <c r="AJ814" s="139"/>
      <c r="AK814" s="173"/>
      <c r="AL814" s="177"/>
      <c r="AM814" s="178"/>
      <c r="AN814" s="173"/>
      <c r="AO814" s="173"/>
      <c r="AP814" s="173"/>
      <c r="AQ814" s="178"/>
      <c r="AR814" s="173"/>
      <c r="AS814" s="173"/>
      <c r="AT814" s="140"/>
      <c r="AX814" s="140"/>
      <c r="BB814" s="173"/>
      <c r="BC814" s="173"/>
    </row>
    <row r="815" spans="2:55" s="134" customFormat="1" x14ac:dyDescent="0.2">
      <c r="B815" s="145"/>
      <c r="D815" s="145"/>
      <c r="Z815" s="177"/>
      <c r="AA815" s="178"/>
      <c r="AB815" s="139"/>
      <c r="AC815" s="173"/>
      <c r="AD815" s="177"/>
      <c r="AE815" s="177"/>
      <c r="AF815" s="139"/>
      <c r="AG815" s="139"/>
      <c r="AH815" s="177"/>
      <c r="AI815" s="178"/>
      <c r="AJ815" s="139"/>
      <c r="AK815" s="173"/>
      <c r="AL815" s="177"/>
      <c r="AM815" s="178"/>
      <c r="AN815" s="173"/>
      <c r="AO815" s="173"/>
      <c r="AP815" s="173"/>
      <c r="AQ815" s="178"/>
      <c r="AR815" s="173"/>
      <c r="AS815" s="173"/>
      <c r="AT815" s="140"/>
      <c r="AX815" s="140"/>
      <c r="BB815" s="173"/>
      <c r="BC815" s="173"/>
    </row>
    <row r="816" spans="2:55" s="134" customFormat="1" x14ac:dyDescent="0.2">
      <c r="B816" s="145"/>
      <c r="D816" s="145"/>
      <c r="Z816" s="177"/>
      <c r="AA816" s="178"/>
      <c r="AB816" s="139"/>
      <c r="AC816" s="173"/>
      <c r="AD816" s="177"/>
      <c r="AE816" s="177"/>
      <c r="AF816" s="139"/>
      <c r="AG816" s="139"/>
      <c r="AH816" s="177"/>
      <c r="AI816" s="178"/>
      <c r="AJ816" s="139"/>
      <c r="AK816" s="173"/>
      <c r="AL816" s="177"/>
      <c r="AM816" s="178"/>
      <c r="AN816" s="173"/>
      <c r="AO816" s="173"/>
      <c r="AP816" s="173"/>
      <c r="AQ816" s="178"/>
      <c r="AR816" s="173"/>
      <c r="AS816" s="173"/>
      <c r="AT816" s="140"/>
      <c r="AX816" s="140"/>
      <c r="BB816" s="173"/>
      <c r="BC816" s="173"/>
    </row>
    <row r="817" spans="2:55" s="134" customFormat="1" x14ac:dyDescent="0.2">
      <c r="B817" s="145"/>
      <c r="D817" s="145"/>
      <c r="Z817" s="177"/>
      <c r="AA817" s="178"/>
      <c r="AB817" s="139"/>
      <c r="AC817" s="173"/>
      <c r="AD817" s="177"/>
      <c r="AE817" s="177"/>
      <c r="AF817" s="139"/>
      <c r="AG817" s="139"/>
      <c r="AH817" s="177"/>
      <c r="AI817" s="178"/>
      <c r="AJ817" s="139"/>
      <c r="AK817" s="173"/>
      <c r="AL817" s="177"/>
      <c r="AM817" s="178"/>
      <c r="AN817" s="173"/>
      <c r="AO817" s="173"/>
      <c r="AP817" s="173"/>
      <c r="AQ817" s="178"/>
      <c r="AR817" s="173"/>
      <c r="AS817" s="173"/>
      <c r="AT817" s="140"/>
      <c r="AX817" s="140"/>
      <c r="BB817" s="173"/>
      <c r="BC817" s="173"/>
    </row>
    <row r="818" spans="2:55" s="134" customFormat="1" x14ac:dyDescent="0.2">
      <c r="B818" s="145"/>
      <c r="D818" s="145"/>
      <c r="Z818" s="177"/>
      <c r="AA818" s="178"/>
      <c r="AB818" s="139"/>
      <c r="AC818" s="173"/>
      <c r="AD818" s="177"/>
      <c r="AE818" s="177"/>
      <c r="AF818" s="139"/>
      <c r="AG818" s="139"/>
      <c r="AH818" s="177"/>
      <c r="AI818" s="178"/>
      <c r="AJ818" s="139"/>
      <c r="AK818" s="173"/>
      <c r="AL818" s="177"/>
      <c r="AM818" s="178"/>
      <c r="AN818" s="173"/>
      <c r="AO818" s="173"/>
      <c r="AP818" s="173"/>
      <c r="AQ818" s="178"/>
      <c r="AR818" s="173"/>
      <c r="AS818" s="173"/>
      <c r="AT818" s="140"/>
      <c r="AX818" s="140"/>
      <c r="BB818" s="173"/>
      <c r="BC818" s="173"/>
    </row>
    <row r="819" spans="2:55" s="134" customFormat="1" x14ac:dyDescent="0.2">
      <c r="B819" s="145"/>
      <c r="D819" s="145"/>
      <c r="Z819" s="177"/>
      <c r="AA819" s="178"/>
      <c r="AB819" s="139"/>
      <c r="AC819" s="173"/>
      <c r="AD819" s="177"/>
      <c r="AE819" s="177"/>
      <c r="AF819" s="139"/>
      <c r="AG819" s="139"/>
      <c r="AH819" s="177"/>
      <c r="AI819" s="178"/>
      <c r="AJ819" s="139"/>
      <c r="AK819" s="173"/>
      <c r="AL819" s="177"/>
      <c r="AM819" s="178"/>
      <c r="AN819" s="173"/>
      <c r="AO819" s="173"/>
      <c r="AP819" s="173"/>
      <c r="AQ819" s="178"/>
      <c r="AR819" s="173"/>
      <c r="AS819" s="173"/>
      <c r="AT819" s="140"/>
      <c r="AX819" s="140"/>
      <c r="BB819" s="173"/>
      <c r="BC819" s="173"/>
    </row>
    <row r="820" spans="2:55" s="134" customFormat="1" x14ac:dyDescent="0.2">
      <c r="B820" s="145"/>
      <c r="D820" s="145"/>
      <c r="Z820" s="177"/>
      <c r="AA820" s="178"/>
      <c r="AB820" s="139"/>
      <c r="AC820" s="173"/>
      <c r="AD820" s="177"/>
      <c r="AE820" s="177"/>
      <c r="AF820" s="139"/>
      <c r="AG820" s="139"/>
      <c r="AH820" s="177"/>
      <c r="AI820" s="178"/>
      <c r="AJ820" s="139"/>
      <c r="AK820" s="173"/>
      <c r="AL820" s="177"/>
      <c r="AM820" s="178"/>
      <c r="AN820" s="173"/>
      <c r="AO820" s="173"/>
      <c r="AP820" s="173"/>
      <c r="AQ820" s="178"/>
      <c r="AR820" s="173"/>
      <c r="AS820" s="173"/>
      <c r="AT820" s="140"/>
      <c r="AX820" s="140"/>
      <c r="BB820" s="173"/>
      <c r="BC820" s="173"/>
    </row>
    <row r="821" spans="2:55" s="134" customFormat="1" x14ac:dyDescent="0.2">
      <c r="B821" s="145"/>
      <c r="D821" s="145"/>
      <c r="Z821" s="177"/>
      <c r="AA821" s="178"/>
      <c r="AB821" s="139"/>
      <c r="AC821" s="173"/>
      <c r="AD821" s="177"/>
      <c r="AE821" s="177"/>
      <c r="AF821" s="139"/>
      <c r="AG821" s="139"/>
      <c r="AH821" s="177"/>
      <c r="AI821" s="178"/>
      <c r="AJ821" s="139"/>
      <c r="AK821" s="173"/>
      <c r="AL821" s="177"/>
      <c r="AM821" s="178"/>
      <c r="AN821" s="173"/>
      <c r="AO821" s="173"/>
      <c r="AP821" s="173"/>
      <c r="AQ821" s="178"/>
      <c r="AR821" s="173"/>
      <c r="AS821" s="173"/>
      <c r="AT821" s="140"/>
      <c r="AX821" s="140"/>
      <c r="BB821" s="173"/>
      <c r="BC821" s="173"/>
    </row>
    <row r="822" spans="2:55" s="134" customFormat="1" x14ac:dyDescent="0.2">
      <c r="B822" s="145"/>
      <c r="D822" s="145"/>
      <c r="Z822" s="177"/>
      <c r="AA822" s="178"/>
      <c r="AB822" s="139"/>
      <c r="AC822" s="173"/>
      <c r="AD822" s="177"/>
      <c r="AE822" s="177"/>
      <c r="AF822" s="139"/>
      <c r="AG822" s="139"/>
      <c r="AH822" s="177"/>
      <c r="AI822" s="178"/>
      <c r="AJ822" s="139"/>
      <c r="AK822" s="173"/>
      <c r="AL822" s="177"/>
      <c r="AM822" s="178"/>
      <c r="AN822" s="173"/>
      <c r="AO822" s="173"/>
      <c r="AP822" s="173"/>
      <c r="AQ822" s="178"/>
      <c r="AR822" s="173"/>
      <c r="AS822" s="173"/>
      <c r="AT822" s="140"/>
      <c r="AX822" s="140"/>
      <c r="BB822" s="173"/>
      <c r="BC822" s="173"/>
    </row>
    <row r="823" spans="2:55" s="134" customFormat="1" x14ac:dyDescent="0.2">
      <c r="B823" s="145"/>
      <c r="D823" s="145"/>
      <c r="Z823" s="177"/>
      <c r="AA823" s="178"/>
      <c r="AB823" s="139"/>
      <c r="AC823" s="173"/>
      <c r="AD823" s="177"/>
      <c r="AE823" s="177"/>
      <c r="AF823" s="139"/>
      <c r="AG823" s="139"/>
      <c r="AH823" s="177"/>
      <c r="AI823" s="178"/>
      <c r="AJ823" s="139"/>
      <c r="AK823" s="173"/>
      <c r="AL823" s="177"/>
      <c r="AM823" s="178"/>
      <c r="AN823" s="173"/>
      <c r="AO823" s="173"/>
      <c r="AP823" s="173"/>
      <c r="AQ823" s="178"/>
      <c r="AR823" s="173"/>
      <c r="AS823" s="173"/>
      <c r="AT823" s="140"/>
      <c r="AX823" s="140"/>
      <c r="BB823" s="173"/>
      <c r="BC823" s="173"/>
    </row>
    <row r="824" spans="2:55" s="134" customFormat="1" x14ac:dyDescent="0.2">
      <c r="B824" s="145"/>
      <c r="D824" s="145"/>
      <c r="Z824" s="177"/>
      <c r="AA824" s="178"/>
      <c r="AB824" s="139"/>
      <c r="AC824" s="173"/>
      <c r="AD824" s="177"/>
      <c r="AE824" s="177"/>
      <c r="AF824" s="139"/>
      <c r="AG824" s="139"/>
      <c r="AH824" s="177"/>
      <c r="AI824" s="178"/>
      <c r="AJ824" s="139"/>
      <c r="AK824" s="173"/>
      <c r="AL824" s="177"/>
      <c r="AM824" s="178"/>
      <c r="AN824" s="173"/>
      <c r="AO824" s="173"/>
      <c r="AP824" s="173"/>
      <c r="AQ824" s="178"/>
      <c r="AR824" s="173"/>
      <c r="AS824" s="173"/>
      <c r="AT824" s="140"/>
      <c r="AX824" s="140"/>
      <c r="BB824" s="173"/>
      <c r="BC824" s="173"/>
    </row>
    <row r="825" spans="2:55" s="134" customFormat="1" x14ac:dyDescent="0.2">
      <c r="B825" s="145"/>
      <c r="D825" s="145"/>
      <c r="Z825" s="177"/>
      <c r="AA825" s="178"/>
      <c r="AB825" s="139"/>
      <c r="AC825" s="173"/>
      <c r="AD825" s="177"/>
      <c r="AE825" s="177"/>
      <c r="AF825" s="139"/>
      <c r="AG825" s="139"/>
      <c r="AH825" s="177"/>
      <c r="AI825" s="178"/>
      <c r="AJ825" s="139"/>
      <c r="AK825" s="173"/>
      <c r="AL825" s="177"/>
      <c r="AM825" s="178"/>
      <c r="AN825" s="173"/>
      <c r="AO825" s="173"/>
      <c r="AP825" s="173"/>
      <c r="AQ825" s="178"/>
      <c r="AR825" s="173"/>
      <c r="AS825" s="173"/>
      <c r="AT825" s="140"/>
      <c r="AX825" s="140"/>
      <c r="BB825" s="173"/>
      <c r="BC825" s="173"/>
    </row>
    <row r="826" spans="2:55" s="134" customFormat="1" x14ac:dyDescent="0.2">
      <c r="B826" s="145"/>
      <c r="D826" s="145"/>
      <c r="Z826" s="177"/>
      <c r="AA826" s="178"/>
      <c r="AB826" s="139"/>
      <c r="AC826" s="173"/>
      <c r="AD826" s="177"/>
      <c r="AE826" s="177"/>
      <c r="AF826" s="139"/>
      <c r="AG826" s="139"/>
      <c r="AH826" s="177"/>
      <c r="AI826" s="178"/>
      <c r="AJ826" s="139"/>
      <c r="AK826" s="173"/>
      <c r="AL826" s="177"/>
      <c r="AM826" s="178"/>
      <c r="AN826" s="173"/>
      <c r="AO826" s="173"/>
      <c r="AP826" s="173"/>
      <c r="AQ826" s="178"/>
      <c r="AR826" s="173"/>
      <c r="AS826" s="173"/>
      <c r="AT826" s="140"/>
      <c r="AX826" s="140"/>
      <c r="BB826" s="173"/>
      <c r="BC826" s="173"/>
    </row>
    <row r="827" spans="2:55" s="134" customFormat="1" x14ac:dyDescent="0.2">
      <c r="B827" s="145"/>
      <c r="D827" s="145"/>
      <c r="Z827" s="177"/>
      <c r="AA827" s="178"/>
      <c r="AB827" s="139"/>
      <c r="AC827" s="173"/>
      <c r="AD827" s="177"/>
      <c r="AE827" s="177"/>
      <c r="AF827" s="139"/>
      <c r="AG827" s="139"/>
      <c r="AH827" s="177"/>
      <c r="AI827" s="178"/>
      <c r="AJ827" s="139"/>
      <c r="AK827" s="173"/>
      <c r="AL827" s="177"/>
      <c r="AM827" s="178"/>
      <c r="AN827" s="173"/>
      <c r="AO827" s="173"/>
      <c r="AP827" s="173"/>
      <c r="AQ827" s="178"/>
      <c r="AR827" s="173"/>
      <c r="AS827" s="173"/>
      <c r="AT827" s="140"/>
      <c r="AX827" s="140"/>
      <c r="BB827" s="173"/>
      <c r="BC827" s="173"/>
    </row>
    <row r="828" spans="2:55" s="134" customFormat="1" x14ac:dyDescent="0.2">
      <c r="B828" s="145"/>
      <c r="D828" s="145"/>
      <c r="Z828" s="177"/>
      <c r="AA828" s="178"/>
      <c r="AB828" s="139"/>
      <c r="AC828" s="173"/>
      <c r="AD828" s="177"/>
      <c r="AE828" s="177"/>
      <c r="AF828" s="139"/>
      <c r="AG828" s="139"/>
      <c r="AH828" s="177"/>
      <c r="AI828" s="178"/>
      <c r="AJ828" s="139"/>
      <c r="AK828" s="173"/>
      <c r="AL828" s="177"/>
      <c r="AM828" s="178"/>
      <c r="AN828" s="173"/>
      <c r="AO828" s="173"/>
      <c r="AP828" s="173"/>
      <c r="AQ828" s="178"/>
      <c r="AR828" s="173"/>
      <c r="AS828" s="173"/>
      <c r="AT828" s="140"/>
      <c r="AX828" s="140"/>
      <c r="BB828" s="173"/>
      <c r="BC828" s="173"/>
    </row>
    <row r="829" spans="2:55" s="134" customFormat="1" x14ac:dyDescent="0.2">
      <c r="B829" s="145"/>
      <c r="D829" s="145"/>
      <c r="Z829" s="177"/>
      <c r="AA829" s="178"/>
      <c r="AB829" s="139"/>
      <c r="AC829" s="173"/>
      <c r="AD829" s="177"/>
      <c r="AE829" s="177"/>
      <c r="AF829" s="139"/>
      <c r="AG829" s="139"/>
      <c r="AH829" s="177"/>
      <c r="AI829" s="178"/>
      <c r="AJ829" s="139"/>
      <c r="AK829" s="173"/>
      <c r="AL829" s="177"/>
      <c r="AM829" s="178"/>
      <c r="AN829" s="173"/>
      <c r="AO829" s="173"/>
      <c r="AP829" s="173"/>
      <c r="AQ829" s="178"/>
      <c r="AR829" s="173"/>
      <c r="AS829" s="173"/>
      <c r="AT829" s="140"/>
      <c r="AX829" s="140"/>
      <c r="BB829" s="173"/>
      <c r="BC829" s="173"/>
    </row>
    <row r="830" spans="2:55" s="134" customFormat="1" x14ac:dyDescent="0.2">
      <c r="B830" s="145"/>
      <c r="D830" s="145"/>
      <c r="Z830" s="177"/>
      <c r="AA830" s="178"/>
      <c r="AB830" s="139"/>
      <c r="AC830" s="173"/>
      <c r="AD830" s="177"/>
      <c r="AE830" s="177"/>
      <c r="AF830" s="139"/>
      <c r="AG830" s="139"/>
      <c r="AH830" s="177"/>
      <c r="AI830" s="178"/>
      <c r="AJ830" s="139"/>
      <c r="AK830" s="173"/>
      <c r="AL830" s="177"/>
      <c r="AM830" s="178"/>
      <c r="AN830" s="173"/>
      <c r="AO830" s="173"/>
      <c r="AP830" s="173"/>
      <c r="AQ830" s="178"/>
      <c r="AR830" s="173"/>
      <c r="AS830" s="173"/>
      <c r="AT830" s="140"/>
      <c r="AX830" s="140"/>
      <c r="BB830" s="173"/>
      <c r="BC830" s="173"/>
    </row>
    <row r="831" spans="2:55" s="134" customFormat="1" x14ac:dyDescent="0.2">
      <c r="B831" s="145"/>
      <c r="D831" s="145"/>
      <c r="Z831" s="177"/>
      <c r="AA831" s="178"/>
      <c r="AB831" s="139"/>
      <c r="AC831" s="173"/>
      <c r="AD831" s="177"/>
      <c r="AE831" s="177"/>
      <c r="AF831" s="139"/>
      <c r="AG831" s="139"/>
      <c r="AH831" s="177"/>
      <c r="AI831" s="178"/>
      <c r="AJ831" s="139"/>
      <c r="AK831" s="173"/>
      <c r="AL831" s="177"/>
      <c r="AM831" s="178"/>
      <c r="AN831" s="173"/>
      <c r="AO831" s="173"/>
      <c r="AP831" s="173"/>
      <c r="AQ831" s="178"/>
      <c r="AR831" s="173"/>
      <c r="AS831" s="173"/>
      <c r="AT831" s="140"/>
      <c r="AX831" s="140"/>
      <c r="BB831" s="173"/>
      <c r="BC831" s="173"/>
    </row>
    <row r="832" spans="2:55" s="134" customFormat="1" x14ac:dyDescent="0.2">
      <c r="B832" s="145"/>
      <c r="D832" s="145"/>
      <c r="Z832" s="177"/>
      <c r="AA832" s="178"/>
      <c r="AB832" s="139"/>
      <c r="AC832" s="173"/>
      <c r="AD832" s="177"/>
      <c r="AE832" s="177"/>
      <c r="AF832" s="139"/>
      <c r="AG832" s="139"/>
      <c r="AH832" s="177"/>
      <c r="AI832" s="178"/>
      <c r="AJ832" s="139"/>
      <c r="AK832" s="173"/>
      <c r="AL832" s="177"/>
      <c r="AM832" s="178"/>
      <c r="AN832" s="173"/>
      <c r="AO832" s="173"/>
      <c r="AP832" s="173"/>
      <c r="AQ832" s="178"/>
      <c r="AR832" s="173"/>
      <c r="AS832" s="173"/>
      <c r="AT832" s="140"/>
      <c r="AX832" s="140"/>
      <c r="BB832" s="173"/>
      <c r="BC832" s="173"/>
    </row>
    <row r="833" spans="2:55" s="134" customFormat="1" x14ac:dyDescent="0.2">
      <c r="B833" s="145"/>
      <c r="D833" s="145"/>
      <c r="Z833" s="177"/>
      <c r="AA833" s="178"/>
      <c r="AB833" s="139"/>
      <c r="AC833" s="173"/>
      <c r="AD833" s="177"/>
      <c r="AE833" s="177"/>
      <c r="AF833" s="139"/>
      <c r="AG833" s="139"/>
      <c r="AH833" s="177"/>
      <c r="AI833" s="178"/>
      <c r="AJ833" s="139"/>
      <c r="AK833" s="173"/>
      <c r="AL833" s="177"/>
      <c r="AM833" s="178"/>
      <c r="AN833" s="173"/>
      <c r="AO833" s="173"/>
      <c r="AP833" s="173"/>
      <c r="AQ833" s="178"/>
      <c r="AR833" s="173"/>
      <c r="AS833" s="173"/>
      <c r="AT833" s="140"/>
      <c r="AX833" s="140"/>
      <c r="BB833" s="173"/>
      <c r="BC833" s="173"/>
    </row>
    <row r="834" spans="2:55" s="134" customFormat="1" x14ac:dyDescent="0.2">
      <c r="B834" s="145"/>
      <c r="D834" s="145"/>
      <c r="Z834" s="177"/>
      <c r="AA834" s="178"/>
      <c r="AB834" s="139"/>
      <c r="AC834" s="173"/>
      <c r="AD834" s="177"/>
      <c r="AE834" s="177"/>
      <c r="AF834" s="139"/>
      <c r="AG834" s="139"/>
      <c r="AH834" s="177"/>
      <c r="AI834" s="178"/>
      <c r="AJ834" s="139"/>
      <c r="AK834" s="173"/>
      <c r="AL834" s="177"/>
      <c r="AM834" s="178"/>
      <c r="AN834" s="173"/>
      <c r="AO834" s="173"/>
      <c r="AP834" s="173"/>
      <c r="AQ834" s="178"/>
      <c r="AR834" s="173"/>
      <c r="AS834" s="173"/>
      <c r="AT834" s="140"/>
      <c r="AX834" s="140"/>
      <c r="BB834" s="173"/>
      <c r="BC834" s="173"/>
    </row>
    <row r="835" spans="2:55" s="134" customFormat="1" x14ac:dyDescent="0.2">
      <c r="B835" s="145"/>
      <c r="D835" s="145"/>
      <c r="Z835" s="177"/>
      <c r="AA835" s="178"/>
      <c r="AB835" s="139"/>
      <c r="AC835" s="173"/>
      <c r="AD835" s="177"/>
      <c r="AE835" s="177"/>
      <c r="AF835" s="139"/>
      <c r="AG835" s="139"/>
      <c r="AH835" s="177"/>
      <c r="AI835" s="178"/>
      <c r="AJ835" s="139"/>
      <c r="AK835" s="173"/>
      <c r="AL835" s="177"/>
      <c r="AM835" s="178"/>
      <c r="AN835" s="173"/>
      <c r="AO835" s="173"/>
      <c r="AP835" s="173"/>
      <c r="AQ835" s="178"/>
      <c r="AR835" s="173"/>
      <c r="AS835" s="173"/>
      <c r="AT835" s="140"/>
      <c r="AX835" s="140"/>
      <c r="BB835" s="173"/>
      <c r="BC835" s="173"/>
    </row>
    <row r="836" spans="2:55" s="134" customFormat="1" x14ac:dyDescent="0.2">
      <c r="B836" s="145"/>
      <c r="D836" s="145"/>
      <c r="Z836" s="177"/>
      <c r="AA836" s="178"/>
      <c r="AB836" s="139"/>
      <c r="AC836" s="173"/>
      <c r="AD836" s="177"/>
      <c r="AE836" s="177"/>
      <c r="AF836" s="139"/>
      <c r="AG836" s="139"/>
      <c r="AH836" s="177"/>
      <c r="AI836" s="178"/>
      <c r="AJ836" s="139"/>
      <c r="AK836" s="173"/>
      <c r="AL836" s="177"/>
      <c r="AM836" s="178"/>
      <c r="AN836" s="173"/>
      <c r="AO836" s="173"/>
      <c r="AP836" s="173"/>
      <c r="AQ836" s="178"/>
      <c r="AR836" s="173"/>
      <c r="AS836" s="173"/>
      <c r="AT836" s="140"/>
      <c r="AX836" s="140"/>
      <c r="BB836" s="173"/>
      <c r="BC836" s="173"/>
    </row>
    <row r="837" spans="2:55" s="134" customFormat="1" x14ac:dyDescent="0.2">
      <c r="B837" s="145"/>
      <c r="D837" s="145"/>
      <c r="Z837" s="177"/>
      <c r="AA837" s="178"/>
      <c r="AB837" s="139"/>
      <c r="AC837" s="173"/>
      <c r="AD837" s="177"/>
      <c r="AE837" s="177"/>
      <c r="AF837" s="139"/>
      <c r="AG837" s="139"/>
      <c r="AH837" s="177"/>
      <c r="AI837" s="178"/>
      <c r="AJ837" s="139"/>
      <c r="AK837" s="173"/>
      <c r="AL837" s="177"/>
      <c r="AM837" s="178"/>
      <c r="AN837" s="173"/>
      <c r="AO837" s="173"/>
      <c r="AP837" s="173"/>
      <c r="AQ837" s="178"/>
      <c r="AR837" s="173"/>
      <c r="AS837" s="173"/>
      <c r="AT837" s="140"/>
      <c r="AX837" s="140"/>
      <c r="BB837" s="173"/>
      <c r="BC837" s="173"/>
    </row>
    <row r="838" spans="2:55" s="134" customFormat="1" x14ac:dyDescent="0.2">
      <c r="B838" s="145"/>
      <c r="D838" s="145"/>
      <c r="Z838" s="177"/>
      <c r="AA838" s="178"/>
      <c r="AB838" s="139"/>
      <c r="AC838" s="173"/>
      <c r="AD838" s="177"/>
      <c r="AE838" s="177"/>
      <c r="AF838" s="139"/>
      <c r="AG838" s="139"/>
      <c r="AH838" s="177"/>
      <c r="AI838" s="178"/>
      <c r="AJ838" s="139"/>
      <c r="AK838" s="173"/>
      <c r="AL838" s="177"/>
      <c r="AM838" s="178"/>
      <c r="AN838" s="173"/>
      <c r="AO838" s="173"/>
      <c r="AP838" s="173"/>
      <c r="AQ838" s="178"/>
      <c r="AR838" s="173"/>
      <c r="AS838" s="173"/>
      <c r="AT838" s="140"/>
      <c r="AX838" s="140"/>
      <c r="BB838" s="173"/>
      <c r="BC838" s="173"/>
    </row>
    <row r="839" spans="2:55" s="134" customFormat="1" x14ac:dyDescent="0.2">
      <c r="B839" s="145"/>
      <c r="D839" s="145"/>
      <c r="Z839" s="177"/>
      <c r="AA839" s="178"/>
      <c r="AB839" s="139"/>
      <c r="AC839" s="173"/>
      <c r="AD839" s="177"/>
      <c r="AE839" s="177"/>
      <c r="AF839" s="139"/>
      <c r="AG839" s="139"/>
      <c r="AH839" s="177"/>
      <c r="AI839" s="178"/>
      <c r="AJ839" s="139"/>
      <c r="AK839" s="173"/>
      <c r="AL839" s="177"/>
      <c r="AM839" s="178"/>
      <c r="AN839" s="173"/>
      <c r="AO839" s="173"/>
      <c r="AP839" s="173"/>
      <c r="AQ839" s="178"/>
      <c r="AR839" s="173"/>
      <c r="AS839" s="173"/>
      <c r="AT839" s="140"/>
      <c r="AX839" s="140"/>
      <c r="BB839" s="173"/>
      <c r="BC839" s="173"/>
    </row>
    <row r="840" spans="2:55" s="134" customFormat="1" x14ac:dyDescent="0.2">
      <c r="B840" s="145"/>
      <c r="D840" s="145"/>
      <c r="Z840" s="177"/>
      <c r="AA840" s="178"/>
      <c r="AB840" s="139"/>
      <c r="AC840" s="173"/>
      <c r="AD840" s="177"/>
      <c r="AE840" s="177"/>
      <c r="AF840" s="139"/>
      <c r="AG840" s="139"/>
      <c r="AH840" s="177"/>
      <c r="AI840" s="178"/>
      <c r="AJ840" s="139"/>
      <c r="AK840" s="173"/>
      <c r="AL840" s="177"/>
      <c r="AM840" s="178"/>
      <c r="AN840" s="173"/>
      <c r="AO840" s="173"/>
      <c r="AP840" s="173"/>
      <c r="AQ840" s="178"/>
      <c r="AR840" s="173"/>
      <c r="AS840" s="173"/>
      <c r="AT840" s="140"/>
      <c r="AX840" s="140"/>
      <c r="BB840" s="173"/>
      <c r="BC840" s="173"/>
    </row>
    <row r="841" spans="2:55" s="134" customFormat="1" x14ac:dyDescent="0.2">
      <c r="B841" s="145"/>
      <c r="D841" s="145"/>
      <c r="Z841" s="177"/>
      <c r="AA841" s="178"/>
      <c r="AB841" s="139"/>
      <c r="AC841" s="173"/>
      <c r="AD841" s="177"/>
      <c r="AE841" s="177"/>
      <c r="AF841" s="139"/>
      <c r="AG841" s="139"/>
      <c r="AH841" s="177"/>
      <c r="AI841" s="178"/>
      <c r="AJ841" s="139"/>
      <c r="AK841" s="173"/>
      <c r="AL841" s="177"/>
      <c r="AM841" s="178"/>
      <c r="AN841" s="173"/>
      <c r="AO841" s="173"/>
      <c r="AP841" s="173"/>
      <c r="AQ841" s="178"/>
      <c r="AR841" s="173"/>
      <c r="AS841" s="173"/>
      <c r="AT841" s="140"/>
      <c r="AX841" s="140"/>
      <c r="BB841" s="173"/>
      <c r="BC841" s="173"/>
    </row>
    <row r="842" spans="2:55" s="134" customFormat="1" x14ac:dyDescent="0.2">
      <c r="B842" s="145"/>
      <c r="D842" s="145"/>
      <c r="Z842" s="177"/>
      <c r="AA842" s="178"/>
      <c r="AB842" s="139"/>
      <c r="AC842" s="173"/>
      <c r="AD842" s="177"/>
      <c r="AE842" s="177"/>
      <c r="AF842" s="139"/>
      <c r="AG842" s="139"/>
      <c r="AH842" s="177"/>
      <c r="AI842" s="178"/>
      <c r="AJ842" s="139"/>
      <c r="AK842" s="173"/>
      <c r="AL842" s="177"/>
      <c r="AM842" s="178"/>
      <c r="AN842" s="173"/>
      <c r="AO842" s="173"/>
      <c r="AP842" s="173"/>
      <c r="AQ842" s="178"/>
      <c r="AR842" s="173"/>
      <c r="AS842" s="173"/>
      <c r="AT842" s="140"/>
      <c r="AX842" s="140"/>
      <c r="BB842" s="173"/>
      <c r="BC842" s="173"/>
    </row>
    <row r="843" spans="2:55" s="134" customFormat="1" x14ac:dyDescent="0.2">
      <c r="B843" s="145"/>
      <c r="D843" s="145"/>
      <c r="Z843" s="177"/>
      <c r="AA843" s="178"/>
      <c r="AB843" s="139"/>
      <c r="AC843" s="173"/>
      <c r="AD843" s="177"/>
      <c r="AE843" s="177"/>
      <c r="AF843" s="139"/>
      <c r="AG843" s="139"/>
      <c r="AH843" s="177"/>
      <c r="AI843" s="178"/>
      <c r="AJ843" s="139"/>
      <c r="AK843" s="173"/>
      <c r="AL843" s="177"/>
      <c r="AM843" s="178"/>
      <c r="AN843" s="173"/>
      <c r="AO843" s="173"/>
      <c r="AP843" s="173"/>
      <c r="AQ843" s="178"/>
      <c r="AR843" s="173"/>
      <c r="AS843" s="173"/>
      <c r="AT843" s="140"/>
      <c r="AX843" s="140"/>
      <c r="BB843" s="173"/>
      <c r="BC843" s="173"/>
    </row>
    <row r="844" spans="2:55" s="134" customFormat="1" x14ac:dyDescent="0.2">
      <c r="B844" s="145"/>
      <c r="D844" s="145"/>
      <c r="Z844" s="177"/>
      <c r="AA844" s="178"/>
      <c r="AB844" s="139"/>
      <c r="AC844" s="173"/>
      <c r="AD844" s="177"/>
      <c r="AE844" s="177"/>
      <c r="AF844" s="139"/>
      <c r="AG844" s="139"/>
      <c r="AH844" s="177"/>
      <c r="AI844" s="178"/>
      <c r="AJ844" s="139"/>
      <c r="AK844" s="173"/>
      <c r="AL844" s="177"/>
      <c r="AM844" s="178"/>
      <c r="AN844" s="173"/>
      <c r="AO844" s="173"/>
      <c r="AP844" s="173"/>
      <c r="AQ844" s="178"/>
      <c r="AR844" s="173"/>
      <c r="AS844" s="173"/>
      <c r="AT844" s="140"/>
      <c r="AX844" s="140"/>
      <c r="BB844" s="173"/>
      <c r="BC844" s="173"/>
    </row>
    <row r="845" spans="2:55" s="134" customFormat="1" x14ac:dyDescent="0.2">
      <c r="B845" s="145"/>
      <c r="D845" s="145"/>
      <c r="Z845" s="177"/>
      <c r="AA845" s="178"/>
      <c r="AB845" s="139"/>
      <c r="AC845" s="173"/>
      <c r="AD845" s="177"/>
      <c r="AE845" s="177"/>
      <c r="AF845" s="139"/>
      <c r="AG845" s="139"/>
      <c r="AH845" s="177"/>
      <c r="AI845" s="178"/>
      <c r="AJ845" s="139"/>
      <c r="AK845" s="173"/>
      <c r="AL845" s="177"/>
      <c r="AM845" s="178"/>
      <c r="AN845" s="173"/>
      <c r="AO845" s="173"/>
      <c r="AP845" s="173"/>
      <c r="AQ845" s="178"/>
      <c r="AR845" s="173"/>
      <c r="AS845" s="173"/>
      <c r="AT845" s="140"/>
      <c r="AX845" s="140"/>
      <c r="BB845" s="173"/>
      <c r="BC845" s="173"/>
    </row>
    <row r="846" spans="2:55" s="134" customFormat="1" x14ac:dyDescent="0.2">
      <c r="B846" s="145"/>
      <c r="D846" s="145"/>
      <c r="Z846" s="177"/>
      <c r="AA846" s="178"/>
      <c r="AB846" s="139"/>
      <c r="AC846" s="173"/>
      <c r="AD846" s="177"/>
      <c r="AE846" s="177"/>
      <c r="AF846" s="139"/>
      <c r="AG846" s="139"/>
      <c r="AH846" s="177"/>
      <c r="AI846" s="178"/>
      <c r="AJ846" s="139"/>
      <c r="AK846" s="173"/>
      <c r="AL846" s="177"/>
      <c r="AM846" s="178"/>
      <c r="AN846" s="173"/>
      <c r="AO846" s="173"/>
      <c r="AP846" s="173"/>
      <c r="AQ846" s="178"/>
      <c r="AR846" s="173"/>
      <c r="AS846" s="173"/>
      <c r="AT846" s="140"/>
      <c r="AX846" s="140"/>
      <c r="BB846" s="173"/>
      <c r="BC846" s="173"/>
    </row>
    <row r="847" spans="2:55" s="134" customFormat="1" x14ac:dyDescent="0.2">
      <c r="B847" s="145"/>
      <c r="D847" s="145"/>
      <c r="Z847" s="177"/>
      <c r="AA847" s="178"/>
      <c r="AB847" s="139"/>
      <c r="AC847" s="173"/>
      <c r="AD847" s="177"/>
      <c r="AE847" s="177"/>
      <c r="AF847" s="139"/>
      <c r="AG847" s="139"/>
      <c r="AH847" s="177"/>
      <c r="AI847" s="178"/>
      <c r="AJ847" s="139"/>
      <c r="AK847" s="173"/>
      <c r="AL847" s="177"/>
      <c r="AM847" s="178"/>
      <c r="AN847" s="173"/>
      <c r="AO847" s="173"/>
      <c r="AP847" s="173"/>
      <c r="AQ847" s="178"/>
      <c r="AR847" s="173"/>
      <c r="AS847" s="173"/>
      <c r="AT847" s="140"/>
      <c r="AX847" s="140"/>
      <c r="BB847" s="173"/>
      <c r="BC847" s="173"/>
    </row>
    <row r="848" spans="2:55" s="134" customFormat="1" x14ac:dyDescent="0.2">
      <c r="B848" s="145"/>
      <c r="D848" s="145"/>
      <c r="Z848" s="177"/>
      <c r="AA848" s="178"/>
      <c r="AB848" s="139"/>
      <c r="AC848" s="173"/>
      <c r="AD848" s="177"/>
      <c r="AE848" s="177"/>
      <c r="AF848" s="139"/>
      <c r="AG848" s="139"/>
      <c r="AH848" s="177"/>
      <c r="AI848" s="178"/>
      <c r="AJ848" s="139"/>
      <c r="AK848" s="173"/>
      <c r="AL848" s="177"/>
      <c r="AM848" s="178"/>
      <c r="AN848" s="173"/>
      <c r="AO848" s="173"/>
      <c r="AP848" s="173"/>
      <c r="AQ848" s="178"/>
      <c r="AR848" s="173"/>
      <c r="AS848" s="173"/>
      <c r="AT848" s="140"/>
      <c r="AX848" s="140"/>
      <c r="BB848" s="173"/>
      <c r="BC848" s="173"/>
    </row>
    <row r="849" spans="2:55" s="134" customFormat="1" x14ac:dyDescent="0.2">
      <c r="B849" s="145"/>
      <c r="D849" s="145"/>
      <c r="Z849" s="177"/>
      <c r="AA849" s="178"/>
      <c r="AB849" s="139"/>
      <c r="AC849" s="173"/>
      <c r="AD849" s="177"/>
      <c r="AE849" s="177"/>
      <c r="AF849" s="139"/>
      <c r="AG849" s="139"/>
      <c r="AH849" s="177"/>
      <c r="AI849" s="178"/>
      <c r="AJ849" s="139"/>
      <c r="AK849" s="173"/>
      <c r="AL849" s="177"/>
      <c r="AM849" s="178"/>
      <c r="AN849" s="173"/>
      <c r="AO849" s="173"/>
      <c r="AP849" s="173"/>
      <c r="AQ849" s="178"/>
      <c r="AR849" s="173"/>
      <c r="AS849" s="173"/>
      <c r="AT849" s="140"/>
      <c r="AX849" s="140"/>
      <c r="BB849" s="173"/>
      <c r="BC849" s="173"/>
    </row>
    <row r="850" spans="2:55" s="134" customFormat="1" x14ac:dyDescent="0.2">
      <c r="B850" s="145"/>
      <c r="D850" s="145"/>
      <c r="Z850" s="177"/>
      <c r="AA850" s="178"/>
      <c r="AB850" s="139"/>
      <c r="AC850" s="173"/>
      <c r="AD850" s="177"/>
      <c r="AE850" s="177"/>
      <c r="AF850" s="139"/>
      <c r="AG850" s="139"/>
      <c r="AH850" s="177"/>
      <c r="AI850" s="178"/>
      <c r="AJ850" s="139"/>
      <c r="AK850" s="173"/>
      <c r="AL850" s="177"/>
      <c r="AM850" s="178"/>
      <c r="AN850" s="173"/>
      <c r="AO850" s="173"/>
      <c r="AP850" s="173"/>
      <c r="AQ850" s="178"/>
      <c r="AR850" s="173"/>
      <c r="AS850" s="173"/>
      <c r="AT850" s="140"/>
      <c r="AX850" s="140"/>
      <c r="BB850" s="173"/>
      <c r="BC850" s="173"/>
    </row>
    <row r="851" spans="2:55" s="134" customFormat="1" x14ac:dyDescent="0.2">
      <c r="B851" s="145"/>
      <c r="D851" s="145"/>
      <c r="Z851" s="177"/>
      <c r="AA851" s="178"/>
      <c r="AB851" s="139"/>
      <c r="AC851" s="173"/>
      <c r="AD851" s="177"/>
      <c r="AE851" s="177"/>
      <c r="AF851" s="139"/>
      <c r="AG851" s="139"/>
      <c r="AH851" s="177"/>
      <c r="AI851" s="178"/>
      <c r="AJ851" s="139"/>
      <c r="AK851" s="173"/>
      <c r="AL851" s="177"/>
      <c r="AM851" s="178"/>
      <c r="AN851" s="173"/>
      <c r="AO851" s="173"/>
      <c r="AP851" s="173"/>
      <c r="AQ851" s="178"/>
      <c r="AR851" s="173"/>
      <c r="AS851" s="173"/>
      <c r="AT851" s="140"/>
      <c r="AX851" s="140"/>
      <c r="BB851" s="173"/>
      <c r="BC851" s="173"/>
    </row>
    <row r="852" spans="2:55" s="134" customFormat="1" x14ac:dyDescent="0.2">
      <c r="B852" s="145"/>
      <c r="D852" s="145"/>
      <c r="Z852" s="177"/>
      <c r="AA852" s="178"/>
      <c r="AB852" s="139"/>
      <c r="AC852" s="173"/>
      <c r="AD852" s="177"/>
      <c r="AE852" s="177"/>
      <c r="AF852" s="139"/>
      <c r="AG852" s="139"/>
      <c r="AH852" s="177"/>
      <c r="AI852" s="178"/>
      <c r="AJ852" s="139"/>
      <c r="AK852" s="173"/>
      <c r="AL852" s="177"/>
      <c r="AM852" s="178"/>
      <c r="AN852" s="173"/>
      <c r="AO852" s="173"/>
      <c r="AP852" s="173"/>
      <c r="AQ852" s="178"/>
      <c r="AR852" s="173"/>
      <c r="AS852" s="173"/>
      <c r="AT852" s="140"/>
      <c r="AX852" s="140"/>
      <c r="BB852" s="173"/>
      <c r="BC852" s="173"/>
    </row>
    <row r="853" spans="2:55" s="134" customFormat="1" x14ac:dyDescent="0.2">
      <c r="B853" s="145"/>
      <c r="D853" s="145"/>
      <c r="Z853" s="177"/>
      <c r="AA853" s="178"/>
      <c r="AB853" s="139"/>
      <c r="AC853" s="173"/>
      <c r="AD853" s="177"/>
      <c r="AE853" s="177"/>
      <c r="AF853" s="139"/>
      <c r="AG853" s="139"/>
      <c r="AH853" s="177"/>
      <c r="AI853" s="178"/>
      <c r="AJ853" s="139"/>
      <c r="AK853" s="173"/>
      <c r="AL853" s="177"/>
      <c r="AM853" s="178"/>
      <c r="AN853" s="173"/>
      <c r="AO853" s="173"/>
      <c r="AP853" s="173"/>
      <c r="AQ853" s="178"/>
      <c r="AR853" s="173"/>
      <c r="AS853" s="173"/>
      <c r="AT853" s="140"/>
      <c r="AX853" s="140"/>
      <c r="BB853" s="173"/>
      <c r="BC853" s="173"/>
    </row>
    <row r="854" spans="2:55" s="134" customFormat="1" x14ac:dyDescent="0.2">
      <c r="B854" s="145"/>
      <c r="D854" s="145"/>
      <c r="Z854" s="177"/>
      <c r="AA854" s="178"/>
      <c r="AB854" s="139"/>
      <c r="AC854" s="173"/>
      <c r="AD854" s="177"/>
      <c r="AE854" s="177"/>
      <c r="AF854" s="139"/>
      <c r="AG854" s="139"/>
      <c r="AH854" s="177"/>
      <c r="AI854" s="178"/>
      <c r="AJ854" s="139"/>
      <c r="AK854" s="173"/>
      <c r="AL854" s="177"/>
      <c r="AM854" s="178"/>
      <c r="AN854" s="173"/>
      <c r="AO854" s="173"/>
      <c r="AP854" s="173"/>
      <c r="AQ854" s="178"/>
      <c r="AR854" s="173"/>
      <c r="AS854" s="173"/>
      <c r="AT854" s="140"/>
      <c r="AX854" s="140"/>
      <c r="BB854" s="173"/>
      <c r="BC854" s="173"/>
    </row>
    <row r="855" spans="2:55" s="134" customFormat="1" x14ac:dyDescent="0.2">
      <c r="B855" s="145"/>
      <c r="D855" s="145"/>
      <c r="Z855" s="177"/>
      <c r="AA855" s="178"/>
      <c r="AB855" s="139"/>
      <c r="AC855" s="173"/>
      <c r="AD855" s="177"/>
      <c r="AE855" s="177"/>
      <c r="AF855" s="139"/>
      <c r="AG855" s="139"/>
      <c r="AH855" s="177"/>
      <c r="AI855" s="178"/>
      <c r="AJ855" s="139"/>
      <c r="AK855" s="173"/>
      <c r="AL855" s="177"/>
      <c r="AM855" s="178"/>
      <c r="AN855" s="173"/>
      <c r="AO855" s="173"/>
      <c r="AP855" s="173"/>
      <c r="AQ855" s="178"/>
      <c r="AR855" s="173"/>
      <c r="AS855" s="173"/>
      <c r="AT855" s="140"/>
      <c r="AX855" s="140"/>
      <c r="BB855" s="173"/>
      <c r="BC855" s="173"/>
    </row>
    <row r="856" spans="2:55" s="134" customFormat="1" x14ac:dyDescent="0.2">
      <c r="B856" s="145"/>
      <c r="D856" s="145"/>
      <c r="Z856" s="177"/>
      <c r="AA856" s="178"/>
      <c r="AB856" s="139"/>
      <c r="AC856" s="173"/>
      <c r="AD856" s="177"/>
      <c r="AE856" s="177"/>
      <c r="AF856" s="139"/>
      <c r="AG856" s="139"/>
      <c r="AH856" s="177"/>
      <c r="AI856" s="178"/>
      <c r="AJ856" s="139"/>
      <c r="AK856" s="173"/>
      <c r="AL856" s="177"/>
      <c r="AM856" s="178"/>
      <c r="AN856" s="173"/>
      <c r="AO856" s="173"/>
      <c r="AP856" s="173"/>
      <c r="AQ856" s="178"/>
      <c r="AR856" s="173"/>
      <c r="AS856" s="173"/>
      <c r="AT856" s="140"/>
      <c r="AX856" s="140"/>
      <c r="BB856" s="173"/>
      <c r="BC856" s="173"/>
    </row>
    <row r="857" spans="2:55" s="134" customFormat="1" x14ac:dyDescent="0.2">
      <c r="B857" s="145"/>
      <c r="D857" s="145"/>
      <c r="Z857" s="177"/>
      <c r="AA857" s="178"/>
      <c r="AB857" s="139"/>
      <c r="AC857" s="173"/>
      <c r="AD857" s="177"/>
      <c r="AE857" s="177"/>
      <c r="AF857" s="139"/>
      <c r="AG857" s="139"/>
      <c r="AH857" s="177"/>
      <c r="AI857" s="178"/>
      <c r="AJ857" s="139"/>
      <c r="AK857" s="173"/>
      <c r="AL857" s="177"/>
      <c r="AM857" s="178"/>
      <c r="AN857" s="173"/>
      <c r="AO857" s="173"/>
      <c r="AP857" s="173"/>
      <c r="AQ857" s="178"/>
      <c r="AR857" s="173"/>
      <c r="AS857" s="173"/>
      <c r="AT857" s="140"/>
      <c r="AX857" s="140"/>
      <c r="BB857" s="173"/>
      <c r="BC857" s="173"/>
    </row>
    <row r="858" spans="2:55" s="134" customFormat="1" x14ac:dyDescent="0.2">
      <c r="B858" s="145"/>
      <c r="D858" s="145"/>
      <c r="Z858" s="177"/>
      <c r="AA858" s="178"/>
      <c r="AB858" s="139"/>
      <c r="AC858" s="173"/>
      <c r="AD858" s="177"/>
      <c r="AE858" s="177"/>
      <c r="AF858" s="139"/>
      <c r="AG858" s="139"/>
      <c r="AH858" s="177"/>
      <c r="AI858" s="178"/>
      <c r="AJ858" s="139"/>
      <c r="AK858" s="173"/>
      <c r="AL858" s="177"/>
      <c r="AM858" s="178"/>
      <c r="AN858" s="173"/>
      <c r="AO858" s="173"/>
      <c r="AP858" s="173"/>
      <c r="AQ858" s="178"/>
      <c r="AR858" s="173"/>
      <c r="AS858" s="173"/>
      <c r="AT858" s="140"/>
      <c r="AX858" s="140"/>
      <c r="BB858" s="173"/>
      <c r="BC858" s="173"/>
    </row>
    <row r="859" spans="2:55" s="134" customFormat="1" x14ac:dyDescent="0.2">
      <c r="B859" s="145"/>
      <c r="D859" s="145"/>
      <c r="Z859" s="177"/>
      <c r="AA859" s="178"/>
      <c r="AB859" s="139"/>
      <c r="AC859" s="173"/>
      <c r="AD859" s="177"/>
      <c r="AE859" s="177"/>
      <c r="AF859" s="139"/>
      <c r="AG859" s="139"/>
      <c r="AH859" s="177"/>
      <c r="AI859" s="178"/>
      <c r="AJ859" s="139"/>
      <c r="AK859" s="173"/>
      <c r="AL859" s="177"/>
      <c r="AM859" s="178"/>
      <c r="AN859" s="173"/>
      <c r="AO859" s="173"/>
      <c r="AP859" s="173"/>
      <c r="AQ859" s="178"/>
      <c r="AR859" s="173"/>
      <c r="AS859" s="173"/>
      <c r="AT859" s="140"/>
      <c r="AX859" s="140"/>
      <c r="BB859" s="173"/>
      <c r="BC859" s="173"/>
    </row>
    <row r="860" spans="2:55" s="134" customFormat="1" x14ac:dyDescent="0.2">
      <c r="B860" s="145"/>
      <c r="D860" s="145"/>
      <c r="Z860" s="177"/>
      <c r="AA860" s="178"/>
      <c r="AB860" s="139"/>
      <c r="AC860" s="173"/>
      <c r="AD860" s="177"/>
      <c r="AE860" s="177"/>
      <c r="AF860" s="139"/>
      <c r="AG860" s="139"/>
      <c r="AH860" s="177"/>
      <c r="AI860" s="178"/>
      <c r="AJ860" s="139"/>
      <c r="AK860" s="173"/>
      <c r="AL860" s="177"/>
      <c r="AM860" s="178"/>
      <c r="AN860" s="173"/>
      <c r="AO860" s="173"/>
      <c r="AP860" s="173"/>
      <c r="AQ860" s="178"/>
      <c r="AR860" s="173"/>
      <c r="AS860" s="173"/>
      <c r="AT860" s="140"/>
      <c r="AX860" s="140"/>
      <c r="BB860" s="173"/>
      <c r="BC860" s="173"/>
    </row>
    <row r="861" spans="2:55" s="134" customFormat="1" x14ac:dyDescent="0.2">
      <c r="B861" s="145"/>
      <c r="D861" s="145"/>
      <c r="Z861" s="177"/>
      <c r="AA861" s="178"/>
      <c r="AB861" s="139"/>
      <c r="AC861" s="173"/>
      <c r="AD861" s="177"/>
      <c r="AE861" s="177"/>
      <c r="AF861" s="139"/>
      <c r="AG861" s="139"/>
      <c r="AH861" s="177"/>
      <c r="AI861" s="178"/>
      <c r="AJ861" s="139"/>
      <c r="AK861" s="173"/>
      <c r="AL861" s="177"/>
      <c r="AM861" s="178"/>
      <c r="AN861" s="173"/>
      <c r="AO861" s="173"/>
      <c r="AP861" s="173"/>
      <c r="AQ861" s="178"/>
      <c r="AR861" s="173"/>
      <c r="AS861" s="173"/>
      <c r="AT861" s="140"/>
      <c r="AX861" s="140"/>
      <c r="BB861" s="173"/>
      <c r="BC861" s="173"/>
    </row>
    <row r="862" spans="2:55" s="134" customFormat="1" x14ac:dyDescent="0.2">
      <c r="B862" s="145"/>
      <c r="D862" s="145"/>
      <c r="Z862" s="177"/>
      <c r="AA862" s="178"/>
      <c r="AB862" s="139"/>
      <c r="AC862" s="173"/>
      <c r="AD862" s="177"/>
      <c r="AE862" s="177"/>
      <c r="AF862" s="139"/>
      <c r="AG862" s="139"/>
      <c r="AH862" s="177"/>
      <c r="AI862" s="178"/>
      <c r="AJ862" s="139"/>
      <c r="AK862" s="173"/>
      <c r="AL862" s="177"/>
      <c r="AM862" s="178"/>
      <c r="AN862" s="173"/>
      <c r="AO862" s="173"/>
      <c r="AP862" s="173"/>
      <c r="AQ862" s="178"/>
      <c r="AR862" s="173"/>
      <c r="AS862" s="173"/>
      <c r="AT862" s="140"/>
      <c r="AX862" s="140"/>
      <c r="BB862" s="173"/>
      <c r="BC862" s="173"/>
    </row>
    <row r="863" spans="2:55" s="134" customFormat="1" x14ac:dyDescent="0.2">
      <c r="B863" s="145"/>
      <c r="D863" s="145"/>
      <c r="Z863" s="177"/>
      <c r="AA863" s="178"/>
      <c r="AB863" s="139"/>
      <c r="AC863" s="173"/>
      <c r="AD863" s="177"/>
      <c r="AE863" s="177"/>
      <c r="AF863" s="139"/>
      <c r="AG863" s="139"/>
      <c r="AH863" s="177"/>
      <c r="AI863" s="178"/>
      <c r="AJ863" s="139"/>
      <c r="AK863" s="173"/>
      <c r="AL863" s="177"/>
      <c r="AM863" s="178"/>
      <c r="AN863" s="173"/>
      <c r="AO863" s="173"/>
      <c r="AP863" s="173"/>
      <c r="AQ863" s="178"/>
      <c r="AR863" s="173"/>
      <c r="AS863" s="173"/>
      <c r="AT863" s="140"/>
      <c r="AX863" s="140"/>
      <c r="BB863" s="173"/>
      <c r="BC863" s="173"/>
    </row>
    <row r="864" spans="2:55" s="134" customFormat="1" x14ac:dyDescent="0.2">
      <c r="B864" s="145"/>
      <c r="D864" s="145"/>
      <c r="Z864" s="177"/>
      <c r="AA864" s="178"/>
      <c r="AB864" s="139"/>
      <c r="AC864" s="173"/>
      <c r="AD864" s="177"/>
      <c r="AE864" s="177"/>
      <c r="AF864" s="139"/>
      <c r="AG864" s="139"/>
      <c r="AH864" s="177"/>
      <c r="AI864" s="178"/>
      <c r="AJ864" s="139"/>
      <c r="AK864" s="173"/>
      <c r="AL864" s="177"/>
      <c r="AM864" s="178"/>
      <c r="AN864" s="173"/>
      <c r="AO864" s="173"/>
      <c r="AP864" s="173"/>
      <c r="AQ864" s="178"/>
      <c r="AR864" s="173"/>
      <c r="AS864" s="173"/>
      <c r="AT864" s="140"/>
      <c r="AX864" s="140"/>
      <c r="BB864" s="173"/>
      <c r="BC864" s="173"/>
    </row>
    <row r="865" spans="2:55" s="134" customFormat="1" x14ac:dyDescent="0.2">
      <c r="B865" s="145"/>
      <c r="D865" s="145"/>
      <c r="Z865" s="177"/>
      <c r="AA865" s="178"/>
      <c r="AB865" s="139"/>
      <c r="AC865" s="173"/>
      <c r="AD865" s="177"/>
      <c r="AE865" s="177"/>
      <c r="AF865" s="139"/>
      <c r="AG865" s="139"/>
      <c r="AH865" s="177"/>
      <c r="AI865" s="178"/>
      <c r="AJ865" s="139"/>
      <c r="AK865" s="173"/>
      <c r="AL865" s="177"/>
      <c r="AM865" s="178"/>
      <c r="AN865" s="173"/>
      <c r="AO865" s="173"/>
      <c r="AP865" s="173"/>
      <c r="AQ865" s="178"/>
      <c r="AR865" s="173"/>
      <c r="AS865" s="173"/>
      <c r="AT865" s="140"/>
      <c r="AX865" s="140"/>
      <c r="BB865" s="173"/>
      <c r="BC865" s="173"/>
    </row>
    <row r="866" spans="2:55" s="134" customFormat="1" x14ac:dyDescent="0.2">
      <c r="B866" s="145"/>
      <c r="D866" s="145"/>
      <c r="Z866" s="177"/>
      <c r="AA866" s="178"/>
      <c r="AB866" s="139"/>
      <c r="AC866" s="173"/>
      <c r="AD866" s="177"/>
      <c r="AE866" s="177"/>
      <c r="AF866" s="139"/>
      <c r="AG866" s="139"/>
      <c r="AH866" s="177"/>
      <c r="AI866" s="178"/>
      <c r="AJ866" s="139"/>
      <c r="AK866" s="173"/>
      <c r="AL866" s="177"/>
      <c r="AM866" s="178"/>
      <c r="AN866" s="173"/>
      <c r="AO866" s="173"/>
      <c r="AP866" s="173"/>
      <c r="AQ866" s="178"/>
      <c r="AR866" s="173"/>
      <c r="AS866" s="173"/>
      <c r="AT866" s="140"/>
      <c r="AX866" s="140"/>
      <c r="BB866" s="173"/>
      <c r="BC866" s="173"/>
    </row>
    <row r="867" spans="2:55" s="134" customFormat="1" x14ac:dyDescent="0.2">
      <c r="B867" s="145"/>
      <c r="D867" s="145"/>
      <c r="Z867" s="177"/>
      <c r="AA867" s="178"/>
      <c r="AB867" s="139"/>
      <c r="AC867" s="173"/>
      <c r="AD867" s="177"/>
      <c r="AE867" s="177"/>
      <c r="AF867" s="139"/>
      <c r="AG867" s="139"/>
      <c r="AH867" s="177"/>
      <c r="AI867" s="178"/>
      <c r="AJ867" s="139"/>
      <c r="AK867" s="173"/>
      <c r="AL867" s="177"/>
      <c r="AM867" s="178"/>
      <c r="AN867" s="173"/>
      <c r="AO867" s="173"/>
      <c r="AP867" s="173"/>
      <c r="AQ867" s="178"/>
      <c r="AR867" s="173"/>
      <c r="AS867" s="173"/>
      <c r="AT867" s="140"/>
      <c r="AX867" s="140"/>
      <c r="BB867" s="173"/>
      <c r="BC867" s="173"/>
    </row>
    <row r="868" spans="2:55" s="134" customFormat="1" x14ac:dyDescent="0.2">
      <c r="B868" s="145"/>
      <c r="D868" s="145"/>
      <c r="Z868" s="177"/>
      <c r="AA868" s="178"/>
      <c r="AB868" s="139"/>
      <c r="AC868" s="173"/>
      <c r="AD868" s="177"/>
      <c r="AE868" s="177"/>
      <c r="AF868" s="139"/>
      <c r="AG868" s="139"/>
      <c r="AH868" s="177"/>
      <c r="AI868" s="178"/>
      <c r="AJ868" s="139"/>
      <c r="AK868" s="173"/>
      <c r="AL868" s="177"/>
      <c r="AM868" s="178"/>
      <c r="AN868" s="173"/>
      <c r="AO868" s="173"/>
      <c r="AP868" s="173"/>
      <c r="AQ868" s="178"/>
      <c r="AR868" s="173"/>
      <c r="AS868" s="173"/>
      <c r="AT868" s="140"/>
      <c r="AX868" s="140"/>
      <c r="BB868" s="173"/>
      <c r="BC868" s="173"/>
    </row>
    <row r="869" spans="2:55" s="134" customFormat="1" x14ac:dyDescent="0.2">
      <c r="B869" s="145"/>
      <c r="D869" s="145"/>
      <c r="Z869" s="177"/>
      <c r="AA869" s="178"/>
      <c r="AB869" s="139"/>
      <c r="AC869" s="173"/>
      <c r="AD869" s="177"/>
      <c r="AE869" s="177"/>
      <c r="AF869" s="139"/>
      <c r="AG869" s="139"/>
      <c r="AH869" s="177"/>
      <c r="AI869" s="178"/>
      <c r="AJ869" s="139"/>
      <c r="AK869" s="173"/>
      <c r="AL869" s="177"/>
      <c r="AM869" s="178"/>
      <c r="AN869" s="173"/>
      <c r="AO869" s="173"/>
      <c r="AP869" s="173"/>
      <c r="AQ869" s="178"/>
      <c r="AR869" s="173"/>
      <c r="AS869" s="173"/>
      <c r="AT869" s="140"/>
      <c r="AX869" s="140"/>
      <c r="BB869" s="173"/>
      <c r="BC869" s="173"/>
    </row>
    <row r="870" spans="2:55" s="134" customFormat="1" x14ac:dyDescent="0.2">
      <c r="B870" s="145"/>
      <c r="D870" s="145"/>
      <c r="Z870" s="177"/>
      <c r="AA870" s="178"/>
      <c r="AB870" s="139"/>
      <c r="AC870" s="173"/>
      <c r="AD870" s="177"/>
      <c r="AE870" s="177"/>
      <c r="AF870" s="139"/>
      <c r="AG870" s="139"/>
      <c r="AH870" s="177"/>
      <c r="AI870" s="178"/>
      <c r="AJ870" s="139"/>
      <c r="AK870" s="173"/>
      <c r="AL870" s="177"/>
      <c r="AM870" s="178"/>
      <c r="AN870" s="173"/>
      <c r="AO870" s="173"/>
      <c r="AP870" s="173"/>
      <c r="AQ870" s="178"/>
      <c r="AR870" s="173"/>
      <c r="AS870" s="173"/>
      <c r="AT870" s="140"/>
      <c r="AX870" s="140"/>
      <c r="BB870" s="173"/>
      <c r="BC870" s="173"/>
    </row>
    <row r="871" spans="2:55" s="134" customFormat="1" x14ac:dyDescent="0.2">
      <c r="B871" s="145"/>
      <c r="D871" s="145"/>
      <c r="Z871" s="177"/>
      <c r="AA871" s="178"/>
      <c r="AB871" s="139"/>
      <c r="AC871" s="173"/>
      <c r="AD871" s="177"/>
      <c r="AE871" s="177"/>
      <c r="AF871" s="139"/>
      <c r="AG871" s="139"/>
      <c r="AH871" s="177"/>
      <c r="AI871" s="178"/>
      <c r="AJ871" s="139"/>
      <c r="AK871" s="173"/>
      <c r="AL871" s="177"/>
      <c r="AM871" s="178"/>
      <c r="AN871" s="173"/>
      <c r="AO871" s="173"/>
      <c r="AP871" s="173"/>
      <c r="AQ871" s="178"/>
      <c r="AR871" s="173"/>
      <c r="AS871" s="173"/>
      <c r="AT871" s="140"/>
      <c r="AX871" s="140"/>
      <c r="BB871" s="173"/>
      <c r="BC871" s="173"/>
    </row>
    <row r="872" spans="2:55" s="134" customFormat="1" x14ac:dyDescent="0.2">
      <c r="B872" s="145"/>
      <c r="D872" s="145"/>
      <c r="Z872" s="177"/>
      <c r="AA872" s="178"/>
      <c r="AB872" s="139"/>
      <c r="AC872" s="173"/>
      <c r="AD872" s="177"/>
      <c r="AE872" s="177"/>
      <c r="AF872" s="139"/>
      <c r="AG872" s="139"/>
      <c r="AH872" s="177"/>
      <c r="AI872" s="178"/>
      <c r="AJ872" s="139"/>
      <c r="AK872" s="173"/>
      <c r="AL872" s="177"/>
      <c r="AM872" s="178"/>
      <c r="AN872" s="173"/>
      <c r="AO872" s="173"/>
      <c r="AP872" s="173"/>
      <c r="AQ872" s="178"/>
      <c r="AR872" s="173"/>
      <c r="AS872" s="173"/>
      <c r="AT872" s="140"/>
      <c r="AX872" s="140"/>
      <c r="BB872" s="173"/>
      <c r="BC872" s="173"/>
    </row>
    <row r="873" spans="2:55" s="134" customFormat="1" x14ac:dyDescent="0.2">
      <c r="B873" s="145"/>
      <c r="D873" s="145"/>
      <c r="Z873" s="177"/>
      <c r="AA873" s="178"/>
      <c r="AB873" s="139"/>
      <c r="AC873" s="173"/>
      <c r="AD873" s="177"/>
      <c r="AE873" s="177"/>
      <c r="AF873" s="139"/>
      <c r="AG873" s="139"/>
      <c r="AH873" s="177"/>
      <c r="AI873" s="178"/>
      <c r="AJ873" s="139"/>
      <c r="AK873" s="173"/>
      <c r="AL873" s="177"/>
      <c r="AM873" s="178"/>
      <c r="AN873" s="173"/>
      <c r="AO873" s="173"/>
      <c r="AP873" s="173"/>
      <c r="AQ873" s="178"/>
      <c r="AR873" s="173"/>
      <c r="AS873" s="173"/>
      <c r="AT873" s="140"/>
      <c r="AX873" s="140"/>
      <c r="BB873" s="173"/>
      <c r="BC873" s="173"/>
    </row>
    <row r="874" spans="2:55" s="134" customFormat="1" x14ac:dyDescent="0.2">
      <c r="B874" s="145"/>
      <c r="D874" s="145"/>
      <c r="Z874" s="177"/>
      <c r="AA874" s="178"/>
      <c r="AB874" s="139"/>
      <c r="AC874" s="173"/>
      <c r="AD874" s="177"/>
      <c r="AE874" s="177"/>
      <c r="AF874" s="139"/>
      <c r="AG874" s="139"/>
      <c r="AH874" s="177"/>
      <c r="AI874" s="178"/>
      <c r="AJ874" s="139"/>
      <c r="AK874" s="173"/>
      <c r="AL874" s="177"/>
      <c r="AM874" s="178"/>
      <c r="AN874" s="173"/>
      <c r="AO874" s="173"/>
      <c r="AP874" s="173"/>
      <c r="AQ874" s="178"/>
      <c r="AR874" s="173"/>
      <c r="AS874" s="173"/>
      <c r="AT874" s="140"/>
      <c r="AX874" s="140"/>
      <c r="BB874" s="173"/>
      <c r="BC874" s="173"/>
    </row>
    <row r="875" spans="2:55" s="134" customFormat="1" x14ac:dyDescent="0.2">
      <c r="B875" s="145"/>
      <c r="D875" s="145"/>
      <c r="Z875" s="177"/>
      <c r="AA875" s="178"/>
      <c r="AB875" s="139"/>
      <c r="AC875" s="173"/>
      <c r="AD875" s="177"/>
      <c r="AE875" s="177"/>
      <c r="AF875" s="139"/>
      <c r="AG875" s="139"/>
      <c r="AH875" s="177"/>
      <c r="AI875" s="178"/>
      <c r="AJ875" s="139"/>
      <c r="AK875" s="173"/>
      <c r="AL875" s="177"/>
      <c r="AM875" s="178"/>
      <c r="AN875" s="173"/>
      <c r="AO875" s="173"/>
      <c r="AP875" s="173"/>
      <c r="AQ875" s="178"/>
      <c r="AR875" s="173"/>
      <c r="AS875" s="173"/>
      <c r="AT875" s="140"/>
      <c r="AX875" s="140"/>
      <c r="BB875" s="173"/>
      <c r="BC875" s="173"/>
    </row>
    <row r="876" spans="2:55" s="134" customFormat="1" x14ac:dyDescent="0.2">
      <c r="B876" s="145"/>
      <c r="D876" s="145"/>
      <c r="Z876" s="177"/>
      <c r="AA876" s="178"/>
      <c r="AB876" s="139"/>
      <c r="AC876" s="173"/>
      <c r="AD876" s="177"/>
      <c r="AE876" s="177"/>
      <c r="AF876" s="139"/>
      <c r="AG876" s="139"/>
      <c r="AH876" s="177"/>
      <c r="AI876" s="178"/>
      <c r="AJ876" s="139"/>
      <c r="AK876" s="173"/>
      <c r="AL876" s="177"/>
      <c r="AM876" s="178"/>
      <c r="AN876" s="173"/>
      <c r="AO876" s="173"/>
      <c r="AP876" s="173"/>
      <c r="AQ876" s="178"/>
      <c r="AR876" s="173"/>
      <c r="AS876" s="173"/>
      <c r="AT876" s="140"/>
      <c r="AX876" s="140"/>
      <c r="BB876" s="173"/>
      <c r="BC876" s="173"/>
    </row>
    <row r="877" spans="2:55" s="134" customFormat="1" x14ac:dyDescent="0.2">
      <c r="B877" s="145"/>
      <c r="D877" s="145"/>
      <c r="Z877" s="177"/>
      <c r="AA877" s="178"/>
      <c r="AB877" s="139"/>
      <c r="AC877" s="173"/>
      <c r="AD877" s="177"/>
      <c r="AE877" s="177"/>
      <c r="AF877" s="139"/>
      <c r="AG877" s="139"/>
      <c r="AH877" s="177"/>
      <c r="AI877" s="178"/>
      <c r="AJ877" s="139"/>
      <c r="AK877" s="173"/>
      <c r="AL877" s="177"/>
      <c r="AM877" s="178"/>
      <c r="AN877" s="173"/>
      <c r="AO877" s="173"/>
      <c r="AP877" s="173"/>
      <c r="AQ877" s="178"/>
      <c r="AR877" s="173"/>
      <c r="AS877" s="173"/>
      <c r="AT877" s="140"/>
      <c r="AX877" s="140"/>
      <c r="BB877" s="173"/>
      <c r="BC877" s="173"/>
    </row>
    <row r="878" spans="2:55" s="134" customFormat="1" x14ac:dyDescent="0.2">
      <c r="B878" s="145"/>
      <c r="D878" s="145"/>
      <c r="Z878" s="177"/>
      <c r="AA878" s="178"/>
      <c r="AB878" s="139"/>
      <c r="AC878" s="173"/>
      <c r="AD878" s="177"/>
      <c r="AE878" s="177"/>
      <c r="AF878" s="139"/>
      <c r="AG878" s="139"/>
      <c r="AH878" s="177"/>
      <c r="AI878" s="178"/>
      <c r="AJ878" s="139"/>
      <c r="AK878" s="173"/>
      <c r="AL878" s="177"/>
      <c r="AM878" s="178"/>
      <c r="AN878" s="173"/>
      <c r="AO878" s="173"/>
      <c r="AP878" s="173"/>
      <c r="AQ878" s="178"/>
      <c r="AR878" s="173"/>
      <c r="AS878" s="173"/>
      <c r="AT878" s="140"/>
      <c r="AX878" s="140"/>
      <c r="BB878" s="173"/>
      <c r="BC878" s="173"/>
    </row>
    <row r="879" spans="2:55" s="134" customFormat="1" x14ac:dyDescent="0.2">
      <c r="B879" s="145"/>
      <c r="D879" s="145"/>
      <c r="Z879" s="177"/>
      <c r="AA879" s="178"/>
      <c r="AB879" s="139"/>
      <c r="AC879" s="173"/>
      <c r="AD879" s="177"/>
      <c r="AE879" s="177"/>
      <c r="AF879" s="139"/>
      <c r="AG879" s="139"/>
      <c r="AH879" s="177"/>
      <c r="AI879" s="178"/>
      <c r="AJ879" s="139"/>
      <c r="AK879" s="173"/>
      <c r="AL879" s="177"/>
      <c r="AM879" s="178"/>
      <c r="AN879" s="173"/>
      <c r="AO879" s="173"/>
      <c r="AP879" s="173"/>
      <c r="AQ879" s="178"/>
      <c r="AR879" s="173"/>
      <c r="AS879" s="173"/>
      <c r="AT879" s="140"/>
      <c r="AX879" s="140"/>
      <c r="BB879" s="173"/>
      <c r="BC879" s="173"/>
    </row>
    <row r="880" spans="2:55" s="134" customFormat="1" x14ac:dyDescent="0.2">
      <c r="B880" s="145"/>
      <c r="D880" s="145"/>
      <c r="Z880" s="177"/>
      <c r="AA880" s="178"/>
      <c r="AB880" s="139"/>
      <c r="AC880" s="173"/>
      <c r="AD880" s="177"/>
      <c r="AE880" s="177"/>
      <c r="AF880" s="139"/>
      <c r="AG880" s="139"/>
      <c r="AH880" s="177"/>
      <c r="AI880" s="178"/>
      <c r="AJ880" s="139"/>
      <c r="AK880" s="173"/>
      <c r="AL880" s="177"/>
      <c r="AM880" s="178"/>
      <c r="AN880" s="173"/>
      <c r="AO880" s="173"/>
      <c r="AP880" s="173"/>
      <c r="AQ880" s="178"/>
      <c r="AR880" s="173"/>
      <c r="AS880" s="173"/>
      <c r="AT880" s="140"/>
      <c r="AX880" s="140"/>
      <c r="BB880" s="173"/>
      <c r="BC880" s="173"/>
    </row>
    <row r="881" spans="2:55" s="134" customFormat="1" x14ac:dyDescent="0.2">
      <c r="B881" s="145"/>
      <c r="D881" s="145"/>
      <c r="Z881" s="177"/>
      <c r="AA881" s="178"/>
      <c r="AB881" s="139"/>
      <c r="AC881" s="173"/>
      <c r="AD881" s="177"/>
      <c r="AE881" s="177"/>
      <c r="AF881" s="139"/>
      <c r="AG881" s="139"/>
      <c r="AH881" s="177"/>
      <c r="AI881" s="178"/>
      <c r="AJ881" s="139"/>
      <c r="AK881" s="173"/>
      <c r="AL881" s="177"/>
      <c r="AM881" s="178"/>
      <c r="AN881" s="173"/>
      <c r="AO881" s="173"/>
      <c r="AP881" s="173"/>
      <c r="AQ881" s="178"/>
      <c r="AR881" s="173"/>
      <c r="AS881" s="173"/>
      <c r="AT881" s="140"/>
      <c r="AX881" s="140"/>
      <c r="BB881" s="173"/>
      <c r="BC881" s="173"/>
    </row>
    <row r="882" spans="2:55" s="134" customFormat="1" x14ac:dyDescent="0.2">
      <c r="B882" s="145"/>
      <c r="D882" s="145"/>
      <c r="Z882" s="177"/>
      <c r="AA882" s="178"/>
      <c r="AB882" s="139"/>
      <c r="AC882" s="173"/>
      <c r="AD882" s="177"/>
      <c r="AE882" s="177"/>
      <c r="AF882" s="139"/>
      <c r="AG882" s="139"/>
      <c r="AH882" s="177"/>
      <c r="AI882" s="178"/>
      <c r="AJ882" s="139"/>
      <c r="AK882" s="173"/>
      <c r="AL882" s="177"/>
      <c r="AM882" s="178"/>
      <c r="AN882" s="173"/>
      <c r="AO882" s="173"/>
      <c r="AP882" s="173"/>
      <c r="AQ882" s="178"/>
      <c r="AR882" s="173"/>
      <c r="AS882" s="173"/>
      <c r="AT882" s="140"/>
      <c r="AX882" s="140"/>
      <c r="BB882" s="173"/>
      <c r="BC882" s="173"/>
    </row>
    <row r="883" spans="2:55" s="134" customFormat="1" x14ac:dyDescent="0.2">
      <c r="B883" s="145"/>
      <c r="D883" s="145"/>
      <c r="Z883" s="177"/>
      <c r="AA883" s="178"/>
      <c r="AB883" s="139"/>
      <c r="AC883" s="173"/>
      <c r="AD883" s="177"/>
      <c r="AE883" s="177"/>
      <c r="AF883" s="139"/>
      <c r="AG883" s="139"/>
      <c r="AH883" s="177"/>
      <c r="AI883" s="178"/>
      <c r="AJ883" s="139"/>
      <c r="AK883" s="173"/>
      <c r="AL883" s="177"/>
      <c r="AM883" s="178"/>
      <c r="AN883" s="173"/>
      <c r="AO883" s="173"/>
      <c r="AP883" s="173"/>
      <c r="AQ883" s="178"/>
      <c r="AR883" s="173"/>
      <c r="AS883" s="173"/>
      <c r="AT883" s="140"/>
      <c r="AX883" s="140"/>
      <c r="BB883" s="173"/>
      <c r="BC883" s="173"/>
    </row>
    <row r="884" spans="2:55" s="134" customFormat="1" x14ac:dyDescent="0.2">
      <c r="B884" s="145"/>
      <c r="D884" s="145"/>
      <c r="Z884" s="177"/>
      <c r="AA884" s="178"/>
      <c r="AB884" s="139"/>
      <c r="AC884" s="173"/>
      <c r="AD884" s="177"/>
      <c r="AE884" s="177"/>
      <c r="AF884" s="139"/>
      <c r="AG884" s="139"/>
      <c r="AH884" s="177"/>
      <c r="AI884" s="178"/>
      <c r="AJ884" s="139"/>
      <c r="AK884" s="173"/>
      <c r="AL884" s="177"/>
      <c r="AM884" s="178"/>
      <c r="AN884" s="173"/>
      <c r="AO884" s="173"/>
      <c r="AP884" s="173"/>
      <c r="AQ884" s="178"/>
      <c r="AR884" s="173"/>
      <c r="AS884" s="173"/>
      <c r="AT884" s="140"/>
      <c r="AX884" s="140"/>
      <c r="BB884" s="173"/>
      <c r="BC884" s="173"/>
    </row>
    <row r="885" spans="2:55" s="134" customFormat="1" x14ac:dyDescent="0.2">
      <c r="B885" s="145"/>
      <c r="D885" s="145"/>
      <c r="Z885" s="177"/>
      <c r="AA885" s="178"/>
      <c r="AB885" s="139"/>
      <c r="AC885" s="173"/>
      <c r="AD885" s="177"/>
      <c r="AE885" s="177"/>
      <c r="AF885" s="139"/>
      <c r="AG885" s="139"/>
      <c r="AH885" s="177"/>
      <c r="AI885" s="178"/>
      <c r="AJ885" s="139"/>
      <c r="AK885" s="173"/>
      <c r="AL885" s="177"/>
      <c r="AM885" s="178"/>
      <c r="AN885" s="173"/>
      <c r="AO885" s="173"/>
      <c r="AP885" s="173"/>
      <c r="AQ885" s="178"/>
      <c r="AR885" s="173"/>
      <c r="AS885" s="173"/>
      <c r="AT885" s="140"/>
      <c r="AX885" s="140"/>
      <c r="BB885" s="173"/>
      <c r="BC885" s="173"/>
    </row>
    <row r="886" spans="2:55" s="134" customFormat="1" x14ac:dyDescent="0.2">
      <c r="B886" s="145"/>
      <c r="D886" s="145"/>
      <c r="Z886" s="177"/>
      <c r="AA886" s="178"/>
      <c r="AB886" s="139"/>
      <c r="AC886" s="173"/>
      <c r="AD886" s="177"/>
      <c r="AE886" s="177"/>
      <c r="AF886" s="139"/>
      <c r="AG886" s="139"/>
      <c r="AH886" s="177"/>
      <c r="AI886" s="178"/>
      <c r="AJ886" s="139"/>
      <c r="AK886" s="173"/>
      <c r="AL886" s="177"/>
      <c r="AM886" s="178"/>
      <c r="AN886" s="173"/>
      <c r="AO886" s="173"/>
      <c r="AP886" s="173"/>
      <c r="AQ886" s="178"/>
      <c r="AR886" s="173"/>
      <c r="AS886" s="173"/>
      <c r="AT886" s="140"/>
      <c r="AX886" s="140"/>
      <c r="BB886" s="173"/>
      <c r="BC886" s="173"/>
    </row>
    <row r="887" spans="2:55" s="134" customFormat="1" x14ac:dyDescent="0.2">
      <c r="B887" s="145"/>
      <c r="D887" s="145"/>
      <c r="Z887" s="177"/>
      <c r="AA887" s="178"/>
      <c r="AB887" s="139"/>
      <c r="AC887" s="173"/>
      <c r="AD887" s="177"/>
      <c r="AE887" s="177"/>
      <c r="AF887" s="139"/>
      <c r="AG887" s="139"/>
      <c r="AH887" s="177"/>
      <c r="AI887" s="178"/>
      <c r="AJ887" s="139"/>
      <c r="AK887" s="173"/>
      <c r="AL887" s="177"/>
      <c r="AM887" s="178"/>
      <c r="AN887" s="173"/>
      <c r="AO887" s="173"/>
      <c r="AP887" s="173"/>
      <c r="AQ887" s="178"/>
      <c r="AR887" s="173"/>
      <c r="AS887" s="173"/>
      <c r="AT887" s="140"/>
      <c r="AX887" s="140"/>
      <c r="BB887" s="173"/>
      <c r="BC887" s="173"/>
    </row>
    <row r="888" spans="2:55" s="134" customFormat="1" x14ac:dyDescent="0.2">
      <c r="B888" s="145"/>
      <c r="D888" s="145"/>
      <c r="Z888" s="177"/>
      <c r="AA888" s="178"/>
      <c r="AB888" s="139"/>
      <c r="AC888" s="173"/>
      <c r="AD888" s="177"/>
      <c r="AE888" s="177"/>
      <c r="AF888" s="139"/>
      <c r="AG888" s="139"/>
      <c r="AH888" s="177"/>
      <c r="AI888" s="178"/>
      <c r="AJ888" s="139"/>
      <c r="AK888" s="173"/>
      <c r="AL888" s="177"/>
      <c r="AM888" s="178"/>
      <c r="AN888" s="173"/>
      <c r="AO888" s="173"/>
      <c r="AP888" s="173"/>
      <c r="AQ888" s="178"/>
      <c r="AR888" s="173"/>
      <c r="AS888" s="173"/>
      <c r="AT888" s="140"/>
      <c r="AX888" s="140"/>
      <c r="BB888" s="173"/>
      <c r="BC888" s="173"/>
    </row>
    <row r="889" spans="2:55" s="134" customFormat="1" x14ac:dyDescent="0.2">
      <c r="B889" s="145"/>
      <c r="D889" s="145"/>
      <c r="Z889" s="177"/>
      <c r="AA889" s="178"/>
      <c r="AB889" s="139"/>
      <c r="AC889" s="173"/>
      <c r="AD889" s="177"/>
      <c r="AE889" s="177"/>
      <c r="AF889" s="139"/>
      <c r="AG889" s="139"/>
      <c r="AH889" s="177"/>
      <c r="AI889" s="178"/>
      <c r="AJ889" s="139"/>
      <c r="AK889" s="173"/>
      <c r="AL889" s="177"/>
      <c r="AM889" s="178"/>
      <c r="AN889" s="173"/>
      <c r="AO889" s="173"/>
      <c r="AP889" s="173"/>
      <c r="AQ889" s="178"/>
      <c r="AR889" s="173"/>
      <c r="AS889" s="173"/>
      <c r="AT889" s="140"/>
      <c r="AX889" s="140"/>
      <c r="BB889" s="173"/>
      <c r="BC889" s="173"/>
    </row>
    <row r="890" spans="2:55" s="134" customFormat="1" x14ac:dyDescent="0.2">
      <c r="B890" s="145"/>
      <c r="D890" s="145"/>
      <c r="Z890" s="177"/>
      <c r="AA890" s="178"/>
      <c r="AB890" s="139"/>
      <c r="AC890" s="173"/>
      <c r="AD890" s="177"/>
      <c r="AE890" s="177"/>
      <c r="AF890" s="139"/>
      <c r="AG890" s="139"/>
      <c r="AH890" s="177"/>
      <c r="AI890" s="178"/>
      <c r="AJ890" s="139"/>
      <c r="AK890" s="173"/>
      <c r="AL890" s="177"/>
      <c r="AM890" s="178"/>
      <c r="AN890" s="173"/>
      <c r="AO890" s="173"/>
      <c r="AP890" s="173"/>
      <c r="AQ890" s="178"/>
      <c r="AR890" s="173"/>
      <c r="AS890" s="173"/>
      <c r="AT890" s="140"/>
      <c r="AX890" s="140"/>
      <c r="BB890" s="173"/>
      <c r="BC890" s="173"/>
    </row>
    <row r="891" spans="2:55" s="134" customFormat="1" x14ac:dyDescent="0.2">
      <c r="B891" s="145"/>
      <c r="D891" s="145"/>
      <c r="Z891" s="177"/>
      <c r="AA891" s="178"/>
      <c r="AB891" s="139"/>
      <c r="AC891" s="173"/>
      <c r="AD891" s="177"/>
      <c r="AE891" s="177"/>
      <c r="AF891" s="139"/>
      <c r="AG891" s="139"/>
      <c r="AH891" s="177"/>
      <c r="AI891" s="178"/>
      <c r="AJ891" s="139"/>
      <c r="AK891" s="173"/>
      <c r="AL891" s="177"/>
      <c r="AM891" s="178"/>
      <c r="AN891" s="173"/>
      <c r="AO891" s="173"/>
      <c r="AP891" s="173"/>
      <c r="AQ891" s="178"/>
      <c r="AR891" s="173"/>
      <c r="AS891" s="173"/>
      <c r="AT891" s="140"/>
      <c r="AX891" s="140"/>
      <c r="BB891" s="173"/>
      <c r="BC891" s="173"/>
    </row>
    <row r="892" spans="2:55" s="134" customFormat="1" x14ac:dyDescent="0.2">
      <c r="B892" s="145"/>
      <c r="D892" s="145"/>
      <c r="Z892" s="177"/>
      <c r="AA892" s="178"/>
      <c r="AB892" s="139"/>
      <c r="AC892" s="173"/>
      <c r="AD892" s="177"/>
      <c r="AE892" s="177"/>
      <c r="AF892" s="139"/>
      <c r="AG892" s="139"/>
      <c r="AH892" s="177"/>
      <c r="AI892" s="178"/>
      <c r="AJ892" s="139"/>
      <c r="AK892" s="173"/>
      <c r="AL892" s="177"/>
      <c r="AM892" s="178"/>
      <c r="AN892" s="173"/>
      <c r="AO892" s="173"/>
      <c r="AP892" s="173"/>
      <c r="AQ892" s="178"/>
      <c r="AR892" s="173"/>
      <c r="AS892" s="173"/>
      <c r="AT892" s="140"/>
      <c r="AX892" s="140"/>
      <c r="BB892" s="173"/>
      <c r="BC892" s="173"/>
    </row>
    <row r="893" spans="2:55" s="134" customFormat="1" x14ac:dyDescent="0.2">
      <c r="B893" s="145"/>
      <c r="D893" s="145"/>
      <c r="Z893" s="177"/>
      <c r="AA893" s="178"/>
      <c r="AB893" s="139"/>
      <c r="AC893" s="173"/>
      <c r="AD893" s="177"/>
      <c r="AE893" s="177"/>
      <c r="AF893" s="139"/>
      <c r="AG893" s="139"/>
      <c r="AH893" s="177"/>
      <c r="AI893" s="178"/>
      <c r="AJ893" s="139"/>
      <c r="AK893" s="173"/>
      <c r="AL893" s="177"/>
      <c r="AM893" s="178"/>
      <c r="AN893" s="173"/>
      <c r="AO893" s="173"/>
      <c r="AP893" s="173"/>
      <c r="AQ893" s="178"/>
      <c r="AR893" s="173"/>
      <c r="AS893" s="173"/>
      <c r="AT893" s="140"/>
      <c r="AX893" s="140"/>
      <c r="BB893" s="173"/>
      <c r="BC893" s="173"/>
    </row>
    <row r="894" spans="2:55" s="134" customFormat="1" x14ac:dyDescent="0.2">
      <c r="B894" s="145"/>
      <c r="D894" s="145"/>
      <c r="Z894" s="177"/>
      <c r="AA894" s="178"/>
      <c r="AB894" s="139"/>
      <c r="AC894" s="173"/>
      <c r="AD894" s="177"/>
      <c r="AE894" s="177"/>
      <c r="AF894" s="139"/>
      <c r="AG894" s="139"/>
      <c r="AH894" s="177"/>
      <c r="AI894" s="178"/>
      <c r="AJ894" s="139"/>
      <c r="AK894" s="173"/>
      <c r="AL894" s="177"/>
      <c r="AM894" s="178"/>
      <c r="AN894" s="173"/>
      <c r="AO894" s="173"/>
      <c r="AP894" s="173"/>
      <c r="AQ894" s="178"/>
      <c r="AR894" s="173"/>
      <c r="AS894" s="173"/>
      <c r="AT894" s="140"/>
      <c r="AX894" s="140"/>
      <c r="BB894" s="173"/>
      <c r="BC894" s="173"/>
    </row>
    <row r="895" spans="2:55" s="134" customFormat="1" x14ac:dyDescent="0.2">
      <c r="B895" s="145"/>
      <c r="D895" s="145"/>
      <c r="Z895" s="177"/>
      <c r="AA895" s="178"/>
      <c r="AB895" s="139"/>
      <c r="AC895" s="173"/>
      <c r="AD895" s="177"/>
      <c r="AE895" s="177"/>
      <c r="AF895" s="139"/>
      <c r="AG895" s="139"/>
      <c r="AH895" s="177"/>
      <c r="AI895" s="178"/>
      <c r="AJ895" s="139"/>
      <c r="AK895" s="173"/>
      <c r="AL895" s="177"/>
      <c r="AM895" s="178"/>
      <c r="AN895" s="173"/>
      <c r="AO895" s="173"/>
      <c r="AP895" s="173"/>
      <c r="AQ895" s="178"/>
      <c r="AR895" s="173"/>
      <c r="AS895" s="173"/>
      <c r="AT895" s="140"/>
      <c r="AX895" s="140"/>
      <c r="BB895" s="173"/>
      <c r="BC895" s="173"/>
    </row>
    <row r="896" spans="2:55" s="134" customFormat="1" x14ac:dyDescent="0.2">
      <c r="B896" s="145"/>
      <c r="D896" s="145"/>
      <c r="Z896" s="177"/>
      <c r="AA896" s="178"/>
      <c r="AB896" s="139"/>
      <c r="AC896" s="173"/>
      <c r="AD896" s="177"/>
      <c r="AE896" s="177"/>
      <c r="AF896" s="139"/>
      <c r="AG896" s="139"/>
      <c r="AH896" s="177"/>
      <c r="AI896" s="178"/>
      <c r="AJ896" s="139"/>
      <c r="AK896" s="173"/>
      <c r="AL896" s="177"/>
      <c r="AM896" s="178"/>
      <c r="AN896" s="173"/>
      <c r="AO896" s="173"/>
      <c r="AP896" s="173"/>
      <c r="AQ896" s="178"/>
      <c r="AR896" s="173"/>
      <c r="AS896" s="173"/>
      <c r="AT896" s="140"/>
      <c r="AX896" s="140"/>
      <c r="BB896" s="173"/>
      <c r="BC896" s="173"/>
    </row>
    <row r="897" spans="2:55" s="134" customFormat="1" x14ac:dyDescent="0.2">
      <c r="B897" s="145"/>
      <c r="D897" s="145"/>
      <c r="Z897" s="177"/>
      <c r="AA897" s="178"/>
      <c r="AB897" s="139"/>
      <c r="AC897" s="173"/>
      <c r="AD897" s="177"/>
      <c r="AE897" s="177"/>
      <c r="AF897" s="139"/>
      <c r="AG897" s="139"/>
      <c r="AH897" s="177"/>
      <c r="AI897" s="178"/>
      <c r="AJ897" s="139"/>
      <c r="AK897" s="173"/>
      <c r="AL897" s="177"/>
      <c r="AM897" s="178"/>
      <c r="AN897" s="173"/>
      <c r="AO897" s="173"/>
      <c r="AP897" s="173"/>
      <c r="AQ897" s="178"/>
      <c r="AR897" s="173"/>
      <c r="AS897" s="173"/>
      <c r="AT897" s="140"/>
      <c r="AX897" s="140"/>
      <c r="BB897" s="173"/>
      <c r="BC897" s="173"/>
    </row>
    <row r="898" spans="2:55" s="134" customFormat="1" x14ac:dyDescent="0.2">
      <c r="B898" s="145"/>
      <c r="D898" s="145"/>
      <c r="Z898" s="177"/>
      <c r="AA898" s="178"/>
      <c r="AB898" s="139"/>
      <c r="AC898" s="173"/>
      <c r="AD898" s="177"/>
      <c r="AE898" s="177"/>
      <c r="AF898" s="139"/>
      <c r="AG898" s="139"/>
      <c r="AH898" s="177"/>
      <c r="AI898" s="178"/>
      <c r="AJ898" s="139"/>
      <c r="AK898" s="173"/>
      <c r="AL898" s="177"/>
      <c r="AM898" s="178"/>
      <c r="AN898" s="173"/>
      <c r="AO898" s="173"/>
      <c r="AP898" s="173"/>
      <c r="AQ898" s="178"/>
      <c r="AR898" s="173"/>
      <c r="AS898" s="173"/>
      <c r="AT898" s="140"/>
      <c r="AX898" s="140"/>
      <c r="BB898" s="173"/>
      <c r="BC898" s="173"/>
    </row>
    <row r="899" spans="2:55" s="134" customFormat="1" x14ac:dyDescent="0.2">
      <c r="B899" s="145"/>
      <c r="D899" s="145"/>
      <c r="Z899" s="177"/>
      <c r="AA899" s="178"/>
      <c r="AB899" s="139"/>
      <c r="AC899" s="173"/>
      <c r="AD899" s="177"/>
      <c r="AE899" s="177"/>
      <c r="AF899" s="139"/>
      <c r="AG899" s="139"/>
      <c r="AH899" s="177"/>
      <c r="AI899" s="178"/>
      <c r="AJ899" s="139"/>
      <c r="AK899" s="173"/>
      <c r="AL899" s="177"/>
      <c r="AM899" s="178"/>
      <c r="AN899" s="173"/>
      <c r="AO899" s="173"/>
      <c r="AP899" s="173"/>
      <c r="AQ899" s="178"/>
      <c r="AR899" s="173"/>
      <c r="AS899" s="173"/>
      <c r="AT899" s="140"/>
      <c r="AX899" s="140"/>
      <c r="BB899" s="173"/>
      <c r="BC899" s="173"/>
    </row>
    <row r="900" spans="2:55" s="134" customFormat="1" x14ac:dyDescent="0.2">
      <c r="B900" s="145"/>
      <c r="D900" s="145"/>
      <c r="Z900" s="177"/>
      <c r="AA900" s="178"/>
      <c r="AB900" s="139"/>
      <c r="AC900" s="173"/>
      <c r="AD900" s="177"/>
      <c r="AE900" s="177"/>
      <c r="AF900" s="139"/>
      <c r="AG900" s="139"/>
      <c r="AH900" s="177"/>
      <c r="AI900" s="178"/>
      <c r="AJ900" s="139"/>
      <c r="AK900" s="173"/>
      <c r="AL900" s="177"/>
      <c r="AM900" s="178"/>
      <c r="AN900" s="173"/>
      <c r="AO900" s="173"/>
      <c r="AP900" s="173"/>
      <c r="AQ900" s="178"/>
      <c r="AR900" s="173"/>
      <c r="AS900" s="173"/>
      <c r="AT900" s="140"/>
      <c r="AX900" s="140"/>
      <c r="BB900" s="173"/>
      <c r="BC900" s="173"/>
    </row>
    <row r="901" spans="2:55" s="134" customFormat="1" x14ac:dyDescent="0.2">
      <c r="B901" s="145"/>
      <c r="D901" s="145"/>
      <c r="Z901" s="177"/>
      <c r="AA901" s="178"/>
      <c r="AB901" s="139"/>
      <c r="AC901" s="173"/>
      <c r="AD901" s="177"/>
      <c r="AE901" s="177"/>
      <c r="AF901" s="139"/>
      <c r="AG901" s="139"/>
      <c r="AH901" s="177"/>
      <c r="AI901" s="178"/>
      <c r="AJ901" s="139"/>
      <c r="AK901" s="173"/>
      <c r="AL901" s="177"/>
      <c r="AM901" s="178"/>
      <c r="AN901" s="173"/>
      <c r="AO901" s="173"/>
      <c r="AP901" s="173"/>
      <c r="AQ901" s="178"/>
      <c r="AR901" s="173"/>
      <c r="AS901" s="173"/>
      <c r="AT901" s="140"/>
      <c r="AX901" s="140"/>
      <c r="BB901" s="173"/>
      <c r="BC901" s="173"/>
    </row>
    <row r="902" spans="2:55" s="134" customFormat="1" x14ac:dyDescent="0.2">
      <c r="B902" s="145"/>
      <c r="D902" s="145"/>
      <c r="Z902" s="177"/>
      <c r="AA902" s="178"/>
      <c r="AB902" s="139"/>
      <c r="AC902" s="173"/>
      <c r="AD902" s="177"/>
      <c r="AE902" s="177"/>
      <c r="AF902" s="139"/>
      <c r="AG902" s="139"/>
      <c r="AH902" s="177"/>
      <c r="AI902" s="178"/>
      <c r="AJ902" s="139"/>
      <c r="AK902" s="173"/>
      <c r="AL902" s="177"/>
      <c r="AM902" s="178"/>
      <c r="AN902" s="173"/>
      <c r="AO902" s="173"/>
      <c r="AP902" s="173"/>
      <c r="AQ902" s="178"/>
      <c r="AR902" s="173"/>
      <c r="AS902" s="173"/>
      <c r="AT902" s="140"/>
      <c r="AX902" s="140"/>
      <c r="BB902" s="173"/>
      <c r="BC902" s="173"/>
    </row>
    <row r="903" spans="2:55" s="134" customFormat="1" x14ac:dyDescent="0.2">
      <c r="B903" s="145"/>
      <c r="D903" s="145"/>
      <c r="Z903" s="177"/>
      <c r="AA903" s="178"/>
      <c r="AB903" s="139"/>
      <c r="AC903" s="173"/>
      <c r="AD903" s="177"/>
      <c r="AE903" s="177"/>
      <c r="AF903" s="139"/>
      <c r="AG903" s="139"/>
      <c r="AH903" s="177"/>
      <c r="AI903" s="178"/>
      <c r="AJ903" s="139"/>
      <c r="AK903" s="173"/>
      <c r="AL903" s="177"/>
      <c r="AM903" s="178"/>
      <c r="AN903" s="173"/>
      <c r="AO903" s="173"/>
      <c r="AP903" s="173"/>
      <c r="AQ903" s="178"/>
      <c r="AR903" s="173"/>
      <c r="AS903" s="173"/>
      <c r="AT903" s="140"/>
      <c r="AX903" s="140"/>
      <c r="BB903" s="173"/>
      <c r="BC903" s="173"/>
    </row>
    <row r="904" spans="2:55" s="134" customFormat="1" x14ac:dyDescent="0.2">
      <c r="B904" s="145"/>
      <c r="D904" s="145"/>
      <c r="Z904" s="177"/>
      <c r="AA904" s="178"/>
      <c r="AB904" s="139"/>
      <c r="AC904" s="173"/>
      <c r="AD904" s="177"/>
      <c r="AE904" s="177"/>
      <c r="AF904" s="139"/>
      <c r="AG904" s="139"/>
      <c r="AH904" s="177"/>
      <c r="AI904" s="178"/>
      <c r="AJ904" s="139"/>
      <c r="AK904" s="173"/>
      <c r="AL904" s="177"/>
      <c r="AM904" s="178"/>
      <c r="AN904" s="173"/>
      <c r="AO904" s="173"/>
      <c r="AP904" s="173"/>
      <c r="AQ904" s="178"/>
      <c r="AR904" s="173"/>
      <c r="AS904" s="173"/>
      <c r="AT904" s="140"/>
      <c r="AX904" s="140"/>
      <c r="BB904" s="173"/>
      <c r="BC904" s="173"/>
    </row>
    <row r="905" spans="2:55" s="134" customFormat="1" x14ac:dyDescent="0.2">
      <c r="B905" s="145"/>
      <c r="D905" s="145"/>
      <c r="Z905" s="177"/>
      <c r="AA905" s="178"/>
      <c r="AB905" s="139"/>
      <c r="AC905" s="173"/>
      <c r="AD905" s="177"/>
      <c r="AE905" s="177"/>
      <c r="AF905" s="139"/>
      <c r="AG905" s="139"/>
      <c r="AH905" s="177"/>
      <c r="AI905" s="178"/>
      <c r="AJ905" s="139"/>
      <c r="AK905" s="173"/>
      <c r="AL905" s="177"/>
      <c r="AM905" s="178"/>
      <c r="AN905" s="173"/>
      <c r="AO905" s="173"/>
      <c r="AP905" s="173"/>
      <c r="AQ905" s="178"/>
      <c r="AR905" s="173"/>
      <c r="AS905" s="173"/>
      <c r="AT905" s="140"/>
      <c r="AX905" s="140"/>
      <c r="BB905" s="173"/>
      <c r="BC905" s="173"/>
    </row>
    <row r="906" spans="2:55" s="134" customFormat="1" x14ac:dyDescent="0.2">
      <c r="B906" s="145"/>
      <c r="D906" s="145"/>
      <c r="Z906" s="177"/>
      <c r="AA906" s="178"/>
      <c r="AB906" s="139"/>
      <c r="AC906" s="173"/>
      <c r="AD906" s="177"/>
      <c r="AE906" s="177"/>
      <c r="AF906" s="139"/>
      <c r="AG906" s="139"/>
      <c r="AH906" s="177"/>
      <c r="AI906" s="178"/>
      <c r="AJ906" s="139"/>
      <c r="AK906" s="173"/>
      <c r="AL906" s="177"/>
      <c r="AM906" s="178"/>
      <c r="AN906" s="173"/>
      <c r="AO906" s="173"/>
      <c r="AP906" s="173"/>
      <c r="AQ906" s="178"/>
      <c r="AR906" s="173"/>
      <c r="AS906" s="173"/>
      <c r="AT906" s="140"/>
      <c r="AX906" s="140"/>
      <c r="BB906" s="173"/>
      <c r="BC906" s="173"/>
    </row>
    <row r="907" spans="2:55" s="134" customFormat="1" x14ac:dyDescent="0.2">
      <c r="B907" s="145"/>
      <c r="D907" s="145"/>
      <c r="Z907" s="177"/>
      <c r="AA907" s="178"/>
      <c r="AB907" s="139"/>
      <c r="AC907" s="173"/>
      <c r="AD907" s="177"/>
      <c r="AE907" s="177"/>
      <c r="AF907" s="139"/>
      <c r="AG907" s="139"/>
      <c r="AH907" s="177"/>
      <c r="AI907" s="178"/>
      <c r="AJ907" s="139"/>
      <c r="AK907" s="173"/>
      <c r="AL907" s="177"/>
      <c r="AM907" s="178"/>
      <c r="AN907" s="173"/>
      <c r="AO907" s="173"/>
      <c r="AP907" s="173"/>
      <c r="AQ907" s="178"/>
      <c r="AR907" s="173"/>
      <c r="AS907" s="173"/>
      <c r="AT907" s="140"/>
      <c r="AX907" s="140"/>
      <c r="BB907" s="173"/>
      <c r="BC907" s="173"/>
    </row>
    <row r="908" spans="2:55" s="134" customFormat="1" x14ac:dyDescent="0.2">
      <c r="B908" s="145"/>
      <c r="D908" s="145"/>
      <c r="Z908" s="177"/>
      <c r="AA908" s="178"/>
      <c r="AB908" s="139"/>
      <c r="AC908" s="173"/>
      <c r="AD908" s="177"/>
      <c r="AE908" s="177"/>
      <c r="AF908" s="139"/>
      <c r="AG908" s="139"/>
      <c r="AH908" s="177"/>
      <c r="AI908" s="178"/>
      <c r="AJ908" s="139"/>
      <c r="AK908" s="173"/>
      <c r="AL908" s="177"/>
      <c r="AM908" s="178"/>
      <c r="AN908" s="173"/>
      <c r="AO908" s="173"/>
      <c r="AP908" s="173"/>
      <c r="AQ908" s="178"/>
      <c r="AR908" s="173"/>
      <c r="AS908" s="173"/>
      <c r="AT908" s="140"/>
      <c r="AX908" s="140"/>
      <c r="BB908" s="173"/>
      <c r="BC908" s="173"/>
    </row>
    <row r="909" spans="2:55" s="134" customFormat="1" x14ac:dyDescent="0.2">
      <c r="B909" s="145"/>
      <c r="D909" s="145"/>
      <c r="Z909" s="177"/>
      <c r="AA909" s="178"/>
      <c r="AB909" s="139"/>
      <c r="AC909" s="173"/>
      <c r="AD909" s="177"/>
      <c r="AE909" s="177"/>
      <c r="AF909" s="139"/>
      <c r="AG909" s="139"/>
      <c r="AH909" s="177"/>
      <c r="AI909" s="178"/>
      <c r="AJ909" s="139"/>
      <c r="AK909" s="173"/>
      <c r="AL909" s="177"/>
      <c r="AM909" s="178"/>
      <c r="AN909" s="173"/>
      <c r="AO909" s="173"/>
      <c r="AP909" s="173"/>
      <c r="AQ909" s="178"/>
      <c r="AR909" s="173"/>
      <c r="AS909" s="173"/>
      <c r="AT909" s="140"/>
      <c r="AX909" s="140"/>
      <c r="BB909" s="173"/>
      <c r="BC909" s="173"/>
    </row>
    <row r="910" spans="2:55" s="134" customFormat="1" x14ac:dyDescent="0.2">
      <c r="B910" s="145"/>
      <c r="D910" s="145"/>
      <c r="Z910" s="177"/>
      <c r="AA910" s="178"/>
      <c r="AB910" s="139"/>
      <c r="AC910" s="173"/>
      <c r="AD910" s="177"/>
      <c r="AE910" s="177"/>
      <c r="AF910" s="139"/>
      <c r="AG910" s="139"/>
      <c r="AH910" s="177"/>
      <c r="AI910" s="178"/>
      <c r="AJ910" s="139"/>
      <c r="AK910" s="173"/>
      <c r="AL910" s="177"/>
      <c r="AM910" s="178"/>
      <c r="AN910" s="173"/>
      <c r="AO910" s="173"/>
      <c r="AP910" s="173"/>
      <c r="AQ910" s="178"/>
      <c r="AR910" s="173"/>
      <c r="AS910" s="173"/>
      <c r="AT910" s="140"/>
      <c r="AX910" s="140"/>
      <c r="BB910" s="173"/>
      <c r="BC910" s="173"/>
    </row>
    <row r="911" spans="2:55" s="134" customFormat="1" x14ac:dyDescent="0.2">
      <c r="B911" s="145"/>
      <c r="D911" s="145"/>
      <c r="Z911" s="177"/>
      <c r="AA911" s="178"/>
      <c r="AB911" s="139"/>
      <c r="AC911" s="173"/>
      <c r="AD911" s="177"/>
      <c r="AE911" s="177"/>
      <c r="AF911" s="139"/>
      <c r="AG911" s="139"/>
      <c r="AH911" s="177"/>
      <c r="AI911" s="178"/>
      <c r="AJ911" s="139"/>
      <c r="AK911" s="173"/>
      <c r="AL911" s="177"/>
      <c r="AM911" s="178"/>
      <c r="AN911" s="173"/>
      <c r="AO911" s="173"/>
      <c r="AP911" s="173"/>
      <c r="AQ911" s="178"/>
      <c r="AR911" s="173"/>
      <c r="AS911" s="173"/>
      <c r="AT911" s="140"/>
      <c r="AX911" s="140"/>
      <c r="BB911" s="173"/>
      <c r="BC911" s="173"/>
    </row>
    <row r="912" spans="2:55" s="134" customFormat="1" x14ac:dyDescent="0.2">
      <c r="B912" s="145"/>
      <c r="D912" s="145"/>
      <c r="Z912" s="177"/>
      <c r="AA912" s="178"/>
      <c r="AB912" s="139"/>
      <c r="AC912" s="173"/>
      <c r="AD912" s="177"/>
      <c r="AE912" s="177"/>
      <c r="AF912" s="139"/>
      <c r="AG912" s="139"/>
      <c r="AH912" s="177"/>
      <c r="AI912" s="178"/>
      <c r="AJ912" s="139"/>
      <c r="AK912" s="173"/>
      <c r="AL912" s="177"/>
      <c r="AM912" s="178"/>
      <c r="AN912" s="173"/>
      <c r="AO912" s="173"/>
      <c r="AP912" s="173"/>
      <c r="AQ912" s="178"/>
      <c r="AR912" s="173"/>
      <c r="AS912" s="173"/>
      <c r="AT912" s="140"/>
      <c r="AX912" s="140"/>
      <c r="BB912" s="173"/>
      <c r="BC912" s="173"/>
    </row>
    <row r="913" spans="2:55" s="134" customFormat="1" x14ac:dyDescent="0.2">
      <c r="B913" s="145"/>
      <c r="D913" s="145"/>
      <c r="Z913" s="177"/>
      <c r="AA913" s="178"/>
      <c r="AB913" s="139"/>
      <c r="AC913" s="173"/>
      <c r="AD913" s="177"/>
      <c r="AE913" s="177"/>
      <c r="AF913" s="139"/>
      <c r="AG913" s="139"/>
      <c r="AH913" s="177"/>
      <c r="AI913" s="178"/>
      <c r="AJ913" s="139"/>
      <c r="AK913" s="173"/>
      <c r="AL913" s="177"/>
      <c r="AM913" s="178"/>
      <c r="AN913" s="173"/>
      <c r="AO913" s="173"/>
      <c r="AP913" s="173"/>
      <c r="AQ913" s="178"/>
      <c r="AR913" s="173"/>
      <c r="AS913" s="173"/>
      <c r="AT913" s="140"/>
      <c r="AX913" s="140"/>
      <c r="BB913" s="173"/>
      <c r="BC913" s="173"/>
    </row>
    <row r="914" spans="2:55" s="134" customFormat="1" x14ac:dyDescent="0.2">
      <c r="B914" s="145"/>
      <c r="D914" s="145"/>
      <c r="Z914" s="177"/>
      <c r="AA914" s="178"/>
      <c r="AB914" s="139"/>
      <c r="AC914" s="173"/>
      <c r="AD914" s="177"/>
      <c r="AE914" s="177"/>
      <c r="AF914" s="139"/>
      <c r="AG914" s="139"/>
      <c r="AH914" s="177"/>
      <c r="AI914" s="178"/>
      <c r="AJ914" s="139"/>
      <c r="AK914" s="173"/>
      <c r="AL914" s="177"/>
      <c r="AM914" s="178"/>
      <c r="AN914" s="173"/>
      <c r="AO914" s="173"/>
      <c r="AP914" s="173"/>
      <c r="AQ914" s="178"/>
      <c r="AR914" s="173"/>
      <c r="AS914" s="173"/>
      <c r="AT914" s="140"/>
      <c r="AX914" s="140"/>
      <c r="BB914" s="173"/>
      <c r="BC914" s="173"/>
    </row>
    <row r="915" spans="2:55" s="134" customFormat="1" x14ac:dyDescent="0.2">
      <c r="B915" s="145"/>
      <c r="D915" s="145"/>
      <c r="Z915" s="177"/>
      <c r="AA915" s="178"/>
      <c r="AB915" s="139"/>
      <c r="AC915" s="173"/>
      <c r="AD915" s="177"/>
      <c r="AE915" s="177"/>
      <c r="AF915" s="139"/>
      <c r="AG915" s="139"/>
      <c r="AH915" s="177"/>
      <c r="AI915" s="178"/>
      <c r="AJ915" s="139"/>
      <c r="AK915" s="173"/>
      <c r="AL915" s="177"/>
      <c r="AM915" s="178"/>
      <c r="AN915" s="173"/>
      <c r="AO915" s="173"/>
      <c r="AP915" s="173"/>
      <c r="AQ915" s="178"/>
      <c r="AR915" s="173"/>
      <c r="AS915" s="173"/>
      <c r="AT915" s="140"/>
      <c r="AX915" s="140"/>
      <c r="BB915" s="173"/>
      <c r="BC915" s="173"/>
    </row>
    <row r="916" spans="2:55" s="134" customFormat="1" x14ac:dyDescent="0.2">
      <c r="B916" s="145"/>
      <c r="D916" s="145"/>
      <c r="Z916" s="177"/>
      <c r="AA916" s="178"/>
      <c r="AB916" s="139"/>
      <c r="AC916" s="173"/>
      <c r="AD916" s="177"/>
      <c r="AE916" s="177"/>
      <c r="AF916" s="139"/>
      <c r="AG916" s="139"/>
      <c r="AH916" s="177"/>
      <c r="AI916" s="178"/>
      <c r="AJ916" s="139"/>
      <c r="AK916" s="173"/>
      <c r="AL916" s="177"/>
      <c r="AM916" s="178"/>
      <c r="AN916" s="173"/>
      <c r="AO916" s="173"/>
      <c r="AP916" s="173"/>
      <c r="AQ916" s="178"/>
      <c r="AR916" s="173"/>
      <c r="AS916" s="173"/>
      <c r="AT916" s="140"/>
      <c r="AX916" s="140"/>
      <c r="BB916" s="173"/>
      <c r="BC916" s="173"/>
    </row>
    <row r="917" spans="2:55" s="134" customFormat="1" x14ac:dyDescent="0.2">
      <c r="B917" s="145"/>
      <c r="D917" s="145"/>
      <c r="Z917" s="177"/>
      <c r="AA917" s="178"/>
      <c r="AB917" s="139"/>
      <c r="AC917" s="173"/>
      <c r="AD917" s="177"/>
      <c r="AE917" s="177"/>
      <c r="AF917" s="139"/>
      <c r="AG917" s="139"/>
      <c r="AH917" s="177"/>
      <c r="AI917" s="178"/>
      <c r="AJ917" s="139"/>
      <c r="AK917" s="173"/>
      <c r="AL917" s="177"/>
      <c r="AM917" s="178"/>
      <c r="AN917" s="173"/>
      <c r="AO917" s="173"/>
      <c r="AP917" s="173"/>
      <c r="AQ917" s="178"/>
      <c r="AR917" s="173"/>
      <c r="AS917" s="173"/>
      <c r="AT917" s="140"/>
      <c r="AX917" s="140"/>
      <c r="BB917" s="173"/>
      <c r="BC917" s="173"/>
    </row>
    <row r="918" spans="2:55" s="134" customFormat="1" x14ac:dyDescent="0.2">
      <c r="B918" s="145"/>
      <c r="D918" s="145"/>
      <c r="Z918" s="177"/>
      <c r="AA918" s="178"/>
      <c r="AB918" s="139"/>
      <c r="AC918" s="173"/>
      <c r="AD918" s="177"/>
      <c r="AE918" s="177"/>
      <c r="AF918" s="139"/>
      <c r="AG918" s="139"/>
      <c r="AH918" s="177"/>
      <c r="AI918" s="178"/>
      <c r="AJ918" s="139"/>
      <c r="AK918" s="173"/>
      <c r="AL918" s="177"/>
      <c r="AM918" s="178"/>
      <c r="AN918" s="173"/>
      <c r="AO918" s="173"/>
      <c r="AP918" s="173"/>
      <c r="AQ918" s="178"/>
      <c r="AR918" s="173"/>
      <c r="AS918" s="173"/>
      <c r="AT918" s="140"/>
      <c r="AX918" s="140"/>
      <c r="BB918" s="173"/>
      <c r="BC918" s="173"/>
    </row>
    <row r="919" spans="2:55" s="134" customFormat="1" x14ac:dyDescent="0.2">
      <c r="B919" s="145"/>
      <c r="D919" s="145"/>
      <c r="Z919" s="177"/>
      <c r="AA919" s="178"/>
      <c r="AB919" s="139"/>
      <c r="AC919" s="173"/>
      <c r="AD919" s="177"/>
      <c r="AE919" s="177"/>
      <c r="AF919" s="139"/>
      <c r="AG919" s="139"/>
      <c r="AH919" s="177"/>
      <c r="AI919" s="178"/>
      <c r="AJ919" s="139"/>
      <c r="AK919" s="173"/>
      <c r="AL919" s="177"/>
      <c r="AM919" s="178"/>
      <c r="AN919" s="173"/>
      <c r="AO919" s="173"/>
      <c r="AP919" s="173"/>
      <c r="AQ919" s="178"/>
      <c r="AR919" s="173"/>
      <c r="AS919" s="173"/>
      <c r="AT919" s="140"/>
      <c r="AX919" s="140"/>
      <c r="BB919" s="173"/>
      <c r="BC919" s="173"/>
    </row>
    <row r="920" spans="2:55" s="134" customFormat="1" x14ac:dyDescent="0.2">
      <c r="B920" s="145"/>
      <c r="D920" s="145"/>
      <c r="Z920" s="177"/>
      <c r="AA920" s="178"/>
      <c r="AB920" s="139"/>
      <c r="AC920" s="173"/>
      <c r="AD920" s="177"/>
      <c r="AE920" s="177"/>
      <c r="AF920" s="139"/>
      <c r="AG920" s="139"/>
      <c r="AH920" s="177"/>
      <c r="AI920" s="178"/>
      <c r="AJ920" s="139"/>
      <c r="AK920" s="173"/>
      <c r="AL920" s="177"/>
      <c r="AM920" s="178"/>
      <c r="AN920" s="173"/>
      <c r="AO920" s="173"/>
      <c r="AP920" s="173"/>
      <c r="AQ920" s="178"/>
      <c r="AR920" s="173"/>
      <c r="AS920" s="173"/>
      <c r="AT920" s="140"/>
      <c r="AX920" s="140"/>
      <c r="BB920" s="173"/>
      <c r="BC920" s="173"/>
    </row>
    <row r="921" spans="2:55" s="134" customFormat="1" x14ac:dyDescent="0.2">
      <c r="B921" s="145"/>
      <c r="D921" s="145"/>
      <c r="Z921" s="177"/>
      <c r="AA921" s="178"/>
      <c r="AB921" s="139"/>
      <c r="AC921" s="173"/>
      <c r="AD921" s="177"/>
      <c r="AE921" s="177"/>
      <c r="AF921" s="139"/>
      <c r="AG921" s="139"/>
      <c r="AH921" s="177"/>
      <c r="AI921" s="178"/>
      <c r="AJ921" s="139"/>
      <c r="AK921" s="173"/>
      <c r="AL921" s="177"/>
      <c r="AM921" s="178"/>
      <c r="AN921" s="173"/>
      <c r="AO921" s="173"/>
      <c r="AP921" s="173"/>
      <c r="AQ921" s="178"/>
      <c r="AR921" s="173"/>
      <c r="AS921" s="173"/>
      <c r="AT921" s="140"/>
      <c r="AX921" s="140"/>
      <c r="BB921" s="173"/>
      <c r="BC921" s="173"/>
    </row>
    <row r="922" spans="2:55" s="134" customFormat="1" x14ac:dyDescent="0.2">
      <c r="B922" s="145"/>
      <c r="D922" s="145"/>
      <c r="Z922" s="177"/>
      <c r="AA922" s="178"/>
      <c r="AB922" s="139"/>
      <c r="AC922" s="173"/>
      <c r="AD922" s="177"/>
      <c r="AE922" s="177"/>
      <c r="AF922" s="139"/>
      <c r="AG922" s="139"/>
      <c r="AH922" s="177"/>
      <c r="AI922" s="178"/>
      <c r="AJ922" s="139"/>
      <c r="AK922" s="173"/>
      <c r="AL922" s="177"/>
      <c r="AM922" s="178"/>
      <c r="AN922" s="173"/>
      <c r="AO922" s="173"/>
      <c r="AP922" s="173"/>
      <c r="AQ922" s="178"/>
      <c r="AR922" s="173"/>
      <c r="AS922" s="173"/>
      <c r="AT922" s="140"/>
      <c r="AX922" s="140"/>
      <c r="BB922" s="173"/>
      <c r="BC922" s="173"/>
    </row>
    <row r="923" spans="2:55" s="134" customFormat="1" x14ac:dyDescent="0.2">
      <c r="B923" s="145"/>
      <c r="D923" s="145"/>
      <c r="Z923" s="177"/>
      <c r="AA923" s="178"/>
      <c r="AB923" s="139"/>
      <c r="AC923" s="173"/>
      <c r="AD923" s="177"/>
      <c r="AE923" s="177"/>
      <c r="AF923" s="139"/>
      <c r="AG923" s="139"/>
      <c r="AH923" s="177"/>
      <c r="AI923" s="178"/>
      <c r="AJ923" s="139"/>
      <c r="AK923" s="173"/>
      <c r="AL923" s="177"/>
      <c r="AM923" s="178"/>
      <c r="AN923" s="173"/>
      <c r="AO923" s="173"/>
      <c r="AP923" s="173"/>
      <c r="AQ923" s="178"/>
      <c r="AR923" s="173"/>
      <c r="AS923" s="173"/>
      <c r="AT923" s="140"/>
      <c r="AX923" s="140"/>
      <c r="BB923" s="173"/>
      <c r="BC923" s="173"/>
    </row>
    <row r="924" spans="2:55" s="134" customFormat="1" x14ac:dyDescent="0.2">
      <c r="B924" s="145"/>
      <c r="D924" s="145"/>
      <c r="Z924" s="177"/>
      <c r="AA924" s="178"/>
      <c r="AB924" s="139"/>
      <c r="AC924" s="173"/>
      <c r="AD924" s="177"/>
      <c r="AE924" s="177"/>
      <c r="AF924" s="139"/>
      <c r="AG924" s="139"/>
      <c r="AH924" s="177"/>
      <c r="AI924" s="178"/>
      <c r="AJ924" s="139"/>
      <c r="AK924" s="173"/>
      <c r="AL924" s="177"/>
      <c r="AM924" s="178"/>
      <c r="AN924" s="173"/>
      <c r="AO924" s="173"/>
      <c r="AP924" s="173"/>
      <c r="AQ924" s="178"/>
      <c r="AR924" s="173"/>
      <c r="AS924" s="173"/>
      <c r="AT924" s="140"/>
      <c r="AX924" s="140"/>
      <c r="BB924" s="173"/>
      <c r="BC924" s="173"/>
    </row>
    <row r="925" spans="2:55" s="134" customFormat="1" x14ac:dyDescent="0.2">
      <c r="B925" s="145"/>
      <c r="D925" s="145"/>
      <c r="Z925" s="177"/>
      <c r="AA925" s="178"/>
      <c r="AB925" s="139"/>
      <c r="AC925" s="173"/>
      <c r="AD925" s="177"/>
      <c r="AE925" s="177"/>
      <c r="AF925" s="139"/>
      <c r="AG925" s="139"/>
      <c r="AH925" s="177"/>
      <c r="AI925" s="178"/>
      <c r="AJ925" s="139"/>
      <c r="AK925" s="173"/>
      <c r="AL925" s="177"/>
      <c r="AM925" s="178"/>
      <c r="AN925" s="173"/>
      <c r="AO925" s="173"/>
      <c r="AP925" s="173"/>
      <c r="AQ925" s="178"/>
      <c r="AR925" s="173"/>
      <c r="AS925" s="173"/>
      <c r="AT925" s="140"/>
      <c r="AX925" s="140"/>
      <c r="BB925" s="173"/>
      <c r="BC925" s="173"/>
    </row>
    <row r="926" spans="2:55" s="134" customFormat="1" x14ac:dyDescent="0.2">
      <c r="B926" s="145"/>
      <c r="D926" s="145"/>
      <c r="Z926" s="177"/>
      <c r="AA926" s="178"/>
      <c r="AB926" s="139"/>
      <c r="AC926" s="173"/>
      <c r="AD926" s="177"/>
      <c r="AE926" s="177"/>
      <c r="AF926" s="139"/>
      <c r="AG926" s="139"/>
      <c r="AH926" s="177"/>
      <c r="AI926" s="178"/>
      <c r="AJ926" s="139"/>
      <c r="AK926" s="173"/>
      <c r="AL926" s="177"/>
      <c r="AM926" s="178"/>
      <c r="AN926" s="173"/>
      <c r="AO926" s="173"/>
      <c r="AP926" s="173"/>
      <c r="AQ926" s="178"/>
      <c r="AR926" s="173"/>
      <c r="AS926" s="173"/>
      <c r="AT926" s="140"/>
      <c r="AX926" s="140"/>
      <c r="BB926" s="173"/>
      <c r="BC926" s="173"/>
    </row>
    <row r="927" spans="2:55" s="134" customFormat="1" x14ac:dyDescent="0.2">
      <c r="B927" s="145"/>
      <c r="D927" s="145"/>
      <c r="Z927" s="177"/>
      <c r="AA927" s="178"/>
      <c r="AB927" s="139"/>
      <c r="AC927" s="173"/>
      <c r="AD927" s="177"/>
      <c r="AE927" s="177"/>
      <c r="AF927" s="139"/>
      <c r="AG927" s="139"/>
      <c r="AH927" s="177"/>
      <c r="AI927" s="178"/>
      <c r="AJ927" s="139"/>
      <c r="AK927" s="173"/>
      <c r="AL927" s="177"/>
      <c r="AM927" s="178"/>
      <c r="AN927" s="173"/>
      <c r="AO927" s="173"/>
      <c r="AP927" s="173"/>
      <c r="AQ927" s="178"/>
      <c r="AR927" s="173"/>
      <c r="AS927" s="173"/>
      <c r="AT927" s="140"/>
      <c r="AX927" s="140"/>
      <c r="BB927" s="173"/>
      <c r="BC927" s="173"/>
    </row>
    <row r="928" spans="2:55" s="134" customFormat="1" x14ac:dyDescent="0.2">
      <c r="B928" s="145"/>
      <c r="D928" s="145"/>
      <c r="Z928" s="177"/>
      <c r="AA928" s="178"/>
      <c r="AB928" s="139"/>
      <c r="AC928" s="173"/>
      <c r="AD928" s="177"/>
      <c r="AE928" s="177"/>
      <c r="AF928" s="139"/>
      <c r="AG928" s="139"/>
      <c r="AH928" s="177"/>
      <c r="AI928" s="178"/>
      <c r="AJ928" s="139"/>
      <c r="AK928" s="173"/>
      <c r="AL928" s="177"/>
      <c r="AM928" s="178"/>
      <c r="AN928" s="173"/>
      <c r="AO928" s="173"/>
      <c r="AP928" s="173"/>
      <c r="AQ928" s="178"/>
      <c r="AR928" s="173"/>
      <c r="AS928" s="173"/>
      <c r="AT928" s="140"/>
      <c r="AX928" s="140"/>
      <c r="BB928" s="173"/>
      <c r="BC928" s="173"/>
    </row>
    <row r="929" spans="2:55" s="134" customFormat="1" x14ac:dyDescent="0.2">
      <c r="B929" s="145"/>
      <c r="D929" s="145"/>
      <c r="Z929" s="177"/>
      <c r="AA929" s="178"/>
      <c r="AB929" s="139"/>
      <c r="AC929" s="173"/>
      <c r="AD929" s="177"/>
      <c r="AE929" s="177"/>
      <c r="AF929" s="139"/>
      <c r="AG929" s="139"/>
      <c r="AH929" s="177"/>
      <c r="AI929" s="178"/>
      <c r="AJ929" s="139"/>
      <c r="AK929" s="173"/>
      <c r="AL929" s="177"/>
      <c r="AM929" s="178"/>
      <c r="AN929" s="173"/>
      <c r="AO929" s="173"/>
      <c r="AP929" s="173"/>
      <c r="AQ929" s="178"/>
      <c r="AR929" s="173"/>
      <c r="AS929" s="173"/>
      <c r="AT929" s="140"/>
      <c r="AX929" s="140"/>
      <c r="BB929" s="173"/>
      <c r="BC929" s="173"/>
    </row>
    <row r="930" spans="2:55" s="134" customFormat="1" x14ac:dyDescent="0.2">
      <c r="B930" s="145"/>
      <c r="D930" s="145"/>
      <c r="Z930" s="177"/>
      <c r="AA930" s="178"/>
      <c r="AB930" s="139"/>
      <c r="AC930" s="173"/>
      <c r="AD930" s="177"/>
      <c r="AE930" s="177"/>
      <c r="AF930" s="139"/>
      <c r="AG930" s="139"/>
      <c r="AH930" s="177"/>
      <c r="AI930" s="178"/>
      <c r="AJ930" s="139"/>
      <c r="AK930" s="173"/>
      <c r="AL930" s="177"/>
      <c r="AM930" s="178"/>
      <c r="AN930" s="173"/>
      <c r="AO930" s="173"/>
      <c r="AP930" s="173"/>
      <c r="AQ930" s="178"/>
      <c r="AR930" s="173"/>
      <c r="AS930" s="173"/>
      <c r="AT930" s="140"/>
      <c r="AX930" s="140"/>
      <c r="BB930" s="173"/>
      <c r="BC930" s="173"/>
    </row>
    <row r="931" spans="2:55" s="134" customFormat="1" x14ac:dyDescent="0.2">
      <c r="B931" s="145"/>
      <c r="D931" s="145"/>
      <c r="Z931" s="177"/>
      <c r="AA931" s="178"/>
      <c r="AB931" s="139"/>
      <c r="AC931" s="173"/>
      <c r="AD931" s="177"/>
      <c r="AE931" s="177"/>
      <c r="AF931" s="139"/>
      <c r="AG931" s="139"/>
      <c r="AH931" s="177"/>
      <c r="AI931" s="178"/>
      <c r="AJ931" s="139"/>
      <c r="AK931" s="173"/>
      <c r="AL931" s="177"/>
      <c r="AM931" s="178"/>
      <c r="AN931" s="173"/>
      <c r="AO931" s="173"/>
      <c r="AP931" s="173"/>
      <c r="AQ931" s="178"/>
      <c r="AR931" s="173"/>
      <c r="AS931" s="173"/>
      <c r="AT931" s="140"/>
      <c r="AX931" s="140"/>
      <c r="BB931" s="173"/>
      <c r="BC931" s="173"/>
    </row>
    <row r="932" spans="2:55" s="134" customFormat="1" x14ac:dyDescent="0.2">
      <c r="B932" s="145"/>
      <c r="D932" s="145"/>
      <c r="Z932" s="177"/>
      <c r="AA932" s="178"/>
      <c r="AB932" s="139"/>
      <c r="AC932" s="173"/>
      <c r="AD932" s="177"/>
      <c r="AE932" s="177"/>
      <c r="AF932" s="139"/>
      <c r="AG932" s="139"/>
      <c r="AH932" s="177"/>
      <c r="AI932" s="178"/>
      <c r="AJ932" s="139"/>
      <c r="AK932" s="173"/>
      <c r="AL932" s="177"/>
      <c r="AM932" s="178"/>
      <c r="AN932" s="173"/>
      <c r="AO932" s="173"/>
      <c r="AP932" s="173"/>
      <c r="AQ932" s="178"/>
      <c r="AR932" s="173"/>
      <c r="AS932" s="173"/>
      <c r="AT932" s="140"/>
      <c r="AX932" s="140"/>
      <c r="BB932" s="173"/>
      <c r="BC932" s="173"/>
    </row>
    <row r="933" spans="2:55" s="134" customFormat="1" x14ac:dyDescent="0.2">
      <c r="B933" s="145"/>
      <c r="D933" s="145"/>
      <c r="Z933" s="177"/>
      <c r="AA933" s="178"/>
      <c r="AB933" s="139"/>
      <c r="AC933" s="173"/>
      <c r="AD933" s="177"/>
      <c r="AE933" s="177"/>
      <c r="AF933" s="139"/>
      <c r="AG933" s="139"/>
      <c r="AH933" s="177"/>
      <c r="AI933" s="178"/>
      <c r="AJ933" s="139"/>
      <c r="AK933" s="173"/>
      <c r="AL933" s="177"/>
      <c r="AM933" s="178"/>
      <c r="AN933" s="173"/>
      <c r="AO933" s="173"/>
      <c r="AP933" s="173"/>
      <c r="AQ933" s="178"/>
      <c r="AR933" s="173"/>
      <c r="AS933" s="173"/>
      <c r="AT933" s="140"/>
      <c r="AX933" s="140"/>
      <c r="BB933" s="173"/>
      <c r="BC933" s="173"/>
    </row>
    <row r="934" spans="2:55" s="134" customFormat="1" x14ac:dyDescent="0.2">
      <c r="B934" s="145"/>
      <c r="D934" s="145"/>
      <c r="Z934" s="177"/>
      <c r="AA934" s="178"/>
      <c r="AB934" s="139"/>
      <c r="AC934" s="173"/>
      <c r="AD934" s="177"/>
      <c r="AE934" s="177"/>
      <c r="AF934" s="139"/>
      <c r="AG934" s="139"/>
      <c r="AH934" s="177"/>
      <c r="AI934" s="178"/>
      <c r="AJ934" s="139"/>
      <c r="AK934" s="173"/>
      <c r="AL934" s="177"/>
      <c r="AM934" s="178"/>
      <c r="AN934" s="173"/>
      <c r="AO934" s="173"/>
      <c r="AP934" s="173"/>
      <c r="AQ934" s="178"/>
      <c r="AR934" s="173"/>
      <c r="AS934" s="173"/>
      <c r="AT934" s="140"/>
      <c r="AX934" s="140"/>
      <c r="BB934" s="173"/>
      <c r="BC934" s="173"/>
    </row>
    <row r="935" spans="2:55" s="134" customFormat="1" x14ac:dyDescent="0.2">
      <c r="B935" s="145"/>
      <c r="D935" s="145"/>
      <c r="Z935" s="177"/>
      <c r="AA935" s="178"/>
      <c r="AB935" s="139"/>
      <c r="AC935" s="173"/>
      <c r="AD935" s="177"/>
      <c r="AE935" s="177"/>
      <c r="AF935" s="139"/>
      <c r="AG935" s="139"/>
      <c r="AH935" s="177"/>
      <c r="AI935" s="178"/>
      <c r="AJ935" s="139"/>
      <c r="AK935" s="173"/>
      <c r="AL935" s="177"/>
      <c r="AM935" s="178"/>
      <c r="AN935" s="173"/>
      <c r="AO935" s="173"/>
      <c r="AP935" s="173"/>
      <c r="AQ935" s="178"/>
      <c r="AR935" s="173"/>
      <c r="AS935" s="173"/>
      <c r="AT935" s="140"/>
      <c r="AX935" s="140"/>
      <c r="BB935" s="173"/>
      <c r="BC935" s="173"/>
    </row>
    <row r="936" spans="2:55" s="134" customFormat="1" x14ac:dyDescent="0.2">
      <c r="B936" s="145"/>
      <c r="D936" s="145"/>
      <c r="Z936" s="177"/>
      <c r="AA936" s="178"/>
      <c r="AB936" s="139"/>
      <c r="AC936" s="173"/>
      <c r="AD936" s="177"/>
      <c r="AE936" s="177"/>
      <c r="AF936" s="139"/>
      <c r="AG936" s="139"/>
      <c r="AH936" s="177"/>
      <c r="AI936" s="178"/>
      <c r="AJ936" s="139"/>
      <c r="AK936" s="173"/>
      <c r="AL936" s="177"/>
      <c r="AM936" s="178"/>
      <c r="AN936" s="173"/>
      <c r="AO936" s="173"/>
      <c r="AP936" s="173"/>
      <c r="AQ936" s="178"/>
      <c r="AR936" s="173"/>
      <c r="AS936" s="173"/>
      <c r="AT936" s="140"/>
      <c r="AX936" s="140"/>
      <c r="BB936" s="173"/>
      <c r="BC936" s="173"/>
    </row>
    <row r="937" spans="2:55" s="134" customFormat="1" x14ac:dyDescent="0.2">
      <c r="B937" s="145"/>
      <c r="D937" s="145"/>
      <c r="Z937" s="177"/>
      <c r="AA937" s="178"/>
      <c r="AB937" s="139"/>
      <c r="AC937" s="173"/>
      <c r="AD937" s="177"/>
      <c r="AE937" s="177"/>
      <c r="AF937" s="139"/>
      <c r="AG937" s="139"/>
      <c r="AH937" s="177"/>
      <c r="AI937" s="178"/>
      <c r="AJ937" s="139"/>
      <c r="AK937" s="173"/>
      <c r="AL937" s="177"/>
      <c r="AM937" s="178"/>
      <c r="AN937" s="173"/>
      <c r="AO937" s="173"/>
      <c r="AP937" s="173"/>
      <c r="AQ937" s="178"/>
      <c r="AR937" s="173"/>
      <c r="AS937" s="173"/>
      <c r="AT937" s="140"/>
      <c r="AX937" s="140"/>
      <c r="BB937" s="173"/>
      <c r="BC937" s="173"/>
    </row>
    <row r="938" spans="2:55" s="134" customFormat="1" x14ac:dyDescent="0.2">
      <c r="B938" s="145"/>
      <c r="D938" s="145"/>
      <c r="Z938" s="177"/>
      <c r="AA938" s="178"/>
      <c r="AB938" s="139"/>
      <c r="AC938" s="173"/>
      <c r="AD938" s="177"/>
      <c r="AE938" s="177"/>
      <c r="AF938" s="139"/>
      <c r="AG938" s="139"/>
      <c r="AH938" s="177"/>
      <c r="AI938" s="178"/>
      <c r="AJ938" s="139"/>
      <c r="AK938" s="173"/>
      <c r="AL938" s="177"/>
      <c r="AM938" s="178"/>
      <c r="AN938" s="173"/>
      <c r="AO938" s="173"/>
      <c r="AP938" s="173"/>
      <c r="AQ938" s="178"/>
      <c r="AR938" s="173"/>
      <c r="AS938" s="173"/>
      <c r="AT938" s="140"/>
      <c r="AX938" s="140"/>
      <c r="BB938" s="173"/>
      <c r="BC938" s="173"/>
    </row>
    <row r="939" spans="2:55" s="134" customFormat="1" x14ac:dyDescent="0.2">
      <c r="B939" s="145"/>
      <c r="D939" s="145"/>
      <c r="Z939" s="177"/>
      <c r="AA939" s="178"/>
      <c r="AB939" s="139"/>
      <c r="AC939" s="173"/>
      <c r="AD939" s="177"/>
      <c r="AE939" s="177"/>
      <c r="AF939" s="139"/>
      <c r="AG939" s="139"/>
      <c r="AH939" s="177"/>
      <c r="AI939" s="178"/>
      <c r="AJ939" s="139"/>
      <c r="AK939" s="173"/>
      <c r="AL939" s="177"/>
      <c r="AM939" s="178"/>
      <c r="AN939" s="173"/>
      <c r="AO939" s="173"/>
      <c r="AP939" s="173"/>
      <c r="AQ939" s="178"/>
      <c r="AR939" s="173"/>
      <c r="AS939" s="173"/>
      <c r="AT939" s="140"/>
      <c r="AX939" s="140"/>
      <c r="BB939" s="173"/>
      <c r="BC939" s="173"/>
    </row>
    <row r="940" spans="2:55" s="134" customFormat="1" x14ac:dyDescent="0.2">
      <c r="B940" s="145"/>
      <c r="D940" s="145"/>
      <c r="Z940" s="177"/>
      <c r="AA940" s="178"/>
      <c r="AB940" s="139"/>
      <c r="AC940" s="173"/>
      <c r="AD940" s="177"/>
      <c r="AE940" s="177"/>
      <c r="AF940" s="139"/>
      <c r="AG940" s="139"/>
      <c r="AH940" s="177"/>
      <c r="AI940" s="178"/>
      <c r="AJ940" s="139"/>
      <c r="AK940" s="173"/>
      <c r="AL940" s="177"/>
      <c r="AM940" s="178"/>
      <c r="AN940" s="173"/>
      <c r="AO940" s="173"/>
      <c r="AP940" s="173"/>
      <c r="AQ940" s="178"/>
      <c r="AR940" s="173"/>
      <c r="AS940" s="173"/>
      <c r="AT940" s="140"/>
      <c r="AX940" s="140"/>
      <c r="BB940" s="173"/>
      <c r="BC940" s="173"/>
    </row>
    <row r="941" spans="2:55" s="134" customFormat="1" x14ac:dyDescent="0.2">
      <c r="B941" s="145"/>
      <c r="D941" s="145"/>
      <c r="Z941" s="177"/>
      <c r="AA941" s="178"/>
      <c r="AB941" s="139"/>
      <c r="AC941" s="173"/>
      <c r="AD941" s="177"/>
      <c r="AE941" s="177"/>
      <c r="AF941" s="139"/>
      <c r="AG941" s="139"/>
      <c r="AH941" s="177"/>
      <c r="AI941" s="178"/>
      <c r="AJ941" s="139"/>
      <c r="AK941" s="173"/>
      <c r="AL941" s="177"/>
      <c r="AM941" s="178"/>
      <c r="AN941" s="173"/>
      <c r="AO941" s="173"/>
      <c r="AP941" s="173"/>
      <c r="AQ941" s="178"/>
      <c r="AR941" s="173"/>
      <c r="AS941" s="173"/>
      <c r="AT941" s="140"/>
      <c r="AX941" s="140"/>
      <c r="BB941" s="173"/>
      <c r="BC941" s="173"/>
    </row>
    <row r="942" spans="2:55" s="134" customFormat="1" x14ac:dyDescent="0.2">
      <c r="B942" s="145"/>
      <c r="D942" s="145"/>
      <c r="Z942" s="177"/>
      <c r="AA942" s="178"/>
      <c r="AB942" s="139"/>
      <c r="AC942" s="173"/>
      <c r="AD942" s="177"/>
      <c r="AE942" s="177"/>
      <c r="AF942" s="139"/>
      <c r="AG942" s="139"/>
      <c r="AH942" s="177"/>
      <c r="AI942" s="178"/>
      <c r="AJ942" s="139"/>
      <c r="AK942" s="173"/>
      <c r="AL942" s="177"/>
      <c r="AM942" s="178"/>
      <c r="AN942" s="173"/>
      <c r="AO942" s="173"/>
      <c r="AP942" s="173"/>
      <c r="AQ942" s="178"/>
      <c r="AR942" s="173"/>
      <c r="AS942" s="173"/>
      <c r="AT942" s="140"/>
      <c r="AX942" s="140"/>
      <c r="BB942" s="173"/>
      <c r="BC942" s="173"/>
    </row>
    <row r="943" spans="2:55" s="134" customFormat="1" x14ac:dyDescent="0.2">
      <c r="B943" s="145"/>
      <c r="D943" s="145"/>
      <c r="Z943" s="177"/>
      <c r="AA943" s="178"/>
      <c r="AB943" s="139"/>
      <c r="AC943" s="173"/>
      <c r="AD943" s="177"/>
      <c r="AE943" s="177"/>
      <c r="AF943" s="139"/>
      <c r="AG943" s="139"/>
      <c r="AH943" s="177"/>
      <c r="AI943" s="178"/>
      <c r="AJ943" s="139"/>
      <c r="AK943" s="173"/>
      <c r="AL943" s="177"/>
      <c r="AM943" s="178"/>
      <c r="AN943" s="173"/>
      <c r="AO943" s="173"/>
      <c r="AP943" s="173"/>
      <c r="AQ943" s="178"/>
      <c r="AR943" s="173"/>
      <c r="AS943" s="173"/>
      <c r="AT943" s="140"/>
      <c r="AX943" s="140"/>
      <c r="BB943" s="173"/>
      <c r="BC943" s="173"/>
    </row>
    <row r="944" spans="2:55" s="134" customFormat="1" x14ac:dyDescent="0.2">
      <c r="B944" s="145"/>
      <c r="D944" s="145"/>
      <c r="Z944" s="177"/>
      <c r="AA944" s="178"/>
      <c r="AB944" s="139"/>
      <c r="AC944" s="173"/>
      <c r="AD944" s="177"/>
      <c r="AE944" s="177"/>
      <c r="AF944" s="139"/>
      <c r="AG944" s="139"/>
      <c r="AH944" s="177"/>
      <c r="AI944" s="178"/>
      <c r="AJ944" s="139"/>
      <c r="AK944" s="173"/>
      <c r="AL944" s="177"/>
      <c r="AM944" s="178"/>
      <c r="AN944" s="173"/>
      <c r="AO944" s="173"/>
      <c r="AP944" s="173"/>
      <c r="AQ944" s="178"/>
      <c r="AR944" s="173"/>
      <c r="AS944" s="173"/>
      <c r="AT944" s="140"/>
      <c r="AX944" s="140"/>
      <c r="BB944" s="173"/>
      <c r="BC944" s="173"/>
    </row>
    <row r="945" spans="2:55" s="134" customFormat="1" x14ac:dyDescent="0.2">
      <c r="B945" s="145"/>
      <c r="D945" s="145"/>
      <c r="Z945" s="177"/>
      <c r="AA945" s="178"/>
      <c r="AB945" s="139"/>
      <c r="AC945" s="173"/>
      <c r="AD945" s="177"/>
      <c r="AE945" s="177"/>
      <c r="AF945" s="139"/>
      <c r="AG945" s="139"/>
      <c r="AH945" s="177"/>
      <c r="AI945" s="178"/>
      <c r="AJ945" s="139"/>
      <c r="AK945" s="173"/>
      <c r="AL945" s="177"/>
      <c r="AM945" s="178"/>
      <c r="AN945" s="173"/>
      <c r="AO945" s="173"/>
      <c r="AP945" s="173"/>
      <c r="AQ945" s="178"/>
      <c r="AR945" s="173"/>
      <c r="AS945" s="173"/>
      <c r="AT945" s="140"/>
      <c r="AX945" s="140"/>
      <c r="BB945" s="173"/>
      <c r="BC945" s="173"/>
    </row>
    <row r="946" spans="2:55" s="134" customFormat="1" x14ac:dyDescent="0.2">
      <c r="B946" s="145"/>
      <c r="D946" s="145"/>
      <c r="Z946" s="177"/>
      <c r="AA946" s="178"/>
      <c r="AB946" s="139"/>
      <c r="AC946" s="173"/>
      <c r="AD946" s="177"/>
      <c r="AE946" s="177"/>
      <c r="AF946" s="139"/>
      <c r="AG946" s="139"/>
      <c r="AH946" s="177"/>
      <c r="AI946" s="178"/>
      <c r="AJ946" s="139"/>
      <c r="AK946" s="173"/>
      <c r="AL946" s="177"/>
      <c r="AM946" s="178"/>
      <c r="AN946" s="173"/>
      <c r="AO946" s="173"/>
      <c r="AP946" s="173"/>
      <c r="AQ946" s="178"/>
      <c r="AR946" s="173"/>
      <c r="AS946" s="173"/>
      <c r="AT946" s="140"/>
      <c r="AX946" s="140"/>
      <c r="BB946" s="173"/>
      <c r="BC946" s="173"/>
    </row>
    <row r="947" spans="2:55" s="134" customFormat="1" x14ac:dyDescent="0.2">
      <c r="B947" s="145"/>
      <c r="D947" s="145"/>
      <c r="Z947" s="177"/>
      <c r="AA947" s="178"/>
      <c r="AB947" s="139"/>
      <c r="AC947" s="173"/>
      <c r="AD947" s="177"/>
      <c r="AE947" s="177"/>
      <c r="AF947" s="139"/>
      <c r="AG947" s="139"/>
      <c r="AH947" s="177"/>
      <c r="AI947" s="178"/>
      <c r="AJ947" s="139"/>
      <c r="AK947" s="173"/>
      <c r="AL947" s="177"/>
      <c r="AM947" s="178"/>
      <c r="AN947" s="173"/>
      <c r="AO947" s="173"/>
      <c r="AP947" s="173"/>
      <c r="AQ947" s="178"/>
      <c r="AR947" s="173"/>
      <c r="AS947" s="173"/>
      <c r="AT947" s="140"/>
      <c r="AX947" s="140"/>
      <c r="BB947" s="173"/>
      <c r="BC947" s="173"/>
    </row>
    <row r="948" spans="2:55" s="134" customFormat="1" x14ac:dyDescent="0.2">
      <c r="B948" s="145"/>
      <c r="D948" s="145"/>
      <c r="Z948" s="177"/>
      <c r="AA948" s="178"/>
      <c r="AB948" s="139"/>
      <c r="AC948" s="173"/>
      <c r="AD948" s="177"/>
      <c r="AE948" s="177"/>
      <c r="AF948" s="139"/>
      <c r="AG948" s="139"/>
      <c r="AH948" s="177"/>
      <c r="AI948" s="178"/>
      <c r="AJ948" s="139"/>
      <c r="AK948" s="173"/>
      <c r="AL948" s="177"/>
      <c r="AM948" s="178"/>
      <c r="AN948" s="173"/>
      <c r="AO948" s="173"/>
      <c r="AP948" s="173"/>
      <c r="AQ948" s="178"/>
      <c r="AR948" s="173"/>
      <c r="AS948" s="173"/>
      <c r="AT948" s="140"/>
      <c r="AX948" s="140"/>
      <c r="BB948" s="173"/>
      <c r="BC948" s="173"/>
    </row>
    <row r="949" spans="2:55" s="134" customFormat="1" x14ac:dyDescent="0.2">
      <c r="B949" s="145"/>
      <c r="D949" s="145"/>
      <c r="Z949" s="177"/>
      <c r="AA949" s="178"/>
      <c r="AB949" s="139"/>
      <c r="AC949" s="173"/>
      <c r="AD949" s="177"/>
      <c r="AE949" s="177"/>
      <c r="AF949" s="139"/>
      <c r="AG949" s="139"/>
      <c r="AH949" s="177"/>
      <c r="AI949" s="178"/>
      <c r="AJ949" s="139"/>
      <c r="AK949" s="173"/>
      <c r="AL949" s="177"/>
      <c r="AM949" s="178"/>
      <c r="AN949" s="173"/>
      <c r="AO949" s="173"/>
      <c r="AP949" s="173"/>
      <c r="AQ949" s="178"/>
      <c r="AR949" s="173"/>
      <c r="AS949" s="173"/>
      <c r="AT949" s="140"/>
      <c r="AX949" s="140"/>
      <c r="BB949" s="173"/>
      <c r="BC949" s="173"/>
    </row>
    <row r="950" spans="2:55" s="134" customFormat="1" x14ac:dyDescent="0.2">
      <c r="B950" s="145"/>
      <c r="D950" s="145"/>
      <c r="Z950" s="177"/>
      <c r="AA950" s="178"/>
      <c r="AB950" s="139"/>
      <c r="AC950" s="173"/>
      <c r="AD950" s="177"/>
      <c r="AE950" s="177"/>
      <c r="AF950" s="139"/>
      <c r="AG950" s="139"/>
      <c r="AH950" s="177"/>
      <c r="AI950" s="178"/>
      <c r="AJ950" s="139"/>
      <c r="AK950" s="173"/>
      <c r="AL950" s="177"/>
      <c r="AM950" s="178"/>
      <c r="AN950" s="173"/>
      <c r="AO950" s="173"/>
      <c r="AP950" s="173"/>
      <c r="AQ950" s="178"/>
      <c r="AR950" s="173"/>
      <c r="AS950" s="173"/>
      <c r="AT950" s="140"/>
      <c r="AX950" s="140"/>
      <c r="BB950" s="173"/>
      <c r="BC950" s="173"/>
    </row>
    <row r="951" spans="2:55" s="134" customFormat="1" x14ac:dyDescent="0.2">
      <c r="B951" s="145"/>
      <c r="D951" s="145"/>
      <c r="Z951" s="177"/>
      <c r="AA951" s="178"/>
      <c r="AB951" s="139"/>
      <c r="AC951" s="173"/>
      <c r="AD951" s="177"/>
      <c r="AE951" s="177"/>
      <c r="AF951" s="139"/>
      <c r="AG951" s="139"/>
      <c r="AH951" s="177"/>
      <c r="AI951" s="178"/>
      <c r="AJ951" s="139"/>
      <c r="AK951" s="173"/>
      <c r="AL951" s="177"/>
      <c r="AM951" s="178"/>
      <c r="AN951" s="173"/>
      <c r="AO951" s="173"/>
      <c r="AP951" s="173"/>
      <c r="AQ951" s="178"/>
      <c r="AR951" s="173"/>
      <c r="AS951" s="173"/>
      <c r="AT951" s="140"/>
      <c r="AX951" s="140"/>
      <c r="BB951" s="173"/>
      <c r="BC951" s="173"/>
    </row>
    <row r="952" spans="2:55" s="134" customFormat="1" x14ac:dyDescent="0.2">
      <c r="B952" s="145"/>
      <c r="D952" s="145"/>
      <c r="Z952" s="177"/>
      <c r="AA952" s="178"/>
      <c r="AB952" s="139"/>
      <c r="AC952" s="173"/>
      <c r="AD952" s="177"/>
      <c r="AE952" s="177"/>
      <c r="AF952" s="139"/>
      <c r="AG952" s="139"/>
      <c r="AH952" s="177"/>
      <c r="AI952" s="178"/>
      <c r="AJ952" s="139"/>
      <c r="AK952" s="173"/>
      <c r="AL952" s="177"/>
      <c r="AM952" s="178"/>
      <c r="AN952" s="173"/>
      <c r="AO952" s="173"/>
      <c r="AP952" s="173"/>
      <c r="AQ952" s="178"/>
      <c r="AR952" s="173"/>
      <c r="AS952" s="173"/>
      <c r="AT952" s="140"/>
      <c r="AX952" s="140"/>
      <c r="BB952" s="173"/>
      <c r="BC952" s="173"/>
    </row>
    <row r="953" spans="2:55" s="134" customFormat="1" x14ac:dyDescent="0.2">
      <c r="B953" s="145"/>
      <c r="D953" s="145"/>
      <c r="Z953" s="177"/>
      <c r="AA953" s="178"/>
      <c r="AB953" s="139"/>
      <c r="AC953" s="173"/>
      <c r="AD953" s="177"/>
      <c r="AE953" s="177"/>
      <c r="AF953" s="139"/>
      <c r="AG953" s="139"/>
      <c r="AH953" s="177"/>
      <c r="AI953" s="178"/>
      <c r="AJ953" s="139"/>
      <c r="AK953" s="173"/>
      <c r="AL953" s="177"/>
      <c r="AM953" s="178"/>
      <c r="AN953" s="173"/>
      <c r="AO953" s="173"/>
      <c r="AP953" s="173"/>
      <c r="AQ953" s="178"/>
      <c r="AR953" s="173"/>
      <c r="AS953" s="173"/>
      <c r="AT953" s="140"/>
      <c r="AX953" s="140"/>
      <c r="BB953" s="173"/>
      <c r="BC953" s="173"/>
    </row>
    <row r="954" spans="2:55" s="134" customFormat="1" x14ac:dyDescent="0.2">
      <c r="B954" s="145"/>
      <c r="D954" s="145"/>
      <c r="Z954" s="177"/>
      <c r="AA954" s="178"/>
      <c r="AB954" s="139"/>
      <c r="AC954" s="173"/>
      <c r="AD954" s="177"/>
      <c r="AE954" s="177"/>
      <c r="AF954" s="139"/>
      <c r="AG954" s="139"/>
      <c r="AH954" s="177"/>
      <c r="AI954" s="178"/>
      <c r="AJ954" s="139"/>
      <c r="AK954" s="173"/>
      <c r="AL954" s="177"/>
      <c r="AM954" s="178"/>
      <c r="AN954" s="173"/>
      <c r="AO954" s="173"/>
      <c r="AP954" s="173"/>
      <c r="AQ954" s="178"/>
      <c r="AR954" s="173"/>
      <c r="AS954" s="173"/>
      <c r="AT954" s="140"/>
      <c r="AX954" s="140"/>
      <c r="BB954" s="173"/>
      <c r="BC954" s="173"/>
    </row>
    <row r="955" spans="2:55" s="134" customFormat="1" x14ac:dyDescent="0.2">
      <c r="B955" s="145"/>
      <c r="D955" s="145"/>
      <c r="Z955" s="177"/>
      <c r="AA955" s="178"/>
      <c r="AB955" s="139"/>
      <c r="AC955" s="173"/>
      <c r="AD955" s="177"/>
      <c r="AE955" s="177"/>
      <c r="AF955" s="139"/>
      <c r="AG955" s="139"/>
      <c r="AH955" s="177"/>
      <c r="AI955" s="178"/>
      <c r="AJ955" s="139"/>
      <c r="AK955" s="173"/>
      <c r="AL955" s="177"/>
      <c r="AM955" s="178"/>
      <c r="AN955" s="173"/>
      <c r="AO955" s="173"/>
      <c r="AP955" s="173"/>
      <c r="AQ955" s="178"/>
      <c r="AR955" s="173"/>
      <c r="AS955" s="173"/>
      <c r="AT955" s="140"/>
      <c r="AX955" s="140"/>
      <c r="BB955" s="173"/>
      <c r="BC955" s="173"/>
    </row>
    <row r="956" spans="2:55" s="134" customFormat="1" x14ac:dyDescent="0.2">
      <c r="B956" s="145"/>
      <c r="D956" s="145"/>
      <c r="Z956" s="177"/>
      <c r="AA956" s="178"/>
      <c r="AB956" s="139"/>
      <c r="AC956" s="173"/>
      <c r="AD956" s="177"/>
      <c r="AE956" s="177"/>
      <c r="AF956" s="139"/>
      <c r="AG956" s="139"/>
      <c r="AH956" s="177"/>
      <c r="AI956" s="178"/>
      <c r="AJ956" s="139"/>
      <c r="AK956" s="173"/>
      <c r="AL956" s="177"/>
      <c r="AM956" s="178"/>
      <c r="AN956" s="173"/>
      <c r="AO956" s="173"/>
      <c r="AP956" s="173"/>
      <c r="AQ956" s="178"/>
      <c r="AR956" s="173"/>
      <c r="AS956" s="173"/>
      <c r="AT956" s="140"/>
      <c r="AX956" s="140"/>
      <c r="BB956" s="173"/>
      <c r="BC956" s="173"/>
    </row>
    <row r="957" spans="2:55" s="134" customFormat="1" x14ac:dyDescent="0.2">
      <c r="B957" s="145"/>
      <c r="D957" s="145"/>
      <c r="Z957" s="177"/>
      <c r="AA957" s="178"/>
      <c r="AB957" s="139"/>
      <c r="AC957" s="173"/>
      <c r="AD957" s="177"/>
      <c r="AE957" s="177"/>
      <c r="AF957" s="139"/>
      <c r="AG957" s="139"/>
      <c r="AH957" s="177"/>
      <c r="AI957" s="178"/>
      <c r="AJ957" s="139"/>
      <c r="AK957" s="173"/>
      <c r="AL957" s="177"/>
      <c r="AM957" s="178"/>
      <c r="AN957" s="173"/>
      <c r="AO957" s="173"/>
      <c r="AP957" s="173"/>
      <c r="AQ957" s="178"/>
      <c r="AR957" s="173"/>
      <c r="AS957" s="173"/>
      <c r="AT957" s="140"/>
      <c r="AX957" s="140"/>
      <c r="BB957" s="173"/>
      <c r="BC957" s="173"/>
    </row>
    <row r="958" spans="2:55" s="134" customFormat="1" x14ac:dyDescent="0.2">
      <c r="B958" s="145"/>
      <c r="D958" s="145"/>
      <c r="Z958" s="177"/>
      <c r="AA958" s="178"/>
      <c r="AB958" s="139"/>
      <c r="AC958" s="173"/>
      <c r="AD958" s="177"/>
      <c r="AE958" s="177"/>
      <c r="AF958" s="139"/>
      <c r="AG958" s="139"/>
      <c r="AH958" s="177"/>
      <c r="AI958" s="178"/>
      <c r="AJ958" s="139"/>
      <c r="AK958" s="173"/>
      <c r="AL958" s="177"/>
      <c r="AM958" s="178"/>
      <c r="AN958" s="173"/>
      <c r="AO958" s="173"/>
      <c r="AP958" s="173"/>
      <c r="AQ958" s="178"/>
      <c r="AR958" s="173"/>
      <c r="AS958" s="173"/>
      <c r="AT958" s="140"/>
      <c r="AX958" s="140"/>
      <c r="BB958" s="173"/>
      <c r="BC958" s="173"/>
    </row>
    <row r="959" spans="2:55" s="134" customFormat="1" x14ac:dyDescent="0.2">
      <c r="B959" s="145"/>
      <c r="D959" s="145"/>
      <c r="Z959" s="177"/>
      <c r="AA959" s="178"/>
      <c r="AB959" s="139"/>
      <c r="AC959" s="173"/>
      <c r="AD959" s="177"/>
      <c r="AE959" s="177"/>
      <c r="AF959" s="139"/>
      <c r="AG959" s="139"/>
      <c r="AH959" s="177"/>
      <c r="AI959" s="178"/>
      <c r="AJ959" s="139"/>
      <c r="AK959" s="173"/>
      <c r="AL959" s="177"/>
      <c r="AM959" s="178"/>
      <c r="AN959" s="173"/>
      <c r="AO959" s="173"/>
      <c r="AP959" s="173"/>
      <c r="AQ959" s="178"/>
      <c r="AR959" s="173"/>
      <c r="AS959" s="173"/>
      <c r="AT959" s="140"/>
      <c r="AX959" s="140"/>
      <c r="BB959" s="173"/>
      <c r="BC959" s="173"/>
    </row>
    <row r="960" spans="2:55" s="134" customFormat="1" x14ac:dyDescent="0.2">
      <c r="B960" s="145"/>
      <c r="D960" s="145"/>
      <c r="Z960" s="177"/>
      <c r="AA960" s="178"/>
      <c r="AB960" s="139"/>
      <c r="AC960" s="173"/>
      <c r="AD960" s="177"/>
      <c r="AE960" s="177"/>
      <c r="AF960" s="139"/>
      <c r="AG960" s="139"/>
      <c r="AH960" s="177"/>
      <c r="AI960" s="178"/>
      <c r="AJ960" s="139"/>
      <c r="AK960" s="173"/>
      <c r="AL960" s="177"/>
      <c r="AM960" s="178"/>
      <c r="AN960" s="173"/>
      <c r="AO960" s="173"/>
      <c r="AP960" s="173"/>
      <c r="AQ960" s="178"/>
      <c r="AR960" s="173"/>
      <c r="AS960" s="173"/>
      <c r="AT960" s="140"/>
      <c r="AX960" s="140"/>
      <c r="BB960" s="173"/>
      <c r="BC960" s="173"/>
    </row>
    <row r="961" spans="2:55" s="134" customFormat="1" x14ac:dyDescent="0.2">
      <c r="B961" s="145"/>
      <c r="D961" s="145"/>
      <c r="Z961" s="177"/>
      <c r="AA961" s="178"/>
      <c r="AB961" s="139"/>
      <c r="AC961" s="173"/>
      <c r="AD961" s="177"/>
      <c r="AE961" s="177"/>
      <c r="AF961" s="139"/>
      <c r="AG961" s="139"/>
      <c r="AH961" s="177"/>
      <c r="AI961" s="178"/>
      <c r="AJ961" s="139"/>
      <c r="AK961" s="173"/>
      <c r="AL961" s="177"/>
      <c r="AM961" s="178"/>
      <c r="AN961" s="173"/>
      <c r="AO961" s="173"/>
      <c r="AP961" s="173"/>
      <c r="AQ961" s="178"/>
      <c r="AR961" s="173"/>
      <c r="AS961" s="173"/>
      <c r="AT961" s="140"/>
      <c r="AX961" s="140"/>
      <c r="BB961" s="173"/>
      <c r="BC961" s="173"/>
    </row>
    <row r="962" spans="2:55" s="134" customFormat="1" x14ac:dyDescent="0.2">
      <c r="B962" s="145"/>
      <c r="D962" s="145"/>
      <c r="Z962" s="177"/>
      <c r="AA962" s="178"/>
      <c r="AB962" s="139"/>
      <c r="AC962" s="173"/>
      <c r="AD962" s="177"/>
      <c r="AE962" s="177"/>
      <c r="AF962" s="139"/>
      <c r="AG962" s="139"/>
      <c r="AH962" s="177"/>
      <c r="AI962" s="178"/>
      <c r="AJ962" s="139"/>
      <c r="AK962" s="173"/>
      <c r="AL962" s="177"/>
      <c r="AM962" s="178"/>
      <c r="AN962" s="173"/>
      <c r="AO962" s="173"/>
      <c r="AP962" s="173"/>
      <c r="AQ962" s="178"/>
      <c r="AR962" s="173"/>
      <c r="AS962" s="173"/>
      <c r="AT962" s="140"/>
      <c r="AX962" s="140"/>
      <c r="BB962" s="173"/>
      <c r="BC962" s="173"/>
    </row>
    <row r="963" spans="2:55" s="134" customFormat="1" x14ac:dyDescent="0.2">
      <c r="B963" s="145"/>
      <c r="D963" s="145"/>
      <c r="Z963" s="177"/>
      <c r="AA963" s="178"/>
      <c r="AB963" s="139"/>
      <c r="AC963" s="173"/>
      <c r="AD963" s="177"/>
      <c r="AE963" s="177"/>
      <c r="AF963" s="139"/>
      <c r="AG963" s="139"/>
      <c r="AH963" s="177"/>
      <c r="AI963" s="178"/>
      <c r="AJ963" s="139"/>
      <c r="AK963" s="173"/>
      <c r="AL963" s="177"/>
      <c r="AM963" s="178"/>
      <c r="AN963" s="173"/>
      <c r="AO963" s="173"/>
      <c r="AP963" s="173"/>
      <c r="AQ963" s="178"/>
      <c r="AR963" s="173"/>
      <c r="AS963" s="173"/>
      <c r="AT963" s="140"/>
      <c r="AX963" s="140"/>
      <c r="BB963" s="173"/>
      <c r="BC963" s="173"/>
    </row>
    <row r="964" spans="2:55" s="134" customFormat="1" x14ac:dyDescent="0.2">
      <c r="B964" s="145"/>
      <c r="D964" s="145"/>
      <c r="Z964" s="177"/>
      <c r="AA964" s="178"/>
      <c r="AB964" s="139"/>
      <c r="AC964" s="173"/>
      <c r="AD964" s="177"/>
      <c r="AE964" s="177"/>
      <c r="AF964" s="139"/>
      <c r="AG964" s="139"/>
      <c r="AH964" s="177"/>
      <c r="AI964" s="178"/>
      <c r="AJ964" s="139"/>
      <c r="AK964" s="173"/>
      <c r="AL964" s="177"/>
      <c r="AM964" s="178"/>
      <c r="AN964" s="173"/>
      <c r="AO964" s="173"/>
      <c r="AP964" s="173"/>
      <c r="AQ964" s="178"/>
      <c r="AR964" s="173"/>
      <c r="AS964" s="173"/>
      <c r="AT964" s="140"/>
      <c r="AX964" s="140"/>
      <c r="BB964" s="173"/>
      <c r="BC964" s="173"/>
    </row>
    <row r="965" spans="2:55" s="134" customFormat="1" x14ac:dyDescent="0.2">
      <c r="B965" s="145"/>
      <c r="D965" s="145"/>
      <c r="Z965" s="177"/>
      <c r="AA965" s="178"/>
      <c r="AB965" s="139"/>
      <c r="AC965" s="173"/>
      <c r="AD965" s="177"/>
      <c r="AE965" s="177"/>
      <c r="AF965" s="139"/>
      <c r="AG965" s="139"/>
      <c r="AH965" s="177"/>
      <c r="AI965" s="178"/>
      <c r="AJ965" s="139"/>
      <c r="AK965" s="173"/>
      <c r="AL965" s="177"/>
      <c r="AM965" s="178"/>
      <c r="AN965" s="173"/>
      <c r="AO965" s="173"/>
      <c r="AP965" s="173"/>
      <c r="AQ965" s="178"/>
      <c r="AR965" s="173"/>
      <c r="AS965" s="173"/>
      <c r="AT965" s="140"/>
      <c r="AX965" s="140"/>
      <c r="BB965" s="173"/>
      <c r="BC965" s="173"/>
    </row>
    <row r="966" spans="2:55" s="134" customFormat="1" x14ac:dyDescent="0.2">
      <c r="B966" s="145"/>
      <c r="D966" s="145"/>
      <c r="Z966" s="177"/>
      <c r="AA966" s="178"/>
      <c r="AB966" s="139"/>
      <c r="AC966" s="173"/>
      <c r="AD966" s="177"/>
      <c r="AE966" s="177"/>
      <c r="AF966" s="139"/>
      <c r="AG966" s="139"/>
      <c r="AH966" s="177"/>
      <c r="AI966" s="178"/>
      <c r="AJ966" s="139"/>
      <c r="AK966" s="173"/>
      <c r="AL966" s="177"/>
      <c r="AM966" s="178"/>
      <c r="AN966" s="173"/>
      <c r="AO966" s="173"/>
      <c r="AP966" s="173"/>
      <c r="AQ966" s="178"/>
      <c r="AR966" s="173"/>
      <c r="AS966" s="173"/>
      <c r="AT966" s="140"/>
      <c r="AX966" s="140"/>
      <c r="BB966" s="173"/>
      <c r="BC966" s="173"/>
    </row>
    <row r="967" spans="2:55" s="134" customFormat="1" x14ac:dyDescent="0.2">
      <c r="B967" s="145"/>
      <c r="D967" s="145"/>
      <c r="Z967" s="177"/>
      <c r="AA967" s="178"/>
      <c r="AB967" s="139"/>
      <c r="AC967" s="173"/>
      <c r="AD967" s="177"/>
      <c r="AE967" s="177"/>
      <c r="AF967" s="139"/>
      <c r="AG967" s="139"/>
      <c r="AH967" s="177"/>
      <c r="AI967" s="178"/>
      <c r="AJ967" s="139"/>
      <c r="AK967" s="173"/>
      <c r="AL967" s="177"/>
      <c r="AM967" s="178"/>
      <c r="AN967" s="173"/>
      <c r="AO967" s="173"/>
      <c r="AP967" s="173"/>
      <c r="AQ967" s="178"/>
      <c r="AR967" s="173"/>
      <c r="AS967" s="173"/>
      <c r="AT967" s="140"/>
      <c r="AX967" s="140"/>
      <c r="BB967" s="173"/>
      <c r="BC967" s="173"/>
    </row>
    <row r="968" spans="2:55" s="134" customFormat="1" x14ac:dyDescent="0.2">
      <c r="B968" s="145"/>
      <c r="D968" s="145"/>
      <c r="Z968" s="177"/>
      <c r="AA968" s="178"/>
      <c r="AB968" s="139"/>
      <c r="AC968" s="173"/>
      <c r="AD968" s="177"/>
      <c r="AE968" s="177"/>
      <c r="AF968" s="139"/>
      <c r="AG968" s="139"/>
      <c r="AH968" s="177"/>
      <c r="AI968" s="178"/>
      <c r="AJ968" s="139"/>
      <c r="AK968" s="173"/>
      <c r="AL968" s="177"/>
      <c r="AM968" s="178"/>
      <c r="AN968" s="173"/>
      <c r="AO968" s="173"/>
      <c r="AP968" s="173"/>
      <c r="AQ968" s="178"/>
      <c r="AR968" s="173"/>
      <c r="AS968" s="173"/>
      <c r="AT968" s="140"/>
      <c r="AX968" s="140"/>
      <c r="BB968" s="173"/>
      <c r="BC968" s="173"/>
    </row>
    <row r="969" spans="2:55" s="134" customFormat="1" x14ac:dyDescent="0.2">
      <c r="B969" s="145"/>
      <c r="D969" s="145"/>
      <c r="Z969" s="177"/>
      <c r="AA969" s="178"/>
      <c r="AB969" s="139"/>
      <c r="AC969" s="173"/>
      <c r="AD969" s="177"/>
      <c r="AE969" s="177"/>
      <c r="AF969" s="139"/>
      <c r="AG969" s="139"/>
      <c r="AH969" s="177"/>
      <c r="AI969" s="178"/>
      <c r="AJ969" s="139"/>
      <c r="AK969" s="173"/>
      <c r="AL969" s="177"/>
      <c r="AM969" s="178"/>
      <c r="AN969" s="173"/>
      <c r="AO969" s="173"/>
      <c r="AP969" s="173"/>
      <c r="AQ969" s="178"/>
      <c r="AR969" s="173"/>
      <c r="AS969" s="173"/>
      <c r="AT969" s="140"/>
      <c r="AX969" s="140"/>
      <c r="BB969" s="173"/>
      <c r="BC969" s="173"/>
    </row>
    <row r="970" spans="2:55" s="134" customFormat="1" x14ac:dyDescent="0.2">
      <c r="B970" s="145"/>
      <c r="D970" s="145"/>
      <c r="Z970" s="177"/>
      <c r="AA970" s="178"/>
      <c r="AB970" s="139"/>
      <c r="AC970" s="173"/>
      <c r="AD970" s="177"/>
      <c r="AE970" s="177"/>
      <c r="AF970" s="139"/>
      <c r="AG970" s="139"/>
      <c r="AH970" s="177"/>
      <c r="AI970" s="178"/>
      <c r="AJ970" s="139"/>
      <c r="AK970" s="173"/>
      <c r="AL970" s="177"/>
      <c r="AM970" s="178"/>
      <c r="AN970" s="173"/>
      <c r="AO970" s="173"/>
      <c r="AP970" s="173"/>
      <c r="AQ970" s="178"/>
      <c r="AR970" s="173"/>
      <c r="AS970" s="173"/>
      <c r="AT970" s="140"/>
      <c r="AX970" s="140"/>
      <c r="BB970" s="173"/>
      <c r="BC970" s="173"/>
    </row>
    <row r="971" spans="2:55" s="134" customFormat="1" x14ac:dyDescent="0.2">
      <c r="B971" s="145"/>
      <c r="D971" s="145"/>
      <c r="Z971" s="177"/>
      <c r="AA971" s="178"/>
      <c r="AB971" s="139"/>
      <c r="AC971" s="173"/>
      <c r="AD971" s="177"/>
      <c r="AE971" s="177"/>
      <c r="AF971" s="139"/>
      <c r="AG971" s="139"/>
      <c r="AH971" s="177"/>
      <c r="AI971" s="178"/>
      <c r="AJ971" s="139"/>
      <c r="AK971" s="173"/>
      <c r="AL971" s="177"/>
      <c r="AM971" s="178"/>
      <c r="AN971" s="173"/>
      <c r="AO971" s="173"/>
      <c r="AP971" s="173"/>
      <c r="AQ971" s="178"/>
      <c r="AR971" s="173"/>
      <c r="AS971" s="173"/>
      <c r="AT971" s="140"/>
      <c r="AX971" s="140"/>
      <c r="BB971" s="173"/>
      <c r="BC971" s="173"/>
    </row>
    <row r="972" spans="2:55" s="134" customFormat="1" x14ac:dyDescent="0.2">
      <c r="B972" s="145"/>
      <c r="D972" s="145"/>
      <c r="Z972" s="177"/>
      <c r="AA972" s="178"/>
      <c r="AB972" s="139"/>
      <c r="AC972" s="173"/>
      <c r="AD972" s="177"/>
      <c r="AE972" s="177"/>
      <c r="AF972" s="139"/>
      <c r="AG972" s="139"/>
      <c r="AH972" s="177"/>
      <c r="AI972" s="178"/>
      <c r="AJ972" s="139"/>
      <c r="AK972" s="173"/>
      <c r="AL972" s="177"/>
      <c r="AM972" s="178"/>
      <c r="AN972" s="173"/>
      <c r="AO972" s="173"/>
      <c r="AP972" s="173"/>
      <c r="AQ972" s="178"/>
      <c r="AR972" s="173"/>
      <c r="AS972" s="173"/>
      <c r="AT972" s="140"/>
      <c r="AX972" s="140"/>
      <c r="BB972" s="173"/>
      <c r="BC972" s="173"/>
    </row>
    <row r="973" spans="2:55" s="134" customFormat="1" x14ac:dyDescent="0.2">
      <c r="B973" s="145"/>
      <c r="D973" s="145"/>
      <c r="Z973" s="177"/>
      <c r="AA973" s="178"/>
      <c r="AB973" s="139"/>
      <c r="AC973" s="173"/>
      <c r="AD973" s="177"/>
      <c r="AE973" s="177"/>
      <c r="AF973" s="139"/>
      <c r="AG973" s="139"/>
      <c r="AH973" s="177"/>
      <c r="AI973" s="178"/>
      <c r="AJ973" s="139"/>
      <c r="AK973" s="173"/>
      <c r="AL973" s="177"/>
      <c r="AM973" s="178"/>
      <c r="AN973" s="173"/>
      <c r="AO973" s="173"/>
      <c r="AP973" s="173"/>
      <c r="AQ973" s="178"/>
      <c r="AR973" s="173"/>
      <c r="AS973" s="173"/>
      <c r="AT973" s="140"/>
      <c r="AX973" s="140"/>
      <c r="BB973" s="173"/>
      <c r="BC973" s="173"/>
    </row>
    <row r="974" spans="2:55" s="134" customFormat="1" x14ac:dyDescent="0.2">
      <c r="B974" s="145"/>
      <c r="D974" s="145"/>
      <c r="Z974" s="177"/>
      <c r="AA974" s="178"/>
      <c r="AB974" s="139"/>
      <c r="AC974" s="173"/>
      <c r="AD974" s="177"/>
      <c r="AE974" s="177"/>
      <c r="AF974" s="139"/>
      <c r="AG974" s="139"/>
      <c r="AH974" s="177"/>
      <c r="AI974" s="178"/>
      <c r="AJ974" s="139"/>
      <c r="AK974" s="173"/>
      <c r="AL974" s="177"/>
      <c r="AM974" s="178"/>
      <c r="AN974" s="173"/>
      <c r="AO974" s="173"/>
      <c r="AP974" s="173"/>
      <c r="AQ974" s="178"/>
      <c r="AR974" s="173"/>
      <c r="AS974" s="173"/>
      <c r="AT974" s="140"/>
      <c r="AX974" s="140"/>
      <c r="BB974" s="173"/>
      <c r="BC974" s="173"/>
    </row>
    <row r="975" spans="2:55" s="134" customFormat="1" x14ac:dyDescent="0.2">
      <c r="B975" s="145"/>
      <c r="D975" s="145"/>
      <c r="Z975" s="177"/>
      <c r="AA975" s="178"/>
      <c r="AB975" s="139"/>
      <c r="AC975" s="173"/>
      <c r="AD975" s="177"/>
      <c r="AE975" s="177"/>
      <c r="AF975" s="139"/>
      <c r="AG975" s="139"/>
      <c r="AH975" s="177"/>
      <c r="AI975" s="178"/>
      <c r="AJ975" s="139"/>
      <c r="AK975" s="173"/>
      <c r="AL975" s="177"/>
      <c r="AM975" s="178"/>
      <c r="AN975" s="173"/>
      <c r="AO975" s="173"/>
      <c r="AP975" s="173"/>
      <c r="AQ975" s="178"/>
      <c r="AR975" s="173"/>
      <c r="AS975" s="173"/>
      <c r="AT975" s="140"/>
      <c r="AX975" s="140"/>
      <c r="BB975" s="173"/>
      <c r="BC975" s="173"/>
    </row>
    <row r="976" spans="2:55" s="134" customFormat="1" x14ac:dyDescent="0.2">
      <c r="B976" s="145"/>
      <c r="D976" s="145"/>
      <c r="Z976" s="177"/>
      <c r="AA976" s="178"/>
      <c r="AB976" s="139"/>
      <c r="AC976" s="173"/>
      <c r="AD976" s="177"/>
      <c r="AE976" s="177"/>
      <c r="AF976" s="139"/>
      <c r="AG976" s="139"/>
      <c r="AH976" s="177"/>
      <c r="AI976" s="178"/>
      <c r="AJ976" s="139"/>
      <c r="AK976" s="173"/>
      <c r="AL976" s="177"/>
      <c r="AM976" s="178"/>
      <c r="AN976" s="173"/>
      <c r="AO976" s="173"/>
      <c r="AP976" s="173"/>
      <c r="AQ976" s="178"/>
      <c r="AR976" s="173"/>
      <c r="AS976" s="173"/>
      <c r="AT976" s="140"/>
      <c r="AX976" s="140"/>
      <c r="BB976" s="173"/>
      <c r="BC976" s="173"/>
    </row>
    <row r="977" spans="2:55" s="134" customFormat="1" x14ac:dyDescent="0.2">
      <c r="B977" s="145"/>
      <c r="D977" s="145"/>
      <c r="Z977" s="177"/>
      <c r="AA977" s="178"/>
      <c r="AB977" s="139"/>
      <c r="AC977" s="173"/>
      <c r="AD977" s="177"/>
      <c r="AE977" s="177"/>
      <c r="AF977" s="139"/>
      <c r="AG977" s="139"/>
      <c r="AH977" s="177"/>
      <c r="AI977" s="178"/>
      <c r="AJ977" s="139"/>
      <c r="AK977" s="173"/>
      <c r="AL977" s="177"/>
      <c r="AM977" s="178"/>
      <c r="AN977" s="173"/>
      <c r="AO977" s="173"/>
      <c r="AP977" s="173"/>
      <c r="AQ977" s="178"/>
      <c r="AR977" s="173"/>
      <c r="AS977" s="173"/>
      <c r="AT977" s="140"/>
      <c r="AX977" s="140"/>
      <c r="BB977" s="173"/>
      <c r="BC977" s="173"/>
    </row>
    <row r="978" spans="2:55" s="134" customFormat="1" x14ac:dyDescent="0.2">
      <c r="B978" s="145"/>
      <c r="D978" s="145"/>
      <c r="Z978" s="177"/>
      <c r="AA978" s="178"/>
      <c r="AB978" s="139"/>
      <c r="AC978" s="173"/>
      <c r="AD978" s="177"/>
      <c r="AE978" s="177"/>
      <c r="AF978" s="139"/>
      <c r="AG978" s="139"/>
      <c r="AH978" s="177"/>
      <c r="AI978" s="178"/>
      <c r="AJ978" s="139"/>
      <c r="AK978" s="173"/>
      <c r="AL978" s="177"/>
      <c r="AM978" s="178"/>
      <c r="AN978" s="173"/>
      <c r="AO978" s="173"/>
      <c r="AP978" s="173"/>
      <c r="AQ978" s="178"/>
      <c r="AR978" s="173"/>
      <c r="AS978" s="173"/>
      <c r="AT978" s="140"/>
      <c r="AX978" s="140"/>
      <c r="BB978" s="173"/>
      <c r="BC978" s="173"/>
    </row>
    <row r="979" spans="2:55" s="134" customFormat="1" x14ac:dyDescent="0.2">
      <c r="B979" s="145"/>
      <c r="D979" s="145"/>
      <c r="Z979" s="177"/>
      <c r="AA979" s="178"/>
      <c r="AB979" s="139"/>
      <c r="AC979" s="173"/>
      <c r="AD979" s="177"/>
      <c r="AE979" s="177"/>
      <c r="AF979" s="139"/>
      <c r="AG979" s="139"/>
      <c r="AH979" s="177"/>
      <c r="AI979" s="178"/>
      <c r="AJ979" s="139"/>
      <c r="AK979" s="173"/>
      <c r="AL979" s="177"/>
      <c r="AM979" s="178"/>
      <c r="AN979" s="173"/>
      <c r="AO979" s="173"/>
      <c r="AP979" s="173"/>
      <c r="AQ979" s="178"/>
      <c r="AR979" s="173"/>
      <c r="AS979" s="173"/>
      <c r="AT979" s="140"/>
      <c r="AX979" s="140"/>
      <c r="BB979" s="173"/>
      <c r="BC979" s="173"/>
    </row>
    <row r="980" spans="2:55" s="134" customFormat="1" x14ac:dyDescent="0.2">
      <c r="B980" s="145"/>
      <c r="D980" s="145"/>
      <c r="Z980" s="177"/>
      <c r="AA980" s="178"/>
      <c r="AB980" s="139"/>
      <c r="AC980" s="173"/>
      <c r="AD980" s="177"/>
      <c r="AE980" s="177"/>
      <c r="AF980" s="139"/>
      <c r="AG980" s="139"/>
      <c r="AH980" s="177"/>
      <c r="AI980" s="178"/>
      <c r="AJ980" s="139"/>
      <c r="AK980" s="173"/>
      <c r="AL980" s="177"/>
      <c r="AM980" s="178"/>
      <c r="AN980" s="173"/>
      <c r="AO980" s="173"/>
      <c r="AP980" s="173"/>
      <c r="AQ980" s="178"/>
      <c r="AR980" s="173"/>
      <c r="AS980" s="173"/>
      <c r="AT980" s="140"/>
      <c r="AX980" s="140"/>
      <c r="BB980" s="173"/>
      <c r="BC980" s="173"/>
    </row>
    <row r="981" spans="2:55" s="134" customFormat="1" x14ac:dyDescent="0.2">
      <c r="B981" s="145"/>
      <c r="D981" s="145"/>
      <c r="Z981" s="177"/>
      <c r="AA981" s="178"/>
      <c r="AB981" s="139"/>
      <c r="AC981" s="173"/>
      <c r="AD981" s="177"/>
      <c r="AE981" s="177"/>
      <c r="AF981" s="139"/>
      <c r="AG981" s="139"/>
      <c r="AH981" s="177"/>
      <c r="AI981" s="178"/>
      <c r="AJ981" s="139"/>
      <c r="AK981" s="173"/>
      <c r="AL981" s="177"/>
      <c r="AM981" s="178"/>
      <c r="AN981" s="173"/>
      <c r="AO981" s="173"/>
      <c r="AP981" s="173"/>
      <c r="AQ981" s="178"/>
      <c r="AR981" s="173"/>
      <c r="AS981" s="173"/>
      <c r="AT981" s="140"/>
      <c r="AX981" s="140"/>
      <c r="BB981" s="173"/>
      <c r="BC981" s="173"/>
    </row>
    <row r="982" spans="2:55" s="134" customFormat="1" x14ac:dyDescent="0.2">
      <c r="B982" s="145"/>
      <c r="D982" s="145"/>
      <c r="Z982" s="177"/>
      <c r="AA982" s="178"/>
      <c r="AB982" s="139"/>
      <c r="AC982" s="173"/>
      <c r="AD982" s="177"/>
      <c r="AE982" s="177"/>
      <c r="AF982" s="139"/>
      <c r="AG982" s="139"/>
      <c r="AH982" s="177"/>
      <c r="AI982" s="178"/>
      <c r="AJ982" s="139"/>
      <c r="AK982" s="173"/>
      <c r="AL982" s="177"/>
      <c r="AM982" s="178"/>
      <c r="AN982" s="173"/>
      <c r="AO982" s="173"/>
      <c r="AP982" s="173"/>
      <c r="AQ982" s="178"/>
      <c r="AR982" s="173"/>
      <c r="AS982" s="173"/>
      <c r="AT982" s="140"/>
      <c r="AX982" s="140"/>
      <c r="BB982" s="173"/>
      <c r="BC982" s="173"/>
    </row>
    <row r="983" spans="2:55" s="134" customFormat="1" x14ac:dyDescent="0.2">
      <c r="B983" s="145"/>
      <c r="D983" s="145"/>
      <c r="Z983" s="177"/>
      <c r="AA983" s="178"/>
      <c r="AB983" s="139"/>
      <c r="AC983" s="173"/>
      <c r="AD983" s="177"/>
      <c r="AE983" s="177"/>
      <c r="AF983" s="139"/>
      <c r="AG983" s="139"/>
      <c r="AH983" s="177"/>
      <c r="AI983" s="178"/>
      <c r="AJ983" s="139"/>
      <c r="AK983" s="173"/>
      <c r="AL983" s="177"/>
      <c r="AM983" s="178"/>
      <c r="AN983" s="173"/>
      <c r="AO983" s="173"/>
      <c r="AP983" s="173"/>
      <c r="AQ983" s="178"/>
      <c r="AR983" s="173"/>
      <c r="AS983" s="173"/>
      <c r="AT983" s="140"/>
      <c r="AX983" s="140"/>
      <c r="BB983" s="173"/>
      <c r="BC983" s="173"/>
    </row>
    <row r="984" spans="2:55" s="134" customFormat="1" x14ac:dyDescent="0.2">
      <c r="B984" s="145"/>
      <c r="D984" s="145"/>
      <c r="Z984" s="177"/>
      <c r="AA984" s="178"/>
      <c r="AB984" s="139"/>
      <c r="AC984" s="173"/>
      <c r="AD984" s="177"/>
      <c r="AE984" s="177"/>
      <c r="AF984" s="139"/>
      <c r="AG984" s="139"/>
      <c r="AH984" s="177"/>
      <c r="AI984" s="178"/>
      <c r="AJ984" s="139"/>
      <c r="AK984" s="173"/>
      <c r="AL984" s="177"/>
      <c r="AM984" s="178"/>
      <c r="AN984" s="173"/>
      <c r="AO984" s="173"/>
      <c r="AP984" s="173"/>
      <c r="AQ984" s="178"/>
      <c r="AR984" s="173"/>
      <c r="AS984" s="173"/>
      <c r="AT984" s="140"/>
      <c r="AX984" s="140"/>
      <c r="BB984" s="173"/>
      <c r="BC984" s="173"/>
    </row>
    <row r="985" spans="2:55" s="134" customFormat="1" x14ac:dyDescent="0.2">
      <c r="B985" s="145"/>
      <c r="D985" s="145"/>
      <c r="Z985" s="177"/>
      <c r="AA985" s="178"/>
      <c r="AB985" s="139"/>
      <c r="AC985" s="173"/>
      <c r="AD985" s="177"/>
      <c r="AE985" s="177"/>
      <c r="AF985" s="139"/>
      <c r="AG985" s="139"/>
      <c r="AH985" s="177"/>
      <c r="AI985" s="178"/>
      <c r="AJ985" s="139"/>
      <c r="AK985" s="173"/>
      <c r="AL985" s="177"/>
      <c r="AM985" s="178"/>
      <c r="AN985" s="173"/>
      <c r="AO985" s="173"/>
      <c r="AP985" s="173"/>
      <c r="AQ985" s="178"/>
      <c r="AR985" s="173"/>
      <c r="AS985" s="173"/>
      <c r="AT985" s="140"/>
      <c r="AX985" s="140"/>
      <c r="BB985" s="173"/>
      <c r="BC985" s="173"/>
    </row>
    <row r="986" spans="2:55" s="134" customFormat="1" x14ac:dyDescent="0.2">
      <c r="B986" s="145"/>
      <c r="D986" s="145"/>
      <c r="Z986" s="177"/>
      <c r="AA986" s="178"/>
      <c r="AB986" s="139"/>
      <c r="AC986" s="173"/>
      <c r="AD986" s="177"/>
      <c r="AE986" s="177"/>
      <c r="AF986" s="139"/>
      <c r="AG986" s="139"/>
      <c r="AH986" s="177"/>
      <c r="AI986" s="178"/>
      <c r="AJ986" s="139"/>
      <c r="AK986" s="173"/>
      <c r="AL986" s="177"/>
      <c r="AM986" s="178"/>
      <c r="AN986" s="173"/>
      <c r="AO986" s="173"/>
      <c r="AP986" s="173"/>
      <c r="AQ986" s="178"/>
      <c r="AR986" s="173"/>
      <c r="AS986" s="173"/>
      <c r="AT986" s="140"/>
      <c r="AX986" s="140"/>
      <c r="BB986" s="173"/>
      <c r="BC986" s="173"/>
    </row>
    <row r="987" spans="2:55" s="134" customFormat="1" x14ac:dyDescent="0.2">
      <c r="B987" s="145"/>
      <c r="D987" s="145"/>
      <c r="Z987" s="177"/>
      <c r="AA987" s="178"/>
      <c r="AB987" s="139"/>
      <c r="AC987" s="173"/>
      <c r="AD987" s="177"/>
      <c r="AE987" s="177"/>
      <c r="AF987" s="139"/>
      <c r="AG987" s="139"/>
      <c r="AH987" s="177"/>
      <c r="AI987" s="178"/>
      <c r="AJ987" s="139"/>
      <c r="AK987" s="173"/>
      <c r="AL987" s="177"/>
      <c r="AM987" s="178"/>
      <c r="AN987" s="173"/>
      <c r="AO987" s="173"/>
      <c r="AP987" s="173"/>
      <c r="AQ987" s="178"/>
      <c r="AR987" s="173"/>
      <c r="AS987" s="173"/>
      <c r="AT987" s="140"/>
      <c r="AX987" s="140"/>
      <c r="BB987" s="173"/>
      <c r="BC987" s="173"/>
    </row>
    <row r="988" spans="2:55" s="134" customFormat="1" x14ac:dyDescent="0.2">
      <c r="B988" s="145"/>
      <c r="D988" s="145"/>
      <c r="Z988" s="177"/>
      <c r="AA988" s="178"/>
      <c r="AB988" s="139"/>
      <c r="AC988" s="173"/>
      <c r="AD988" s="177"/>
      <c r="AE988" s="177"/>
      <c r="AF988" s="139"/>
      <c r="AG988" s="139"/>
      <c r="AH988" s="177"/>
      <c r="AI988" s="178"/>
      <c r="AJ988" s="139"/>
      <c r="AK988" s="173"/>
      <c r="AL988" s="177"/>
      <c r="AM988" s="178"/>
      <c r="AN988" s="173"/>
      <c r="AO988" s="173"/>
      <c r="AP988" s="173"/>
      <c r="AQ988" s="178"/>
      <c r="AR988" s="173"/>
      <c r="AS988" s="173"/>
      <c r="AT988" s="140"/>
      <c r="AX988" s="140"/>
      <c r="BB988" s="173"/>
      <c r="BC988" s="173"/>
    </row>
    <row r="989" spans="2:55" s="134" customFormat="1" x14ac:dyDescent="0.2">
      <c r="B989" s="145"/>
      <c r="D989" s="145"/>
      <c r="Z989" s="177"/>
      <c r="AA989" s="178"/>
      <c r="AB989" s="139"/>
      <c r="AC989" s="173"/>
      <c r="AD989" s="177"/>
      <c r="AE989" s="177"/>
      <c r="AF989" s="139"/>
      <c r="AG989" s="139"/>
      <c r="AH989" s="177"/>
      <c r="AI989" s="178"/>
      <c r="AJ989" s="139"/>
      <c r="AK989" s="173"/>
      <c r="AL989" s="177"/>
      <c r="AM989" s="178"/>
      <c r="AN989" s="173"/>
      <c r="AO989" s="173"/>
      <c r="AP989" s="173"/>
      <c r="AQ989" s="178"/>
      <c r="AR989" s="173"/>
      <c r="AS989" s="173"/>
      <c r="AT989" s="140"/>
      <c r="AX989" s="140"/>
      <c r="BB989" s="173"/>
      <c r="BC989" s="173"/>
    </row>
    <row r="990" spans="2:55" s="134" customFormat="1" x14ac:dyDescent="0.2">
      <c r="B990" s="145"/>
      <c r="D990" s="145"/>
      <c r="Z990" s="177"/>
      <c r="AA990" s="178"/>
      <c r="AB990" s="139"/>
      <c r="AC990" s="173"/>
      <c r="AD990" s="177"/>
      <c r="AE990" s="177"/>
      <c r="AF990" s="139"/>
      <c r="AG990" s="139"/>
      <c r="AH990" s="177"/>
      <c r="AI990" s="178"/>
      <c r="AJ990" s="139"/>
      <c r="AK990" s="173"/>
      <c r="AL990" s="177"/>
      <c r="AM990" s="178"/>
      <c r="AN990" s="173"/>
      <c r="AO990" s="173"/>
      <c r="AP990" s="173"/>
      <c r="AQ990" s="178"/>
      <c r="AR990" s="173"/>
      <c r="AS990" s="173"/>
      <c r="AT990" s="140"/>
      <c r="AX990" s="140"/>
      <c r="BB990" s="173"/>
      <c r="BC990" s="173"/>
    </row>
    <row r="991" spans="2:55" s="134" customFormat="1" x14ac:dyDescent="0.2">
      <c r="B991" s="145"/>
      <c r="D991" s="145"/>
      <c r="Z991" s="177"/>
      <c r="AA991" s="178"/>
      <c r="AB991" s="139"/>
      <c r="AC991" s="173"/>
      <c r="AD991" s="177"/>
      <c r="AE991" s="177"/>
      <c r="AF991" s="139"/>
      <c r="AG991" s="139"/>
      <c r="AH991" s="177"/>
      <c r="AI991" s="178"/>
      <c r="AJ991" s="139"/>
      <c r="AK991" s="173"/>
      <c r="AL991" s="177"/>
      <c r="AM991" s="178"/>
      <c r="AN991" s="173"/>
      <c r="AO991" s="173"/>
      <c r="AP991" s="173"/>
      <c r="AQ991" s="178"/>
      <c r="AR991" s="173"/>
      <c r="AS991" s="173"/>
      <c r="AT991" s="140"/>
      <c r="AX991" s="140"/>
      <c r="BB991" s="173"/>
      <c r="BC991" s="173"/>
    </row>
    <row r="992" spans="2:55" s="134" customFormat="1" x14ac:dyDescent="0.2">
      <c r="B992" s="145"/>
      <c r="D992" s="145"/>
      <c r="Z992" s="177"/>
      <c r="AA992" s="178"/>
      <c r="AB992" s="139"/>
      <c r="AC992" s="173"/>
      <c r="AD992" s="177"/>
      <c r="AE992" s="177"/>
      <c r="AF992" s="139"/>
      <c r="AG992" s="139"/>
      <c r="AH992" s="177"/>
      <c r="AI992" s="178"/>
      <c r="AJ992" s="139"/>
      <c r="AK992" s="173"/>
      <c r="AL992" s="177"/>
      <c r="AM992" s="178"/>
      <c r="AN992" s="173"/>
      <c r="AO992" s="173"/>
      <c r="AP992" s="173"/>
      <c r="AQ992" s="178"/>
      <c r="AR992" s="173"/>
      <c r="AS992" s="173"/>
      <c r="AT992" s="140"/>
      <c r="AX992" s="140"/>
      <c r="BB992" s="173"/>
      <c r="BC992" s="173"/>
    </row>
    <row r="993" spans="2:55" s="134" customFormat="1" x14ac:dyDescent="0.2">
      <c r="B993" s="145"/>
      <c r="D993" s="145"/>
      <c r="Z993" s="177"/>
      <c r="AA993" s="178"/>
      <c r="AB993" s="139"/>
      <c r="AC993" s="173"/>
      <c r="AD993" s="177"/>
      <c r="AE993" s="177"/>
      <c r="AF993" s="139"/>
      <c r="AG993" s="139"/>
      <c r="AH993" s="177"/>
      <c r="AI993" s="178"/>
      <c r="AJ993" s="139"/>
      <c r="AK993" s="173"/>
      <c r="AL993" s="177"/>
      <c r="AM993" s="178"/>
      <c r="AN993" s="173"/>
      <c r="AO993" s="173"/>
      <c r="AP993" s="173"/>
      <c r="AQ993" s="178"/>
      <c r="AR993" s="173"/>
      <c r="AS993" s="173"/>
      <c r="AT993" s="140"/>
      <c r="AX993" s="140"/>
      <c r="BB993" s="173"/>
      <c r="BC993" s="173"/>
    </row>
    <row r="994" spans="2:55" s="134" customFormat="1" x14ac:dyDescent="0.2">
      <c r="B994" s="145"/>
      <c r="D994" s="145"/>
      <c r="Z994" s="177"/>
      <c r="AA994" s="178"/>
      <c r="AB994" s="139"/>
      <c r="AC994" s="173"/>
      <c r="AD994" s="177"/>
      <c r="AE994" s="177"/>
      <c r="AF994" s="139"/>
      <c r="AG994" s="139"/>
      <c r="AH994" s="177"/>
      <c r="AI994" s="178"/>
      <c r="AJ994" s="139"/>
      <c r="AK994" s="173"/>
      <c r="AL994" s="177"/>
      <c r="AM994" s="178"/>
      <c r="AN994" s="173"/>
      <c r="AO994" s="173"/>
      <c r="AP994" s="173"/>
      <c r="AQ994" s="178"/>
      <c r="AR994" s="173"/>
      <c r="AS994" s="173"/>
      <c r="AT994" s="140"/>
      <c r="AX994" s="140"/>
      <c r="BB994" s="173"/>
      <c r="BC994" s="173"/>
    </row>
    <row r="995" spans="2:55" s="134" customFormat="1" x14ac:dyDescent="0.2">
      <c r="B995" s="145"/>
      <c r="D995" s="145"/>
      <c r="Z995" s="177"/>
      <c r="AA995" s="178"/>
      <c r="AB995" s="139"/>
      <c r="AC995" s="173"/>
      <c r="AD995" s="177"/>
      <c r="AE995" s="177"/>
      <c r="AF995" s="139"/>
      <c r="AG995" s="139"/>
      <c r="AH995" s="177"/>
      <c r="AI995" s="178"/>
      <c r="AJ995" s="139"/>
      <c r="AK995" s="173"/>
      <c r="AL995" s="177"/>
      <c r="AM995" s="178"/>
      <c r="AN995" s="173"/>
      <c r="AO995" s="173"/>
      <c r="AP995" s="173"/>
      <c r="AQ995" s="178"/>
      <c r="AR995" s="173"/>
      <c r="AS995" s="173"/>
      <c r="AT995" s="140"/>
      <c r="AX995" s="140"/>
      <c r="BB995" s="173"/>
      <c r="BC995" s="173"/>
    </row>
    <row r="996" spans="2:55" s="134" customFormat="1" x14ac:dyDescent="0.2">
      <c r="B996" s="145"/>
      <c r="D996" s="145"/>
      <c r="Z996" s="177"/>
      <c r="AA996" s="178"/>
      <c r="AB996" s="139"/>
      <c r="AC996" s="173"/>
      <c r="AD996" s="177"/>
      <c r="AE996" s="177"/>
      <c r="AF996" s="139"/>
      <c r="AG996" s="139"/>
      <c r="AH996" s="177"/>
      <c r="AI996" s="178"/>
      <c r="AJ996" s="139"/>
      <c r="AK996" s="173"/>
      <c r="AL996" s="177"/>
      <c r="AM996" s="178"/>
      <c r="AN996" s="173"/>
      <c r="AO996" s="173"/>
      <c r="AP996" s="173"/>
      <c r="AQ996" s="178"/>
      <c r="AR996" s="173"/>
      <c r="AS996" s="173"/>
      <c r="AT996" s="140"/>
      <c r="AX996" s="140"/>
      <c r="BB996" s="173"/>
      <c r="BC996" s="173"/>
    </row>
    <row r="997" spans="2:55" s="134" customFormat="1" x14ac:dyDescent="0.2">
      <c r="B997" s="145"/>
      <c r="D997" s="145"/>
      <c r="Z997" s="177"/>
      <c r="AA997" s="178"/>
      <c r="AB997" s="139"/>
      <c r="AC997" s="173"/>
      <c r="AD997" s="177"/>
      <c r="AE997" s="177"/>
      <c r="AF997" s="139"/>
      <c r="AG997" s="139"/>
      <c r="AH997" s="177"/>
      <c r="AI997" s="178"/>
      <c r="AJ997" s="139"/>
      <c r="AK997" s="173"/>
      <c r="AL997" s="177"/>
      <c r="AM997" s="178"/>
      <c r="AN997" s="173"/>
      <c r="AO997" s="173"/>
      <c r="AP997" s="173"/>
      <c r="AQ997" s="178"/>
      <c r="AR997" s="173"/>
      <c r="AS997" s="173"/>
      <c r="AT997" s="140"/>
      <c r="AX997" s="140"/>
      <c r="BB997" s="173"/>
      <c r="BC997" s="173"/>
    </row>
    <row r="998" spans="2:55" s="134" customFormat="1" x14ac:dyDescent="0.2">
      <c r="B998" s="145"/>
      <c r="D998" s="145"/>
      <c r="Z998" s="177"/>
      <c r="AA998" s="178"/>
      <c r="AB998" s="139"/>
      <c r="AC998" s="173"/>
      <c r="AD998" s="177"/>
      <c r="AE998" s="177"/>
      <c r="AF998" s="139"/>
      <c r="AG998" s="139"/>
      <c r="AH998" s="177"/>
      <c r="AI998" s="178"/>
      <c r="AJ998" s="139"/>
      <c r="AK998" s="173"/>
      <c r="AL998" s="177"/>
      <c r="AM998" s="178"/>
      <c r="AN998" s="173"/>
      <c r="AO998" s="173"/>
      <c r="AP998" s="173"/>
      <c r="AQ998" s="178"/>
      <c r="AR998" s="173"/>
      <c r="AS998" s="173"/>
      <c r="AT998" s="140"/>
      <c r="AX998" s="140"/>
      <c r="BB998" s="173"/>
      <c r="BC998" s="173"/>
    </row>
    <row r="999" spans="2:55" s="134" customFormat="1" x14ac:dyDescent="0.2">
      <c r="B999" s="145"/>
      <c r="D999" s="145"/>
      <c r="Z999" s="177"/>
      <c r="AA999" s="178"/>
      <c r="AB999" s="139"/>
      <c r="AC999" s="173"/>
      <c r="AD999" s="177"/>
      <c r="AE999" s="177"/>
      <c r="AF999" s="139"/>
      <c r="AG999" s="139"/>
      <c r="AH999" s="177"/>
      <c r="AI999" s="178"/>
      <c r="AJ999" s="139"/>
      <c r="AK999" s="173"/>
      <c r="AL999" s="177"/>
      <c r="AM999" s="178"/>
      <c r="AN999" s="173"/>
      <c r="AO999" s="173"/>
      <c r="AP999" s="173"/>
      <c r="AQ999" s="178"/>
      <c r="AR999" s="173"/>
      <c r="AS999" s="173"/>
      <c r="AT999" s="140"/>
      <c r="AX999" s="140"/>
      <c r="BB999" s="173"/>
      <c r="BC999" s="173"/>
    </row>
    <row r="1000" spans="2:55" s="134" customFormat="1" x14ac:dyDescent="0.2">
      <c r="B1000" s="145"/>
      <c r="D1000" s="145"/>
      <c r="Z1000" s="177"/>
      <c r="AA1000" s="178"/>
      <c r="AB1000" s="139"/>
      <c r="AC1000" s="173"/>
      <c r="AD1000" s="177"/>
      <c r="AE1000" s="177"/>
      <c r="AF1000" s="139"/>
      <c r="AG1000" s="139"/>
      <c r="AH1000" s="177"/>
      <c r="AI1000" s="178"/>
      <c r="AJ1000" s="139"/>
      <c r="AK1000" s="173"/>
      <c r="AL1000" s="177"/>
      <c r="AM1000" s="178"/>
      <c r="AN1000" s="173"/>
      <c r="AO1000" s="173"/>
      <c r="AP1000" s="173"/>
      <c r="AQ1000" s="178"/>
      <c r="AR1000" s="173"/>
      <c r="AS1000" s="173"/>
      <c r="AT1000" s="140"/>
      <c r="AX1000" s="140"/>
      <c r="BB1000" s="173"/>
      <c r="BC1000" s="173"/>
    </row>
    <row r="1001" spans="2:55" s="134" customFormat="1" x14ac:dyDescent="0.2">
      <c r="B1001" s="145"/>
      <c r="D1001" s="145"/>
      <c r="Z1001" s="177"/>
      <c r="AA1001" s="178"/>
      <c r="AB1001" s="139"/>
      <c r="AC1001" s="173"/>
      <c r="AD1001" s="177"/>
      <c r="AE1001" s="177"/>
      <c r="AF1001" s="139"/>
      <c r="AG1001" s="139"/>
      <c r="AH1001" s="177"/>
      <c r="AI1001" s="178"/>
      <c r="AJ1001" s="139"/>
      <c r="AK1001" s="173"/>
      <c r="AL1001" s="177"/>
      <c r="AM1001" s="178"/>
      <c r="AN1001" s="173"/>
      <c r="AO1001" s="173"/>
      <c r="AP1001" s="173"/>
      <c r="AQ1001" s="178"/>
      <c r="AR1001" s="173"/>
      <c r="AS1001" s="173"/>
      <c r="AT1001" s="140"/>
      <c r="AX1001" s="140"/>
      <c r="BB1001" s="173"/>
      <c r="BC1001" s="173"/>
    </row>
    <row r="1002" spans="2:55" s="134" customFormat="1" x14ac:dyDescent="0.2">
      <c r="B1002" s="145"/>
      <c r="D1002" s="145"/>
      <c r="Z1002" s="177"/>
      <c r="AA1002" s="178"/>
      <c r="AB1002" s="139"/>
      <c r="AC1002" s="173"/>
      <c r="AD1002" s="177"/>
      <c r="AE1002" s="177"/>
      <c r="AF1002" s="139"/>
      <c r="AG1002" s="139"/>
      <c r="AH1002" s="177"/>
      <c r="AI1002" s="178"/>
      <c r="AJ1002" s="139"/>
      <c r="AK1002" s="173"/>
      <c r="AL1002" s="177"/>
      <c r="AM1002" s="178"/>
      <c r="AN1002" s="173"/>
      <c r="AO1002" s="173"/>
      <c r="AP1002" s="173"/>
      <c r="AQ1002" s="178"/>
      <c r="AR1002" s="173"/>
      <c r="AS1002" s="173"/>
      <c r="AT1002" s="140"/>
      <c r="AX1002" s="140"/>
      <c r="BB1002" s="173"/>
      <c r="BC1002" s="173"/>
    </row>
    <row r="1003" spans="2:55" s="134" customFormat="1" x14ac:dyDescent="0.2">
      <c r="B1003" s="145"/>
      <c r="D1003" s="145"/>
      <c r="Z1003" s="177"/>
      <c r="AA1003" s="178"/>
      <c r="AB1003" s="139"/>
      <c r="AC1003" s="173"/>
      <c r="AD1003" s="177"/>
      <c r="AE1003" s="177"/>
      <c r="AF1003" s="139"/>
      <c r="AG1003" s="139"/>
      <c r="AH1003" s="177"/>
      <c r="AI1003" s="178"/>
      <c r="AJ1003" s="139"/>
      <c r="AK1003" s="173"/>
      <c r="AL1003" s="177"/>
      <c r="AM1003" s="178"/>
      <c r="AN1003" s="173"/>
      <c r="AO1003" s="173"/>
      <c r="AP1003" s="173"/>
      <c r="AQ1003" s="178"/>
      <c r="AR1003" s="173"/>
      <c r="AS1003" s="173"/>
      <c r="AT1003" s="140"/>
      <c r="AX1003" s="140"/>
      <c r="BB1003" s="173"/>
      <c r="BC1003" s="173"/>
    </row>
    <row r="1004" spans="2:55" s="134" customFormat="1" x14ac:dyDescent="0.2">
      <c r="B1004" s="145"/>
      <c r="D1004" s="145"/>
      <c r="Z1004" s="177"/>
      <c r="AA1004" s="178"/>
      <c r="AB1004" s="139"/>
      <c r="AC1004" s="173"/>
      <c r="AD1004" s="177"/>
      <c r="AE1004" s="177"/>
      <c r="AF1004" s="139"/>
      <c r="AG1004" s="139"/>
      <c r="AH1004" s="177"/>
      <c r="AI1004" s="178"/>
      <c r="AJ1004" s="139"/>
      <c r="AK1004" s="173"/>
      <c r="AL1004" s="177"/>
      <c r="AM1004" s="178"/>
      <c r="AN1004" s="173"/>
      <c r="AO1004" s="173"/>
      <c r="AP1004" s="173"/>
      <c r="AQ1004" s="178"/>
      <c r="AR1004" s="173"/>
      <c r="AS1004" s="173"/>
      <c r="AT1004" s="140"/>
      <c r="AX1004" s="140"/>
      <c r="BB1004" s="173"/>
      <c r="BC1004" s="173"/>
    </row>
    <row r="1005" spans="2:55" s="134" customFormat="1" x14ac:dyDescent="0.2">
      <c r="B1005" s="145"/>
      <c r="D1005" s="145"/>
      <c r="Z1005" s="177"/>
      <c r="AA1005" s="178"/>
      <c r="AB1005" s="139"/>
      <c r="AC1005" s="173"/>
      <c r="AD1005" s="177"/>
      <c r="AE1005" s="177"/>
      <c r="AF1005" s="139"/>
      <c r="AG1005" s="139"/>
      <c r="AH1005" s="177"/>
      <c r="AI1005" s="178"/>
      <c r="AJ1005" s="139"/>
      <c r="AK1005" s="173"/>
      <c r="AL1005" s="177"/>
      <c r="AM1005" s="178"/>
      <c r="AN1005" s="173"/>
      <c r="AO1005" s="173"/>
      <c r="AP1005" s="173"/>
      <c r="AQ1005" s="178"/>
      <c r="AR1005" s="173"/>
      <c r="AS1005" s="173"/>
      <c r="AT1005" s="140"/>
      <c r="AX1005" s="140"/>
      <c r="BB1005" s="173"/>
      <c r="BC1005" s="173"/>
    </row>
    <row r="1006" spans="2:55" s="134" customFormat="1" x14ac:dyDescent="0.2">
      <c r="B1006" s="145"/>
      <c r="D1006" s="145"/>
      <c r="Z1006" s="177"/>
      <c r="AA1006" s="178"/>
      <c r="AB1006" s="139"/>
      <c r="AC1006" s="173"/>
      <c r="AD1006" s="177"/>
      <c r="AE1006" s="177"/>
      <c r="AF1006" s="139"/>
      <c r="AG1006" s="139"/>
      <c r="AH1006" s="177"/>
      <c r="AI1006" s="178"/>
      <c r="AJ1006" s="139"/>
      <c r="AK1006" s="173"/>
      <c r="AL1006" s="177"/>
      <c r="AM1006" s="178"/>
      <c r="AN1006" s="173"/>
      <c r="AO1006" s="173"/>
      <c r="AP1006" s="173"/>
      <c r="AQ1006" s="178"/>
      <c r="AR1006" s="173"/>
      <c r="AS1006" s="173"/>
      <c r="AT1006" s="140"/>
      <c r="AX1006" s="140"/>
      <c r="BB1006" s="173"/>
      <c r="BC1006" s="173"/>
    </row>
    <row r="1007" spans="2:55" s="134" customFormat="1" x14ac:dyDescent="0.2">
      <c r="B1007" s="145"/>
      <c r="D1007" s="145"/>
      <c r="Z1007" s="177"/>
      <c r="AA1007" s="178"/>
      <c r="AB1007" s="139"/>
      <c r="AC1007" s="173"/>
      <c r="AD1007" s="177"/>
      <c r="AE1007" s="177"/>
      <c r="AF1007" s="139"/>
      <c r="AG1007" s="139"/>
      <c r="AH1007" s="177"/>
      <c r="AI1007" s="178"/>
      <c r="AJ1007" s="139"/>
      <c r="AK1007" s="173"/>
      <c r="AL1007" s="177"/>
      <c r="AM1007" s="178"/>
      <c r="AN1007" s="173"/>
      <c r="AO1007" s="173"/>
      <c r="AP1007" s="173"/>
      <c r="AQ1007" s="178"/>
      <c r="AR1007" s="173"/>
      <c r="AS1007" s="173"/>
      <c r="AT1007" s="140"/>
      <c r="AX1007" s="140"/>
      <c r="BB1007" s="173"/>
      <c r="BC1007" s="173"/>
    </row>
    <row r="1008" spans="2:55" s="134" customFormat="1" x14ac:dyDescent="0.2">
      <c r="B1008" s="145"/>
      <c r="D1008" s="145"/>
      <c r="Z1008" s="177"/>
      <c r="AA1008" s="178"/>
      <c r="AB1008" s="139"/>
      <c r="AC1008" s="173"/>
      <c r="AD1008" s="177"/>
      <c r="AE1008" s="177"/>
      <c r="AF1008" s="139"/>
      <c r="AG1008" s="139"/>
      <c r="AH1008" s="177"/>
      <c r="AI1008" s="178"/>
      <c r="AJ1008" s="139"/>
      <c r="AK1008" s="173"/>
      <c r="AL1008" s="177"/>
      <c r="AM1008" s="178"/>
      <c r="AN1008" s="173"/>
      <c r="AO1008" s="173"/>
      <c r="AP1008" s="173"/>
      <c r="AQ1008" s="178"/>
      <c r="AR1008" s="173"/>
      <c r="AS1008" s="173"/>
      <c r="AT1008" s="140"/>
      <c r="AX1008" s="140"/>
      <c r="BB1008" s="173"/>
      <c r="BC1008" s="173"/>
    </row>
    <row r="1009" spans="2:55" s="134" customFormat="1" x14ac:dyDescent="0.2">
      <c r="B1009" s="145"/>
      <c r="D1009" s="145"/>
      <c r="Z1009" s="177"/>
      <c r="AA1009" s="178"/>
      <c r="AB1009" s="139"/>
      <c r="AC1009" s="173"/>
      <c r="AD1009" s="177"/>
      <c r="AE1009" s="177"/>
      <c r="AF1009" s="139"/>
      <c r="AG1009" s="139"/>
      <c r="AH1009" s="177"/>
      <c r="AI1009" s="178"/>
      <c r="AJ1009" s="139"/>
      <c r="AK1009" s="173"/>
      <c r="AL1009" s="177"/>
      <c r="AM1009" s="178"/>
      <c r="AN1009" s="173"/>
      <c r="AO1009" s="173"/>
      <c r="AP1009" s="173"/>
      <c r="AQ1009" s="178"/>
      <c r="AR1009" s="173"/>
      <c r="AS1009" s="173"/>
      <c r="AT1009" s="140"/>
      <c r="AX1009" s="140"/>
      <c r="BB1009" s="173"/>
      <c r="BC1009" s="173"/>
    </row>
    <row r="1010" spans="2:55" s="134" customFormat="1" x14ac:dyDescent="0.2">
      <c r="B1010" s="145"/>
      <c r="D1010" s="145"/>
      <c r="Z1010" s="177"/>
      <c r="AA1010" s="178"/>
      <c r="AB1010" s="139"/>
      <c r="AC1010" s="173"/>
      <c r="AD1010" s="177"/>
      <c r="AE1010" s="177"/>
      <c r="AF1010" s="139"/>
      <c r="AG1010" s="139"/>
      <c r="AH1010" s="177"/>
      <c r="AI1010" s="178"/>
      <c r="AJ1010" s="139"/>
      <c r="AK1010" s="173"/>
      <c r="AL1010" s="177"/>
      <c r="AM1010" s="178"/>
      <c r="AN1010" s="173"/>
      <c r="AO1010" s="173"/>
      <c r="AP1010" s="173"/>
      <c r="AQ1010" s="178"/>
      <c r="AR1010" s="173"/>
      <c r="AS1010" s="173"/>
      <c r="AT1010" s="140"/>
      <c r="AX1010" s="140"/>
      <c r="BB1010" s="173"/>
      <c r="BC1010" s="173"/>
    </row>
    <row r="1011" spans="2:55" s="134" customFormat="1" x14ac:dyDescent="0.2">
      <c r="B1011" s="145"/>
      <c r="D1011" s="145"/>
      <c r="Z1011" s="177"/>
      <c r="AA1011" s="178"/>
      <c r="AB1011" s="139"/>
      <c r="AC1011" s="173"/>
      <c r="AD1011" s="177"/>
      <c r="AE1011" s="177"/>
      <c r="AF1011" s="139"/>
      <c r="AG1011" s="139"/>
      <c r="AH1011" s="177"/>
      <c r="AI1011" s="178"/>
      <c r="AJ1011" s="139"/>
      <c r="AK1011" s="173"/>
      <c r="AL1011" s="177"/>
      <c r="AM1011" s="178"/>
      <c r="AN1011" s="173"/>
      <c r="AO1011" s="173"/>
      <c r="AP1011" s="173"/>
      <c r="AQ1011" s="178"/>
      <c r="AR1011" s="173"/>
      <c r="AS1011" s="173"/>
      <c r="AT1011" s="140"/>
      <c r="AX1011" s="140"/>
      <c r="BB1011" s="173"/>
      <c r="BC1011" s="173"/>
    </row>
    <row r="1012" spans="2:55" s="134" customFormat="1" x14ac:dyDescent="0.2">
      <c r="B1012" s="145"/>
      <c r="D1012" s="145"/>
      <c r="Z1012" s="177"/>
      <c r="AA1012" s="178"/>
      <c r="AB1012" s="139"/>
      <c r="AC1012" s="173"/>
      <c r="AD1012" s="177"/>
      <c r="AE1012" s="177"/>
      <c r="AF1012" s="139"/>
      <c r="AG1012" s="139"/>
      <c r="AH1012" s="177"/>
      <c r="AI1012" s="178"/>
      <c r="AJ1012" s="139"/>
      <c r="AK1012" s="173"/>
      <c r="AL1012" s="177"/>
      <c r="AM1012" s="178"/>
      <c r="AN1012" s="173"/>
      <c r="AO1012" s="173"/>
      <c r="AP1012" s="173"/>
      <c r="AQ1012" s="178"/>
      <c r="AR1012" s="173"/>
      <c r="AS1012" s="173"/>
      <c r="AT1012" s="140"/>
      <c r="AX1012" s="140"/>
      <c r="BB1012" s="173"/>
      <c r="BC1012" s="173"/>
    </row>
    <row r="1013" spans="2:55" s="134" customFormat="1" x14ac:dyDescent="0.2">
      <c r="B1013" s="145"/>
      <c r="D1013" s="145"/>
      <c r="Z1013" s="177"/>
      <c r="AA1013" s="178"/>
      <c r="AB1013" s="139"/>
      <c r="AC1013" s="173"/>
      <c r="AD1013" s="177"/>
      <c r="AE1013" s="177"/>
      <c r="AF1013" s="139"/>
      <c r="AG1013" s="139"/>
      <c r="AH1013" s="177"/>
      <c r="AI1013" s="178"/>
      <c r="AJ1013" s="139"/>
      <c r="AK1013" s="173"/>
      <c r="AL1013" s="177"/>
      <c r="AM1013" s="178"/>
      <c r="AN1013" s="173"/>
      <c r="AO1013" s="173"/>
      <c r="AP1013" s="173"/>
      <c r="AQ1013" s="178"/>
      <c r="AR1013" s="173"/>
      <c r="AS1013" s="173"/>
      <c r="AT1013" s="140"/>
      <c r="AX1013" s="140"/>
      <c r="BB1013" s="173"/>
      <c r="BC1013" s="173"/>
    </row>
    <row r="1014" spans="2:55" s="134" customFormat="1" x14ac:dyDescent="0.2">
      <c r="B1014" s="145"/>
      <c r="D1014" s="145"/>
      <c r="Z1014" s="177"/>
      <c r="AA1014" s="178"/>
      <c r="AB1014" s="139"/>
      <c r="AC1014" s="173"/>
      <c r="AD1014" s="177"/>
      <c r="AE1014" s="177"/>
      <c r="AF1014" s="139"/>
      <c r="AG1014" s="139"/>
      <c r="AH1014" s="177"/>
      <c r="AI1014" s="178"/>
      <c r="AJ1014" s="139"/>
      <c r="AK1014" s="173"/>
      <c r="AL1014" s="177"/>
      <c r="AM1014" s="178"/>
      <c r="AN1014" s="173"/>
      <c r="AO1014" s="173"/>
      <c r="AP1014" s="173"/>
      <c r="AQ1014" s="178"/>
      <c r="AR1014" s="173"/>
      <c r="AS1014" s="173"/>
      <c r="AT1014" s="140"/>
      <c r="AX1014" s="140"/>
      <c r="BB1014" s="173"/>
      <c r="BC1014" s="173"/>
    </row>
    <row r="1015" spans="2:55" s="134" customFormat="1" x14ac:dyDescent="0.2">
      <c r="B1015" s="145"/>
      <c r="D1015" s="145"/>
      <c r="Z1015" s="177"/>
      <c r="AA1015" s="178"/>
      <c r="AB1015" s="139"/>
      <c r="AC1015" s="173"/>
      <c r="AD1015" s="177"/>
      <c r="AE1015" s="177"/>
      <c r="AF1015" s="139"/>
      <c r="AG1015" s="139"/>
      <c r="AH1015" s="177"/>
      <c r="AI1015" s="178"/>
      <c r="AJ1015" s="139"/>
      <c r="AK1015" s="173"/>
      <c r="AL1015" s="177"/>
      <c r="AM1015" s="178"/>
      <c r="AN1015" s="173"/>
      <c r="AO1015" s="173"/>
      <c r="AP1015" s="173"/>
      <c r="AQ1015" s="178"/>
      <c r="AR1015" s="173"/>
      <c r="AS1015" s="173"/>
      <c r="AT1015" s="140"/>
      <c r="AX1015" s="140"/>
      <c r="BB1015" s="173"/>
      <c r="BC1015" s="173"/>
    </row>
    <row r="1016" spans="2:55" s="134" customFormat="1" x14ac:dyDescent="0.2">
      <c r="B1016" s="145"/>
      <c r="D1016" s="145"/>
      <c r="Z1016" s="177"/>
      <c r="AA1016" s="178"/>
      <c r="AB1016" s="139"/>
      <c r="AC1016" s="173"/>
      <c r="AD1016" s="177"/>
      <c r="AE1016" s="177"/>
      <c r="AF1016" s="139"/>
      <c r="AG1016" s="139"/>
      <c r="AH1016" s="177"/>
      <c r="AI1016" s="178"/>
      <c r="AJ1016" s="139"/>
      <c r="AK1016" s="173"/>
      <c r="AL1016" s="177"/>
      <c r="AM1016" s="178"/>
      <c r="AN1016" s="173"/>
      <c r="AO1016" s="173"/>
      <c r="AP1016" s="173"/>
      <c r="AQ1016" s="178"/>
      <c r="AR1016" s="173"/>
      <c r="AS1016" s="173"/>
      <c r="AT1016" s="140"/>
      <c r="AX1016" s="140"/>
      <c r="BB1016" s="173"/>
      <c r="BC1016" s="173"/>
    </row>
    <row r="1017" spans="2:55" s="134" customFormat="1" x14ac:dyDescent="0.2">
      <c r="B1017" s="145"/>
      <c r="D1017" s="145"/>
      <c r="Z1017" s="177"/>
      <c r="AA1017" s="178"/>
      <c r="AB1017" s="139"/>
      <c r="AC1017" s="173"/>
      <c r="AD1017" s="177"/>
      <c r="AE1017" s="177"/>
      <c r="AF1017" s="139"/>
      <c r="AG1017" s="139"/>
      <c r="AH1017" s="177"/>
      <c r="AI1017" s="178"/>
      <c r="AJ1017" s="139"/>
      <c r="AK1017" s="173"/>
      <c r="AL1017" s="177"/>
      <c r="AM1017" s="178"/>
      <c r="AN1017" s="173"/>
      <c r="AO1017" s="173"/>
      <c r="AP1017" s="173"/>
      <c r="AQ1017" s="178"/>
      <c r="AR1017" s="173"/>
      <c r="AS1017" s="173"/>
      <c r="AT1017" s="140"/>
      <c r="AX1017" s="140"/>
      <c r="BB1017" s="173"/>
      <c r="BC1017" s="173"/>
    </row>
    <row r="1018" spans="2:55" s="134" customFormat="1" x14ac:dyDescent="0.2">
      <c r="B1018" s="145"/>
      <c r="D1018" s="145"/>
      <c r="Z1018" s="177"/>
      <c r="AA1018" s="178"/>
      <c r="AB1018" s="139"/>
      <c r="AC1018" s="173"/>
      <c r="AD1018" s="177"/>
      <c r="AE1018" s="177"/>
      <c r="AF1018" s="139"/>
      <c r="AG1018" s="139"/>
      <c r="AH1018" s="177"/>
      <c r="AI1018" s="178"/>
      <c r="AJ1018" s="139"/>
      <c r="AK1018" s="173"/>
      <c r="AL1018" s="177"/>
      <c r="AM1018" s="178"/>
      <c r="AN1018" s="173"/>
      <c r="AO1018" s="173"/>
      <c r="AP1018" s="173"/>
      <c r="AQ1018" s="178"/>
      <c r="AR1018" s="173"/>
      <c r="AS1018" s="173"/>
      <c r="AT1018" s="140"/>
      <c r="AX1018" s="140"/>
      <c r="BB1018" s="173"/>
      <c r="BC1018" s="173"/>
    </row>
    <row r="1019" spans="2:55" s="134" customFormat="1" x14ac:dyDescent="0.2">
      <c r="B1019" s="145"/>
      <c r="D1019" s="145"/>
      <c r="Z1019" s="177"/>
      <c r="AA1019" s="178"/>
      <c r="AB1019" s="139"/>
      <c r="AC1019" s="173"/>
      <c r="AD1019" s="177"/>
      <c r="AE1019" s="177"/>
      <c r="AF1019" s="139"/>
      <c r="AG1019" s="139"/>
      <c r="AH1019" s="177"/>
      <c r="AI1019" s="178"/>
      <c r="AJ1019" s="139"/>
      <c r="AK1019" s="173"/>
      <c r="AL1019" s="177"/>
      <c r="AM1019" s="178"/>
      <c r="AN1019" s="173"/>
      <c r="AO1019" s="173"/>
      <c r="AP1019" s="173"/>
      <c r="AQ1019" s="178"/>
      <c r="AR1019" s="173"/>
      <c r="AS1019" s="173"/>
      <c r="AT1019" s="140"/>
      <c r="AX1019" s="140"/>
      <c r="BB1019" s="173"/>
      <c r="BC1019" s="173"/>
    </row>
    <row r="1020" spans="2:55" s="134" customFormat="1" x14ac:dyDescent="0.2">
      <c r="B1020" s="145"/>
      <c r="D1020" s="145"/>
      <c r="Z1020" s="177"/>
      <c r="AA1020" s="178"/>
      <c r="AB1020" s="139"/>
      <c r="AC1020" s="173"/>
      <c r="AD1020" s="177"/>
      <c r="AE1020" s="177"/>
      <c r="AF1020" s="139"/>
      <c r="AG1020" s="139"/>
      <c r="AH1020" s="177"/>
      <c r="AI1020" s="178"/>
      <c r="AJ1020" s="139"/>
      <c r="AK1020" s="173"/>
      <c r="AL1020" s="177"/>
      <c r="AM1020" s="178"/>
      <c r="AN1020" s="173"/>
      <c r="AO1020" s="173"/>
      <c r="AP1020" s="173"/>
      <c r="AQ1020" s="178"/>
      <c r="AR1020" s="173"/>
      <c r="AS1020" s="173"/>
      <c r="AT1020" s="140"/>
      <c r="AX1020" s="140"/>
      <c r="BB1020" s="173"/>
      <c r="BC1020" s="173"/>
    </row>
    <row r="1021" spans="2:55" s="134" customFormat="1" x14ac:dyDescent="0.2">
      <c r="B1021" s="145"/>
      <c r="D1021" s="145"/>
      <c r="Z1021" s="177"/>
      <c r="AA1021" s="178"/>
      <c r="AB1021" s="139"/>
      <c r="AC1021" s="173"/>
      <c r="AD1021" s="177"/>
      <c r="AE1021" s="177"/>
      <c r="AF1021" s="139"/>
      <c r="AG1021" s="139"/>
      <c r="AH1021" s="177"/>
      <c r="AI1021" s="178"/>
      <c r="AJ1021" s="139"/>
      <c r="AK1021" s="173"/>
      <c r="AL1021" s="177"/>
      <c r="AM1021" s="178"/>
      <c r="AN1021" s="173"/>
      <c r="AO1021" s="173"/>
      <c r="AP1021" s="173"/>
      <c r="AQ1021" s="178"/>
      <c r="AR1021" s="173"/>
      <c r="AS1021" s="173"/>
      <c r="AT1021" s="140"/>
      <c r="AX1021" s="140"/>
      <c r="BB1021" s="173"/>
      <c r="BC1021" s="173"/>
    </row>
    <row r="1022" spans="2:55" s="134" customFormat="1" x14ac:dyDescent="0.2">
      <c r="B1022" s="145"/>
      <c r="D1022" s="145"/>
      <c r="Z1022" s="177"/>
      <c r="AA1022" s="178"/>
      <c r="AB1022" s="139"/>
      <c r="AC1022" s="173"/>
      <c r="AD1022" s="177"/>
      <c r="AE1022" s="177"/>
      <c r="AF1022" s="139"/>
      <c r="AG1022" s="139"/>
      <c r="AH1022" s="177"/>
      <c r="AI1022" s="178"/>
      <c r="AJ1022" s="139"/>
      <c r="AK1022" s="173"/>
      <c r="AL1022" s="177"/>
      <c r="AM1022" s="178"/>
      <c r="AN1022" s="173"/>
      <c r="AO1022" s="173"/>
      <c r="AP1022" s="173"/>
      <c r="AQ1022" s="178"/>
      <c r="AR1022" s="173"/>
      <c r="AS1022" s="173"/>
      <c r="AT1022" s="140"/>
      <c r="AX1022" s="140"/>
      <c r="BB1022" s="173"/>
      <c r="BC1022" s="173"/>
    </row>
    <row r="1023" spans="2:55" s="134" customFormat="1" x14ac:dyDescent="0.2">
      <c r="B1023" s="145"/>
      <c r="D1023" s="145"/>
      <c r="Z1023" s="177"/>
      <c r="AA1023" s="178"/>
      <c r="AB1023" s="139"/>
      <c r="AC1023" s="173"/>
      <c r="AD1023" s="177"/>
      <c r="AE1023" s="177"/>
      <c r="AF1023" s="139"/>
      <c r="AG1023" s="139"/>
      <c r="AH1023" s="177"/>
      <c r="AI1023" s="178"/>
      <c r="AJ1023" s="139"/>
      <c r="AK1023" s="173"/>
      <c r="AL1023" s="177"/>
      <c r="AM1023" s="178"/>
      <c r="AN1023" s="173"/>
      <c r="AO1023" s="173"/>
      <c r="AP1023" s="173"/>
      <c r="AQ1023" s="178"/>
      <c r="AR1023" s="173"/>
      <c r="AS1023" s="173"/>
      <c r="AT1023" s="140"/>
      <c r="AX1023" s="140"/>
      <c r="BB1023" s="173"/>
      <c r="BC1023" s="173"/>
    </row>
    <row r="1024" spans="2:55" s="134" customFormat="1" x14ac:dyDescent="0.2">
      <c r="B1024" s="145"/>
      <c r="D1024" s="145"/>
      <c r="Z1024" s="177"/>
      <c r="AA1024" s="178"/>
      <c r="AB1024" s="139"/>
      <c r="AC1024" s="173"/>
      <c r="AD1024" s="177"/>
      <c r="AE1024" s="177"/>
      <c r="AF1024" s="139"/>
      <c r="AG1024" s="139"/>
      <c r="AH1024" s="177"/>
      <c r="AI1024" s="178"/>
      <c r="AJ1024" s="139"/>
      <c r="AK1024" s="173"/>
      <c r="AL1024" s="177"/>
      <c r="AM1024" s="178"/>
      <c r="AN1024" s="173"/>
      <c r="AO1024" s="173"/>
      <c r="AP1024" s="173"/>
      <c r="AQ1024" s="178"/>
      <c r="AR1024" s="173"/>
      <c r="AS1024" s="173"/>
      <c r="AT1024" s="140"/>
      <c r="AX1024" s="140"/>
      <c r="BB1024" s="173"/>
      <c r="BC1024" s="173"/>
    </row>
    <row r="1025" spans="2:55" s="134" customFormat="1" x14ac:dyDescent="0.2">
      <c r="B1025" s="145"/>
      <c r="D1025" s="145"/>
      <c r="Z1025" s="177"/>
      <c r="AA1025" s="178"/>
      <c r="AB1025" s="139"/>
      <c r="AC1025" s="173"/>
      <c r="AD1025" s="177"/>
      <c r="AE1025" s="177"/>
      <c r="AF1025" s="139"/>
      <c r="AG1025" s="139"/>
      <c r="AH1025" s="177"/>
      <c r="AI1025" s="178"/>
      <c r="AJ1025" s="139"/>
      <c r="AK1025" s="173"/>
      <c r="AL1025" s="177"/>
      <c r="AM1025" s="178"/>
      <c r="AN1025" s="173"/>
      <c r="AO1025" s="173"/>
      <c r="AP1025" s="173"/>
      <c r="AQ1025" s="178"/>
      <c r="AR1025" s="173"/>
      <c r="AS1025" s="173"/>
      <c r="AT1025" s="140"/>
      <c r="AX1025" s="140"/>
      <c r="BB1025" s="173"/>
      <c r="BC1025" s="173"/>
    </row>
    <row r="1026" spans="2:55" s="134" customFormat="1" x14ac:dyDescent="0.2">
      <c r="B1026" s="145"/>
      <c r="D1026" s="145"/>
      <c r="Z1026" s="177"/>
      <c r="AA1026" s="178"/>
      <c r="AB1026" s="139"/>
      <c r="AC1026" s="173"/>
      <c r="AD1026" s="177"/>
      <c r="AE1026" s="177"/>
      <c r="AF1026" s="139"/>
      <c r="AG1026" s="139"/>
      <c r="AH1026" s="177"/>
      <c r="AI1026" s="178"/>
      <c r="AJ1026" s="139"/>
      <c r="AK1026" s="173"/>
      <c r="AL1026" s="177"/>
      <c r="AM1026" s="178"/>
      <c r="AN1026" s="173"/>
      <c r="AO1026" s="173"/>
      <c r="AP1026" s="173"/>
      <c r="AQ1026" s="178"/>
      <c r="AR1026" s="173"/>
      <c r="AS1026" s="173"/>
      <c r="AT1026" s="140"/>
      <c r="AX1026" s="140"/>
      <c r="BB1026" s="173"/>
      <c r="BC1026" s="173"/>
    </row>
    <row r="1027" spans="2:55" s="134" customFormat="1" x14ac:dyDescent="0.2">
      <c r="B1027" s="145"/>
      <c r="D1027" s="145"/>
      <c r="Z1027" s="177"/>
      <c r="AA1027" s="178"/>
      <c r="AB1027" s="139"/>
      <c r="AC1027" s="173"/>
      <c r="AD1027" s="177"/>
      <c r="AE1027" s="177"/>
      <c r="AF1027" s="139"/>
      <c r="AG1027" s="139"/>
      <c r="AH1027" s="177"/>
      <c r="AI1027" s="178"/>
      <c r="AJ1027" s="139"/>
      <c r="AK1027" s="173"/>
      <c r="AL1027" s="177"/>
      <c r="AM1027" s="178"/>
      <c r="AN1027" s="173"/>
      <c r="AO1027" s="173"/>
      <c r="AP1027" s="173"/>
      <c r="AQ1027" s="178"/>
      <c r="AR1027" s="173"/>
      <c r="AS1027" s="173"/>
      <c r="AT1027" s="140"/>
      <c r="AX1027" s="140"/>
      <c r="BB1027" s="173"/>
      <c r="BC1027" s="173"/>
    </row>
    <row r="1028" spans="2:55" s="134" customFormat="1" x14ac:dyDescent="0.2">
      <c r="B1028" s="145"/>
      <c r="D1028" s="145"/>
      <c r="Z1028" s="177"/>
      <c r="AA1028" s="178"/>
      <c r="AB1028" s="139"/>
      <c r="AC1028" s="173"/>
      <c r="AD1028" s="177"/>
      <c r="AE1028" s="177"/>
      <c r="AF1028" s="139"/>
      <c r="AG1028" s="139"/>
      <c r="AH1028" s="177"/>
      <c r="AI1028" s="178"/>
      <c r="AJ1028" s="139"/>
      <c r="AK1028" s="173"/>
      <c r="AL1028" s="177"/>
      <c r="AM1028" s="178"/>
      <c r="AN1028" s="173"/>
      <c r="AO1028" s="173"/>
      <c r="AP1028" s="173"/>
      <c r="AQ1028" s="178"/>
      <c r="AR1028" s="173"/>
      <c r="AS1028" s="173"/>
      <c r="AT1028" s="140"/>
      <c r="AX1028" s="140"/>
      <c r="BB1028" s="173"/>
      <c r="BC1028" s="173"/>
    </row>
    <row r="1029" spans="2:55" s="134" customFormat="1" x14ac:dyDescent="0.2">
      <c r="B1029" s="145"/>
      <c r="D1029" s="145"/>
      <c r="Z1029" s="177"/>
      <c r="AA1029" s="178"/>
      <c r="AB1029" s="139"/>
      <c r="AC1029" s="173"/>
      <c r="AD1029" s="177"/>
      <c r="AE1029" s="177"/>
      <c r="AF1029" s="139"/>
      <c r="AG1029" s="139"/>
      <c r="AH1029" s="177"/>
      <c r="AI1029" s="178"/>
      <c r="AJ1029" s="139"/>
      <c r="AK1029" s="173"/>
      <c r="AL1029" s="177"/>
      <c r="AM1029" s="178"/>
      <c r="AN1029" s="173"/>
      <c r="AO1029" s="173"/>
      <c r="AP1029" s="173"/>
      <c r="AQ1029" s="178"/>
      <c r="AR1029" s="173"/>
      <c r="AS1029" s="173"/>
      <c r="AT1029" s="140"/>
      <c r="AX1029" s="140"/>
      <c r="BB1029" s="173"/>
      <c r="BC1029" s="173"/>
    </row>
    <row r="1030" spans="2:55" s="134" customFormat="1" x14ac:dyDescent="0.2">
      <c r="B1030" s="145"/>
      <c r="D1030" s="145"/>
      <c r="Z1030" s="177"/>
      <c r="AA1030" s="178"/>
      <c r="AB1030" s="139"/>
      <c r="AC1030" s="173"/>
      <c r="AD1030" s="177"/>
      <c r="AE1030" s="177"/>
      <c r="AF1030" s="139"/>
      <c r="AG1030" s="139"/>
      <c r="AH1030" s="177"/>
      <c r="AI1030" s="178"/>
      <c r="AJ1030" s="139"/>
      <c r="AK1030" s="173"/>
      <c r="AL1030" s="177"/>
      <c r="AM1030" s="178"/>
      <c r="AN1030" s="173"/>
      <c r="AO1030" s="173"/>
      <c r="AP1030" s="173"/>
      <c r="AQ1030" s="178"/>
      <c r="AR1030" s="173"/>
      <c r="AS1030" s="173"/>
      <c r="AT1030" s="140"/>
      <c r="AX1030" s="140"/>
      <c r="BB1030" s="173"/>
      <c r="BC1030" s="173"/>
    </row>
    <row r="1031" spans="2:55" s="134" customFormat="1" x14ac:dyDescent="0.2">
      <c r="B1031" s="145"/>
      <c r="D1031" s="145"/>
      <c r="Z1031" s="177"/>
      <c r="AA1031" s="178"/>
      <c r="AB1031" s="139"/>
      <c r="AC1031" s="173"/>
      <c r="AD1031" s="177"/>
      <c r="AE1031" s="177"/>
      <c r="AF1031" s="139"/>
      <c r="AG1031" s="139"/>
      <c r="AH1031" s="177"/>
      <c r="AI1031" s="178"/>
      <c r="AJ1031" s="139"/>
      <c r="AK1031" s="173"/>
      <c r="AL1031" s="177"/>
      <c r="AM1031" s="178"/>
      <c r="AN1031" s="173"/>
      <c r="AO1031" s="173"/>
      <c r="AP1031" s="173"/>
      <c r="AQ1031" s="178"/>
      <c r="AR1031" s="173"/>
      <c r="AS1031" s="173"/>
      <c r="AT1031" s="140"/>
      <c r="AX1031" s="140"/>
      <c r="BB1031" s="173"/>
      <c r="BC1031" s="173"/>
    </row>
    <row r="1032" spans="2:55" s="134" customFormat="1" x14ac:dyDescent="0.2">
      <c r="B1032" s="145"/>
      <c r="D1032" s="145"/>
      <c r="Z1032" s="177"/>
      <c r="AA1032" s="178"/>
      <c r="AB1032" s="139"/>
      <c r="AC1032" s="173"/>
      <c r="AD1032" s="177"/>
      <c r="AE1032" s="177"/>
      <c r="AF1032" s="139"/>
      <c r="AG1032" s="139"/>
      <c r="AH1032" s="177"/>
      <c r="AI1032" s="178"/>
      <c r="AJ1032" s="139"/>
      <c r="AK1032" s="173"/>
      <c r="AL1032" s="177"/>
      <c r="AM1032" s="178"/>
      <c r="AN1032" s="173"/>
      <c r="AO1032" s="173"/>
      <c r="AP1032" s="173"/>
      <c r="AQ1032" s="178"/>
      <c r="AR1032" s="173"/>
      <c r="AS1032" s="173"/>
      <c r="AT1032" s="140"/>
      <c r="AX1032" s="140"/>
      <c r="BB1032" s="173"/>
      <c r="BC1032" s="173"/>
    </row>
    <row r="1033" spans="2:55" s="134" customFormat="1" x14ac:dyDescent="0.2">
      <c r="B1033" s="145"/>
      <c r="D1033" s="145"/>
      <c r="Z1033" s="177"/>
      <c r="AA1033" s="178"/>
      <c r="AB1033" s="139"/>
      <c r="AC1033" s="173"/>
      <c r="AD1033" s="177"/>
      <c r="AE1033" s="177"/>
      <c r="AF1033" s="139"/>
      <c r="AG1033" s="139"/>
      <c r="AH1033" s="177"/>
      <c r="AI1033" s="178"/>
      <c r="AJ1033" s="139"/>
      <c r="AK1033" s="173"/>
      <c r="AL1033" s="177"/>
      <c r="AM1033" s="178"/>
      <c r="AN1033" s="173"/>
      <c r="AO1033" s="173"/>
      <c r="AP1033" s="173"/>
      <c r="AQ1033" s="178"/>
      <c r="AR1033" s="173"/>
      <c r="AS1033" s="173"/>
      <c r="AT1033" s="140"/>
      <c r="AX1033" s="140"/>
      <c r="BB1033" s="173"/>
      <c r="BC1033" s="173"/>
    </row>
    <row r="1034" spans="2:55" s="134" customFormat="1" x14ac:dyDescent="0.2">
      <c r="B1034" s="145"/>
      <c r="D1034" s="145"/>
      <c r="Z1034" s="177"/>
      <c r="AA1034" s="178"/>
      <c r="AB1034" s="139"/>
      <c r="AC1034" s="173"/>
      <c r="AD1034" s="177"/>
      <c r="AE1034" s="177"/>
      <c r="AF1034" s="139"/>
      <c r="AG1034" s="139"/>
      <c r="AH1034" s="177"/>
      <c r="AI1034" s="178"/>
      <c r="AJ1034" s="139"/>
      <c r="AK1034" s="173"/>
      <c r="AL1034" s="177"/>
      <c r="AM1034" s="178"/>
      <c r="AN1034" s="173"/>
      <c r="AO1034" s="173"/>
      <c r="AP1034" s="173"/>
      <c r="AQ1034" s="178"/>
      <c r="AR1034" s="173"/>
      <c r="AS1034" s="173"/>
      <c r="AT1034" s="140"/>
      <c r="AX1034" s="140"/>
      <c r="BB1034" s="173"/>
      <c r="BC1034" s="173"/>
    </row>
    <row r="1035" spans="2:55" s="134" customFormat="1" x14ac:dyDescent="0.2">
      <c r="B1035" s="145"/>
      <c r="D1035" s="145"/>
      <c r="Z1035" s="177"/>
      <c r="AA1035" s="178"/>
      <c r="AB1035" s="139"/>
      <c r="AC1035" s="173"/>
      <c r="AD1035" s="177"/>
      <c r="AE1035" s="177"/>
      <c r="AF1035" s="139"/>
      <c r="AG1035" s="139"/>
      <c r="AH1035" s="177"/>
      <c r="AI1035" s="178"/>
      <c r="AJ1035" s="139"/>
      <c r="AK1035" s="173"/>
      <c r="AL1035" s="177"/>
      <c r="AM1035" s="178"/>
      <c r="AN1035" s="173"/>
      <c r="AO1035" s="173"/>
      <c r="AP1035" s="173"/>
      <c r="AQ1035" s="178"/>
      <c r="AR1035" s="173"/>
      <c r="AS1035" s="173"/>
      <c r="AT1035" s="140"/>
      <c r="AX1035" s="140"/>
      <c r="BB1035" s="173"/>
      <c r="BC1035" s="173"/>
    </row>
    <row r="1036" spans="2:55" s="134" customFormat="1" x14ac:dyDescent="0.2">
      <c r="B1036" s="145"/>
      <c r="D1036" s="145"/>
      <c r="Z1036" s="177"/>
      <c r="AA1036" s="178"/>
      <c r="AB1036" s="139"/>
      <c r="AC1036" s="173"/>
      <c r="AD1036" s="177"/>
      <c r="AE1036" s="177"/>
      <c r="AF1036" s="139"/>
      <c r="AG1036" s="139"/>
      <c r="AH1036" s="177"/>
      <c r="AI1036" s="178"/>
      <c r="AJ1036" s="139"/>
      <c r="AK1036" s="173"/>
      <c r="AL1036" s="177"/>
      <c r="AM1036" s="178"/>
      <c r="AN1036" s="173"/>
      <c r="AO1036" s="173"/>
      <c r="AP1036" s="173"/>
      <c r="AQ1036" s="178"/>
      <c r="AR1036" s="173"/>
      <c r="AS1036" s="173"/>
      <c r="AT1036" s="140"/>
      <c r="AX1036" s="140"/>
      <c r="BB1036" s="173"/>
      <c r="BC1036" s="173"/>
    </row>
    <row r="1037" spans="2:55" s="134" customFormat="1" x14ac:dyDescent="0.2">
      <c r="B1037" s="145"/>
      <c r="D1037" s="145"/>
      <c r="Z1037" s="177"/>
      <c r="AA1037" s="178"/>
      <c r="AB1037" s="139"/>
      <c r="AC1037" s="173"/>
      <c r="AD1037" s="177"/>
      <c r="AE1037" s="177"/>
      <c r="AF1037" s="139"/>
      <c r="AG1037" s="139"/>
      <c r="AH1037" s="177"/>
      <c r="AI1037" s="178"/>
      <c r="AJ1037" s="139"/>
      <c r="AK1037" s="173"/>
      <c r="AL1037" s="177"/>
      <c r="AM1037" s="178"/>
      <c r="AN1037" s="173"/>
      <c r="AO1037" s="173"/>
      <c r="AP1037" s="173"/>
      <c r="AQ1037" s="178"/>
      <c r="AR1037" s="173"/>
      <c r="AS1037" s="173"/>
      <c r="AT1037" s="140"/>
      <c r="AX1037" s="140"/>
      <c r="BB1037" s="173"/>
      <c r="BC1037" s="173"/>
    </row>
    <row r="1038" spans="2:55" s="134" customFormat="1" x14ac:dyDescent="0.2">
      <c r="B1038" s="145"/>
      <c r="D1038" s="145"/>
      <c r="Z1038" s="177"/>
      <c r="AA1038" s="178"/>
      <c r="AB1038" s="139"/>
      <c r="AC1038" s="173"/>
      <c r="AD1038" s="177"/>
      <c r="AE1038" s="177"/>
      <c r="AF1038" s="139"/>
      <c r="AG1038" s="139"/>
      <c r="AH1038" s="177"/>
      <c r="AI1038" s="178"/>
      <c r="AJ1038" s="139"/>
      <c r="AK1038" s="173"/>
      <c r="AL1038" s="177"/>
      <c r="AM1038" s="178"/>
      <c r="AN1038" s="173"/>
      <c r="AO1038" s="173"/>
      <c r="AP1038" s="173"/>
      <c r="AQ1038" s="178"/>
      <c r="AR1038" s="173"/>
      <c r="AS1038" s="173"/>
      <c r="AT1038" s="140"/>
      <c r="AX1038" s="140"/>
      <c r="BB1038" s="173"/>
      <c r="BC1038" s="173"/>
    </row>
    <row r="1039" spans="2:55" s="134" customFormat="1" x14ac:dyDescent="0.2">
      <c r="B1039" s="145"/>
      <c r="D1039" s="145"/>
      <c r="Z1039" s="177"/>
      <c r="AA1039" s="178"/>
      <c r="AB1039" s="139"/>
      <c r="AC1039" s="173"/>
      <c r="AD1039" s="177"/>
      <c r="AE1039" s="177"/>
      <c r="AF1039" s="139"/>
      <c r="AG1039" s="139"/>
      <c r="AH1039" s="177"/>
      <c r="AI1039" s="178"/>
      <c r="AJ1039" s="139"/>
      <c r="AK1039" s="173"/>
      <c r="AL1039" s="177"/>
      <c r="AM1039" s="178"/>
      <c r="AN1039" s="173"/>
      <c r="AO1039" s="173"/>
      <c r="AP1039" s="173"/>
      <c r="AQ1039" s="178"/>
      <c r="AR1039" s="173"/>
      <c r="AS1039" s="173"/>
      <c r="AT1039" s="140"/>
      <c r="AX1039" s="140"/>
      <c r="BB1039" s="173"/>
      <c r="BC1039" s="173"/>
    </row>
    <row r="1040" spans="2:55" s="134" customFormat="1" x14ac:dyDescent="0.2">
      <c r="B1040" s="145"/>
      <c r="D1040" s="145"/>
      <c r="Z1040" s="177"/>
      <c r="AA1040" s="178"/>
      <c r="AB1040" s="139"/>
      <c r="AC1040" s="173"/>
      <c r="AD1040" s="177"/>
      <c r="AE1040" s="177"/>
      <c r="AF1040" s="139"/>
      <c r="AG1040" s="139"/>
      <c r="AH1040" s="177"/>
      <c r="AI1040" s="178"/>
      <c r="AJ1040" s="139"/>
      <c r="AK1040" s="173"/>
      <c r="AL1040" s="177"/>
      <c r="AM1040" s="178"/>
      <c r="AN1040" s="173"/>
      <c r="AO1040" s="173"/>
      <c r="AP1040" s="173"/>
      <c r="AQ1040" s="178"/>
      <c r="AR1040" s="173"/>
      <c r="AS1040" s="173"/>
      <c r="AT1040" s="140"/>
      <c r="AX1040" s="140"/>
      <c r="BB1040" s="173"/>
      <c r="BC1040" s="173"/>
    </row>
    <row r="1041" spans="2:55" s="134" customFormat="1" x14ac:dyDescent="0.2">
      <c r="B1041" s="145"/>
      <c r="D1041" s="145"/>
      <c r="Z1041" s="177"/>
      <c r="AA1041" s="178"/>
      <c r="AB1041" s="139"/>
      <c r="AC1041" s="173"/>
      <c r="AD1041" s="177"/>
      <c r="AE1041" s="177"/>
      <c r="AF1041" s="139"/>
      <c r="AG1041" s="139"/>
      <c r="AH1041" s="177"/>
      <c r="AI1041" s="178"/>
      <c r="AJ1041" s="139"/>
      <c r="AK1041" s="173"/>
      <c r="AL1041" s="177"/>
      <c r="AM1041" s="178"/>
      <c r="AN1041" s="173"/>
      <c r="AO1041" s="173"/>
      <c r="AP1041" s="173"/>
      <c r="AQ1041" s="178"/>
      <c r="AR1041" s="173"/>
      <c r="AS1041" s="173"/>
      <c r="AT1041" s="140"/>
      <c r="AX1041" s="140"/>
      <c r="BB1041" s="173"/>
      <c r="BC1041" s="173"/>
    </row>
    <row r="1042" spans="2:55" s="134" customFormat="1" x14ac:dyDescent="0.2">
      <c r="B1042" s="145"/>
      <c r="D1042" s="145"/>
      <c r="Z1042" s="177"/>
      <c r="AA1042" s="178"/>
      <c r="AB1042" s="139"/>
      <c r="AC1042" s="173"/>
      <c r="AD1042" s="177"/>
      <c r="AE1042" s="177"/>
      <c r="AF1042" s="139"/>
      <c r="AG1042" s="139"/>
      <c r="AH1042" s="177"/>
      <c r="AI1042" s="178"/>
      <c r="AJ1042" s="139"/>
      <c r="AK1042" s="173"/>
      <c r="AL1042" s="177"/>
      <c r="AM1042" s="178"/>
      <c r="AN1042" s="173"/>
      <c r="AO1042" s="173"/>
      <c r="AP1042" s="173"/>
      <c r="AQ1042" s="178"/>
      <c r="AR1042" s="173"/>
      <c r="AS1042" s="173"/>
      <c r="AT1042" s="140"/>
      <c r="AX1042" s="140"/>
      <c r="BB1042" s="173"/>
      <c r="BC1042" s="173"/>
    </row>
    <row r="1043" spans="2:55" s="134" customFormat="1" x14ac:dyDescent="0.2">
      <c r="B1043" s="145"/>
      <c r="D1043" s="145"/>
      <c r="Z1043" s="177"/>
      <c r="AA1043" s="178"/>
      <c r="AB1043" s="139"/>
      <c r="AC1043" s="173"/>
      <c r="AD1043" s="177"/>
      <c r="AE1043" s="177"/>
      <c r="AF1043" s="139"/>
      <c r="AG1043" s="139"/>
      <c r="AH1043" s="177"/>
      <c r="AI1043" s="178"/>
      <c r="AJ1043" s="139"/>
      <c r="AK1043" s="173"/>
      <c r="AL1043" s="177"/>
      <c r="AM1043" s="178"/>
      <c r="AN1043" s="173"/>
      <c r="AO1043" s="173"/>
      <c r="AP1043" s="173"/>
      <c r="AQ1043" s="178"/>
      <c r="AR1043" s="173"/>
      <c r="AS1043" s="173"/>
      <c r="AT1043" s="140"/>
      <c r="AX1043" s="140"/>
      <c r="BB1043" s="173"/>
      <c r="BC1043" s="173"/>
    </row>
    <row r="1044" spans="2:55" s="134" customFormat="1" x14ac:dyDescent="0.2">
      <c r="B1044" s="145"/>
      <c r="D1044" s="145"/>
      <c r="Z1044" s="177"/>
      <c r="AA1044" s="178"/>
      <c r="AB1044" s="139"/>
      <c r="AC1044" s="173"/>
      <c r="AD1044" s="177"/>
      <c r="AE1044" s="177"/>
      <c r="AF1044" s="139"/>
      <c r="AG1044" s="139"/>
      <c r="AH1044" s="177"/>
      <c r="AI1044" s="178"/>
      <c r="AJ1044" s="139"/>
      <c r="AK1044" s="173"/>
      <c r="AL1044" s="177"/>
      <c r="AM1044" s="178"/>
      <c r="AN1044" s="173"/>
      <c r="AO1044" s="173"/>
      <c r="AP1044" s="173"/>
      <c r="AQ1044" s="178"/>
      <c r="AR1044" s="173"/>
      <c r="AS1044" s="173"/>
      <c r="AT1044" s="140"/>
      <c r="AX1044" s="140"/>
      <c r="BB1044" s="173"/>
      <c r="BC1044" s="173"/>
    </row>
    <row r="1045" spans="2:55" s="134" customFormat="1" x14ac:dyDescent="0.2">
      <c r="B1045" s="145"/>
      <c r="D1045" s="145"/>
      <c r="Z1045" s="177"/>
      <c r="AA1045" s="178"/>
      <c r="AB1045" s="139"/>
      <c r="AC1045" s="173"/>
      <c r="AD1045" s="177"/>
      <c r="AE1045" s="177"/>
      <c r="AF1045" s="139"/>
      <c r="AG1045" s="139"/>
      <c r="AH1045" s="177"/>
      <c r="AI1045" s="178"/>
      <c r="AJ1045" s="139"/>
      <c r="AK1045" s="173"/>
      <c r="AL1045" s="177"/>
      <c r="AM1045" s="178"/>
      <c r="AN1045" s="173"/>
      <c r="AO1045" s="173"/>
      <c r="AP1045" s="173"/>
      <c r="AQ1045" s="178"/>
      <c r="AR1045" s="173"/>
      <c r="AS1045" s="173"/>
      <c r="AT1045" s="140"/>
      <c r="AX1045" s="140"/>
      <c r="BB1045" s="173"/>
      <c r="BC1045" s="173"/>
    </row>
    <row r="1046" spans="2:55" s="134" customFormat="1" x14ac:dyDescent="0.2">
      <c r="B1046" s="145"/>
      <c r="D1046" s="145"/>
      <c r="Z1046" s="177"/>
      <c r="AA1046" s="178"/>
      <c r="AB1046" s="139"/>
      <c r="AC1046" s="173"/>
      <c r="AD1046" s="177"/>
      <c r="AE1046" s="177"/>
      <c r="AF1046" s="139"/>
      <c r="AG1046" s="139"/>
      <c r="AH1046" s="177"/>
      <c r="AI1046" s="178"/>
      <c r="AJ1046" s="139"/>
      <c r="AK1046" s="173"/>
      <c r="AL1046" s="177"/>
      <c r="AM1046" s="178"/>
      <c r="AN1046" s="173"/>
      <c r="AO1046" s="173"/>
      <c r="AP1046" s="173"/>
      <c r="AQ1046" s="178"/>
      <c r="AR1046" s="173"/>
      <c r="AS1046" s="173"/>
      <c r="AT1046" s="140"/>
      <c r="AX1046" s="140"/>
      <c r="BB1046" s="173"/>
      <c r="BC1046" s="173"/>
    </row>
    <row r="1047" spans="2:55" s="134" customFormat="1" x14ac:dyDescent="0.2">
      <c r="B1047" s="145"/>
      <c r="D1047" s="145"/>
      <c r="Z1047" s="177"/>
      <c r="AA1047" s="178"/>
      <c r="AB1047" s="139"/>
      <c r="AC1047" s="173"/>
      <c r="AD1047" s="177"/>
      <c r="AE1047" s="177"/>
      <c r="AF1047" s="139"/>
      <c r="AG1047" s="139"/>
      <c r="AH1047" s="177"/>
      <c r="AI1047" s="178"/>
      <c r="AJ1047" s="139"/>
      <c r="AK1047" s="173"/>
      <c r="AL1047" s="177"/>
      <c r="AM1047" s="178"/>
      <c r="AN1047" s="173"/>
      <c r="AO1047" s="173"/>
      <c r="AP1047" s="173"/>
      <c r="AQ1047" s="178"/>
      <c r="AR1047" s="173"/>
      <c r="AS1047" s="173"/>
      <c r="AT1047" s="140"/>
      <c r="AX1047" s="140"/>
      <c r="BB1047" s="173"/>
      <c r="BC1047" s="173"/>
    </row>
    <row r="1048" spans="2:55" s="134" customFormat="1" x14ac:dyDescent="0.2">
      <c r="B1048" s="145"/>
      <c r="D1048" s="145"/>
      <c r="Z1048" s="177"/>
      <c r="AA1048" s="178"/>
      <c r="AB1048" s="139"/>
      <c r="AC1048" s="173"/>
      <c r="AD1048" s="177"/>
      <c r="AE1048" s="177"/>
      <c r="AF1048" s="139"/>
      <c r="AG1048" s="139"/>
      <c r="AH1048" s="177"/>
      <c r="AI1048" s="178"/>
      <c r="AJ1048" s="139"/>
      <c r="AK1048" s="173"/>
      <c r="AL1048" s="177"/>
      <c r="AM1048" s="178"/>
      <c r="AN1048" s="173"/>
      <c r="AO1048" s="173"/>
      <c r="AP1048" s="173"/>
      <c r="AQ1048" s="178"/>
      <c r="AR1048" s="173"/>
      <c r="AS1048" s="173"/>
      <c r="AT1048" s="140"/>
      <c r="AX1048" s="140"/>
      <c r="BB1048" s="173"/>
      <c r="BC1048" s="173"/>
    </row>
    <row r="1049" spans="2:55" s="134" customFormat="1" x14ac:dyDescent="0.2">
      <c r="B1049" s="145"/>
      <c r="D1049" s="145"/>
      <c r="Z1049" s="177"/>
      <c r="AA1049" s="178"/>
      <c r="AB1049" s="139"/>
      <c r="AC1049" s="173"/>
      <c r="AD1049" s="177"/>
      <c r="AE1049" s="177"/>
      <c r="AF1049" s="139"/>
      <c r="AG1049" s="139"/>
      <c r="AH1049" s="177"/>
      <c r="AI1049" s="178"/>
      <c r="AJ1049" s="139"/>
      <c r="AK1049" s="173"/>
      <c r="AL1049" s="177"/>
      <c r="AM1049" s="178"/>
      <c r="AN1049" s="173"/>
      <c r="AO1049" s="173"/>
      <c r="AP1049" s="173"/>
      <c r="AQ1049" s="178"/>
      <c r="AR1049" s="173"/>
      <c r="AS1049" s="173"/>
      <c r="AT1049" s="140"/>
      <c r="AX1049" s="140"/>
      <c r="BB1049" s="173"/>
      <c r="BC1049" s="173"/>
    </row>
    <row r="1050" spans="2:55" s="134" customFormat="1" x14ac:dyDescent="0.2">
      <c r="B1050" s="145"/>
      <c r="D1050" s="145"/>
      <c r="Z1050" s="177"/>
      <c r="AA1050" s="178"/>
      <c r="AB1050" s="139"/>
      <c r="AC1050" s="173"/>
      <c r="AD1050" s="177"/>
      <c r="AE1050" s="177"/>
      <c r="AF1050" s="139"/>
      <c r="AG1050" s="139"/>
      <c r="AH1050" s="177"/>
      <c r="AI1050" s="178"/>
      <c r="AJ1050" s="139"/>
      <c r="AK1050" s="173"/>
      <c r="AL1050" s="177"/>
      <c r="AM1050" s="178"/>
      <c r="AN1050" s="173"/>
      <c r="AO1050" s="173"/>
      <c r="AP1050" s="173"/>
      <c r="AQ1050" s="178"/>
      <c r="AR1050" s="173"/>
      <c r="AS1050" s="173"/>
      <c r="AT1050" s="140"/>
      <c r="AX1050" s="140"/>
      <c r="BB1050" s="173"/>
      <c r="BC1050" s="173"/>
    </row>
    <row r="1051" spans="2:55" s="134" customFormat="1" x14ac:dyDescent="0.2">
      <c r="B1051" s="145"/>
      <c r="D1051" s="145"/>
      <c r="Z1051" s="177"/>
      <c r="AA1051" s="178"/>
      <c r="AB1051" s="139"/>
      <c r="AC1051" s="173"/>
      <c r="AD1051" s="177"/>
      <c r="AE1051" s="177"/>
      <c r="AF1051" s="139"/>
      <c r="AG1051" s="139"/>
      <c r="AH1051" s="177"/>
      <c r="AI1051" s="178"/>
      <c r="AJ1051" s="139"/>
      <c r="AK1051" s="173"/>
      <c r="AL1051" s="177"/>
      <c r="AM1051" s="178"/>
      <c r="AN1051" s="173"/>
      <c r="AO1051" s="173"/>
      <c r="AP1051" s="173"/>
      <c r="AQ1051" s="178"/>
      <c r="AR1051" s="173"/>
      <c r="AS1051" s="173"/>
      <c r="AT1051" s="140"/>
      <c r="AX1051" s="140"/>
      <c r="BB1051" s="173"/>
      <c r="BC1051" s="173"/>
    </row>
    <row r="1052" spans="2:55" s="134" customFormat="1" x14ac:dyDescent="0.2">
      <c r="B1052" s="145"/>
      <c r="D1052" s="145"/>
      <c r="Z1052" s="177"/>
      <c r="AA1052" s="178"/>
      <c r="AB1052" s="139"/>
      <c r="AC1052" s="173"/>
      <c r="AD1052" s="177"/>
      <c r="AE1052" s="177"/>
      <c r="AF1052" s="139"/>
      <c r="AG1052" s="139"/>
      <c r="AH1052" s="177"/>
      <c r="AI1052" s="178"/>
      <c r="AJ1052" s="139"/>
      <c r="AK1052" s="173"/>
      <c r="AL1052" s="177"/>
      <c r="AM1052" s="178"/>
      <c r="AN1052" s="173"/>
      <c r="AO1052" s="173"/>
      <c r="AP1052" s="173"/>
      <c r="AQ1052" s="178"/>
      <c r="AR1052" s="173"/>
      <c r="AS1052" s="173"/>
      <c r="AT1052" s="140"/>
      <c r="AX1052" s="140"/>
      <c r="BB1052" s="173"/>
      <c r="BC1052" s="173"/>
    </row>
    <row r="1053" spans="2:55" s="134" customFormat="1" x14ac:dyDescent="0.2">
      <c r="B1053" s="145"/>
      <c r="D1053" s="145"/>
      <c r="Z1053" s="177"/>
      <c r="AA1053" s="178"/>
      <c r="AB1053" s="139"/>
      <c r="AC1053" s="173"/>
      <c r="AD1053" s="177"/>
      <c r="AE1053" s="177"/>
      <c r="AF1053" s="139"/>
      <c r="AG1053" s="139"/>
      <c r="AH1053" s="177"/>
      <c r="AI1053" s="178"/>
      <c r="AJ1053" s="139"/>
      <c r="AK1053" s="173"/>
      <c r="AL1053" s="177"/>
      <c r="AM1053" s="178"/>
      <c r="AN1053" s="173"/>
      <c r="AO1053" s="173"/>
      <c r="AP1053" s="173"/>
      <c r="AQ1053" s="178"/>
      <c r="AR1053" s="173"/>
      <c r="AS1053" s="173"/>
      <c r="AT1053" s="140"/>
      <c r="AX1053" s="140"/>
      <c r="BB1053" s="173"/>
      <c r="BC1053" s="173"/>
    </row>
    <row r="1054" spans="2:55" s="134" customFormat="1" x14ac:dyDescent="0.2">
      <c r="B1054" s="145"/>
      <c r="D1054" s="145"/>
      <c r="Z1054" s="177"/>
      <c r="AA1054" s="178"/>
      <c r="AB1054" s="139"/>
      <c r="AC1054" s="173"/>
      <c r="AD1054" s="177"/>
      <c r="AE1054" s="177"/>
      <c r="AF1054" s="139"/>
      <c r="AG1054" s="139"/>
      <c r="AH1054" s="177"/>
      <c r="AI1054" s="178"/>
      <c r="AJ1054" s="139"/>
      <c r="AK1054" s="173"/>
      <c r="AL1054" s="177"/>
      <c r="AM1054" s="178"/>
      <c r="AN1054" s="173"/>
      <c r="AO1054" s="173"/>
      <c r="AP1054" s="173"/>
      <c r="AQ1054" s="178"/>
      <c r="AR1054" s="173"/>
      <c r="AS1054" s="173"/>
      <c r="AT1054" s="140"/>
      <c r="AX1054" s="140"/>
      <c r="BB1054" s="173"/>
      <c r="BC1054" s="173"/>
    </row>
    <row r="1055" spans="2:55" s="134" customFormat="1" x14ac:dyDescent="0.2">
      <c r="B1055" s="145"/>
      <c r="D1055" s="145"/>
      <c r="Z1055" s="177"/>
      <c r="AA1055" s="178"/>
      <c r="AB1055" s="139"/>
      <c r="AC1055" s="173"/>
      <c r="AD1055" s="177"/>
      <c r="AE1055" s="177"/>
      <c r="AF1055" s="139"/>
      <c r="AG1055" s="139"/>
      <c r="AH1055" s="177"/>
      <c r="AI1055" s="178"/>
      <c r="AJ1055" s="139"/>
      <c r="AK1055" s="173"/>
      <c r="AL1055" s="177"/>
      <c r="AM1055" s="178"/>
      <c r="AN1055" s="173"/>
      <c r="AO1055" s="173"/>
      <c r="AP1055" s="173"/>
      <c r="AQ1055" s="178"/>
      <c r="AR1055" s="173"/>
      <c r="AS1055" s="173"/>
      <c r="AT1055" s="140"/>
      <c r="AX1055" s="140"/>
      <c r="BB1055" s="173"/>
      <c r="BC1055" s="173"/>
    </row>
    <row r="1056" spans="2:55" s="134" customFormat="1" x14ac:dyDescent="0.2">
      <c r="B1056" s="145"/>
      <c r="D1056" s="145"/>
      <c r="Z1056" s="177"/>
      <c r="AA1056" s="178"/>
      <c r="AB1056" s="139"/>
      <c r="AC1056" s="173"/>
      <c r="AD1056" s="177"/>
      <c r="AE1056" s="177"/>
      <c r="AF1056" s="139"/>
      <c r="AG1056" s="139"/>
      <c r="AH1056" s="177"/>
      <c r="AI1056" s="178"/>
      <c r="AJ1056" s="139"/>
      <c r="AK1056" s="173"/>
      <c r="AL1056" s="177"/>
      <c r="AM1056" s="178"/>
      <c r="AN1056" s="173"/>
      <c r="AO1056" s="173"/>
      <c r="AP1056" s="173"/>
      <c r="AQ1056" s="178"/>
      <c r="AR1056" s="173"/>
      <c r="AS1056" s="173"/>
      <c r="AT1056" s="140"/>
      <c r="AX1056" s="140"/>
      <c r="BB1056" s="173"/>
      <c r="BC1056" s="173"/>
    </row>
    <row r="1057" spans="2:55" s="134" customFormat="1" x14ac:dyDescent="0.2">
      <c r="B1057" s="145"/>
      <c r="D1057" s="145"/>
      <c r="Z1057" s="177"/>
      <c r="AA1057" s="178"/>
      <c r="AB1057" s="139"/>
      <c r="AC1057" s="173"/>
      <c r="AD1057" s="177"/>
      <c r="AE1057" s="177"/>
      <c r="AF1057" s="139"/>
      <c r="AG1057" s="139"/>
      <c r="AH1057" s="177"/>
      <c r="AI1057" s="178"/>
      <c r="AJ1057" s="139"/>
      <c r="AK1057" s="173"/>
      <c r="AL1057" s="177"/>
      <c r="AM1057" s="178"/>
      <c r="AN1057" s="173"/>
      <c r="AO1057" s="173"/>
      <c r="AP1057" s="173"/>
      <c r="AQ1057" s="178"/>
      <c r="AR1057" s="173"/>
      <c r="AS1057" s="173"/>
      <c r="AT1057" s="140"/>
      <c r="AX1057" s="140"/>
      <c r="BB1057" s="173"/>
      <c r="BC1057" s="173"/>
    </row>
    <row r="1058" spans="2:55" s="134" customFormat="1" x14ac:dyDescent="0.2">
      <c r="B1058" s="145"/>
      <c r="D1058" s="145"/>
      <c r="Z1058" s="177"/>
      <c r="AA1058" s="178"/>
      <c r="AB1058" s="139"/>
      <c r="AC1058" s="173"/>
      <c r="AD1058" s="177"/>
      <c r="AE1058" s="177"/>
      <c r="AF1058" s="139"/>
      <c r="AG1058" s="139"/>
      <c r="AH1058" s="177"/>
      <c r="AI1058" s="178"/>
      <c r="AJ1058" s="139"/>
      <c r="AK1058" s="173"/>
      <c r="AL1058" s="177"/>
      <c r="AM1058" s="178"/>
      <c r="AN1058" s="173"/>
      <c r="AO1058" s="173"/>
      <c r="AP1058" s="173"/>
      <c r="AQ1058" s="178"/>
      <c r="AR1058" s="173"/>
      <c r="AS1058" s="173"/>
      <c r="AT1058" s="140"/>
      <c r="AX1058" s="140"/>
      <c r="BB1058" s="173"/>
      <c r="BC1058" s="173"/>
    </row>
    <row r="1059" spans="2:55" s="134" customFormat="1" x14ac:dyDescent="0.2">
      <c r="B1059" s="145"/>
      <c r="D1059" s="145"/>
      <c r="Z1059" s="177"/>
      <c r="AA1059" s="178"/>
      <c r="AB1059" s="139"/>
      <c r="AC1059" s="173"/>
      <c r="AD1059" s="177"/>
      <c r="AE1059" s="177"/>
      <c r="AF1059" s="139"/>
      <c r="AG1059" s="139"/>
      <c r="AH1059" s="177"/>
      <c r="AI1059" s="178"/>
      <c r="AJ1059" s="139"/>
      <c r="AK1059" s="173"/>
      <c r="AL1059" s="177"/>
      <c r="AM1059" s="178"/>
      <c r="AN1059" s="173"/>
      <c r="AO1059" s="173"/>
      <c r="AP1059" s="173"/>
      <c r="AQ1059" s="178"/>
      <c r="AR1059" s="173"/>
      <c r="AS1059" s="173"/>
      <c r="AT1059" s="140"/>
      <c r="AX1059" s="140"/>
      <c r="BB1059" s="173"/>
      <c r="BC1059" s="173"/>
    </row>
    <row r="1060" spans="2:55" s="134" customFormat="1" x14ac:dyDescent="0.2">
      <c r="B1060" s="145"/>
      <c r="D1060" s="145"/>
      <c r="Z1060" s="177"/>
      <c r="AA1060" s="178"/>
      <c r="AB1060" s="139"/>
      <c r="AC1060" s="173"/>
      <c r="AD1060" s="177"/>
      <c r="AE1060" s="177"/>
      <c r="AF1060" s="139"/>
      <c r="AG1060" s="139"/>
      <c r="AH1060" s="177"/>
      <c r="AI1060" s="178"/>
      <c r="AJ1060" s="139"/>
      <c r="AK1060" s="173"/>
      <c r="AL1060" s="177"/>
      <c r="AM1060" s="178"/>
      <c r="AN1060" s="173"/>
      <c r="AO1060" s="173"/>
      <c r="AP1060" s="173"/>
      <c r="AQ1060" s="178"/>
      <c r="AR1060" s="173"/>
      <c r="AS1060" s="173"/>
      <c r="AT1060" s="140"/>
      <c r="AX1060" s="140"/>
      <c r="BB1060" s="173"/>
      <c r="BC1060" s="173"/>
    </row>
    <row r="1061" spans="2:55" s="134" customFormat="1" x14ac:dyDescent="0.2">
      <c r="B1061" s="145"/>
      <c r="D1061" s="145"/>
      <c r="Z1061" s="177"/>
      <c r="AA1061" s="178"/>
      <c r="AB1061" s="139"/>
      <c r="AC1061" s="173"/>
      <c r="AD1061" s="177"/>
      <c r="AE1061" s="177"/>
      <c r="AF1061" s="139"/>
      <c r="AG1061" s="139"/>
      <c r="AH1061" s="177"/>
      <c r="AI1061" s="178"/>
      <c r="AJ1061" s="139"/>
      <c r="AK1061" s="173"/>
      <c r="AL1061" s="177"/>
      <c r="AM1061" s="178"/>
      <c r="AN1061" s="173"/>
      <c r="AO1061" s="173"/>
      <c r="AP1061" s="173"/>
      <c r="AQ1061" s="178"/>
      <c r="AR1061" s="173"/>
      <c r="AS1061" s="173"/>
      <c r="AT1061" s="140"/>
      <c r="AX1061" s="140"/>
      <c r="BB1061" s="173"/>
      <c r="BC1061" s="173"/>
    </row>
    <row r="1062" spans="2:55" s="134" customFormat="1" x14ac:dyDescent="0.2">
      <c r="B1062" s="145"/>
      <c r="D1062" s="145"/>
      <c r="Z1062" s="177"/>
      <c r="AA1062" s="178"/>
      <c r="AB1062" s="139"/>
      <c r="AC1062" s="173"/>
      <c r="AD1062" s="177"/>
      <c r="AE1062" s="177"/>
      <c r="AF1062" s="139"/>
      <c r="AG1062" s="139"/>
      <c r="AH1062" s="177"/>
      <c r="AI1062" s="178"/>
      <c r="AJ1062" s="139"/>
      <c r="AK1062" s="173"/>
      <c r="AL1062" s="177"/>
      <c r="AM1062" s="178"/>
      <c r="AN1062" s="173"/>
      <c r="AO1062" s="173"/>
      <c r="AP1062" s="173"/>
      <c r="AQ1062" s="178"/>
      <c r="AR1062" s="173"/>
      <c r="AS1062" s="173"/>
      <c r="AT1062" s="140"/>
      <c r="AX1062" s="140"/>
      <c r="BB1062" s="173"/>
      <c r="BC1062" s="173"/>
    </row>
    <row r="1063" spans="2:55" s="134" customFormat="1" x14ac:dyDescent="0.2">
      <c r="B1063" s="145"/>
      <c r="D1063" s="145"/>
      <c r="Z1063" s="177"/>
      <c r="AA1063" s="178"/>
      <c r="AB1063" s="139"/>
      <c r="AC1063" s="173"/>
      <c r="AD1063" s="177"/>
      <c r="AE1063" s="177"/>
      <c r="AF1063" s="139"/>
      <c r="AG1063" s="139"/>
      <c r="AH1063" s="177"/>
      <c r="AI1063" s="178"/>
      <c r="AJ1063" s="139"/>
      <c r="AK1063" s="173"/>
      <c r="AL1063" s="177"/>
      <c r="AM1063" s="178"/>
      <c r="AN1063" s="173"/>
      <c r="AO1063" s="173"/>
      <c r="AP1063" s="173"/>
      <c r="AQ1063" s="178"/>
      <c r="AR1063" s="173"/>
      <c r="AS1063" s="173"/>
      <c r="AT1063" s="140"/>
      <c r="AX1063" s="140"/>
      <c r="BB1063" s="173"/>
      <c r="BC1063" s="173"/>
    </row>
    <row r="1064" spans="2:55" s="134" customFormat="1" x14ac:dyDescent="0.2">
      <c r="B1064" s="145"/>
      <c r="D1064" s="145"/>
      <c r="Z1064" s="177"/>
      <c r="AA1064" s="178"/>
      <c r="AB1064" s="139"/>
      <c r="AC1064" s="173"/>
      <c r="AD1064" s="177"/>
      <c r="AE1064" s="177"/>
      <c r="AF1064" s="139"/>
      <c r="AG1064" s="139"/>
      <c r="AH1064" s="177"/>
      <c r="AI1064" s="178"/>
      <c r="AJ1064" s="139"/>
      <c r="AK1064" s="173"/>
      <c r="AL1064" s="177"/>
      <c r="AM1064" s="178"/>
      <c r="AN1064" s="173"/>
      <c r="AO1064" s="173"/>
      <c r="AP1064" s="173"/>
      <c r="AQ1064" s="178"/>
      <c r="AR1064" s="173"/>
      <c r="AS1064" s="173"/>
      <c r="AT1064" s="140"/>
      <c r="AX1064" s="140"/>
      <c r="BB1064" s="173"/>
      <c r="BC1064" s="173"/>
    </row>
    <row r="1065" spans="2:55" s="134" customFormat="1" x14ac:dyDescent="0.2">
      <c r="B1065" s="145"/>
      <c r="D1065" s="145"/>
      <c r="Z1065" s="177"/>
      <c r="AA1065" s="178"/>
      <c r="AB1065" s="139"/>
      <c r="AC1065" s="173"/>
      <c r="AD1065" s="177"/>
      <c r="AE1065" s="177"/>
      <c r="AF1065" s="139"/>
      <c r="AG1065" s="139"/>
      <c r="AH1065" s="177"/>
      <c r="AI1065" s="178"/>
      <c r="AJ1065" s="139"/>
      <c r="AK1065" s="173"/>
      <c r="AL1065" s="177"/>
      <c r="AM1065" s="178"/>
      <c r="AN1065" s="173"/>
      <c r="AO1065" s="173"/>
      <c r="AP1065" s="173"/>
      <c r="AQ1065" s="178"/>
      <c r="AR1065" s="173"/>
      <c r="AS1065" s="173"/>
      <c r="AT1065" s="140"/>
      <c r="AX1065" s="140"/>
      <c r="BB1065" s="173"/>
      <c r="BC1065" s="173"/>
    </row>
    <row r="1066" spans="2:55" s="134" customFormat="1" x14ac:dyDescent="0.2">
      <c r="B1066" s="145"/>
      <c r="D1066" s="145"/>
      <c r="Z1066" s="177"/>
      <c r="AA1066" s="178"/>
      <c r="AB1066" s="139"/>
      <c r="AC1066" s="173"/>
      <c r="AD1066" s="177"/>
      <c r="AE1066" s="177"/>
      <c r="AF1066" s="139"/>
      <c r="AG1066" s="139"/>
      <c r="AH1066" s="177"/>
      <c r="AI1066" s="178"/>
      <c r="AJ1066" s="139"/>
      <c r="AK1066" s="173"/>
      <c r="AL1066" s="177"/>
      <c r="AM1066" s="178"/>
      <c r="AN1066" s="173"/>
      <c r="AO1066" s="173"/>
      <c r="AP1066" s="173"/>
      <c r="AQ1066" s="178"/>
      <c r="AR1066" s="173"/>
      <c r="AS1066" s="173"/>
      <c r="AT1066" s="140"/>
      <c r="AX1066" s="140"/>
      <c r="BB1066" s="173"/>
      <c r="BC1066" s="173"/>
    </row>
    <row r="1067" spans="2:55" s="134" customFormat="1" x14ac:dyDescent="0.2">
      <c r="B1067" s="145"/>
      <c r="D1067" s="145"/>
      <c r="Z1067" s="177"/>
      <c r="AA1067" s="178"/>
      <c r="AB1067" s="139"/>
      <c r="AC1067" s="173"/>
      <c r="AD1067" s="177"/>
      <c r="AE1067" s="177"/>
      <c r="AF1067" s="139"/>
      <c r="AG1067" s="139"/>
      <c r="AH1067" s="177"/>
      <c r="AI1067" s="178"/>
      <c r="AJ1067" s="139"/>
      <c r="AK1067" s="173"/>
      <c r="AL1067" s="177"/>
      <c r="AM1067" s="178"/>
      <c r="AN1067" s="173"/>
      <c r="AO1067" s="173"/>
      <c r="AP1067" s="173"/>
      <c r="AQ1067" s="178"/>
      <c r="AR1067" s="173"/>
      <c r="AS1067" s="173"/>
      <c r="AT1067" s="140"/>
      <c r="AX1067" s="140"/>
      <c r="BB1067" s="173"/>
      <c r="BC1067" s="173"/>
    </row>
    <row r="1068" spans="2:55" s="134" customFormat="1" x14ac:dyDescent="0.2">
      <c r="B1068" s="145"/>
      <c r="D1068" s="145"/>
      <c r="Z1068" s="177"/>
      <c r="AA1068" s="178"/>
      <c r="AB1068" s="139"/>
      <c r="AC1068" s="173"/>
      <c r="AD1068" s="177"/>
      <c r="AE1068" s="177"/>
      <c r="AF1068" s="139"/>
      <c r="AG1068" s="139"/>
      <c r="AH1068" s="177"/>
      <c r="AI1068" s="178"/>
      <c r="AJ1068" s="139"/>
      <c r="AK1068" s="173"/>
      <c r="AL1068" s="177"/>
      <c r="AM1068" s="178"/>
      <c r="AN1068" s="173"/>
      <c r="AO1068" s="173"/>
      <c r="AP1068" s="173"/>
      <c r="AQ1068" s="178"/>
      <c r="AR1068" s="173"/>
      <c r="AS1068" s="173"/>
      <c r="AT1068" s="140"/>
      <c r="AX1068" s="140"/>
      <c r="BB1068" s="173"/>
      <c r="BC1068" s="173"/>
    </row>
    <row r="1069" spans="2:55" s="134" customFormat="1" x14ac:dyDescent="0.2">
      <c r="B1069" s="145"/>
      <c r="D1069" s="145"/>
      <c r="Z1069" s="177"/>
      <c r="AA1069" s="178"/>
      <c r="AB1069" s="139"/>
      <c r="AC1069" s="173"/>
      <c r="AD1069" s="177"/>
      <c r="AE1069" s="177"/>
      <c r="AF1069" s="139"/>
      <c r="AG1069" s="139"/>
      <c r="AH1069" s="177"/>
      <c r="AI1069" s="178"/>
      <c r="AJ1069" s="139"/>
      <c r="AK1069" s="173"/>
      <c r="AL1069" s="177"/>
      <c r="AM1069" s="178"/>
      <c r="AN1069" s="173"/>
      <c r="AO1069" s="173"/>
      <c r="AP1069" s="173"/>
      <c r="AQ1069" s="178"/>
      <c r="AR1069" s="173"/>
      <c r="AS1069" s="173"/>
      <c r="AT1069" s="140"/>
      <c r="AX1069" s="140"/>
      <c r="BB1069" s="173"/>
      <c r="BC1069" s="173"/>
    </row>
    <row r="1070" spans="2:55" s="134" customFormat="1" x14ac:dyDescent="0.2">
      <c r="B1070" s="145"/>
      <c r="D1070" s="145"/>
      <c r="Z1070" s="177"/>
      <c r="AA1070" s="178"/>
      <c r="AB1070" s="139"/>
      <c r="AC1070" s="173"/>
      <c r="AD1070" s="177"/>
      <c r="AE1070" s="177"/>
      <c r="AF1070" s="139"/>
      <c r="AG1070" s="139"/>
      <c r="AH1070" s="177"/>
      <c r="AI1070" s="178"/>
      <c r="AJ1070" s="139"/>
      <c r="AK1070" s="173"/>
      <c r="AL1070" s="177"/>
      <c r="AM1070" s="178"/>
      <c r="AN1070" s="173"/>
      <c r="AO1070" s="173"/>
      <c r="AP1070" s="173"/>
      <c r="AQ1070" s="178"/>
      <c r="AR1070" s="173"/>
      <c r="AS1070" s="173"/>
      <c r="AT1070" s="140"/>
      <c r="AX1070" s="140"/>
      <c r="BB1070" s="173"/>
      <c r="BC1070" s="173"/>
    </row>
    <row r="1071" spans="2:55" s="134" customFormat="1" x14ac:dyDescent="0.2">
      <c r="B1071" s="145"/>
      <c r="D1071" s="145"/>
      <c r="Z1071" s="177"/>
      <c r="AA1071" s="178"/>
      <c r="AB1071" s="139"/>
      <c r="AC1071" s="173"/>
      <c r="AD1071" s="177"/>
      <c r="AE1071" s="177"/>
      <c r="AF1071" s="139"/>
      <c r="AG1071" s="139"/>
      <c r="AH1071" s="177"/>
      <c r="AI1071" s="178"/>
      <c r="AJ1071" s="139"/>
      <c r="AK1071" s="173"/>
      <c r="AL1071" s="177"/>
      <c r="AM1071" s="178"/>
      <c r="AN1071" s="173"/>
      <c r="AO1071" s="173"/>
      <c r="AP1071" s="173"/>
      <c r="AQ1071" s="178"/>
      <c r="AR1071" s="173"/>
      <c r="AS1071" s="173"/>
      <c r="AT1071" s="140"/>
      <c r="AX1071" s="140"/>
      <c r="BB1071" s="173"/>
      <c r="BC1071" s="173"/>
    </row>
    <row r="1072" spans="2:55" s="134" customFormat="1" x14ac:dyDescent="0.2">
      <c r="B1072" s="145"/>
      <c r="D1072" s="145"/>
      <c r="Z1072" s="177"/>
      <c r="AA1072" s="178"/>
      <c r="AB1072" s="139"/>
      <c r="AC1072" s="173"/>
      <c r="AD1072" s="177"/>
      <c r="AE1072" s="177"/>
      <c r="AF1072" s="139"/>
      <c r="AG1072" s="139"/>
      <c r="AH1072" s="177"/>
      <c r="AI1072" s="178"/>
      <c r="AJ1072" s="139"/>
      <c r="AK1072" s="173"/>
      <c r="AL1072" s="177"/>
      <c r="AM1072" s="178"/>
      <c r="AN1072" s="173"/>
      <c r="AO1072" s="173"/>
      <c r="AP1072" s="173"/>
      <c r="AQ1072" s="178"/>
      <c r="AR1072" s="173"/>
      <c r="AS1072" s="173"/>
      <c r="AT1072" s="140"/>
      <c r="AX1072" s="140"/>
      <c r="BB1072" s="173"/>
      <c r="BC1072" s="173"/>
    </row>
    <row r="1073" spans="2:55" s="134" customFormat="1" x14ac:dyDescent="0.2">
      <c r="B1073" s="145"/>
      <c r="D1073" s="145"/>
      <c r="Z1073" s="177"/>
      <c r="AA1073" s="178"/>
      <c r="AB1073" s="139"/>
      <c r="AC1073" s="173"/>
      <c r="AD1073" s="177"/>
      <c r="AE1073" s="177"/>
      <c r="AF1073" s="139"/>
      <c r="AG1073" s="139"/>
      <c r="AH1073" s="177"/>
      <c r="AI1073" s="178"/>
      <c r="AJ1073" s="139"/>
      <c r="AK1073" s="173"/>
      <c r="AL1073" s="177"/>
      <c r="AM1073" s="178"/>
      <c r="AN1073" s="173"/>
      <c r="AO1073" s="173"/>
      <c r="AP1073" s="173"/>
      <c r="AQ1073" s="178"/>
      <c r="AR1073" s="173"/>
      <c r="AS1073" s="173"/>
      <c r="AT1073" s="140"/>
      <c r="AX1073" s="140"/>
      <c r="BB1073" s="173"/>
      <c r="BC1073" s="173"/>
    </row>
    <row r="1074" spans="2:55" s="134" customFormat="1" x14ac:dyDescent="0.2">
      <c r="B1074" s="145"/>
      <c r="D1074" s="145"/>
      <c r="Z1074" s="177"/>
      <c r="AA1074" s="178"/>
      <c r="AB1074" s="139"/>
      <c r="AC1074" s="173"/>
      <c r="AD1074" s="177"/>
      <c r="AE1074" s="177"/>
      <c r="AF1074" s="139"/>
      <c r="AG1074" s="139"/>
      <c r="AH1074" s="177"/>
      <c r="AI1074" s="178"/>
      <c r="AJ1074" s="139"/>
      <c r="AK1074" s="173"/>
      <c r="AL1074" s="177"/>
      <c r="AM1074" s="178"/>
      <c r="AN1074" s="173"/>
      <c r="AO1074" s="173"/>
      <c r="AP1074" s="173"/>
      <c r="AQ1074" s="178"/>
      <c r="AR1074" s="173"/>
      <c r="AS1074" s="173"/>
      <c r="AT1074" s="140"/>
      <c r="AX1074" s="140"/>
      <c r="BB1074" s="173"/>
      <c r="BC1074" s="173"/>
    </row>
    <row r="1075" spans="2:55" s="134" customFormat="1" x14ac:dyDescent="0.2">
      <c r="B1075" s="145"/>
      <c r="D1075" s="145"/>
      <c r="Z1075" s="177"/>
      <c r="AA1075" s="178"/>
      <c r="AB1075" s="139"/>
      <c r="AC1075" s="173"/>
      <c r="AD1075" s="177"/>
      <c r="AE1075" s="177"/>
      <c r="AF1075" s="139"/>
      <c r="AG1075" s="139"/>
      <c r="AH1075" s="177"/>
      <c r="AI1075" s="178"/>
      <c r="AJ1075" s="139"/>
      <c r="AK1075" s="173"/>
      <c r="AL1075" s="177"/>
      <c r="AM1075" s="178"/>
      <c r="AN1075" s="173"/>
      <c r="AO1075" s="173"/>
      <c r="AP1075" s="173"/>
      <c r="AQ1075" s="178"/>
      <c r="AR1075" s="173"/>
      <c r="AS1075" s="173"/>
      <c r="AT1075" s="140"/>
      <c r="AX1075" s="140"/>
      <c r="BB1075" s="173"/>
      <c r="BC1075" s="173"/>
    </row>
    <row r="1076" spans="2:55" s="134" customFormat="1" x14ac:dyDescent="0.2">
      <c r="B1076" s="145"/>
      <c r="D1076" s="145"/>
      <c r="Z1076" s="177"/>
      <c r="AA1076" s="178"/>
      <c r="AB1076" s="139"/>
      <c r="AC1076" s="173"/>
      <c r="AD1076" s="177"/>
      <c r="AE1076" s="177"/>
      <c r="AF1076" s="139"/>
      <c r="AG1076" s="139"/>
      <c r="AH1076" s="177"/>
      <c r="AI1076" s="178"/>
      <c r="AJ1076" s="139"/>
      <c r="AK1076" s="173"/>
      <c r="AL1076" s="177"/>
      <c r="AM1076" s="178"/>
      <c r="AN1076" s="173"/>
      <c r="AO1076" s="173"/>
      <c r="AP1076" s="173"/>
      <c r="AQ1076" s="178"/>
      <c r="AR1076" s="173"/>
      <c r="AS1076" s="173"/>
      <c r="AT1076" s="140"/>
      <c r="AX1076" s="140"/>
      <c r="BB1076" s="173"/>
      <c r="BC1076" s="173"/>
    </row>
    <row r="1077" spans="2:55" s="134" customFormat="1" x14ac:dyDescent="0.2">
      <c r="B1077" s="145"/>
      <c r="D1077" s="145"/>
      <c r="Z1077" s="177"/>
      <c r="AA1077" s="178"/>
      <c r="AB1077" s="139"/>
      <c r="AC1077" s="173"/>
      <c r="AD1077" s="177"/>
      <c r="AE1077" s="177"/>
      <c r="AF1077" s="139"/>
      <c r="AG1077" s="139"/>
      <c r="AH1077" s="177"/>
      <c r="AI1077" s="178"/>
      <c r="AJ1077" s="139"/>
      <c r="AK1077" s="173"/>
      <c r="AL1077" s="177"/>
      <c r="AM1077" s="178"/>
      <c r="AN1077" s="173"/>
      <c r="AO1077" s="173"/>
      <c r="AP1077" s="173"/>
      <c r="AQ1077" s="178"/>
      <c r="AR1077" s="173"/>
      <c r="AS1077" s="173"/>
      <c r="AT1077" s="140"/>
      <c r="AX1077" s="140"/>
      <c r="BB1077" s="173"/>
      <c r="BC1077" s="173"/>
    </row>
    <row r="1078" spans="2:55" s="134" customFormat="1" x14ac:dyDescent="0.2">
      <c r="B1078" s="145"/>
      <c r="D1078" s="145"/>
      <c r="Z1078" s="177"/>
      <c r="AA1078" s="178"/>
      <c r="AB1078" s="139"/>
      <c r="AC1078" s="173"/>
      <c r="AD1078" s="177"/>
      <c r="AE1078" s="177"/>
      <c r="AF1078" s="139"/>
      <c r="AG1078" s="139"/>
      <c r="AH1078" s="177"/>
      <c r="AI1078" s="178"/>
      <c r="AJ1078" s="139"/>
      <c r="AK1078" s="173"/>
      <c r="AL1078" s="177"/>
      <c r="AM1078" s="178"/>
      <c r="AN1078" s="173"/>
      <c r="AO1078" s="173"/>
      <c r="AP1078" s="173"/>
      <c r="AQ1078" s="178"/>
      <c r="AR1078" s="173"/>
      <c r="AS1078" s="173"/>
      <c r="AT1078" s="140"/>
      <c r="AX1078" s="140"/>
      <c r="BB1078" s="173"/>
      <c r="BC1078" s="173"/>
    </row>
    <row r="1079" spans="2:55" s="134" customFormat="1" x14ac:dyDescent="0.2">
      <c r="B1079" s="145"/>
      <c r="D1079" s="145"/>
      <c r="Z1079" s="177"/>
      <c r="AA1079" s="178"/>
      <c r="AB1079" s="139"/>
      <c r="AC1079" s="173"/>
      <c r="AD1079" s="177"/>
      <c r="AE1079" s="177"/>
      <c r="AF1079" s="139"/>
      <c r="AG1079" s="139"/>
      <c r="AH1079" s="177"/>
      <c r="AI1079" s="178"/>
      <c r="AJ1079" s="139"/>
      <c r="AK1079" s="173"/>
      <c r="AL1079" s="177"/>
      <c r="AM1079" s="178"/>
      <c r="AN1079" s="173"/>
      <c r="AO1079" s="173"/>
      <c r="AP1079" s="173"/>
      <c r="AQ1079" s="178"/>
      <c r="AR1079" s="173"/>
      <c r="AS1079" s="173"/>
      <c r="AT1079" s="140"/>
      <c r="AX1079" s="140"/>
      <c r="BB1079" s="173"/>
      <c r="BC1079" s="173"/>
    </row>
    <row r="1080" spans="2:55" s="134" customFormat="1" x14ac:dyDescent="0.2">
      <c r="B1080" s="145"/>
      <c r="D1080" s="145"/>
      <c r="Z1080" s="177"/>
      <c r="AA1080" s="178"/>
      <c r="AB1080" s="139"/>
      <c r="AC1080" s="173"/>
      <c r="AD1080" s="177"/>
      <c r="AE1080" s="177"/>
      <c r="AF1080" s="139"/>
      <c r="AG1080" s="139"/>
      <c r="AH1080" s="177"/>
      <c r="AI1080" s="178"/>
      <c r="AJ1080" s="139"/>
      <c r="AK1080" s="173"/>
      <c r="AL1080" s="177"/>
      <c r="AM1080" s="178"/>
      <c r="AN1080" s="173"/>
      <c r="AO1080" s="173"/>
      <c r="AP1080" s="173"/>
      <c r="AQ1080" s="178"/>
      <c r="AR1080" s="173"/>
      <c r="AS1080" s="173"/>
      <c r="AT1080" s="140"/>
      <c r="AX1080" s="140"/>
      <c r="BB1080" s="173"/>
      <c r="BC1080" s="173"/>
    </row>
    <row r="1081" spans="2:55" s="134" customFormat="1" x14ac:dyDescent="0.2">
      <c r="B1081" s="145"/>
      <c r="D1081" s="145"/>
      <c r="Z1081" s="177"/>
      <c r="AA1081" s="178"/>
      <c r="AB1081" s="139"/>
      <c r="AC1081" s="173"/>
      <c r="AD1081" s="177"/>
      <c r="AE1081" s="177"/>
      <c r="AF1081" s="139"/>
      <c r="AG1081" s="139"/>
      <c r="AH1081" s="177"/>
      <c r="AI1081" s="178"/>
      <c r="AJ1081" s="139"/>
      <c r="AK1081" s="173"/>
      <c r="AL1081" s="177"/>
      <c r="AM1081" s="178"/>
      <c r="AN1081" s="173"/>
      <c r="AO1081" s="173"/>
      <c r="AP1081" s="173"/>
      <c r="AQ1081" s="178"/>
      <c r="AR1081" s="173"/>
      <c r="AS1081" s="173"/>
      <c r="AT1081" s="140"/>
      <c r="AX1081" s="140"/>
      <c r="BB1081" s="173"/>
      <c r="BC1081" s="173"/>
    </row>
    <row r="1082" spans="2:55" s="134" customFormat="1" x14ac:dyDescent="0.2">
      <c r="B1082" s="145"/>
      <c r="D1082" s="145"/>
      <c r="Z1082" s="177"/>
      <c r="AA1082" s="178"/>
      <c r="AB1082" s="139"/>
      <c r="AC1082" s="173"/>
      <c r="AD1082" s="177"/>
      <c r="AE1082" s="177"/>
      <c r="AF1082" s="139"/>
      <c r="AG1082" s="139"/>
      <c r="AH1082" s="177"/>
      <c r="AI1082" s="178"/>
      <c r="AJ1082" s="139"/>
      <c r="AK1082" s="173"/>
      <c r="AL1082" s="177"/>
      <c r="AM1082" s="178"/>
      <c r="AN1082" s="173"/>
      <c r="AO1082" s="173"/>
      <c r="AP1082" s="173"/>
      <c r="AQ1082" s="178"/>
      <c r="AR1082" s="173"/>
      <c r="AS1082" s="173"/>
      <c r="AT1082" s="140"/>
      <c r="AX1082" s="140"/>
      <c r="BB1082" s="173"/>
      <c r="BC1082" s="173"/>
    </row>
    <row r="1083" spans="2:55" s="134" customFormat="1" x14ac:dyDescent="0.2">
      <c r="B1083" s="145"/>
      <c r="D1083" s="145"/>
      <c r="Z1083" s="177"/>
      <c r="AA1083" s="178"/>
      <c r="AB1083" s="139"/>
      <c r="AC1083" s="173"/>
      <c r="AD1083" s="177"/>
      <c r="AE1083" s="177"/>
      <c r="AF1083" s="139"/>
      <c r="AG1083" s="139"/>
      <c r="AH1083" s="177"/>
      <c r="AI1083" s="178"/>
      <c r="AJ1083" s="139"/>
      <c r="AK1083" s="173"/>
      <c r="AL1083" s="177"/>
      <c r="AM1083" s="178"/>
      <c r="AN1083" s="173"/>
      <c r="AO1083" s="173"/>
      <c r="AP1083" s="173"/>
      <c r="AQ1083" s="178"/>
      <c r="AR1083" s="173"/>
      <c r="AS1083" s="173"/>
      <c r="AT1083" s="140"/>
      <c r="AX1083" s="140"/>
      <c r="BB1083" s="173"/>
      <c r="BC1083" s="173"/>
    </row>
    <row r="1084" spans="2:55" s="134" customFormat="1" x14ac:dyDescent="0.2">
      <c r="B1084" s="145"/>
      <c r="D1084" s="145"/>
      <c r="Z1084" s="177"/>
      <c r="AA1084" s="178"/>
      <c r="AB1084" s="139"/>
      <c r="AC1084" s="173"/>
      <c r="AD1084" s="177"/>
      <c r="AE1084" s="177"/>
      <c r="AF1084" s="139"/>
      <c r="AG1084" s="139"/>
      <c r="AH1084" s="177"/>
      <c r="AI1084" s="178"/>
      <c r="AJ1084" s="139"/>
      <c r="AK1084" s="173"/>
      <c r="AL1084" s="177"/>
      <c r="AM1084" s="178"/>
      <c r="AN1084" s="173"/>
      <c r="AO1084" s="173"/>
      <c r="AP1084" s="173"/>
      <c r="AQ1084" s="178"/>
      <c r="AR1084" s="173"/>
      <c r="AS1084" s="173"/>
      <c r="AT1084" s="140"/>
      <c r="AX1084" s="140"/>
      <c r="BB1084" s="173"/>
      <c r="BC1084" s="173"/>
    </row>
    <row r="1085" spans="2:55" s="134" customFormat="1" x14ac:dyDescent="0.2">
      <c r="B1085" s="145"/>
      <c r="D1085" s="145"/>
      <c r="Z1085" s="177"/>
      <c r="AA1085" s="178"/>
      <c r="AB1085" s="139"/>
      <c r="AC1085" s="173"/>
      <c r="AD1085" s="177"/>
      <c r="AE1085" s="177"/>
      <c r="AF1085" s="139"/>
      <c r="AG1085" s="139"/>
      <c r="AH1085" s="177"/>
      <c r="AI1085" s="178"/>
      <c r="AJ1085" s="139"/>
      <c r="AK1085" s="173"/>
      <c r="AL1085" s="177"/>
      <c r="AM1085" s="178"/>
      <c r="AN1085" s="173"/>
      <c r="AO1085" s="173"/>
      <c r="AP1085" s="173"/>
      <c r="AQ1085" s="178"/>
      <c r="AR1085" s="173"/>
      <c r="AS1085" s="173"/>
      <c r="AT1085" s="140"/>
      <c r="AX1085" s="140"/>
      <c r="BB1085" s="173"/>
      <c r="BC1085" s="173"/>
    </row>
    <row r="1086" spans="2:55" s="134" customFormat="1" x14ac:dyDescent="0.2">
      <c r="B1086" s="145"/>
      <c r="D1086" s="145"/>
      <c r="Z1086" s="177"/>
      <c r="AA1086" s="178"/>
      <c r="AB1086" s="139"/>
      <c r="AC1086" s="173"/>
      <c r="AD1086" s="177"/>
      <c r="AE1086" s="177"/>
      <c r="AF1086" s="139"/>
      <c r="AG1086" s="139"/>
      <c r="AH1086" s="177"/>
      <c r="AI1086" s="178"/>
      <c r="AJ1086" s="139"/>
      <c r="AK1086" s="173"/>
      <c r="AL1086" s="177"/>
      <c r="AM1086" s="178"/>
      <c r="AN1086" s="173"/>
      <c r="AO1086" s="173"/>
      <c r="AP1086" s="173"/>
      <c r="AQ1086" s="178"/>
      <c r="AR1086" s="173"/>
      <c r="AS1086" s="173"/>
      <c r="AT1086" s="140"/>
      <c r="AX1086" s="140"/>
      <c r="BB1086" s="173"/>
      <c r="BC1086" s="173"/>
    </row>
    <row r="1087" spans="2:55" s="134" customFormat="1" x14ac:dyDescent="0.2">
      <c r="B1087" s="145"/>
      <c r="D1087" s="145"/>
      <c r="Z1087" s="177"/>
      <c r="AA1087" s="178"/>
      <c r="AB1087" s="139"/>
      <c r="AC1087" s="173"/>
      <c r="AD1087" s="177"/>
      <c r="AE1087" s="177"/>
      <c r="AF1087" s="139"/>
      <c r="AG1087" s="139"/>
      <c r="AH1087" s="177"/>
      <c r="AI1087" s="178"/>
      <c r="AJ1087" s="139"/>
      <c r="AK1087" s="173"/>
      <c r="AL1087" s="177"/>
      <c r="AM1087" s="178"/>
      <c r="AN1087" s="173"/>
      <c r="AO1087" s="173"/>
      <c r="AP1087" s="173"/>
      <c r="AQ1087" s="178"/>
      <c r="AR1087" s="173"/>
      <c r="AS1087" s="173"/>
      <c r="AT1087" s="140"/>
      <c r="AX1087" s="140"/>
      <c r="BB1087" s="173"/>
      <c r="BC1087" s="173"/>
    </row>
    <row r="1088" spans="2:55" s="134" customFormat="1" x14ac:dyDescent="0.2">
      <c r="B1088" s="145"/>
      <c r="D1088" s="145"/>
      <c r="Z1088" s="177"/>
      <c r="AA1088" s="178"/>
      <c r="AB1088" s="139"/>
      <c r="AC1088" s="173"/>
      <c r="AD1088" s="177"/>
      <c r="AE1088" s="177"/>
      <c r="AF1088" s="139"/>
      <c r="AG1088" s="139"/>
      <c r="AH1088" s="177"/>
      <c r="AI1088" s="178"/>
      <c r="AJ1088" s="139"/>
      <c r="AK1088" s="173"/>
      <c r="AL1088" s="177"/>
      <c r="AM1088" s="178"/>
      <c r="AN1088" s="173"/>
      <c r="AO1088" s="173"/>
      <c r="AP1088" s="173"/>
      <c r="AQ1088" s="178"/>
      <c r="AR1088" s="173"/>
      <c r="AS1088" s="173"/>
      <c r="AT1088" s="140"/>
      <c r="AX1088" s="140"/>
      <c r="BB1088" s="173"/>
      <c r="BC1088" s="173"/>
    </row>
    <row r="1089" spans="2:55" s="134" customFormat="1" x14ac:dyDescent="0.2">
      <c r="B1089" s="145"/>
      <c r="D1089" s="145"/>
      <c r="Z1089" s="177"/>
      <c r="AA1089" s="178"/>
      <c r="AB1089" s="139"/>
      <c r="AC1089" s="173"/>
      <c r="AD1089" s="177"/>
      <c r="AE1089" s="177"/>
      <c r="AF1089" s="139"/>
      <c r="AG1089" s="139"/>
      <c r="AH1089" s="177"/>
      <c r="AI1089" s="178"/>
      <c r="AJ1089" s="139"/>
      <c r="AK1089" s="173"/>
      <c r="AL1089" s="177"/>
      <c r="AM1089" s="178"/>
      <c r="AN1089" s="173"/>
      <c r="AO1089" s="173"/>
      <c r="AP1089" s="173"/>
      <c r="AQ1089" s="178"/>
      <c r="AR1089" s="173"/>
      <c r="AS1089" s="173"/>
      <c r="AT1089" s="140"/>
      <c r="AX1089" s="140"/>
      <c r="BB1089" s="173"/>
      <c r="BC1089" s="173"/>
    </row>
    <row r="1090" spans="2:55" s="134" customFormat="1" x14ac:dyDescent="0.2">
      <c r="B1090" s="145"/>
      <c r="D1090" s="145"/>
      <c r="Z1090" s="177"/>
      <c r="AA1090" s="178"/>
      <c r="AB1090" s="139"/>
      <c r="AC1090" s="173"/>
      <c r="AD1090" s="177"/>
      <c r="AE1090" s="177"/>
      <c r="AF1090" s="139"/>
      <c r="AG1090" s="139"/>
      <c r="AH1090" s="177"/>
      <c r="AI1090" s="178"/>
      <c r="AJ1090" s="139"/>
      <c r="AK1090" s="173"/>
      <c r="AL1090" s="177"/>
      <c r="AM1090" s="178"/>
      <c r="AN1090" s="173"/>
      <c r="AO1090" s="173"/>
      <c r="AP1090" s="173"/>
      <c r="AQ1090" s="178"/>
      <c r="AR1090" s="173"/>
      <c r="AS1090" s="173"/>
      <c r="AT1090" s="140"/>
      <c r="AX1090" s="140"/>
      <c r="BB1090" s="173"/>
      <c r="BC1090" s="173"/>
    </row>
    <row r="1091" spans="2:55" s="134" customFormat="1" x14ac:dyDescent="0.2">
      <c r="B1091" s="145"/>
      <c r="D1091" s="145"/>
      <c r="Z1091" s="177"/>
      <c r="AA1091" s="178"/>
      <c r="AB1091" s="139"/>
      <c r="AC1091" s="173"/>
      <c r="AD1091" s="177"/>
      <c r="AE1091" s="177"/>
      <c r="AF1091" s="139"/>
      <c r="AG1091" s="139"/>
      <c r="AH1091" s="177"/>
      <c r="AI1091" s="178"/>
      <c r="AJ1091" s="139"/>
      <c r="AK1091" s="173"/>
      <c r="AL1091" s="177"/>
      <c r="AM1091" s="178"/>
      <c r="AN1091" s="173"/>
      <c r="AO1091" s="173"/>
      <c r="AP1091" s="173"/>
      <c r="AQ1091" s="178"/>
      <c r="AR1091" s="173"/>
      <c r="AS1091" s="173"/>
      <c r="AT1091" s="140"/>
      <c r="AX1091" s="140"/>
      <c r="BB1091" s="173"/>
      <c r="BC1091" s="173"/>
    </row>
    <row r="1092" spans="2:55" s="134" customFormat="1" x14ac:dyDescent="0.2">
      <c r="B1092" s="145"/>
      <c r="D1092" s="145"/>
      <c r="Z1092" s="177"/>
      <c r="AA1092" s="178"/>
      <c r="AB1092" s="139"/>
      <c r="AC1092" s="173"/>
      <c r="AD1092" s="177"/>
      <c r="AE1092" s="177"/>
      <c r="AF1092" s="139"/>
      <c r="AG1092" s="139"/>
      <c r="AH1092" s="177"/>
      <c r="AI1092" s="178"/>
      <c r="AJ1092" s="139"/>
      <c r="AK1092" s="173"/>
      <c r="AL1092" s="177"/>
      <c r="AM1092" s="178"/>
      <c r="AN1092" s="173"/>
      <c r="AO1092" s="173"/>
      <c r="AP1092" s="173"/>
      <c r="AQ1092" s="178"/>
      <c r="AR1092" s="173"/>
      <c r="AS1092" s="173"/>
      <c r="AT1092" s="140"/>
      <c r="AX1092" s="140"/>
      <c r="BB1092" s="173"/>
      <c r="BC1092" s="173"/>
    </row>
    <row r="1093" spans="2:55" s="134" customFormat="1" x14ac:dyDescent="0.2">
      <c r="B1093" s="145"/>
      <c r="D1093" s="145"/>
      <c r="Z1093" s="177"/>
      <c r="AA1093" s="178"/>
      <c r="AB1093" s="139"/>
      <c r="AC1093" s="173"/>
      <c r="AD1093" s="177"/>
      <c r="AE1093" s="177"/>
      <c r="AF1093" s="139"/>
      <c r="AG1093" s="139"/>
      <c r="AH1093" s="177"/>
      <c r="AI1093" s="178"/>
      <c r="AJ1093" s="139"/>
      <c r="AK1093" s="173"/>
      <c r="AL1093" s="177"/>
      <c r="AM1093" s="178"/>
      <c r="AN1093" s="173"/>
      <c r="AO1093" s="173"/>
      <c r="AP1093" s="173"/>
      <c r="AQ1093" s="178"/>
      <c r="AR1093" s="173"/>
      <c r="AS1093" s="173"/>
      <c r="AT1093" s="140"/>
      <c r="AX1093" s="140"/>
      <c r="BB1093" s="173"/>
      <c r="BC1093" s="173"/>
    </row>
    <row r="1094" spans="2:55" s="134" customFormat="1" x14ac:dyDescent="0.2">
      <c r="B1094" s="145"/>
      <c r="D1094" s="145"/>
      <c r="Z1094" s="177"/>
      <c r="AA1094" s="178"/>
      <c r="AB1094" s="139"/>
      <c r="AC1094" s="173"/>
      <c r="AD1094" s="177"/>
      <c r="AE1094" s="177"/>
      <c r="AF1094" s="139"/>
      <c r="AG1094" s="139"/>
      <c r="AH1094" s="177"/>
      <c r="AI1094" s="178"/>
      <c r="AJ1094" s="139"/>
      <c r="AK1094" s="173"/>
      <c r="AL1094" s="177"/>
      <c r="AM1094" s="178"/>
      <c r="AN1094" s="173"/>
      <c r="AO1094" s="173"/>
      <c r="AP1094" s="173"/>
      <c r="AQ1094" s="178"/>
      <c r="AR1094" s="173"/>
      <c r="AS1094" s="173"/>
      <c r="AT1094" s="140"/>
      <c r="AX1094" s="140"/>
      <c r="BB1094" s="173"/>
      <c r="BC1094" s="173"/>
    </row>
    <row r="1095" spans="2:55" s="134" customFormat="1" x14ac:dyDescent="0.2">
      <c r="B1095" s="145"/>
      <c r="D1095" s="145"/>
      <c r="Z1095" s="177"/>
      <c r="AA1095" s="178"/>
      <c r="AB1095" s="139"/>
      <c r="AC1095" s="173"/>
      <c r="AD1095" s="177"/>
      <c r="AE1095" s="177"/>
      <c r="AF1095" s="139"/>
      <c r="AG1095" s="139"/>
      <c r="AH1095" s="177"/>
      <c r="AI1095" s="178"/>
      <c r="AJ1095" s="139"/>
      <c r="AK1095" s="173"/>
      <c r="AL1095" s="177"/>
      <c r="AM1095" s="178"/>
      <c r="AN1095" s="173"/>
      <c r="AO1095" s="173"/>
      <c r="AP1095" s="173"/>
      <c r="AQ1095" s="178"/>
      <c r="AR1095" s="173"/>
      <c r="AS1095" s="173"/>
      <c r="AT1095" s="140"/>
      <c r="AX1095" s="140"/>
      <c r="BB1095" s="173"/>
      <c r="BC1095" s="173"/>
    </row>
    <row r="1096" spans="2:55" s="134" customFormat="1" x14ac:dyDescent="0.2">
      <c r="B1096" s="145"/>
      <c r="D1096" s="145"/>
      <c r="Z1096" s="177"/>
      <c r="AA1096" s="178"/>
      <c r="AB1096" s="139"/>
      <c r="AC1096" s="173"/>
      <c r="AD1096" s="177"/>
      <c r="AE1096" s="177"/>
      <c r="AF1096" s="139"/>
      <c r="AG1096" s="139"/>
      <c r="AH1096" s="177"/>
      <c r="AI1096" s="178"/>
      <c r="AJ1096" s="139"/>
      <c r="AK1096" s="173"/>
      <c r="AL1096" s="177"/>
      <c r="AM1096" s="178"/>
      <c r="AN1096" s="173"/>
      <c r="AO1096" s="173"/>
      <c r="AP1096" s="173"/>
      <c r="AQ1096" s="178"/>
      <c r="AR1096" s="173"/>
      <c r="AS1096" s="173"/>
      <c r="AT1096" s="140"/>
      <c r="AX1096" s="140"/>
      <c r="BB1096" s="173"/>
      <c r="BC1096" s="173"/>
    </row>
    <row r="1097" spans="2:55" s="134" customFormat="1" x14ac:dyDescent="0.2">
      <c r="B1097" s="145"/>
      <c r="D1097" s="145"/>
      <c r="Z1097" s="177"/>
      <c r="AA1097" s="178"/>
      <c r="AB1097" s="139"/>
      <c r="AC1097" s="173"/>
      <c r="AD1097" s="177"/>
      <c r="AE1097" s="177"/>
      <c r="AF1097" s="139"/>
      <c r="AG1097" s="139"/>
      <c r="AH1097" s="177"/>
      <c r="AI1097" s="178"/>
      <c r="AJ1097" s="139"/>
      <c r="AK1097" s="173"/>
      <c r="AL1097" s="177"/>
      <c r="AM1097" s="178"/>
      <c r="AN1097" s="173"/>
      <c r="AO1097" s="173"/>
      <c r="AP1097" s="173"/>
      <c r="AQ1097" s="178"/>
      <c r="AR1097" s="173"/>
      <c r="AS1097" s="173"/>
      <c r="AT1097" s="140"/>
      <c r="AX1097" s="140"/>
      <c r="BB1097" s="173"/>
      <c r="BC1097" s="173"/>
    </row>
    <row r="1098" spans="2:55" s="134" customFormat="1" x14ac:dyDescent="0.2">
      <c r="B1098" s="145"/>
      <c r="D1098" s="145"/>
      <c r="Z1098" s="177"/>
      <c r="AA1098" s="178"/>
      <c r="AB1098" s="139"/>
      <c r="AC1098" s="173"/>
      <c r="AD1098" s="177"/>
      <c r="AE1098" s="177"/>
      <c r="AF1098" s="139"/>
      <c r="AG1098" s="139"/>
      <c r="AH1098" s="177"/>
      <c r="AI1098" s="178"/>
      <c r="AJ1098" s="139"/>
      <c r="AK1098" s="173"/>
      <c r="AL1098" s="177"/>
      <c r="AM1098" s="178"/>
      <c r="AN1098" s="173"/>
      <c r="AO1098" s="173"/>
      <c r="AP1098" s="173"/>
      <c r="AQ1098" s="178"/>
      <c r="AR1098" s="173"/>
      <c r="AS1098" s="173"/>
      <c r="AT1098" s="140"/>
      <c r="AX1098" s="140"/>
      <c r="BB1098" s="173"/>
      <c r="BC1098" s="173"/>
    </row>
    <row r="1099" spans="2:55" s="134" customFormat="1" x14ac:dyDescent="0.2">
      <c r="B1099" s="145"/>
      <c r="D1099" s="145"/>
      <c r="Z1099" s="177"/>
      <c r="AA1099" s="178"/>
      <c r="AB1099" s="139"/>
      <c r="AC1099" s="173"/>
      <c r="AD1099" s="177"/>
      <c r="AE1099" s="177"/>
      <c r="AF1099" s="139"/>
      <c r="AG1099" s="139"/>
      <c r="AH1099" s="177"/>
      <c r="AI1099" s="178"/>
      <c r="AJ1099" s="139"/>
      <c r="AK1099" s="173"/>
      <c r="AL1099" s="177"/>
      <c r="AM1099" s="178"/>
      <c r="AN1099" s="173"/>
      <c r="AO1099" s="173"/>
      <c r="AP1099" s="173"/>
      <c r="AQ1099" s="178"/>
      <c r="AR1099" s="173"/>
      <c r="AS1099" s="173"/>
      <c r="AT1099" s="140"/>
      <c r="AX1099" s="140"/>
      <c r="BB1099" s="173"/>
      <c r="BC1099" s="173"/>
    </row>
    <row r="1100" spans="2:55" s="134" customFormat="1" x14ac:dyDescent="0.2">
      <c r="B1100" s="145"/>
      <c r="D1100" s="145"/>
      <c r="Z1100" s="177"/>
      <c r="AA1100" s="178"/>
      <c r="AB1100" s="139"/>
      <c r="AC1100" s="173"/>
      <c r="AD1100" s="177"/>
      <c r="AE1100" s="177"/>
      <c r="AF1100" s="139"/>
      <c r="AG1100" s="139"/>
      <c r="AH1100" s="177"/>
      <c r="AI1100" s="178"/>
      <c r="AJ1100" s="139"/>
      <c r="AK1100" s="173"/>
      <c r="AL1100" s="177"/>
      <c r="AM1100" s="178"/>
      <c r="AN1100" s="173"/>
      <c r="AO1100" s="173"/>
      <c r="AP1100" s="173"/>
      <c r="AQ1100" s="178"/>
      <c r="AR1100" s="173"/>
      <c r="AS1100" s="173"/>
      <c r="AT1100" s="140"/>
      <c r="AX1100" s="140"/>
      <c r="BB1100" s="173"/>
      <c r="BC1100" s="173"/>
    </row>
    <row r="1101" spans="2:55" s="134" customFormat="1" x14ac:dyDescent="0.2">
      <c r="B1101" s="145"/>
      <c r="D1101" s="145"/>
      <c r="Z1101" s="177"/>
      <c r="AA1101" s="178"/>
      <c r="AB1101" s="139"/>
      <c r="AC1101" s="173"/>
      <c r="AD1101" s="177"/>
      <c r="AE1101" s="177"/>
      <c r="AF1101" s="139"/>
      <c r="AG1101" s="139"/>
      <c r="AH1101" s="177"/>
      <c r="AI1101" s="178"/>
      <c r="AJ1101" s="139"/>
      <c r="AK1101" s="173"/>
      <c r="AL1101" s="177"/>
      <c r="AM1101" s="178"/>
      <c r="AN1101" s="173"/>
      <c r="AO1101" s="173"/>
      <c r="AP1101" s="173"/>
      <c r="AQ1101" s="178"/>
      <c r="AR1101" s="173"/>
      <c r="AS1101" s="173"/>
      <c r="AT1101" s="140"/>
      <c r="AX1101" s="140"/>
      <c r="BB1101" s="173"/>
      <c r="BC1101" s="173"/>
    </row>
    <row r="1102" spans="2:55" s="134" customFormat="1" x14ac:dyDescent="0.2">
      <c r="B1102" s="145"/>
      <c r="D1102" s="145"/>
      <c r="Z1102" s="177"/>
      <c r="AA1102" s="178"/>
      <c r="AB1102" s="139"/>
      <c r="AC1102" s="173"/>
      <c r="AD1102" s="177"/>
      <c r="AE1102" s="177"/>
      <c r="AF1102" s="139"/>
      <c r="AG1102" s="139"/>
      <c r="AH1102" s="177"/>
      <c r="AI1102" s="178"/>
      <c r="AJ1102" s="139"/>
      <c r="AK1102" s="173"/>
      <c r="AL1102" s="177"/>
      <c r="AM1102" s="178"/>
      <c r="AN1102" s="173"/>
      <c r="AO1102" s="173"/>
      <c r="AP1102" s="173"/>
      <c r="AQ1102" s="178"/>
      <c r="AR1102" s="173"/>
      <c r="AS1102" s="173"/>
      <c r="AT1102" s="140"/>
      <c r="AX1102" s="140"/>
      <c r="BB1102" s="173"/>
      <c r="BC1102" s="173"/>
    </row>
    <row r="1103" spans="2:55" s="134" customFormat="1" x14ac:dyDescent="0.2">
      <c r="B1103" s="145"/>
      <c r="D1103" s="145"/>
      <c r="Z1103" s="177"/>
      <c r="AA1103" s="178"/>
      <c r="AB1103" s="139"/>
      <c r="AC1103" s="173"/>
      <c r="AD1103" s="177"/>
      <c r="AE1103" s="177"/>
      <c r="AF1103" s="139"/>
      <c r="AG1103" s="139"/>
      <c r="AH1103" s="177"/>
      <c r="AI1103" s="178"/>
      <c r="AJ1103" s="139"/>
      <c r="AK1103" s="173"/>
      <c r="AL1103" s="177"/>
      <c r="AM1103" s="178"/>
      <c r="AN1103" s="173"/>
      <c r="AO1103" s="173"/>
      <c r="AP1103" s="173"/>
      <c r="AQ1103" s="178"/>
      <c r="AR1103" s="173"/>
      <c r="AS1103" s="173"/>
      <c r="AT1103" s="140"/>
      <c r="AX1103" s="140"/>
      <c r="BB1103" s="173"/>
      <c r="BC1103" s="173"/>
    </row>
    <row r="1104" spans="2:55" s="134" customFormat="1" x14ac:dyDescent="0.2">
      <c r="B1104" s="145"/>
      <c r="D1104" s="145"/>
      <c r="Z1104" s="177"/>
      <c r="AA1104" s="178"/>
      <c r="AB1104" s="139"/>
      <c r="AC1104" s="173"/>
      <c r="AD1104" s="177"/>
      <c r="AE1104" s="177"/>
      <c r="AF1104" s="139"/>
      <c r="AG1104" s="139"/>
      <c r="AH1104" s="177"/>
      <c r="AI1104" s="178"/>
      <c r="AJ1104" s="139"/>
      <c r="AK1104" s="173"/>
      <c r="AL1104" s="177"/>
      <c r="AM1104" s="178"/>
      <c r="AN1104" s="173"/>
      <c r="AO1104" s="173"/>
      <c r="AP1104" s="173"/>
      <c r="AQ1104" s="178"/>
      <c r="AR1104" s="173"/>
      <c r="AS1104" s="173"/>
      <c r="AT1104" s="140"/>
      <c r="AX1104" s="140"/>
      <c r="BB1104" s="173"/>
      <c r="BC1104" s="173"/>
    </row>
    <row r="1105" spans="2:55" s="134" customFormat="1" x14ac:dyDescent="0.2">
      <c r="B1105" s="145"/>
      <c r="D1105" s="145"/>
      <c r="Z1105" s="177"/>
      <c r="AA1105" s="178"/>
      <c r="AB1105" s="139"/>
      <c r="AC1105" s="173"/>
      <c r="AD1105" s="177"/>
      <c r="AE1105" s="177"/>
      <c r="AF1105" s="139"/>
      <c r="AG1105" s="139"/>
      <c r="AH1105" s="177"/>
      <c r="AI1105" s="178"/>
      <c r="AJ1105" s="139"/>
      <c r="AK1105" s="173"/>
      <c r="AL1105" s="177"/>
      <c r="AM1105" s="178"/>
      <c r="AN1105" s="173"/>
      <c r="AO1105" s="173"/>
      <c r="AP1105" s="173"/>
      <c r="AQ1105" s="178"/>
      <c r="AR1105" s="173"/>
      <c r="AS1105" s="173"/>
      <c r="AT1105" s="140"/>
      <c r="AX1105" s="140"/>
      <c r="BB1105" s="173"/>
      <c r="BC1105" s="173"/>
    </row>
    <row r="1106" spans="2:55" s="134" customFormat="1" x14ac:dyDescent="0.2">
      <c r="B1106" s="145"/>
      <c r="D1106" s="145"/>
      <c r="Z1106" s="177"/>
      <c r="AA1106" s="178"/>
      <c r="AB1106" s="139"/>
      <c r="AC1106" s="173"/>
      <c r="AD1106" s="177"/>
      <c r="AE1106" s="177"/>
      <c r="AF1106" s="139"/>
      <c r="AG1106" s="139"/>
      <c r="AH1106" s="177"/>
      <c r="AI1106" s="178"/>
      <c r="AJ1106" s="139"/>
      <c r="AK1106" s="173"/>
      <c r="AL1106" s="177"/>
      <c r="AM1106" s="178"/>
      <c r="AN1106" s="173"/>
      <c r="AO1106" s="173"/>
      <c r="AP1106" s="173"/>
      <c r="AQ1106" s="178"/>
      <c r="AR1106" s="173"/>
      <c r="AS1106" s="173"/>
      <c r="AT1106" s="140"/>
      <c r="AX1106" s="140"/>
      <c r="BB1106" s="173"/>
      <c r="BC1106" s="173"/>
    </row>
    <row r="1107" spans="2:55" s="134" customFormat="1" x14ac:dyDescent="0.2">
      <c r="B1107" s="145"/>
      <c r="D1107" s="145"/>
      <c r="Z1107" s="177"/>
      <c r="AA1107" s="178"/>
      <c r="AB1107" s="139"/>
      <c r="AC1107" s="173"/>
      <c r="AD1107" s="177"/>
      <c r="AE1107" s="177"/>
      <c r="AF1107" s="139"/>
      <c r="AG1107" s="139"/>
      <c r="AH1107" s="177"/>
      <c r="AI1107" s="178"/>
      <c r="AJ1107" s="139"/>
      <c r="AK1107" s="173"/>
      <c r="AL1107" s="177"/>
      <c r="AM1107" s="178"/>
      <c r="AN1107" s="173"/>
      <c r="AO1107" s="173"/>
      <c r="AP1107" s="173"/>
      <c r="AQ1107" s="178"/>
      <c r="AR1107" s="173"/>
      <c r="AS1107" s="173"/>
      <c r="AT1107" s="140"/>
      <c r="AX1107" s="140"/>
      <c r="BB1107" s="173"/>
      <c r="BC1107" s="173"/>
    </row>
    <row r="1108" spans="2:55" s="134" customFormat="1" x14ac:dyDescent="0.2">
      <c r="B1108" s="145"/>
      <c r="D1108" s="145"/>
      <c r="Z1108" s="177"/>
      <c r="AA1108" s="178"/>
      <c r="AB1108" s="139"/>
      <c r="AC1108" s="173"/>
      <c r="AD1108" s="177"/>
      <c r="AE1108" s="177"/>
      <c r="AF1108" s="139"/>
      <c r="AG1108" s="139"/>
      <c r="AH1108" s="177"/>
      <c r="AI1108" s="178"/>
      <c r="AJ1108" s="139"/>
      <c r="AK1108" s="173"/>
      <c r="AL1108" s="177"/>
      <c r="AM1108" s="178"/>
      <c r="AN1108" s="173"/>
      <c r="AO1108" s="173"/>
      <c r="AP1108" s="173"/>
      <c r="AQ1108" s="178"/>
      <c r="AR1108" s="173"/>
      <c r="AS1108" s="173"/>
      <c r="AT1108" s="140"/>
      <c r="AX1108" s="140"/>
      <c r="BB1108" s="173"/>
      <c r="BC1108" s="173"/>
    </row>
    <row r="1109" spans="2:55" s="134" customFormat="1" x14ac:dyDescent="0.2">
      <c r="B1109" s="145"/>
      <c r="D1109" s="145"/>
      <c r="Z1109" s="177"/>
      <c r="AA1109" s="178"/>
      <c r="AB1109" s="139"/>
      <c r="AC1109" s="173"/>
      <c r="AD1109" s="177"/>
      <c r="AE1109" s="177"/>
      <c r="AF1109" s="139"/>
      <c r="AG1109" s="139"/>
      <c r="AH1109" s="177"/>
      <c r="AI1109" s="178"/>
      <c r="AJ1109" s="139"/>
      <c r="AK1109" s="173"/>
      <c r="AL1109" s="177"/>
      <c r="AM1109" s="178"/>
      <c r="AN1109" s="173"/>
      <c r="AO1109" s="173"/>
      <c r="AP1109" s="173"/>
      <c r="AQ1109" s="178"/>
      <c r="AR1109" s="173"/>
      <c r="AS1109" s="173"/>
      <c r="AT1109" s="140"/>
      <c r="AX1109" s="140"/>
      <c r="BB1109" s="173"/>
      <c r="BC1109" s="173"/>
    </row>
    <row r="1110" spans="2:55" s="134" customFormat="1" x14ac:dyDescent="0.2">
      <c r="B1110" s="145"/>
      <c r="D1110" s="145"/>
      <c r="Z1110" s="177"/>
      <c r="AA1110" s="178"/>
      <c r="AB1110" s="139"/>
      <c r="AC1110" s="173"/>
      <c r="AD1110" s="177"/>
      <c r="AE1110" s="177"/>
      <c r="AF1110" s="139"/>
      <c r="AG1110" s="139"/>
      <c r="AH1110" s="177"/>
      <c r="AI1110" s="178"/>
      <c r="AJ1110" s="139"/>
      <c r="AK1110" s="173"/>
      <c r="AL1110" s="177"/>
      <c r="AM1110" s="178"/>
      <c r="AN1110" s="173"/>
      <c r="AO1110" s="173"/>
      <c r="AP1110" s="173"/>
      <c r="AQ1110" s="178"/>
      <c r="AR1110" s="173"/>
      <c r="AS1110" s="173"/>
      <c r="AT1110" s="140"/>
      <c r="AX1110" s="140"/>
      <c r="BB1110" s="173"/>
      <c r="BC1110" s="173"/>
    </row>
    <row r="1111" spans="2:55" s="134" customFormat="1" x14ac:dyDescent="0.2">
      <c r="B1111" s="145"/>
      <c r="D1111" s="145"/>
      <c r="Z1111" s="177"/>
      <c r="AA1111" s="178"/>
      <c r="AB1111" s="139"/>
      <c r="AC1111" s="173"/>
      <c r="AD1111" s="177"/>
      <c r="AE1111" s="177"/>
      <c r="AF1111" s="139"/>
      <c r="AG1111" s="139"/>
      <c r="AH1111" s="177"/>
      <c r="AI1111" s="178"/>
      <c r="AJ1111" s="139"/>
      <c r="AK1111" s="173"/>
      <c r="AL1111" s="177"/>
      <c r="AM1111" s="178"/>
      <c r="AN1111" s="173"/>
      <c r="AO1111" s="173"/>
      <c r="AP1111" s="173"/>
      <c r="AQ1111" s="178"/>
      <c r="AR1111" s="173"/>
      <c r="AS1111" s="173"/>
      <c r="AT1111" s="140"/>
      <c r="AX1111" s="140"/>
      <c r="BB1111" s="173"/>
      <c r="BC1111" s="173"/>
    </row>
    <row r="1112" spans="2:55" s="134" customFormat="1" x14ac:dyDescent="0.2">
      <c r="B1112" s="145"/>
      <c r="D1112" s="145"/>
      <c r="Z1112" s="177"/>
      <c r="AA1112" s="178"/>
      <c r="AB1112" s="139"/>
      <c r="AC1112" s="173"/>
      <c r="AD1112" s="177"/>
      <c r="AE1112" s="177"/>
      <c r="AF1112" s="139"/>
      <c r="AG1112" s="139"/>
      <c r="AH1112" s="177"/>
      <c r="AI1112" s="178"/>
      <c r="AJ1112" s="139"/>
      <c r="AK1112" s="173"/>
      <c r="AL1112" s="177"/>
      <c r="AM1112" s="178"/>
      <c r="AN1112" s="173"/>
      <c r="AO1112" s="173"/>
      <c r="AP1112" s="173"/>
      <c r="AQ1112" s="178"/>
      <c r="AR1112" s="173"/>
      <c r="AS1112" s="173"/>
      <c r="AT1112" s="140"/>
      <c r="AX1112" s="140"/>
      <c r="BB1112" s="173"/>
      <c r="BC1112" s="173"/>
    </row>
    <row r="1113" spans="2:55" s="134" customFormat="1" x14ac:dyDescent="0.2">
      <c r="B1113" s="145"/>
      <c r="D1113" s="145"/>
      <c r="Z1113" s="177"/>
      <c r="AA1113" s="178"/>
      <c r="AB1113" s="139"/>
      <c r="AC1113" s="173"/>
      <c r="AD1113" s="177"/>
      <c r="AE1113" s="177"/>
      <c r="AF1113" s="139"/>
      <c r="AG1113" s="139"/>
      <c r="AH1113" s="177"/>
      <c r="AI1113" s="178"/>
      <c r="AJ1113" s="139"/>
      <c r="AK1113" s="173"/>
      <c r="AL1113" s="177"/>
      <c r="AM1113" s="178"/>
      <c r="AN1113" s="173"/>
      <c r="AO1113" s="173"/>
      <c r="AP1113" s="173"/>
      <c r="AQ1113" s="178"/>
      <c r="AR1113" s="173"/>
      <c r="AS1113" s="173"/>
      <c r="AT1113" s="140"/>
      <c r="AX1113" s="140"/>
      <c r="BB1113" s="173"/>
      <c r="BC1113" s="173"/>
    </row>
    <row r="1114" spans="2:55" s="134" customFormat="1" x14ac:dyDescent="0.2">
      <c r="B1114" s="145"/>
      <c r="D1114" s="145"/>
      <c r="Z1114" s="177"/>
      <c r="AA1114" s="178"/>
      <c r="AB1114" s="139"/>
      <c r="AC1114" s="173"/>
      <c r="AD1114" s="177"/>
      <c r="AE1114" s="177"/>
      <c r="AF1114" s="139"/>
      <c r="AG1114" s="139"/>
      <c r="AH1114" s="177"/>
      <c r="AI1114" s="178"/>
      <c r="AJ1114" s="139"/>
      <c r="AK1114" s="173"/>
      <c r="AL1114" s="177"/>
      <c r="AM1114" s="178"/>
      <c r="AN1114" s="173"/>
      <c r="AO1114" s="173"/>
      <c r="AP1114" s="173"/>
      <c r="AQ1114" s="178"/>
      <c r="AR1114" s="173"/>
      <c r="AS1114" s="173"/>
      <c r="AT1114" s="140"/>
      <c r="AX1114" s="140"/>
      <c r="BB1114" s="173"/>
      <c r="BC1114" s="173"/>
    </row>
    <row r="1115" spans="2:55" s="134" customFormat="1" x14ac:dyDescent="0.2">
      <c r="B1115" s="145"/>
      <c r="D1115" s="145"/>
      <c r="Z1115" s="177"/>
      <c r="AA1115" s="178"/>
      <c r="AB1115" s="139"/>
      <c r="AC1115" s="173"/>
      <c r="AD1115" s="177"/>
      <c r="AE1115" s="177"/>
      <c r="AF1115" s="139"/>
      <c r="AG1115" s="139"/>
      <c r="AH1115" s="177"/>
      <c r="AI1115" s="178"/>
      <c r="AJ1115" s="139"/>
      <c r="AK1115" s="173"/>
      <c r="AL1115" s="177"/>
      <c r="AM1115" s="178"/>
      <c r="AN1115" s="173"/>
      <c r="AO1115" s="173"/>
      <c r="AP1115" s="173"/>
      <c r="AQ1115" s="178"/>
      <c r="AR1115" s="173"/>
      <c r="AS1115" s="173"/>
      <c r="AT1115" s="140"/>
      <c r="AX1115" s="140"/>
      <c r="BB1115" s="173"/>
      <c r="BC1115" s="173"/>
    </row>
    <row r="1116" spans="2:55" s="134" customFormat="1" x14ac:dyDescent="0.2">
      <c r="B1116" s="145"/>
      <c r="D1116" s="145"/>
      <c r="Z1116" s="177"/>
      <c r="AA1116" s="178"/>
      <c r="AB1116" s="139"/>
      <c r="AC1116" s="173"/>
      <c r="AD1116" s="177"/>
      <c r="AE1116" s="177"/>
      <c r="AF1116" s="139"/>
      <c r="AG1116" s="139"/>
      <c r="AH1116" s="177"/>
      <c r="AI1116" s="178"/>
      <c r="AJ1116" s="139"/>
      <c r="AK1116" s="173"/>
      <c r="AL1116" s="177"/>
      <c r="AM1116" s="178"/>
      <c r="AN1116" s="173"/>
      <c r="AO1116" s="173"/>
      <c r="AP1116" s="173"/>
      <c r="AQ1116" s="178"/>
      <c r="AR1116" s="173"/>
      <c r="AS1116" s="173"/>
      <c r="AT1116" s="140"/>
      <c r="AX1116" s="140"/>
      <c r="BB1116" s="173"/>
      <c r="BC1116" s="173"/>
    </row>
    <row r="1117" spans="2:55" s="134" customFormat="1" x14ac:dyDescent="0.2">
      <c r="B1117" s="145"/>
      <c r="D1117" s="145"/>
      <c r="Z1117" s="177"/>
      <c r="AA1117" s="178"/>
      <c r="AB1117" s="139"/>
      <c r="AC1117" s="173"/>
      <c r="AD1117" s="177"/>
      <c r="AE1117" s="177"/>
      <c r="AF1117" s="139"/>
      <c r="AG1117" s="139"/>
      <c r="AH1117" s="177"/>
      <c r="AI1117" s="178"/>
      <c r="AJ1117" s="139"/>
      <c r="AK1117" s="173"/>
      <c r="AL1117" s="177"/>
      <c r="AM1117" s="178"/>
      <c r="AN1117" s="173"/>
      <c r="AO1117" s="173"/>
      <c r="AP1117" s="173"/>
      <c r="AQ1117" s="178"/>
      <c r="AR1117" s="173"/>
      <c r="AS1117" s="173"/>
      <c r="AT1117" s="140"/>
      <c r="AX1117" s="140"/>
      <c r="BB1117" s="173"/>
      <c r="BC1117" s="173"/>
    </row>
    <row r="1118" spans="2:55" s="134" customFormat="1" x14ac:dyDescent="0.2">
      <c r="B1118" s="145"/>
      <c r="D1118" s="145"/>
      <c r="Z1118" s="177"/>
      <c r="AA1118" s="178"/>
      <c r="AB1118" s="139"/>
      <c r="AC1118" s="173"/>
      <c r="AD1118" s="177"/>
      <c r="AE1118" s="177"/>
      <c r="AF1118" s="139"/>
      <c r="AG1118" s="139"/>
      <c r="AH1118" s="177"/>
      <c r="AI1118" s="178"/>
      <c r="AJ1118" s="139"/>
      <c r="AK1118" s="173"/>
      <c r="AL1118" s="177"/>
      <c r="AM1118" s="178"/>
      <c r="AN1118" s="173"/>
      <c r="AO1118" s="173"/>
      <c r="AP1118" s="173"/>
      <c r="AQ1118" s="178"/>
      <c r="AR1118" s="173"/>
      <c r="AS1118" s="173"/>
      <c r="AT1118" s="140"/>
      <c r="AX1118" s="140"/>
      <c r="BB1118" s="173"/>
      <c r="BC1118" s="173"/>
    </row>
    <row r="1119" spans="2:55" s="134" customFormat="1" x14ac:dyDescent="0.2">
      <c r="B1119" s="145"/>
      <c r="D1119" s="145"/>
      <c r="Z1119" s="177"/>
      <c r="AA1119" s="178"/>
      <c r="AB1119" s="139"/>
      <c r="AC1119" s="173"/>
      <c r="AD1119" s="177"/>
      <c r="AE1119" s="177"/>
      <c r="AF1119" s="139"/>
      <c r="AG1119" s="139"/>
      <c r="AH1119" s="177"/>
      <c r="AI1119" s="178"/>
      <c r="AJ1119" s="139"/>
      <c r="AK1119" s="173"/>
      <c r="AL1119" s="177"/>
      <c r="AM1119" s="178"/>
      <c r="AN1119" s="173"/>
      <c r="AO1119" s="173"/>
      <c r="AP1119" s="173"/>
      <c r="AQ1119" s="178"/>
      <c r="AR1119" s="173"/>
      <c r="AS1119" s="173"/>
      <c r="AT1119" s="140"/>
      <c r="AX1119" s="140"/>
      <c r="BB1119" s="173"/>
      <c r="BC1119" s="173"/>
    </row>
    <row r="1120" spans="2:55" s="134" customFormat="1" x14ac:dyDescent="0.2">
      <c r="B1120" s="145"/>
      <c r="D1120" s="145"/>
      <c r="Z1120" s="177"/>
      <c r="AA1120" s="178"/>
      <c r="AB1120" s="139"/>
      <c r="AC1120" s="173"/>
      <c r="AD1120" s="177"/>
      <c r="AE1120" s="177"/>
      <c r="AF1120" s="139"/>
      <c r="AG1120" s="139"/>
      <c r="AH1120" s="177"/>
      <c r="AI1120" s="178"/>
      <c r="AJ1120" s="139"/>
      <c r="AK1120" s="173"/>
      <c r="AL1120" s="177"/>
      <c r="AM1120" s="178"/>
      <c r="AN1120" s="173"/>
      <c r="AO1120" s="173"/>
      <c r="AP1120" s="173"/>
      <c r="AQ1120" s="178"/>
      <c r="AR1120" s="173"/>
      <c r="AS1120" s="173"/>
      <c r="AT1120" s="140"/>
      <c r="AX1120" s="140"/>
      <c r="BB1120" s="173"/>
      <c r="BC1120" s="173"/>
    </row>
    <row r="1121" spans="2:55" s="134" customFormat="1" x14ac:dyDescent="0.2">
      <c r="B1121" s="145"/>
      <c r="D1121" s="145"/>
      <c r="Z1121" s="177"/>
      <c r="AA1121" s="178"/>
      <c r="AB1121" s="139"/>
      <c r="AC1121" s="173"/>
      <c r="AD1121" s="177"/>
      <c r="AE1121" s="177"/>
      <c r="AF1121" s="139"/>
      <c r="AG1121" s="139"/>
      <c r="AH1121" s="177"/>
      <c r="AI1121" s="178"/>
      <c r="AJ1121" s="139"/>
      <c r="AK1121" s="173"/>
      <c r="AL1121" s="177"/>
      <c r="AM1121" s="178"/>
      <c r="AN1121" s="173"/>
      <c r="AO1121" s="173"/>
      <c r="AP1121" s="173"/>
      <c r="AQ1121" s="178"/>
      <c r="AR1121" s="173"/>
      <c r="AS1121" s="173"/>
      <c r="AT1121" s="140"/>
      <c r="AX1121" s="140"/>
      <c r="BB1121" s="173"/>
      <c r="BC1121" s="173"/>
    </row>
    <row r="1122" spans="2:55" s="134" customFormat="1" x14ac:dyDescent="0.2">
      <c r="B1122" s="145"/>
      <c r="D1122" s="145"/>
      <c r="Z1122" s="177"/>
      <c r="AA1122" s="178"/>
      <c r="AB1122" s="139"/>
      <c r="AC1122" s="173"/>
      <c r="AD1122" s="177"/>
      <c r="AE1122" s="177"/>
      <c r="AF1122" s="139"/>
      <c r="AG1122" s="139"/>
      <c r="AH1122" s="177"/>
      <c r="AI1122" s="178"/>
      <c r="AJ1122" s="139"/>
      <c r="AK1122" s="173"/>
      <c r="AL1122" s="177"/>
      <c r="AM1122" s="178"/>
      <c r="AN1122" s="173"/>
      <c r="AO1122" s="173"/>
      <c r="AP1122" s="173"/>
      <c r="AQ1122" s="178"/>
      <c r="AR1122" s="173"/>
      <c r="AS1122" s="173"/>
      <c r="AT1122" s="140"/>
      <c r="AX1122" s="140"/>
      <c r="BB1122" s="173"/>
      <c r="BC1122" s="173"/>
    </row>
    <row r="1123" spans="2:55" s="134" customFormat="1" x14ac:dyDescent="0.2">
      <c r="B1123" s="145"/>
      <c r="D1123" s="145"/>
      <c r="Z1123" s="177"/>
      <c r="AA1123" s="178"/>
      <c r="AB1123" s="139"/>
      <c r="AC1123" s="173"/>
      <c r="AD1123" s="177"/>
      <c r="AE1123" s="177"/>
      <c r="AF1123" s="139"/>
      <c r="AG1123" s="139"/>
      <c r="AH1123" s="177"/>
      <c r="AI1123" s="178"/>
      <c r="AJ1123" s="139"/>
      <c r="AK1123" s="173"/>
      <c r="AL1123" s="177"/>
      <c r="AM1123" s="178"/>
      <c r="AN1123" s="173"/>
      <c r="AO1123" s="173"/>
      <c r="AP1123" s="173"/>
      <c r="AQ1123" s="178"/>
      <c r="AR1123" s="173"/>
      <c r="AS1123" s="173"/>
      <c r="AT1123" s="140"/>
      <c r="AX1123" s="140"/>
      <c r="BB1123" s="173"/>
      <c r="BC1123" s="173"/>
    </row>
    <row r="1124" spans="2:55" s="134" customFormat="1" x14ac:dyDescent="0.2">
      <c r="B1124" s="145"/>
      <c r="D1124" s="145"/>
      <c r="Z1124" s="177"/>
      <c r="AA1124" s="178"/>
      <c r="AB1124" s="139"/>
      <c r="AC1124" s="173"/>
      <c r="AD1124" s="177"/>
      <c r="AE1124" s="177"/>
      <c r="AF1124" s="139"/>
      <c r="AG1124" s="139"/>
      <c r="AH1124" s="177"/>
      <c r="AI1124" s="178"/>
      <c r="AJ1124" s="139"/>
      <c r="AK1124" s="173"/>
      <c r="AL1124" s="177"/>
      <c r="AM1124" s="178"/>
      <c r="AN1124" s="173"/>
      <c r="AO1124" s="173"/>
      <c r="AP1124" s="173"/>
      <c r="AQ1124" s="178"/>
      <c r="AR1124" s="173"/>
      <c r="AS1124" s="173"/>
      <c r="AT1124" s="140"/>
      <c r="AX1124" s="140"/>
      <c r="BB1124" s="173"/>
      <c r="BC1124" s="173"/>
    </row>
    <row r="1125" spans="2:55" s="134" customFormat="1" x14ac:dyDescent="0.2">
      <c r="B1125" s="145"/>
      <c r="D1125" s="145"/>
      <c r="Z1125" s="177"/>
      <c r="AA1125" s="178"/>
      <c r="AB1125" s="139"/>
      <c r="AC1125" s="173"/>
      <c r="AD1125" s="177"/>
      <c r="AE1125" s="177"/>
      <c r="AF1125" s="139"/>
      <c r="AG1125" s="139"/>
      <c r="AH1125" s="177"/>
      <c r="AI1125" s="178"/>
      <c r="AJ1125" s="139"/>
      <c r="AK1125" s="173"/>
      <c r="AL1125" s="177"/>
      <c r="AM1125" s="178"/>
      <c r="AN1125" s="173"/>
      <c r="AO1125" s="173"/>
      <c r="AP1125" s="173"/>
      <c r="AQ1125" s="178"/>
      <c r="AR1125" s="173"/>
      <c r="AS1125" s="173"/>
      <c r="AT1125" s="140"/>
      <c r="AX1125" s="140"/>
      <c r="BB1125" s="173"/>
      <c r="BC1125" s="173"/>
    </row>
    <row r="1126" spans="2:55" s="134" customFormat="1" x14ac:dyDescent="0.2">
      <c r="B1126" s="145"/>
      <c r="D1126" s="145"/>
      <c r="Z1126" s="177"/>
      <c r="AA1126" s="178"/>
      <c r="AB1126" s="139"/>
      <c r="AC1126" s="173"/>
      <c r="AD1126" s="177"/>
      <c r="AE1126" s="177"/>
      <c r="AF1126" s="139"/>
      <c r="AG1126" s="139"/>
      <c r="AH1126" s="177"/>
      <c r="AI1126" s="178"/>
      <c r="AJ1126" s="139"/>
      <c r="AK1126" s="173"/>
      <c r="AL1126" s="177"/>
      <c r="AM1126" s="178"/>
      <c r="AN1126" s="173"/>
      <c r="AO1126" s="173"/>
      <c r="AP1126" s="173"/>
      <c r="AQ1126" s="178"/>
      <c r="AR1126" s="173"/>
      <c r="AS1126" s="173"/>
      <c r="AT1126" s="140"/>
      <c r="AX1126" s="140"/>
      <c r="BB1126" s="173"/>
      <c r="BC1126" s="173"/>
    </row>
    <row r="1127" spans="2:55" s="134" customFormat="1" x14ac:dyDescent="0.2">
      <c r="B1127" s="145"/>
      <c r="D1127" s="145"/>
      <c r="Z1127" s="177"/>
      <c r="AA1127" s="178"/>
      <c r="AB1127" s="139"/>
      <c r="AC1127" s="173"/>
      <c r="AD1127" s="177"/>
      <c r="AE1127" s="177"/>
      <c r="AF1127" s="139"/>
      <c r="AG1127" s="139"/>
      <c r="AH1127" s="177"/>
      <c r="AI1127" s="178"/>
      <c r="AJ1127" s="139"/>
      <c r="AK1127" s="173"/>
      <c r="AL1127" s="177"/>
      <c r="AM1127" s="178"/>
      <c r="AN1127" s="173"/>
      <c r="AO1127" s="173"/>
      <c r="AP1127" s="173"/>
      <c r="AQ1127" s="178"/>
      <c r="AR1127" s="173"/>
      <c r="AS1127" s="173"/>
      <c r="AT1127" s="140"/>
      <c r="AX1127" s="140"/>
      <c r="BB1127" s="173"/>
      <c r="BC1127" s="173"/>
    </row>
    <row r="1128" spans="2:55" s="134" customFormat="1" x14ac:dyDescent="0.2">
      <c r="B1128" s="145"/>
      <c r="D1128" s="145"/>
      <c r="Z1128" s="177"/>
      <c r="AA1128" s="178"/>
      <c r="AB1128" s="139"/>
      <c r="AC1128" s="173"/>
      <c r="AD1128" s="177"/>
      <c r="AE1128" s="177"/>
      <c r="AF1128" s="139"/>
      <c r="AG1128" s="139"/>
      <c r="AH1128" s="177"/>
      <c r="AI1128" s="178"/>
      <c r="AJ1128" s="139"/>
      <c r="AK1128" s="173"/>
      <c r="AL1128" s="177"/>
      <c r="AM1128" s="178"/>
      <c r="AN1128" s="173"/>
      <c r="AO1128" s="173"/>
      <c r="AP1128" s="173"/>
      <c r="AQ1128" s="178"/>
      <c r="AR1128" s="173"/>
      <c r="AS1128" s="173"/>
      <c r="AT1128" s="140"/>
      <c r="AX1128" s="140"/>
      <c r="BB1128" s="173"/>
      <c r="BC1128" s="173"/>
    </row>
    <row r="1129" spans="2:55" s="134" customFormat="1" x14ac:dyDescent="0.2">
      <c r="B1129" s="145"/>
      <c r="D1129" s="145"/>
      <c r="Z1129" s="177"/>
      <c r="AA1129" s="178"/>
      <c r="AB1129" s="139"/>
      <c r="AC1129" s="173"/>
      <c r="AD1129" s="177"/>
      <c r="AE1129" s="177"/>
      <c r="AF1129" s="139"/>
      <c r="AG1129" s="139"/>
      <c r="AH1129" s="177"/>
      <c r="AI1129" s="178"/>
      <c r="AJ1129" s="139"/>
      <c r="AK1129" s="173"/>
      <c r="AL1129" s="177"/>
      <c r="AM1129" s="178"/>
      <c r="AN1129" s="173"/>
      <c r="AO1129" s="173"/>
      <c r="AP1129" s="173"/>
      <c r="AQ1129" s="178"/>
      <c r="AR1129" s="173"/>
      <c r="AS1129" s="173"/>
      <c r="AT1129" s="140"/>
      <c r="AX1129" s="140"/>
      <c r="BB1129" s="173"/>
      <c r="BC1129" s="173"/>
    </row>
    <row r="1130" spans="2:55" s="134" customFormat="1" x14ac:dyDescent="0.2">
      <c r="B1130" s="145"/>
      <c r="D1130" s="145"/>
      <c r="Z1130" s="177"/>
      <c r="AA1130" s="178"/>
      <c r="AB1130" s="139"/>
      <c r="AC1130" s="173"/>
      <c r="AD1130" s="177"/>
      <c r="AE1130" s="177"/>
      <c r="AF1130" s="139"/>
      <c r="AG1130" s="139"/>
      <c r="AH1130" s="177"/>
      <c r="AI1130" s="178"/>
      <c r="AJ1130" s="139"/>
      <c r="AK1130" s="173"/>
      <c r="AL1130" s="177"/>
      <c r="AM1130" s="178"/>
      <c r="AN1130" s="173"/>
      <c r="AO1130" s="173"/>
      <c r="AP1130" s="173"/>
      <c r="AQ1130" s="178"/>
      <c r="AR1130" s="173"/>
      <c r="AS1130" s="173"/>
      <c r="AT1130" s="140"/>
      <c r="AX1130" s="140"/>
      <c r="BB1130" s="173"/>
      <c r="BC1130" s="173"/>
    </row>
    <row r="1131" spans="2:55" s="134" customFormat="1" x14ac:dyDescent="0.2">
      <c r="B1131" s="145"/>
      <c r="D1131" s="145"/>
      <c r="Z1131" s="177"/>
      <c r="AA1131" s="178"/>
      <c r="AB1131" s="139"/>
      <c r="AC1131" s="173"/>
      <c r="AD1131" s="177"/>
      <c r="AE1131" s="177"/>
      <c r="AF1131" s="139"/>
      <c r="AG1131" s="139"/>
      <c r="AH1131" s="177"/>
      <c r="AI1131" s="178"/>
      <c r="AJ1131" s="139"/>
      <c r="AK1131" s="173"/>
      <c r="AL1131" s="177"/>
      <c r="AM1131" s="178"/>
      <c r="AN1131" s="173"/>
      <c r="AO1131" s="173"/>
      <c r="AP1131" s="173"/>
      <c r="AQ1131" s="178"/>
      <c r="AR1131" s="173"/>
      <c r="AS1131" s="173"/>
      <c r="AT1131" s="140"/>
      <c r="AX1131" s="140"/>
      <c r="BB1131" s="173"/>
      <c r="BC1131" s="173"/>
    </row>
    <row r="1132" spans="2:55" s="134" customFormat="1" x14ac:dyDescent="0.2">
      <c r="B1132" s="145"/>
      <c r="D1132" s="145"/>
      <c r="Z1132" s="177"/>
      <c r="AA1132" s="178"/>
      <c r="AB1132" s="139"/>
      <c r="AC1132" s="173"/>
      <c r="AD1132" s="177"/>
      <c r="AE1132" s="177"/>
      <c r="AF1132" s="139"/>
      <c r="AG1132" s="139"/>
      <c r="AH1132" s="177"/>
      <c r="AI1132" s="178"/>
      <c r="AJ1132" s="139"/>
      <c r="AK1132" s="173"/>
      <c r="AL1132" s="177"/>
      <c r="AM1132" s="178"/>
      <c r="AN1132" s="173"/>
      <c r="AO1132" s="173"/>
      <c r="AP1132" s="173"/>
      <c r="AQ1132" s="178"/>
      <c r="AR1132" s="173"/>
      <c r="AS1132" s="173"/>
      <c r="AT1132" s="140"/>
      <c r="AX1132" s="140"/>
      <c r="BB1132" s="173"/>
      <c r="BC1132" s="173"/>
    </row>
    <row r="1133" spans="2:55" s="134" customFormat="1" x14ac:dyDescent="0.2">
      <c r="B1133" s="145"/>
      <c r="D1133" s="145"/>
      <c r="Z1133" s="177"/>
      <c r="AA1133" s="178"/>
      <c r="AB1133" s="139"/>
      <c r="AC1133" s="173"/>
      <c r="AD1133" s="177"/>
      <c r="AE1133" s="177"/>
      <c r="AF1133" s="139"/>
      <c r="AG1133" s="139"/>
      <c r="AH1133" s="177"/>
      <c r="AI1133" s="178"/>
      <c r="AJ1133" s="139"/>
      <c r="AK1133" s="173"/>
      <c r="AL1133" s="177"/>
      <c r="AM1133" s="178"/>
      <c r="AN1133" s="173"/>
      <c r="AO1133" s="173"/>
      <c r="AP1133" s="173"/>
      <c r="AQ1133" s="178"/>
      <c r="AR1133" s="173"/>
      <c r="AS1133" s="173"/>
      <c r="AT1133" s="140"/>
      <c r="AX1133" s="140"/>
      <c r="BB1133" s="173"/>
      <c r="BC1133" s="173"/>
    </row>
    <row r="1134" spans="2:55" s="134" customFormat="1" x14ac:dyDescent="0.2">
      <c r="B1134" s="145"/>
      <c r="D1134" s="145"/>
      <c r="Z1134" s="177"/>
      <c r="AA1134" s="178"/>
      <c r="AB1134" s="139"/>
      <c r="AC1134" s="173"/>
      <c r="AD1134" s="177"/>
      <c r="AE1134" s="177"/>
      <c r="AF1134" s="139"/>
      <c r="AG1134" s="139"/>
      <c r="AH1134" s="177"/>
      <c r="AI1134" s="178"/>
      <c r="AJ1134" s="139"/>
      <c r="AK1134" s="173"/>
      <c r="AL1134" s="177"/>
      <c r="AM1134" s="178"/>
      <c r="AN1134" s="173"/>
      <c r="AO1134" s="173"/>
      <c r="AP1134" s="173"/>
      <c r="AQ1134" s="178"/>
      <c r="AR1134" s="173"/>
      <c r="AS1134" s="173"/>
      <c r="AT1134" s="140"/>
      <c r="AX1134" s="140"/>
      <c r="BB1134" s="173"/>
      <c r="BC1134" s="173"/>
    </row>
    <row r="1135" spans="2:55" s="134" customFormat="1" x14ac:dyDescent="0.2">
      <c r="B1135" s="145"/>
      <c r="D1135" s="145"/>
      <c r="Z1135" s="177"/>
      <c r="AA1135" s="178"/>
      <c r="AB1135" s="139"/>
      <c r="AC1135" s="173"/>
      <c r="AD1135" s="177"/>
      <c r="AE1135" s="177"/>
      <c r="AF1135" s="139"/>
      <c r="AG1135" s="139"/>
      <c r="AH1135" s="177"/>
      <c r="AI1135" s="178"/>
      <c r="AJ1135" s="139"/>
      <c r="AK1135" s="173"/>
      <c r="AL1135" s="177"/>
      <c r="AM1135" s="178"/>
      <c r="AN1135" s="173"/>
      <c r="AO1135" s="173"/>
      <c r="AP1135" s="173"/>
      <c r="AQ1135" s="178"/>
      <c r="AR1135" s="173"/>
      <c r="AS1135" s="173"/>
      <c r="AT1135" s="140"/>
      <c r="AX1135" s="140"/>
      <c r="BB1135" s="173"/>
      <c r="BC1135" s="173"/>
    </row>
    <row r="1136" spans="2:55" s="134" customFormat="1" x14ac:dyDescent="0.2">
      <c r="B1136" s="145"/>
      <c r="D1136" s="145"/>
      <c r="Z1136" s="177"/>
      <c r="AA1136" s="178"/>
      <c r="AB1136" s="139"/>
      <c r="AC1136" s="173"/>
      <c r="AD1136" s="177"/>
      <c r="AE1136" s="177"/>
      <c r="AF1136" s="139"/>
      <c r="AG1136" s="139"/>
      <c r="AH1136" s="177"/>
      <c r="AI1136" s="178"/>
      <c r="AJ1136" s="139"/>
      <c r="AK1136" s="173"/>
      <c r="AL1136" s="177"/>
      <c r="AM1136" s="178"/>
      <c r="AN1136" s="173"/>
      <c r="AO1136" s="173"/>
      <c r="AP1136" s="173"/>
      <c r="AQ1136" s="178"/>
      <c r="AR1136" s="173"/>
      <c r="AS1136" s="173"/>
      <c r="AT1136" s="140"/>
      <c r="AX1136" s="140"/>
      <c r="BB1136" s="173"/>
      <c r="BC1136" s="173"/>
    </row>
    <row r="1137" spans="2:55" s="134" customFormat="1" x14ac:dyDescent="0.2">
      <c r="B1137" s="145"/>
      <c r="D1137" s="145"/>
      <c r="Z1137" s="177"/>
      <c r="AA1137" s="178"/>
      <c r="AB1137" s="139"/>
      <c r="AC1137" s="173"/>
      <c r="AD1137" s="177"/>
      <c r="AE1137" s="177"/>
      <c r="AF1137" s="139"/>
      <c r="AG1137" s="139"/>
      <c r="AH1137" s="177"/>
      <c r="AI1137" s="178"/>
      <c r="AJ1137" s="139"/>
      <c r="AK1137" s="173"/>
      <c r="AL1137" s="177"/>
      <c r="AM1137" s="178"/>
      <c r="AN1137" s="173"/>
      <c r="AO1137" s="173"/>
      <c r="AP1137" s="173"/>
      <c r="AQ1137" s="178"/>
      <c r="AR1137" s="173"/>
      <c r="AS1137" s="173"/>
      <c r="AT1137" s="140"/>
      <c r="AX1137" s="140"/>
      <c r="BB1137" s="173"/>
      <c r="BC1137" s="173"/>
    </row>
    <row r="1138" spans="2:55" s="134" customFormat="1" x14ac:dyDescent="0.2">
      <c r="B1138" s="145"/>
      <c r="D1138" s="145"/>
      <c r="Z1138" s="177"/>
      <c r="AA1138" s="178"/>
      <c r="AB1138" s="139"/>
      <c r="AC1138" s="173"/>
      <c r="AD1138" s="177"/>
      <c r="AE1138" s="177"/>
      <c r="AF1138" s="139"/>
      <c r="AG1138" s="139"/>
      <c r="AH1138" s="177"/>
      <c r="AI1138" s="178"/>
      <c r="AJ1138" s="139"/>
      <c r="AK1138" s="173"/>
      <c r="AL1138" s="177"/>
      <c r="AM1138" s="178"/>
      <c r="AN1138" s="173"/>
      <c r="AO1138" s="173"/>
      <c r="AP1138" s="173"/>
      <c r="AQ1138" s="178"/>
      <c r="AR1138" s="173"/>
      <c r="AS1138" s="173"/>
      <c r="AT1138" s="140"/>
      <c r="AX1138" s="140"/>
      <c r="BB1138" s="173"/>
      <c r="BC1138" s="173"/>
    </row>
    <row r="1139" spans="2:55" s="134" customFormat="1" x14ac:dyDescent="0.2">
      <c r="B1139" s="145"/>
      <c r="D1139" s="145"/>
      <c r="Z1139" s="177"/>
      <c r="AA1139" s="178"/>
      <c r="AB1139" s="139"/>
      <c r="AC1139" s="173"/>
      <c r="AD1139" s="177"/>
      <c r="AE1139" s="177"/>
      <c r="AF1139" s="139"/>
      <c r="AG1139" s="139"/>
      <c r="AH1139" s="177"/>
      <c r="AI1139" s="178"/>
      <c r="AJ1139" s="139"/>
      <c r="AK1139" s="173"/>
      <c r="AL1139" s="177"/>
      <c r="AM1139" s="178"/>
      <c r="AN1139" s="173"/>
      <c r="AO1139" s="173"/>
      <c r="AP1139" s="173"/>
      <c r="AQ1139" s="178"/>
      <c r="AR1139" s="173"/>
      <c r="AS1139" s="173"/>
      <c r="AT1139" s="140"/>
      <c r="AX1139" s="140"/>
      <c r="BB1139" s="173"/>
      <c r="BC1139" s="173"/>
    </row>
    <row r="1140" spans="2:55" s="134" customFormat="1" x14ac:dyDescent="0.2">
      <c r="B1140" s="145"/>
      <c r="D1140" s="145"/>
      <c r="Z1140" s="177"/>
      <c r="AA1140" s="178"/>
      <c r="AB1140" s="139"/>
      <c r="AC1140" s="173"/>
      <c r="AD1140" s="177"/>
      <c r="AE1140" s="177"/>
      <c r="AF1140" s="139"/>
      <c r="AG1140" s="139"/>
      <c r="AH1140" s="177"/>
      <c r="AI1140" s="178"/>
      <c r="AJ1140" s="139"/>
      <c r="AK1140" s="173"/>
      <c r="AL1140" s="177"/>
      <c r="AM1140" s="178"/>
      <c r="AN1140" s="173"/>
      <c r="AO1140" s="173"/>
      <c r="AP1140" s="173"/>
      <c r="AQ1140" s="178"/>
      <c r="AR1140" s="173"/>
      <c r="AS1140" s="173"/>
      <c r="AT1140" s="140"/>
      <c r="AX1140" s="140"/>
      <c r="BB1140" s="173"/>
      <c r="BC1140" s="173"/>
    </row>
    <row r="1141" spans="2:55" s="134" customFormat="1" x14ac:dyDescent="0.2">
      <c r="B1141" s="145"/>
      <c r="D1141" s="145"/>
      <c r="Z1141" s="177"/>
      <c r="AA1141" s="178"/>
      <c r="AB1141" s="139"/>
      <c r="AC1141" s="173"/>
      <c r="AD1141" s="177"/>
      <c r="AE1141" s="177"/>
      <c r="AF1141" s="139"/>
      <c r="AG1141" s="139"/>
      <c r="AH1141" s="177"/>
      <c r="AI1141" s="178"/>
      <c r="AJ1141" s="139"/>
      <c r="AK1141" s="173"/>
      <c r="AL1141" s="177"/>
      <c r="AM1141" s="178"/>
      <c r="AN1141" s="173"/>
      <c r="AO1141" s="173"/>
      <c r="AP1141" s="173"/>
      <c r="AQ1141" s="178"/>
      <c r="AR1141" s="173"/>
      <c r="AS1141" s="173"/>
      <c r="AT1141" s="140"/>
      <c r="AX1141" s="140"/>
      <c r="BB1141" s="173"/>
      <c r="BC1141" s="173"/>
    </row>
    <row r="1142" spans="2:55" s="134" customFormat="1" x14ac:dyDescent="0.2">
      <c r="B1142" s="145"/>
      <c r="D1142" s="145"/>
      <c r="Z1142" s="177"/>
      <c r="AA1142" s="178"/>
      <c r="AB1142" s="139"/>
      <c r="AC1142" s="173"/>
      <c r="AD1142" s="177"/>
      <c r="AE1142" s="177"/>
      <c r="AF1142" s="139"/>
      <c r="AG1142" s="139"/>
      <c r="AH1142" s="177"/>
      <c r="AI1142" s="178"/>
      <c r="AJ1142" s="139"/>
      <c r="AK1142" s="173"/>
      <c r="AL1142" s="177"/>
      <c r="AM1142" s="178"/>
      <c r="AN1142" s="173"/>
      <c r="AO1142" s="173"/>
      <c r="AP1142" s="173"/>
      <c r="AQ1142" s="178"/>
      <c r="AR1142" s="173"/>
      <c r="AS1142" s="173"/>
      <c r="AT1142" s="140"/>
      <c r="AX1142" s="140"/>
      <c r="BB1142" s="173"/>
      <c r="BC1142" s="173"/>
    </row>
    <row r="1143" spans="2:55" s="134" customFormat="1" x14ac:dyDescent="0.2">
      <c r="B1143" s="145"/>
      <c r="D1143" s="145"/>
      <c r="Z1143" s="177"/>
      <c r="AA1143" s="178"/>
      <c r="AB1143" s="139"/>
      <c r="AC1143" s="173"/>
      <c r="AD1143" s="177"/>
      <c r="AE1143" s="177"/>
      <c r="AF1143" s="139"/>
      <c r="AG1143" s="139"/>
      <c r="AH1143" s="177"/>
      <c r="AI1143" s="178"/>
      <c r="AJ1143" s="139"/>
      <c r="AK1143" s="173"/>
      <c r="AL1143" s="177"/>
      <c r="AM1143" s="178"/>
      <c r="AN1143" s="173"/>
      <c r="AO1143" s="173"/>
      <c r="AP1143" s="173"/>
      <c r="AQ1143" s="178"/>
      <c r="AR1143" s="173"/>
      <c r="AS1143" s="173"/>
      <c r="AT1143" s="140"/>
      <c r="AX1143" s="140"/>
      <c r="BB1143" s="173"/>
      <c r="BC1143" s="173"/>
    </row>
    <row r="1144" spans="2:55" s="134" customFormat="1" x14ac:dyDescent="0.2">
      <c r="B1144" s="145"/>
      <c r="D1144" s="145"/>
      <c r="Z1144" s="177"/>
      <c r="AA1144" s="178"/>
      <c r="AB1144" s="139"/>
      <c r="AC1144" s="173"/>
      <c r="AD1144" s="177"/>
      <c r="AE1144" s="177"/>
      <c r="AF1144" s="139"/>
      <c r="AG1144" s="139"/>
      <c r="AH1144" s="177"/>
      <c r="AI1144" s="178"/>
      <c r="AJ1144" s="139"/>
      <c r="AK1144" s="173"/>
      <c r="AL1144" s="177"/>
      <c r="AM1144" s="178"/>
      <c r="AN1144" s="173"/>
      <c r="AO1144" s="173"/>
      <c r="AP1144" s="173"/>
      <c r="AQ1144" s="178"/>
      <c r="AR1144" s="173"/>
      <c r="AS1144" s="173"/>
      <c r="AT1144" s="140"/>
      <c r="AX1144" s="140"/>
      <c r="BB1144" s="173"/>
      <c r="BC1144" s="173"/>
    </row>
    <row r="1145" spans="2:55" s="134" customFormat="1" x14ac:dyDescent="0.2">
      <c r="B1145" s="145"/>
      <c r="D1145" s="145"/>
      <c r="Z1145" s="177"/>
      <c r="AA1145" s="178"/>
      <c r="AB1145" s="139"/>
      <c r="AC1145" s="173"/>
      <c r="AD1145" s="177"/>
      <c r="AE1145" s="177"/>
      <c r="AF1145" s="139"/>
      <c r="AG1145" s="139"/>
      <c r="AH1145" s="177"/>
      <c r="AI1145" s="178"/>
      <c r="AJ1145" s="139"/>
      <c r="AK1145" s="173"/>
      <c r="AL1145" s="177"/>
      <c r="AM1145" s="178"/>
      <c r="AN1145" s="173"/>
      <c r="AO1145" s="173"/>
      <c r="AP1145" s="173"/>
      <c r="AQ1145" s="178"/>
      <c r="AR1145" s="173"/>
      <c r="AS1145" s="173"/>
      <c r="AT1145" s="140"/>
      <c r="AX1145" s="140"/>
      <c r="BB1145" s="173"/>
      <c r="BC1145" s="173"/>
    </row>
    <row r="1146" spans="2:55" s="134" customFormat="1" x14ac:dyDescent="0.2">
      <c r="B1146" s="145"/>
      <c r="D1146" s="145"/>
      <c r="Z1146" s="177"/>
      <c r="AA1146" s="178"/>
      <c r="AB1146" s="139"/>
      <c r="AC1146" s="173"/>
      <c r="AD1146" s="177"/>
      <c r="AE1146" s="177"/>
      <c r="AF1146" s="139"/>
      <c r="AG1146" s="139"/>
      <c r="AH1146" s="177"/>
      <c r="AI1146" s="178"/>
      <c r="AJ1146" s="139"/>
      <c r="AK1146" s="173"/>
      <c r="AL1146" s="177"/>
      <c r="AM1146" s="178"/>
      <c r="AN1146" s="173"/>
      <c r="AO1146" s="173"/>
      <c r="AP1146" s="173"/>
      <c r="AQ1146" s="178"/>
      <c r="AR1146" s="173"/>
      <c r="AS1146" s="173"/>
      <c r="AT1146" s="140"/>
      <c r="AX1146" s="140"/>
      <c r="BB1146" s="173"/>
      <c r="BC1146" s="173"/>
    </row>
    <row r="1147" spans="2:55" s="134" customFormat="1" x14ac:dyDescent="0.2">
      <c r="B1147" s="145"/>
      <c r="D1147" s="145"/>
      <c r="Z1147" s="177"/>
      <c r="AA1147" s="178"/>
      <c r="AB1147" s="139"/>
      <c r="AC1147" s="173"/>
      <c r="AD1147" s="177"/>
      <c r="AE1147" s="177"/>
      <c r="AF1147" s="139"/>
      <c r="AG1147" s="139"/>
      <c r="AH1147" s="177"/>
      <c r="AI1147" s="178"/>
      <c r="AJ1147" s="139"/>
      <c r="AK1147" s="173"/>
      <c r="AL1147" s="177"/>
      <c r="AM1147" s="178"/>
      <c r="AN1147" s="173"/>
      <c r="AO1147" s="173"/>
      <c r="AP1147" s="173"/>
      <c r="AQ1147" s="178"/>
      <c r="AR1147" s="173"/>
      <c r="AS1147" s="173"/>
      <c r="AT1147" s="140"/>
      <c r="AX1147" s="140"/>
      <c r="BB1147" s="173"/>
      <c r="BC1147" s="173"/>
    </row>
    <row r="1148" spans="2:55" s="134" customFormat="1" x14ac:dyDescent="0.2">
      <c r="B1148" s="145"/>
      <c r="D1148" s="145"/>
      <c r="Z1148" s="177"/>
      <c r="AA1148" s="178"/>
      <c r="AB1148" s="139"/>
      <c r="AC1148" s="173"/>
      <c r="AD1148" s="177"/>
      <c r="AE1148" s="177"/>
      <c r="AF1148" s="139"/>
      <c r="AG1148" s="139"/>
      <c r="AH1148" s="177"/>
      <c r="AI1148" s="178"/>
      <c r="AJ1148" s="139"/>
      <c r="AK1148" s="173"/>
      <c r="AL1148" s="177"/>
      <c r="AM1148" s="178"/>
      <c r="AN1148" s="173"/>
      <c r="AO1148" s="173"/>
      <c r="AP1148" s="173"/>
      <c r="AQ1148" s="178"/>
      <c r="AR1148" s="173"/>
      <c r="AS1148" s="173"/>
      <c r="AT1148" s="140"/>
      <c r="AX1148" s="140"/>
      <c r="BB1148" s="173"/>
      <c r="BC1148" s="173"/>
    </row>
    <row r="1149" spans="2:55" s="134" customFormat="1" x14ac:dyDescent="0.2">
      <c r="B1149" s="145"/>
      <c r="D1149" s="145"/>
      <c r="Z1149" s="177"/>
      <c r="AA1149" s="178"/>
      <c r="AB1149" s="139"/>
      <c r="AC1149" s="173"/>
      <c r="AD1149" s="177"/>
      <c r="AE1149" s="177"/>
      <c r="AF1149" s="139"/>
      <c r="AG1149" s="139"/>
      <c r="AH1149" s="177"/>
      <c r="AI1149" s="178"/>
      <c r="AJ1149" s="139"/>
      <c r="AK1149" s="173"/>
      <c r="AL1149" s="177"/>
      <c r="AM1149" s="178"/>
      <c r="AN1149" s="173"/>
      <c r="AO1149" s="173"/>
      <c r="AP1149" s="173"/>
      <c r="AQ1149" s="178"/>
      <c r="AR1149" s="173"/>
      <c r="AS1149" s="173"/>
      <c r="AT1149" s="140"/>
      <c r="AX1149" s="140"/>
      <c r="BB1149" s="173"/>
      <c r="BC1149" s="173"/>
    </row>
    <row r="1150" spans="2:55" s="134" customFormat="1" x14ac:dyDescent="0.2">
      <c r="B1150" s="145"/>
      <c r="D1150" s="145"/>
      <c r="Z1150" s="177"/>
      <c r="AA1150" s="178"/>
      <c r="AB1150" s="139"/>
      <c r="AC1150" s="173"/>
      <c r="AD1150" s="177"/>
      <c r="AE1150" s="177"/>
      <c r="AF1150" s="139"/>
      <c r="AG1150" s="139"/>
      <c r="AH1150" s="177"/>
      <c r="AI1150" s="178"/>
      <c r="AJ1150" s="139"/>
      <c r="AK1150" s="173"/>
      <c r="AL1150" s="177"/>
      <c r="AM1150" s="178"/>
      <c r="AN1150" s="173"/>
      <c r="AO1150" s="173"/>
      <c r="AP1150" s="173"/>
      <c r="AQ1150" s="178"/>
      <c r="AR1150" s="173"/>
      <c r="AS1150" s="173"/>
      <c r="AT1150" s="140"/>
      <c r="AX1150" s="140"/>
      <c r="BB1150" s="173"/>
      <c r="BC1150" s="173"/>
    </row>
    <row r="1151" spans="2:55" s="134" customFormat="1" x14ac:dyDescent="0.2">
      <c r="B1151" s="145"/>
      <c r="D1151" s="145"/>
      <c r="Z1151" s="177"/>
      <c r="AA1151" s="178"/>
      <c r="AB1151" s="139"/>
      <c r="AC1151" s="173"/>
      <c r="AD1151" s="177"/>
      <c r="AE1151" s="177"/>
      <c r="AF1151" s="139"/>
      <c r="AG1151" s="139"/>
      <c r="AH1151" s="177"/>
      <c r="AI1151" s="178"/>
      <c r="AJ1151" s="139"/>
      <c r="AK1151" s="173"/>
      <c r="AL1151" s="177"/>
      <c r="AM1151" s="178"/>
      <c r="AN1151" s="173"/>
      <c r="AO1151" s="173"/>
      <c r="AP1151" s="173"/>
      <c r="AQ1151" s="178"/>
      <c r="AR1151" s="173"/>
      <c r="AS1151" s="173"/>
      <c r="AT1151" s="140"/>
      <c r="AX1151" s="140"/>
      <c r="BB1151" s="173"/>
      <c r="BC1151" s="173"/>
    </row>
    <row r="1152" spans="2:55" s="134" customFormat="1" x14ac:dyDescent="0.2">
      <c r="B1152" s="145"/>
      <c r="D1152" s="145"/>
      <c r="Z1152" s="177"/>
      <c r="AA1152" s="178"/>
      <c r="AB1152" s="139"/>
      <c r="AC1152" s="173"/>
      <c r="AD1152" s="177"/>
      <c r="AE1152" s="177"/>
      <c r="AF1152" s="139"/>
      <c r="AG1152" s="139"/>
      <c r="AH1152" s="177"/>
      <c r="AI1152" s="178"/>
      <c r="AJ1152" s="139"/>
      <c r="AK1152" s="173"/>
      <c r="AL1152" s="177"/>
      <c r="AM1152" s="178"/>
      <c r="AN1152" s="173"/>
      <c r="AO1152" s="173"/>
      <c r="AP1152" s="173"/>
      <c r="AQ1152" s="178"/>
      <c r="AR1152" s="173"/>
      <c r="AS1152" s="173"/>
      <c r="AT1152" s="140"/>
      <c r="AX1152" s="140"/>
      <c r="BB1152" s="173"/>
      <c r="BC1152" s="173"/>
    </row>
    <row r="1153" spans="2:55" s="134" customFormat="1" x14ac:dyDescent="0.2">
      <c r="B1153" s="145"/>
      <c r="D1153" s="145"/>
      <c r="Z1153" s="177"/>
      <c r="AA1153" s="178"/>
      <c r="AB1153" s="139"/>
      <c r="AC1153" s="173"/>
      <c r="AD1153" s="177"/>
      <c r="AE1153" s="177"/>
      <c r="AF1153" s="139"/>
      <c r="AG1153" s="139"/>
      <c r="AH1153" s="177"/>
      <c r="AI1153" s="178"/>
      <c r="AJ1153" s="139"/>
      <c r="AK1153" s="173"/>
      <c r="AL1153" s="177"/>
      <c r="AM1153" s="178"/>
      <c r="AN1153" s="173"/>
      <c r="AO1153" s="173"/>
      <c r="AP1153" s="173"/>
      <c r="AQ1153" s="178"/>
      <c r="AR1153" s="173"/>
      <c r="AS1153" s="173"/>
      <c r="AT1153" s="140"/>
      <c r="AX1153" s="140"/>
      <c r="BB1153" s="173"/>
      <c r="BC1153" s="173"/>
    </row>
    <row r="1154" spans="2:55" s="134" customFormat="1" x14ac:dyDescent="0.2">
      <c r="B1154" s="145"/>
      <c r="D1154" s="145"/>
      <c r="Z1154" s="177"/>
      <c r="AA1154" s="178"/>
      <c r="AB1154" s="139"/>
      <c r="AC1154" s="173"/>
      <c r="AD1154" s="177"/>
      <c r="AE1154" s="177"/>
      <c r="AF1154" s="139"/>
      <c r="AG1154" s="139"/>
      <c r="AH1154" s="177"/>
      <c r="AI1154" s="178"/>
      <c r="AJ1154" s="139"/>
      <c r="AK1154" s="173"/>
      <c r="AL1154" s="177"/>
      <c r="AM1154" s="178"/>
      <c r="AN1154" s="173"/>
      <c r="AO1154" s="173"/>
      <c r="AP1154" s="173"/>
      <c r="AQ1154" s="178"/>
      <c r="AR1154" s="173"/>
      <c r="AS1154" s="173"/>
      <c r="AT1154" s="140"/>
      <c r="AX1154" s="140"/>
      <c r="BB1154" s="173"/>
      <c r="BC1154" s="173"/>
    </row>
    <row r="1155" spans="2:55" s="134" customFormat="1" x14ac:dyDescent="0.2">
      <c r="B1155" s="145"/>
      <c r="D1155" s="145"/>
      <c r="Z1155" s="177"/>
      <c r="AA1155" s="178"/>
      <c r="AB1155" s="139"/>
      <c r="AC1155" s="173"/>
      <c r="AD1155" s="177"/>
      <c r="AE1155" s="177"/>
      <c r="AF1155" s="139"/>
      <c r="AG1155" s="139"/>
      <c r="AH1155" s="177"/>
      <c r="AI1155" s="178"/>
      <c r="AJ1155" s="139"/>
      <c r="AK1155" s="173"/>
      <c r="AL1155" s="177"/>
      <c r="AM1155" s="178"/>
      <c r="AN1155" s="173"/>
      <c r="AO1155" s="173"/>
      <c r="AP1155" s="173"/>
      <c r="AQ1155" s="178"/>
      <c r="AR1155" s="173"/>
      <c r="AS1155" s="173"/>
      <c r="AT1155" s="140"/>
      <c r="AX1155" s="140"/>
      <c r="BB1155" s="173"/>
      <c r="BC1155" s="173"/>
    </row>
    <row r="1156" spans="2:55" s="134" customFormat="1" x14ac:dyDescent="0.2">
      <c r="B1156" s="145"/>
      <c r="D1156" s="145"/>
      <c r="Z1156" s="177"/>
      <c r="AA1156" s="178"/>
      <c r="AB1156" s="139"/>
      <c r="AC1156" s="173"/>
      <c r="AD1156" s="177"/>
      <c r="AE1156" s="177"/>
      <c r="AF1156" s="139"/>
      <c r="AG1156" s="139"/>
      <c r="AH1156" s="177"/>
      <c r="AI1156" s="178"/>
      <c r="AJ1156" s="139"/>
      <c r="AK1156" s="173"/>
      <c r="AL1156" s="177"/>
      <c r="AM1156" s="178"/>
      <c r="AN1156" s="173"/>
      <c r="AO1156" s="173"/>
      <c r="AP1156" s="173"/>
      <c r="AQ1156" s="178"/>
      <c r="AR1156" s="173"/>
      <c r="AS1156" s="173"/>
      <c r="AT1156" s="140"/>
      <c r="AX1156" s="140"/>
      <c r="BB1156" s="173"/>
      <c r="BC1156" s="173"/>
    </row>
    <row r="1157" spans="2:55" s="134" customFormat="1" x14ac:dyDescent="0.2">
      <c r="B1157" s="145"/>
      <c r="D1157" s="145"/>
      <c r="Z1157" s="177"/>
      <c r="AA1157" s="178"/>
      <c r="AB1157" s="139"/>
      <c r="AC1157" s="173"/>
      <c r="AD1157" s="177"/>
      <c r="AE1157" s="177"/>
      <c r="AF1157" s="139"/>
      <c r="AG1157" s="139"/>
      <c r="AH1157" s="177"/>
      <c r="AI1157" s="178"/>
      <c r="AJ1157" s="139"/>
      <c r="AK1157" s="173"/>
      <c r="AL1157" s="177"/>
      <c r="AM1157" s="178"/>
      <c r="AN1157" s="173"/>
      <c r="AO1157" s="173"/>
      <c r="AP1157" s="173"/>
      <c r="AQ1157" s="178"/>
      <c r="AR1157" s="173"/>
      <c r="AS1157" s="173"/>
      <c r="AT1157" s="140"/>
      <c r="AX1157" s="140"/>
      <c r="BB1157" s="173"/>
      <c r="BC1157" s="173"/>
    </row>
    <row r="1158" spans="2:55" s="134" customFormat="1" x14ac:dyDescent="0.2">
      <c r="B1158" s="145"/>
      <c r="D1158" s="145"/>
      <c r="Z1158" s="177"/>
      <c r="AA1158" s="178"/>
      <c r="AB1158" s="139"/>
      <c r="AC1158" s="173"/>
      <c r="AD1158" s="177"/>
      <c r="AE1158" s="177"/>
      <c r="AF1158" s="139"/>
      <c r="AG1158" s="139"/>
      <c r="AH1158" s="177"/>
      <c r="AI1158" s="178"/>
      <c r="AJ1158" s="139"/>
      <c r="AK1158" s="173"/>
      <c r="AL1158" s="177"/>
      <c r="AM1158" s="178"/>
      <c r="AN1158" s="173"/>
      <c r="AO1158" s="173"/>
      <c r="AP1158" s="173"/>
      <c r="AQ1158" s="178"/>
      <c r="AR1158" s="173"/>
      <c r="AS1158" s="173"/>
      <c r="AT1158" s="140"/>
      <c r="AX1158" s="140"/>
      <c r="BB1158" s="173"/>
      <c r="BC1158" s="173"/>
    </row>
    <row r="1159" spans="2:55" s="134" customFormat="1" x14ac:dyDescent="0.2">
      <c r="B1159" s="145"/>
      <c r="D1159" s="145"/>
      <c r="Z1159" s="177"/>
      <c r="AA1159" s="178"/>
      <c r="AB1159" s="139"/>
      <c r="AC1159" s="173"/>
      <c r="AD1159" s="177"/>
      <c r="AE1159" s="177"/>
      <c r="AF1159" s="139"/>
      <c r="AG1159" s="139"/>
      <c r="AH1159" s="177"/>
      <c r="AI1159" s="178"/>
      <c r="AJ1159" s="139"/>
      <c r="AK1159" s="173"/>
      <c r="AL1159" s="177"/>
      <c r="AM1159" s="178"/>
      <c r="AN1159" s="173"/>
      <c r="AO1159" s="173"/>
      <c r="AP1159" s="173"/>
      <c r="AQ1159" s="178"/>
      <c r="AR1159" s="173"/>
      <c r="AS1159" s="173"/>
      <c r="AT1159" s="140"/>
      <c r="AX1159" s="140"/>
      <c r="BB1159" s="173"/>
      <c r="BC1159" s="173"/>
    </row>
    <row r="1160" spans="2:55" s="134" customFormat="1" x14ac:dyDescent="0.2">
      <c r="B1160" s="145"/>
      <c r="D1160" s="145"/>
      <c r="Z1160" s="177"/>
      <c r="AA1160" s="178"/>
      <c r="AB1160" s="139"/>
      <c r="AC1160" s="173"/>
      <c r="AD1160" s="177"/>
      <c r="AE1160" s="177"/>
      <c r="AF1160" s="139"/>
      <c r="AG1160" s="139"/>
      <c r="AH1160" s="177"/>
      <c r="AI1160" s="178"/>
      <c r="AJ1160" s="139"/>
      <c r="AK1160" s="173"/>
      <c r="AL1160" s="177"/>
      <c r="AM1160" s="178"/>
      <c r="AN1160" s="173"/>
      <c r="AO1160" s="173"/>
      <c r="AP1160" s="173"/>
      <c r="AQ1160" s="178"/>
      <c r="AR1160" s="173"/>
      <c r="AS1160" s="173"/>
      <c r="AT1160" s="140"/>
      <c r="AX1160" s="140"/>
      <c r="BB1160" s="173"/>
      <c r="BC1160" s="173"/>
    </row>
    <row r="1161" spans="2:55" s="134" customFormat="1" x14ac:dyDescent="0.2">
      <c r="B1161" s="145"/>
      <c r="D1161" s="145"/>
      <c r="Z1161" s="177"/>
      <c r="AA1161" s="178"/>
      <c r="AB1161" s="139"/>
      <c r="AC1161" s="173"/>
      <c r="AD1161" s="177"/>
      <c r="AE1161" s="177"/>
      <c r="AF1161" s="139"/>
      <c r="AG1161" s="139"/>
      <c r="AH1161" s="177"/>
      <c r="AI1161" s="178"/>
      <c r="AJ1161" s="139"/>
      <c r="AK1161" s="173"/>
      <c r="AL1161" s="177"/>
      <c r="AM1161" s="178"/>
      <c r="AN1161" s="173"/>
      <c r="AO1161" s="173"/>
      <c r="AP1161" s="173"/>
      <c r="AQ1161" s="178"/>
      <c r="AR1161" s="173"/>
      <c r="AS1161" s="173"/>
      <c r="AT1161" s="140"/>
      <c r="AX1161" s="140"/>
      <c r="BB1161" s="173"/>
      <c r="BC1161" s="173"/>
    </row>
    <row r="1162" spans="2:55" s="134" customFormat="1" x14ac:dyDescent="0.2">
      <c r="B1162" s="145"/>
      <c r="D1162" s="145"/>
      <c r="Z1162" s="177"/>
      <c r="AA1162" s="178"/>
      <c r="AB1162" s="139"/>
      <c r="AC1162" s="173"/>
      <c r="AD1162" s="177"/>
      <c r="AE1162" s="177"/>
      <c r="AF1162" s="139"/>
      <c r="AG1162" s="139"/>
      <c r="AH1162" s="177"/>
      <c r="AI1162" s="178"/>
      <c r="AJ1162" s="139"/>
      <c r="AK1162" s="173"/>
      <c r="AL1162" s="177"/>
      <c r="AM1162" s="178"/>
      <c r="AN1162" s="173"/>
      <c r="AO1162" s="173"/>
      <c r="AP1162" s="173"/>
      <c r="AQ1162" s="178"/>
      <c r="AR1162" s="173"/>
      <c r="AS1162" s="173"/>
      <c r="AT1162" s="140"/>
      <c r="AX1162" s="140"/>
      <c r="BB1162" s="173"/>
      <c r="BC1162" s="173"/>
    </row>
    <row r="1163" spans="2:55" s="134" customFormat="1" x14ac:dyDescent="0.2">
      <c r="B1163" s="145"/>
      <c r="D1163" s="145"/>
      <c r="Z1163" s="177"/>
      <c r="AA1163" s="178"/>
      <c r="AB1163" s="139"/>
      <c r="AC1163" s="173"/>
      <c r="AD1163" s="177"/>
      <c r="AE1163" s="177"/>
      <c r="AF1163" s="139"/>
      <c r="AG1163" s="139"/>
      <c r="AH1163" s="177"/>
      <c r="AI1163" s="178"/>
      <c r="AJ1163" s="139"/>
      <c r="AK1163" s="173"/>
      <c r="AL1163" s="177"/>
      <c r="AM1163" s="178"/>
      <c r="AN1163" s="173"/>
      <c r="AO1163" s="173"/>
      <c r="AP1163" s="173"/>
      <c r="AQ1163" s="178"/>
      <c r="AR1163" s="173"/>
      <c r="AS1163" s="173"/>
      <c r="AT1163" s="140"/>
      <c r="AX1163" s="140"/>
      <c r="BB1163" s="173"/>
      <c r="BC1163" s="173"/>
    </row>
    <row r="1164" spans="2:55" s="134" customFormat="1" x14ac:dyDescent="0.2">
      <c r="B1164" s="145"/>
      <c r="D1164" s="145"/>
      <c r="Z1164" s="177"/>
      <c r="AA1164" s="178"/>
      <c r="AB1164" s="139"/>
      <c r="AC1164" s="173"/>
      <c r="AD1164" s="177"/>
      <c r="AE1164" s="177"/>
      <c r="AF1164" s="139"/>
      <c r="AG1164" s="139"/>
      <c r="AH1164" s="177"/>
      <c r="AI1164" s="178"/>
      <c r="AJ1164" s="139"/>
      <c r="AK1164" s="173"/>
      <c r="AL1164" s="177"/>
      <c r="AM1164" s="178"/>
      <c r="AN1164" s="173"/>
      <c r="AO1164" s="173"/>
      <c r="AP1164" s="173"/>
      <c r="AQ1164" s="178"/>
      <c r="AR1164" s="173"/>
      <c r="AS1164" s="173"/>
      <c r="AT1164" s="140"/>
      <c r="AX1164" s="140"/>
      <c r="BB1164" s="173"/>
      <c r="BC1164" s="173"/>
    </row>
    <row r="1165" spans="2:55" s="134" customFormat="1" x14ac:dyDescent="0.2">
      <c r="B1165" s="145"/>
      <c r="D1165" s="145"/>
      <c r="Z1165" s="177"/>
      <c r="AA1165" s="178"/>
      <c r="AB1165" s="139"/>
      <c r="AC1165" s="173"/>
      <c r="AD1165" s="177"/>
      <c r="AE1165" s="177"/>
      <c r="AF1165" s="139"/>
      <c r="AG1165" s="139"/>
      <c r="AH1165" s="177"/>
      <c r="AI1165" s="178"/>
      <c r="AJ1165" s="139"/>
      <c r="AK1165" s="173"/>
      <c r="AL1165" s="177"/>
      <c r="AM1165" s="178"/>
      <c r="AN1165" s="173"/>
      <c r="AO1165" s="173"/>
      <c r="AP1165" s="173"/>
      <c r="AQ1165" s="178"/>
      <c r="AR1165" s="173"/>
      <c r="AS1165" s="173"/>
      <c r="AT1165" s="140"/>
      <c r="AX1165" s="140"/>
      <c r="BB1165" s="173"/>
      <c r="BC1165" s="173"/>
    </row>
    <row r="1166" spans="2:55" s="134" customFormat="1" x14ac:dyDescent="0.2">
      <c r="B1166" s="145"/>
      <c r="D1166" s="145"/>
      <c r="Z1166" s="177"/>
      <c r="AA1166" s="178"/>
      <c r="AB1166" s="139"/>
      <c r="AC1166" s="173"/>
      <c r="AD1166" s="177"/>
      <c r="AE1166" s="177"/>
      <c r="AF1166" s="139"/>
      <c r="AG1166" s="139"/>
      <c r="AH1166" s="177"/>
      <c r="AI1166" s="178"/>
      <c r="AJ1166" s="139"/>
      <c r="AK1166" s="173"/>
      <c r="AL1166" s="177"/>
      <c r="AM1166" s="178"/>
      <c r="AN1166" s="173"/>
      <c r="AO1166" s="173"/>
      <c r="AP1166" s="173"/>
      <c r="AQ1166" s="178"/>
      <c r="AR1166" s="173"/>
      <c r="AS1166" s="173"/>
      <c r="AT1166" s="140"/>
      <c r="AX1166" s="140"/>
      <c r="BB1166" s="173"/>
      <c r="BC1166" s="173"/>
    </row>
    <row r="1167" spans="2:55" s="134" customFormat="1" x14ac:dyDescent="0.2">
      <c r="B1167" s="145"/>
      <c r="D1167" s="145"/>
      <c r="Z1167" s="177"/>
      <c r="AA1167" s="178"/>
      <c r="AB1167" s="139"/>
      <c r="AC1167" s="173"/>
      <c r="AD1167" s="177"/>
      <c r="AE1167" s="177"/>
      <c r="AF1167" s="139"/>
      <c r="AG1167" s="139"/>
      <c r="AH1167" s="177"/>
      <c r="AI1167" s="178"/>
      <c r="AJ1167" s="139"/>
      <c r="AK1167" s="173"/>
      <c r="AL1167" s="177"/>
      <c r="AM1167" s="178"/>
      <c r="AN1167" s="173"/>
      <c r="AO1167" s="173"/>
      <c r="AP1167" s="173"/>
      <c r="AQ1167" s="178"/>
      <c r="AR1167" s="173"/>
      <c r="AS1167" s="173"/>
      <c r="AT1167" s="140"/>
      <c r="AX1167" s="140"/>
      <c r="BB1167" s="173"/>
      <c r="BC1167" s="173"/>
    </row>
    <row r="1168" spans="2:55" s="134" customFormat="1" x14ac:dyDescent="0.2">
      <c r="B1168" s="145"/>
      <c r="D1168" s="145"/>
      <c r="Z1168" s="177"/>
      <c r="AA1168" s="178"/>
      <c r="AB1168" s="139"/>
      <c r="AC1168" s="173"/>
      <c r="AD1168" s="177"/>
      <c r="AE1168" s="177"/>
      <c r="AF1168" s="139"/>
      <c r="AG1168" s="139"/>
      <c r="AH1168" s="177"/>
      <c r="AI1168" s="178"/>
      <c r="AJ1168" s="139"/>
      <c r="AK1168" s="173"/>
      <c r="AL1168" s="177"/>
      <c r="AM1168" s="178"/>
      <c r="AN1168" s="173"/>
      <c r="AO1168" s="173"/>
      <c r="AP1168" s="173"/>
      <c r="AQ1168" s="178"/>
      <c r="AR1168" s="173"/>
      <c r="AS1168" s="173"/>
      <c r="AT1168" s="140"/>
      <c r="AX1168" s="140"/>
      <c r="BB1168" s="173"/>
      <c r="BC1168" s="173"/>
    </row>
    <row r="1169" spans="2:55" s="134" customFormat="1" x14ac:dyDescent="0.2">
      <c r="B1169" s="145"/>
      <c r="D1169" s="145"/>
      <c r="Z1169" s="177"/>
      <c r="AA1169" s="178"/>
      <c r="AB1169" s="139"/>
      <c r="AC1169" s="173"/>
      <c r="AD1169" s="177"/>
      <c r="AE1169" s="177"/>
      <c r="AF1169" s="139"/>
      <c r="AG1169" s="139"/>
      <c r="AH1169" s="177"/>
      <c r="AI1169" s="178"/>
      <c r="AJ1169" s="139"/>
      <c r="AK1169" s="173"/>
      <c r="AL1169" s="177"/>
      <c r="AM1169" s="178"/>
      <c r="AN1169" s="173"/>
      <c r="AO1169" s="173"/>
      <c r="AP1169" s="173"/>
      <c r="AQ1169" s="178"/>
      <c r="AR1169" s="173"/>
      <c r="AS1169" s="173"/>
      <c r="AT1169" s="140"/>
      <c r="AX1169" s="140"/>
      <c r="BB1169" s="173"/>
      <c r="BC1169" s="173"/>
    </row>
    <row r="1170" spans="2:55" s="134" customFormat="1" x14ac:dyDescent="0.2">
      <c r="B1170" s="145"/>
      <c r="D1170" s="145"/>
      <c r="Z1170" s="177"/>
      <c r="AA1170" s="178"/>
      <c r="AB1170" s="139"/>
      <c r="AC1170" s="173"/>
      <c r="AD1170" s="177"/>
      <c r="AE1170" s="177"/>
      <c r="AF1170" s="139"/>
      <c r="AG1170" s="139"/>
      <c r="AH1170" s="177"/>
      <c r="AI1170" s="178"/>
      <c r="AJ1170" s="139"/>
      <c r="AK1170" s="173"/>
      <c r="AL1170" s="177"/>
      <c r="AM1170" s="178"/>
      <c r="AN1170" s="173"/>
      <c r="AO1170" s="173"/>
      <c r="AP1170" s="173"/>
      <c r="AQ1170" s="178"/>
      <c r="AR1170" s="173"/>
      <c r="AS1170" s="173"/>
      <c r="AT1170" s="140"/>
      <c r="AX1170" s="140"/>
      <c r="BB1170" s="173"/>
      <c r="BC1170" s="173"/>
    </row>
    <row r="1171" spans="2:55" s="134" customFormat="1" x14ac:dyDescent="0.2">
      <c r="B1171" s="145"/>
      <c r="D1171" s="145"/>
      <c r="Z1171" s="177"/>
      <c r="AA1171" s="178"/>
      <c r="AB1171" s="139"/>
      <c r="AC1171" s="173"/>
      <c r="AD1171" s="177"/>
      <c r="AE1171" s="177"/>
      <c r="AF1171" s="139"/>
      <c r="AG1171" s="139"/>
      <c r="AH1171" s="177"/>
      <c r="AI1171" s="178"/>
      <c r="AJ1171" s="139"/>
      <c r="AK1171" s="173"/>
      <c r="AL1171" s="177"/>
      <c r="AM1171" s="178"/>
      <c r="AN1171" s="173"/>
      <c r="AO1171" s="173"/>
      <c r="AP1171" s="173"/>
      <c r="AQ1171" s="178"/>
      <c r="AR1171" s="173"/>
      <c r="AS1171" s="173"/>
      <c r="AT1171" s="140"/>
      <c r="AX1171" s="140"/>
      <c r="BB1171" s="173"/>
      <c r="BC1171" s="173"/>
    </row>
    <row r="1172" spans="2:55" s="134" customFormat="1" x14ac:dyDescent="0.2">
      <c r="B1172" s="145"/>
      <c r="D1172" s="145"/>
      <c r="Z1172" s="177"/>
      <c r="AA1172" s="178"/>
      <c r="AB1172" s="139"/>
      <c r="AC1172" s="173"/>
      <c r="AD1172" s="177"/>
      <c r="AE1172" s="177"/>
      <c r="AF1172" s="139"/>
      <c r="AG1172" s="139"/>
      <c r="AH1172" s="177"/>
      <c r="AI1172" s="178"/>
      <c r="AJ1172" s="139"/>
      <c r="AK1172" s="173"/>
      <c r="AL1172" s="177"/>
      <c r="AM1172" s="178"/>
      <c r="AN1172" s="173"/>
      <c r="AO1172" s="173"/>
      <c r="AP1172" s="173"/>
      <c r="AQ1172" s="178"/>
      <c r="AR1172" s="173"/>
      <c r="AS1172" s="173"/>
      <c r="AT1172" s="140"/>
      <c r="AX1172" s="140"/>
      <c r="BB1172" s="173"/>
      <c r="BC1172" s="173"/>
    </row>
    <row r="1173" spans="2:55" s="134" customFormat="1" x14ac:dyDescent="0.2">
      <c r="B1173" s="145"/>
      <c r="D1173" s="145"/>
      <c r="Z1173" s="177"/>
      <c r="AA1173" s="178"/>
      <c r="AB1173" s="139"/>
      <c r="AC1173" s="173"/>
      <c r="AD1173" s="177"/>
      <c r="AE1173" s="177"/>
      <c r="AF1173" s="139"/>
      <c r="AG1173" s="139"/>
      <c r="AH1173" s="177"/>
      <c r="AI1173" s="178"/>
      <c r="AJ1173" s="139"/>
      <c r="AK1173" s="173"/>
      <c r="AL1173" s="177"/>
      <c r="AM1173" s="178"/>
      <c r="AN1173" s="173"/>
      <c r="AO1173" s="173"/>
      <c r="AP1173" s="173"/>
      <c r="AQ1173" s="178"/>
      <c r="AR1173" s="173"/>
      <c r="AS1173" s="173"/>
      <c r="AT1173" s="140"/>
      <c r="AX1173" s="140"/>
      <c r="BB1173" s="173"/>
      <c r="BC1173" s="173"/>
    </row>
    <row r="1174" spans="2:55" s="134" customFormat="1" x14ac:dyDescent="0.2">
      <c r="B1174" s="145"/>
      <c r="D1174" s="145"/>
      <c r="Z1174" s="177"/>
      <c r="AA1174" s="178"/>
      <c r="AB1174" s="139"/>
      <c r="AC1174" s="173"/>
      <c r="AD1174" s="177"/>
      <c r="AE1174" s="177"/>
      <c r="AF1174" s="139"/>
      <c r="AG1174" s="139"/>
      <c r="AH1174" s="177"/>
      <c r="AI1174" s="178"/>
      <c r="AJ1174" s="139"/>
      <c r="AK1174" s="173"/>
      <c r="AL1174" s="177"/>
      <c r="AM1174" s="178"/>
      <c r="AN1174" s="173"/>
      <c r="AO1174" s="173"/>
      <c r="AP1174" s="173"/>
      <c r="AQ1174" s="178"/>
      <c r="AR1174" s="173"/>
      <c r="AS1174" s="173"/>
      <c r="AT1174" s="140"/>
      <c r="AX1174" s="140"/>
      <c r="BB1174" s="173"/>
      <c r="BC1174" s="173"/>
    </row>
    <row r="1175" spans="2:55" s="134" customFormat="1" x14ac:dyDescent="0.2">
      <c r="B1175" s="145"/>
      <c r="D1175" s="145"/>
      <c r="Z1175" s="177"/>
      <c r="AA1175" s="178"/>
      <c r="AB1175" s="139"/>
      <c r="AC1175" s="173"/>
      <c r="AD1175" s="177"/>
      <c r="AE1175" s="177"/>
      <c r="AF1175" s="139"/>
      <c r="AG1175" s="139"/>
      <c r="AH1175" s="177"/>
      <c r="AI1175" s="178"/>
      <c r="AJ1175" s="139"/>
      <c r="AK1175" s="173"/>
      <c r="AL1175" s="177"/>
      <c r="AM1175" s="178"/>
      <c r="AN1175" s="173"/>
      <c r="AO1175" s="173"/>
      <c r="AP1175" s="173"/>
      <c r="AQ1175" s="178"/>
      <c r="AR1175" s="173"/>
      <c r="AS1175" s="173"/>
      <c r="AT1175" s="140"/>
      <c r="AX1175" s="140"/>
      <c r="BB1175" s="173"/>
      <c r="BC1175" s="173"/>
    </row>
    <row r="1176" spans="2:55" s="134" customFormat="1" x14ac:dyDescent="0.2">
      <c r="B1176" s="145"/>
      <c r="D1176" s="145"/>
      <c r="Z1176" s="177"/>
      <c r="AA1176" s="178"/>
      <c r="AB1176" s="139"/>
      <c r="AC1176" s="173"/>
      <c r="AD1176" s="177"/>
      <c r="AE1176" s="177"/>
      <c r="AF1176" s="139"/>
      <c r="AG1176" s="139"/>
      <c r="AH1176" s="177"/>
      <c r="AI1176" s="178"/>
      <c r="AJ1176" s="139"/>
      <c r="AK1176" s="173"/>
      <c r="AL1176" s="177"/>
      <c r="AM1176" s="178"/>
      <c r="AN1176" s="173"/>
      <c r="AO1176" s="173"/>
      <c r="AP1176" s="173"/>
      <c r="AQ1176" s="178"/>
      <c r="AR1176" s="173"/>
      <c r="AS1176" s="173"/>
      <c r="AT1176" s="140"/>
      <c r="AX1176" s="140"/>
      <c r="BB1176" s="173"/>
      <c r="BC1176" s="173"/>
    </row>
    <row r="1177" spans="2:55" s="134" customFormat="1" x14ac:dyDescent="0.2">
      <c r="B1177" s="145"/>
      <c r="D1177" s="145"/>
      <c r="Z1177" s="177"/>
      <c r="AA1177" s="178"/>
      <c r="AB1177" s="139"/>
      <c r="AC1177" s="173"/>
      <c r="AD1177" s="177"/>
      <c r="AE1177" s="177"/>
      <c r="AF1177" s="139"/>
      <c r="AG1177" s="139"/>
      <c r="AH1177" s="177"/>
      <c r="AI1177" s="178"/>
      <c r="AJ1177" s="139"/>
      <c r="AK1177" s="173"/>
      <c r="AL1177" s="177"/>
      <c r="AM1177" s="178"/>
      <c r="AN1177" s="173"/>
      <c r="AO1177" s="173"/>
      <c r="AP1177" s="173"/>
      <c r="AQ1177" s="178"/>
      <c r="AR1177" s="173"/>
      <c r="AS1177" s="173"/>
      <c r="AT1177" s="140"/>
      <c r="AX1177" s="140"/>
      <c r="BB1177" s="173"/>
      <c r="BC1177" s="173"/>
    </row>
    <row r="1178" spans="2:55" s="134" customFormat="1" x14ac:dyDescent="0.2">
      <c r="B1178" s="145"/>
      <c r="D1178" s="145"/>
      <c r="Z1178" s="177"/>
      <c r="AA1178" s="178"/>
      <c r="AB1178" s="139"/>
      <c r="AC1178" s="173"/>
      <c r="AD1178" s="177"/>
      <c r="AE1178" s="177"/>
      <c r="AF1178" s="139"/>
      <c r="AG1178" s="139"/>
      <c r="AH1178" s="177"/>
      <c r="AI1178" s="178"/>
      <c r="AJ1178" s="139"/>
      <c r="AK1178" s="173"/>
      <c r="AL1178" s="177"/>
      <c r="AM1178" s="178"/>
      <c r="AN1178" s="173"/>
      <c r="AO1178" s="173"/>
      <c r="AP1178" s="173"/>
      <c r="AQ1178" s="178"/>
      <c r="AR1178" s="173"/>
      <c r="AS1178" s="173"/>
      <c r="AT1178" s="140"/>
      <c r="AX1178" s="140"/>
      <c r="BB1178" s="173"/>
      <c r="BC1178" s="173"/>
    </row>
    <row r="1179" spans="2:55" s="134" customFormat="1" x14ac:dyDescent="0.2">
      <c r="B1179" s="145"/>
      <c r="D1179" s="145"/>
      <c r="Z1179" s="177"/>
      <c r="AA1179" s="178"/>
      <c r="AB1179" s="139"/>
      <c r="AC1179" s="173"/>
      <c r="AD1179" s="177"/>
      <c r="AE1179" s="177"/>
      <c r="AF1179" s="139"/>
      <c r="AG1179" s="139"/>
      <c r="AH1179" s="177"/>
      <c r="AI1179" s="178"/>
      <c r="AJ1179" s="139"/>
      <c r="AK1179" s="173"/>
      <c r="AL1179" s="177"/>
      <c r="AM1179" s="178"/>
      <c r="AN1179" s="173"/>
      <c r="AO1179" s="173"/>
      <c r="AP1179" s="173"/>
      <c r="AQ1179" s="178"/>
      <c r="AR1179" s="173"/>
      <c r="AS1179" s="173"/>
      <c r="AT1179" s="140"/>
      <c r="AX1179" s="140"/>
      <c r="BB1179" s="173"/>
      <c r="BC1179" s="173"/>
    </row>
    <row r="1180" spans="2:55" s="134" customFormat="1" x14ac:dyDescent="0.2">
      <c r="B1180" s="145"/>
      <c r="D1180" s="145"/>
      <c r="Z1180" s="177"/>
      <c r="AA1180" s="178"/>
      <c r="AB1180" s="139"/>
      <c r="AC1180" s="173"/>
      <c r="AD1180" s="177"/>
      <c r="AE1180" s="177"/>
      <c r="AF1180" s="139"/>
      <c r="AG1180" s="139"/>
      <c r="AH1180" s="177"/>
      <c r="AI1180" s="178"/>
      <c r="AJ1180" s="139"/>
      <c r="AK1180" s="173"/>
      <c r="AL1180" s="177"/>
      <c r="AM1180" s="178"/>
      <c r="AN1180" s="173"/>
      <c r="AO1180" s="173"/>
      <c r="AP1180" s="173"/>
      <c r="AQ1180" s="178"/>
      <c r="AR1180" s="173"/>
      <c r="AS1180" s="173"/>
      <c r="AT1180" s="140"/>
      <c r="AX1180" s="140"/>
      <c r="BB1180" s="173"/>
      <c r="BC1180" s="173"/>
    </row>
    <row r="1181" spans="2:55" s="134" customFormat="1" x14ac:dyDescent="0.2">
      <c r="B1181" s="145"/>
      <c r="D1181" s="145"/>
      <c r="Z1181" s="177"/>
      <c r="AA1181" s="178"/>
      <c r="AB1181" s="139"/>
      <c r="AC1181" s="173"/>
      <c r="AD1181" s="177"/>
      <c r="AE1181" s="177"/>
      <c r="AF1181" s="139"/>
      <c r="AG1181" s="139"/>
      <c r="AH1181" s="177"/>
      <c r="AI1181" s="178"/>
      <c r="AJ1181" s="139"/>
      <c r="AK1181" s="173"/>
      <c r="AL1181" s="177"/>
      <c r="AM1181" s="178"/>
      <c r="AN1181" s="173"/>
      <c r="AO1181" s="173"/>
      <c r="AP1181" s="173"/>
      <c r="AQ1181" s="178"/>
      <c r="AR1181" s="173"/>
      <c r="AS1181" s="173"/>
      <c r="AT1181" s="140"/>
      <c r="AX1181" s="140"/>
      <c r="BB1181" s="173"/>
      <c r="BC1181" s="173"/>
    </row>
    <row r="1182" spans="2:55" s="134" customFormat="1" x14ac:dyDescent="0.2">
      <c r="B1182" s="145"/>
      <c r="D1182" s="145"/>
      <c r="Z1182" s="177"/>
      <c r="AA1182" s="178"/>
      <c r="AB1182" s="139"/>
      <c r="AC1182" s="173"/>
      <c r="AD1182" s="177"/>
      <c r="AE1182" s="177"/>
      <c r="AF1182" s="139"/>
      <c r="AG1182" s="139"/>
      <c r="AH1182" s="177"/>
      <c r="AI1182" s="178"/>
      <c r="AJ1182" s="139"/>
      <c r="AK1182" s="173"/>
      <c r="AL1182" s="177"/>
      <c r="AM1182" s="178"/>
      <c r="AN1182" s="173"/>
      <c r="AO1182" s="173"/>
      <c r="AP1182" s="173"/>
      <c r="AQ1182" s="178"/>
      <c r="AR1182" s="173"/>
      <c r="AS1182" s="173"/>
      <c r="AT1182" s="140"/>
      <c r="AX1182" s="140"/>
      <c r="BB1182" s="173"/>
      <c r="BC1182" s="173"/>
    </row>
    <row r="1183" spans="2:55" s="134" customFormat="1" x14ac:dyDescent="0.2">
      <c r="B1183" s="145"/>
      <c r="D1183" s="145"/>
      <c r="Z1183" s="177"/>
      <c r="AA1183" s="178"/>
      <c r="AB1183" s="139"/>
      <c r="AC1183" s="173"/>
      <c r="AD1183" s="177"/>
      <c r="AE1183" s="177"/>
      <c r="AF1183" s="139"/>
      <c r="AG1183" s="139"/>
      <c r="AH1183" s="177"/>
      <c r="AI1183" s="178"/>
      <c r="AJ1183" s="139"/>
      <c r="AK1183" s="173"/>
      <c r="AL1183" s="177"/>
      <c r="AM1183" s="178"/>
      <c r="AN1183" s="173"/>
      <c r="AO1183" s="173"/>
      <c r="AP1183" s="173"/>
      <c r="AQ1183" s="178"/>
      <c r="AR1183" s="173"/>
      <c r="AS1183" s="173"/>
      <c r="AT1183" s="140"/>
      <c r="AX1183" s="140"/>
      <c r="BB1183" s="173"/>
      <c r="BC1183" s="173"/>
    </row>
    <row r="1184" spans="2:55" s="134" customFormat="1" x14ac:dyDescent="0.2">
      <c r="B1184" s="145"/>
      <c r="D1184" s="145"/>
      <c r="Z1184" s="177"/>
      <c r="AA1184" s="178"/>
      <c r="AB1184" s="139"/>
      <c r="AC1184" s="173"/>
      <c r="AD1184" s="177"/>
      <c r="AE1184" s="177"/>
      <c r="AF1184" s="139"/>
      <c r="AG1184" s="139"/>
      <c r="AH1184" s="177"/>
      <c r="AI1184" s="178"/>
      <c r="AJ1184" s="139"/>
      <c r="AK1184" s="173"/>
      <c r="AL1184" s="177"/>
      <c r="AM1184" s="178"/>
      <c r="AN1184" s="173"/>
      <c r="AO1184" s="173"/>
      <c r="AP1184" s="173"/>
      <c r="AQ1184" s="178"/>
      <c r="AR1184" s="173"/>
      <c r="AS1184" s="173"/>
      <c r="AT1184" s="140"/>
      <c r="AX1184" s="140"/>
      <c r="BB1184" s="173"/>
      <c r="BC1184" s="173"/>
    </row>
    <row r="1185" spans="2:55" s="134" customFormat="1" x14ac:dyDescent="0.2">
      <c r="B1185" s="145"/>
      <c r="D1185" s="145"/>
      <c r="Z1185" s="177"/>
      <c r="AA1185" s="178"/>
      <c r="AB1185" s="139"/>
      <c r="AC1185" s="173"/>
      <c r="AD1185" s="177"/>
      <c r="AE1185" s="177"/>
      <c r="AF1185" s="139"/>
      <c r="AG1185" s="139"/>
      <c r="AH1185" s="177"/>
      <c r="AI1185" s="178"/>
      <c r="AJ1185" s="139"/>
      <c r="AK1185" s="173"/>
      <c r="AL1185" s="177"/>
      <c r="AM1185" s="178"/>
      <c r="AN1185" s="173"/>
      <c r="AO1185" s="173"/>
      <c r="AP1185" s="173"/>
      <c r="AQ1185" s="178"/>
      <c r="AR1185" s="173"/>
      <c r="AS1185" s="173"/>
      <c r="AT1185" s="140"/>
      <c r="AX1185" s="140"/>
      <c r="BB1185" s="173"/>
      <c r="BC1185" s="173"/>
    </row>
    <row r="1186" spans="2:55" s="134" customFormat="1" x14ac:dyDescent="0.2">
      <c r="B1186" s="145"/>
      <c r="D1186" s="145"/>
      <c r="Z1186" s="177"/>
      <c r="AA1186" s="178"/>
      <c r="AB1186" s="139"/>
      <c r="AC1186" s="173"/>
      <c r="AD1186" s="177"/>
      <c r="AE1186" s="177"/>
      <c r="AF1186" s="139"/>
      <c r="AG1186" s="139"/>
      <c r="AH1186" s="177"/>
      <c r="AI1186" s="178"/>
      <c r="AJ1186" s="139"/>
      <c r="AK1186" s="173"/>
      <c r="AL1186" s="177"/>
      <c r="AM1186" s="178"/>
      <c r="AN1186" s="173"/>
      <c r="AO1186" s="173"/>
      <c r="AP1186" s="173"/>
      <c r="AQ1186" s="178"/>
      <c r="AR1186" s="173"/>
      <c r="AS1186" s="173"/>
      <c r="AT1186" s="140"/>
      <c r="AX1186" s="140"/>
      <c r="BB1186" s="173"/>
      <c r="BC1186" s="173"/>
    </row>
    <row r="1187" spans="2:55" s="134" customFormat="1" x14ac:dyDescent="0.2">
      <c r="B1187" s="145"/>
      <c r="D1187" s="145"/>
      <c r="Z1187" s="177"/>
      <c r="AA1187" s="178"/>
      <c r="AB1187" s="139"/>
      <c r="AC1187" s="173"/>
      <c r="AD1187" s="177"/>
      <c r="AE1187" s="177"/>
      <c r="AF1187" s="139"/>
      <c r="AG1187" s="139"/>
      <c r="AH1187" s="177"/>
      <c r="AI1187" s="178"/>
      <c r="AJ1187" s="139"/>
      <c r="AK1187" s="173"/>
      <c r="AL1187" s="177"/>
      <c r="AM1187" s="178"/>
      <c r="AN1187" s="173"/>
      <c r="AO1187" s="173"/>
      <c r="AP1187" s="173"/>
      <c r="AQ1187" s="178"/>
      <c r="AR1187" s="173"/>
      <c r="AS1187" s="173"/>
      <c r="AT1187" s="140"/>
      <c r="AX1187" s="140"/>
      <c r="BB1187" s="173"/>
      <c r="BC1187" s="173"/>
    </row>
    <row r="1188" spans="2:55" s="134" customFormat="1" x14ac:dyDescent="0.2">
      <c r="B1188" s="145"/>
      <c r="D1188" s="145"/>
      <c r="Z1188" s="177"/>
      <c r="AA1188" s="178"/>
      <c r="AB1188" s="139"/>
      <c r="AC1188" s="173"/>
      <c r="AD1188" s="177"/>
      <c r="AE1188" s="177"/>
      <c r="AF1188" s="139"/>
      <c r="AG1188" s="139"/>
      <c r="AH1188" s="177"/>
      <c r="AI1188" s="178"/>
      <c r="AJ1188" s="139"/>
      <c r="AK1188" s="173"/>
      <c r="AL1188" s="177"/>
      <c r="AM1188" s="178"/>
      <c r="AN1188" s="173"/>
      <c r="AO1188" s="173"/>
      <c r="AP1188" s="173"/>
      <c r="AQ1188" s="178"/>
      <c r="AR1188" s="173"/>
      <c r="AS1188" s="173"/>
      <c r="AT1188" s="140"/>
      <c r="AX1188" s="140"/>
      <c r="BB1188" s="173"/>
      <c r="BC1188" s="173"/>
    </row>
    <row r="1189" spans="2:55" s="134" customFormat="1" x14ac:dyDescent="0.2">
      <c r="B1189" s="145"/>
      <c r="D1189" s="145"/>
      <c r="Z1189" s="177"/>
      <c r="AA1189" s="178"/>
      <c r="AB1189" s="139"/>
      <c r="AC1189" s="173"/>
      <c r="AD1189" s="177"/>
      <c r="AE1189" s="177"/>
      <c r="AF1189" s="139"/>
      <c r="AG1189" s="139"/>
      <c r="AH1189" s="177"/>
      <c r="AI1189" s="178"/>
      <c r="AJ1189" s="139"/>
      <c r="AK1189" s="173"/>
      <c r="AL1189" s="177"/>
      <c r="AM1189" s="178"/>
      <c r="AN1189" s="173"/>
      <c r="AO1189" s="173"/>
      <c r="AP1189" s="173"/>
      <c r="AQ1189" s="178"/>
      <c r="AR1189" s="173"/>
      <c r="AS1189" s="173"/>
      <c r="AT1189" s="140"/>
      <c r="AX1189" s="140"/>
      <c r="BB1189" s="173"/>
      <c r="BC1189" s="173"/>
    </row>
    <row r="1190" spans="2:55" s="134" customFormat="1" x14ac:dyDescent="0.2">
      <c r="B1190" s="145"/>
      <c r="D1190" s="145"/>
      <c r="Z1190" s="177"/>
      <c r="AA1190" s="178"/>
      <c r="AB1190" s="139"/>
      <c r="AC1190" s="173"/>
      <c r="AD1190" s="177"/>
      <c r="AE1190" s="177"/>
      <c r="AF1190" s="139"/>
      <c r="AG1190" s="139"/>
      <c r="AH1190" s="177"/>
      <c r="AI1190" s="178"/>
      <c r="AJ1190" s="139"/>
      <c r="AK1190" s="173"/>
      <c r="AL1190" s="177"/>
      <c r="AM1190" s="178"/>
      <c r="AN1190" s="173"/>
      <c r="AO1190" s="173"/>
      <c r="AP1190" s="173"/>
      <c r="AQ1190" s="178"/>
      <c r="AR1190" s="173"/>
      <c r="AS1190" s="173"/>
      <c r="AT1190" s="140"/>
      <c r="AX1190" s="140"/>
      <c r="BB1190" s="173"/>
      <c r="BC1190" s="173"/>
    </row>
    <row r="1191" spans="2:55" s="134" customFormat="1" x14ac:dyDescent="0.2">
      <c r="B1191" s="145"/>
      <c r="D1191" s="145"/>
      <c r="Z1191" s="177"/>
      <c r="AA1191" s="178"/>
      <c r="AB1191" s="139"/>
      <c r="AC1191" s="173"/>
      <c r="AD1191" s="177"/>
      <c r="AE1191" s="177"/>
      <c r="AF1191" s="139"/>
      <c r="AG1191" s="139"/>
      <c r="AH1191" s="177"/>
      <c r="AI1191" s="178"/>
      <c r="AJ1191" s="139"/>
      <c r="AK1191" s="173"/>
      <c r="AL1191" s="177"/>
      <c r="AM1191" s="178"/>
      <c r="AN1191" s="173"/>
      <c r="AO1191" s="173"/>
      <c r="AP1191" s="173"/>
      <c r="AQ1191" s="178"/>
      <c r="AR1191" s="173"/>
      <c r="AS1191" s="173"/>
      <c r="AT1191" s="140"/>
      <c r="AX1191" s="140"/>
      <c r="BB1191" s="173"/>
      <c r="BC1191" s="173"/>
    </row>
    <row r="1192" spans="2:55" s="134" customFormat="1" x14ac:dyDescent="0.2">
      <c r="B1192" s="145"/>
      <c r="D1192" s="145"/>
      <c r="Z1192" s="177"/>
      <c r="AA1192" s="178"/>
      <c r="AB1192" s="139"/>
      <c r="AC1192" s="173"/>
      <c r="AD1192" s="177"/>
      <c r="AE1192" s="177"/>
      <c r="AF1192" s="139"/>
      <c r="AG1192" s="139"/>
      <c r="AH1192" s="177"/>
      <c r="AI1192" s="178"/>
      <c r="AJ1192" s="139"/>
      <c r="AK1192" s="173"/>
      <c r="AL1192" s="177"/>
      <c r="AM1192" s="178"/>
      <c r="AN1192" s="173"/>
      <c r="AO1192" s="173"/>
      <c r="AP1192" s="173"/>
      <c r="AQ1192" s="178"/>
      <c r="AR1192" s="173"/>
      <c r="AS1192" s="173"/>
      <c r="AT1192" s="140"/>
      <c r="AX1192" s="140"/>
      <c r="BB1192" s="173"/>
      <c r="BC1192" s="173"/>
    </row>
    <row r="1193" spans="2:55" s="134" customFormat="1" x14ac:dyDescent="0.2">
      <c r="B1193" s="145"/>
      <c r="D1193" s="145"/>
      <c r="Z1193" s="177"/>
      <c r="AA1193" s="178"/>
      <c r="AB1193" s="139"/>
      <c r="AC1193" s="173"/>
      <c r="AD1193" s="177"/>
      <c r="AE1193" s="177"/>
      <c r="AF1193" s="139"/>
      <c r="AG1193" s="139"/>
      <c r="AH1193" s="177"/>
      <c r="AI1193" s="178"/>
      <c r="AJ1193" s="139"/>
      <c r="AK1193" s="173"/>
      <c r="AL1193" s="177"/>
      <c r="AM1193" s="178"/>
      <c r="AN1193" s="173"/>
      <c r="AO1193" s="173"/>
      <c r="AP1193" s="173"/>
      <c r="AQ1193" s="178"/>
      <c r="AR1193" s="173"/>
      <c r="AS1193" s="173"/>
      <c r="AT1193" s="140"/>
      <c r="AX1193" s="140"/>
      <c r="BB1193" s="173"/>
      <c r="BC1193" s="173"/>
    </row>
    <row r="1194" spans="2:55" s="134" customFormat="1" x14ac:dyDescent="0.2">
      <c r="B1194" s="145"/>
      <c r="D1194" s="145"/>
      <c r="Z1194" s="177"/>
      <c r="AA1194" s="178"/>
      <c r="AB1194" s="139"/>
      <c r="AC1194" s="173"/>
      <c r="AD1194" s="177"/>
      <c r="AE1194" s="177"/>
      <c r="AF1194" s="139"/>
      <c r="AG1194" s="139"/>
      <c r="AH1194" s="177"/>
      <c r="AI1194" s="178"/>
      <c r="AJ1194" s="139"/>
      <c r="AK1194" s="173"/>
      <c r="AL1194" s="177"/>
      <c r="AM1194" s="178"/>
      <c r="AN1194" s="173"/>
      <c r="AO1194" s="173"/>
      <c r="AP1194" s="173"/>
      <c r="AQ1194" s="178"/>
      <c r="AR1194" s="173"/>
      <c r="AS1194" s="173"/>
      <c r="AT1194" s="140"/>
      <c r="AX1194" s="140"/>
      <c r="BB1194" s="173"/>
      <c r="BC1194" s="173"/>
    </row>
    <row r="1195" spans="2:55" s="134" customFormat="1" x14ac:dyDescent="0.2">
      <c r="B1195" s="145"/>
      <c r="D1195" s="145"/>
      <c r="Z1195" s="177"/>
      <c r="AA1195" s="178"/>
      <c r="AB1195" s="139"/>
      <c r="AC1195" s="173"/>
      <c r="AD1195" s="177"/>
      <c r="AE1195" s="177"/>
      <c r="AF1195" s="139"/>
      <c r="AG1195" s="139"/>
      <c r="AH1195" s="177"/>
      <c r="AI1195" s="178"/>
      <c r="AJ1195" s="139"/>
      <c r="AK1195" s="173"/>
      <c r="AL1195" s="177"/>
      <c r="AM1195" s="178"/>
      <c r="AN1195" s="173"/>
      <c r="AO1195" s="173"/>
      <c r="AP1195" s="173"/>
      <c r="AQ1195" s="178"/>
      <c r="AR1195" s="173"/>
      <c r="AS1195" s="173"/>
      <c r="AT1195" s="140"/>
      <c r="AX1195" s="140"/>
      <c r="BB1195" s="173"/>
      <c r="BC1195" s="173"/>
    </row>
    <row r="1196" spans="2:55" s="134" customFormat="1" x14ac:dyDescent="0.2">
      <c r="B1196" s="145"/>
      <c r="D1196" s="145"/>
      <c r="Z1196" s="177"/>
      <c r="AA1196" s="178"/>
      <c r="AB1196" s="139"/>
      <c r="AC1196" s="173"/>
      <c r="AD1196" s="177"/>
      <c r="AE1196" s="177"/>
      <c r="AF1196" s="139"/>
      <c r="AG1196" s="139"/>
      <c r="AH1196" s="177"/>
      <c r="AI1196" s="178"/>
      <c r="AJ1196" s="139"/>
      <c r="AK1196" s="173"/>
      <c r="AL1196" s="177"/>
      <c r="AM1196" s="178"/>
      <c r="AN1196" s="173"/>
      <c r="AO1196" s="173"/>
      <c r="AP1196" s="173"/>
      <c r="AQ1196" s="178"/>
      <c r="AR1196" s="173"/>
      <c r="AS1196" s="173"/>
      <c r="AT1196" s="140"/>
      <c r="AX1196" s="140"/>
      <c r="BB1196" s="173"/>
      <c r="BC1196" s="173"/>
    </row>
    <row r="1197" spans="2:55" s="134" customFormat="1" x14ac:dyDescent="0.2">
      <c r="B1197" s="145"/>
      <c r="D1197" s="145"/>
      <c r="Z1197" s="177"/>
      <c r="AA1197" s="178"/>
      <c r="AB1197" s="139"/>
      <c r="AC1197" s="173"/>
      <c r="AD1197" s="177"/>
      <c r="AE1197" s="177"/>
      <c r="AF1197" s="139"/>
      <c r="AG1197" s="139"/>
      <c r="AH1197" s="177"/>
      <c r="AI1197" s="178"/>
      <c r="AJ1197" s="139"/>
      <c r="AK1197" s="173"/>
      <c r="AL1197" s="177"/>
      <c r="AM1197" s="178"/>
      <c r="AN1197" s="173"/>
      <c r="AO1197" s="173"/>
      <c r="AP1197" s="173"/>
      <c r="AQ1197" s="178"/>
      <c r="AR1197" s="173"/>
      <c r="AS1197" s="173"/>
      <c r="AT1197" s="140"/>
      <c r="AX1197" s="140"/>
      <c r="BB1197" s="173"/>
      <c r="BC1197" s="173"/>
    </row>
    <row r="1198" spans="2:55" s="134" customFormat="1" x14ac:dyDescent="0.2">
      <c r="B1198" s="145"/>
      <c r="D1198" s="145"/>
      <c r="Z1198" s="177"/>
      <c r="AA1198" s="178"/>
      <c r="AB1198" s="139"/>
      <c r="AC1198" s="173"/>
      <c r="AD1198" s="177"/>
      <c r="AE1198" s="177"/>
      <c r="AF1198" s="139"/>
      <c r="AG1198" s="139"/>
      <c r="AH1198" s="177"/>
      <c r="AI1198" s="178"/>
      <c r="AJ1198" s="139"/>
      <c r="AK1198" s="173"/>
      <c r="AL1198" s="177"/>
      <c r="AM1198" s="178"/>
      <c r="AN1198" s="173"/>
      <c r="AO1198" s="173"/>
      <c r="AP1198" s="173"/>
      <c r="AQ1198" s="178"/>
      <c r="AR1198" s="173"/>
      <c r="AS1198" s="173"/>
      <c r="AT1198" s="140"/>
      <c r="AX1198" s="140"/>
      <c r="BB1198" s="173"/>
      <c r="BC1198" s="173"/>
    </row>
    <row r="1199" spans="2:55" s="134" customFormat="1" x14ac:dyDescent="0.2">
      <c r="B1199" s="145"/>
      <c r="D1199" s="145"/>
      <c r="Z1199" s="177"/>
      <c r="AA1199" s="178"/>
      <c r="AB1199" s="139"/>
      <c r="AC1199" s="173"/>
      <c r="AD1199" s="177"/>
      <c r="AE1199" s="177"/>
      <c r="AF1199" s="139"/>
      <c r="AG1199" s="139"/>
      <c r="AH1199" s="177"/>
      <c r="AI1199" s="178"/>
      <c r="AJ1199" s="139"/>
      <c r="AK1199" s="173"/>
      <c r="AL1199" s="177"/>
      <c r="AM1199" s="178"/>
      <c r="AN1199" s="173"/>
      <c r="AO1199" s="173"/>
      <c r="AP1199" s="173"/>
      <c r="AQ1199" s="178"/>
      <c r="AR1199" s="173"/>
      <c r="AS1199" s="173"/>
      <c r="AT1199" s="140"/>
      <c r="AX1199" s="140"/>
      <c r="BB1199" s="173"/>
      <c r="BC1199" s="173"/>
    </row>
    <row r="1200" spans="2:55" s="134" customFormat="1" x14ac:dyDescent="0.2">
      <c r="B1200" s="145"/>
      <c r="D1200" s="145"/>
      <c r="Z1200" s="177"/>
      <c r="AA1200" s="178"/>
      <c r="AB1200" s="139"/>
      <c r="AC1200" s="173"/>
      <c r="AD1200" s="177"/>
      <c r="AE1200" s="177"/>
      <c r="AF1200" s="139"/>
      <c r="AG1200" s="139"/>
      <c r="AH1200" s="177"/>
      <c r="AI1200" s="178"/>
      <c r="AJ1200" s="139"/>
      <c r="AK1200" s="173"/>
      <c r="AL1200" s="177"/>
      <c r="AM1200" s="178"/>
      <c r="AN1200" s="173"/>
      <c r="AO1200" s="173"/>
      <c r="AP1200" s="173"/>
      <c r="AQ1200" s="178"/>
      <c r="AR1200" s="173"/>
      <c r="AS1200" s="173"/>
      <c r="AT1200" s="140"/>
      <c r="AX1200" s="140"/>
      <c r="BB1200" s="173"/>
      <c r="BC1200" s="173"/>
    </row>
    <row r="1201" spans="2:55" s="134" customFormat="1" x14ac:dyDescent="0.2">
      <c r="B1201" s="145"/>
      <c r="D1201" s="145"/>
      <c r="Z1201" s="177"/>
      <c r="AA1201" s="178"/>
      <c r="AB1201" s="139"/>
      <c r="AC1201" s="173"/>
      <c r="AD1201" s="177"/>
      <c r="AE1201" s="177"/>
      <c r="AF1201" s="139"/>
      <c r="AG1201" s="139"/>
      <c r="AH1201" s="177"/>
      <c r="AI1201" s="178"/>
      <c r="AJ1201" s="139"/>
      <c r="AK1201" s="173"/>
      <c r="AL1201" s="177"/>
      <c r="AM1201" s="178"/>
      <c r="AN1201" s="173"/>
      <c r="AO1201" s="173"/>
      <c r="AP1201" s="173"/>
      <c r="AQ1201" s="178"/>
      <c r="AR1201" s="173"/>
      <c r="AS1201" s="173"/>
      <c r="AT1201" s="140"/>
      <c r="AX1201" s="140"/>
      <c r="BB1201" s="173"/>
      <c r="BC1201" s="173"/>
    </row>
    <row r="1202" spans="2:55" s="134" customFormat="1" x14ac:dyDescent="0.2">
      <c r="B1202" s="145"/>
      <c r="D1202" s="145"/>
      <c r="Z1202" s="177"/>
      <c r="AA1202" s="178"/>
      <c r="AB1202" s="139"/>
      <c r="AC1202" s="173"/>
      <c r="AD1202" s="177"/>
      <c r="AE1202" s="177"/>
      <c r="AF1202" s="139"/>
      <c r="AG1202" s="139"/>
      <c r="AH1202" s="177"/>
      <c r="AI1202" s="178"/>
      <c r="AJ1202" s="139"/>
      <c r="AK1202" s="173"/>
      <c r="AL1202" s="177"/>
      <c r="AM1202" s="178"/>
      <c r="AN1202" s="173"/>
      <c r="AO1202" s="173"/>
      <c r="AP1202" s="173"/>
      <c r="AQ1202" s="178"/>
      <c r="AR1202" s="173"/>
      <c r="AS1202" s="173"/>
      <c r="AT1202" s="140"/>
      <c r="AX1202" s="140"/>
      <c r="BB1202" s="173"/>
      <c r="BC1202" s="173"/>
    </row>
    <row r="1203" spans="2:55" s="134" customFormat="1" x14ac:dyDescent="0.2">
      <c r="B1203" s="145"/>
      <c r="D1203" s="145"/>
      <c r="Z1203" s="177"/>
      <c r="AA1203" s="178"/>
      <c r="AB1203" s="139"/>
      <c r="AC1203" s="173"/>
      <c r="AD1203" s="177"/>
      <c r="AE1203" s="177"/>
      <c r="AF1203" s="139"/>
      <c r="AG1203" s="139"/>
      <c r="AH1203" s="177"/>
      <c r="AI1203" s="178"/>
      <c r="AJ1203" s="139"/>
      <c r="AK1203" s="173"/>
      <c r="AL1203" s="177"/>
      <c r="AM1203" s="178"/>
      <c r="AN1203" s="173"/>
      <c r="AO1203" s="173"/>
      <c r="AP1203" s="173"/>
      <c r="AQ1203" s="178"/>
      <c r="AR1203" s="173"/>
      <c r="AS1203" s="173"/>
      <c r="AT1203" s="140"/>
      <c r="AX1203" s="140"/>
      <c r="BB1203" s="173"/>
      <c r="BC1203" s="173"/>
    </row>
    <row r="1204" spans="2:55" s="134" customFormat="1" x14ac:dyDescent="0.2">
      <c r="B1204" s="145"/>
      <c r="D1204" s="145"/>
      <c r="Z1204" s="177"/>
      <c r="AA1204" s="178"/>
      <c r="AB1204" s="139"/>
      <c r="AC1204" s="173"/>
      <c r="AD1204" s="177"/>
      <c r="AE1204" s="177"/>
      <c r="AF1204" s="139"/>
      <c r="AG1204" s="139"/>
      <c r="AH1204" s="177"/>
      <c r="AI1204" s="178"/>
      <c r="AJ1204" s="139"/>
      <c r="AK1204" s="173"/>
      <c r="AL1204" s="177"/>
      <c r="AM1204" s="178"/>
      <c r="AN1204" s="173"/>
      <c r="AO1204" s="173"/>
      <c r="AP1204" s="173"/>
      <c r="AQ1204" s="178"/>
      <c r="AR1204" s="173"/>
      <c r="AS1204" s="173"/>
      <c r="AT1204" s="140"/>
      <c r="AX1204" s="140"/>
      <c r="BB1204" s="173"/>
      <c r="BC1204" s="173"/>
    </row>
    <row r="1205" spans="2:55" s="134" customFormat="1" x14ac:dyDescent="0.2">
      <c r="B1205" s="145"/>
      <c r="D1205" s="145"/>
      <c r="Z1205" s="177"/>
      <c r="AA1205" s="178"/>
      <c r="AB1205" s="139"/>
      <c r="AC1205" s="173"/>
      <c r="AD1205" s="177"/>
      <c r="AE1205" s="177"/>
      <c r="AF1205" s="139"/>
      <c r="AG1205" s="139"/>
      <c r="AH1205" s="177"/>
      <c r="AI1205" s="178"/>
      <c r="AJ1205" s="139"/>
      <c r="AK1205" s="173"/>
      <c r="AL1205" s="177"/>
      <c r="AM1205" s="178"/>
      <c r="AN1205" s="173"/>
      <c r="AO1205" s="173"/>
      <c r="AP1205" s="173"/>
      <c r="AQ1205" s="178"/>
      <c r="AR1205" s="173"/>
      <c r="AS1205" s="173"/>
      <c r="AT1205" s="140"/>
      <c r="AX1205" s="140"/>
      <c r="BB1205" s="173"/>
      <c r="BC1205" s="173"/>
    </row>
    <row r="1206" spans="2:55" s="134" customFormat="1" x14ac:dyDescent="0.2">
      <c r="B1206" s="145"/>
      <c r="D1206" s="145"/>
      <c r="Z1206" s="177"/>
      <c r="AA1206" s="178"/>
      <c r="AB1206" s="139"/>
      <c r="AC1206" s="173"/>
      <c r="AD1206" s="177"/>
      <c r="AE1206" s="177"/>
      <c r="AF1206" s="139"/>
      <c r="AG1206" s="139"/>
      <c r="AH1206" s="177"/>
      <c r="AI1206" s="178"/>
      <c r="AJ1206" s="139"/>
      <c r="AK1206" s="173"/>
      <c r="AL1206" s="177"/>
      <c r="AM1206" s="178"/>
      <c r="AN1206" s="173"/>
      <c r="AO1206" s="173"/>
      <c r="AP1206" s="173"/>
      <c r="AQ1206" s="178"/>
      <c r="AR1206" s="173"/>
      <c r="AS1206" s="173"/>
      <c r="AT1206" s="140"/>
      <c r="AX1206" s="140"/>
      <c r="BB1206" s="173"/>
      <c r="BC1206" s="173"/>
    </row>
    <row r="1207" spans="2:55" s="134" customFormat="1" x14ac:dyDescent="0.2">
      <c r="B1207" s="145"/>
      <c r="D1207" s="145"/>
      <c r="Z1207" s="177"/>
      <c r="AA1207" s="178"/>
      <c r="AB1207" s="139"/>
      <c r="AC1207" s="173"/>
      <c r="AD1207" s="177"/>
      <c r="AE1207" s="177"/>
      <c r="AF1207" s="139"/>
      <c r="AG1207" s="139"/>
      <c r="AH1207" s="177"/>
      <c r="AI1207" s="178"/>
      <c r="AJ1207" s="139"/>
      <c r="AK1207" s="173"/>
      <c r="AL1207" s="177"/>
      <c r="AM1207" s="178"/>
      <c r="AN1207" s="173"/>
      <c r="AO1207" s="173"/>
      <c r="AP1207" s="173"/>
      <c r="AQ1207" s="178"/>
      <c r="AR1207" s="173"/>
      <c r="AS1207" s="173"/>
      <c r="AT1207" s="140"/>
      <c r="AX1207" s="140"/>
      <c r="BB1207" s="173"/>
      <c r="BC1207" s="173"/>
    </row>
    <row r="1208" spans="2:55" s="134" customFormat="1" x14ac:dyDescent="0.2">
      <c r="B1208" s="145"/>
      <c r="D1208" s="145"/>
      <c r="Z1208" s="177"/>
      <c r="AA1208" s="178"/>
      <c r="AB1208" s="139"/>
      <c r="AC1208" s="173"/>
      <c r="AD1208" s="177"/>
      <c r="AE1208" s="177"/>
      <c r="AF1208" s="139"/>
      <c r="AG1208" s="139"/>
      <c r="AH1208" s="177"/>
      <c r="AI1208" s="178"/>
      <c r="AJ1208" s="139"/>
      <c r="AK1208" s="173"/>
      <c r="AL1208" s="177"/>
      <c r="AM1208" s="178"/>
      <c r="AN1208" s="173"/>
      <c r="AO1208" s="173"/>
      <c r="AP1208" s="173"/>
      <c r="AQ1208" s="178"/>
      <c r="AR1208" s="173"/>
      <c r="AS1208" s="173"/>
      <c r="AT1208" s="140"/>
      <c r="AX1208" s="140"/>
      <c r="BB1208" s="173"/>
      <c r="BC1208" s="173"/>
    </row>
    <row r="1209" spans="2:55" s="134" customFormat="1" x14ac:dyDescent="0.2">
      <c r="B1209" s="145"/>
      <c r="D1209" s="145"/>
      <c r="Z1209" s="177"/>
      <c r="AA1209" s="178"/>
      <c r="AB1209" s="139"/>
      <c r="AC1209" s="173"/>
      <c r="AD1209" s="177"/>
      <c r="AE1209" s="177"/>
      <c r="AF1209" s="139"/>
      <c r="AG1209" s="139"/>
      <c r="AH1209" s="177"/>
      <c r="AI1209" s="178"/>
      <c r="AJ1209" s="139"/>
      <c r="AK1209" s="173"/>
      <c r="AL1209" s="177"/>
      <c r="AM1209" s="178"/>
      <c r="AN1209" s="173"/>
      <c r="AO1209" s="173"/>
      <c r="AP1209" s="173"/>
      <c r="AQ1209" s="178"/>
      <c r="AR1209" s="173"/>
      <c r="AS1209" s="173"/>
      <c r="AT1209" s="140"/>
      <c r="AX1209" s="140"/>
      <c r="BB1209" s="173"/>
      <c r="BC1209" s="173"/>
    </row>
    <row r="1210" spans="2:55" s="134" customFormat="1" x14ac:dyDescent="0.2">
      <c r="B1210" s="145"/>
      <c r="D1210" s="145"/>
      <c r="Z1210" s="177"/>
      <c r="AA1210" s="178"/>
      <c r="AB1210" s="139"/>
      <c r="AC1210" s="173"/>
      <c r="AD1210" s="177"/>
      <c r="AE1210" s="177"/>
      <c r="AF1210" s="139"/>
      <c r="AG1210" s="139"/>
      <c r="AH1210" s="177"/>
      <c r="AI1210" s="178"/>
      <c r="AJ1210" s="139"/>
      <c r="AK1210" s="173"/>
      <c r="AL1210" s="177"/>
      <c r="AM1210" s="178"/>
      <c r="AN1210" s="173"/>
      <c r="AO1210" s="173"/>
      <c r="AP1210" s="173"/>
      <c r="AQ1210" s="178"/>
      <c r="AR1210" s="173"/>
      <c r="AS1210" s="173"/>
      <c r="AT1210" s="140"/>
      <c r="AX1210" s="140"/>
      <c r="BB1210" s="173"/>
      <c r="BC1210" s="173"/>
    </row>
    <row r="1211" spans="2:55" s="134" customFormat="1" x14ac:dyDescent="0.2">
      <c r="B1211" s="145"/>
      <c r="D1211" s="145"/>
      <c r="Z1211" s="177"/>
      <c r="AA1211" s="178"/>
      <c r="AB1211" s="139"/>
      <c r="AC1211" s="173"/>
      <c r="AD1211" s="177"/>
      <c r="AE1211" s="177"/>
      <c r="AF1211" s="139"/>
      <c r="AG1211" s="139"/>
      <c r="AH1211" s="177"/>
      <c r="AI1211" s="178"/>
      <c r="AJ1211" s="139"/>
      <c r="AK1211" s="173"/>
      <c r="AL1211" s="177"/>
      <c r="AM1211" s="178"/>
      <c r="AN1211" s="173"/>
      <c r="AO1211" s="173"/>
      <c r="AP1211" s="173"/>
      <c r="AQ1211" s="178"/>
      <c r="AR1211" s="173"/>
      <c r="AS1211" s="173"/>
      <c r="AT1211" s="140"/>
      <c r="AX1211" s="140"/>
      <c r="BB1211" s="173"/>
      <c r="BC1211" s="173"/>
    </row>
    <row r="1212" spans="2:55" s="134" customFormat="1" x14ac:dyDescent="0.2">
      <c r="B1212" s="145"/>
      <c r="D1212" s="145"/>
      <c r="Z1212" s="177"/>
      <c r="AA1212" s="178"/>
      <c r="AB1212" s="139"/>
      <c r="AC1212" s="173"/>
      <c r="AD1212" s="177"/>
      <c r="AE1212" s="177"/>
      <c r="AF1212" s="139"/>
      <c r="AG1212" s="139"/>
      <c r="AH1212" s="177"/>
      <c r="AI1212" s="178"/>
      <c r="AJ1212" s="139"/>
      <c r="AK1212" s="173"/>
      <c r="AL1212" s="177"/>
      <c r="AM1212" s="178"/>
      <c r="AN1212" s="173"/>
      <c r="AO1212" s="173"/>
      <c r="AP1212" s="173"/>
      <c r="AQ1212" s="178"/>
      <c r="AR1212" s="173"/>
      <c r="AS1212" s="173"/>
      <c r="AT1212" s="140"/>
      <c r="AX1212" s="140"/>
      <c r="BB1212" s="173"/>
      <c r="BC1212" s="173"/>
    </row>
    <row r="1213" spans="2:55" s="134" customFormat="1" x14ac:dyDescent="0.2">
      <c r="B1213" s="145"/>
      <c r="D1213" s="145"/>
      <c r="Z1213" s="177"/>
      <c r="AA1213" s="178"/>
      <c r="AB1213" s="139"/>
      <c r="AC1213" s="173"/>
      <c r="AD1213" s="177"/>
      <c r="AE1213" s="177"/>
      <c r="AF1213" s="139"/>
      <c r="AG1213" s="139"/>
      <c r="AH1213" s="177"/>
      <c r="AI1213" s="178"/>
      <c r="AJ1213" s="139"/>
      <c r="AK1213" s="173"/>
      <c r="AL1213" s="177"/>
      <c r="AM1213" s="178"/>
      <c r="AN1213" s="173"/>
      <c r="AO1213" s="173"/>
      <c r="AP1213" s="173"/>
      <c r="AQ1213" s="178"/>
      <c r="AR1213" s="173"/>
      <c r="AS1213" s="173"/>
      <c r="AT1213" s="140"/>
      <c r="AX1213" s="140"/>
      <c r="BB1213" s="173"/>
      <c r="BC1213" s="173"/>
    </row>
    <row r="1214" spans="2:55" s="134" customFormat="1" x14ac:dyDescent="0.2">
      <c r="B1214" s="145"/>
      <c r="D1214" s="145"/>
      <c r="Z1214" s="177"/>
      <c r="AA1214" s="178"/>
      <c r="AB1214" s="139"/>
      <c r="AC1214" s="173"/>
      <c r="AD1214" s="177"/>
      <c r="AE1214" s="177"/>
      <c r="AF1214" s="139"/>
      <c r="AG1214" s="139"/>
      <c r="AH1214" s="177"/>
      <c r="AI1214" s="178"/>
      <c r="AJ1214" s="139"/>
      <c r="AK1214" s="173"/>
      <c r="AL1214" s="177"/>
      <c r="AM1214" s="178"/>
      <c r="AN1214" s="173"/>
      <c r="AO1214" s="173"/>
      <c r="AP1214" s="173"/>
      <c r="AQ1214" s="178"/>
      <c r="AR1214" s="173"/>
      <c r="AS1214" s="173"/>
      <c r="AT1214" s="140"/>
      <c r="AX1214" s="140"/>
      <c r="BB1214" s="173"/>
      <c r="BC1214" s="173"/>
    </row>
    <row r="1215" spans="2:55" s="134" customFormat="1" x14ac:dyDescent="0.2">
      <c r="B1215" s="145"/>
      <c r="D1215" s="145"/>
      <c r="Z1215" s="177"/>
      <c r="AA1215" s="178"/>
      <c r="AB1215" s="139"/>
      <c r="AC1215" s="173"/>
      <c r="AD1215" s="177"/>
      <c r="AE1215" s="177"/>
      <c r="AF1215" s="139"/>
      <c r="AG1215" s="139"/>
      <c r="AH1215" s="177"/>
      <c r="AI1215" s="178"/>
      <c r="AJ1215" s="139"/>
      <c r="AK1215" s="173"/>
      <c r="AL1215" s="177"/>
      <c r="AM1215" s="178"/>
      <c r="AN1215" s="173"/>
      <c r="AO1215" s="173"/>
      <c r="AP1215" s="173"/>
      <c r="AQ1215" s="178"/>
      <c r="AR1215" s="173"/>
      <c r="AS1215" s="173"/>
      <c r="AT1215" s="140"/>
      <c r="AX1215" s="140"/>
      <c r="BB1215" s="173"/>
      <c r="BC1215" s="173"/>
    </row>
    <row r="1216" spans="2:55" s="134" customFormat="1" x14ac:dyDescent="0.2">
      <c r="B1216" s="145"/>
      <c r="D1216" s="145"/>
      <c r="Z1216" s="177"/>
      <c r="AA1216" s="178"/>
      <c r="AB1216" s="139"/>
      <c r="AC1216" s="173"/>
      <c r="AD1216" s="177"/>
      <c r="AE1216" s="177"/>
      <c r="AF1216" s="139"/>
      <c r="AG1216" s="139"/>
      <c r="AH1216" s="177"/>
      <c r="AI1216" s="178"/>
      <c r="AJ1216" s="139"/>
      <c r="AK1216" s="173"/>
      <c r="AL1216" s="177"/>
      <c r="AM1216" s="178"/>
      <c r="AN1216" s="173"/>
      <c r="AO1216" s="173"/>
      <c r="AP1216" s="173"/>
      <c r="AQ1216" s="178"/>
      <c r="AR1216" s="173"/>
      <c r="AS1216" s="173"/>
      <c r="AT1216" s="140"/>
      <c r="AX1216" s="140"/>
      <c r="BB1216" s="173"/>
      <c r="BC1216" s="173"/>
    </row>
    <row r="1217" spans="2:55" s="134" customFormat="1" x14ac:dyDescent="0.2">
      <c r="B1217" s="145"/>
      <c r="D1217" s="145"/>
      <c r="Z1217" s="177"/>
      <c r="AA1217" s="178"/>
      <c r="AB1217" s="139"/>
      <c r="AC1217" s="173"/>
      <c r="AD1217" s="177"/>
      <c r="AE1217" s="177"/>
      <c r="AF1217" s="139"/>
      <c r="AG1217" s="139"/>
      <c r="AH1217" s="177"/>
      <c r="AI1217" s="178"/>
      <c r="AJ1217" s="139"/>
      <c r="AK1217" s="173"/>
      <c r="AL1217" s="177"/>
      <c r="AM1217" s="178"/>
      <c r="AN1217" s="173"/>
      <c r="AO1217" s="173"/>
      <c r="AP1217" s="173"/>
      <c r="AQ1217" s="178"/>
      <c r="AR1217" s="173"/>
      <c r="AS1217" s="173"/>
      <c r="AT1217" s="140"/>
      <c r="AX1217" s="140"/>
      <c r="BB1217" s="173"/>
      <c r="BC1217" s="173"/>
    </row>
    <row r="1218" spans="2:55" s="134" customFormat="1" x14ac:dyDescent="0.2">
      <c r="B1218" s="145"/>
      <c r="D1218" s="145"/>
      <c r="Z1218" s="177"/>
      <c r="AA1218" s="178"/>
      <c r="AB1218" s="139"/>
      <c r="AC1218" s="173"/>
      <c r="AD1218" s="177"/>
      <c r="AE1218" s="177"/>
      <c r="AF1218" s="139"/>
      <c r="AG1218" s="139"/>
      <c r="AH1218" s="177"/>
      <c r="AI1218" s="178"/>
      <c r="AJ1218" s="139"/>
      <c r="AK1218" s="173"/>
      <c r="AL1218" s="177"/>
      <c r="AM1218" s="178"/>
      <c r="AN1218" s="173"/>
      <c r="AO1218" s="173"/>
      <c r="AP1218" s="173"/>
      <c r="AQ1218" s="178"/>
      <c r="AR1218" s="173"/>
      <c r="AS1218" s="173"/>
      <c r="AT1218" s="140"/>
      <c r="AX1218" s="140"/>
      <c r="BB1218" s="173"/>
      <c r="BC1218" s="173"/>
    </row>
    <row r="1219" spans="2:55" s="134" customFormat="1" x14ac:dyDescent="0.2">
      <c r="B1219" s="145"/>
      <c r="D1219" s="145"/>
      <c r="Z1219" s="177"/>
      <c r="AA1219" s="178"/>
      <c r="AB1219" s="139"/>
      <c r="AC1219" s="173"/>
      <c r="AD1219" s="177"/>
      <c r="AE1219" s="177"/>
      <c r="AF1219" s="139"/>
      <c r="AG1219" s="139"/>
      <c r="AH1219" s="177"/>
      <c r="AI1219" s="178"/>
      <c r="AJ1219" s="139"/>
      <c r="AK1219" s="173"/>
      <c r="AL1219" s="177"/>
      <c r="AM1219" s="178"/>
      <c r="AN1219" s="173"/>
      <c r="AO1219" s="173"/>
      <c r="AP1219" s="173"/>
      <c r="AQ1219" s="178"/>
      <c r="AR1219" s="173"/>
      <c r="AS1219" s="173"/>
      <c r="AT1219" s="140"/>
      <c r="AX1219" s="140"/>
      <c r="BB1219" s="173"/>
      <c r="BC1219" s="173"/>
    </row>
    <row r="1220" spans="2:55" s="134" customFormat="1" x14ac:dyDescent="0.2">
      <c r="B1220" s="145"/>
      <c r="D1220" s="145"/>
      <c r="Z1220" s="177"/>
      <c r="AA1220" s="178"/>
      <c r="AB1220" s="139"/>
      <c r="AC1220" s="173"/>
      <c r="AD1220" s="177"/>
      <c r="AE1220" s="177"/>
      <c r="AF1220" s="139"/>
      <c r="AG1220" s="139"/>
      <c r="AH1220" s="177"/>
      <c r="AI1220" s="178"/>
      <c r="AJ1220" s="139"/>
      <c r="AK1220" s="173"/>
      <c r="AL1220" s="177"/>
      <c r="AM1220" s="178"/>
      <c r="AN1220" s="173"/>
      <c r="AO1220" s="173"/>
      <c r="AP1220" s="173"/>
      <c r="AQ1220" s="178"/>
      <c r="AR1220" s="173"/>
      <c r="AS1220" s="173"/>
      <c r="AT1220" s="140"/>
      <c r="AX1220" s="140"/>
      <c r="BB1220" s="173"/>
      <c r="BC1220" s="173"/>
    </row>
    <row r="1221" spans="2:55" s="134" customFormat="1" x14ac:dyDescent="0.2">
      <c r="B1221" s="145"/>
      <c r="D1221" s="145"/>
      <c r="Z1221" s="177"/>
      <c r="AA1221" s="178"/>
      <c r="AB1221" s="139"/>
      <c r="AC1221" s="173"/>
      <c r="AD1221" s="177"/>
      <c r="AE1221" s="177"/>
      <c r="AF1221" s="139"/>
      <c r="AG1221" s="139"/>
      <c r="AH1221" s="177"/>
      <c r="AI1221" s="178"/>
      <c r="AJ1221" s="139"/>
      <c r="AK1221" s="173"/>
      <c r="AL1221" s="177"/>
      <c r="AM1221" s="178"/>
      <c r="AN1221" s="173"/>
      <c r="AO1221" s="173"/>
      <c r="AP1221" s="173"/>
      <c r="AQ1221" s="178"/>
      <c r="AR1221" s="173"/>
      <c r="AS1221" s="173"/>
      <c r="AT1221" s="140"/>
      <c r="AX1221" s="140"/>
      <c r="BB1221" s="173"/>
      <c r="BC1221" s="173"/>
    </row>
    <row r="1222" spans="2:55" s="134" customFormat="1" x14ac:dyDescent="0.2">
      <c r="B1222" s="145"/>
      <c r="D1222" s="145"/>
      <c r="Z1222" s="177"/>
      <c r="AA1222" s="178"/>
      <c r="AB1222" s="139"/>
      <c r="AC1222" s="173"/>
      <c r="AD1222" s="177"/>
      <c r="AE1222" s="177"/>
      <c r="AF1222" s="139"/>
      <c r="AG1222" s="139"/>
      <c r="AH1222" s="177"/>
      <c r="AI1222" s="178"/>
      <c r="AJ1222" s="139"/>
      <c r="AK1222" s="173"/>
      <c r="AL1222" s="177"/>
      <c r="AM1222" s="178"/>
      <c r="AN1222" s="173"/>
      <c r="AO1222" s="173"/>
      <c r="AP1222" s="173"/>
      <c r="AQ1222" s="178"/>
      <c r="AR1222" s="173"/>
      <c r="AS1222" s="173"/>
      <c r="AT1222" s="140"/>
      <c r="AX1222" s="140"/>
      <c r="BB1222" s="173"/>
      <c r="BC1222" s="173"/>
    </row>
    <row r="1223" spans="2:55" s="134" customFormat="1" x14ac:dyDescent="0.2">
      <c r="B1223" s="145"/>
      <c r="D1223" s="145"/>
      <c r="Z1223" s="177"/>
      <c r="AA1223" s="178"/>
      <c r="AB1223" s="139"/>
      <c r="AC1223" s="173"/>
      <c r="AD1223" s="177"/>
      <c r="AE1223" s="177"/>
      <c r="AF1223" s="139"/>
      <c r="AG1223" s="139"/>
      <c r="AH1223" s="177"/>
      <c r="AI1223" s="178"/>
      <c r="AJ1223" s="139"/>
      <c r="AK1223" s="173"/>
      <c r="AL1223" s="177"/>
      <c r="AM1223" s="178"/>
      <c r="AN1223" s="173"/>
      <c r="AO1223" s="173"/>
      <c r="AP1223" s="173"/>
      <c r="AQ1223" s="178"/>
      <c r="AR1223" s="173"/>
      <c r="AS1223" s="173"/>
      <c r="AT1223" s="140"/>
      <c r="AX1223" s="140"/>
      <c r="BB1223" s="173"/>
      <c r="BC1223" s="173"/>
    </row>
    <row r="1224" spans="2:55" s="134" customFormat="1" x14ac:dyDescent="0.2">
      <c r="B1224" s="145"/>
      <c r="D1224" s="145"/>
      <c r="Z1224" s="177"/>
      <c r="AA1224" s="178"/>
      <c r="AB1224" s="139"/>
      <c r="AC1224" s="173"/>
      <c r="AD1224" s="177"/>
      <c r="AE1224" s="177"/>
      <c r="AF1224" s="139"/>
      <c r="AG1224" s="139"/>
      <c r="AH1224" s="177"/>
      <c r="AI1224" s="178"/>
      <c r="AJ1224" s="139"/>
      <c r="AK1224" s="173"/>
      <c r="AL1224" s="177"/>
      <c r="AM1224" s="178"/>
      <c r="AN1224" s="173"/>
      <c r="AO1224" s="173"/>
      <c r="AP1224" s="173"/>
      <c r="AQ1224" s="178"/>
      <c r="AR1224" s="173"/>
      <c r="AS1224" s="173"/>
      <c r="AT1224" s="140"/>
      <c r="AX1224" s="140"/>
      <c r="BB1224" s="173"/>
      <c r="BC1224" s="173"/>
    </row>
    <row r="1225" spans="2:55" s="134" customFormat="1" x14ac:dyDescent="0.2">
      <c r="B1225" s="145"/>
      <c r="D1225" s="145"/>
      <c r="Z1225" s="177"/>
      <c r="AA1225" s="178"/>
      <c r="AB1225" s="139"/>
      <c r="AC1225" s="173"/>
      <c r="AD1225" s="177"/>
      <c r="AE1225" s="177"/>
      <c r="AF1225" s="139"/>
      <c r="AG1225" s="139"/>
      <c r="AH1225" s="177"/>
      <c r="AI1225" s="178"/>
      <c r="AJ1225" s="139"/>
      <c r="AK1225" s="173"/>
      <c r="AL1225" s="177"/>
      <c r="AM1225" s="178"/>
      <c r="AN1225" s="173"/>
      <c r="AO1225" s="173"/>
      <c r="AP1225" s="173"/>
      <c r="AQ1225" s="178"/>
      <c r="AR1225" s="173"/>
      <c r="AS1225" s="173"/>
      <c r="AT1225" s="140"/>
      <c r="AX1225" s="140"/>
      <c r="BB1225" s="173"/>
      <c r="BC1225" s="173"/>
    </row>
    <row r="1226" spans="2:55" s="134" customFormat="1" x14ac:dyDescent="0.2">
      <c r="B1226" s="145"/>
      <c r="D1226" s="145"/>
      <c r="Z1226" s="177"/>
      <c r="AA1226" s="178"/>
      <c r="AB1226" s="139"/>
      <c r="AC1226" s="173"/>
      <c r="AD1226" s="177"/>
      <c r="AE1226" s="177"/>
      <c r="AF1226" s="139"/>
      <c r="AG1226" s="139"/>
      <c r="AH1226" s="177"/>
      <c r="AI1226" s="178"/>
      <c r="AJ1226" s="139"/>
      <c r="AK1226" s="173"/>
      <c r="AL1226" s="177"/>
      <c r="AM1226" s="178"/>
      <c r="AN1226" s="173"/>
      <c r="AO1226" s="173"/>
      <c r="AP1226" s="173"/>
      <c r="AQ1226" s="178"/>
      <c r="AR1226" s="173"/>
      <c r="AS1226" s="173"/>
      <c r="AT1226" s="140"/>
      <c r="AX1226" s="140"/>
      <c r="BB1226" s="173"/>
      <c r="BC1226" s="173"/>
    </row>
    <row r="1227" spans="2:55" s="134" customFormat="1" x14ac:dyDescent="0.2">
      <c r="B1227" s="145"/>
      <c r="D1227" s="145"/>
      <c r="Z1227" s="177"/>
      <c r="AA1227" s="178"/>
      <c r="AB1227" s="139"/>
      <c r="AC1227" s="173"/>
      <c r="AD1227" s="177"/>
      <c r="AE1227" s="177"/>
      <c r="AF1227" s="139"/>
      <c r="AG1227" s="139"/>
      <c r="AH1227" s="177"/>
      <c r="AI1227" s="178"/>
      <c r="AJ1227" s="139"/>
      <c r="AK1227" s="173"/>
      <c r="AL1227" s="177"/>
      <c r="AM1227" s="178"/>
      <c r="AN1227" s="173"/>
      <c r="AO1227" s="173"/>
      <c r="AP1227" s="173"/>
      <c r="AQ1227" s="178"/>
      <c r="AR1227" s="173"/>
      <c r="AS1227" s="173"/>
      <c r="AT1227" s="140"/>
      <c r="AX1227" s="140"/>
      <c r="BB1227" s="173"/>
      <c r="BC1227" s="173"/>
    </row>
    <row r="1228" spans="2:55" s="134" customFormat="1" x14ac:dyDescent="0.2">
      <c r="B1228" s="145"/>
      <c r="D1228" s="145"/>
      <c r="Z1228" s="177"/>
      <c r="AA1228" s="178"/>
      <c r="AB1228" s="139"/>
      <c r="AC1228" s="173"/>
      <c r="AD1228" s="177"/>
      <c r="AE1228" s="177"/>
      <c r="AF1228" s="139"/>
      <c r="AG1228" s="139"/>
      <c r="AH1228" s="177"/>
      <c r="AI1228" s="178"/>
      <c r="AJ1228" s="139"/>
      <c r="AK1228" s="173"/>
      <c r="AL1228" s="177"/>
      <c r="AM1228" s="178"/>
      <c r="AN1228" s="173"/>
      <c r="AO1228" s="173"/>
      <c r="AP1228" s="173"/>
      <c r="AQ1228" s="178"/>
      <c r="AR1228" s="173"/>
      <c r="AS1228" s="173"/>
      <c r="AT1228" s="140"/>
      <c r="AX1228" s="140"/>
      <c r="BB1228" s="173"/>
      <c r="BC1228" s="173"/>
    </row>
    <row r="1229" spans="2:55" s="134" customFormat="1" x14ac:dyDescent="0.2">
      <c r="B1229" s="145"/>
      <c r="D1229" s="145"/>
      <c r="Z1229" s="177"/>
      <c r="AA1229" s="178"/>
      <c r="AB1229" s="139"/>
      <c r="AC1229" s="173"/>
      <c r="AD1229" s="177"/>
      <c r="AE1229" s="177"/>
      <c r="AF1229" s="139"/>
      <c r="AG1229" s="139"/>
      <c r="AH1229" s="177"/>
      <c r="AI1229" s="178"/>
      <c r="AJ1229" s="139"/>
      <c r="AK1229" s="173"/>
      <c r="AL1229" s="177"/>
      <c r="AM1229" s="178"/>
      <c r="AN1229" s="173"/>
      <c r="AO1229" s="173"/>
      <c r="AP1229" s="173"/>
      <c r="AQ1229" s="178"/>
      <c r="AR1229" s="173"/>
      <c r="AS1229" s="173"/>
      <c r="AT1229" s="140"/>
      <c r="AX1229" s="140"/>
      <c r="BB1229" s="173"/>
      <c r="BC1229" s="173"/>
    </row>
    <row r="1230" spans="2:55" s="134" customFormat="1" x14ac:dyDescent="0.2">
      <c r="B1230" s="145"/>
      <c r="D1230" s="145"/>
      <c r="Z1230" s="177"/>
      <c r="AA1230" s="178"/>
      <c r="AB1230" s="139"/>
      <c r="AC1230" s="173"/>
      <c r="AD1230" s="177"/>
      <c r="AE1230" s="177"/>
      <c r="AF1230" s="139"/>
      <c r="AG1230" s="139"/>
      <c r="AH1230" s="177"/>
      <c r="AI1230" s="178"/>
      <c r="AJ1230" s="139"/>
      <c r="AK1230" s="173"/>
      <c r="AL1230" s="177"/>
      <c r="AM1230" s="178"/>
      <c r="AN1230" s="173"/>
      <c r="AO1230" s="173"/>
      <c r="AP1230" s="173"/>
      <c r="AQ1230" s="178"/>
      <c r="AR1230" s="173"/>
      <c r="AS1230" s="173"/>
      <c r="AT1230" s="140"/>
      <c r="AX1230" s="140"/>
      <c r="BB1230" s="173"/>
      <c r="BC1230" s="173"/>
    </row>
    <row r="1231" spans="2:55" s="134" customFormat="1" x14ac:dyDescent="0.2">
      <c r="B1231" s="145"/>
      <c r="D1231" s="145"/>
      <c r="Z1231" s="177"/>
      <c r="AA1231" s="178"/>
      <c r="AB1231" s="139"/>
      <c r="AC1231" s="173"/>
      <c r="AD1231" s="177"/>
      <c r="AE1231" s="177"/>
      <c r="AF1231" s="139"/>
      <c r="AG1231" s="139"/>
      <c r="AH1231" s="177"/>
      <c r="AI1231" s="178"/>
      <c r="AJ1231" s="139"/>
      <c r="AK1231" s="173"/>
      <c r="AL1231" s="177"/>
      <c r="AM1231" s="178"/>
      <c r="AN1231" s="173"/>
      <c r="AO1231" s="173"/>
      <c r="AP1231" s="173"/>
      <c r="AQ1231" s="178"/>
      <c r="AR1231" s="173"/>
      <c r="AS1231" s="173"/>
      <c r="AT1231" s="140"/>
      <c r="AX1231" s="140"/>
      <c r="BB1231" s="173"/>
      <c r="BC1231" s="173"/>
    </row>
    <row r="1232" spans="2:55" s="134" customFormat="1" x14ac:dyDescent="0.2">
      <c r="B1232" s="145"/>
      <c r="D1232" s="145"/>
      <c r="Z1232" s="177"/>
      <c r="AA1232" s="178"/>
      <c r="AB1232" s="139"/>
      <c r="AC1232" s="173"/>
      <c r="AD1232" s="177"/>
      <c r="AE1232" s="177"/>
      <c r="AF1232" s="139"/>
      <c r="AG1232" s="139"/>
      <c r="AH1232" s="177"/>
      <c r="AI1232" s="178"/>
      <c r="AJ1232" s="139"/>
      <c r="AK1232" s="173"/>
      <c r="AL1232" s="177"/>
      <c r="AM1232" s="178"/>
      <c r="AN1232" s="173"/>
      <c r="AO1232" s="173"/>
      <c r="AP1232" s="173"/>
      <c r="AQ1232" s="178"/>
      <c r="AR1232" s="173"/>
      <c r="AS1232" s="173"/>
      <c r="AT1232" s="140"/>
      <c r="AX1232" s="140"/>
      <c r="BB1232" s="173"/>
      <c r="BC1232" s="173"/>
    </row>
    <row r="1233" spans="2:55" s="134" customFormat="1" x14ac:dyDescent="0.2">
      <c r="B1233" s="145"/>
      <c r="D1233" s="145"/>
      <c r="Z1233" s="177"/>
      <c r="AA1233" s="178"/>
      <c r="AB1233" s="139"/>
      <c r="AC1233" s="173"/>
      <c r="AD1233" s="177"/>
      <c r="AE1233" s="177"/>
      <c r="AF1233" s="139"/>
      <c r="AG1233" s="139"/>
      <c r="AH1233" s="177"/>
      <c r="AI1233" s="178"/>
      <c r="AJ1233" s="139"/>
      <c r="AK1233" s="173"/>
      <c r="AL1233" s="177"/>
      <c r="AM1233" s="178"/>
      <c r="AN1233" s="173"/>
      <c r="AO1233" s="173"/>
      <c r="AP1233" s="173"/>
      <c r="AQ1233" s="178"/>
      <c r="AR1233" s="173"/>
      <c r="AS1233" s="173"/>
      <c r="AT1233" s="140"/>
      <c r="AX1233" s="140"/>
      <c r="BB1233" s="173"/>
      <c r="BC1233" s="173"/>
    </row>
    <row r="1234" spans="2:55" s="134" customFormat="1" x14ac:dyDescent="0.2">
      <c r="B1234" s="145"/>
      <c r="D1234" s="145"/>
      <c r="Z1234" s="177"/>
      <c r="AA1234" s="178"/>
      <c r="AB1234" s="139"/>
      <c r="AC1234" s="173"/>
      <c r="AD1234" s="177"/>
      <c r="AE1234" s="177"/>
      <c r="AF1234" s="139"/>
      <c r="AG1234" s="139"/>
      <c r="AH1234" s="177"/>
      <c r="AI1234" s="178"/>
      <c r="AJ1234" s="139"/>
      <c r="AK1234" s="173"/>
      <c r="AL1234" s="177"/>
      <c r="AM1234" s="178"/>
      <c r="AN1234" s="173"/>
      <c r="AO1234" s="173"/>
      <c r="AP1234" s="173"/>
      <c r="AQ1234" s="178"/>
      <c r="AR1234" s="173"/>
      <c r="AS1234" s="173"/>
      <c r="AT1234" s="140"/>
      <c r="AX1234" s="140"/>
      <c r="BB1234" s="173"/>
      <c r="BC1234" s="173"/>
    </row>
    <row r="1235" spans="2:55" s="134" customFormat="1" x14ac:dyDescent="0.2">
      <c r="B1235" s="145"/>
      <c r="D1235" s="145"/>
      <c r="Z1235" s="177"/>
      <c r="AA1235" s="178"/>
      <c r="AB1235" s="139"/>
      <c r="AC1235" s="173"/>
      <c r="AD1235" s="177"/>
      <c r="AE1235" s="177"/>
      <c r="AF1235" s="139"/>
      <c r="AG1235" s="139"/>
      <c r="AH1235" s="177"/>
      <c r="AI1235" s="178"/>
      <c r="AJ1235" s="139"/>
      <c r="AK1235" s="173"/>
      <c r="AL1235" s="177"/>
      <c r="AM1235" s="178"/>
      <c r="AN1235" s="173"/>
      <c r="AO1235" s="173"/>
      <c r="AP1235" s="173"/>
      <c r="AQ1235" s="178"/>
      <c r="AR1235" s="173"/>
      <c r="AS1235" s="173"/>
      <c r="AT1235" s="140"/>
      <c r="AX1235" s="140"/>
      <c r="BB1235" s="173"/>
      <c r="BC1235" s="173"/>
    </row>
    <row r="1236" spans="2:55" s="134" customFormat="1" x14ac:dyDescent="0.2">
      <c r="B1236" s="145"/>
      <c r="D1236" s="145"/>
      <c r="Z1236" s="177"/>
      <c r="AA1236" s="178"/>
      <c r="AB1236" s="139"/>
      <c r="AC1236" s="173"/>
      <c r="AD1236" s="177"/>
      <c r="AE1236" s="177"/>
      <c r="AF1236" s="139"/>
      <c r="AG1236" s="139"/>
      <c r="AH1236" s="177"/>
      <c r="AI1236" s="178"/>
      <c r="AJ1236" s="139"/>
      <c r="AK1236" s="173"/>
      <c r="AL1236" s="177"/>
      <c r="AM1236" s="178"/>
      <c r="AN1236" s="173"/>
      <c r="AO1236" s="173"/>
      <c r="AP1236" s="173"/>
      <c r="AQ1236" s="178"/>
      <c r="AR1236" s="173"/>
      <c r="AS1236" s="173"/>
      <c r="AT1236" s="140"/>
      <c r="AX1236" s="140"/>
      <c r="BB1236" s="173"/>
      <c r="BC1236" s="173"/>
    </row>
    <row r="1237" spans="2:55" s="134" customFormat="1" x14ac:dyDescent="0.2">
      <c r="B1237" s="145"/>
      <c r="D1237" s="145"/>
      <c r="Z1237" s="177"/>
      <c r="AA1237" s="178"/>
      <c r="AB1237" s="139"/>
      <c r="AC1237" s="173"/>
      <c r="AD1237" s="177"/>
      <c r="AE1237" s="177"/>
      <c r="AF1237" s="139"/>
      <c r="AG1237" s="139"/>
      <c r="AH1237" s="177"/>
      <c r="AI1237" s="178"/>
      <c r="AJ1237" s="139"/>
      <c r="AK1237" s="173"/>
      <c r="AL1237" s="177"/>
      <c r="AM1237" s="178"/>
      <c r="AN1237" s="173"/>
      <c r="AO1237" s="173"/>
      <c r="AP1237" s="173"/>
      <c r="AQ1237" s="178"/>
      <c r="AR1237" s="173"/>
      <c r="AS1237" s="173"/>
      <c r="AT1237" s="140"/>
      <c r="AX1237" s="140"/>
      <c r="BB1237" s="173"/>
      <c r="BC1237" s="173"/>
    </row>
    <row r="1238" spans="2:55" s="134" customFormat="1" x14ac:dyDescent="0.2">
      <c r="B1238" s="145"/>
      <c r="D1238" s="145"/>
      <c r="Z1238" s="177"/>
      <c r="AA1238" s="178"/>
      <c r="AB1238" s="139"/>
      <c r="AC1238" s="173"/>
      <c r="AD1238" s="177"/>
      <c r="AE1238" s="177"/>
      <c r="AF1238" s="139"/>
      <c r="AG1238" s="139"/>
      <c r="AH1238" s="177"/>
      <c r="AI1238" s="178"/>
      <c r="AJ1238" s="139"/>
      <c r="AK1238" s="173"/>
      <c r="AL1238" s="177"/>
      <c r="AM1238" s="178"/>
      <c r="AN1238" s="173"/>
      <c r="AO1238" s="173"/>
      <c r="AP1238" s="173"/>
      <c r="AQ1238" s="178"/>
      <c r="AR1238" s="173"/>
      <c r="AS1238" s="173"/>
      <c r="AT1238" s="140"/>
      <c r="AX1238" s="140"/>
      <c r="BB1238" s="173"/>
      <c r="BC1238" s="173"/>
    </row>
    <row r="1239" spans="2:55" s="134" customFormat="1" x14ac:dyDescent="0.2">
      <c r="B1239" s="145"/>
      <c r="D1239" s="145"/>
      <c r="Z1239" s="177"/>
      <c r="AA1239" s="178"/>
      <c r="AB1239" s="139"/>
      <c r="AC1239" s="173"/>
      <c r="AD1239" s="177"/>
      <c r="AE1239" s="177"/>
      <c r="AF1239" s="139"/>
      <c r="AG1239" s="139"/>
      <c r="AH1239" s="177"/>
      <c r="AI1239" s="178"/>
      <c r="AJ1239" s="139"/>
      <c r="AK1239" s="173"/>
      <c r="AL1239" s="177"/>
      <c r="AM1239" s="178"/>
      <c r="AN1239" s="173"/>
      <c r="AO1239" s="173"/>
      <c r="AP1239" s="173"/>
      <c r="AQ1239" s="178"/>
      <c r="AR1239" s="173"/>
      <c r="AS1239" s="173"/>
      <c r="AT1239" s="140"/>
      <c r="AX1239" s="140"/>
      <c r="BB1239" s="173"/>
      <c r="BC1239" s="173"/>
    </row>
    <row r="1240" spans="2:55" s="134" customFormat="1" x14ac:dyDescent="0.2">
      <c r="B1240" s="145"/>
      <c r="D1240" s="145"/>
      <c r="Z1240" s="177"/>
      <c r="AA1240" s="178"/>
      <c r="AB1240" s="139"/>
      <c r="AC1240" s="173"/>
      <c r="AD1240" s="177"/>
      <c r="AE1240" s="177"/>
      <c r="AF1240" s="139"/>
      <c r="AG1240" s="139"/>
      <c r="AH1240" s="177"/>
      <c r="AI1240" s="178"/>
      <c r="AJ1240" s="139"/>
      <c r="AK1240" s="173"/>
      <c r="AL1240" s="177"/>
      <c r="AM1240" s="178"/>
      <c r="AN1240" s="173"/>
      <c r="AO1240" s="173"/>
      <c r="AP1240" s="173"/>
      <c r="AQ1240" s="178"/>
      <c r="AR1240" s="173"/>
      <c r="AS1240" s="173"/>
      <c r="AT1240" s="140"/>
      <c r="AX1240" s="140"/>
      <c r="BB1240" s="173"/>
      <c r="BC1240" s="173"/>
    </row>
    <row r="1241" spans="2:55" s="134" customFormat="1" x14ac:dyDescent="0.2">
      <c r="B1241" s="145"/>
      <c r="D1241" s="145"/>
      <c r="Z1241" s="177"/>
      <c r="AA1241" s="178"/>
      <c r="AB1241" s="139"/>
      <c r="AC1241" s="173"/>
      <c r="AD1241" s="177"/>
      <c r="AE1241" s="177"/>
      <c r="AF1241" s="139"/>
      <c r="AG1241" s="139"/>
      <c r="AH1241" s="177"/>
      <c r="AI1241" s="178"/>
      <c r="AJ1241" s="139"/>
      <c r="AK1241" s="173"/>
      <c r="AL1241" s="177"/>
      <c r="AM1241" s="178"/>
      <c r="AN1241" s="173"/>
      <c r="AO1241" s="173"/>
      <c r="AP1241" s="173"/>
      <c r="AQ1241" s="178"/>
      <c r="AR1241" s="173"/>
      <c r="AS1241" s="173"/>
      <c r="AT1241" s="140"/>
      <c r="AX1241" s="140"/>
      <c r="BB1241" s="173"/>
      <c r="BC1241" s="173"/>
    </row>
    <row r="1242" spans="2:55" s="134" customFormat="1" x14ac:dyDescent="0.2">
      <c r="B1242" s="145"/>
      <c r="D1242" s="145"/>
      <c r="Z1242" s="177"/>
      <c r="AA1242" s="178"/>
      <c r="AB1242" s="139"/>
      <c r="AC1242" s="173"/>
      <c r="AD1242" s="177"/>
      <c r="AE1242" s="177"/>
      <c r="AF1242" s="139"/>
      <c r="AG1242" s="139"/>
      <c r="AH1242" s="177"/>
      <c r="AI1242" s="178"/>
      <c r="AJ1242" s="139"/>
      <c r="AK1242" s="173"/>
      <c r="AL1242" s="177"/>
      <c r="AM1242" s="178"/>
      <c r="AN1242" s="173"/>
      <c r="AO1242" s="173"/>
      <c r="AP1242" s="173"/>
      <c r="AQ1242" s="178"/>
      <c r="AR1242" s="173"/>
      <c r="AS1242" s="173"/>
      <c r="AT1242" s="140"/>
      <c r="AX1242" s="140"/>
      <c r="BB1242" s="173"/>
      <c r="BC1242" s="173"/>
    </row>
    <row r="1243" spans="2:55" s="134" customFormat="1" x14ac:dyDescent="0.2">
      <c r="B1243" s="145"/>
      <c r="D1243" s="145"/>
      <c r="Z1243" s="177"/>
      <c r="AA1243" s="178"/>
      <c r="AB1243" s="139"/>
      <c r="AC1243" s="173"/>
      <c r="AD1243" s="177"/>
      <c r="AE1243" s="177"/>
      <c r="AF1243" s="139"/>
      <c r="AG1243" s="139"/>
      <c r="AH1243" s="177"/>
      <c r="AI1243" s="178"/>
      <c r="AJ1243" s="139"/>
      <c r="AK1243" s="173"/>
      <c r="AL1243" s="177"/>
      <c r="AM1243" s="178"/>
      <c r="AN1243" s="173"/>
      <c r="AO1243" s="173"/>
      <c r="AP1243" s="173"/>
      <c r="AQ1243" s="178"/>
      <c r="AR1243" s="173"/>
      <c r="AS1243" s="173"/>
      <c r="AT1243" s="140"/>
      <c r="AX1243" s="140"/>
      <c r="BB1243" s="173"/>
      <c r="BC1243" s="173"/>
    </row>
    <row r="1244" spans="2:55" s="134" customFormat="1" x14ac:dyDescent="0.2">
      <c r="B1244" s="145"/>
      <c r="D1244" s="145"/>
      <c r="Z1244" s="177"/>
      <c r="AA1244" s="178"/>
      <c r="AB1244" s="139"/>
      <c r="AC1244" s="173"/>
      <c r="AD1244" s="177"/>
      <c r="AE1244" s="177"/>
      <c r="AF1244" s="139"/>
      <c r="AG1244" s="139"/>
      <c r="AH1244" s="177"/>
      <c r="AI1244" s="178"/>
      <c r="AJ1244" s="139"/>
      <c r="AK1244" s="173"/>
      <c r="AL1244" s="177"/>
      <c r="AM1244" s="178"/>
      <c r="AN1244" s="173"/>
      <c r="AO1244" s="173"/>
      <c r="AP1244" s="173"/>
      <c r="AQ1244" s="178"/>
      <c r="AR1244" s="173"/>
      <c r="AS1244" s="173"/>
      <c r="AT1244" s="140"/>
      <c r="AX1244" s="140"/>
      <c r="BB1244" s="173"/>
      <c r="BC1244" s="173"/>
    </row>
    <row r="1245" spans="2:55" s="134" customFormat="1" x14ac:dyDescent="0.2">
      <c r="B1245" s="145"/>
      <c r="D1245" s="145"/>
      <c r="Z1245" s="177"/>
      <c r="AA1245" s="178"/>
      <c r="AB1245" s="139"/>
      <c r="AC1245" s="173"/>
      <c r="AD1245" s="177"/>
      <c r="AE1245" s="177"/>
      <c r="AF1245" s="139"/>
      <c r="AG1245" s="139"/>
      <c r="AH1245" s="177"/>
      <c r="AI1245" s="178"/>
      <c r="AJ1245" s="139"/>
      <c r="AK1245" s="173"/>
      <c r="AL1245" s="177"/>
      <c r="AM1245" s="178"/>
      <c r="AN1245" s="173"/>
      <c r="AO1245" s="173"/>
      <c r="AP1245" s="173"/>
      <c r="AQ1245" s="178"/>
      <c r="AR1245" s="173"/>
      <c r="AS1245" s="173"/>
      <c r="AT1245" s="140"/>
      <c r="AX1245" s="140"/>
      <c r="BB1245" s="173"/>
      <c r="BC1245" s="173"/>
    </row>
    <row r="1246" spans="2:55" s="134" customFormat="1" x14ac:dyDescent="0.2">
      <c r="B1246" s="145"/>
      <c r="D1246" s="145"/>
      <c r="Z1246" s="177"/>
      <c r="AA1246" s="178"/>
      <c r="AB1246" s="139"/>
      <c r="AC1246" s="173"/>
      <c r="AD1246" s="177"/>
      <c r="AE1246" s="177"/>
      <c r="AF1246" s="139"/>
      <c r="AG1246" s="139"/>
      <c r="AH1246" s="177"/>
      <c r="AI1246" s="178"/>
      <c r="AJ1246" s="139"/>
      <c r="AK1246" s="173"/>
      <c r="AL1246" s="177"/>
      <c r="AM1246" s="178"/>
      <c r="AN1246" s="173"/>
      <c r="AO1246" s="173"/>
      <c r="AP1246" s="173"/>
      <c r="AQ1246" s="178"/>
      <c r="AR1246" s="173"/>
      <c r="AS1246" s="173"/>
      <c r="AT1246" s="140"/>
      <c r="AX1246" s="140"/>
      <c r="BB1246" s="173"/>
      <c r="BC1246" s="173"/>
    </row>
    <row r="1247" spans="2:55" s="134" customFormat="1" x14ac:dyDescent="0.2">
      <c r="B1247" s="145"/>
      <c r="D1247" s="145"/>
      <c r="Z1247" s="177"/>
      <c r="AA1247" s="178"/>
      <c r="AB1247" s="139"/>
      <c r="AC1247" s="173"/>
      <c r="AD1247" s="177"/>
      <c r="AE1247" s="177"/>
      <c r="AF1247" s="139"/>
      <c r="AG1247" s="139"/>
      <c r="AH1247" s="177"/>
      <c r="AI1247" s="178"/>
      <c r="AJ1247" s="139"/>
      <c r="AK1247" s="173"/>
      <c r="AL1247" s="177"/>
      <c r="AM1247" s="178"/>
      <c r="AN1247" s="173"/>
      <c r="AO1247" s="173"/>
      <c r="AP1247" s="173"/>
      <c r="AQ1247" s="178"/>
      <c r="AR1247" s="173"/>
      <c r="AS1247" s="173"/>
      <c r="AT1247" s="140"/>
      <c r="AX1247" s="140"/>
      <c r="BB1247" s="173"/>
      <c r="BC1247" s="173"/>
    </row>
    <row r="1248" spans="2:55" s="134" customFormat="1" x14ac:dyDescent="0.2">
      <c r="B1248" s="145"/>
      <c r="D1248" s="145"/>
      <c r="Z1248" s="177"/>
      <c r="AA1248" s="178"/>
      <c r="AB1248" s="139"/>
      <c r="AC1248" s="173"/>
      <c r="AD1248" s="177"/>
      <c r="AE1248" s="177"/>
      <c r="AF1248" s="139"/>
      <c r="AG1248" s="139"/>
      <c r="AH1248" s="177"/>
      <c r="AI1248" s="178"/>
      <c r="AJ1248" s="139"/>
      <c r="AK1248" s="173"/>
      <c r="AL1248" s="177"/>
      <c r="AM1248" s="178"/>
      <c r="AN1248" s="173"/>
      <c r="AO1248" s="173"/>
      <c r="AP1248" s="173"/>
      <c r="AQ1248" s="178"/>
      <c r="AR1248" s="173"/>
      <c r="AS1248" s="173"/>
      <c r="AT1248" s="140"/>
      <c r="AX1248" s="140"/>
      <c r="BB1248" s="173"/>
      <c r="BC1248" s="173"/>
    </row>
    <row r="1249" spans="2:55" s="134" customFormat="1" x14ac:dyDescent="0.2">
      <c r="B1249" s="145"/>
      <c r="D1249" s="145"/>
      <c r="Z1249" s="177"/>
      <c r="AA1249" s="178"/>
      <c r="AB1249" s="139"/>
      <c r="AC1249" s="173"/>
      <c r="AD1249" s="177"/>
      <c r="AE1249" s="177"/>
      <c r="AF1249" s="139"/>
      <c r="AG1249" s="139"/>
      <c r="AH1249" s="177"/>
      <c r="AI1249" s="178"/>
      <c r="AJ1249" s="139"/>
      <c r="AK1249" s="173"/>
      <c r="AL1249" s="177"/>
      <c r="AM1249" s="178"/>
      <c r="AN1249" s="173"/>
      <c r="AO1249" s="173"/>
      <c r="AP1249" s="173"/>
      <c r="AQ1249" s="178"/>
      <c r="AR1249" s="173"/>
      <c r="AS1249" s="173"/>
      <c r="AT1249" s="140"/>
      <c r="AX1249" s="140"/>
      <c r="BB1249" s="173"/>
      <c r="BC1249" s="173"/>
    </row>
    <row r="1250" spans="2:55" s="134" customFormat="1" x14ac:dyDescent="0.2">
      <c r="B1250" s="145"/>
      <c r="D1250" s="145"/>
      <c r="Z1250" s="177"/>
      <c r="AA1250" s="178"/>
      <c r="AB1250" s="139"/>
      <c r="AC1250" s="173"/>
      <c r="AD1250" s="177"/>
      <c r="AE1250" s="177"/>
      <c r="AF1250" s="139"/>
      <c r="AG1250" s="139"/>
      <c r="AH1250" s="177"/>
      <c r="AI1250" s="178"/>
      <c r="AJ1250" s="139"/>
      <c r="AK1250" s="173"/>
      <c r="AL1250" s="177"/>
      <c r="AM1250" s="178"/>
      <c r="AN1250" s="173"/>
      <c r="AO1250" s="173"/>
      <c r="AP1250" s="173"/>
      <c r="AQ1250" s="178"/>
      <c r="AR1250" s="173"/>
      <c r="AS1250" s="173"/>
      <c r="AT1250" s="140"/>
      <c r="AX1250" s="140"/>
      <c r="BB1250" s="173"/>
      <c r="BC1250" s="173"/>
    </row>
    <row r="1251" spans="2:55" s="134" customFormat="1" x14ac:dyDescent="0.2">
      <c r="B1251" s="145"/>
      <c r="D1251" s="145"/>
      <c r="Z1251" s="177"/>
      <c r="AA1251" s="178"/>
      <c r="AB1251" s="139"/>
      <c r="AC1251" s="173"/>
      <c r="AD1251" s="177"/>
      <c r="AE1251" s="177"/>
      <c r="AF1251" s="139"/>
      <c r="AG1251" s="139"/>
      <c r="AH1251" s="177"/>
      <c r="AI1251" s="178"/>
      <c r="AJ1251" s="139"/>
      <c r="AK1251" s="173"/>
      <c r="AL1251" s="177"/>
      <c r="AM1251" s="178"/>
      <c r="AN1251" s="173"/>
      <c r="AO1251" s="173"/>
      <c r="AP1251" s="173"/>
      <c r="AQ1251" s="178"/>
      <c r="AR1251" s="173"/>
      <c r="AS1251" s="173"/>
      <c r="AT1251" s="140"/>
      <c r="AX1251" s="140"/>
      <c r="BB1251" s="173"/>
      <c r="BC1251" s="173"/>
    </row>
    <row r="1252" spans="2:55" s="134" customFormat="1" x14ac:dyDescent="0.2">
      <c r="B1252" s="145"/>
      <c r="D1252" s="145"/>
      <c r="Z1252" s="177"/>
      <c r="AA1252" s="178"/>
      <c r="AB1252" s="139"/>
      <c r="AC1252" s="173"/>
      <c r="AD1252" s="177"/>
      <c r="AE1252" s="177"/>
      <c r="AF1252" s="139"/>
      <c r="AG1252" s="139"/>
      <c r="AH1252" s="177"/>
      <c r="AI1252" s="178"/>
      <c r="AJ1252" s="139"/>
      <c r="AK1252" s="173"/>
      <c r="AL1252" s="177"/>
      <c r="AM1252" s="178"/>
      <c r="AN1252" s="173"/>
      <c r="AO1252" s="173"/>
      <c r="AP1252" s="173"/>
      <c r="AQ1252" s="178"/>
      <c r="AR1252" s="173"/>
      <c r="AS1252" s="173"/>
      <c r="AT1252" s="140"/>
      <c r="AX1252" s="140"/>
      <c r="BB1252" s="173"/>
      <c r="BC1252" s="173"/>
    </row>
    <row r="1253" spans="2:55" s="134" customFormat="1" x14ac:dyDescent="0.2">
      <c r="B1253" s="145"/>
      <c r="D1253" s="145"/>
      <c r="Z1253" s="177"/>
      <c r="AA1253" s="178"/>
      <c r="AB1253" s="139"/>
      <c r="AC1253" s="173"/>
      <c r="AD1253" s="177"/>
      <c r="AE1253" s="177"/>
      <c r="AF1253" s="139"/>
      <c r="AG1253" s="139"/>
      <c r="AH1253" s="177"/>
      <c r="AI1253" s="178"/>
      <c r="AJ1253" s="139"/>
      <c r="AK1253" s="173"/>
      <c r="AL1253" s="177"/>
      <c r="AM1253" s="178"/>
      <c r="AN1253" s="173"/>
      <c r="AO1253" s="173"/>
      <c r="AP1253" s="173"/>
      <c r="AQ1253" s="178"/>
      <c r="AR1253" s="173"/>
      <c r="AS1253" s="173"/>
      <c r="AT1253" s="140"/>
      <c r="AX1253" s="140"/>
      <c r="BB1253" s="173"/>
      <c r="BC1253" s="173"/>
    </row>
    <row r="1254" spans="2:55" s="134" customFormat="1" x14ac:dyDescent="0.2">
      <c r="B1254" s="145"/>
      <c r="D1254" s="145"/>
      <c r="Z1254" s="177"/>
      <c r="AA1254" s="178"/>
      <c r="AB1254" s="139"/>
      <c r="AC1254" s="173"/>
      <c r="AD1254" s="177"/>
      <c r="AE1254" s="177"/>
      <c r="AF1254" s="139"/>
      <c r="AG1254" s="139"/>
      <c r="AH1254" s="177"/>
      <c r="AI1254" s="178"/>
      <c r="AJ1254" s="139"/>
      <c r="AK1254" s="173"/>
      <c r="AL1254" s="177"/>
      <c r="AM1254" s="178"/>
      <c r="AN1254" s="173"/>
      <c r="AO1254" s="173"/>
      <c r="AP1254" s="173"/>
      <c r="AQ1254" s="178"/>
      <c r="AR1254" s="173"/>
      <c r="AS1254" s="173"/>
      <c r="AT1254" s="140"/>
      <c r="AX1254" s="140"/>
      <c r="BB1254" s="173"/>
      <c r="BC1254" s="173"/>
    </row>
    <row r="1255" spans="2:55" s="134" customFormat="1" x14ac:dyDescent="0.2">
      <c r="B1255" s="145"/>
      <c r="D1255" s="145"/>
      <c r="Z1255" s="177"/>
      <c r="AA1255" s="178"/>
      <c r="AB1255" s="139"/>
      <c r="AC1255" s="173"/>
      <c r="AD1255" s="177"/>
      <c r="AE1255" s="177"/>
      <c r="AF1255" s="139"/>
      <c r="AG1255" s="139"/>
      <c r="AH1255" s="177"/>
      <c r="AI1255" s="178"/>
      <c r="AJ1255" s="139"/>
      <c r="AK1255" s="173"/>
      <c r="AL1255" s="177"/>
      <c r="AM1255" s="178"/>
      <c r="AN1255" s="173"/>
      <c r="AO1255" s="173"/>
      <c r="AP1255" s="173"/>
      <c r="AQ1255" s="178"/>
      <c r="AR1255" s="173"/>
      <c r="AS1255" s="173"/>
      <c r="AT1255" s="140"/>
      <c r="AX1255" s="140"/>
      <c r="BB1255" s="173"/>
      <c r="BC1255" s="173"/>
    </row>
    <row r="1256" spans="2:55" s="134" customFormat="1" x14ac:dyDescent="0.2">
      <c r="B1256" s="145"/>
      <c r="D1256" s="145"/>
      <c r="Z1256" s="177"/>
      <c r="AA1256" s="178"/>
      <c r="AB1256" s="139"/>
      <c r="AC1256" s="173"/>
      <c r="AD1256" s="177"/>
      <c r="AE1256" s="177"/>
      <c r="AF1256" s="139"/>
      <c r="AG1256" s="139"/>
      <c r="AH1256" s="177"/>
      <c r="AI1256" s="178"/>
      <c r="AJ1256" s="139"/>
      <c r="AK1256" s="173"/>
      <c r="AL1256" s="177"/>
      <c r="AM1256" s="178"/>
      <c r="AN1256" s="173"/>
      <c r="AO1256" s="173"/>
      <c r="AP1256" s="173"/>
      <c r="AQ1256" s="178"/>
      <c r="AR1256" s="173"/>
      <c r="AS1256" s="173"/>
      <c r="AT1256" s="140"/>
      <c r="AX1256" s="140"/>
      <c r="BB1256" s="173"/>
      <c r="BC1256" s="173"/>
    </row>
    <row r="1257" spans="2:55" s="134" customFormat="1" x14ac:dyDescent="0.2">
      <c r="B1257" s="145"/>
      <c r="D1257" s="145"/>
      <c r="Z1257" s="177"/>
      <c r="AA1257" s="178"/>
      <c r="AB1257" s="139"/>
      <c r="AC1257" s="173"/>
      <c r="AD1257" s="177"/>
      <c r="AE1257" s="177"/>
      <c r="AF1257" s="139"/>
      <c r="AG1257" s="139"/>
      <c r="AH1257" s="177"/>
      <c r="AI1257" s="178"/>
      <c r="AJ1257" s="139"/>
      <c r="AK1257" s="173"/>
      <c r="AL1257" s="177"/>
      <c r="AM1257" s="178"/>
      <c r="AN1257" s="173"/>
      <c r="AO1257" s="173"/>
      <c r="AP1257" s="173"/>
      <c r="AQ1257" s="178"/>
      <c r="AR1257" s="173"/>
      <c r="AS1257" s="173"/>
      <c r="AT1257" s="140"/>
      <c r="AX1257" s="140"/>
      <c r="BB1257" s="173"/>
      <c r="BC1257" s="173"/>
    </row>
    <row r="1258" spans="2:55" s="134" customFormat="1" x14ac:dyDescent="0.2">
      <c r="B1258" s="145"/>
      <c r="D1258" s="145"/>
      <c r="Z1258" s="177"/>
      <c r="AA1258" s="178"/>
      <c r="AB1258" s="139"/>
      <c r="AC1258" s="173"/>
      <c r="AD1258" s="177"/>
      <c r="AE1258" s="177"/>
      <c r="AF1258" s="139"/>
      <c r="AG1258" s="139"/>
      <c r="AH1258" s="177"/>
      <c r="AI1258" s="178"/>
      <c r="AJ1258" s="139"/>
      <c r="AK1258" s="173"/>
      <c r="AL1258" s="177"/>
      <c r="AM1258" s="178"/>
      <c r="AN1258" s="173"/>
      <c r="AO1258" s="173"/>
      <c r="AP1258" s="173"/>
      <c r="AQ1258" s="178"/>
      <c r="AR1258" s="173"/>
      <c r="AS1258" s="173"/>
      <c r="AT1258" s="140"/>
      <c r="AX1258" s="140"/>
      <c r="BB1258" s="173"/>
      <c r="BC1258" s="173"/>
    </row>
    <row r="1259" spans="2:55" s="134" customFormat="1" x14ac:dyDescent="0.2">
      <c r="B1259" s="145"/>
      <c r="D1259" s="145"/>
      <c r="Z1259" s="177"/>
      <c r="AA1259" s="178"/>
      <c r="AB1259" s="139"/>
      <c r="AC1259" s="173"/>
      <c r="AD1259" s="177"/>
      <c r="AE1259" s="177"/>
      <c r="AF1259" s="139"/>
      <c r="AG1259" s="139"/>
      <c r="AH1259" s="177"/>
      <c r="AI1259" s="178"/>
      <c r="AJ1259" s="139"/>
      <c r="AK1259" s="173"/>
      <c r="AL1259" s="177"/>
      <c r="AM1259" s="178"/>
      <c r="AN1259" s="173"/>
      <c r="AO1259" s="173"/>
      <c r="AP1259" s="173"/>
      <c r="AQ1259" s="178"/>
      <c r="AR1259" s="173"/>
      <c r="AS1259" s="173"/>
      <c r="AT1259" s="140"/>
      <c r="AX1259" s="140"/>
      <c r="BB1259" s="173"/>
      <c r="BC1259" s="173"/>
    </row>
    <row r="1260" spans="2:55" s="134" customFormat="1" x14ac:dyDescent="0.2">
      <c r="B1260" s="145"/>
      <c r="D1260" s="145"/>
      <c r="Z1260" s="177"/>
      <c r="AA1260" s="178"/>
      <c r="AB1260" s="139"/>
      <c r="AC1260" s="173"/>
      <c r="AD1260" s="177"/>
      <c r="AE1260" s="177"/>
      <c r="AF1260" s="139"/>
      <c r="AG1260" s="139"/>
      <c r="AH1260" s="177"/>
      <c r="AI1260" s="178"/>
      <c r="AJ1260" s="139"/>
      <c r="AK1260" s="173"/>
      <c r="AL1260" s="177"/>
      <c r="AM1260" s="178"/>
      <c r="AN1260" s="173"/>
      <c r="AO1260" s="173"/>
      <c r="AP1260" s="173"/>
      <c r="AQ1260" s="178"/>
      <c r="AR1260" s="173"/>
      <c r="AS1260" s="173"/>
      <c r="AT1260" s="140"/>
      <c r="AX1260" s="140"/>
      <c r="BB1260" s="173"/>
      <c r="BC1260" s="173"/>
    </row>
    <row r="1261" spans="2:55" s="134" customFormat="1" x14ac:dyDescent="0.2">
      <c r="B1261" s="145"/>
      <c r="D1261" s="145"/>
      <c r="Z1261" s="177"/>
      <c r="AA1261" s="178"/>
      <c r="AB1261" s="139"/>
      <c r="AC1261" s="173"/>
      <c r="AD1261" s="177"/>
      <c r="AE1261" s="177"/>
      <c r="AF1261" s="139"/>
      <c r="AG1261" s="139"/>
      <c r="AH1261" s="177"/>
      <c r="AI1261" s="178"/>
      <c r="AJ1261" s="139"/>
      <c r="AK1261" s="173"/>
      <c r="AL1261" s="177"/>
      <c r="AM1261" s="178"/>
      <c r="AN1261" s="173"/>
      <c r="AO1261" s="173"/>
      <c r="AP1261" s="173"/>
      <c r="AQ1261" s="178"/>
      <c r="AR1261" s="173"/>
      <c r="AS1261" s="173"/>
      <c r="AT1261" s="140"/>
      <c r="AX1261" s="140"/>
      <c r="BB1261" s="173"/>
      <c r="BC1261" s="173"/>
    </row>
    <row r="1262" spans="2:55" s="134" customFormat="1" x14ac:dyDescent="0.2">
      <c r="B1262" s="145"/>
      <c r="D1262" s="145"/>
      <c r="Z1262" s="177"/>
      <c r="AA1262" s="178"/>
      <c r="AB1262" s="139"/>
      <c r="AC1262" s="173"/>
      <c r="AD1262" s="177"/>
      <c r="AE1262" s="177"/>
      <c r="AF1262" s="139"/>
      <c r="AG1262" s="139"/>
      <c r="AH1262" s="177"/>
      <c r="AI1262" s="178"/>
      <c r="AJ1262" s="139"/>
      <c r="AK1262" s="173"/>
      <c r="AL1262" s="177"/>
      <c r="AM1262" s="178"/>
      <c r="AN1262" s="173"/>
      <c r="AO1262" s="173"/>
      <c r="AP1262" s="173"/>
      <c r="AQ1262" s="178"/>
      <c r="AR1262" s="173"/>
      <c r="AS1262" s="173"/>
      <c r="AT1262" s="140"/>
      <c r="AX1262" s="140"/>
      <c r="BB1262" s="173"/>
      <c r="BC1262" s="173"/>
    </row>
    <row r="1263" spans="2:55" s="134" customFormat="1" x14ac:dyDescent="0.2">
      <c r="B1263" s="145"/>
      <c r="D1263" s="145"/>
      <c r="Z1263" s="177"/>
      <c r="AA1263" s="178"/>
      <c r="AB1263" s="139"/>
      <c r="AC1263" s="173"/>
      <c r="AD1263" s="177"/>
      <c r="AE1263" s="177"/>
      <c r="AF1263" s="139"/>
      <c r="AG1263" s="139"/>
      <c r="AH1263" s="177"/>
      <c r="AI1263" s="178"/>
      <c r="AJ1263" s="139"/>
      <c r="AK1263" s="173"/>
      <c r="AL1263" s="177"/>
      <c r="AM1263" s="178"/>
      <c r="AN1263" s="173"/>
      <c r="AO1263" s="173"/>
      <c r="AP1263" s="173"/>
      <c r="AQ1263" s="178"/>
      <c r="AR1263" s="173"/>
      <c r="AS1263" s="173"/>
      <c r="AT1263" s="140"/>
      <c r="AX1263" s="140"/>
      <c r="BB1263" s="173"/>
      <c r="BC1263" s="173"/>
    </row>
    <row r="1264" spans="2:55" s="134" customFormat="1" x14ac:dyDescent="0.2">
      <c r="B1264" s="145"/>
      <c r="D1264" s="145"/>
      <c r="Z1264" s="177"/>
      <c r="AA1264" s="178"/>
      <c r="AB1264" s="139"/>
      <c r="AC1264" s="173"/>
      <c r="AD1264" s="177"/>
      <c r="AE1264" s="177"/>
      <c r="AF1264" s="139"/>
      <c r="AG1264" s="139"/>
      <c r="AH1264" s="177"/>
      <c r="AI1264" s="178"/>
      <c r="AJ1264" s="139"/>
      <c r="AK1264" s="173"/>
      <c r="AL1264" s="177"/>
      <c r="AM1264" s="178"/>
      <c r="AN1264" s="173"/>
      <c r="AO1264" s="173"/>
      <c r="AP1264" s="173"/>
      <c r="AQ1264" s="178"/>
      <c r="AR1264" s="173"/>
      <c r="AS1264" s="173"/>
      <c r="AT1264" s="140"/>
      <c r="AX1264" s="140"/>
      <c r="BB1264" s="173"/>
      <c r="BC1264" s="173"/>
    </row>
    <row r="1265" spans="2:55" s="134" customFormat="1" x14ac:dyDescent="0.2">
      <c r="B1265" s="145"/>
      <c r="D1265" s="145"/>
      <c r="Z1265" s="177"/>
      <c r="AA1265" s="178"/>
      <c r="AB1265" s="139"/>
      <c r="AC1265" s="173"/>
      <c r="AD1265" s="177"/>
      <c r="AE1265" s="177"/>
      <c r="AF1265" s="139"/>
      <c r="AG1265" s="139"/>
      <c r="AH1265" s="177"/>
      <c r="AI1265" s="178"/>
      <c r="AJ1265" s="139"/>
      <c r="AK1265" s="173"/>
      <c r="AL1265" s="177"/>
      <c r="AM1265" s="178"/>
      <c r="AN1265" s="173"/>
      <c r="AO1265" s="173"/>
      <c r="AP1265" s="173"/>
      <c r="AQ1265" s="178"/>
      <c r="AR1265" s="173"/>
      <c r="AS1265" s="173"/>
      <c r="AT1265" s="140"/>
      <c r="AX1265" s="140"/>
      <c r="BB1265" s="173"/>
      <c r="BC1265" s="173"/>
    </row>
    <row r="1266" spans="2:55" s="134" customFormat="1" x14ac:dyDescent="0.2">
      <c r="B1266" s="145"/>
      <c r="D1266" s="145"/>
      <c r="Z1266" s="177"/>
      <c r="AA1266" s="178"/>
      <c r="AB1266" s="139"/>
      <c r="AC1266" s="173"/>
      <c r="AD1266" s="177"/>
      <c r="AE1266" s="177"/>
      <c r="AF1266" s="139"/>
      <c r="AG1266" s="139"/>
      <c r="AH1266" s="177"/>
      <c r="AI1266" s="178"/>
      <c r="AJ1266" s="139"/>
      <c r="AK1266" s="173"/>
      <c r="AL1266" s="177"/>
      <c r="AM1266" s="178"/>
      <c r="AN1266" s="173"/>
      <c r="AO1266" s="173"/>
      <c r="AP1266" s="173"/>
      <c r="AQ1266" s="178"/>
      <c r="AR1266" s="173"/>
      <c r="AS1266" s="173"/>
      <c r="AT1266" s="140"/>
      <c r="AX1266" s="140"/>
      <c r="BB1266" s="173"/>
      <c r="BC1266" s="173"/>
    </row>
    <row r="1267" spans="2:55" s="134" customFormat="1" x14ac:dyDescent="0.2">
      <c r="B1267" s="145"/>
      <c r="D1267" s="145"/>
      <c r="Z1267" s="177"/>
      <c r="AA1267" s="178"/>
      <c r="AB1267" s="139"/>
      <c r="AC1267" s="173"/>
      <c r="AD1267" s="177"/>
      <c r="AE1267" s="177"/>
      <c r="AF1267" s="139"/>
      <c r="AG1267" s="139"/>
      <c r="AH1267" s="177"/>
      <c r="AI1267" s="178"/>
      <c r="AJ1267" s="139"/>
      <c r="AK1267" s="173"/>
      <c r="AL1267" s="177"/>
      <c r="AM1267" s="178"/>
      <c r="AN1267" s="173"/>
      <c r="AO1267" s="173"/>
      <c r="AP1267" s="173"/>
      <c r="AQ1267" s="178"/>
      <c r="AR1267" s="173"/>
      <c r="AS1267" s="173"/>
      <c r="AT1267" s="140"/>
      <c r="AX1267" s="140"/>
      <c r="BB1267" s="173"/>
      <c r="BC1267" s="173"/>
    </row>
    <row r="1268" spans="2:55" s="134" customFormat="1" x14ac:dyDescent="0.2">
      <c r="B1268" s="145"/>
      <c r="D1268" s="145"/>
      <c r="Z1268" s="177"/>
      <c r="AA1268" s="178"/>
      <c r="AB1268" s="139"/>
      <c r="AC1268" s="173"/>
      <c r="AD1268" s="177"/>
      <c r="AE1268" s="177"/>
      <c r="AF1268" s="139"/>
      <c r="AG1268" s="139"/>
      <c r="AH1268" s="177"/>
      <c r="AI1268" s="178"/>
      <c r="AJ1268" s="139"/>
      <c r="AK1268" s="173"/>
      <c r="AL1268" s="177"/>
      <c r="AM1268" s="178"/>
      <c r="AN1268" s="173"/>
      <c r="AO1268" s="173"/>
      <c r="AP1268" s="173"/>
      <c r="AQ1268" s="178"/>
      <c r="AR1268" s="173"/>
      <c r="AS1268" s="173"/>
      <c r="AT1268" s="140"/>
      <c r="AX1268" s="140"/>
      <c r="BB1268" s="173"/>
      <c r="BC1268" s="173"/>
    </row>
    <row r="1269" spans="2:55" s="134" customFormat="1" x14ac:dyDescent="0.2">
      <c r="B1269" s="145"/>
      <c r="D1269" s="145"/>
      <c r="Z1269" s="177"/>
      <c r="AA1269" s="178"/>
      <c r="AB1269" s="139"/>
      <c r="AC1269" s="173"/>
      <c r="AD1269" s="177"/>
      <c r="AE1269" s="177"/>
      <c r="AF1269" s="139"/>
      <c r="AG1269" s="139"/>
      <c r="AH1269" s="177"/>
      <c r="AI1269" s="178"/>
      <c r="AJ1269" s="139"/>
      <c r="AK1269" s="173"/>
      <c r="AL1269" s="177"/>
      <c r="AM1269" s="178"/>
      <c r="AN1269" s="173"/>
      <c r="AO1269" s="173"/>
      <c r="AP1269" s="173"/>
      <c r="AQ1269" s="178"/>
      <c r="AR1269" s="173"/>
      <c r="AS1269" s="173"/>
      <c r="AT1269" s="140"/>
      <c r="AX1269" s="140"/>
      <c r="BB1269" s="173"/>
      <c r="BC1269" s="173"/>
    </row>
    <row r="1270" spans="2:55" s="134" customFormat="1" x14ac:dyDescent="0.2">
      <c r="B1270" s="145"/>
      <c r="D1270" s="145"/>
      <c r="Z1270" s="177"/>
      <c r="AA1270" s="178"/>
      <c r="AB1270" s="139"/>
      <c r="AC1270" s="173"/>
      <c r="AD1270" s="177"/>
      <c r="AE1270" s="177"/>
      <c r="AF1270" s="139"/>
      <c r="AG1270" s="139"/>
      <c r="AH1270" s="177"/>
      <c r="AI1270" s="178"/>
      <c r="AJ1270" s="139"/>
      <c r="AK1270" s="173"/>
      <c r="AL1270" s="177"/>
      <c r="AM1270" s="178"/>
      <c r="AN1270" s="173"/>
      <c r="AO1270" s="173"/>
      <c r="AP1270" s="173"/>
      <c r="AQ1270" s="178"/>
      <c r="AR1270" s="173"/>
      <c r="AS1270" s="173"/>
      <c r="AT1270" s="140"/>
      <c r="AX1270" s="140"/>
      <c r="BB1270" s="173"/>
      <c r="BC1270" s="173"/>
    </row>
    <row r="1271" spans="2:55" s="134" customFormat="1" x14ac:dyDescent="0.2">
      <c r="B1271" s="145"/>
      <c r="D1271" s="145"/>
      <c r="Z1271" s="177"/>
      <c r="AA1271" s="178"/>
      <c r="AB1271" s="139"/>
      <c r="AC1271" s="173"/>
      <c r="AD1271" s="177"/>
      <c r="AE1271" s="177"/>
      <c r="AF1271" s="139"/>
      <c r="AG1271" s="139"/>
      <c r="AH1271" s="177"/>
      <c r="AI1271" s="178"/>
      <c r="AJ1271" s="139"/>
      <c r="AK1271" s="173"/>
      <c r="AL1271" s="177"/>
      <c r="AM1271" s="178"/>
      <c r="AN1271" s="173"/>
      <c r="AO1271" s="173"/>
      <c r="AP1271" s="173"/>
      <c r="AQ1271" s="178"/>
      <c r="AR1271" s="173"/>
      <c r="AS1271" s="173"/>
      <c r="AT1271" s="140"/>
      <c r="AX1271" s="140"/>
      <c r="BB1271" s="173"/>
      <c r="BC1271" s="173"/>
    </row>
    <row r="1272" spans="2:55" s="134" customFormat="1" x14ac:dyDescent="0.2">
      <c r="B1272" s="145"/>
      <c r="D1272" s="145"/>
      <c r="Z1272" s="177"/>
      <c r="AA1272" s="178"/>
      <c r="AB1272" s="139"/>
      <c r="AC1272" s="173"/>
      <c r="AD1272" s="177"/>
      <c r="AE1272" s="177"/>
      <c r="AF1272" s="139"/>
      <c r="AG1272" s="139"/>
      <c r="AH1272" s="177"/>
      <c r="AI1272" s="178"/>
      <c r="AJ1272" s="139"/>
      <c r="AK1272" s="173"/>
      <c r="AL1272" s="177"/>
      <c r="AM1272" s="178"/>
      <c r="AN1272" s="173"/>
      <c r="AO1272" s="173"/>
      <c r="AP1272" s="173"/>
      <c r="AQ1272" s="178"/>
      <c r="AR1272" s="173"/>
      <c r="AS1272" s="173"/>
      <c r="AT1272" s="140"/>
      <c r="AX1272" s="140"/>
      <c r="BB1272" s="173"/>
      <c r="BC1272" s="173"/>
    </row>
    <row r="1273" spans="2:55" s="134" customFormat="1" x14ac:dyDescent="0.2">
      <c r="B1273" s="145"/>
      <c r="D1273" s="145"/>
      <c r="Z1273" s="177"/>
      <c r="AA1273" s="178"/>
      <c r="AB1273" s="139"/>
      <c r="AC1273" s="173"/>
      <c r="AD1273" s="177"/>
      <c r="AE1273" s="177"/>
      <c r="AF1273" s="139"/>
      <c r="AG1273" s="139"/>
      <c r="AH1273" s="177"/>
      <c r="AI1273" s="178"/>
      <c r="AJ1273" s="139"/>
      <c r="AK1273" s="173"/>
      <c r="AL1273" s="177"/>
      <c r="AM1273" s="178"/>
      <c r="AN1273" s="173"/>
      <c r="AO1273" s="173"/>
      <c r="AP1273" s="173"/>
      <c r="AQ1273" s="178"/>
      <c r="AR1273" s="173"/>
      <c r="AS1273" s="173"/>
      <c r="AT1273" s="140"/>
      <c r="AX1273" s="140"/>
      <c r="BB1273" s="173"/>
      <c r="BC1273" s="173"/>
    </row>
    <row r="1274" spans="2:55" s="134" customFormat="1" x14ac:dyDescent="0.2">
      <c r="B1274" s="145"/>
      <c r="D1274" s="145"/>
      <c r="Z1274" s="177"/>
      <c r="AA1274" s="178"/>
      <c r="AB1274" s="139"/>
      <c r="AC1274" s="173"/>
      <c r="AD1274" s="177"/>
      <c r="AE1274" s="177"/>
      <c r="AF1274" s="139"/>
      <c r="AG1274" s="139"/>
      <c r="AH1274" s="177"/>
      <c r="AI1274" s="178"/>
      <c r="AJ1274" s="139"/>
      <c r="AK1274" s="173"/>
      <c r="AL1274" s="177"/>
      <c r="AM1274" s="178"/>
      <c r="AN1274" s="173"/>
      <c r="AO1274" s="173"/>
      <c r="AP1274" s="173"/>
      <c r="AQ1274" s="178"/>
      <c r="AR1274" s="173"/>
      <c r="AS1274" s="173"/>
      <c r="AT1274" s="140"/>
      <c r="AX1274" s="140"/>
      <c r="BB1274" s="173"/>
      <c r="BC1274" s="173"/>
    </row>
    <row r="1275" spans="2:55" s="134" customFormat="1" x14ac:dyDescent="0.2">
      <c r="B1275" s="145"/>
      <c r="D1275" s="145"/>
      <c r="Z1275" s="177"/>
      <c r="AA1275" s="178"/>
      <c r="AB1275" s="139"/>
      <c r="AC1275" s="173"/>
      <c r="AD1275" s="177"/>
      <c r="AE1275" s="177"/>
      <c r="AF1275" s="139"/>
      <c r="AG1275" s="139"/>
      <c r="AH1275" s="177"/>
      <c r="AI1275" s="178"/>
      <c r="AJ1275" s="139"/>
      <c r="AK1275" s="173"/>
      <c r="AL1275" s="177"/>
      <c r="AM1275" s="178"/>
      <c r="AN1275" s="173"/>
      <c r="AO1275" s="173"/>
      <c r="AP1275" s="173"/>
      <c r="AQ1275" s="178"/>
      <c r="AR1275" s="173"/>
      <c r="AS1275" s="173"/>
      <c r="AT1275" s="140"/>
      <c r="AX1275" s="140"/>
      <c r="BB1275" s="173"/>
      <c r="BC1275" s="173"/>
    </row>
    <row r="1276" spans="2:55" s="134" customFormat="1" x14ac:dyDescent="0.2">
      <c r="B1276" s="145"/>
      <c r="D1276" s="145"/>
      <c r="Z1276" s="177"/>
      <c r="AA1276" s="178"/>
      <c r="AB1276" s="139"/>
      <c r="AC1276" s="173"/>
      <c r="AD1276" s="177"/>
      <c r="AE1276" s="177"/>
      <c r="AF1276" s="139"/>
      <c r="AG1276" s="139"/>
      <c r="AH1276" s="177"/>
      <c r="AI1276" s="178"/>
      <c r="AJ1276" s="139"/>
      <c r="AK1276" s="173"/>
      <c r="AL1276" s="177"/>
      <c r="AM1276" s="178"/>
      <c r="AN1276" s="173"/>
      <c r="AO1276" s="173"/>
      <c r="AP1276" s="173"/>
      <c r="AQ1276" s="178"/>
      <c r="AR1276" s="173"/>
      <c r="AS1276" s="173"/>
      <c r="AT1276" s="140"/>
      <c r="AX1276" s="140"/>
      <c r="BB1276" s="173"/>
      <c r="BC1276" s="173"/>
    </row>
    <row r="1277" spans="2:55" s="134" customFormat="1" x14ac:dyDescent="0.2">
      <c r="B1277" s="145"/>
      <c r="D1277" s="145"/>
      <c r="Z1277" s="177"/>
      <c r="AA1277" s="178"/>
      <c r="AB1277" s="139"/>
      <c r="AC1277" s="173"/>
      <c r="AD1277" s="177"/>
      <c r="AE1277" s="177"/>
      <c r="AF1277" s="139"/>
      <c r="AG1277" s="139"/>
      <c r="AH1277" s="177"/>
      <c r="AI1277" s="178"/>
      <c r="AJ1277" s="139"/>
      <c r="AK1277" s="173"/>
      <c r="AL1277" s="177"/>
      <c r="AM1277" s="178"/>
      <c r="AN1277" s="173"/>
      <c r="AO1277" s="173"/>
      <c r="AP1277" s="173"/>
      <c r="AQ1277" s="178"/>
      <c r="AR1277" s="173"/>
      <c r="AS1277" s="173"/>
      <c r="AT1277" s="140"/>
      <c r="AX1277" s="140"/>
      <c r="BB1277" s="173"/>
      <c r="BC1277" s="173"/>
    </row>
    <row r="1278" spans="2:55" s="134" customFormat="1" x14ac:dyDescent="0.2">
      <c r="B1278" s="145"/>
      <c r="D1278" s="145"/>
      <c r="Z1278" s="177"/>
      <c r="AA1278" s="178"/>
      <c r="AB1278" s="139"/>
      <c r="AC1278" s="173"/>
      <c r="AD1278" s="177"/>
      <c r="AE1278" s="177"/>
      <c r="AF1278" s="139"/>
      <c r="AG1278" s="139"/>
      <c r="AH1278" s="177"/>
      <c r="AI1278" s="178"/>
      <c r="AJ1278" s="139"/>
      <c r="AK1278" s="173"/>
      <c r="AL1278" s="177"/>
      <c r="AM1278" s="178"/>
      <c r="AN1278" s="173"/>
      <c r="AO1278" s="173"/>
      <c r="AP1278" s="173"/>
      <c r="AQ1278" s="178"/>
      <c r="AR1278" s="173"/>
      <c r="AS1278" s="173"/>
      <c r="AT1278" s="140"/>
      <c r="AX1278" s="140"/>
      <c r="BB1278" s="173"/>
      <c r="BC1278" s="173"/>
    </row>
    <row r="1279" spans="2:55" s="134" customFormat="1" x14ac:dyDescent="0.2">
      <c r="B1279" s="145"/>
      <c r="D1279" s="145"/>
      <c r="Z1279" s="177"/>
      <c r="AA1279" s="178"/>
      <c r="AB1279" s="139"/>
      <c r="AC1279" s="173"/>
      <c r="AD1279" s="177"/>
      <c r="AE1279" s="177"/>
      <c r="AF1279" s="139"/>
      <c r="AG1279" s="139"/>
      <c r="AH1279" s="177"/>
      <c r="AI1279" s="178"/>
      <c r="AJ1279" s="139"/>
      <c r="AK1279" s="173"/>
      <c r="AL1279" s="177"/>
      <c r="AM1279" s="178"/>
      <c r="AN1279" s="173"/>
      <c r="AO1279" s="173"/>
      <c r="AP1279" s="173"/>
      <c r="AQ1279" s="178"/>
      <c r="AR1279" s="173"/>
      <c r="AS1279" s="173"/>
      <c r="AT1279" s="140"/>
      <c r="AX1279" s="140"/>
      <c r="BB1279" s="173"/>
      <c r="BC1279" s="173"/>
    </row>
    <row r="1280" spans="2:55" s="134" customFormat="1" x14ac:dyDescent="0.2">
      <c r="B1280" s="145"/>
      <c r="D1280" s="145"/>
      <c r="Z1280" s="177"/>
      <c r="AA1280" s="178"/>
      <c r="AB1280" s="139"/>
      <c r="AC1280" s="173"/>
      <c r="AD1280" s="177"/>
      <c r="AE1280" s="177"/>
      <c r="AF1280" s="139"/>
      <c r="AG1280" s="139"/>
      <c r="AH1280" s="177"/>
      <c r="AI1280" s="178"/>
      <c r="AJ1280" s="139"/>
      <c r="AK1280" s="173"/>
      <c r="AL1280" s="177"/>
      <c r="AM1280" s="178"/>
      <c r="AN1280" s="173"/>
      <c r="AO1280" s="173"/>
      <c r="AP1280" s="173"/>
      <c r="AQ1280" s="178"/>
      <c r="AR1280" s="173"/>
      <c r="AS1280" s="173"/>
      <c r="AT1280" s="140"/>
      <c r="AX1280" s="140"/>
      <c r="BB1280" s="173"/>
      <c r="BC1280" s="173"/>
    </row>
    <row r="1281" spans="2:55" s="134" customFormat="1" x14ac:dyDescent="0.2">
      <c r="B1281" s="145"/>
      <c r="D1281" s="145"/>
      <c r="Z1281" s="177"/>
      <c r="AA1281" s="178"/>
      <c r="AB1281" s="139"/>
      <c r="AC1281" s="173"/>
      <c r="AD1281" s="177"/>
      <c r="AE1281" s="177"/>
      <c r="AF1281" s="139"/>
      <c r="AG1281" s="139"/>
      <c r="AH1281" s="177"/>
      <c r="AI1281" s="178"/>
      <c r="AJ1281" s="139"/>
      <c r="AK1281" s="173"/>
      <c r="AL1281" s="177"/>
      <c r="AM1281" s="178"/>
      <c r="AN1281" s="173"/>
      <c r="AO1281" s="173"/>
      <c r="AP1281" s="173"/>
      <c r="AQ1281" s="178"/>
      <c r="AR1281" s="173"/>
      <c r="AS1281" s="173"/>
      <c r="AT1281" s="140"/>
      <c r="AX1281" s="140"/>
      <c r="BB1281" s="173"/>
      <c r="BC1281" s="173"/>
    </row>
    <row r="1282" spans="2:55" s="134" customFormat="1" x14ac:dyDescent="0.2">
      <c r="B1282" s="145"/>
      <c r="D1282" s="145"/>
      <c r="Z1282" s="177"/>
      <c r="AA1282" s="178"/>
      <c r="AB1282" s="139"/>
      <c r="AC1282" s="173"/>
      <c r="AD1282" s="177"/>
      <c r="AE1282" s="177"/>
      <c r="AF1282" s="139"/>
      <c r="AG1282" s="139"/>
      <c r="AH1282" s="177"/>
      <c r="AI1282" s="178"/>
      <c r="AJ1282" s="139"/>
      <c r="AK1282" s="173"/>
      <c r="AL1282" s="177"/>
      <c r="AM1282" s="178"/>
      <c r="AN1282" s="173"/>
      <c r="AO1282" s="173"/>
      <c r="AP1282" s="173"/>
      <c r="AQ1282" s="178"/>
      <c r="AR1282" s="173"/>
      <c r="AS1282" s="173"/>
      <c r="AT1282" s="140"/>
      <c r="AX1282" s="140"/>
      <c r="BB1282" s="173"/>
      <c r="BC1282" s="173"/>
    </row>
    <row r="1283" spans="2:55" s="134" customFormat="1" x14ac:dyDescent="0.2">
      <c r="B1283" s="145"/>
      <c r="D1283" s="145"/>
      <c r="Z1283" s="177"/>
      <c r="AA1283" s="178"/>
      <c r="AB1283" s="139"/>
      <c r="AC1283" s="173"/>
      <c r="AD1283" s="177"/>
      <c r="AE1283" s="177"/>
      <c r="AF1283" s="139"/>
      <c r="AG1283" s="139"/>
      <c r="AH1283" s="177"/>
      <c r="AI1283" s="178"/>
      <c r="AJ1283" s="139"/>
      <c r="AK1283" s="173"/>
      <c r="AL1283" s="177"/>
      <c r="AM1283" s="178"/>
      <c r="AN1283" s="173"/>
      <c r="AO1283" s="173"/>
      <c r="AP1283" s="173"/>
      <c r="AQ1283" s="178"/>
      <c r="AR1283" s="173"/>
      <c r="AS1283" s="173"/>
      <c r="AT1283" s="140"/>
      <c r="AX1283" s="140"/>
      <c r="BB1283" s="173"/>
      <c r="BC1283" s="173"/>
    </row>
    <row r="1284" spans="2:55" s="134" customFormat="1" x14ac:dyDescent="0.2">
      <c r="B1284" s="145"/>
      <c r="D1284" s="145"/>
      <c r="Z1284" s="177"/>
      <c r="AA1284" s="178"/>
      <c r="AB1284" s="139"/>
      <c r="AC1284" s="173"/>
      <c r="AD1284" s="177"/>
      <c r="AE1284" s="177"/>
      <c r="AF1284" s="139"/>
      <c r="AG1284" s="139"/>
      <c r="AH1284" s="177"/>
      <c r="AI1284" s="178"/>
      <c r="AJ1284" s="139"/>
      <c r="AK1284" s="173"/>
      <c r="AL1284" s="177"/>
      <c r="AM1284" s="178"/>
      <c r="AN1284" s="173"/>
      <c r="AO1284" s="173"/>
      <c r="AP1284" s="173"/>
      <c r="AQ1284" s="178"/>
      <c r="AR1284" s="173"/>
      <c r="AS1284" s="173"/>
      <c r="AT1284" s="140"/>
      <c r="AX1284" s="140"/>
      <c r="BB1284" s="173"/>
      <c r="BC1284" s="173"/>
    </row>
    <row r="1285" spans="2:55" s="134" customFormat="1" x14ac:dyDescent="0.2">
      <c r="B1285" s="145"/>
      <c r="D1285" s="145"/>
      <c r="Z1285" s="177"/>
      <c r="AA1285" s="178"/>
      <c r="AB1285" s="139"/>
      <c r="AC1285" s="173"/>
      <c r="AD1285" s="177"/>
      <c r="AE1285" s="177"/>
      <c r="AF1285" s="139"/>
      <c r="AG1285" s="139"/>
      <c r="AH1285" s="177"/>
      <c r="AI1285" s="178"/>
      <c r="AJ1285" s="139"/>
      <c r="AK1285" s="173"/>
      <c r="AL1285" s="177"/>
      <c r="AM1285" s="178"/>
      <c r="AN1285" s="173"/>
      <c r="AO1285" s="173"/>
      <c r="AP1285" s="173"/>
      <c r="AQ1285" s="178"/>
      <c r="AR1285" s="173"/>
      <c r="AS1285" s="173"/>
      <c r="AT1285" s="140"/>
      <c r="AX1285" s="140"/>
      <c r="BB1285" s="173"/>
      <c r="BC1285" s="173"/>
    </row>
    <row r="1286" spans="2:55" s="134" customFormat="1" x14ac:dyDescent="0.2">
      <c r="B1286" s="145"/>
      <c r="D1286" s="145"/>
      <c r="Z1286" s="177"/>
      <c r="AA1286" s="178"/>
      <c r="AB1286" s="139"/>
      <c r="AC1286" s="173"/>
      <c r="AD1286" s="177"/>
      <c r="AE1286" s="177"/>
      <c r="AF1286" s="139"/>
      <c r="AG1286" s="139"/>
      <c r="AH1286" s="177"/>
      <c r="AI1286" s="178"/>
      <c r="AJ1286" s="139"/>
      <c r="AK1286" s="173"/>
      <c r="AL1286" s="177"/>
      <c r="AM1286" s="178"/>
      <c r="AN1286" s="173"/>
      <c r="AO1286" s="173"/>
      <c r="AP1286" s="173"/>
      <c r="AQ1286" s="178"/>
      <c r="AR1286" s="173"/>
      <c r="AS1286" s="173"/>
      <c r="AT1286" s="140"/>
      <c r="AX1286" s="140"/>
      <c r="BB1286" s="173"/>
      <c r="BC1286" s="173"/>
    </row>
    <row r="1287" spans="2:55" s="134" customFormat="1" x14ac:dyDescent="0.2">
      <c r="B1287" s="145"/>
      <c r="D1287" s="145"/>
      <c r="Z1287" s="177"/>
      <c r="AA1287" s="178"/>
      <c r="AB1287" s="139"/>
      <c r="AC1287" s="173"/>
      <c r="AD1287" s="177"/>
      <c r="AE1287" s="177"/>
      <c r="AF1287" s="139"/>
      <c r="AG1287" s="139"/>
      <c r="AH1287" s="177"/>
      <c r="AI1287" s="178"/>
      <c r="AJ1287" s="139"/>
      <c r="AK1287" s="173"/>
      <c r="AL1287" s="177"/>
      <c r="AM1287" s="178"/>
      <c r="AN1287" s="173"/>
      <c r="AO1287" s="173"/>
      <c r="AP1287" s="173"/>
      <c r="AQ1287" s="178"/>
      <c r="AR1287" s="173"/>
      <c r="AS1287" s="173"/>
      <c r="AT1287" s="140"/>
      <c r="AX1287" s="140"/>
      <c r="BB1287" s="173"/>
      <c r="BC1287" s="173"/>
    </row>
    <row r="1288" spans="2:55" s="134" customFormat="1" x14ac:dyDescent="0.2">
      <c r="B1288" s="145"/>
      <c r="D1288" s="145"/>
      <c r="Z1288" s="177"/>
      <c r="AA1288" s="178"/>
      <c r="AB1288" s="139"/>
      <c r="AC1288" s="173"/>
      <c r="AD1288" s="177"/>
      <c r="AE1288" s="177"/>
      <c r="AF1288" s="139"/>
      <c r="AG1288" s="139"/>
      <c r="AH1288" s="177"/>
      <c r="AI1288" s="178"/>
      <c r="AJ1288" s="139"/>
      <c r="AK1288" s="173"/>
      <c r="AL1288" s="177"/>
      <c r="AM1288" s="178"/>
      <c r="AN1288" s="173"/>
      <c r="AO1288" s="173"/>
      <c r="AP1288" s="173"/>
      <c r="AQ1288" s="178"/>
      <c r="AR1288" s="173"/>
      <c r="AS1288" s="173"/>
      <c r="AT1288" s="140"/>
      <c r="AX1288" s="140"/>
      <c r="BB1288" s="173"/>
      <c r="BC1288" s="173"/>
    </row>
    <row r="1289" spans="2:55" s="134" customFormat="1" x14ac:dyDescent="0.2">
      <c r="B1289" s="145"/>
      <c r="D1289" s="145"/>
      <c r="Z1289" s="177"/>
      <c r="AA1289" s="178"/>
      <c r="AB1289" s="139"/>
      <c r="AC1289" s="173"/>
      <c r="AD1289" s="177"/>
      <c r="AE1289" s="177"/>
      <c r="AF1289" s="139"/>
      <c r="AG1289" s="139"/>
      <c r="AH1289" s="177"/>
      <c r="AI1289" s="178"/>
      <c r="AJ1289" s="139"/>
      <c r="AK1289" s="173"/>
      <c r="AL1289" s="177"/>
      <c r="AM1289" s="178"/>
      <c r="AN1289" s="173"/>
      <c r="AO1289" s="173"/>
      <c r="AP1289" s="173"/>
      <c r="AQ1289" s="178"/>
      <c r="AR1289" s="173"/>
      <c r="AS1289" s="173"/>
      <c r="AT1289" s="140"/>
      <c r="AX1289" s="140"/>
      <c r="BB1289" s="173"/>
      <c r="BC1289" s="173"/>
    </row>
    <row r="1290" spans="2:55" s="134" customFormat="1" x14ac:dyDescent="0.2">
      <c r="B1290" s="145"/>
      <c r="D1290" s="145"/>
      <c r="Z1290" s="177"/>
      <c r="AA1290" s="178"/>
      <c r="AB1290" s="139"/>
      <c r="AC1290" s="173"/>
      <c r="AD1290" s="177"/>
      <c r="AE1290" s="177"/>
      <c r="AF1290" s="139"/>
      <c r="AG1290" s="139"/>
      <c r="AH1290" s="177"/>
      <c r="AI1290" s="178"/>
      <c r="AJ1290" s="139"/>
      <c r="AK1290" s="173"/>
      <c r="AL1290" s="177"/>
      <c r="AM1290" s="178"/>
      <c r="AN1290" s="173"/>
      <c r="AO1290" s="173"/>
      <c r="AP1290" s="173"/>
      <c r="AQ1290" s="178"/>
      <c r="AR1290" s="173"/>
      <c r="AS1290" s="173"/>
      <c r="AT1290" s="140"/>
      <c r="AX1290" s="140"/>
      <c r="BB1290" s="173"/>
      <c r="BC1290" s="173"/>
    </row>
    <row r="1291" spans="2:55" s="134" customFormat="1" x14ac:dyDescent="0.2">
      <c r="B1291" s="145"/>
      <c r="D1291" s="145"/>
      <c r="Z1291" s="177"/>
      <c r="AA1291" s="178"/>
      <c r="AB1291" s="139"/>
      <c r="AC1291" s="173"/>
      <c r="AD1291" s="177"/>
      <c r="AE1291" s="177"/>
      <c r="AF1291" s="139"/>
      <c r="AG1291" s="139"/>
      <c r="AH1291" s="177"/>
      <c r="AI1291" s="178"/>
      <c r="AJ1291" s="139"/>
      <c r="AK1291" s="173"/>
      <c r="AL1291" s="177"/>
      <c r="AM1291" s="178"/>
      <c r="AN1291" s="173"/>
      <c r="AO1291" s="173"/>
      <c r="AP1291" s="173"/>
      <c r="AQ1291" s="178"/>
      <c r="AR1291" s="173"/>
      <c r="AS1291" s="173"/>
      <c r="AT1291" s="140"/>
      <c r="AX1291" s="140"/>
      <c r="BB1291" s="173"/>
      <c r="BC1291" s="173"/>
    </row>
    <row r="1292" spans="2:55" s="134" customFormat="1" x14ac:dyDescent="0.2">
      <c r="B1292" s="145"/>
      <c r="D1292" s="145"/>
      <c r="Z1292" s="177"/>
      <c r="AA1292" s="178"/>
      <c r="AB1292" s="139"/>
      <c r="AC1292" s="173"/>
      <c r="AD1292" s="177"/>
      <c r="AE1292" s="177"/>
      <c r="AF1292" s="139"/>
      <c r="AG1292" s="139"/>
      <c r="AH1292" s="177"/>
      <c r="AI1292" s="178"/>
      <c r="AJ1292" s="139"/>
      <c r="AK1292" s="173"/>
      <c r="AL1292" s="177"/>
      <c r="AM1292" s="178"/>
      <c r="AN1292" s="173"/>
      <c r="AO1292" s="173"/>
      <c r="AP1292" s="173"/>
      <c r="AQ1292" s="178"/>
      <c r="AR1292" s="173"/>
      <c r="AS1292" s="173"/>
      <c r="AT1292" s="140"/>
      <c r="AX1292" s="140"/>
      <c r="BB1292" s="173"/>
      <c r="BC1292" s="173"/>
    </row>
    <row r="1293" spans="2:55" s="134" customFormat="1" x14ac:dyDescent="0.2">
      <c r="B1293" s="145"/>
      <c r="D1293" s="145"/>
      <c r="Z1293" s="177"/>
      <c r="AA1293" s="178"/>
      <c r="AB1293" s="139"/>
      <c r="AC1293" s="173"/>
      <c r="AD1293" s="177"/>
      <c r="AE1293" s="177"/>
      <c r="AF1293" s="139"/>
      <c r="AG1293" s="139"/>
      <c r="AH1293" s="177"/>
      <c r="AI1293" s="178"/>
      <c r="AJ1293" s="139"/>
      <c r="AK1293" s="173"/>
      <c r="AL1293" s="177"/>
      <c r="AM1293" s="178"/>
      <c r="AN1293" s="173"/>
      <c r="AO1293" s="173"/>
      <c r="AP1293" s="173"/>
      <c r="AQ1293" s="178"/>
      <c r="AR1293" s="173"/>
      <c r="AS1293" s="173"/>
      <c r="AT1293" s="140"/>
      <c r="AX1293" s="140"/>
      <c r="BB1293" s="173"/>
      <c r="BC1293" s="173"/>
    </row>
    <row r="1294" spans="2:55" s="134" customFormat="1" x14ac:dyDescent="0.2">
      <c r="B1294" s="145"/>
      <c r="D1294" s="145"/>
      <c r="Z1294" s="177"/>
      <c r="AA1294" s="178"/>
      <c r="AB1294" s="139"/>
      <c r="AC1294" s="173"/>
      <c r="AD1294" s="177"/>
      <c r="AE1294" s="177"/>
      <c r="AF1294" s="139"/>
      <c r="AG1294" s="139"/>
      <c r="AH1294" s="177"/>
      <c r="AI1294" s="178"/>
      <c r="AJ1294" s="139"/>
      <c r="AK1294" s="173"/>
      <c r="AL1294" s="177"/>
      <c r="AM1294" s="178"/>
      <c r="AN1294" s="173"/>
      <c r="AO1294" s="173"/>
      <c r="AP1294" s="173"/>
      <c r="AQ1294" s="178"/>
      <c r="AR1294" s="173"/>
      <c r="AS1294" s="173"/>
      <c r="AT1294" s="140"/>
      <c r="AX1294" s="140"/>
      <c r="BB1294" s="173"/>
      <c r="BC1294" s="173"/>
    </row>
    <row r="1295" spans="2:55" s="134" customFormat="1" x14ac:dyDescent="0.2">
      <c r="B1295" s="145"/>
      <c r="D1295" s="145"/>
      <c r="Z1295" s="177"/>
      <c r="AA1295" s="178"/>
      <c r="AB1295" s="139"/>
      <c r="AC1295" s="173"/>
      <c r="AD1295" s="177"/>
      <c r="AE1295" s="177"/>
      <c r="AF1295" s="139"/>
      <c r="AG1295" s="139"/>
      <c r="AH1295" s="177"/>
      <c r="AI1295" s="178"/>
      <c r="AJ1295" s="139"/>
      <c r="AK1295" s="173"/>
      <c r="AL1295" s="177"/>
      <c r="AM1295" s="178"/>
      <c r="AN1295" s="173"/>
      <c r="AO1295" s="173"/>
      <c r="AP1295" s="173"/>
      <c r="AQ1295" s="178"/>
      <c r="AR1295" s="173"/>
      <c r="AS1295" s="173"/>
      <c r="AT1295" s="140"/>
      <c r="AX1295" s="140"/>
      <c r="BB1295" s="173"/>
      <c r="BC1295" s="173"/>
    </row>
    <row r="1296" spans="2:55" s="134" customFormat="1" x14ac:dyDescent="0.2">
      <c r="B1296" s="145"/>
      <c r="D1296" s="145"/>
      <c r="Z1296" s="177"/>
      <c r="AA1296" s="178"/>
      <c r="AB1296" s="139"/>
      <c r="AC1296" s="173"/>
      <c r="AD1296" s="177"/>
      <c r="AE1296" s="177"/>
      <c r="AF1296" s="139"/>
      <c r="AG1296" s="139"/>
      <c r="AH1296" s="177"/>
      <c r="AI1296" s="178"/>
      <c r="AJ1296" s="139"/>
      <c r="AK1296" s="173"/>
      <c r="AL1296" s="177"/>
      <c r="AM1296" s="178"/>
      <c r="AN1296" s="173"/>
      <c r="AO1296" s="173"/>
      <c r="AP1296" s="173"/>
      <c r="AQ1296" s="178"/>
      <c r="AR1296" s="173"/>
      <c r="AS1296" s="173"/>
      <c r="AT1296" s="140"/>
      <c r="AX1296" s="140"/>
      <c r="BB1296" s="173"/>
      <c r="BC1296" s="173"/>
    </row>
    <row r="1297" spans="2:55" s="134" customFormat="1" x14ac:dyDescent="0.2">
      <c r="B1297" s="145"/>
      <c r="D1297" s="145"/>
      <c r="Z1297" s="177"/>
      <c r="AA1297" s="178"/>
      <c r="AB1297" s="139"/>
      <c r="AC1297" s="173"/>
      <c r="AD1297" s="177"/>
      <c r="AE1297" s="177"/>
      <c r="AF1297" s="139"/>
      <c r="AG1297" s="139"/>
      <c r="AH1297" s="177"/>
      <c r="AI1297" s="178"/>
      <c r="AJ1297" s="139"/>
      <c r="AK1297" s="173"/>
      <c r="AL1297" s="177"/>
      <c r="AM1297" s="178"/>
      <c r="AN1297" s="173"/>
      <c r="AO1297" s="173"/>
      <c r="AP1297" s="173"/>
      <c r="AQ1297" s="178"/>
      <c r="AR1297" s="173"/>
      <c r="AS1297" s="173"/>
      <c r="AT1297" s="140"/>
      <c r="AX1297" s="140"/>
      <c r="BB1297" s="173"/>
      <c r="BC1297" s="173"/>
    </row>
    <row r="1298" spans="2:55" s="134" customFormat="1" x14ac:dyDescent="0.2">
      <c r="B1298" s="145"/>
      <c r="D1298" s="145"/>
      <c r="Z1298" s="177"/>
      <c r="AA1298" s="178"/>
      <c r="AB1298" s="139"/>
      <c r="AC1298" s="173"/>
      <c r="AD1298" s="177"/>
      <c r="AE1298" s="177"/>
      <c r="AF1298" s="139"/>
      <c r="AG1298" s="139"/>
      <c r="AH1298" s="177"/>
      <c r="AI1298" s="178"/>
      <c r="AJ1298" s="139"/>
      <c r="AK1298" s="173"/>
      <c r="AL1298" s="177"/>
      <c r="AM1298" s="178"/>
      <c r="AN1298" s="173"/>
      <c r="AO1298" s="173"/>
      <c r="AP1298" s="173"/>
      <c r="AQ1298" s="178"/>
      <c r="AR1298" s="173"/>
      <c r="AS1298" s="173"/>
      <c r="AT1298" s="140"/>
      <c r="AX1298" s="140"/>
      <c r="BB1298" s="173"/>
      <c r="BC1298" s="173"/>
    </row>
    <row r="1299" spans="2:55" s="134" customFormat="1" x14ac:dyDescent="0.2">
      <c r="B1299" s="145"/>
      <c r="D1299" s="145"/>
      <c r="Z1299" s="177"/>
      <c r="AA1299" s="178"/>
      <c r="AB1299" s="139"/>
      <c r="AC1299" s="173"/>
      <c r="AD1299" s="177"/>
      <c r="AE1299" s="177"/>
      <c r="AF1299" s="139"/>
      <c r="AG1299" s="139"/>
      <c r="AH1299" s="177"/>
      <c r="AI1299" s="178"/>
      <c r="AJ1299" s="139"/>
      <c r="AK1299" s="173"/>
      <c r="AL1299" s="177"/>
      <c r="AM1299" s="178"/>
      <c r="AN1299" s="173"/>
      <c r="AO1299" s="173"/>
      <c r="AP1299" s="173"/>
      <c r="AQ1299" s="178"/>
      <c r="AR1299" s="173"/>
      <c r="AS1299" s="173"/>
      <c r="AT1299" s="140"/>
      <c r="AX1299" s="140"/>
      <c r="BB1299" s="173"/>
      <c r="BC1299" s="173"/>
    </row>
    <row r="1300" spans="2:55" s="134" customFormat="1" x14ac:dyDescent="0.2">
      <c r="B1300" s="145"/>
      <c r="D1300" s="145"/>
      <c r="Z1300" s="177"/>
      <c r="AA1300" s="178"/>
      <c r="AB1300" s="139"/>
      <c r="AC1300" s="173"/>
      <c r="AD1300" s="177"/>
      <c r="AE1300" s="177"/>
      <c r="AF1300" s="139"/>
      <c r="AG1300" s="139"/>
      <c r="AH1300" s="177"/>
      <c r="AI1300" s="178"/>
      <c r="AJ1300" s="139"/>
      <c r="AK1300" s="173"/>
      <c r="AL1300" s="177"/>
      <c r="AM1300" s="178"/>
      <c r="AN1300" s="173"/>
      <c r="AO1300" s="173"/>
      <c r="AP1300" s="173"/>
      <c r="AQ1300" s="178"/>
      <c r="AR1300" s="173"/>
      <c r="AS1300" s="173"/>
      <c r="AT1300" s="140"/>
      <c r="AX1300" s="140"/>
      <c r="BB1300" s="173"/>
      <c r="BC1300" s="173"/>
    </row>
    <row r="1301" spans="2:55" s="134" customFormat="1" x14ac:dyDescent="0.2">
      <c r="B1301" s="145"/>
      <c r="D1301" s="145"/>
      <c r="Z1301" s="177"/>
      <c r="AA1301" s="178"/>
      <c r="AB1301" s="139"/>
      <c r="AC1301" s="173"/>
      <c r="AD1301" s="177"/>
      <c r="AE1301" s="177"/>
      <c r="AF1301" s="139"/>
      <c r="AG1301" s="139"/>
      <c r="AH1301" s="177"/>
      <c r="AI1301" s="178"/>
      <c r="AJ1301" s="139"/>
      <c r="AK1301" s="173"/>
      <c r="AL1301" s="177"/>
      <c r="AM1301" s="178"/>
      <c r="AN1301" s="173"/>
      <c r="AO1301" s="173"/>
      <c r="AP1301" s="173"/>
      <c r="AQ1301" s="178"/>
      <c r="AR1301" s="173"/>
      <c r="AS1301" s="173"/>
      <c r="AT1301" s="140"/>
      <c r="AX1301" s="140"/>
      <c r="BB1301" s="173"/>
      <c r="BC1301" s="173"/>
    </row>
    <row r="1302" spans="2:55" s="134" customFormat="1" x14ac:dyDescent="0.2">
      <c r="B1302" s="145"/>
      <c r="D1302" s="145"/>
      <c r="Z1302" s="177"/>
      <c r="AA1302" s="178"/>
      <c r="AB1302" s="139"/>
      <c r="AC1302" s="173"/>
      <c r="AD1302" s="177"/>
      <c r="AE1302" s="177"/>
      <c r="AF1302" s="139"/>
      <c r="AG1302" s="139"/>
      <c r="AH1302" s="177"/>
      <c r="AI1302" s="178"/>
      <c r="AJ1302" s="139"/>
      <c r="AK1302" s="173"/>
      <c r="AL1302" s="177"/>
      <c r="AM1302" s="178"/>
      <c r="AN1302" s="173"/>
      <c r="AO1302" s="173"/>
      <c r="AP1302" s="173"/>
      <c r="AQ1302" s="178"/>
      <c r="AR1302" s="173"/>
      <c r="AS1302" s="173"/>
      <c r="AT1302" s="140"/>
      <c r="AX1302" s="140"/>
      <c r="BB1302" s="173"/>
      <c r="BC1302" s="173"/>
    </row>
    <row r="1303" spans="2:55" s="134" customFormat="1" x14ac:dyDescent="0.2">
      <c r="B1303" s="145"/>
      <c r="D1303" s="145"/>
      <c r="Z1303" s="177"/>
      <c r="AA1303" s="178"/>
      <c r="AB1303" s="139"/>
      <c r="AC1303" s="173"/>
      <c r="AD1303" s="177"/>
      <c r="AE1303" s="177"/>
      <c r="AF1303" s="139"/>
      <c r="AG1303" s="139"/>
      <c r="AH1303" s="177"/>
      <c r="AI1303" s="178"/>
      <c r="AJ1303" s="139"/>
      <c r="AK1303" s="173"/>
      <c r="AL1303" s="177"/>
      <c r="AM1303" s="178"/>
      <c r="AN1303" s="173"/>
      <c r="AO1303" s="173"/>
      <c r="AP1303" s="173"/>
      <c r="AQ1303" s="178"/>
      <c r="AR1303" s="173"/>
      <c r="AS1303" s="173"/>
      <c r="AT1303" s="140"/>
      <c r="AX1303" s="140"/>
      <c r="BB1303" s="173"/>
      <c r="BC1303" s="173"/>
    </row>
    <row r="1304" spans="2:55" s="134" customFormat="1" x14ac:dyDescent="0.2">
      <c r="B1304" s="145"/>
      <c r="D1304" s="145"/>
      <c r="Z1304" s="177"/>
      <c r="AA1304" s="178"/>
      <c r="AB1304" s="139"/>
      <c r="AC1304" s="173"/>
      <c r="AD1304" s="177"/>
      <c r="AE1304" s="177"/>
      <c r="AF1304" s="139"/>
      <c r="AG1304" s="139"/>
      <c r="AH1304" s="177"/>
      <c r="AI1304" s="178"/>
      <c r="AJ1304" s="139"/>
      <c r="AK1304" s="173"/>
      <c r="AL1304" s="177"/>
      <c r="AM1304" s="178"/>
      <c r="AN1304" s="173"/>
      <c r="AO1304" s="173"/>
      <c r="AP1304" s="173"/>
      <c r="AQ1304" s="178"/>
      <c r="AR1304" s="173"/>
      <c r="AS1304" s="173"/>
      <c r="AT1304" s="140"/>
      <c r="AX1304" s="140"/>
      <c r="BB1304" s="173"/>
      <c r="BC1304" s="173"/>
    </row>
    <row r="1305" spans="2:55" s="134" customFormat="1" x14ac:dyDescent="0.2">
      <c r="B1305" s="145"/>
      <c r="D1305" s="145"/>
      <c r="Z1305" s="177"/>
      <c r="AA1305" s="178"/>
      <c r="AB1305" s="139"/>
      <c r="AC1305" s="173"/>
      <c r="AD1305" s="177"/>
      <c r="AE1305" s="177"/>
      <c r="AF1305" s="139"/>
      <c r="AG1305" s="139"/>
      <c r="AH1305" s="177"/>
      <c r="AI1305" s="178"/>
      <c r="AJ1305" s="139"/>
      <c r="AK1305" s="173"/>
      <c r="AL1305" s="177"/>
      <c r="AM1305" s="178"/>
      <c r="AN1305" s="173"/>
      <c r="AO1305" s="173"/>
      <c r="AP1305" s="173"/>
      <c r="AQ1305" s="178"/>
      <c r="AR1305" s="173"/>
      <c r="AS1305" s="173"/>
      <c r="AT1305" s="140"/>
      <c r="AX1305" s="140"/>
      <c r="BB1305" s="173"/>
      <c r="BC1305" s="173"/>
    </row>
    <row r="1306" spans="2:55" s="134" customFormat="1" x14ac:dyDescent="0.2">
      <c r="B1306" s="145"/>
      <c r="D1306" s="145"/>
      <c r="Z1306" s="177"/>
      <c r="AA1306" s="178"/>
      <c r="AB1306" s="139"/>
      <c r="AC1306" s="173"/>
      <c r="AD1306" s="177"/>
      <c r="AE1306" s="177"/>
      <c r="AF1306" s="139"/>
      <c r="AG1306" s="139"/>
      <c r="AH1306" s="177"/>
      <c r="AI1306" s="178"/>
      <c r="AJ1306" s="139"/>
      <c r="AK1306" s="173"/>
      <c r="AL1306" s="177"/>
      <c r="AM1306" s="178"/>
      <c r="AN1306" s="173"/>
      <c r="AO1306" s="173"/>
      <c r="AP1306" s="173"/>
      <c r="AQ1306" s="178"/>
      <c r="AR1306" s="173"/>
      <c r="AS1306" s="173"/>
      <c r="AT1306" s="140"/>
      <c r="AX1306" s="140"/>
      <c r="BB1306" s="173"/>
      <c r="BC1306" s="173"/>
    </row>
    <row r="1307" spans="2:55" s="134" customFormat="1" x14ac:dyDescent="0.2">
      <c r="B1307" s="145"/>
      <c r="D1307" s="145"/>
      <c r="Z1307" s="177"/>
      <c r="AA1307" s="178"/>
      <c r="AB1307" s="139"/>
      <c r="AC1307" s="173"/>
      <c r="AD1307" s="177"/>
      <c r="AE1307" s="177"/>
      <c r="AF1307" s="139"/>
      <c r="AG1307" s="139"/>
      <c r="AH1307" s="177"/>
      <c r="AI1307" s="178"/>
      <c r="AJ1307" s="139"/>
      <c r="AK1307" s="173"/>
      <c r="AL1307" s="177"/>
      <c r="AM1307" s="178"/>
      <c r="AN1307" s="173"/>
      <c r="AO1307" s="173"/>
      <c r="AP1307" s="173"/>
      <c r="AQ1307" s="178"/>
      <c r="AR1307" s="173"/>
      <c r="AS1307" s="173"/>
      <c r="AT1307" s="140"/>
      <c r="AX1307" s="140"/>
      <c r="BB1307" s="173"/>
      <c r="BC1307" s="173"/>
    </row>
    <row r="1308" spans="2:55" s="134" customFormat="1" x14ac:dyDescent="0.2">
      <c r="B1308" s="145"/>
      <c r="D1308" s="145"/>
      <c r="Z1308" s="177"/>
      <c r="AA1308" s="178"/>
      <c r="AB1308" s="139"/>
      <c r="AC1308" s="173"/>
      <c r="AD1308" s="177"/>
      <c r="AE1308" s="177"/>
      <c r="AF1308" s="139"/>
      <c r="AG1308" s="139"/>
      <c r="AH1308" s="177"/>
      <c r="AI1308" s="178"/>
      <c r="AJ1308" s="139"/>
      <c r="AK1308" s="173"/>
      <c r="AL1308" s="177"/>
      <c r="AM1308" s="178"/>
      <c r="AN1308" s="173"/>
      <c r="AO1308" s="173"/>
      <c r="AP1308" s="173"/>
      <c r="AQ1308" s="178"/>
      <c r="AR1308" s="173"/>
      <c r="AS1308" s="173"/>
      <c r="AT1308" s="140"/>
      <c r="AX1308" s="140"/>
      <c r="BB1308" s="173"/>
      <c r="BC1308" s="173"/>
    </row>
    <row r="1309" spans="2:55" s="134" customFormat="1" x14ac:dyDescent="0.2">
      <c r="B1309" s="145"/>
      <c r="D1309" s="145"/>
      <c r="Z1309" s="177"/>
      <c r="AA1309" s="178"/>
      <c r="AB1309" s="139"/>
      <c r="AC1309" s="173"/>
      <c r="AD1309" s="177"/>
      <c r="AE1309" s="177"/>
      <c r="AF1309" s="139"/>
      <c r="AG1309" s="139"/>
      <c r="AH1309" s="177"/>
      <c r="AI1309" s="178"/>
      <c r="AJ1309" s="139"/>
      <c r="AK1309" s="173"/>
      <c r="AL1309" s="177"/>
      <c r="AM1309" s="178"/>
      <c r="AN1309" s="173"/>
      <c r="AO1309" s="173"/>
      <c r="AP1309" s="173"/>
      <c r="AQ1309" s="178"/>
      <c r="AR1309" s="173"/>
      <c r="AS1309" s="173"/>
      <c r="AT1309" s="140"/>
      <c r="AX1309" s="140"/>
      <c r="BB1309" s="173"/>
      <c r="BC1309" s="173"/>
    </row>
    <row r="1310" spans="2:55" s="134" customFormat="1" x14ac:dyDescent="0.2">
      <c r="B1310" s="145"/>
      <c r="D1310" s="145"/>
      <c r="Z1310" s="177"/>
      <c r="AA1310" s="178"/>
      <c r="AB1310" s="139"/>
      <c r="AC1310" s="173"/>
      <c r="AD1310" s="177"/>
      <c r="AE1310" s="177"/>
      <c r="AF1310" s="139"/>
      <c r="AG1310" s="139"/>
      <c r="AH1310" s="177"/>
      <c r="AI1310" s="178"/>
      <c r="AJ1310" s="139"/>
      <c r="AK1310" s="173"/>
      <c r="AL1310" s="177"/>
      <c r="AM1310" s="178"/>
      <c r="AN1310" s="173"/>
      <c r="AO1310" s="173"/>
      <c r="AP1310" s="173"/>
      <c r="AQ1310" s="178"/>
      <c r="AR1310" s="173"/>
      <c r="AS1310" s="173"/>
      <c r="AT1310" s="140"/>
      <c r="AX1310" s="140"/>
      <c r="BB1310" s="173"/>
      <c r="BC1310" s="173"/>
    </row>
    <row r="1311" spans="2:55" s="134" customFormat="1" x14ac:dyDescent="0.2">
      <c r="B1311" s="145"/>
      <c r="D1311" s="145"/>
      <c r="Z1311" s="177"/>
      <c r="AA1311" s="178"/>
      <c r="AB1311" s="139"/>
      <c r="AC1311" s="173"/>
      <c r="AD1311" s="177"/>
      <c r="AE1311" s="177"/>
      <c r="AF1311" s="139"/>
      <c r="AG1311" s="139"/>
      <c r="AH1311" s="177"/>
      <c r="AI1311" s="178"/>
      <c r="AJ1311" s="139"/>
      <c r="AK1311" s="173"/>
      <c r="AL1311" s="177"/>
      <c r="AM1311" s="178"/>
      <c r="AN1311" s="173"/>
      <c r="AO1311" s="173"/>
      <c r="AP1311" s="173"/>
      <c r="AQ1311" s="178"/>
      <c r="AR1311" s="173"/>
      <c r="AS1311" s="173"/>
      <c r="AT1311" s="140"/>
      <c r="AX1311" s="140"/>
      <c r="BB1311" s="173"/>
      <c r="BC1311" s="173"/>
    </row>
    <row r="1312" spans="2:55" s="134" customFormat="1" x14ac:dyDescent="0.2">
      <c r="B1312" s="145"/>
      <c r="D1312" s="145"/>
      <c r="Z1312" s="177"/>
      <c r="AA1312" s="178"/>
      <c r="AB1312" s="139"/>
      <c r="AC1312" s="173"/>
      <c r="AD1312" s="177"/>
      <c r="AE1312" s="177"/>
      <c r="AF1312" s="139"/>
      <c r="AG1312" s="139"/>
      <c r="AH1312" s="177"/>
      <c r="AI1312" s="178"/>
      <c r="AJ1312" s="139"/>
      <c r="AK1312" s="173"/>
      <c r="AL1312" s="177"/>
      <c r="AM1312" s="178"/>
      <c r="AN1312" s="173"/>
      <c r="AO1312" s="173"/>
      <c r="AP1312" s="173"/>
      <c r="AQ1312" s="178"/>
      <c r="AR1312" s="173"/>
      <c r="AS1312" s="173"/>
      <c r="AT1312" s="140"/>
      <c r="AX1312" s="140"/>
      <c r="BB1312" s="173"/>
      <c r="BC1312" s="173"/>
    </row>
    <row r="1313" spans="2:55" s="134" customFormat="1" x14ac:dyDescent="0.2">
      <c r="B1313" s="145"/>
      <c r="D1313" s="145"/>
      <c r="Z1313" s="177"/>
      <c r="AA1313" s="178"/>
      <c r="AB1313" s="139"/>
      <c r="AC1313" s="173"/>
      <c r="AD1313" s="177"/>
      <c r="AE1313" s="177"/>
      <c r="AF1313" s="139"/>
      <c r="AG1313" s="139"/>
      <c r="AH1313" s="177"/>
      <c r="AI1313" s="178"/>
      <c r="AJ1313" s="139"/>
      <c r="AK1313" s="173"/>
      <c r="AL1313" s="177"/>
      <c r="AM1313" s="178"/>
      <c r="AN1313" s="173"/>
      <c r="AO1313" s="173"/>
      <c r="AP1313" s="173"/>
      <c r="AQ1313" s="178"/>
      <c r="AR1313" s="173"/>
      <c r="AS1313" s="173"/>
      <c r="AT1313" s="140"/>
      <c r="AX1313" s="140"/>
      <c r="BB1313" s="173"/>
      <c r="BC1313" s="173"/>
    </row>
    <row r="1314" spans="2:55" s="134" customFormat="1" x14ac:dyDescent="0.2">
      <c r="B1314" s="145"/>
      <c r="D1314" s="145"/>
      <c r="Z1314" s="177"/>
      <c r="AA1314" s="178"/>
      <c r="AB1314" s="139"/>
      <c r="AC1314" s="173"/>
      <c r="AD1314" s="177"/>
      <c r="AE1314" s="177"/>
      <c r="AF1314" s="139"/>
      <c r="AG1314" s="139"/>
      <c r="AH1314" s="177"/>
      <c r="AI1314" s="178"/>
      <c r="AJ1314" s="139"/>
      <c r="AK1314" s="173"/>
      <c r="AL1314" s="177"/>
      <c r="AM1314" s="178"/>
      <c r="AN1314" s="173"/>
      <c r="AO1314" s="173"/>
      <c r="AP1314" s="173"/>
      <c r="AQ1314" s="178"/>
      <c r="AR1314" s="173"/>
      <c r="AS1314" s="173"/>
      <c r="AT1314" s="140"/>
      <c r="AX1314" s="140"/>
      <c r="BB1314" s="173"/>
      <c r="BC1314" s="173"/>
    </row>
    <row r="1315" spans="2:55" s="134" customFormat="1" x14ac:dyDescent="0.2">
      <c r="B1315" s="145"/>
      <c r="D1315" s="145"/>
      <c r="Z1315" s="177"/>
      <c r="AA1315" s="178"/>
      <c r="AB1315" s="139"/>
      <c r="AC1315" s="173"/>
      <c r="AD1315" s="177"/>
      <c r="AE1315" s="177"/>
      <c r="AF1315" s="139"/>
      <c r="AG1315" s="139"/>
      <c r="AH1315" s="177"/>
      <c r="AI1315" s="178"/>
      <c r="AJ1315" s="139"/>
      <c r="AK1315" s="173"/>
      <c r="AL1315" s="177"/>
      <c r="AM1315" s="178"/>
      <c r="AN1315" s="173"/>
      <c r="AO1315" s="173"/>
      <c r="AP1315" s="173"/>
      <c r="AQ1315" s="178"/>
      <c r="AR1315" s="173"/>
      <c r="AS1315" s="173"/>
      <c r="AT1315" s="140"/>
      <c r="AX1315" s="140"/>
      <c r="BB1315" s="173"/>
      <c r="BC1315" s="173"/>
    </row>
    <row r="1316" spans="2:55" s="134" customFormat="1" x14ac:dyDescent="0.2">
      <c r="B1316" s="145"/>
      <c r="D1316" s="145"/>
      <c r="Z1316" s="177"/>
      <c r="AA1316" s="178"/>
      <c r="AB1316" s="139"/>
      <c r="AC1316" s="173"/>
      <c r="AD1316" s="177"/>
      <c r="AE1316" s="177"/>
      <c r="AF1316" s="139"/>
      <c r="AG1316" s="139"/>
      <c r="AH1316" s="177"/>
      <c r="AI1316" s="178"/>
      <c r="AJ1316" s="139"/>
      <c r="AK1316" s="173"/>
      <c r="AL1316" s="177"/>
      <c r="AM1316" s="178"/>
      <c r="AN1316" s="173"/>
      <c r="AO1316" s="173"/>
      <c r="AP1316" s="173"/>
      <c r="AQ1316" s="178"/>
      <c r="AR1316" s="173"/>
      <c r="AS1316" s="173"/>
      <c r="AT1316" s="140"/>
      <c r="AX1316" s="140"/>
      <c r="BB1316" s="173"/>
      <c r="BC1316" s="173"/>
    </row>
    <row r="1317" spans="2:55" s="134" customFormat="1" x14ac:dyDescent="0.2">
      <c r="B1317" s="145"/>
      <c r="D1317" s="145"/>
      <c r="Z1317" s="177"/>
      <c r="AA1317" s="178"/>
      <c r="AB1317" s="139"/>
      <c r="AC1317" s="173"/>
      <c r="AD1317" s="177"/>
      <c r="AE1317" s="177"/>
      <c r="AF1317" s="139"/>
      <c r="AG1317" s="139"/>
      <c r="AH1317" s="177"/>
      <c r="AI1317" s="178"/>
      <c r="AJ1317" s="139"/>
      <c r="AK1317" s="173"/>
      <c r="AL1317" s="177"/>
      <c r="AM1317" s="178"/>
      <c r="AN1317" s="173"/>
      <c r="AO1317" s="173"/>
      <c r="AP1317" s="173"/>
      <c r="AQ1317" s="178"/>
      <c r="AR1317" s="173"/>
      <c r="AS1317" s="173"/>
      <c r="AT1317" s="140"/>
      <c r="AX1317" s="140"/>
      <c r="BB1317" s="173"/>
      <c r="BC1317" s="173"/>
    </row>
    <row r="1318" spans="2:55" s="134" customFormat="1" x14ac:dyDescent="0.2">
      <c r="B1318" s="145"/>
      <c r="D1318" s="145"/>
      <c r="Z1318" s="177"/>
      <c r="AA1318" s="178"/>
      <c r="AB1318" s="139"/>
      <c r="AC1318" s="173"/>
      <c r="AD1318" s="177"/>
      <c r="AE1318" s="177"/>
      <c r="AF1318" s="139"/>
      <c r="AG1318" s="139"/>
      <c r="AH1318" s="177"/>
      <c r="AI1318" s="178"/>
      <c r="AJ1318" s="139"/>
      <c r="AK1318" s="173"/>
      <c r="AL1318" s="177"/>
      <c r="AM1318" s="178"/>
      <c r="AN1318" s="173"/>
      <c r="AO1318" s="173"/>
      <c r="AP1318" s="173"/>
      <c r="AQ1318" s="178"/>
      <c r="AR1318" s="173"/>
      <c r="AS1318" s="173"/>
      <c r="AT1318" s="140"/>
      <c r="AX1318" s="140"/>
      <c r="BB1318" s="173"/>
      <c r="BC1318" s="173"/>
    </row>
    <row r="1319" spans="2:55" s="134" customFormat="1" x14ac:dyDescent="0.2">
      <c r="B1319" s="145"/>
      <c r="D1319" s="145"/>
      <c r="Z1319" s="177"/>
      <c r="AA1319" s="178"/>
      <c r="AB1319" s="139"/>
      <c r="AC1319" s="173"/>
      <c r="AD1319" s="177"/>
      <c r="AE1319" s="177"/>
      <c r="AF1319" s="139"/>
      <c r="AG1319" s="139"/>
      <c r="AH1319" s="177"/>
      <c r="AI1319" s="178"/>
      <c r="AJ1319" s="139"/>
      <c r="AK1319" s="173"/>
      <c r="AL1319" s="177"/>
      <c r="AM1319" s="178"/>
      <c r="AN1319" s="173"/>
      <c r="AO1319" s="173"/>
      <c r="AP1319" s="173"/>
      <c r="AQ1319" s="178"/>
      <c r="AR1319" s="173"/>
      <c r="AS1319" s="173"/>
      <c r="AT1319" s="140"/>
      <c r="AX1319" s="140"/>
      <c r="BB1319" s="173"/>
      <c r="BC1319" s="173"/>
    </row>
    <row r="1320" spans="2:55" s="134" customFormat="1" x14ac:dyDescent="0.2">
      <c r="B1320" s="145"/>
      <c r="D1320" s="145"/>
      <c r="Z1320" s="177"/>
      <c r="AA1320" s="178"/>
      <c r="AB1320" s="139"/>
      <c r="AC1320" s="173"/>
      <c r="AD1320" s="177"/>
      <c r="AE1320" s="177"/>
      <c r="AF1320" s="139"/>
      <c r="AG1320" s="139"/>
      <c r="AH1320" s="177"/>
      <c r="AI1320" s="178"/>
      <c r="AJ1320" s="139"/>
      <c r="AK1320" s="173"/>
      <c r="AL1320" s="177"/>
      <c r="AM1320" s="178"/>
      <c r="AN1320" s="173"/>
      <c r="AO1320" s="173"/>
      <c r="AP1320" s="173"/>
      <c r="AQ1320" s="178"/>
      <c r="AR1320" s="173"/>
      <c r="AS1320" s="173"/>
      <c r="AT1320" s="140"/>
      <c r="AX1320" s="140"/>
      <c r="BB1320" s="173"/>
      <c r="BC1320" s="173"/>
    </row>
    <row r="1321" spans="2:55" s="134" customFormat="1" x14ac:dyDescent="0.2">
      <c r="B1321" s="145"/>
      <c r="D1321" s="145"/>
      <c r="Z1321" s="177"/>
      <c r="AA1321" s="178"/>
      <c r="AB1321" s="139"/>
      <c r="AC1321" s="173"/>
      <c r="AD1321" s="177"/>
      <c r="AE1321" s="177"/>
      <c r="AF1321" s="139"/>
      <c r="AG1321" s="139"/>
      <c r="AH1321" s="177"/>
      <c r="AI1321" s="178"/>
      <c r="AJ1321" s="139"/>
      <c r="AK1321" s="173"/>
      <c r="AL1321" s="177"/>
      <c r="AM1321" s="178"/>
      <c r="AN1321" s="173"/>
      <c r="AO1321" s="173"/>
      <c r="AP1321" s="173"/>
      <c r="AQ1321" s="178"/>
      <c r="AR1321" s="173"/>
      <c r="AS1321" s="173"/>
      <c r="AT1321" s="140"/>
      <c r="AX1321" s="140"/>
      <c r="BB1321" s="173"/>
      <c r="BC1321" s="173"/>
    </row>
    <row r="1322" spans="2:55" s="134" customFormat="1" x14ac:dyDescent="0.2">
      <c r="B1322" s="145"/>
      <c r="D1322" s="145"/>
      <c r="Z1322" s="177"/>
      <c r="AA1322" s="178"/>
      <c r="AB1322" s="139"/>
      <c r="AC1322" s="173"/>
      <c r="AD1322" s="177"/>
      <c r="AE1322" s="177"/>
      <c r="AF1322" s="139"/>
      <c r="AG1322" s="139"/>
      <c r="AH1322" s="177"/>
      <c r="AI1322" s="178"/>
      <c r="AJ1322" s="139"/>
      <c r="AK1322" s="173"/>
      <c r="AL1322" s="177"/>
      <c r="AM1322" s="178"/>
      <c r="AN1322" s="173"/>
      <c r="AO1322" s="173"/>
      <c r="AP1322" s="173"/>
      <c r="AQ1322" s="178"/>
      <c r="AR1322" s="173"/>
      <c r="AS1322" s="173"/>
      <c r="AT1322" s="140"/>
      <c r="AX1322" s="140"/>
      <c r="BB1322" s="173"/>
      <c r="BC1322" s="173"/>
    </row>
    <row r="1323" spans="2:55" s="134" customFormat="1" x14ac:dyDescent="0.2">
      <c r="B1323" s="145"/>
      <c r="D1323" s="145"/>
      <c r="Z1323" s="177"/>
      <c r="AA1323" s="178"/>
      <c r="AB1323" s="139"/>
      <c r="AC1323" s="173"/>
      <c r="AD1323" s="177"/>
      <c r="AE1323" s="177"/>
      <c r="AF1323" s="139"/>
      <c r="AG1323" s="139"/>
      <c r="AH1323" s="177"/>
      <c r="AI1323" s="178"/>
      <c r="AJ1323" s="139"/>
      <c r="AK1323" s="173"/>
      <c r="AL1323" s="177"/>
      <c r="AM1323" s="178"/>
      <c r="AN1323" s="173"/>
      <c r="AO1323" s="173"/>
      <c r="AP1323" s="173"/>
      <c r="AQ1323" s="178"/>
      <c r="AR1323" s="173"/>
      <c r="AS1323" s="173"/>
      <c r="AT1323" s="140"/>
      <c r="AX1323" s="140"/>
      <c r="BB1323" s="173"/>
      <c r="BC1323" s="173"/>
    </row>
    <row r="1324" spans="2:55" s="134" customFormat="1" x14ac:dyDescent="0.2">
      <c r="B1324" s="145"/>
      <c r="D1324" s="145"/>
      <c r="Z1324" s="177"/>
      <c r="AA1324" s="178"/>
      <c r="AB1324" s="139"/>
      <c r="AC1324" s="173"/>
      <c r="AD1324" s="177"/>
      <c r="AE1324" s="177"/>
      <c r="AF1324" s="139"/>
      <c r="AG1324" s="139"/>
      <c r="AH1324" s="177"/>
      <c r="AI1324" s="178"/>
      <c r="AJ1324" s="139"/>
      <c r="AK1324" s="173"/>
      <c r="AL1324" s="177"/>
      <c r="AM1324" s="178"/>
      <c r="AN1324" s="173"/>
      <c r="AO1324" s="173"/>
      <c r="AP1324" s="173"/>
      <c r="AQ1324" s="178"/>
      <c r="AR1324" s="173"/>
      <c r="AS1324" s="173"/>
      <c r="AT1324" s="140"/>
      <c r="AX1324" s="140"/>
      <c r="BB1324" s="173"/>
      <c r="BC1324" s="173"/>
    </row>
    <row r="1325" spans="2:55" s="134" customFormat="1" x14ac:dyDescent="0.2">
      <c r="B1325" s="145"/>
      <c r="D1325" s="145"/>
      <c r="Z1325" s="177"/>
      <c r="AA1325" s="178"/>
      <c r="AB1325" s="139"/>
      <c r="AC1325" s="173"/>
      <c r="AD1325" s="177"/>
      <c r="AE1325" s="177"/>
      <c r="AF1325" s="139"/>
      <c r="AG1325" s="139"/>
      <c r="AH1325" s="177"/>
      <c r="AI1325" s="178"/>
      <c r="AJ1325" s="139"/>
      <c r="AK1325" s="173"/>
      <c r="AL1325" s="177"/>
      <c r="AM1325" s="178"/>
      <c r="AN1325" s="173"/>
      <c r="AO1325" s="173"/>
      <c r="AP1325" s="173"/>
      <c r="AQ1325" s="178"/>
      <c r="AR1325" s="173"/>
      <c r="AS1325" s="173"/>
      <c r="AT1325" s="140"/>
      <c r="AX1325" s="140"/>
      <c r="BB1325" s="173"/>
      <c r="BC1325" s="173"/>
    </row>
    <row r="1326" spans="2:55" s="134" customFormat="1" x14ac:dyDescent="0.2">
      <c r="B1326" s="145"/>
      <c r="D1326" s="145"/>
      <c r="Z1326" s="177"/>
      <c r="AA1326" s="178"/>
      <c r="AB1326" s="139"/>
      <c r="AC1326" s="173"/>
      <c r="AD1326" s="177"/>
      <c r="AE1326" s="177"/>
      <c r="AF1326" s="139"/>
      <c r="AG1326" s="139"/>
      <c r="AH1326" s="177"/>
      <c r="AI1326" s="178"/>
      <c r="AJ1326" s="139"/>
      <c r="AK1326" s="173"/>
      <c r="AL1326" s="177"/>
      <c r="AM1326" s="178"/>
      <c r="AN1326" s="173"/>
      <c r="AO1326" s="173"/>
      <c r="AP1326" s="173"/>
      <c r="AQ1326" s="178"/>
      <c r="AR1326" s="173"/>
      <c r="AS1326" s="173"/>
      <c r="AT1326" s="140"/>
      <c r="AX1326" s="140"/>
      <c r="BB1326" s="173"/>
      <c r="BC1326" s="173"/>
    </row>
    <row r="1327" spans="2:55" s="134" customFormat="1" x14ac:dyDescent="0.2">
      <c r="B1327" s="145"/>
      <c r="D1327" s="145"/>
      <c r="Z1327" s="177"/>
      <c r="AA1327" s="178"/>
      <c r="AB1327" s="139"/>
      <c r="AC1327" s="173"/>
      <c r="AD1327" s="177"/>
      <c r="AE1327" s="177"/>
      <c r="AF1327" s="139"/>
      <c r="AG1327" s="139"/>
      <c r="AH1327" s="177"/>
      <c r="AI1327" s="178"/>
      <c r="AJ1327" s="139"/>
      <c r="AK1327" s="173"/>
      <c r="AL1327" s="177"/>
      <c r="AM1327" s="178"/>
      <c r="AN1327" s="173"/>
      <c r="AO1327" s="173"/>
      <c r="AP1327" s="173"/>
      <c r="AQ1327" s="178"/>
      <c r="AR1327" s="173"/>
      <c r="AS1327" s="173"/>
      <c r="AT1327" s="140"/>
      <c r="AX1327" s="140"/>
      <c r="BB1327" s="173"/>
      <c r="BC1327" s="173"/>
    </row>
    <row r="1328" spans="2:55" s="134" customFormat="1" x14ac:dyDescent="0.2">
      <c r="B1328" s="145"/>
      <c r="D1328" s="145"/>
      <c r="Z1328" s="177"/>
      <c r="AA1328" s="178"/>
      <c r="AB1328" s="139"/>
      <c r="AC1328" s="173"/>
      <c r="AD1328" s="177"/>
      <c r="AE1328" s="177"/>
      <c r="AF1328" s="139"/>
      <c r="AG1328" s="139"/>
      <c r="AH1328" s="177"/>
      <c r="AI1328" s="178"/>
      <c r="AJ1328" s="139"/>
      <c r="AK1328" s="173"/>
      <c r="AL1328" s="177"/>
      <c r="AM1328" s="178"/>
      <c r="AN1328" s="173"/>
      <c r="AO1328" s="173"/>
      <c r="AP1328" s="173"/>
      <c r="AQ1328" s="178"/>
      <c r="AR1328" s="173"/>
      <c r="AS1328" s="173"/>
      <c r="AT1328" s="140"/>
      <c r="AX1328" s="140"/>
      <c r="BB1328" s="173"/>
      <c r="BC1328" s="173"/>
    </row>
    <row r="1329" spans="2:55" s="134" customFormat="1" x14ac:dyDescent="0.2">
      <c r="B1329" s="145"/>
      <c r="D1329" s="145"/>
      <c r="Z1329" s="177"/>
      <c r="AA1329" s="178"/>
      <c r="AB1329" s="139"/>
      <c r="AC1329" s="173"/>
      <c r="AD1329" s="177"/>
      <c r="AE1329" s="177"/>
      <c r="AF1329" s="139"/>
      <c r="AG1329" s="139"/>
      <c r="AH1329" s="177"/>
      <c r="AI1329" s="178"/>
      <c r="AJ1329" s="139"/>
      <c r="AK1329" s="173"/>
      <c r="AL1329" s="177"/>
      <c r="AM1329" s="178"/>
      <c r="AN1329" s="173"/>
      <c r="AO1329" s="173"/>
      <c r="AP1329" s="173"/>
      <c r="AQ1329" s="178"/>
      <c r="AR1329" s="173"/>
      <c r="AS1329" s="173"/>
      <c r="AT1329" s="140"/>
      <c r="AX1329" s="140"/>
      <c r="BB1329" s="173"/>
      <c r="BC1329" s="173"/>
    </row>
    <row r="1330" spans="2:55" s="134" customFormat="1" x14ac:dyDescent="0.2">
      <c r="B1330" s="145"/>
      <c r="D1330" s="145"/>
      <c r="Z1330" s="177"/>
      <c r="AA1330" s="178"/>
      <c r="AB1330" s="139"/>
      <c r="AC1330" s="173"/>
      <c r="AD1330" s="177"/>
      <c r="AE1330" s="177"/>
      <c r="AF1330" s="139"/>
      <c r="AG1330" s="139"/>
      <c r="AH1330" s="177"/>
      <c r="AI1330" s="178"/>
      <c r="AJ1330" s="139"/>
      <c r="AK1330" s="173"/>
      <c r="AL1330" s="177"/>
      <c r="AM1330" s="178"/>
      <c r="AN1330" s="173"/>
      <c r="AO1330" s="173"/>
      <c r="AP1330" s="173"/>
      <c r="AQ1330" s="178"/>
      <c r="AR1330" s="173"/>
      <c r="AS1330" s="173"/>
      <c r="AT1330" s="140"/>
      <c r="AX1330" s="140"/>
      <c r="BB1330" s="173"/>
      <c r="BC1330" s="173"/>
    </row>
    <row r="1331" spans="2:55" s="134" customFormat="1" x14ac:dyDescent="0.2">
      <c r="B1331" s="145"/>
      <c r="D1331" s="145"/>
      <c r="Z1331" s="177"/>
      <c r="AA1331" s="178"/>
      <c r="AB1331" s="139"/>
      <c r="AC1331" s="173"/>
      <c r="AD1331" s="177"/>
      <c r="AE1331" s="177"/>
      <c r="AF1331" s="139"/>
      <c r="AG1331" s="139"/>
      <c r="AH1331" s="177"/>
      <c r="AI1331" s="178"/>
      <c r="AJ1331" s="139"/>
      <c r="AK1331" s="173"/>
      <c r="AL1331" s="177"/>
      <c r="AM1331" s="178"/>
      <c r="AN1331" s="173"/>
      <c r="AO1331" s="173"/>
      <c r="AP1331" s="173"/>
      <c r="AQ1331" s="178"/>
      <c r="AR1331" s="173"/>
      <c r="AS1331" s="173"/>
      <c r="AT1331" s="140"/>
      <c r="AX1331" s="140"/>
      <c r="BB1331" s="173"/>
      <c r="BC1331" s="173"/>
    </row>
    <row r="1332" spans="2:55" s="134" customFormat="1" x14ac:dyDescent="0.2">
      <c r="B1332" s="145"/>
      <c r="D1332" s="145"/>
      <c r="Z1332" s="177"/>
      <c r="AA1332" s="178"/>
      <c r="AB1332" s="139"/>
      <c r="AC1332" s="173"/>
      <c r="AD1332" s="177"/>
      <c r="AE1332" s="177"/>
      <c r="AF1332" s="139"/>
      <c r="AG1332" s="139"/>
      <c r="AH1332" s="177"/>
      <c r="AI1332" s="178"/>
      <c r="AJ1332" s="139"/>
      <c r="AK1332" s="173"/>
      <c r="AL1332" s="177"/>
      <c r="AM1332" s="178"/>
      <c r="AN1332" s="173"/>
      <c r="AO1332" s="173"/>
      <c r="AP1332" s="173"/>
      <c r="AQ1332" s="178"/>
      <c r="AR1332" s="173"/>
      <c r="AS1332" s="173"/>
      <c r="AT1332" s="140"/>
      <c r="AX1332" s="140"/>
      <c r="BB1332" s="173"/>
      <c r="BC1332" s="173"/>
    </row>
    <row r="1333" spans="2:55" s="134" customFormat="1" x14ac:dyDescent="0.2">
      <c r="B1333" s="145"/>
      <c r="D1333" s="145"/>
      <c r="Z1333" s="177"/>
      <c r="AA1333" s="178"/>
      <c r="AB1333" s="139"/>
      <c r="AC1333" s="173"/>
      <c r="AD1333" s="177"/>
      <c r="AE1333" s="177"/>
      <c r="AF1333" s="139"/>
      <c r="AG1333" s="139"/>
      <c r="AH1333" s="177"/>
      <c r="AI1333" s="178"/>
      <c r="AJ1333" s="139"/>
      <c r="AK1333" s="173"/>
      <c r="AL1333" s="177"/>
      <c r="AM1333" s="178"/>
      <c r="AN1333" s="173"/>
      <c r="AO1333" s="173"/>
      <c r="AP1333" s="173"/>
      <c r="AQ1333" s="178"/>
      <c r="AR1333" s="173"/>
      <c r="AS1333" s="173"/>
      <c r="AT1333" s="140"/>
      <c r="AX1333" s="140"/>
      <c r="BB1333" s="173"/>
      <c r="BC1333" s="173"/>
    </row>
    <row r="1334" spans="2:55" s="134" customFormat="1" x14ac:dyDescent="0.2">
      <c r="B1334" s="145"/>
      <c r="D1334" s="145"/>
      <c r="Z1334" s="177"/>
      <c r="AA1334" s="178"/>
      <c r="AB1334" s="139"/>
      <c r="AC1334" s="173"/>
      <c r="AD1334" s="177"/>
      <c r="AE1334" s="177"/>
      <c r="AF1334" s="139"/>
      <c r="AG1334" s="139"/>
      <c r="AH1334" s="177"/>
      <c r="AI1334" s="178"/>
      <c r="AJ1334" s="139"/>
      <c r="AK1334" s="173"/>
      <c r="AL1334" s="177"/>
      <c r="AM1334" s="178"/>
      <c r="AN1334" s="173"/>
      <c r="AO1334" s="173"/>
      <c r="AP1334" s="173"/>
      <c r="AQ1334" s="178"/>
      <c r="AR1334" s="173"/>
      <c r="AS1334" s="173"/>
      <c r="AT1334" s="140"/>
      <c r="AX1334" s="140"/>
      <c r="BB1334" s="173"/>
      <c r="BC1334" s="173"/>
    </row>
    <row r="1335" spans="2:55" s="134" customFormat="1" x14ac:dyDescent="0.2">
      <c r="B1335" s="145"/>
      <c r="D1335" s="145"/>
      <c r="Z1335" s="177"/>
      <c r="AA1335" s="178"/>
      <c r="AB1335" s="139"/>
      <c r="AC1335" s="173"/>
      <c r="AD1335" s="177"/>
      <c r="AE1335" s="177"/>
      <c r="AF1335" s="139"/>
      <c r="AG1335" s="139"/>
      <c r="AH1335" s="177"/>
      <c r="AI1335" s="178"/>
      <c r="AJ1335" s="139"/>
      <c r="AK1335" s="173"/>
      <c r="AL1335" s="177"/>
      <c r="AM1335" s="178"/>
      <c r="AN1335" s="173"/>
      <c r="AO1335" s="173"/>
      <c r="AP1335" s="173"/>
      <c r="AQ1335" s="178"/>
      <c r="AR1335" s="173"/>
      <c r="AS1335" s="173"/>
      <c r="AT1335" s="140"/>
      <c r="AX1335" s="140"/>
      <c r="BB1335" s="173"/>
      <c r="BC1335" s="173"/>
    </row>
    <row r="1336" spans="2:55" s="134" customFormat="1" x14ac:dyDescent="0.2">
      <c r="B1336" s="145"/>
      <c r="D1336" s="145"/>
      <c r="Z1336" s="177"/>
      <c r="AA1336" s="178"/>
      <c r="AB1336" s="139"/>
      <c r="AC1336" s="173"/>
      <c r="AD1336" s="177"/>
      <c r="AE1336" s="177"/>
      <c r="AF1336" s="139"/>
      <c r="AG1336" s="139"/>
      <c r="AH1336" s="177"/>
      <c r="AI1336" s="178"/>
      <c r="AJ1336" s="139"/>
      <c r="AK1336" s="173"/>
      <c r="AL1336" s="177"/>
      <c r="AM1336" s="178"/>
      <c r="AN1336" s="173"/>
      <c r="AO1336" s="173"/>
      <c r="AP1336" s="173"/>
      <c r="AQ1336" s="178"/>
      <c r="AR1336" s="173"/>
      <c r="AS1336" s="173"/>
      <c r="AT1336" s="140"/>
      <c r="AX1336" s="140"/>
      <c r="BB1336" s="173"/>
      <c r="BC1336" s="173"/>
    </row>
    <row r="1337" spans="2:55" s="134" customFormat="1" x14ac:dyDescent="0.2">
      <c r="B1337" s="145"/>
      <c r="D1337" s="145"/>
      <c r="Z1337" s="177"/>
      <c r="AA1337" s="178"/>
      <c r="AB1337" s="139"/>
      <c r="AC1337" s="173"/>
      <c r="AD1337" s="177"/>
      <c r="AE1337" s="177"/>
      <c r="AF1337" s="139"/>
      <c r="AG1337" s="139"/>
      <c r="AH1337" s="177"/>
      <c r="AI1337" s="178"/>
      <c r="AJ1337" s="139"/>
      <c r="AK1337" s="173"/>
      <c r="AL1337" s="177"/>
      <c r="AM1337" s="178"/>
      <c r="AN1337" s="173"/>
      <c r="AO1337" s="173"/>
      <c r="AP1337" s="173"/>
      <c r="AQ1337" s="178"/>
      <c r="AR1337" s="173"/>
      <c r="AS1337" s="173"/>
      <c r="AT1337" s="140"/>
      <c r="AX1337" s="140"/>
      <c r="BB1337" s="173"/>
      <c r="BC1337" s="173"/>
    </row>
    <row r="1338" spans="2:55" s="134" customFormat="1" x14ac:dyDescent="0.2">
      <c r="B1338" s="145"/>
      <c r="D1338" s="145"/>
      <c r="Z1338" s="177"/>
      <c r="AA1338" s="178"/>
      <c r="AB1338" s="139"/>
      <c r="AC1338" s="173"/>
      <c r="AD1338" s="177"/>
      <c r="AE1338" s="177"/>
      <c r="AF1338" s="139"/>
      <c r="AG1338" s="139"/>
      <c r="AH1338" s="177"/>
      <c r="AI1338" s="178"/>
      <c r="AJ1338" s="139"/>
      <c r="AK1338" s="173"/>
      <c r="AL1338" s="177"/>
      <c r="AM1338" s="178"/>
      <c r="AN1338" s="173"/>
      <c r="AO1338" s="173"/>
      <c r="AP1338" s="173"/>
      <c r="AQ1338" s="178"/>
      <c r="AR1338" s="173"/>
      <c r="AS1338" s="173"/>
      <c r="AT1338" s="140"/>
      <c r="AX1338" s="140"/>
      <c r="BB1338" s="173"/>
      <c r="BC1338" s="173"/>
    </row>
    <row r="1339" spans="2:55" s="134" customFormat="1" x14ac:dyDescent="0.2">
      <c r="B1339" s="145"/>
      <c r="D1339" s="145"/>
      <c r="Z1339" s="177"/>
      <c r="AA1339" s="178"/>
      <c r="AB1339" s="139"/>
      <c r="AC1339" s="173"/>
      <c r="AD1339" s="177"/>
      <c r="AE1339" s="177"/>
      <c r="AF1339" s="139"/>
      <c r="AG1339" s="139"/>
      <c r="AH1339" s="177"/>
      <c r="AI1339" s="178"/>
      <c r="AJ1339" s="139"/>
      <c r="AK1339" s="173"/>
      <c r="AL1339" s="177"/>
      <c r="AM1339" s="178"/>
      <c r="AN1339" s="173"/>
      <c r="AO1339" s="173"/>
      <c r="AP1339" s="173"/>
      <c r="AQ1339" s="178"/>
      <c r="AR1339" s="173"/>
      <c r="AS1339" s="173"/>
      <c r="AT1339" s="140"/>
      <c r="AX1339" s="140"/>
      <c r="BB1339" s="173"/>
      <c r="BC1339" s="173"/>
    </row>
    <row r="1340" spans="2:55" s="134" customFormat="1" x14ac:dyDescent="0.2">
      <c r="B1340" s="145"/>
      <c r="D1340" s="145"/>
      <c r="Z1340" s="177"/>
      <c r="AA1340" s="178"/>
      <c r="AB1340" s="139"/>
      <c r="AC1340" s="173"/>
      <c r="AD1340" s="177"/>
      <c r="AE1340" s="177"/>
      <c r="AF1340" s="139"/>
      <c r="AG1340" s="139"/>
      <c r="AH1340" s="177"/>
      <c r="AI1340" s="178"/>
      <c r="AJ1340" s="139"/>
      <c r="AK1340" s="173"/>
      <c r="AL1340" s="177"/>
      <c r="AM1340" s="178"/>
      <c r="AN1340" s="173"/>
      <c r="AO1340" s="173"/>
      <c r="AP1340" s="173"/>
      <c r="AQ1340" s="178"/>
      <c r="AR1340" s="173"/>
      <c r="AS1340" s="173"/>
      <c r="AT1340" s="140"/>
      <c r="AX1340" s="140"/>
      <c r="BB1340" s="173"/>
      <c r="BC1340" s="173"/>
    </row>
    <row r="1341" spans="2:55" s="134" customFormat="1" x14ac:dyDescent="0.2">
      <c r="B1341" s="145"/>
      <c r="D1341" s="145"/>
      <c r="Z1341" s="177"/>
      <c r="AA1341" s="178"/>
      <c r="AB1341" s="139"/>
      <c r="AC1341" s="173"/>
      <c r="AD1341" s="177"/>
      <c r="AE1341" s="177"/>
      <c r="AF1341" s="139"/>
      <c r="AG1341" s="139"/>
      <c r="AH1341" s="177"/>
      <c r="AI1341" s="178"/>
      <c r="AJ1341" s="139"/>
      <c r="AK1341" s="173"/>
      <c r="AL1341" s="177"/>
      <c r="AM1341" s="178"/>
      <c r="AN1341" s="173"/>
      <c r="AO1341" s="173"/>
      <c r="AP1341" s="173"/>
      <c r="AQ1341" s="178"/>
      <c r="AR1341" s="173"/>
      <c r="AS1341" s="173"/>
      <c r="AT1341" s="140"/>
      <c r="AX1341" s="140"/>
      <c r="BB1341" s="173"/>
      <c r="BC1341" s="173"/>
    </row>
    <row r="1342" spans="2:55" s="134" customFormat="1" x14ac:dyDescent="0.2">
      <c r="B1342" s="145"/>
      <c r="D1342" s="145"/>
      <c r="Z1342" s="177"/>
      <c r="AA1342" s="178"/>
      <c r="AB1342" s="139"/>
      <c r="AC1342" s="173"/>
      <c r="AD1342" s="177"/>
      <c r="AE1342" s="177"/>
      <c r="AF1342" s="139"/>
      <c r="AG1342" s="139"/>
      <c r="AH1342" s="177"/>
      <c r="AI1342" s="178"/>
      <c r="AJ1342" s="139"/>
      <c r="AK1342" s="173"/>
      <c r="AL1342" s="177"/>
      <c r="AM1342" s="178"/>
      <c r="AN1342" s="173"/>
      <c r="AO1342" s="173"/>
      <c r="AP1342" s="173"/>
      <c r="AQ1342" s="178"/>
      <c r="AR1342" s="173"/>
      <c r="AS1342" s="173"/>
      <c r="AT1342" s="140"/>
      <c r="AX1342" s="140"/>
      <c r="BB1342" s="173"/>
      <c r="BC1342" s="173"/>
    </row>
    <row r="1343" spans="2:55" s="134" customFormat="1" x14ac:dyDescent="0.2">
      <c r="B1343" s="145"/>
      <c r="D1343" s="145"/>
      <c r="Z1343" s="177"/>
      <c r="AA1343" s="178"/>
      <c r="AB1343" s="139"/>
      <c r="AC1343" s="173"/>
      <c r="AD1343" s="177"/>
      <c r="AE1343" s="177"/>
      <c r="AF1343" s="139"/>
      <c r="AG1343" s="139"/>
      <c r="AH1343" s="177"/>
      <c r="AI1343" s="178"/>
      <c r="AJ1343" s="139"/>
      <c r="AK1343" s="173"/>
      <c r="AL1343" s="177"/>
      <c r="AM1343" s="178"/>
      <c r="AN1343" s="173"/>
      <c r="AO1343" s="173"/>
      <c r="AP1343" s="173"/>
      <c r="AQ1343" s="178"/>
      <c r="AR1343" s="173"/>
      <c r="AS1343" s="173"/>
      <c r="AT1343" s="140"/>
      <c r="AX1343" s="140"/>
      <c r="BB1343" s="173"/>
      <c r="BC1343" s="173"/>
    </row>
    <row r="1344" spans="2:55" s="134" customFormat="1" x14ac:dyDescent="0.2">
      <c r="B1344" s="145"/>
      <c r="D1344" s="145"/>
      <c r="Z1344" s="177"/>
      <c r="AA1344" s="178"/>
      <c r="AB1344" s="139"/>
      <c r="AC1344" s="173"/>
      <c r="AD1344" s="177"/>
      <c r="AE1344" s="177"/>
      <c r="AF1344" s="139"/>
      <c r="AG1344" s="139"/>
      <c r="AH1344" s="177"/>
      <c r="AI1344" s="178"/>
      <c r="AJ1344" s="139"/>
      <c r="AK1344" s="173"/>
      <c r="AL1344" s="177"/>
      <c r="AM1344" s="178"/>
      <c r="AN1344" s="173"/>
      <c r="AO1344" s="173"/>
      <c r="AP1344" s="173"/>
      <c r="AQ1344" s="178"/>
      <c r="AR1344" s="173"/>
      <c r="AS1344" s="173"/>
      <c r="AT1344" s="140"/>
      <c r="AX1344" s="140"/>
      <c r="BB1344" s="173"/>
      <c r="BC1344" s="173"/>
    </row>
    <row r="1345" spans="2:55" s="134" customFormat="1" x14ac:dyDescent="0.2">
      <c r="B1345" s="145"/>
      <c r="D1345" s="145"/>
      <c r="Z1345" s="177"/>
      <c r="AA1345" s="178"/>
      <c r="AB1345" s="139"/>
      <c r="AC1345" s="173"/>
      <c r="AD1345" s="177"/>
      <c r="AE1345" s="177"/>
      <c r="AF1345" s="139"/>
      <c r="AG1345" s="139"/>
      <c r="AH1345" s="177"/>
      <c r="AI1345" s="178"/>
      <c r="AJ1345" s="139"/>
      <c r="AK1345" s="173"/>
      <c r="AL1345" s="177"/>
      <c r="AM1345" s="178"/>
      <c r="AN1345" s="173"/>
      <c r="AO1345" s="173"/>
      <c r="AP1345" s="173"/>
      <c r="AQ1345" s="178"/>
      <c r="AR1345" s="173"/>
      <c r="AS1345" s="173"/>
      <c r="AT1345" s="140"/>
      <c r="AX1345" s="140"/>
      <c r="BB1345" s="173"/>
      <c r="BC1345" s="173"/>
    </row>
    <row r="1346" spans="2:55" s="134" customFormat="1" x14ac:dyDescent="0.2">
      <c r="B1346" s="145"/>
      <c r="D1346" s="145"/>
      <c r="Z1346" s="177"/>
      <c r="AA1346" s="178"/>
      <c r="AB1346" s="139"/>
      <c r="AC1346" s="173"/>
      <c r="AD1346" s="177"/>
      <c r="AE1346" s="177"/>
      <c r="AF1346" s="139"/>
      <c r="AG1346" s="139"/>
      <c r="AH1346" s="177"/>
      <c r="AI1346" s="178"/>
      <c r="AJ1346" s="139"/>
      <c r="AK1346" s="173"/>
      <c r="AL1346" s="177"/>
      <c r="AM1346" s="178"/>
      <c r="AN1346" s="173"/>
      <c r="AO1346" s="173"/>
      <c r="AP1346" s="173"/>
      <c r="AQ1346" s="178"/>
      <c r="AR1346" s="173"/>
      <c r="AS1346" s="173"/>
      <c r="AT1346" s="140"/>
      <c r="AX1346" s="140"/>
      <c r="BB1346" s="173"/>
      <c r="BC1346" s="173"/>
    </row>
    <row r="1347" spans="2:55" s="134" customFormat="1" x14ac:dyDescent="0.2">
      <c r="B1347" s="145"/>
      <c r="D1347" s="145"/>
      <c r="Z1347" s="177"/>
      <c r="AA1347" s="178"/>
      <c r="AB1347" s="139"/>
      <c r="AC1347" s="173"/>
      <c r="AD1347" s="177"/>
      <c r="AE1347" s="177"/>
      <c r="AF1347" s="139"/>
      <c r="AG1347" s="139"/>
      <c r="AH1347" s="177"/>
      <c r="AI1347" s="178"/>
      <c r="AJ1347" s="139"/>
      <c r="AK1347" s="173"/>
      <c r="AL1347" s="177"/>
      <c r="AM1347" s="178"/>
      <c r="AN1347" s="173"/>
      <c r="AO1347" s="173"/>
      <c r="AP1347" s="173"/>
      <c r="AQ1347" s="178"/>
      <c r="AR1347" s="173"/>
      <c r="AS1347" s="173"/>
      <c r="AT1347" s="140"/>
      <c r="AX1347" s="140"/>
      <c r="BB1347" s="173"/>
      <c r="BC1347" s="173"/>
    </row>
    <row r="1348" spans="2:55" s="134" customFormat="1" x14ac:dyDescent="0.2">
      <c r="B1348" s="145"/>
      <c r="D1348" s="145"/>
      <c r="Z1348" s="177"/>
      <c r="AA1348" s="178"/>
      <c r="AB1348" s="139"/>
      <c r="AC1348" s="173"/>
      <c r="AD1348" s="177"/>
      <c r="AE1348" s="177"/>
      <c r="AF1348" s="139"/>
      <c r="AG1348" s="139"/>
      <c r="AH1348" s="177"/>
      <c r="AI1348" s="178"/>
      <c r="AJ1348" s="139"/>
      <c r="AK1348" s="173"/>
      <c r="AL1348" s="177"/>
      <c r="AM1348" s="178"/>
      <c r="AN1348" s="173"/>
      <c r="AO1348" s="173"/>
      <c r="AP1348" s="173"/>
      <c r="AQ1348" s="178"/>
      <c r="AR1348" s="173"/>
      <c r="AS1348" s="173"/>
      <c r="AT1348" s="140"/>
      <c r="AX1348" s="140"/>
      <c r="BB1348" s="173"/>
      <c r="BC1348" s="173"/>
    </row>
    <row r="1349" spans="2:55" s="134" customFormat="1" x14ac:dyDescent="0.2">
      <c r="B1349" s="145"/>
      <c r="D1349" s="145"/>
      <c r="Z1349" s="177"/>
      <c r="AA1349" s="178"/>
      <c r="AB1349" s="139"/>
      <c r="AC1349" s="173"/>
      <c r="AD1349" s="177"/>
      <c r="AE1349" s="177"/>
      <c r="AF1349" s="139"/>
      <c r="AG1349" s="139"/>
      <c r="AH1349" s="177"/>
      <c r="AI1349" s="178"/>
      <c r="AJ1349" s="139"/>
      <c r="AK1349" s="173"/>
      <c r="AL1349" s="177"/>
      <c r="AM1349" s="178"/>
      <c r="AN1349" s="173"/>
      <c r="AO1349" s="173"/>
      <c r="AP1349" s="173"/>
      <c r="AQ1349" s="178"/>
      <c r="AR1349" s="173"/>
      <c r="AS1349" s="173"/>
      <c r="AT1349" s="140"/>
      <c r="AX1349" s="140"/>
      <c r="BB1349" s="173"/>
      <c r="BC1349" s="173"/>
    </row>
    <row r="1350" spans="2:55" s="134" customFormat="1" x14ac:dyDescent="0.2">
      <c r="B1350" s="145"/>
      <c r="D1350" s="145"/>
      <c r="Z1350" s="177"/>
      <c r="AA1350" s="178"/>
      <c r="AB1350" s="139"/>
      <c r="AC1350" s="173"/>
      <c r="AD1350" s="177"/>
      <c r="AE1350" s="177"/>
      <c r="AF1350" s="139"/>
      <c r="AG1350" s="139"/>
      <c r="AH1350" s="177"/>
      <c r="AI1350" s="178"/>
      <c r="AJ1350" s="139"/>
      <c r="AK1350" s="173"/>
      <c r="AL1350" s="177"/>
      <c r="AM1350" s="178"/>
      <c r="AN1350" s="173"/>
      <c r="AO1350" s="173"/>
      <c r="AP1350" s="173"/>
      <c r="AQ1350" s="178"/>
      <c r="AR1350" s="173"/>
      <c r="AS1350" s="173"/>
      <c r="AT1350" s="140"/>
      <c r="AX1350" s="140"/>
      <c r="BB1350" s="173"/>
      <c r="BC1350" s="173"/>
    </row>
    <row r="1351" spans="2:55" s="134" customFormat="1" x14ac:dyDescent="0.2">
      <c r="B1351" s="145"/>
      <c r="D1351" s="145"/>
      <c r="Z1351" s="177"/>
      <c r="AA1351" s="178"/>
      <c r="AB1351" s="139"/>
      <c r="AC1351" s="173"/>
      <c r="AD1351" s="177"/>
      <c r="AE1351" s="177"/>
      <c r="AF1351" s="139"/>
      <c r="AG1351" s="139"/>
      <c r="AH1351" s="177"/>
      <c r="AI1351" s="178"/>
      <c r="AJ1351" s="139"/>
      <c r="AK1351" s="173"/>
      <c r="AL1351" s="177"/>
      <c r="AM1351" s="178"/>
      <c r="AN1351" s="173"/>
      <c r="AO1351" s="173"/>
      <c r="AP1351" s="173"/>
      <c r="AQ1351" s="178"/>
      <c r="AR1351" s="173"/>
      <c r="AS1351" s="173"/>
      <c r="AT1351" s="140"/>
      <c r="AX1351" s="140"/>
      <c r="BB1351" s="173"/>
      <c r="BC1351" s="173"/>
    </row>
    <row r="1352" spans="2:55" s="134" customFormat="1" x14ac:dyDescent="0.2">
      <c r="B1352" s="145"/>
      <c r="D1352" s="145"/>
      <c r="Z1352" s="177"/>
      <c r="AA1352" s="178"/>
      <c r="AB1352" s="139"/>
      <c r="AC1352" s="173"/>
      <c r="AD1352" s="177"/>
      <c r="AE1352" s="177"/>
      <c r="AF1352" s="139"/>
      <c r="AG1352" s="139"/>
      <c r="AH1352" s="177"/>
      <c r="AI1352" s="178"/>
      <c r="AJ1352" s="139"/>
      <c r="AK1352" s="173"/>
      <c r="AL1352" s="177"/>
      <c r="AM1352" s="178"/>
      <c r="AN1352" s="173"/>
      <c r="AO1352" s="173"/>
      <c r="AP1352" s="173"/>
      <c r="AQ1352" s="178"/>
      <c r="AR1352" s="173"/>
      <c r="AS1352" s="173"/>
      <c r="AT1352" s="140"/>
      <c r="AX1352" s="140"/>
      <c r="BB1352" s="173"/>
      <c r="BC1352" s="173"/>
    </row>
    <row r="1353" spans="2:55" s="134" customFormat="1" x14ac:dyDescent="0.2">
      <c r="B1353" s="145"/>
      <c r="D1353" s="145"/>
      <c r="Z1353" s="177"/>
      <c r="AA1353" s="178"/>
      <c r="AB1353" s="139"/>
      <c r="AC1353" s="173"/>
      <c r="AD1353" s="177"/>
      <c r="AE1353" s="177"/>
      <c r="AF1353" s="139"/>
      <c r="AG1353" s="139"/>
      <c r="AH1353" s="177"/>
      <c r="AI1353" s="178"/>
      <c r="AJ1353" s="139"/>
      <c r="AK1353" s="173"/>
      <c r="AL1353" s="177"/>
      <c r="AM1353" s="178"/>
      <c r="AN1353" s="173"/>
      <c r="AO1353" s="173"/>
      <c r="AP1353" s="173"/>
      <c r="AQ1353" s="178"/>
      <c r="AR1353" s="173"/>
      <c r="AS1353" s="173"/>
      <c r="AT1353" s="140"/>
      <c r="AX1353" s="140"/>
      <c r="BB1353" s="173"/>
      <c r="BC1353" s="173"/>
    </row>
    <row r="1354" spans="2:55" s="134" customFormat="1" x14ac:dyDescent="0.2">
      <c r="B1354" s="145"/>
      <c r="D1354" s="145"/>
      <c r="Z1354" s="177"/>
      <c r="AA1354" s="178"/>
      <c r="AB1354" s="139"/>
      <c r="AC1354" s="173"/>
      <c r="AD1354" s="177"/>
      <c r="AE1354" s="177"/>
      <c r="AF1354" s="139"/>
      <c r="AG1354" s="139"/>
      <c r="AH1354" s="177"/>
      <c r="AI1354" s="178"/>
      <c r="AJ1354" s="139"/>
      <c r="AK1354" s="173"/>
      <c r="AL1354" s="177"/>
      <c r="AM1354" s="178"/>
      <c r="AN1354" s="173"/>
      <c r="AO1354" s="173"/>
      <c r="AP1354" s="173"/>
      <c r="AQ1354" s="178"/>
      <c r="AR1354" s="173"/>
      <c r="AS1354" s="173"/>
      <c r="AT1354" s="140"/>
      <c r="AX1354" s="140"/>
      <c r="BB1354" s="173"/>
      <c r="BC1354" s="173"/>
    </row>
    <row r="1355" spans="2:55" s="134" customFormat="1" x14ac:dyDescent="0.2">
      <c r="B1355" s="145"/>
      <c r="D1355" s="145"/>
      <c r="Z1355" s="177"/>
      <c r="AA1355" s="178"/>
      <c r="AB1355" s="139"/>
      <c r="AC1355" s="173"/>
      <c r="AD1355" s="177"/>
      <c r="AE1355" s="177"/>
      <c r="AF1355" s="139"/>
      <c r="AG1355" s="139"/>
      <c r="AH1355" s="177"/>
      <c r="AI1355" s="178"/>
      <c r="AJ1355" s="139"/>
      <c r="AK1355" s="173"/>
      <c r="AL1355" s="177"/>
      <c r="AM1355" s="178"/>
      <c r="AN1355" s="173"/>
      <c r="AO1355" s="173"/>
      <c r="AP1355" s="173"/>
      <c r="AQ1355" s="178"/>
      <c r="AR1355" s="173"/>
      <c r="AS1355" s="173"/>
      <c r="AT1355" s="140"/>
      <c r="AX1355" s="140"/>
      <c r="BB1355" s="173"/>
      <c r="BC1355" s="173"/>
    </row>
    <row r="1356" spans="2:55" s="134" customFormat="1" x14ac:dyDescent="0.2">
      <c r="B1356" s="145"/>
      <c r="D1356" s="145"/>
      <c r="Z1356" s="177"/>
      <c r="AA1356" s="178"/>
      <c r="AB1356" s="139"/>
      <c r="AC1356" s="173"/>
      <c r="AD1356" s="177"/>
      <c r="AE1356" s="177"/>
      <c r="AF1356" s="139"/>
      <c r="AG1356" s="139"/>
      <c r="AH1356" s="177"/>
      <c r="AI1356" s="178"/>
      <c r="AJ1356" s="139"/>
      <c r="AK1356" s="173"/>
      <c r="AL1356" s="177"/>
      <c r="AM1356" s="178"/>
      <c r="AN1356" s="173"/>
      <c r="AO1356" s="173"/>
      <c r="AP1356" s="173"/>
      <c r="AQ1356" s="178"/>
      <c r="AR1356" s="173"/>
      <c r="AS1356" s="173"/>
      <c r="AT1356" s="140"/>
      <c r="AX1356" s="140"/>
      <c r="BB1356" s="173"/>
      <c r="BC1356" s="173"/>
    </row>
    <row r="1357" spans="2:55" s="134" customFormat="1" x14ac:dyDescent="0.2">
      <c r="B1357" s="145"/>
      <c r="D1357" s="145"/>
      <c r="Z1357" s="177"/>
      <c r="AA1357" s="178"/>
      <c r="AB1357" s="139"/>
      <c r="AC1357" s="173"/>
      <c r="AD1357" s="177"/>
      <c r="AE1357" s="177"/>
      <c r="AF1357" s="139"/>
      <c r="AG1357" s="139"/>
      <c r="AH1357" s="177"/>
      <c r="AI1357" s="178"/>
      <c r="AJ1357" s="139"/>
      <c r="AK1357" s="173"/>
      <c r="AL1357" s="177"/>
      <c r="AM1357" s="178"/>
      <c r="AN1357" s="173"/>
      <c r="AO1357" s="173"/>
      <c r="AP1357" s="173"/>
      <c r="AQ1357" s="178"/>
      <c r="AR1357" s="173"/>
      <c r="AS1357" s="173"/>
      <c r="AT1357" s="140"/>
      <c r="AX1357" s="140"/>
      <c r="BB1357" s="173"/>
      <c r="BC1357" s="173"/>
    </row>
    <row r="1358" spans="2:55" s="134" customFormat="1" x14ac:dyDescent="0.2">
      <c r="B1358" s="145"/>
      <c r="D1358" s="145"/>
      <c r="Z1358" s="177"/>
      <c r="AA1358" s="178"/>
      <c r="AB1358" s="139"/>
      <c r="AC1358" s="173"/>
      <c r="AD1358" s="177"/>
      <c r="AE1358" s="177"/>
      <c r="AF1358" s="139"/>
      <c r="AG1358" s="139"/>
      <c r="AH1358" s="177"/>
      <c r="AI1358" s="178"/>
      <c r="AJ1358" s="139"/>
      <c r="AK1358" s="173"/>
      <c r="AL1358" s="177"/>
      <c r="AM1358" s="178"/>
      <c r="AN1358" s="173"/>
      <c r="AO1358" s="173"/>
      <c r="AP1358" s="173"/>
      <c r="AQ1358" s="178"/>
      <c r="AR1358" s="173"/>
      <c r="AS1358" s="173"/>
      <c r="AT1358" s="140"/>
      <c r="AX1358" s="140"/>
      <c r="BB1358" s="173"/>
      <c r="BC1358" s="173"/>
    </row>
    <row r="1359" spans="2:55" s="134" customFormat="1" x14ac:dyDescent="0.2">
      <c r="B1359" s="145"/>
      <c r="D1359" s="145"/>
      <c r="Z1359" s="177"/>
      <c r="AA1359" s="178"/>
      <c r="AB1359" s="139"/>
      <c r="AC1359" s="173"/>
      <c r="AD1359" s="177"/>
      <c r="AE1359" s="177"/>
      <c r="AF1359" s="139"/>
      <c r="AG1359" s="139"/>
      <c r="AH1359" s="177"/>
      <c r="AI1359" s="178"/>
      <c r="AJ1359" s="139"/>
      <c r="AK1359" s="173"/>
      <c r="AL1359" s="177"/>
      <c r="AM1359" s="178"/>
      <c r="AN1359" s="173"/>
      <c r="AO1359" s="173"/>
      <c r="AP1359" s="173"/>
      <c r="AQ1359" s="178"/>
      <c r="AR1359" s="173"/>
      <c r="AS1359" s="173"/>
      <c r="AT1359" s="140"/>
      <c r="AX1359" s="140"/>
      <c r="BB1359" s="173"/>
      <c r="BC1359" s="173"/>
    </row>
    <row r="1360" spans="2:55" s="134" customFormat="1" x14ac:dyDescent="0.2">
      <c r="B1360" s="145"/>
      <c r="D1360" s="145"/>
      <c r="Z1360" s="177"/>
      <c r="AA1360" s="178"/>
      <c r="AB1360" s="139"/>
      <c r="AC1360" s="173"/>
      <c r="AD1360" s="177"/>
      <c r="AE1360" s="177"/>
      <c r="AF1360" s="139"/>
      <c r="AG1360" s="139"/>
      <c r="AH1360" s="177"/>
      <c r="AI1360" s="178"/>
      <c r="AJ1360" s="139"/>
      <c r="AK1360" s="173"/>
      <c r="AL1360" s="177"/>
      <c r="AM1360" s="178"/>
      <c r="AN1360" s="173"/>
      <c r="AO1360" s="173"/>
      <c r="AP1360" s="173"/>
      <c r="AQ1360" s="178"/>
      <c r="AR1360" s="173"/>
      <c r="AS1360" s="173"/>
      <c r="AT1360" s="140"/>
      <c r="AX1360" s="140"/>
      <c r="BB1360" s="173"/>
      <c r="BC1360" s="173"/>
    </row>
    <row r="1361" spans="2:55" s="134" customFormat="1" x14ac:dyDescent="0.2">
      <c r="B1361" s="145"/>
      <c r="D1361" s="145"/>
      <c r="Z1361" s="177"/>
      <c r="AA1361" s="178"/>
      <c r="AB1361" s="139"/>
      <c r="AC1361" s="173"/>
      <c r="AD1361" s="177"/>
      <c r="AE1361" s="177"/>
      <c r="AF1361" s="139"/>
      <c r="AG1361" s="139"/>
      <c r="AH1361" s="177"/>
      <c r="AI1361" s="178"/>
      <c r="AJ1361" s="139"/>
      <c r="AK1361" s="173"/>
      <c r="AL1361" s="177"/>
      <c r="AM1361" s="178"/>
      <c r="AN1361" s="173"/>
      <c r="AO1361" s="173"/>
      <c r="AP1361" s="173"/>
      <c r="AQ1361" s="178"/>
      <c r="AR1361" s="173"/>
      <c r="AS1361" s="173"/>
      <c r="AT1361" s="140"/>
      <c r="AX1361" s="140"/>
      <c r="BB1361" s="173"/>
      <c r="BC1361" s="173"/>
    </row>
    <row r="1362" spans="2:55" s="134" customFormat="1" x14ac:dyDescent="0.2">
      <c r="B1362" s="145"/>
      <c r="D1362" s="145"/>
      <c r="Z1362" s="177"/>
      <c r="AA1362" s="178"/>
      <c r="AB1362" s="139"/>
      <c r="AC1362" s="173"/>
      <c r="AD1362" s="177"/>
      <c r="AE1362" s="177"/>
      <c r="AF1362" s="139"/>
      <c r="AG1362" s="139"/>
      <c r="AH1362" s="177"/>
      <c r="AI1362" s="178"/>
      <c r="AJ1362" s="139"/>
      <c r="AK1362" s="173"/>
      <c r="AL1362" s="177"/>
      <c r="AM1362" s="178"/>
      <c r="AN1362" s="173"/>
      <c r="AO1362" s="173"/>
      <c r="AP1362" s="173"/>
      <c r="AQ1362" s="178"/>
      <c r="AR1362" s="173"/>
      <c r="AS1362" s="173"/>
      <c r="AT1362" s="140"/>
      <c r="AX1362" s="140"/>
      <c r="BB1362" s="173"/>
      <c r="BC1362" s="173"/>
    </row>
    <row r="1363" spans="2:55" s="134" customFormat="1" x14ac:dyDescent="0.2">
      <c r="B1363" s="145"/>
      <c r="D1363" s="145"/>
      <c r="Z1363" s="177"/>
      <c r="AA1363" s="178"/>
      <c r="AB1363" s="139"/>
      <c r="AC1363" s="173"/>
      <c r="AD1363" s="177"/>
      <c r="AE1363" s="177"/>
      <c r="AF1363" s="139"/>
      <c r="AG1363" s="139"/>
      <c r="AH1363" s="177"/>
      <c r="AI1363" s="178"/>
      <c r="AJ1363" s="139"/>
      <c r="AK1363" s="173"/>
      <c r="AL1363" s="177"/>
      <c r="AM1363" s="178"/>
      <c r="AN1363" s="173"/>
      <c r="AO1363" s="173"/>
      <c r="AP1363" s="173"/>
      <c r="AQ1363" s="178"/>
      <c r="AR1363" s="173"/>
      <c r="AS1363" s="173"/>
      <c r="AT1363" s="140"/>
      <c r="AX1363" s="140"/>
      <c r="BB1363" s="173"/>
      <c r="BC1363" s="173"/>
    </row>
    <row r="1364" spans="2:55" s="134" customFormat="1" x14ac:dyDescent="0.2">
      <c r="B1364" s="145"/>
      <c r="D1364" s="145"/>
      <c r="Z1364" s="177"/>
      <c r="AA1364" s="178"/>
      <c r="AB1364" s="139"/>
      <c r="AC1364" s="173"/>
      <c r="AD1364" s="177"/>
      <c r="AE1364" s="177"/>
      <c r="AF1364" s="139"/>
      <c r="AG1364" s="139"/>
      <c r="AH1364" s="177"/>
      <c r="AI1364" s="178"/>
      <c r="AJ1364" s="139"/>
      <c r="AK1364" s="173"/>
      <c r="AL1364" s="177"/>
      <c r="AM1364" s="178"/>
      <c r="AN1364" s="173"/>
      <c r="AO1364" s="173"/>
      <c r="AP1364" s="173"/>
      <c r="AQ1364" s="178"/>
      <c r="AR1364" s="173"/>
      <c r="AS1364" s="173"/>
      <c r="AT1364" s="140"/>
      <c r="AX1364" s="140"/>
      <c r="BB1364" s="173"/>
      <c r="BC1364" s="173"/>
    </row>
    <row r="1365" spans="2:55" s="134" customFormat="1" x14ac:dyDescent="0.2">
      <c r="B1365" s="145"/>
      <c r="D1365" s="145"/>
      <c r="Z1365" s="177"/>
      <c r="AA1365" s="178"/>
      <c r="AB1365" s="139"/>
      <c r="AC1365" s="173"/>
      <c r="AD1365" s="177"/>
      <c r="AE1365" s="177"/>
      <c r="AF1365" s="139"/>
      <c r="AG1365" s="139"/>
      <c r="AH1365" s="177"/>
      <c r="AI1365" s="178"/>
      <c r="AJ1365" s="139"/>
      <c r="AK1365" s="173"/>
      <c r="AL1365" s="177"/>
      <c r="AM1365" s="178"/>
      <c r="AN1365" s="173"/>
      <c r="AO1365" s="173"/>
      <c r="AP1365" s="173"/>
      <c r="AQ1365" s="178"/>
      <c r="AR1365" s="173"/>
      <c r="AS1365" s="173"/>
      <c r="AT1365" s="140"/>
      <c r="AX1365" s="140"/>
      <c r="BB1365" s="173"/>
      <c r="BC1365" s="173"/>
    </row>
    <row r="1366" spans="2:55" s="134" customFormat="1" x14ac:dyDescent="0.2">
      <c r="B1366" s="145"/>
      <c r="D1366" s="145"/>
      <c r="Z1366" s="177"/>
      <c r="AA1366" s="178"/>
      <c r="AB1366" s="139"/>
      <c r="AC1366" s="173"/>
      <c r="AD1366" s="177"/>
      <c r="AE1366" s="177"/>
      <c r="AF1366" s="139"/>
      <c r="AG1366" s="139"/>
      <c r="AH1366" s="177"/>
      <c r="AI1366" s="178"/>
      <c r="AJ1366" s="139"/>
      <c r="AK1366" s="173"/>
      <c r="AL1366" s="177"/>
      <c r="AM1366" s="178"/>
      <c r="AN1366" s="173"/>
      <c r="AO1366" s="173"/>
      <c r="AP1366" s="173"/>
      <c r="AQ1366" s="178"/>
      <c r="AR1366" s="173"/>
      <c r="AS1366" s="173"/>
      <c r="AT1366" s="140"/>
      <c r="AX1366" s="140"/>
      <c r="BB1366" s="173"/>
      <c r="BC1366" s="173"/>
    </row>
    <row r="1367" spans="2:55" s="134" customFormat="1" x14ac:dyDescent="0.2">
      <c r="B1367" s="145"/>
      <c r="D1367" s="145"/>
      <c r="Z1367" s="177"/>
      <c r="AA1367" s="178"/>
      <c r="AB1367" s="139"/>
      <c r="AC1367" s="173"/>
      <c r="AD1367" s="177"/>
      <c r="AE1367" s="177"/>
      <c r="AF1367" s="139"/>
      <c r="AG1367" s="139"/>
      <c r="AH1367" s="177"/>
      <c r="AI1367" s="178"/>
      <c r="AJ1367" s="139"/>
      <c r="AK1367" s="173"/>
      <c r="AL1367" s="177"/>
      <c r="AM1367" s="178"/>
      <c r="AN1367" s="173"/>
      <c r="AO1367" s="173"/>
      <c r="AP1367" s="173"/>
      <c r="AQ1367" s="178"/>
      <c r="AR1367" s="173"/>
      <c r="AS1367" s="173"/>
      <c r="AT1367" s="140"/>
      <c r="AX1367" s="140"/>
      <c r="BB1367" s="173"/>
      <c r="BC1367" s="173"/>
    </row>
    <row r="1368" spans="2:55" s="134" customFormat="1" x14ac:dyDescent="0.2">
      <c r="B1368" s="145"/>
      <c r="D1368" s="145"/>
      <c r="Z1368" s="177"/>
      <c r="AA1368" s="178"/>
      <c r="AB1368" s="139"/>
      <c r="AC1368" s="173"/>
      <c r="AD1368" s="177"/>
      <c r="AE1368" s="177"/>
      <c r="AF1368" s="139"/>
      <c r="AG1368" s="139"/>
      <c r="AH1368" s="177"/>
      <c r="AI1368" s="178"/>
      <c r="AJ1368" s="139"/>
      <c r="AK1368" s="173"/>
      <c r="AL1368" s="177"/>
      <c r="AM1368" s="178"/>
      <c r="AN1368" s="173"/>
      <c r="AO1368" s="173"/>
      <c r="AP1368" s="173"/>
      <c r="AQ1368" s="178"/>
      <c r="AR1368" s="173"/>
      <c r="AS1368" s="173"/>
      <c r="AT1368" s="140"/>
      <c r="AX1368" s="140"/>
      <c r="BB1368" s="173"/>
      <c r="BC1368" s="173"/>
    </row>
    <row r="1369" spans="2:55" s="134" customFormat="1" x14ac:dyDescent="0.2">
      <c r="B1369" s="145"/>
      <c r="D1369" s="145"/>
      <c r="Z1369" s="177"/>
      <c r="AA1369" s="178"/>
      <c r="AB1369" s="139"/>
      <c r="AC1369" s="173"/>
      <c r="AD1369" s="177"/>
      <c r="AE1369" s="177"/>
      <c r="AF1369" s="139"/>
      <c r="AG1369" s="139"/>
      <c r="AH1369" s="177"/>
      <c r="AI1369" s="178"/>
      <c r="AJ1369" s="139"/>
      <c r="AK1369" s="173"/>
      <c r="AL1369" s="177"/>
      <c r="AM1369" s="178"/>
      <c r="AN1369" s="173"/>
      <c r="AO1369" s="173"/>
      <c r="AP1369" s="173"/>
      <c r="AQ1369" s="178"/>
      <c r="AR1369" s="173"/>
      <c r="AS1369" s="173"/>
      <c r="AT1369" s="140"/>
      <c r="AX1369" s="140"/>
      <c r="BB1369" s="173"/>
      <c r="BC1369" s="173"/>
    </row>
    <row r="1370" spans="2:55" s="134" customFormat="1" x14ac:dyDescent="0.2">
      <c r="B1370" s="145"/>
      <c r="D1370" s="145"/>
      <c r="Z1370" s="177"/>
      <c r="AA1370" s="178"/>
      <c r="AB1370" s="139"/>
      <c r="AC1370" s="173"/>
      <c r="AD1370" s="177"/>
      <c r="AE1370" s="177"/>
      <c r="AF1370" s="139"/>
      <c r="AG1370" s="139"/>
      <c r="AH1370" s="177"/>
      <c r="AI1370" s="178"/>
      <c r="AJ1370" s="139"/>
      <c r="AK1370" s="173"/>
      <c r="AL1370" s="177"/>
      <c r="AM1370" s="178"/>
      <c r="AN1370" s="173"/>
      <c r="AO1370" s="173"/>
      <c r="AP1370" s="173"/>
      <c r="AQ1370" s="178"/>
      <c r="AR1370" s="173"/>
      <c r="AS1370" s="173"/>
      <c r="AT1370" s="140"/>
      <c r="AX1370" s="140"/>
      <c r="BB1370" s="173"/>
      <c r="BC1370" s="173"/>
    </row>
    <row r="1371" spans="2:55" s="134" customFormat="1" x14ac:dyDescent="0.2">
      <c r="B1371" s="145"/>
      <c r="D1371" s="145"/>
      <c r="Z1371" s="177"/>
      <c r="AA1371" s="178"/>
      <c r="AB1371" s="139"/>
      <c r="AC1371" s="173"/>
      <c r="AD1371" s="177"/>
      <c r="AE1371" s="177"/>
      <c r="AF1371" s="139"/>
      <c r="AG1371" s="139"/>
      <c r="AH1371" s="177"/>
      <c r="AI1371" s="178"/>
      <c r="AJ1371" s="139"/>
      <c r="AK1371" s="173"/>
      <c r="AL1371" s="177"/>
      <c r="AM1371" s="178"/>
      <c r="AN1371" s="173"/>
      <c r="AO1371" s="173"/>
      <c r="AP1371" s="173"/>
      <c r="AQ1371" s="178"/>
      <c r="AR1371" s="173"/>
      <c r="AS1371" s="173"/>
      <c r="AT1371" s="140"/>
      <c r="AX1371" s="140"/>
      <c r="BB1371" s="173"/>
      <c r="BC1371" s="173"/>
    </row>
    <row r="1372" spans="2:55" s="134" customFormat="1" x14ac:dyDescent="0.2">
      <c r="B1372" s="145"/>
      <c r="D1372" s="145"/>
      <c r="Z1372" s="177"/>
      <c r="AA1372" s="178"/>
      <c r="AB1372" s="139"/>
      <c r="AC1372" s="173"/>
      <c r="AD1372" s="177"/>
      <c r="AE1372" s="177"/>
      <c r="AF1372" s="139"/>
      <c r="AG1372" s="139"/>
      <c r="AH1372" s="177"/>
      <c r="AI1372" s="178"/>
      <c r="AJ1372" s="139"/>
      <c r="AK1372" s="173"/>
      <c r="AL1372" s="177"/>
      <c r="AM1372" s="178"/>
      <c r="AN1372" s="173"/>
      <c r="AO1372" s="173"/>
      <c r="AP1372" s="173"/>
      <c r="AQ1372" s="178"/>
      <c r="AR1372" s="173"/>
      <c r="AS1372" s="173"/>
      <c r="AT1372" s="140"/>
      <c r="AX1372" s="140"/>
      <c r="BB1372" s="173"/>
      <c r="BC1372" s="173"/>
    </row>
    <row r="1373" spans="2:55" s="134" customFormat="1" x14ac:dyDescent="0.2">
      <c r="B1373" s="145"/>
      <c r="D1373" s="145"/>
      <c r="Z1373" s="177"/>
      <c r="AA1373" s="178"/>
      <c r="AB1373" s="139"/>
      <c r="AC1373" s="173"/>
      <c r="AD1373" s="177"/>
      <c r="AE1373" s="177"/>
      <c r="AF1373" s="139"/>
      <c r="AG1373" s="139"/>
      <c r="AH1373" s="177"/>
      <c r="AI1373" s="178"/>
      <c r="AJ1373" s="139"/>
      <c r="AK1373" s="173"/>
      <c r="AL1373" s="177"/>
      <c r="AM1373" s="178"/>
      <c r="AN1373" s="173"/>
      <c r="AO1373" s="173"/>
      <c r="AP1373" s="173"/>
      <c r="AQ1373" s="178"/>
      <c r="AR1373" s="173"/>
      <c r="AS1373" s="173"/>
      <c r="AT1373" s="140"/>
      <c r="AX1373" s="140"/>
      <c r="BB1373" s="173"/>
      <c r="BC1373" s="173"/>
    </row>
    <row r="1374" spans="2:55" s="134" customFormat="1" x14ac:dyDescent="0.2">
      <c r="B1374" s="145"/>
      <c r="D1374" s="145"/>
      <c r="Z1374" s="177"/>
      <c r="AA1374" s="178"/>
      <c r="AB1374" s="139"/>
      <c r="AC1374" s="173"/>
      <c r="AD1374" s="177"/>
      <c r="AE1374" s="177"/>
      <c r="AF1374" s="139"/>
      <c r="AG1374" s="139"/>
      <c r="AH1374" s="177"/>
      <c r="AI1374" s="178"/>
      <c r="AJ1374" s="139"/>
      <c r="AK1374" s="173"/>
      <c r="AL1374" s="177"/>
      <c r="AM1374" s="178"/>
      <c r="AN1374" s="173"/>
      <c r="AO1374" s="173"/>
      <c r="AP1374" s="173"/>
      <c r="AQ1374" s="178"/>
      <c r="AR1374" s="173"/>
      <c r="AS1374" s="173"/>
      <c r="AT1374" s="140"/>
      <c r="AX1374" s="140"/>
      <c r="BB1374" s="173"/>
      <c r="BC1374" s="173"/>
    </row>
    <row r="1375" spans="2:55" s="134" customFormat="1" x14ac:dyDescent="0.2">
      <c r="B1375" s="145"/>
      <c r="D1375" s="145"/>
      <c r="Z1375" s="177"/>
      <c r="AA1375" s="178"/>
      <c r="AB1375" s="139"/>
      <c r="AC1375" s="173"/>
      <c r="AD1375" s="177"/>
      <c r="AE1375" s="177"/>
      <c r="AF1375" s="139"/>
      <c r="AG1375" s="139"/>
      <c r="AH1375" s="177"/>
      <c r="AI1375" s="178"/>
      <c r="AJ1375" s="139"/>
      <c r="AK1375" s="173"/>
      <c r="AL1375" s="177"/>
      <c r="AM1375" s="178"/>
      <c r="AN1375" s="173"/>
      <c r="AO1375" s="173"/>
      <c r="AP1375" s="173"/>
      <c r="AQ1375" s="178"/>
      <c r="AR1375" s="173"/>
      <c r="AS1375" s="173"/>
      <c r="AT1375" s="140"/>
      <c r="AX1375" s="140"/>
      <c r="BB1375" s="173"/>
      <c r="BC1375" s="173"/>
    </row>
    <row r="1376" spans="2:55" s="134" customFormat="1" x14ac:dyDescent="0.2">
      <c r="B1376" s="145"/>
      <c r="D1376" s="145"/>
      <c r="Z1376" s="177"/>
      <c r="AA1376" s="178"/>
      <c r="AB1376" s="139"/>
      <c r="AC1376" s="173"/>
      <c r="AD1376" s="177"/>
      <c r="AE1376" s="177"/>
      <c r="AF1376" s="139"/>
      <c r="AG1376" s="139"/>
      <c r="AH1376" s="177"/>
      <c r="AI1376" s="178"/>
      <c r="AJ1376" s="139"/>
      <c r="AK1376" s="173"/>
      <c r="AL1376" s="177"/>
      <c r="AM1376" s="178"/>
      <c r="AN1376" s="173"/>
      <c r="AO1376" s="173"/>
      <c r="AP1376" s="173"/>
      <c r="AQ1376" s="178"/>
      <c r="AR1376" s="173"/>
      <c r="AS1376" s="173"/>
      <c r="AT1376" s="140"/>
      <c r="AX1376" s="140"/>
      <c r="BB1376" s="173"/>
      <c r="BC1376" s="173"/>
    </row>
    <row r="1377" spans="2:55" s="134" customFormat="1" x14ac:dyDescent="0.2">
      <c r="B1377" s="145"/>
      <c r="D1377" s="145"/>
      <c r="Z1377" s="177"/>
      <c r="AA1377" s="178"/>
      <c r="AB1377" s="139"/>
      <c r="AC1377" s="173"/>
      <c r="AD1377" s="177"/>
      <c r="AE1377" s="177"/>
      <c r="AF1377" s="139"/>
      <c r="AG1377" s="139"/>
      <c r="AH1377" s="177"/>
      <c r="AI1377" s="178"/>
      <c r="AJ1377" s="139"/>
      <c r="AK1377" s="173"/>
      <c r="AL1377" s="177"/>
      <c r="AM1377" s="178"/>
      <c r="AN1377" s="173"/>
      <c r="AO1377" s="173"/>
      <c r="AP1377" s="173"/>
      <c r="AQ1377" s="178"/>
      <c r="AR1377" s="173"/>
      <c r="AS1377" s="173"/>
      <c r="AT1377" s="140"/>
      <c r="AX1377" s="140"/>
      <c r="BB1377" s="173"/>
      <c r="BC1377" s="173"/>
    </row>
    <row r="1378" spans="2:55" s="134" customFormat="1" x14ac:dyDescent="0.2">
      <c r="B1378" s="145"/>
      <c r="D1378" s="145"/>
      <c r="Z1378" s="177"/>
      <c r="AA1378" s="178"/>
      <c r="AB1378" s="139"/>
      <c r="AC1378" s="173"/>
      <c r="AD1378" s="177"/>
      <c r="AE1378" s="177"/>
      <c r="AF1378" s="139"/>
      <c r="AG1378" s="139"/>
      <c r="AH1378" s="177"/>
      <c r="AI1378" s="178"/>
      <c r="AJ1378" s="139"/>
      <c r="AK1378" s="173"/>
      <c r="AL1378" s="177"/>
      <c r="AM1378" s="178"/>
      <c r="AN1378" s="173"/>
      <c r="AO1378" s="173"/>
      <c r="AP1378" s="173"/>
      <c r="AQ1378" s="178"/>
      <c r="AR1378" s="173"/>
      <c r="AS1378" s="173"/>
      <c r="AT1378" s="140"/>
      <c r="AX1378" s="140"/>
      <c r="BB1378" s="173"/>
      <c r="BC1378" s="173"/>
    </row>
    <row r="1379" spans="2:55" s="134" customFormat="1" x14ac:dyDescent="0.2">
      <c r="B1379" s="145"/>
      <c r="D1379" s="145"/>
      <c r="Z1379" s="177"/>
      <c r="AA1379" s="178"/>
      <c r="AB1379" s="139"/>
      <c r="AC1379" s="173"/>
      <c r="AD1379" s="177"/>
      <c r="AE1379" s="177"/>
      <c r="AF1379" s="139"/>
      <c r="AG1379" s="139"/>
      <c r="AH1379" s="177"/>
      <c r="AI1379" s="178"/>
      <c r="AJ1379" s="139"/>
      <c r="AK1379" s="173"/>
      <c r="AL1379" s="177"/>
      <c r="AM1379" s="178"/>
      <c r="AN1379" s="173"/>
      <c r="AO1379" s="173"/>
      <c r="AP1379" s="173"/>
      <c r="AQ1379" s="178"/>
      <c r="AR1379" s="173"/>
      <c r="AS1379" s="173"/>
      <c r="AT1379" s="140"/>
      <c r="AX1379" s="140"/>
      <c r="BB1379" s="173"/>
      <c r="BC1379" s="173"/>
    </row>
    <row r="1380" spans="2:55" s="134" customFormat="1" x14ac:dyDescent="0.2">
      <c r="B1380" s="145"/>
      <c r="D1380" s="145"/>
      <c r="Z1380" s="177"/>
      <c r="AA1380" s="178"/>
      <c r="AB1380" s="139"/>
      <c r="AC1380" s="173"/>
      <c r="AD1380" s="177"/>
      <c r="AE1380" s="177"/>
      <c r="AF1380" s="139"/>
      <c r="AG1380" s="139"/>
      <c r="AH1380" s="177"/>
      <c r="AI1380" s="178"/>
      <c r="AJ1380" s="139"/>
      <c r="AK1380" s="173"/>
      <c r="AL1380" s="177"/>
      <c r="AM1380" s="178"/>
      <c r="AN1380" s="173"/>
      <c r="AO1380" s="173"/>
      <c r="AP1380" s="173"/>
      <c r="AQ1380" s="178"/>
      <c r="AR1380" s="173"/>
      <c r="AS1380" s="173"/>
      <c r="AT1380" s="140"/>
      <c r="AX1380" s="140"/>
      <c r="BB1380" s="173"/>
      <c r="BC1380" s="173"/>
    </row>
    <row r="1381" spans="2:55" s="134" customFormat="1" x14ac:dyDescent="0.2">
      <c r="B1381" s="145"/>
      <c r="D1381" s="145"/>
      <c r="Z1381" s="177"/>
      <c r="AA1381" s="178"/>
      <c r="AB1381" s="139"/>
      <c r="AC1381" s="173"/>
      <c r="AD1381" s="177"/>
      <c r="AE1381" s="177"/>
      <c r="AF1381" s="139"/>
      <c r="AG1381" s="139"/>
      <c r="AH1381" s="177"/>
      <c r="AI1381" s="178"/>
      <c r="AJ1381" s="139"/>
      <c r="AK1381" s="173"/>
      <c r="AL1381" s="177"/>
      <c r="AM1381" s="178"/>
      <c r="AN1381" s="173"/>
      <c r="AO1381" s="173"/>
      <c r="AP1381" s="173"/>
      <c r="AQ1381" s="178"/>
      <c r="AR1381" s="173"/>
      <c r="AS1381" s="173"/>
      <c r="AT1381" s="140"/>
      <c r="AX1381" s="140"/>
      <c r="BB1381" s="173"/>
      <c r="BC1381" s="173"/>
    </row>
    <row r="1382" spans="2:55" s="134" customFormat="1" x14ac:dyDescent="0.2">
      <c r="B1382" s="145"/>
      <c r="D1382" s="145"/>
      <c r="Z1382" s="177"/>
      <c r="AA1382" s="178"/>
      <c r="AB1382" s="139"/>
      <c r="AC1382" s="173"/>
      <c r="AD1382" s="177"/>
      <c r="AE1382" s="177"/>
      <c r="AF1382" s="139"/>
      <c r="AG1382" s="139"/>
      <c r="AH1382" s="177"/>
      <c r="AI1382" s="178"/>
      <c r="AJ1382" s="139"/>
      <c r="AK1382" s="173"/>
      <c r="AL1382" s="177"/>
      <c r="AM1382" s="178"/>
      <c r="AN1382" s="173"/>
      <c r="AO1382" s="173"/>
      <c r="AP1382" s="173"/>
      <c r="AQ1382" s="178"/>
      <c r="AR1382" s="173"/>
      <c r="AS1382" s="173"/>
      <c r="AT1382" s="140"/>
      <c r="AX1382" s="140"/>
      <c r="BB1382" s="173"/>
      <c r="BC1382" s="173"/>
    </row>
    <row r="1383" spans="2:55" s="134" customFormat="1" x14ac:dyDescent="0.2">
      <c r="B1383" s="145"/>
      <c r="D1383" s="145"/>
      <c r="Z1383" s="177"/>
      <c r="AA1383" s="178"/>
      <c r="AB1383" s="139"/>
      <c r="AC1383" s="173"/>
      <c r="AD1383" s="177"/>
      <c r="AE1383" s="177"/>
      <c r="AF1383" s="139"/>
      <c r="AG1383" s="139"/>
      <c r="AH1383" s="177"/>
      <c r="AI1383" s="178"/>
      <c r="AJ1383" s="139"/>
      <c r="AK1383" s="173"/>
      <c r="AL1383" s="177"/>
      <c r="AM1383" s="178"/>
      <c r="AN1383" s="173"/>
      <c r="AO1383" s="173"/>
      <c r="AP1383" s="173"/>
      <c r="AQ1383" s="178"/>
      <c r="AR1383" s="173"/>
      <c r="AS1383" s="173"/>
      <c r="AT1383" s="140"/>
      <c r="AX1383" s="140"/>
      <c r="BB1383" s="173"/>
      <c r="BC1383" s="173"/>
    </row>
    <row r="1384" spans="2:55" s="134" customFormat="1" x14ac:dyDescent="0.2">
      <c r="B1384" s="145"/>
      <c r="D1384" s="145"/>
      <c r="Z1384" s="177"/>
      <c r="AA1384" s="178"/>
      <c r="AB1384" s="139"/>
      <c r="AC1384" s="173"/>
      <c r="AD1384" s="177"/>
      <c r="AE1384" s="177"/>
      <c r="AF1384" s="139"/>
      <c r="AG1384" s="139"/>
      <c r="AH1384" s="177"/>
      <c r="AI1384" s="178"/>
      <c r="AJ1384" s="139"/>
      <c r="AK1384" s="173"/>
      <c r="AL1384" s="177"/>
      <c r="AM1384" s="178"/>
      <c r="AN1384" s="173"/>
      <c r="AO1384" s="173"/>
      <c r="AP1384" s="173"/>
      <c r="AQ1384" s="178"/>
      <c r="AR1384" s="173"/>
      <c r="AS1384" s="173"/>
      <c r="AT1384" s="140"/>
      <c r="AX1384" s="140"/>
      <c r="BB1384" s="173"/>
      <c r="BC1384" s="173"/>
    </row>
    <row r="1385" spans="2:55" s="134" customFormat="1" x14ac:dyDescent="0.2">
      <c r="B1385" s="145"/>
      <c r="D1385" s="145"/>
      <c r="Z1385" s="177"/>
      <c r="AA1385" s="178"/>
      <c r="AB1385" s="139"/>
      <c r="AC1385" s="173"/>
      <c r="AD1385" s="177"/>
      <c r="AE1385" s="177"/>
      <c r="AF1385" s="139"/>
      <c r="AG1385" s="139"/>
      <c r="AH1385" s="177"/>
      <c r="AI1385" s="178"/>
      <c r="AJ1385" s="139"/>
      <c r="AK1385" s="173"/>
      <c r="AL1385" s="177"/>
      <c r="AM1385" s="178"/>
      <c r="AN1385" s="173"/>
      <c r="AO1385" s="173"/>
      <c r="AP1385" s="173"/>
      <c r="AQ1385" s="178"/>
      <c r="AR1385" s="173"/>
      <c r="AS1385" s="173"/>
      <c r="AT1385" s="140"/>
      <c r="AX1385" s="140"/>
      <c r="BB1385" s="173"/>
      <c r="BC1385" s="173"/>
    </row>
    <row r="1386" spans="2:55" s="134" customFormat="1" x14ac:dyDescent="0.2">
      <c r="B1386" s="145"/>
      <c r="D1386" s="145"/>
      <c r="Z1386" s="177"/>
      <c r="AA1386" s="178"/>
      <c r="AB1386" s="139"/>
      <c r="AC1386" s="173"/>
      <c r="AD1386" s="177"/>
      <c r="AE1386" s="177"/>
      <c r="AF1386" s="139"/>
      <c r="AG1386" s="139"/>
      <c r="AH1386" s="177"/>
      <c r="AI1386" s="178"/>
      <c r="AJ1386" s="139"/>
      <c r="AK1386" s="173"/>
      <c r="AL1386" s="177"/>
      <c r="AM1386" s="178"/>
      <c r="AN1386" s="173"/>
      <c r="AO1386" s="173"/>
      <c r="AP1386" s="173"/>
      <c r="AQ1386" s="178"/>
      <c r="AR1386" s="173"/>
      <c r="AS1386" s="173"/>
      <c r="AT1386" s="140"/>
      <c r="AX1386" s="140"/>
      <c r="BB1386" s="173"/>
      <c r="BC1386" s="173"/>
    </row>
    <row r="1387" spans="2:55" s="134" customFormat="1" x14ac:dyDescent="0.2">
      <c r="B1387" s="145"/>
      <c r="D1387" s="145"/>
      <c r="Z1387" s="177"/>
      <c r="AA1387" s="178"/>
      <c r="AB1387" s="139"/>
      <c r="AC1387" s="173"/>
      <c r="AD1387" s="177"/>
      <c r="AE1387" s="177"/>
      <c r="AF1387" s="139"/>
      <c r="AG1387" s="139"/>
      <c r="AH1387" s="177"/>
      <c r="AI1387" s="178"/>
      <c r="AJ1387" s="139"/>
      <c r="AK1387" s="173"/>
      <c r="AL1387" s="177"/>
      <c r="AM1387" s="178"/>
      <c r="AN1387" s="173"/>
      <c r="AO1387" s="173"/>
      <c r="AP1387" s="173"/>
      <c r="AQ1387" s="178"/>
      <c r="AR1387" s="173"/>
      <c r="AS1387" s="173"/>
      <c r="AT1387" s="140"/>
      <c r="AX1387" s="140"/>
      <c r="BB1387" s="173"/>
      <c r="BC1387" s="173"/>
    </row>
    <row r="1388" spans="2:55" s="134" customFormat="1" x14ac:dyDescent="0.2">
      <c r="B1388" s="145"/>
      <c r="D1388" s="145"/>
      <c r="Z1388" s="177"/>
      <c r="AA1388" s="178"/>
      <c r="AB1388" s="139"/>
      <c r="AC1388" s="173"/>
      <c r="AD1388" s="177"/>
      <c r="AE1388" s="177"/>
      <c r="AF1388" s="139"/>
      <c r="AG1388" s="139"/>
      <c r="AH1388" s="177"/>
      <c r="AI1388" s="178"/>
      <c r="AJ1388" s="139"/>
      <c r="AK1388" s="173"/>
      <c r="AL1388" s="177"/>
      <c r="AM1388" s="178"/>
      <c r="AN1388" s="173"/>
      <c r="AO1388" s="173"/>
      <c r="AP1388" s="173"/>
      <c r="AQ1388" s="178"/>
      <c r="AR1388" s="173"/>
      <c r="AS1388" s="173"/>
      <c r="AT1388" s="140"/>
      <c r="AX1388" s="140"/>
      <c r="BB1388" s="173"/>
      <c r="BC1388" s="173"/>
    </row>
    <row r="1389" spans="2:55" s="134" customFormat="1" x14ac:dyDescent="0.2">
      <c r="B1389" s="145"/>
      <c r="D1389" s="145"/>
      <c r="Z1389" s="177"/>
      <c r="AA1389" s="178"/>
      <c r="AB1389" s="139"/>
      <c r="AC1389" s="173"/>
      <c r="AD1389" s="177"/>
      <c r="AE1389" s="177"/>
      <c r="AF1389" s="139"/>
      <c r="AG1389" s="139"/>
      <c r="AH1389" s="177"/>
      <c r="AI1389" s="178"/>
      <c r="AJ1389" s="139"/>
      <c r="AK1389" s="173"/>
      <c r="AL1389" s="177"/>
      <c r="AM1389" s="178"/>
      <c r="AN1389" s="173"/>
      <c r="AO1389" s="173"/>
      <c r="AP1389" s="173"/>
      <c r="AQ1389" s="178"/>
      <c r="AR1389" s="173"/>
      <c r="AS1389" s="173"/>
      <c r="AT1389" s="140"/>
      <c r="AX1389" s="140"/>
      <c r="BB1389" s="173"/>
      <c r="BC1389" s="173"/>
    </row>
    <row r="1390" spans="2:55" s="134" customFormat="1" x14ac:dyDescent="0.2">
      <c r="B1390" s="145"/>
      <c r="D1390" s="145"/>
      <c r="Z1390" s="177"/>
      <c r="AA1390" s="178"/>
      <c r="AB1390" s="139"/>
      <c r="AC1390" s="173"/>
      <c r="AD1390" s="177"/>
      <c r="AE1390" s="177"/>
      <c r="AF1390" s="139"/>
      <c r="AG1390" s="139"/>
      <c r="AH1390" s="177"/>
      <c r="AI1390" s="178"/>
      <c r="AJ1390" s="139"/>
      <c r="AK1390" s="173"/>
      <c r="AL1390" s="177"/>
      <c r="AM1390" s="178"/>
      <c r="AN1390" s="173"/>
      <c r="AO1390" s="173"/>
      <c r="AP1390" s="173"/>
      <c r="AQ1390" s="178"/>
      <c r="AR1390" s="173"/>
      <c r="AS1390" s="173"/>
      <c r="AT1390" s="140"/>
      <c r="AX1390" s="140"/>
      <c r="BB1390" s="173"/>
      <c r="BC1390" s="173"/>
    </row>
    <row r="1391" spans="2:55" s="134" customFormat="1" x14ac:dyDescent="0.2">
      <c r="B1391" s="145"/>
      <c r="D1391" s="145"/>
      <c r="Z1391" s="177"/>
      <c r="AA1391" s="178"/>
      <c r="AB1391" s="139"/>
      <c r="AC1391" s="173"/>
      <c r="AD1391" s="177"/>
      <c r="AE1391" s="177"/>
      <c r="AF1391" s="139"/>
      <c r="AG1391" s="139"/>
      <c r="AH1391" s="177"/>
      <c r="AI1391" s="178"/>
      <c r="AJ1391" s="139"/>
      <c r="AK1391" s="173"/>
      <c r="AL1391" s="177"/>
      <c r="AM1391" s="178"/>
      <c r="AN1391" s="173"/>
      <c r="AO1391" s="173"/>
      <c r="AP1391" s="173"/>
      <c r="AQ1391" s="178"/>
      <c r="AR1391" s="173"/>
      <c r="AS1391" s="173"/>
      <c r="AT1391" s="140"/>
      <c r="AX1391" s="140"/>
      <c r="BB1391" s="173"/>
      <c r="BC1391" s="173"/>
    </row>
    <row r="1392" spans="2:55" s="134" customFormat="1" x14ac:dyDescent="0.2">
      <c r="B1392" s="145"/>
      <c r="D1392" s="145"/>
      <c r="Z1392" s="177"/>
      <c r="AA1392" s="178"/>
      <c r="AB1392" s="139"/>
      <c r="AC1392" s="173"/>
      <c r="AD1392" s="177"/>
      <c r="AE1392" s="177"/>
      <c r="AF1392" s="139"/>
      <c r="AG1392" s="139"/>
      <c r="AH1392" s="177"/>
      <c r="AI1392" s="178"/>
      <c r="AJ1392" s="139"/>
      <c r="AK1392" s="173"/>
      <c r="AL1392" s="177"/>
      <c r="AM1392" s="178"/>
      <c r="AN1392" s="173"/>
      <c r="AO1392" s="173"/>
      <c r="AP1392" s="173"/>
      <c r="AQ1392" s="178"/>
      <c r="AR1392" s="173"/>
      <c r="AS1392" s="173"/>
      <c r="AT1392" s="140"/>
      <c r="AX1392" s="140"/>
      <c r="BB1392" s="173"/>
      <c r="BC1392" s="173"/>
    </row>
    <row r="1393" spans="2:55" s="134" customFormat="1" x14ac:dyDescent="0.2">
      <c r="B1393" s="145"/>
      <c r="D1393" s="145"/>
      <c r="Z1393" s="177"/>
      <c r="AA1393" s="178"/>
      <c r="AB1393" s="139"/>
      <c r="AC1393" s="173"/>
      <c r="AD1393" s="177"/>
      <c r="AE1393" s="177"/>
      <c r="AF1393" s="139"/>
      <c r="AG1393" s="139"/>
      <c r="AH1393" s="177"/>
      <c r="AI1393" s="178"/>
      <c r="AJ1393" s="139"/>
      <c r="AK1393" s="173"/>
      <c r="AL1393" s="177"/>
      <c r="AM1393" s="178"/>
      <c r="AN1393" s="173"/>
      <c r="AO1393" s="173"/>
      <c r="AP1393" s="173"/>
      <c r="AQ1393" s="178"/>
      <c r="AR1393" s="173"/>
      <c r="AS1393" s="173"/>
      <c r="AT1393" s="140"/>
      <c r="AX1393" s="140"/>
      <c r="BB1393" s="173"/>
      <c r="BC1393" s="173"/>
    </row>
    <row r="1394" spans="2:55" s="134" customFormat="1" x14ac:dyDescent="0.2">
      <c r="B1394" s="145"/>
      <c r="D1394" s="145"/>
      <c r="Z1394" s="177"/>
      <c r="AA1394" s="178"/>
      <c r="AB1394" s="139"/>
      <c r="AC1394" s="173"/>
      <c r="AD1394" s="177"/>
      <c r="AE1394" s="177"/>
      <c r="AF1394" s="139"/>
      <c r="AG1394" s="139"/>
      <c r="AH1394" s="177"/>
      <c r="AI1394" s="178"/>
      <c r="AJ1394" s="139"/>
      <c r="AK1394" s="173"/>
      <c r="AL1394" s="177"/>
      <c r="AM1394" s="178"/>
      <c r="AN1394" s="173"/>
      <c r="AO1394" s="173"/>
      <c r="AP1394" s="173"/>
      <c r="AQ1394" s="178"/>
      <c r="AR1394" s="173"/>
      <c r="AS1394" s="173"/>
      <c r="AT1394" s="140"/>
      <c r="AX1394" s="140"/>
      <c r="BB1394" s="173"/>
      <c r="BC1394" s="173"/>
    </row>
    <row r="1395" spans="2:55" s="134" customFormat="1" x14ac:dyDescent="0.2">
      <c r="B1395" s="145"/>
      <c r="D1395" s="145"/>
      <c r="Z1395" s="177"/>
      <c r="AA1395" s="178"/>
      <c r="AB1395" s="139"/>
      <c r="AC1395" s="173"/>
      <c r="AD1395" s="177"/>
      <c r="AE1395" s="177"/>
      <c r="AF1395" s="139"/>
      <c r="AG1395" s="139"/>
      <c r="AH1395" s="177"/>
      <c r="AI1395" s="178"/>
      <c r="AJ1395" s="139"/>
      <c r="AK1395" s="173"/>
      <c r="AL1395" s="177"/>
      <c r="AM1395" s="178"/>
      <c r="AN1395" s="173"/>
      <c r="AO1395" s="173"/>
      <c r="AP1395" s="173"/>
      <c r="AQ1395" s="178"/>
      <c r="AR1395" s="173"/>
      <c r="AS1395" s="173"/>
      <c r="AT1395" s="140"/>
      <c r="AX1395" s="140"/>
      <c r="BB1395" s="173"/>
      <c r="BC1395" s="173"/>
    </row>
    <row r="1396" spans="2:55" s="134" customFormat="1" x14ac:dyDescent="0.2">
      <c r="B1396" s="145"/>
      <c r="D1396" s="145"/>
      <c r="Z1396" s="177"/>
      <c r="AA1396" s="178"/>
      <c r="AB1396" s="139"/>
      <c r="AC1396" s="173"/>
      <c r="AD1396" s="177"/>
      <c r="AE1396" s="177"/>
      <c r="AF1396" s="139"/>
      <c r="AG1396" s="139"/>
      <c r="AH1396" s="177"/>
      <c r="AI1396" s="178"/>
      <c r="AJ1396" s="139"/>
      <c r="AK1396" s="173"/>
      <c r="AL1396" s="177"/>
      <c r="AM1396" s="178"/>
      <c r="AN1396" s="173"/>
      <c r="AO1396" s="173"/>
      <c r="AP1396" s="173"/>
      <c r="AQ1396" s="178"/>
      <c r="AR1396" s="173"/>
      <c r="AS1396" s="173"/>
      <c r="AT1396" s="140"/>
      <c r="AX1396" s="140"/>
      <c r="BB1396" s="173"/>
      <c r="BC1396" s="173"/>
    </row>
    <row r="1397" spans="2:55" s="134" customFormat="1" x14ac:dyDescent="0.2">
      <c r="B1397" s="145"/>
      <c r="D1397" s="145"/>
      <c r="Z1397" s="177"/>
      <c r="AA1397" s="178"/>
      <c r="AB1397" s="139"/>
      <c r="AC1397" s="173"/>
      <c r="AD1397" s="177"/>
      <c r="AE1397" s="177"/>
      <c r="AF1397" s="139"/>
      <c r="AG1397" s="139"/>
      <c r="AH1397" s="177"/>
      <c r="AI1397" s="178"/>
      <c r="AJ1397" s="139"/>
      <c r="AK1397" s="173"/>
      <c r="AL1397" s="177"/>
      <c r="AM1397" s="178"/>
      <c r="AN1397" s="173"/>
      <c r="AO1397" s="173"/>
      <c r="AP1397" s="173"/>
      <c r="AQ1397" s="178"/>
      <c r="AR1397" s="173"/>
      <c r="AS1397" s="173"/>
      <c r="AT1397" s="140"/>
      <c r="AX1397" s="140"/>
      <c r="BB1397" s="173"/>
      <c r="BC1397" s="173"/>
    </row>
    <row r="1398" spans="2:55" s="134" customFormat="1" x14ac:dyDescent="0.2">
      <c r="B1398" s="145"/>
      <c r="D1398" s="145"/>
      <c r="Z1398" s="177"/>
      <c r="AA1398" s="178"/>
      <c r="AB1398" s="139"/>
      <c r="AC1398" s="173"/>
      <c r="AD1398" s="177"/>
      <c r="AE1398" s="177"/>
      <c r="AF1398" s="139"/>
      <c r="AG1398" s="139"/>
      <c r="AH1398" s="177"/>
      <c r="AI1398" s="178"/>
      <c r="AJ1398" s="139"/>
      <c r="AK1398" s="173"/>
      <c r="AL1398" s="177"/>
      <c r="AM1398" s="178"/>
      <c r="AN1398" s="173"/>
      <c r="AO1398" s="173"/>
      <c r="AP1398" s="173"/>
      <c r="AQ1398" s="178"/>
      <c r="AR1398" s="173"/>
      <c r="AS1398" s="173"/>
      <c r="AT1398" s="140"/>
      <c r="AX1398" s="140"/>
      <c r="BB1398" s="173"/>
      <c r="BC1398" s="173"/>
    </row>
    <row r="1399" spans="2:55" s="134" customFormat="1" x14ac:dyDescent="0.2">
      <c r="B1399" s="145"/>
      <c r="D1399" s="145"/>
      <c r="Z1399" s="177"/>
      <c r="AA1399" s="178"/>
      <c r="AB1399" s="139"/>
      <c r="AC1399" s="173"/>
      <c r="AD1399" s="177"/>
      <c r="AE1399" s="177"/>
      <c r="AF1399" s="139"/>
      <c r="AG1399" s="139"/>
      <c r="AH1399" s="177"/>
      <c r="AI1399" s="178"/>
      <c r="AJ1399" s="139"/>
      <c r="AK1399" s="173"/>
      <c r="AL1399" s="177"/>
      <c r="AM1399" s="178"/>
      <c r="AN1399" s="173"/>
      <c r="AO1399" s="173"/>
      <c r="AP1399" s="173"/>
      <c r="AQ1399" s="178"/>
      <c r="AR1399" s="173"/>
      <c r="AS1399" s="173"/>
      <c r="AT1399" s="140"/>
      <c r="AX1399" s="140"/>
      <c r="BB1399" s="173"/>
      <c r="BC1399" s="173"/>
    </row>
    <row r="1400" spans="2:55" s="134" customFormat="1" x14ac:dyDescent="0.2">
      <c r="B1400" s="145"/>
      <c r="D1400" s="145"/>
      <c r="Z1400" s="177"/>
      <c r="AA1400" s="178"/>
      <c r="AB1400" s="139"/>
      <c r="AC1400" s="173"/>
      <c r="AD1400" s="177"/>
      <c r="AE1400" s="177"/>
      <c r="AF1400" s="139"/>
      <c r="AG1400" s="139"/>
      <c r="AH1400" s="177"/>
      <c r="AI1400" s="178"/>
      <c r="AJ1400" s="139"/>
      <c r="AK1400" s="173"/>
      <c r="AL1400" s="177"/>
      <c r="AM1400" s="178"/>
      <c r="AN1400" s="173"/>
      <c r="AO1400" s="173"/>
      <c r="AP1400" s="173"/>
      <c r="AQ1400" s="178"/>
      <c r="AR1400" s="173"/>
      <c r="AS1400" s="173"/>
      <c r="AT1400" s="140"/>
      <c r="AX1400" s="140"/>
      <c r="BB1400" s="173"/>
      <c r="BC1400" s="173"/>
    </row>
    <row r="1401" spans="2:55" s="134" customFormat="1" x14ac:dyDescent="0.2">
      <c r="B1401" s="145"/>
      <c r="D1401" s="145"/>
      <c r="Z1401" s="177"/>
      <c r="AA1401" s="178"/>
      <c r="AB1401" s="139"/>
      <c r="AC1401" s="173"/>
      <c r="AD1401" s="177"/>
      <c r="AE1401" s="177"/>
      <c r="AF1401" s="139"/>
      <c r="AG1401" s="139"/>
      <c r="AH1401" s="177"/>
      <c r="AI1401" s="178"/>
      <c r="AJ1401" s="139"/>
      <c r="AK1401" s="173"/>
      <c r="AL1401" s="177"/>
      <c r="AM1401" s="178"/>
      <c r="AN1401" s="173"/>
      <c r="AO1401" s="173"/>
      <c r="AP1401" s="173"/>
      <c r="AQ1401" s="178"/>
      <c r="AR1401" s="173"/>
      <c r="AS1401" s="173"/>
      <c r="AT1401" s="140"/>
      <c r="AX1401" s="140"/>
      <c r="BB1401" s="173"/>
      <c r="BC1401" s="173"/>
    </row>
    <row r="1402" spans="2:55" s="134" customFormat="1" x14ac:dyDescent="0.2">
      <c r="B1402" s="145"/>
      <c r="D1402" s="145"/>
      <c r="Z1402" s="177"/>
      <c r="AA1402" s="178"/>
      <c r="AB1402" s="139"/>
      <c r="AC1402" s="173"/>
      <c r="AD1402" s="177"/>
      <c r="AE1402" s="177"/>
      <c r="AF1402" s="139"/>
      <c r="AG1402" s="139"/>
      <c r="AH1402" s="177"/>
      <c r="AI1402" s="178"/>
      <c r="AJ1402" s="139"/>
      <c r="AK1402" s="173"/>
      <c r="AL1402" s="177"/>
      <c r="AM1402" s="178"/>
      <c r="AN1402" s="173"/>
      <c r="AO1402" s="173"/>
      <c r="AP1402" s="173"/>
      <c r="AQ1402" s="178"/>
      <c r="AR1402" s="173"/>
      <c r="AS1402" s="173"/>
      <c r="AT1402" s="140"/>
      <c r="AX1402" s="140"/>
      <c r="BB1402" s="173"/>
      <c r="BC1402" s="173"/>
    </row>
    <row r="1403" spans="2:55" s="134" customFormat="1" x14ac:dyDescent="0.2">
      <c r="B1403" s="145"/>
      <c r="D1403" s="145"/>
      <c r="Z1403" s="177"/>
      <c r="AA1403" s="178"/>
      <c r="AB1403" s="139"/>
      <c r="AC1403" s="173"/>
      <c r="AD1403" s="177"/>
      <c r="AE1403" s="177"/>
      <c r="AF1403" s="139"/>
      <c r="AG1403" s="139"/>
      <c r="AH1403" s="177"/>
      <c r="AI1403" s="178"/>
      <c r="AJ1403" s="139"/>
      <c r="AK1403" s="173"/>
      <c r="AL1403" s="177"/>
      <c r="AM1403" s="178"/>
      <c r="AN1403" s="173"/>
      <c r="AO1403" s="173"/>
      <c r="AP1403" s="173"/>
      <c r="AQ1403" s="178"/>
      <c r="AR1403" s="173"/>
      <c r="AS1403" s="173"/>
      <c r="AT1403" s="140"/>
      <c r="AX1403" s="140"/>
      <c r="BB1403" s="173"/>
      <c r="BC1403" s="173"/>
    </row>
    <row r="1404" spans="2:55" s="134" customFormat="1" x14ac:dyDescent="0.2">
      <c r="B1404" s="145"/>
      <c r="D1404" s="145"/>
      <c r="Z1404" s="177"/>
      <c r="AA1404" s="178"/>
      <c r="AB1404" s="139"/>
      <c r="AC1404" s="173"/>
      <c r="AD1404" s="177"/>
      <c r="AE1404" s="177"/>
      <c r="AF1404" s="139"/>
      <c r="AG1404" s="139"/>
      <c r="AH1404" s="177"/>
      <c r="AI1404" s="178"/>
      <c r="AJ1404" s="139"/>
      <c r="AK1404" s="173"/>
      <c r="AL1404" s="177"/>
      <c r="AM1404" s="178"/>
      <c r="AN1404" s="173"/>
      <c r="AO1404" s="173"/>
      <c r="AP1404" s="173"/>
      <c r="AQ1404" s="178"/>
      <c r="AR1404" s="173"/>
      <c r="AS1404" s="173"/>
      <c r="AT1404" s="140"/>
      <c r="AX1404" s="140"/>
      <c r="BB1404" s="173"/>
      <c r="BC1404" s="173"/>
    </row>
    <row r="1405" spans="2:55" s="134" customFormat="1" x14ac:dyDescent="0.2">
      <c r="B1405" s="145"/>
      <c r="D1405" s="145"/>
      <c r="Z1405" s="177"/>
      <c r="AA1405" s="178"/>
      <c r="AB1405" s="139"/>
      <c r="AC1405" s="173"/>
      <c r="AD1405" s="177"/>
      <c r="AE1405" s="177"/>
      <c r="AF1405" s="139"/>
      <c r="AG1405" s="139"/>
      <c r="AH1405" s="177"/>
      <c r="AI1405" s="178"/>
      <c r="AJ1405" s="139"/>
      <c r="AK1405" s="173"/>
      <c r="AL1405" s="177"/>
      <c r="AM1405" s="178"/>
      <c r="AN1405" s="173"/>
      <c r="AO1405" s="173"/>
      <c r="AP1405" s="173"/>
      <c r="AQ1405" s="178"/>
      <c r="AR1405" s="173"/>
      <c r="AS1405" s="173"/>
      <c r="AT1405" s="140"/>
      <c r="AX1405" s="140"/>
      <c r="BB1405" s="173"/>
      <c r="BC1405" s="173"/>
    </row>
    <row r="1406" spans="2:55" s="134" customFormat="1" x14ac:dyDescent="0.2">
      <c r="B1406" s="145"/>
      <c r="D1406" s="145"/>
      <c r="Z1406" s="177"/>
      <c r="AA1406" s="178"/>
      <c r="AB1406" s="139"/>
      <c r="AC1406" s="173"/>
      <c r="AD1406" s="177"/>
      <c r="AE1406" s="177"/>
      <c r="AF1406" s="139"/>
      <c r="AG1406" s="139"/>
      <c r="AH1406" s="177"/>
      <c r="AI1406" s="178"/>
      <c r="AJ1406" s="139"/>
      <c r="AK1406" s="173"/>
      <c r="AL1406" s="177"/>
      <c r="AM1406" s="178"/>
      <c r="AN1406" s="173"/>
      <c r="AO1406" s="173"/>
      <c r="AP1406" s="173"/>
      <c r="AQ1406" s="178"/>
      <c r="AR1406" s="173"/>
      <c r="AS1406" s="173"/>
      <c r="AT1406" s="140"/>
      <c r="AX1406" s="140"/>
      <c r="BB1406" s="173"/>
      <c r="BC1406" s="173"/>
    </row>
    <row r="1407" spans="2:55" s="134" customFormat="1" x14ac:dyDescent="0.2">
      <c r="B1407" s="145"/>
      <c r="D1407" s="145"/>
      <c r="Z1407" s="177"/>
      <c r="AA1407" s="178"/>
      <c r="AB1407" s="139"/>
      <c r="AC1407" s="173"/>
      <c r="AD1407" s="177"/>
      <c r="AE1407" s="177"/>
      <c r="AF1407" s="139"/>
      <c r="AG1407" s="139"/>
      <c r="AH1407" s="177"/>
      <c r="AI1407" s="178"/>
      <c r="AJ1407" s="139"/>
      <c r="AK1407" s="173"/>
      <c r="AL1407" s="177"/>
      <c r="AM1407" s="178"/>
      <c r="AN1407" s="173"/>
      <c r="AO1407" s="173"/>
      <c r="AP1407" s="173"/>
      <c r="AQ1407" s="178"/>
      <c r="AR1407" s="173"/>
      <c r="AS1407" s="173"/>
      <c r="AT1407" s="140"/>
      <c r="AX1407" s="140"/>
      <c r="BB1407" s="173"/>
      <c r="BC1407" s="173"/>
    </row>
    <row r="1408" spans="2:55" s="134" customFormat="1" x14ac:dyDescent="0.2">
      <c r="B1408" s="145"/>
      <c r="D1408" s="145"/>
      <c r="Z1408" s="177"/>
      <c r="AA1408" s="178"/>
      <c r="AB1408" s="139"/>
      <c r="AC1408" s="173"/>
      <c r="AD1408" s="177"/>
      <c r="AE1408" s="177"/>
      <c r="AF1408" s="139"/>
      <c r="AG1408" s="139"/>
      <c r="AH1408" s="177"/>
      <c r="AI1408" s="178"/>
      <c r="AJ1408" s="139"/>
      <c r="AK1408" s="173"/>
      <c r="AL1408" s="177"/>
      <c r="AM1408" s="178"/>
      <c r="AN1408" s="173"/>
      <c r="AO1408" s="173"/>
      <c r="AP1408" s="173"/>
      <c r="AQ1408" s="178"/>
      <c r="AR1408" s="173"/>
      <c r="AS1408" s="173"/>
      <c r="AT1408" s="140"/>
      <c r="AX1408" s="140"/>
      <c r="BB1408" s="173"/>
      <c r="BC1408" s="173"/>
    </row>
    <row r="1409" spans="2:55" s="134" customFormat="1" x14ac:dyDescent="0.2">
      <c r="B1409" s="145"/>
      <c r="D1409" s="145"/>
      <c r="Z1409" s="177"/>
      <c r="AA1409" s="178"/>
      <c r="AB1409" s="139"/>
      <c r="AC1409" s="173"/>
      <c r="AD1409" s="177"/>
      <c r="AE1409" s="177"/>
      <c r="AF1409" s="139"/>
      <c r="AG1409" s="139"/>
      <c r="AH1409" s="177"/>
      <c r="AI1409" s="178"/>
      <c r="AJ1409" s="139"/>
      <c r="AK1409" s="173"/>
      <c r="AL1409" s="177"/>
      <c r="AM1409" s="178"/>
      <c r="AN1409" s="173"/>
      <c r="AO1409" s="173"/>
      <c r="AP1409" s="173"/>
      <c r="AQ1409" s="178"/>
      <c r="AR1409" s="173"/>
      <c r="AS1409" s="173"/>
      <c r="AT1409" s="140"/>
      <c r="AX1409" s="140"/>
      <c r="BB1409" s="173"/>
      <c r="BC1409" s="173"/>
    </row>
    <row r="1410" spans="2:55" s="134" customFormat="1" x14ac:dyDescent="0.2">
      <c r="B1410" s="145"/>
      <c r="D1410" s="145"/>
      <c r="Z1410" s="177"/>
      <c r="AA1410" s="178"/>
      <c r="AB1410" s="139"/>
      <c r="AC1410" s="173"/>
      <c r="AD1410" s="177"/>
      <c r="AE1410" s="177"/>
      <c r="AF1410" s="139"/>
      <c r="AG1410" s="139"/>
      <c r="AH1410" s="177"/>
      <c r="AI1410" s="178"/>
      <c r="AJ1410" s="139"/>
      <c r="AK1410" s="173"/>
      <c r="AL1410" s="177"/>
      <c r="AM1410" s="178"/>
      <c r="AN1410" s="173"/>
      <c r="AO1410" s="173"/>
      <c r="AP1410" s="173"/>
      <c r="AQ1410" s="178"/>
      <c r="AR1410" s="173"/>
      <c r="AS1410" s="173"/>
      <c r="AT1410" s="140"/>
      <c r="AX1410" s="140"/>
      <c r="BB1410" s="173"/>
      <c r="BC1410" s="173"/>
    </row>
    <row r="1411" spans="2:55" s="134" customFormat="1" x14ac:dyDescent="0.2">
      <c r="B1411" s="145"/>
      <c r="D1411" s="145"/>
      <c r="Z1411" s="177"/>
      <c r="AA1411" s="178"/>
      <c r="AB1411" s="139"/>
      <c r="AC1411" s="173"/>
      <c r="AD1411" s="177"/>
      <c r="AE1411" s="177"/>
      <c r="AF1411" s="139"/>
      <c r="AG1411" s="139"/>
      <c r="AH1411" s="177"/>
      <c r="AI1411" s="178"/>
      <c r="AJ1411" s="139"/>
      <c r="AK1411" s="173"/>
      <c r="AL1411" s="177"/>
      <c r="AM1411" s="178"/>
      <c r="AN1411" s="173"/>
      <c r="AO1411" s="173"/>
      <c r="AP1411" s="173"/>
      <c r="AQ1411" s="178"/>
      <c r="AR1411" s="173"/>
      <c r="AS1411" s="173"/>
      <c r="AT1411" s="140"/>
      <c r="AX1411" s="140"/>
      <c r="BB1411" s="173"/>
      <c r="BC1411" s="173"/>
    </row>
    <row r="1412" spans="2:55" s="134" customFormat="1" x14ac:dyDescent="0.2">
      <c r="B1412" s="145"/>
      <c r="D1412" s="145"/>
      <c r="Z1412" s="177"/>
      <c r="AA1412" s="178"/>
      <c r="AB1412" s="139"/>
      <c r="AC1412" s="173"/>
      <c r="AD1412" s="177"/>
      <c r="AE1412" s="177"/>
      <c r="AF1412" s="139"/>
      <c r="AG1412" s="139"/>
      <c r="AH1412" s="177"/>
      <c r="AI1412" s="178"/>
      <c r="AJ1412" s="139"/>
      <c r="AK1412" s="173"/>
      <c r="AL1412" s="177"/>
      <c r="AM1412" s="178"/>
      <c r="AN1412" s="173"/>
      <c r="AO1412" s="173"/>
      <c r="AP1412" s="173"/>
      <c r="AQ1412" s="178"/>
      <c r="AR1412" s="173"/>
      <c r="AS1412" s="173"/>
      <c r="AT1412" s="140"/>
      <c r="AX1412" s="140"/>
      <c r="BB1412" s="173"/>
      <c r="BC1412" s="173"/>
    </row>
    <row r="1413" spans="2:55" s="134" customFormat="1" x14ac:dyDescent="0.2">
      <c r="B1413" s="145"/>
      <c r="D1413" s="145"/>
      <c r="Z1413" s="177"/>
      <c r="AA1413" s="178"/>
      <c r="AB1413" s="139"/>
      <c r="AC1413" s="173"/>
      <c r="AD1413" s="177"/>
      <c r="AE1413" s="177"/>
      <c r="AF1413" s="139"/>
      <c r="AG1413" s="139"/>
      <c r="AH1413" s="177"/>
      <c r="AI1413" s="178"/>
      <c r="AJ1413" s="139"/>
      <c r="AK1413" s="173"/>
      <c r="AL1413" s="177"/>
      <c r="AM1413" s="178"/>
      <c r="AN1413" s="173"/>
      <c r="AO1413" s="173"/>
      <c r="AP1413" s="173"/>
      <c r="AQ1413" s="178"/>
      <c r="AR1413" s="173"/>
      <c r="AS1413" s="173"/>
      <c r="AT1413" s="140"/>
      <c r="AX1413" s="140"/>
      <c r="BB1413" s="173"/>
      <c r="BC1413" s="173"/>
    </row>
    <row r="1414" spans="2:55" s="134" customFormat="1" x14ac:dyDescent="0.2">
      <c r="B1414" s="145"/>
      <c r="D1414" s="145"/>
      <c r="Z1414" s="177"/>
      <c r="AA1414" s="178"/>
      <c r="AB1414" s="139"/>
      <c r="AC1414" s="173"/>
      <c r="AD1414" s="177"/>
      <c r="AE1414" s="177"/>
      <c r="AF1414" s="139"/>
      <c r="AG1414" s="139"/>
      <c r="AH1414" s="177"/>
      <c r="AI1414" s="178"/>
      <c r="AJ1414" s="139"/>
      <c r="AK1414" s="173"/>
      <c r="AL1414" s="177"/>
      <c r="AM1414" s="178"/>
      <c r="AN1414" s="173"/>
      <c r="AO1414" s="173"/>
      <c r="AP1414" s="173"/>
      <c r="AQ1414" s="178"/>
      <c r="AR1414" s="173"/>
      <c r="AS1414" s="173"/>
      <c r="AT1414" s="140"/>
      <c r="AX1414" s="140"/>
      <c r="BB1414" s="173"/>
      <c r="BC1414" s="173"/>
    </row>
    <row r="1415" spans="2:55" s="134" customFormat="1" x14ac:dyDescent="0.2">
      <c r="B1415" s="145"/>
      <c r="D1415" s="145"/>
      <c r="Z1415" s="177"/>
      <c r="AA1415" s="178"/>
      <c r="AB1415" s="139"/>
      <c r="AC1415" s="173"/>
      <c r="AD1415" s="177"/>
      <c r="AE1415" s="177"/>
      <c r="AF1415" s="139"/>
      <c r="AG1415" s="139"/>
      <c r="AH1415" s="177"/>
      <c r="AI1415" s="178"/>
      <c r="AJ1415" s="139"/>
      <c r="AK1415" s="173"/>
      <c r="AL1415" s="177"/>
      <c r="AM1415" s="178"/>
      <c r="AN1415" s="173"/>
      <c r="AO1415" s="173"/>
      <c r="AP1415" s="173"/>
      <c r="AQ1415" s="178"/>
      <c r="AR1415" s="173"/>
      <c r="AS1415" s="173"/>
      <c r="AT1415" s="140"/>
      <c r="AX1415" s="140"/>
      <c r="BB1415" s="173"/>
      <c r="BC1415" s="173"/>
    </row>
    <row r="1416" spans="2:55" s="134" customFormat="1" x14ac:dyDescent="0.2">
      <c r="B1416" s="145"/>
      <c r="D1416" s="145"/>
      <c r="Z1416" s="177"/>
      <c r="AA1416" s="178"/>
      <c r="AB1416" s="139"/>
      <c r="AC1416" s="173"/>
      <c r="AD1416" s="177"/>
      <c r="AE1416" s="177"/>
      <c r="AF1416" s="139"/>
      <c r="AG1416" s="139"/>
      <c r="AH1416" s="177"/>
      <c r="AI1416" s="178"/>
      <c r="AJ1416" s="139"/>
      <c r="AK1416" s="173"/>
      <c r="AL1416" s="177"/>
      <c r="AM1416" s="178"/>
      <c r="AN1416" s="173"/>
      <c r="AO1416" s="173"/>
      <c r="AP1416" s="173"/>
      <c r="AQ1416" s="178"/>
      <c r="AR1416" s="173"/>
      <c r="AS1416" s="173"/>
      <c r="AT1416" s="140"/>
      <c r="AX1416" s="140"/>
      <c r="BB1416" s="173"/>
      <c r="BC1416" s="173"/>
    </row>
    <row r="1417" spans="2:55" s="134" customFormat="1" x14ac:dyDescent="0.2">
      <c r="B1417" s="145"/>
      <c r="D1417" s="145"/>
      <c r="Z1417" s="177"/>
      <c r="AA1417" s="178"/>
      <c r="AB1417" s="139"/>
      <c r="AC1417" s="173"/>
      <c r="AD1417" s="177"/>
      <c r="AE1417" s="177"/>
      <c r="AF1417" s="139"/>
      <c r="AG1417" s="139"/>
      <c r="AH1417" s="177"/>
      <c r="AI1417" s="178"/>
      <c r="AJ1417" s="139"/>
      <c r="AK1417" s="173"/>
      <c r="AL1417" s="177"/>
      <c r="AM1417" s="178"/>
      <c r="AN1417" s="173"/>
      <c r="AO1417" s="173"/>
      <c r="AP1417" s="173"/>
      <c r="AQ1417" s="178"/>
      <c r="AR1417" s="173"/>
      <c r="AS1417" s="173"/>
      <c r="AT1417" s="140"/>
      <c r="AX1417" s="140"/>
      <c r="BB1417" s="173"/>
      <c r="BC1417" s="173"/>
    </row>
    <row r="1418" spans="2:55" s="134" customFormat="1" x14ac:dyDescent="0.2">
      <c r="B1418" s="145"/>
      <c r="D1418" s="145"/>
      <c r="Z1418" s="177"/>
      <c r="AA1418" s="178"/>
      <c r="AB1418" s="139"/>
      <c r="AC1418" s="173"/>
      <c r="AD1418" s="177"/>
      <c r="AE1418" s="177"/>
      <c r="AF1418" s="139"/>
      <c r="AG1418" s="139"/>
      <c r="AH1418" s="177"/>
      <c r="AI1418" s="178"/>
      <c r="AJ1418" s="139"/>
      <c r="AK1418" s="173"/>
      <c r="AL1418" s="177"/>
      <c r="AM1418" s="178"/>
      <c r="AN1418" s="173"/>
      <c r="AO1418" s="173"/>
      <c r="AP1418" s="173"/>
      <c r="AQ1418" s="178"/>
      <c r="AR1418" s="173"/>
      <c r="AS1418" s="173"/>
      <c r="AT1418" s="140"/>
      <c r="AX1418" s="140"/>
      <c r="BB1418" s="173"/>
      <c r="BC1418" s="173"/>
    </row>
    <row r="1419" spans="2:55" s="134" customFormat="1" x14ac:dyDescent="0.2">
      <c r="B1419" s="145"/>
      <c r="D1419" s="145"/>
      <c r="Z1419" s="177"/>
      <c r="AA1419" s="178"/>
      <c r="AB1419" s="139"/>
      <c r="AC1419" s="173"/>
      <c r="AD1419" s="177"/>
      <c r="AE1419" s="177"/>
      <c r="AF1419" s="139"/>
      <c r="AG1419" s="139"/>
      <c r="AH1419" s="177"/>
      <c r="AI1419" s="178"/>
      <c r="AJ1419" s="139"/>
      <c r="AK1419" s="173"/>
      <c r="AL1419" s="177"/>
      <c r="AM1419" s="178"/>
      <c r="AN1419" s="173"/>
      <c r="AO1419" s="173"/>
      <c r="AP1419" s="173"/>
      <c r="AQ1419" s="178"/>
      <c r="AR1419" s="173"/>
      <c r="AS1419" s="173"/>
      <c r="AT1419" s="140"/>
      <c r="AX1419" s="140"/>
      <c r="BB1419" s="173"/>
      <c r="BC1419" s="173"/>
    </row>
    <row r="1420" spans="2:55" s="134" customFormat="1" x14ac:dyDescent="0.2">
      <c r="B1420" s="145"/>
      <c r="D1420" s="145"/>
      <c r="Z1420" s="177"/>
      <c r="AA1420" s="178"/>
      <c r="AB1420" s="139"/>
      <c r="AC1420" s="173"/>
      <c r="AD1420" s="177"/>
      <c r="AE1420" s="177"/>
      <c r="AF1420" s="139"/>
      <c r="AG1420" s="139"/>
      <c r="AH1420" s="177"/>
      <c r="AI1420" s="178"/>
      <c r="AJ1420" s="139"/>
      <c r="AK1420" s="173"/>
      <c r="AL1420" s="177"/>
      <c r="AM1420" s="178"/>
      <c r="AN1420" s="173"/>
      <c r="AO1420" s="173"/>
      <c r="AP1420" s="173"/>
      <c r="AQ1420" s="178"/>
      <c r="AR1420" s="173"/>
      <c r="AS1420" s="173"/>
      <c r="AT1420" s="140"/>
      <c r="AX1420" s="140"/>
      <c r="BB1420" s="173"/>
      <c r="BC1420" s="173"/>
    </row>
    <row r="1421" spans="2:55" s="134" customFormat="1" x14ac:dyDescent="0.2">
      <c r="B1421" s="145"/>
      <c r="D1421" s="145"/>
      <c r="Z1421" s="177"/>
      <c r="AA1421" s="178"/>
      <c r="AB1421" s="139"/>
      <c r="AC1421" s="173"/>
      <c r="AD1421" s="177"/>
      <c r="AE1421" s="177"/>
      <c r="AF1421" s="139"/>
      <c r="AG1421" s="139"/>
      <c r="AH1421" s="177"/>
      <c r="AI1421" s="178"/>
      <c r="AJ1421" s="139"/>
      <c r="AK1421" s="173"/>
      <c r="AL1421" s="177"/>
      <c r="AM1421" s="178"/>
      <c r="AN1421" s="173"/>
      <c r="AO1421" s="173"/>
      <c r="AP1421" s="173"/>
      <c r="AQ1421" s="178"/>
      <c r="AR1421" s="173"/>
      <c r="AS1421" s="173"/>
      <c r="AT1421" s="140"/>
      <c r="AX1421" s="140"/>
      <c r="BB1421" s="173"/>
      <c r="BC1421" s="173"/>
    </row>
    <row r="1422" spans="2:55" s="134" customFormat="1" x14ac:dyDescent="0.2">
      <c r="B1422" s="145"/>
      <c r="D1422" s="145"/>
      <c r="Z1422" s="177"/>
      <c r="AA1422" s="178"/>
      <c r="AB1422" s="139"/>
      <c r="AC1422" s="173"/>
      <c r="AD1422" s="177"/>
      <c r="AE1422" s="177"/>
      <c r="AF1422" s="139"/>
      <c r="AG1422" s="139"/>
      <c r="AH1422" s="177"/>
      <c r="AI1422" s="178"/>
      <c r="AJ1422" s="139"/>
      <c r="AK1422" s="173"/>
      <c r="AL1422" s="177"/>
      <c r="AM1422" s="178"/>
      <c r="AN1422" s="173"/>
      <c r="AO1422" s="173"/>
      <c r="AP1422" s="173"/>
      <c r="AQ1422" s="178"/>
      <c r="AR1422" s="173"/>
      <c r="AS1422" s="173"/>
      <c r="AT1422" s="140"/>
      <c r="AX1422" s="140"/>
      <c r="BB1422" s="173"/>
      <c r="BC1422" s="173"/>
    </row>
    <row r="1423" spans="2:55" s="134" customFormat="1" x14ac:dyDescent="0.2">
      <c r="B1423" s="145"/>
      <c r="D1423" s="145"/>
      <c r="Z1423" s="177"/>
      <c r="AA1423" s="178"/>
      <c r="AB1423" s="139"/>
      <c r="AC1423" s="173"/>
      <c r="AD1423" s="177"/>
      <c r="AE1423" s="177"/>
      <c r="AF1423" s="139"/>
      <c r="AG1423" s="139"/>
      <c r="AH1423" s="177"/>
      <c r="AI1423" s="178"/>
      <c r="AJ1423" s="139"/>
      <c r="AK1423" s="173"/>
      <c r="AL1423" s="177"/>
      <c r="AM1423" s="178"/>
      <c r="AN1423" s="173"/>
      <c r="AO1423" s="173"/>
      <c r="AP1423" s="173"/>
      <c r="AQ1423" s="178"/>
      <c r="AR1423" s="173"/>
      <c r="AS1423" s="173"/>
      <c r="AT1423" s="140"/>
      <c r="AX1423" s="140"/>
      <c r="BB1423" s="173"/>
      <c r="BC1423" s="173"/>
    </row>
    <row r="1424" spans="2:55" s="134" customFormat="1" x14ac:dyDescent="0.2">
      <c r="B1424" s="145"/>
      <c r="D1424" s="145"/>
      <c r="Z1424" s="177"/>
      <c r="AA1424" s="178"/>
      <c r="AB1424" s="139"/>
      <c r="AC1424" s="173"/>
      <c r="AD1424" s="177"/>
      <c r="AE1424" s="177"/>
      <c r="AF1424" s="139"/>
      <c r="AG1424" s="139"/>
      <c r="AH1424" s="177"/>
      <c r="AI1424" s="178"/>
      <c r="AJ1424" s="139"/>
      <c r="AK1424" s="173"/>
      <c r="AL1424" s="177"/>
      <c r="AM1424" s="178"/>
      <c r="AN1424" s="173"/>
      <c r="AO1424" s="173"/>
      <c r="AP1424" s="173"/>
      <c r="AQ1424" s="178"/>
      <c r="AR1424" s="173"/>
      <c r="AS1424" s="173"/>
      <c r="AT1424" s="140"/>
      <c r="AX1424" s="140"/>
      <c r="BB1424" s="173"/>
      <c r="BC1424" s="173"/>
    </row>
    <row r="1425" spans="2:55" s="134" customFormat="1" x14ac:dyDescent="0.2">
      <c r="B1425" s="145"/>
      <c r="D1425" s="145"/>
      <c r="Z1425" s="177"/>
      <c r="AA1425" s="178"/>
      <c r="AB1425" s="139"/>
      <c r="AC1425" s="173"/>
      <c r="AD1425" s="177"/>
      <c r="AE1425" s="177"/>
      <c r="AF1425" s="139"/>
      <c r="AG1425" s="139"/>
      <c r="AH1425" s="177"/>
      <c r="AI1425" s="178"/>
      <c r="AJ1425" s="139"/>
      <c r="AK1425" s="173"/>
      <c r="AL1425" s="177"/>
      <c r="AM1425" s="178"/>
      <c r="AN1425" s="173"/>
      <c r="AO1425" s="173"/>
      <c r="AP1425" s="173"/>
      <c r="AQ1425" s="178"/>
      <c r="AR1425" s="173"/>
      <c r="AS1425" s="173"/>
      <c r="AT1425" s="140"/>
      <c r="AX1425" s="140"/>
      <c r="BB1425" s="173"/>
      <c r="BC1425" s="173"/>
    </row>
    <row r="1426" spans="2:55" s="134" customFormat="1" x14ac:dyDescent="0.2">
      <c r="B1426" s="145"/>
      <c r="D1426" s="145"/>
      <c r="Z1426" s="177"/>
      <c r="AA1426" s="178"/>
      <c r="AB1426" s="139"/>
      <c r="AC1426" s="173"/>
      <c r="AD1426" s="177"/>
      <c r="AE1426" s="177"/>
      <c r="AF1426" s="139"/>
      <c r="AG1426" s="139"/>
      <c r="AH1426" s="177"/>
      <c r="AI1426" s="178"/>
      <c r="AJ1426" s="139"/>
      <c r="AK1426" s="173"/>
      <c r="AL1426" s="177"/>
      <c r="AM1426" s="178"/>
      <c r="AN1426" s="173"/>
      <c r="AO1426" s="173"/>
      <c r="AP1426" s="173"/>
      <c r="AQ1426" s="178"/>
      <c r="AR1426" s="173"/>
      <c r="AS1426" s="173"/>
      <c r="AT1426" s="140"/>
      <c r="AX1426" s="140"/>
      <c r="BB1426" s="173"/>
      <c r="BC1426" s="173"/>
    </row>
    <row r="1427" spans="2:55" s="134" customFormat="1" x14ac:dyDescent="0.2">
      <c r="B1427" s="145"/>
      <c r="D1427" s="145"/>
      <c r="Z1427" s="177"/>
      <c r="AA1427" s="178"/>
      <c r="AB1427" s="139"/>
      <c r="AC1427" s="173"/>
      <c r="AD1427" s="177"/>
      <c r="AE1427" s="177"/>
      <c r="AF1427" s="139"/>
      <c r="AG1427" s="139"/>
      <c r="AH1427" s="177"/>
      <c r="AI1427" s="178"/>
      <c r="AJ1427" s="139"/>
      <c r="AK1427" s="173"/>
      <c r="AL1427" s="177"/>
      <c r="AM1427" s="178"/>
      <c r="AN1427" s="173"/>
      <c r="AO1427" s="173"/>
      <c r="AP1427" s="173"/>
      <c r="AQ1427" s="178"/>
      <c r="AR1427" s="173"/>
      <c r="AS1427" s="173"/>
      <c r="AT1427" s="140"/>
      <c r="AX1427" s="140"/>
      <c r="BB1427" s="173"/>
      <c r="BC1427" s="173"/>
    </row>
    <row r="1428" spans="2:55" s="134" customFormat="1" x14ac:dyDescent="0.2">
      <c r="B1428" s="145"/>
      <c r="D1428" s="145"/>
      <c r="Z1428" s="177"/>
      <c r="AA1428" s="178"/>
      <c r="AB1428" s="139"/>
      <c r="AC1428" s="173"/>
      <c r="AD1428" s="177"/>
      <c r="AE1428" s="177"/>
      <c r="AF1428" s="139"/>
      <c r="AG1428" s="139"/>
      <c r="AH1428" s="177"/>
      <c r="AI1428" s="178"/>
      <c r="AJ1428" s="139"/>
      <c r="AK1428" s="173"/>
      <c r="AL1428" s="177"/>
      <c r="AM1428" s="178"/>
      <c r="AN1428" s="173"/>
      <c r="AO1428" s="173"/>
      <c r="AP1428" s="173"/>
      <c r="AQ1428" s="178"/>
      <c r="AR1428" s="173"/>
      <c r="AS1428" s="173"/>
      <c r="AT1428" s="140"/>
      <c r="AX1428" s="140"/>
      <c r="BB1428" s="173"/>
      <c r="BC1428" s="173"/>
    </row>
    <row r="1429" spans="2:55" s="134" customFormat="1" x14ac:dyDescent="0.2">
      <c r="B1429" s="145"/>
      <c r="D1429" s="145"/>
      <c r="Z1429" s="177"/>
      <c r="AA1429" s="178"/>
      <c r="AB1429" s="139"/>
      <c r="AC1429" s="173"/>
      <c r="AD1429" s="177"/>
      <c r="AE1429" s="177"/>
      <c r="AF1429" s="139"/>
      <c r="AG1429" s="139"/>
      <c r="AH1429" s="177"/>
      <c r="AI1429" s="178"/>
      <c r="AJ1429" s="139"/>
      <c r="AK1429" s="173"/>
      <c r="AL1429" s="177"/>
      <c r="AM1429" s="178"/>
      <c r="AN1429" s="173"/>
      <c r="AO1429" s="173"/>
      <c r="AP1429" s="173"/>
      <c r="AQ1429" s="178"/>
      <c r="AR1429" s="173"/>
      <c r="AS1429" s="173"/>
      <c r="AT1429" s="140"/>
      <c r="AX1429" s="140"/>
      <c r="BB1429" s="173"/>
      <c r="BC1429" s="173"/>
    </row>
    <row r="1430" spans="2:55" s="134" customFormat="1" x14ac:dyDescent="0.2">
      <c r="B1430" s="145"/>
      <c r="D1430" s="145"/>
      <c r="Z1430" s="177"/>
      <c r="AA1430" s="178"/>
      <c r="AB1430" s="139"/>
      <c r="AC1430" s="173"/>
      <c r="AD1430" s="177"/>
      <c r="AE1430" s="177"/>
      <c r="AF1430" s="139"/>
      <c r="AG1430" s="139"/>
      <c r="AH1430" s="177"/>
      <c r="AI1430" s="178"/>
      <c r="AJ1430" s="139"/>
      <c r="AK1430" s="173"/>
      <c r="AL1430" s="177"/>
      <c r="AM1430" s="178"/>
      <c r="AN1430" s="173"/>
      <c r="AO1430" s="173"/>
      <c r="AP1430" s="173"/>
      <c r="AQ1430" s="178"/>
      <c r="AR1430" s="173"/>
      <c r="AS1430" s="173"/>
      <c r="AT1430" s="140"/>
      <c r="AX1430" s="140"/>
      <c r="BB1430" s="173"/>
      <c r="BC1430" s="173"/>
    </row>
    <row r="1431" spans="2:55" s="134" customFormat="1" x14ac:dyDescent="0.2">
      <c r="B1431" s="145"/>
      <c r="D1431" s="145"/>
      <c r="Z1431" s="177"/>
      <c r="AA1431" s="178"/>
      <c r="AB1431" s="139"/>
      <c r="AC1431" s="173"/>
      <c r="AD1431" s="177"/>
      <c r="AE1431" s="177"/>
      <c r="AF1431" s="139"/>
      <c r="AG1431" s="139"/>
      <c r="AH1431" s="177"/>
      <c r="AI1431" s="178"/>
      <c r="AJ1431" s="139"/>
      <c r="AK1431" s="173"/>
      <c r="AL1431" s="177"/>
      <c r="AM1431" s="178"/>
      <c r="AN1431" s="173"/>
      <c r="AO1431" s="173"/>
      <c r="AP1431" s="173"/>
      <c r="AQ1431" s="178"/>
      <c r="AR1431" s="173"/>
      <c r="AS1431" s="173"/>
      <c r="AT1431" s="140"/>
      <c r="AX1431" s="140"/>
      <c r="BB1431" s="173"/>
      <c r="BC1431" s="173"/>
    </row>
    <row r="1432" spans="2:55" s="134" customFormat="1" x14ac:dyDescent="0.2">
      <c r="B1432" s="145"/>
      <c r="D1432" s="145"/>
      <c r="Z1432" s="177"/>
      <c r="AA1432" s="178"/>
      <c r="AB1432" s="139"/>
      <c r="AC1432" s="173"/>
      <c r="AD1432" s="177"/>
      <c r="AE1432" s="177"/>
      <c r="AF1432" s="139"/>
      <c r="AG1432" s="139"/>
      <c r="AH1432" s="177"/>
      <c r="AI1432" s="178"/>
      <c r="AJ1432" s="139"/>
      <c r="AK1432" s="173"/>
      <c r="AL1432" s="177"/>
      <c r="AM1432" s="178"/>
      <c r="AN1432" s="173"/>
      <c r="AO1432" s="173"/>
      <c r="AP1432" s="173"/>
      <c r="AQ1432" s="178"/>
      <c r="AR1432" s="173"/>
      <c r="AS1432" s="173"/>
      <c r="AT1432" s="140"/>
      <c r="AX1432" s="140"/>
      <c r="BB1432" s="173"/>
      <c r="BC1432" s="173"/>
    </row>
    <row r="1433" spans="2:55" s="134" customFormat="1" x14ac:dyDescent="0.2">
      <c r="B1433" s="145"/>
      <c r="D1433" s="145"/>
      <c r="Z1433" s="177"/>
      <c r="AA1433" s="178"/>
      <c r="AB1433" s="139"/>
      <c r="AC1433" s="173"/>
      <c r="AD1433" s="177"/>
      <c r="AE1433" s="177"/>
      <c r="AF1433" s="139"/>
      <c r="AG1433" s="139"/>
      <c r="AH1433" s="177"/>
      <c r="AI1433" s="178"/>
      <c r="AJ1433" s="139"/>
      <c r="AK1433" s="173"/>
      <c r="AL1433" s="177"/>
      <c r="AM1433" s="178"/>
      <c r="AN1433" s="173"/>
      <c r="AO1433" s="173"/>
      <c r="AP1433" s="173"/>
      <c r="AQ1433" s="178"/>
      <c r="AR1433" s="173"/>
      <c r="AS1433" s="173"/>
      <c r="AT1433" s="140"/>
      <c r="AX1433" s="140"/>
      <c r="BB1433" s="173"/>
      <c r="BC1433" s="173"/>
    </row>
    <row r="1434" spans="2:55" s="134" customFormat="1" x14ac:dyDescent="0.2">
      <c r="B1434" s="145"/>
      <c r="D1434" s="145"/>
      <c r="Z1434" s="177"/>
      <c r="AA1434" s="178"/>
      <c r="AB1434" s="139"/>
      <c r="AC1434" s="173"/>
      <c r="AD1434" s="177"/>
      <c r="AE1434" s="177"/>
      <c r="AF1434" s="139"/>
      <c r="AG1434" s="139"/>
      <c r="AH1434" s="177"/>
      <c r="AI1434" s="178"/>
      <c r="AJ1434" s="139"/>
      <c r="AK1434" s="173"/>
      <c r="AL1434" s="177"/>
      <c r="AM1434" s="178"/>
      <c r="AN1434" s="173"/>
      <c r="AO1434" s="173"/>
      <c r="AP1434" s="173"/>
      <c r="AQ1434" s="178"/>
      <c r="AR1434" s="173"/>
      <c r="AS1434" s="173"/>
      <c r="AT1434" s="140"/>
      <c r="AX1434" s="140"/>
      <c r="BB1434" s="173"/>
      <c r="BC1434" s="173"/>
    </row>
    <row r="1435" spans="2:55" s="134" customFormat="1" x14ac:dyDescent="0.2">
      <c r="B1435" s="145"/>
      <c r="D1435" s="145"/>
      <c r="Z1435" s="177"/>
      <c r="AA1435" s="178"/>
      <c r="AB1435" s="139"/>
      <c r="AC1435" s="173"/>
      <c r="AD1435" s="177"/>
      <c r="AE1435" s="177"/>
      <c r="AF1435" s="139"/>
      <c r="AG1435" s="139"/>
      <c r="AH1435" s="177"/>
      <c r="AI1435" s="178"/>
      <c r="AJ1435" s="139"/>
      <c r="AK1435" s="173"/>
      <c r="AL1435" s="177"/>
      <c r="AM1435" s="178"/>
      <c r="AN1435" s="173"/>
      <c r="AO1435" s="173"/>
      <c r="AP1435" s="173"/>
      <c r="AQ1435" s="178"/>
      <c r="AR1435" s="173"/>
      <c r="AS1435" s="173"/>
      <c r="AT1435" s="140"/>
      <c r="AX1435" s="140"/>
      <c r="BB1435" s="173"/>
      <c r="BC1435" s="173"/>
    </row>
    <row r="1436" spans="2:55" s="134" customFormat="1" x14ac:dyDescent="0.2">
      <c r="B1436" s="145"/>
      <c r="D1436" s="145"/>
      <c r="Z1436" s="177"/>
      <c r="AA1436" s="178"/>
      <c r="AB1436" s="139"/>
      <c r="AC1436" s="173"/>
      <c r="AD1436" s="177"/>
      <c r="AE1436" s="177"/>
      <c r="AF1436" s="139"/>
      <c r="AG1436" s="139"/>
      <c r="AH1436" s="177"/>
      <c r="AI1436" s="178"/>
      <c r="AJ1436" s="139"/>
      <c r="AK1436" s="173"/>
      <c r="AL1436" s="177"/>
      <c r="AM1436" s="178"/>
      <c r="AN1436" s="173"/>
      <c r="AO1436" s="173"/>
      <c r="AP1436" s="173"/>
      <c r="AQ1436" s="178"/>
      <c r="AR1436" s="173"/>
      <c r="AS1436" s="173"/>
      <c r="AT1436" s="140"/>
      <c r="AX1436" s="140"/>
      <c r="BB1436" s="173"/>
      <c r="BC1436" s="173"/>
    </row>
    <row r="1437" spans="2:55" s="134" customFormat="1" x14ac:dyDescent="0.2">
      <c r="B1437" s="145"/>
      <c r="D1437" s="145"/>
      <c r="Z1437" s="177"/>
      <c r="AA1437" s="178"/>
      <c r="AB1437" s="139"/>
      <c r="AC1437" s="173"/>
      <c r="AD1437" s="177"/>
      <c r="AE1437" s="177"/>
      <c r="AF1437" s="139"/>
      <c r="AG1437" s="139"/>
      <c r="AH1437" s="177"/>
      <c r="AI1437" s="178"/>
      <c r="AJ1437" s="139"/>
      <c r="AK1437" s="173"/>
      <c r="AL1437" s="177"/>
      <c r="AM1437" s="178"/>
      <c r="AN1437" s="173"/>
      <c r="AO1437" s="173"/>
      <c r="AP1437" s="173"/>
      <c r="AQ1437" s="178"/>
      <c r="AR1437" s="173"/>
      <c r="AS1437" s="173"/>
      <c r="AT1437" s="140"/>
      <c r="AX1437" s="140"/>
      <c r="BB1437" s="173"/>
      <c r="BC1437" s="173"/>
    </row>
    <row r="1438" spans="2:55" s="134" customFormat="1" x14ac:dyDescent="0.2">
      <c r="B1438" s="145"/>
      <c r="D1438" s="145"/>
      <c r="Z1438" s="177"/>
      <c r="AA1438" s="178"/>
      <c r="AB1438" s="139"/>
      <c r="AC1438" s="173"/>
      <c r="AD1438" s="177"/>
      <c r="AE1438" s="177"/>
      <c r="AF1438" s="139"/>
      <c r="AG1438" s="139"/>
      <c r="AH1438" s="177"/>
      <c r="AI1438" s="178"/>
      <c r="AJ1438" s="139"/>
      <c r="AK1438" s="173"/>
      <c r="AL1438" s="177"/>
      <c r="AM1438" s="178"/>
      <c r="AN1438" s="173"/>
      <c r="AO1438" s="173"/>
      <c r="AP1438" s="173"/>
      <c r="AQ1438" s="178"/>
      <c r="AR1438" s="173"/>
      <c r="AS1438" s="173"/>
      <c r="AT1438" s="140"/>
      <c r="AX1438" s="140"/>
      <c r="BB1438" s="173"/>
      <c r="BC1438" s="173"/>
    </row>
    <row r="1439" spans="2:55" s="134" customFormat="1" x14ac:dyDescent="0.2">
      <c r="B1439" s="145"/>
      <c r="D1439" s="145"/>
      <c r="Z1439" s="177"/>
      <c r="AA1439" s="178"/>
      <c r="AB1439" s="139"/>
      <c r="AC1439" s="173"/>
      <c r="AD1439" s="177"/>
      <c r="AE1439" s="177"/>
      <c r="AF1439" s="139"/>
      <c r="AG1439" s="139"/>
      <c r="AH1439" s="177"/>
      <c r="AI1439" s="178"/>
      <c r="AJ1439" s="139"/>
      <c r="AK1439" s="173"/>
      <c r="AL1439" s="177"/>
      <c r="AM1439" s="178"/>
      <c r="AN1439" s="173"/>
      <c r="AO1439" s="173"/>
      <c r="AP1439" s="173"/>
      <c r="AQ1439" s="178"/>
      <c r="AR1439" s="173"/>
      <c r="AS1439" s="173"/>
      <c r="AT1439" s="140"/>
      <c r="AX1439" s="140"/>
      <c r="BB1439" s="173"/>
      <c r="BC1439" s="173"/>
    </row>
    <row r="1440" spans="2:55" s="134" customFormat="1" x14ac:dyDescent="0.2">
      <c r="B1440" s="145"/>
      <c r="D1440" s="145"/>
      <c r="Z1440" s="177"/>
      <c r="AA1440" s="178"/>
      <c r="AB1440" s="139"/>
      <c r="AC1440" s="173"/>
      <c r="AD1440" s="177"/>
      <c r="AE1440" s="177"/>
      <c r="AF1440" s="139"/>
      <c r="AG1440" s="139"/>
      <c r="AH1440" s="177"/>
      <c r="AI1440" s="178"/>
      <c r="AJ1440" s="139"/>
      <c r="AK1440" s="173"/>
      <c r="AL1440" s="177"/>
      <c r="AM1440" s="178"/>
      <c r="AN1440" s="173"/>
      <c r="AO1440" s="173"/>
      <c r="AP1440" s="173"/>
      <c r="AQ1440" s="178"/>
      <c r="AR1440" s="173"/>
      <c r="AS1440" s="173"/>
      <c r="AT1440" s="140"/>
      <c r="AX1440" s="140"/>
      <c r="BB1440" s="173"/>
      <c r="BC1440" s="173"/>
    </row>
    <row r="1441" spans="2:55" s="134" customFormat="1" x14ac:dyDescent="0.2">
      <c r="B1441" s="145"/>
      <c r="D1441" s="145"/>
      <c r="Z1441" s="177"/>
      <c r="AA1441" s="178"/>
      <c r="AB1441" s="139"/>
      <c r="AC1441" s="173"/>
      <c r="AD1441" s="177"/>
      <c r="AE1441" s="177"/>
      <c r="AF1441" s="139"/>
      <c r="AG1441" s="139"/>
      <c r="AH1441" s="177"/>
      <c r="AI1441" s="178"/>
      <c r="AJ1441" s="139"/>
      <c r="AK1441" s="173"/>
      <c r="AL1441" s="177"/>
      <c r="AM1441" s="178"/>
      <c r="AN1441" s="173"/>
      <c r="AO1441" s="173"/>
      <c r="AP1441" s="173"/>
      <c r="AQ1441" s="178"/>
      <c r="AR1441" s="173"/>
      <c r="AS1441" s="173"/>
      <c r="AT1441" s="140"/>
      <c r="AX1441" s="140"/>
      <c r="BB1441" s="173"/>
      <c r="BC1441" s="173"/>
    </row>
    <row r="1442" spans="2:55" s="134" customFormat="1" x14ac:dyDescent="0.2">
      <c r="B1442" s="145"/>
      <c r="D1442" s="145"/>
      <c r="Z1442" s="177"/>
      <c r="AA1442" s="178"/>
      <c r="AB1442" s="139"/>
      <c r="AC1442" s="173"/>
      <c r="AD1442" s="177"/>
      <c r="AE1442" s="177"/>
      <c r="AF1442" s="139"/>
      <c r="AG1442" s="139"/>
      <c r="AH1442" s="177"/>
      <c r="AI1442" s="178"/>
      <c r="AJ1442" s="139"/>
      <c r="AK1442" s="173"/>
      <c r="AL1442" s="177"/>
      <c r="AM1442" s="178"/>
      <c r="AN1442" s="173"/>
      <c r="AO1442" s="173"/>
      <c r="AP1442" s="173"/>
      <c r="AQ1442" s="178"/>
      <c r="AR1442" s="173"/>
      <c r="AS1442" s="173"/>
      <c r="AT1442" s="140"/>
      <c r="AX1442" s="140"/>
      <c r="BB1442" s="173"/>
      <c r="BC1442" s="173"/>
    </row>
    <row r="1443" spans="2:55" s="134" customFormat="1" x14ac:dyDescent="0.2">
      <c r="B1443" s="145"/>
      <c r="D1443" s="145"/>
      <c r="Z1443" s="177"/>
      <c r="AA1443" s="178"/>
      <c r="AB1443" s="139"/>
      <c r="AC1443" s="173"/>
      <c r="AD1443" s="177"/>
      <c r="AE1443" s="177"/>
      <c r="AF1443" s="139"/>
      <c r="AG1443" s="139"/>
      <c r="AH1443" s="177"/>
      <c r="AI1443" s="178"/>
      <c r="AJ1443" s="139"/>
      <c r="AK1443" s="173"/>
      <c r="AL1443" s="177"/>
      <c r="AM1443" s="178"/>
      <c r="AN1443" s="173"/>
      <c r="AO1443" s="173"/>
      <c r="AP1443" s="173"/>
      <c r="AQ1443" s="178"/>
      <c r="AR1443" s="173"/>
      <c r="AS1443" s="173"/>
      <c r="AT1443" s="140"/>
      <c r="AX1443" s="140"/>
      <c r="BB1443" s="173"/>
      <c r="BC1443" s="173"/>
    </row>
    <row r="1444" spans="2:55" s="134" customFormat="1" x14ac:dyDescent="0.2">
      <c r="B1444" s="145"/>
      <c r="D1444" s="145"/>
      <c r="Z1444" s="177"/>
      <c r="AA1444" s="178"/>
      <c r="AB1444" s="139"/>
      <c r="AC1444" s="173"/>
      <c r="AD1444" s="177"/>
      <c r="AE1444" s="177"/>
      <c r="AF1444" s="139"/>
      <c r="AG1444" s="139"/>
      <c r="AH1444" s="177"/>
      <c r="AI1444" s="178"/>
      <c r="AJ1444" s="139"/>
      <c r="AK1444" s="173"/>
      <c r="AL1444" s="177"/>
      <c r="AM1444" s="178"/>
      <c r="AN1444" s="173"/>
      <c r="AO1444" s="173"/>
      <c r="AP1444" s="173"/>
      <c r="AQ1444" s="178"/>
      <c r="AR1444" s="173"/>
      <c r="AS1444" s="173"/>
      <c r="AT1444" s="140"/>
      <c r="AX1444" s="140"/>
      <c r="BB1444" s="173"/>
      <c r="BC1444" s="173"/>
    </row>
    <row r="1445" spans="2:55" s="134" customFormat="1" x14ac:dyDescent="0.2">
      <c r="B1445" s="145"/>
      <c r="D1445" s="145"/>
      <c r="Z1445" s="177"/>
      <c r="AA1445" s="178"/>
      <c r="AB1445" s="139"/>
      <c r="AC1445" s="173"/>
      <c r="AD1445" s="177"/>
      <c r="AE1445" s="177"/>
      <c r="AF1445" s="139"/>
      <c r="AG1445" s="139"/>
      <c r="AH1445" s="177"/>
      <c r="AI1445" s="178"/>
      <c r="AJ1445" s="139"/>
      <c r="AK1445" s="173"/>
      <c r="AL1445" s="177"/>
      <c r="AM1445" s="178"/>
      <c r="AN1445" s="173"/>
      <c r="AO1445" s="173"/>
      <c r="AP1445" s="173"/>
      <c r="AQ1445" s="178"/>
      <c r="AR1445" s="173"/>
      <c r="AS1445" s="173"/>
      <c r="AT1445" s="140"/>
      <c r="AX1445" s="140"/>
      <c r="BB1445" s="173"/>
      <c r="BC1445" s="173"/>
    </row>
    <row r="1446" spans="2:55" s="134" customFormat="1" x14ac:dyDescent="0.2">
      <c r="B1446" s="145"/>
      <c r="D1446" s="145"/>
      <c r="Z1446" s="177"/>
      <c r="AA1446" s="178"/>
      <c r="AB1446" s="139"/>
      <c r="AC1446" s="173"/>
      <c r="AD1446" s="177"/>
      <c r="AE1446" s="177"/>
      <c r="AF1446" s="139"/>
      <c r="AG1446" s="139"/>
      <c r="AH1446" s="177"/>
      <c r="AI1446" s="178"/>
      <c r="AJ1446" s="139"/>
      <c r="AK1446" s="173"/>
      <c r="AL1446" s="177"/>
      <c r="AM1446" s="178"/>
      <c r="AN1446" s="173"/>
      <c r="AO1446" s="173"/>
      <c r="AP1446" s="173"/>
      <c r="AQ1446" s="178"/>
      <c r="AR1446" s="173"/>
      <c r="AS1446" s="173"/>
      <c r="AT1446" s="140"/>
      <c r="AX1446" s="140"/>
      <c r="BB1446" s="173"/>
      <c r="BC1446" s="173"/>
    </row>
    <row r="1447" spans="2:55" s="134" customFormat="1" x14ac:dyDescent="0.2">
      <c r="B1447" s="145"/>
      <c r="D1447" s="145"/>
      <c r="Z1447" s="177"/>
      <c r="AA1447" s="178"/>
      <c r="AB1447" s="139"/>
      <c r="AC1447" s="173"/>
      <c r="AD1447" s="177"/>
      <c r="AE1447" s="177"/>
      <c r="AF1447" s="139"/>
      <c r="AG1447" s="139"/>
      <c r="AH1447" s="177"/>
      <c r="AI1447" s="178"/>
      <c r="AJ1447" s="139"/>
      <c r="AK1447" s="173"/>
      <c r="AL1447" s="177"/>
      <c r="AM1447" s="178"/>
      <c r="AN1447" s="173"/>
      <c r="AO1447" s="173"/>
      <c r="AP1447" s="173"/>
      <c r="AQ1447" s="178"/>
      <c r="AR1447" s="173"/>
      <c r="AS1447" s="173"/>
      <c r="AT1447" s="140"/>
      <c r="AX1447" s="140"/>
      <c r="BB1447" s="173"/>
      <c r="BC1447" s="173"/>
    </row>
    <row r="1448" spans="2:55" s="134" customFormat="1" x14ac:dyDescent="0.2">
      <c r="B1448" s="145"/>
      <c r="D1448" s="145"/>
      <c r="Z1448" s="177"/>
      <c r="AA1448" s="178"/>
      <c r="AB1448" s="139"/>
      <c r="AC1448" s="173"/>
      <c r="AD1448" s="177"/>
      <c r="AE1448" s="177"/>
      <c r="AF1448" s="139"/>
      <c r="AG1448" s="139"/>
      <c r="AH1448" s="177"/>
      <c r="AI1448" s="178"/>
      <c r="AJ1448" s="139"/>
      <c r="AK1448" s="173"/>
      <c r="AL1448" s="177"/>
      <c r="AM1448" s="178"/>
      <c r="AN1448" s="173"/>
      <c r="AO1448" s="173"/>
      <c r="AP1448" s="173"/>
      <c r="AQ1448" s="178"/>
      <c r="AR1448" s="173"/>
      <c r="AS1448" s="173"/>
      <c r="AT1448" s="140"/>
      <c r="AX1448" s="140"/>
      <c r="BB1448" s="173"/>
      <c r="BC1448" s="173"/>
    </row>
    <row r="1449" spans="2:55" s="134" customFormat="1" x14ac:dyDescent="0.2">
      <c r="B1449" s="145"/>
      <c r="D1449" s="145"/>
      <c r="Z1449" s="177"/>
      <c r="AA1449" s="178"/>
      <c r="AB1449" s="139"/>
      <c r="AC1449" s="173"/>
      <c r="AD1449" s="177"/>
      <c r="AE1449" s="177"/>
      <c r="AF1449" s="139"/>
      <c r="AG1449" s="139"/>
      <c r="AH1449" s="177"/>
      <c r="AI1449" s="178"/>
      <c r="AJ1449" s="139"/>
      <c r="AK1449" s="173"/>
      <c r="AL1449" s="177"/>
      <c r="AM1449" s="178"/>
      <c r="AN1449" s="173"/>
      <c r="AO1449" s="173"/>
      <c r="AP1449" s="173"/>
      <c r="AQ1449" s="178"/>
      <c r="AR1449" s="173"/>
      <c r="AS1449" s="173"/>
      <c r="AT1449" s="140"/>
      <c r="AX1449" s="140"/>
      <c r="BB1449" s="173"/>
      <c r="BC1449" s="173"/>
    </row>
    <row r="1450" spans="2:55" s="134" customFormat="1" x14ac:dyDescent="0.2">
      <c r="B1450" s="145"/>
      <c r="D1450" s="145"/>
      <c r="Z1450" s="177"/>
      <c r="AA1450" s="178"/>
      <c r="AB1450" s="139"/>
      <c r="AC1450" s="173"/>
      <c r="AD1450" s="177"/>
      <c r="AE1450" s="177"/>
      <c r="AF1450" s="139"/>
      <c r="AG1450" s="139"/>
      <c r="AH1450" s="177"/>
      <c r="AI1450" s="178"/>
      <c r="AJ1450" s="139"/>
      <c r="AK1450" s="173"/>
      <c r="AL1450" s="177"/>
      <c r="AM1450" s="178"/>
      <c r="AN1450" s="173"/>
      <c r="AO1450" s="173"/>
      <c r="AP1450" s="173"/>
      <c r="AQ1450" s="178"/>
      <c r="AR1450" s="173"/>
      <c r="AS1450" s="173"/>
      <c r="AT1450" s="140"/>
      <c r="AX1450" s="140"/>
      <c r="BB1450" s="173"/>
      <c r="BC1450" s="173"/>
    </row>
    <row r="1451" spans="2:55" s="134" customFormat="1" x14ac:dyDescent="0.2">
      <c r="B1451" s="145"/>
      <c r="D1451" s="145"/>
      <c r="Z1451" s="177"/>
      <c r="AA1451" s="178"/>
      <c r="AB1451" s="139"/>
      <c r="AC1451" s="173"/>
      <c r="AD1451" s="177"/>
      <c r="AE1451" s="177"/>
      <c r="AF1451" s="139"/>
      <c r="AG1451" s="139"/>
      <c r="AH1451" s="177"/>
      <c r="AI1451" s="178"/>
      <c r="AJ1451" s="139"/>
      <c r="AK1451" s="173"/>
      <c r="AL1451" s="177"/>
      <c r="AM1451" s="178"/>
      <c r="AN1451" s="173"/>
      <c r="AO1451" s="173"/>
      <c r="AP1451" s="173"/>
      <c r="AQ1451" s="178"/>
      <c r="AR1451" s="173"/>
      <c r="AS1451" s="173"/>
      <c r="AT1451" s="140"/>
      <c r="AX1451" s="140"/>
      <c r="BB1451" s="173"/>
      <c r="BC1451" s="173"/>
    </row>
    <row r="1452" spans="2:55" s="134" customFormat="1" x14ac:dyDescent="0.2">
      <c r="B1452" s="145"/>
      <c r="D1452" s="145"/>
      <c r="Z1452" s="177"/>
      <c r="AA1452" s="178"/>
      <c r="AB1452" s="139"/>
      <c r="AC1452" s="173"/>
      <c r="AD1452" s="177"/>
      <c r="AE1452" s="177"/>
      <c r="AF1452" s="139"/>
      <c r="AG1452" s="139"/>
      <c r="AH1452" s="177"/>
      <c r="AI1452" s="178"/>
      <c r="AJ1452" s="139"/>
      <c r="AK1452" s="173"/>
      <c r="AL1452" s="177"/>
      <c r="AM1452" s="178"/>
      <c r="AN1452" s="173"/>
      <c r="AO1452" s="173"/>
      <c r="AP1452" s="173"/>
      <c r="AQ1452" s="178"/>
      <c r="AR1452" s="173"/>
      <c r="AS1452" s="173"/>
      <c r="AT1452" s="140"/>
      <c r="AX1452" s="140"/>
      <c r="BB1452" s="173"/>
      <c r="BC1452" s="173"/>
    </row>
    <row r="1453" spans="2:55" s="134" customFormat="1" x14ac:dyDescent="0.2">
      <c r="B1453" s="145"/>
      <c r="D1453" s="145"/>
      <c r="Z1453" s="177"/>
      <c r="AA1453" s="178"/>
      <c r="AB1453" s="139"/>
      <c r="AC1453" s="173"/>
      <c r="AD1453" s="177"/>
      <c r="AE1453" s="177"/>
      <c r="AF1453" s="139"/>
      <c r="AG1453" s="139"/>
      <c r="AH1453" s="177"/>
      <c r="AI1453" s="178"/>
      <c r="AJ1453" s="139"/>
      <c r="AK1453" s="173"/>
      <c r="AL1453" s="177"/>
      <c r="AM1453" s="178"/>
      <c r="AN1453" s="173"/>
      <c r="AO1453" s="173"/>
      <c r="AP1453" s="173"/>
      <c r="AQ1453" s="178"/>
      <c r="AR1453" s="173"/>
      <c r="AS1453" s="173"/>
      <c r="AT1453" s="140"/>
      <c r="AX1453" s="140"/>
      <c r="BB1453" s="173"/>
      <c r="BC1453" s="173"/>
    </row>
    <row r="1454" spans="2:55" s="134" customFormat="1" x14ac:dyDescent="0.2">
      <c r="B1454" s="145"/>
      <c r="D1454" s="145"/>
      <c r="Z1454" s="177"/>
      <c r="AA1454" s="178"/>
      <c r="AB1454" s="139"/>
      <c r="AC1454" s="173"/>
      <c r="AD1454" s="177"/>
      <c r="AE1454" s="177"/>
      <c r="AF1454" s="139"/>
      <c r="AG1454" s="139"/>
      <c r="AH1454" s="177"/>
      <c r="AI1454" s="178"/>
      <c r="AJ1454" s="139"/>
      <c r="AK1454" s="173"/>
      <c r="AL1454" s="177"/>
      <c r="AM1454" s="178"/>
      <c r="AN1454" s="173"/>
      <c r="AO1454" s="173"/>
      <c r="AP1454" s="173"/>
      <c r="AQ1454" s="178"/>
      <c r="AR1454" s="173"/>
      <c r="AS1454" s="173"/>
      <c r="AT1454" s="140"/>
      <c r="AX1454" s="140"/>
      <c r="BB1454" s="173"/>
      <c r="BC1454" s="173"/>
    </row>
    <row r="1455" spans="2:55" s="134" customFormat="1" x14ac:dyDescent="0.2">
      <c r="B1455" s="145"/>
      <c r="D1455" s="145"/>
      <c r="Z1455" s="177"/>
      <c r="AA1455" s="178"/>
      <c r="AB1455" s="139"/>
      <c r="AC1455" s="173"/>
      <c r="AD1455" s="177"/>
      <c r="AE1455" s="177"/>
      <c r="AF1455" s="139"/>
      <c r="AG1455" s="139"/>
      <c r="AH1455" s="177"/>
      <c r="AI1455" s="178"/>
      <c r="AJ1455" s="139"/>
      <c r="AK1455" s="173"/>
      <c r="AL1455" s="177"/>
      <c r="AM1455" s="178"/>
      <c r="AN1455" s="173"/>
      <c r="AO1455" s="173"/>
      <c r="AP1455" s="173"/>
      <c r="AQ1455" s="178"/>
      <c r="AR1455" s="173"/>
      <c r="AS1455" s="173"/>
      <c r="AT1455" s="140"/>
      <c r="AX1455" s="140"/>
      <c r="BB1455" s="173"/>
      <c r="BC1455" s="173"/>
    </row>
    <row r="1456" spans="2:55" s="134" customFormat="1" x14ac:dyDescent="0.2">
      <c r="B1456" s="145"/>
      <c r="D1456" s="145"/>
      <c r="Z1456" s="177"/>
      <c r="AA1456" s="178"/>
      <c r="AB1456" s="139"/>
      <c r="AC1456" s="173"/>
      <c r="AD1456" s="177"/>
      <c r="AE1456" s="177"/>
      <c r="AF1456" s="139"/>
      <c r="AG1456" s="139"/>
      <c r="AH1456" s="177"/>
      <c r="AI1456" s="178"/>
      <c r="AJ1456" s="139"/>
      <c r="AK1456" s="173"/>
      <c r="AL1456" s="177"/>
      <c r="AM1456" s="178"/>
      <c r="AN1456" s="173"/>
      <c r="AO1456" s="173"/>
      <c r="AP1456" s="173"/>
      <c r="AQ1456" s="178"/>
      <c r="AR1456" s="173"/>
      <c r="AS1456" s="173"/>
      <c r="AT1456" s="140"/>
      <c r="AX1456" s="140"/>
      <c r="BB1456" s="173"/>
      <c r="BC1456" s="173"/>
    </row>
    <row r="1457" spans="2:55" s="134" customFormat="1" x14ac:dyDescent="0.2">
      <c r="B1457" s="145"/>
      <c r="D1457" s="145"/>
      <c r="Z1457" s="177"/>
      <c r="AA1457" s="178"/>
      <c r="AB1457" s="139"/>
      <c r="AC1457" s="173"/>
      <c r="AD1457" s="177"/>
      <c r="AE1457" s="177"/>
      <c r="AF1457" s="139"/>
      <c r="AG1457" s="139"/>
      <c r="AH1457" s="177"/>
      <c r="AI1457" s="178"/>
      <c r="AJ1457" s="139"/>
      <c r="AK1457" s="173"/>
      <c r="AL1457" s="177"/>
      <c r="AM1457" s="178"/>
      <c r="AN1457" s="173"/>
      <c r="AO1457" s="173"/>
      <c r="AP1457" s="173"/>
      <c r="AQ1457" s="178"/>
      <c r="AR1457" s="173"/>
      <c r="AS1457" s="173"/>
      <c r="AT1457" s="140"/>
      <c r="AX1457" s="140"/>
      <c r="BB1457" s="173"/>
      <c r="BC1457" s="173"/>
    </row>
    <row r="1458" spans="2:55" s="134" customFormat="1" x14ac:dyDescent="0.2">
      <c r="B1458" s="145"/>
      <c r="D1458" s="145"/>
      <c r="Z1458" s="177"/>
      <c r="AA1458" s="178"/>
      <c r="AB1458" s="139"/>
      <c r="AC1458" s="173"/>
      <c r="AD1458" s="177"/>
      <c r="AE1458" s="177"/>
      <c r="AF1458" s="139"/>
      <c r="AG1458" s="139"/>
      <c r="AH1458" s="177"/>
      <c r="AI1458" s="178"/>
      <c r="AJ1458" s="139"/>
      <c r="AK1458" s="173"/>
      <c r="AL1458" s="177"/>
      <c r="AM1458" s="178"/>
      <c r="AN1458" s="173"/>
      <c r="AO1458" s="173"/>
      <c r="AP1458" s="173"/>
      <c r="AQ1458" s="178"/>
      <c r="AR1458" s="173"/>
      <c r="AS1458" s="173"/>
      <c r="AT1458" s="140"/>
      <c r="AX1458" s="140"/>
      <c r="BB1458" s="173"/>
      <c r="BC1458" s="173"/>
    </row>
    <row r="1459" spans="2:55" s="134" customFormat="1" x14ac:dyDescent="0.2">
      <c r="B1459" s="145"/>
      <c r="D1459" s="145"/>
      <c r="Z1459" s="177"/>
      <c r="AA1459" s="178"/>
      <c r="AB1459" s="139"/>
      <c r="AC1459" s="173"/>
      <c r="AD1459" s="177"/>
      <c r="AE1459" s="177"/>
      <c r="AF1459" s="139"/>
      <c r="AG1459" s="139"/>
      <c r="AH1459" s="177"/>
      <c r="AI1459" s="178"/>
      <c r="AJ1459" s="139"/>
      <c r="AK1459" s="173"/>
      <c r="AL1459" s="177"/>
      <c r="AM1459" s="178"/>
      <c r="AN1459" s="173"/>
      <c r="AO1459" s="173"/>
      <c r="AP1459" s="173"/>
      <c r="AQ1459" s="178"/>
      <c r="AR1459" s="173"/>
      <c r="AS1459" s="173"/>
      <c r="AT1459" s="140"/>
      <c r="AX1459" s="140"/>
      <c r="BB1459" s="173"/>
      <c r="BC1459" s="173"/>
    </row>
    <row r="1460" spans="2:55" s="134" customFormat="1" x14ac:dyDescent="0.2">
      <c r="B1460" s="145"/>
      <c r="D1460" s="145"/>
      <c r="Z1460" s="177"/>
      <c r="AA1460" s="178"/>
      <c r="AB1460" s="139"/>
      <c r="AC1460" s="173"/>
      <c r="AD1460" s="177"/>
      <c r="AE1460" s="177"/>
      <c r="AF1460" s="139"/>
      <c r="AG1460" s="139"/>
      <c r="AH1460" s="177"/>
      <c r="AI1460" s="178"/>
      <c r="AJ1460" s="139"/>
      <c r="AK1460" s="173"/>
      <c r="AL1460" s="177"/>
      <c r="AM1460" s="178"/>
      <c r="AN1460" s="173"/>
      <c r="AO1460" s="173"/>
      <c r="AP1460" s="173"/>
      <c r="AQ1460" s="178"/>
      <c r="AR1460" s="173"/>
      <c r="AS1460" s="173"/>
      <c r="AT1460" s="140"/>
      <c r="AX1460" s="140"/>
      <c r="BB1460" s="173"/>
      <c r="BC1460" s="173"/>
    </row>
    <row r="1461" spans="2:55" s="134" customFormat="1" x14ac:dyDescent="0.2">
      <c r="B1461" s="145"/>
      <c r="D1461" s="145"/>
      <c r="Z1461" s="177"/>
      <c r="AA1461" s="178"/>
      <c r="AB1461" s="139"/>
      <c r="AC1461" s="173"/>
      <c r="AD1461" s="177"/>
      <c r="AE1461" s="177"/>
      <c r="AF1461" s="139"/>
      <c r="AG1461" s="139"/>
      <c r="AH1461" s="177"/>
      <c r="AI1461" s="178"/>
      <c r="AJ1461" s="139"/>
      <c r="AK1461" s="173"/>
      <c r="AL1461" s="177"/>
      <c r="AM1461" s="178"/>
      <c r="AN1461" s="173"/>
      <c r="AO1461" s="173"/>
      <c r="AP1461" s="173"/>
      <c r="AQ1461" s="178"/>
      <c r="AR1461" s="173"/>
      <c r="AS1461" s="173"/>
      <c r="AT1461" s="140"/>
      <c r="AX1461" s="140"/>
      <c r="BB1461" s="173"/>
      <c r="BC1461" s="173"/>
    </row>
    <row r="1462" spans="2:55" s="134" customFormat="1" x14ac:dyDescent="0.2">
      <c r="B1462" s="145"/>
      <c r="D1462" s="145"/>
      <c r="Z1462" s="177"/>
      <c r="AA1462" s="178"/>
      <c r="AB1462" s="139"/>
      <c r="AC1462" s="173"/>
      <c r="AD1462" s="177"/>
      <c r="AE1462" s="177"/>
      <c r="AF1462" s="139"/>
      <c r="AG1462" s="139"/>
      <c r="AH1462" s="177"/>
      <c r="AI1462" s="178"/>
      <c r="AJ1462" s="139"/>
      <c r="AK1462" s="173"/>
      <c r="AL1462" s="177"/>
      <c r="AM1462" s="178"/>
      <c r="AN1462" s="173"/>
      <c r="AO1462" s="173"/>
      <c r="AP1462" s="173"/>
      <c r="AQ1462" s="178"/>
      <c r="AR1462" s="173"/>
      <c r="AS1462" s="173"/>
      <c r="AT1462" s="140"/>
      <c r="AX1462" s="140"/>
      <c r="BB1462" s="173"/>
      <c r="BC1462" s="173"/>
    </row>
    <row r="1463" spans="2:55" s="134" customFormat="1" x14ac:dyDescent="0.2">
      <c r="B1463" s="145"/>
      <c r="D1463" s="145"/>
      <c r="Z1463" s="177"/>
      <c r="AA1463" s="178"/>
      <c r="AB1463" s="139"/>
      <c r="AC1463" s="173"/>
      <c r="AD1463" s="177"/>
      <c r="AE1463" s="177"/>
      <c r="AF1463" s="139"/>
      <c r="AG1463" s="139"/>
      <c r="AH1463" s="177"/>
      <c r="AI1463" s="178"/>
      <c r="AJ1463" s="139"/>
      <c r="AK1463" s="173"/>
      <c r="AL1463" s="177"/>
      <c r="AM1463" s="178"/>
      <c r="AN1463" s="173"/>
      <c r="AO1463" s="173"/>
      <c r="AP1463" s="173"/>
      <c r="AQ1463" s="178"/>
      <c r="AR1463" s="173"/>
      <c r="AS1463" s="173"/>
      <c r="AT1463" s="140"/>
      <c r="AX1463" s="140"/>
      <c r="BB1463" s="173"/>
      <c r="BC1463" s="173"/>
    </row>
    <row r="1464" spans="2:55" s="134" customFormat="1" x14ac:dyDescent="0.2">
      <c r="B1464" s="145"/>
      <c r="D1464" s="145"/>
      <c r="Z1464" s="177"/>
      <c r="AA1464" s="178"/>
      <c r="AB1464" s="139"/>
      <c r="AC1464" s="173"/>
      <c r="AD1464" s="177"/>
      <c r="AE1464" s="177"/>
      <c r="AF1464" s="139"/>
      <c r="AG1464" s="139"/>
      <c r="AH1464" s="177"/>
      <c r="AI1464" s="178"/>
      <c r="AJ1464" s="139"/>
      <c r="AK1464" s="173"/>
      <c r="AL1464" s="177"/>
      <c r="AM1464" s="178"/>
      <c r="AN1464" s="173"/>
      <c r="AO1464" s="173"/>
      <c r="AP1464" s="173"/>
      <c r="AQ1464" s="178"/>
      <c r="AR1464" s="173"/>
      <c r="AS1464" s="173"/>
      <c r="AT1464" s="140"/>
      <c r="AX1464" s="140"/>
      <c r="BB1464" s="173"/>
      <c r="BC1464" s="173"/>
    </row>
    <row r="1465" spans="2:55" s="134" customFormat="1" x14ac:dyDescent="0.2">
      <c r="B1465" s="145"/>
      <c r="D1465" s="145"/>
      <c r="Z1465" s="177"/>
      <c r="AA1465" s="178"/>
      <c r="AB1465" s="139"/>
      <c r="AC1465" s="173"/>
      <c r="AD1465" s="177"/>
      <c r="AE1465" s="177"/>
      <c r="AF1465" s="139"/>
      <c r="AG1465" s="139"/>
      <c r="AH1465" s="177"/>
      <c r="AI1465" s="178"/>
      <c r="AJ1465" s="139"/>
      <c r="AK1465" s="173"/>
      <c r="AL1465" s="177"/>
      <c r="AM1465" s="178"/>
      <c r="AN1465" s="173"/>
      <c r="AO1465" s="173"/>
      <c r="AP1465" s="173"/>
      <c r="AQ1465" s="178"/>
      <c r="AR1465" s="173"/>
      <c r="AS1465" s="173"/>
      <c r="AT1465" s="140"/>
      <c r="AX1465" s="140"/>
      <c r="BB1465" s="173"/>
      <c r="BC1465" s="173"/>
    </row>
    <row r="1466" spans="2:55" s="134" customFormat="1" x14ac:dyDescent="0.2">
      <c r="B1466" s="145"/>
      <c r="D1466" s="145"/>
      <c r="Z1466" s="177"/>
      <c r="AA1466" s="178"/>
      <c r="AB1466" s="139"/>
      <c r="AC1466" s="173"/>
      <c r="AD1466" s="177"/>
      <c r="AE1466" s="177"/>
      <c r="AF1466" s="139"/>
      <c r="AG1466" s="139"/>
      <c r="AH1466" s="177"/>
      <c r="AI1466" s="178"/>
      <c r="AJ1466" s="139"/>
      <c r="AK1466" s="173"/>
      <c r="AL1466" s="177"/>
      <c r="AM1466" s="178"/>
      <c r="AN1466" s="173"/>
      <c r="AO1466" s="173"/>
      <c r="AP1466" s="173"/>
      <c r="AQ1466" s="178"/>
      <c r="AR1466" s="173"/>
      <c r="AS1466" s="173"/>
      <c r="AT1466" s="140"/>
      <c r="AX1466" s="140"/>
      <c r="BB1466" s="173"/>
      <c r="BC1466" s="173"/>
    </row>
    <row r="1467" spans="2:55" s="134" customFormat="1" x14ac:dyDescent="0.2">
      <c r="B1467" s="145"/>
      <c r="D1467" s="145"/>
      <c r="Z1467" s="177"/>
      <c r="AA1467" s="178"/>
      <c r="AB1467" s="139"/>
      <c r="AC1467" s="173"/>
      <c r="AD1467" s="177"/>
      <c r="AE1467" s="177"/>
      <c r="AF1467" s="139"/>
      <c r="AG1467" s="139"/>
      <c r="AH1467" s="177"/>
      <c r="AI1467" s="178"/>
      <c r="AJ1467" s="139"/>
      <c r="AK1467" s="173"/>
      <c r="AL1467" s="177"/>
      <c r="AM1467" s="178"/>
      <c r="AN1467" s="173"/>
      <c r="AO1467" s="173"/>
      <c r="AP1467" s="173"/>
      <c r="AQ1467" s="178"/>
      <c r="AR1467" s="173"/>
      <c r="AS1467" s="173"/>
      <c r="AT1467" s="140"/>
      <c r="AX1467" s="140"/>
      <c r="BB1467" s="173"/>
      <c r="BC1467" s="173"/>
    </row>
    <row r="1468" spans="2:55" s="134" customFormat="1" x14ac:dyDescent="0.2">
      <c r="B1468" s="145"/>
      <c r="D1468" s="145"/>
      <c r="Z1468" s="177"/>
      <c r="AA1468" s="178"/>
      <c r="AB1468" s="139"/>
      <c r="AC1468" s="173"/>
      <c r="AD1468" s="177"/>
      <c r="AE1468" s="177"/>
      <c r="AF1468" s="139"/>
      <c r="AG1468" s="139"/>
      <c r="AH1468" s="177"/>
      <c r="AI1468" s="178"/>
      <c r="AJ1468" s="139"/>
      <c r="AK1468" s="173"/>
      <c r="AL1468" s="177"/>
      <c r="AM1468" s="178"/>
      <c r="AN1468" s="173"/>
      <c r="AO1468" s="173"/>
      <c r="AP1468" s="173"/>
      <c r="AQ1468" s="178"/>
      <c r="AR1468" s="173"/>
      <c r="AS1468" s="173"/>
      <c r="AT1468" s="140"/>
      <c r="AX1468" s="140"/>
      <c r="BB1468" s="173"/>
      <c r="BC1468" s="173"/>
    </row>
    <row r="1469" spans="2:55" s="134" customFormat="1" x14ac:dyDescent="0.2">
      <c r="B1469" s="145"/>
      <c r="D1469" s="145"/>
      <c r="Z1469" s="177"/>
      <c r="AA1469" s="178"/>
      <c r="AB1469" s="139"/>
      <c r="AC1469" s="173"/>
      <c r="AD1469" s="177"/>
      <c r="AE1469" s="177"/>
      <c r="AF1469" s="139"/>
      <c r="AG1469" s="139"/>
      <c r="AH1469" s="177"/>
      <c r="AI1469" s="178"/>
      <c r="AJ1469" s="139"/>
      <c r="AK1469" s="173"/>
      <c r="AL1469" s="177"/>
      <c r="AM1469" s="178"/>
      <c r="AN1469" s="173"/>
      <c r="AO1469" s="173"/>
      <c r="AP1469" s="173"/>
      <c r="AQ1469" s="178"/>
      <c r="AR1469" s="173"/>
      <c r="AS1469" s="173"/>
      <c r="AT1469" s="140"/>
      <c r="AX1469" s="140"/>
      <c r="BB1469" s="173"/>
      <c r="BC1469" s="173"/>
    </row>
    <row r="1470" spans="2:55" s="134" customFormat="1" x14ac:dyDescent="0.2">
      <c r="B1470" s="145"/>
      <c r="D1470" s="145"/>
      <c r="Z1470" s="177"/>
      <c r="AA1470" s="178"/>
      <c r="AB1470" s="139"/>
      <c r="AC1470" s="173"/>
      <c r="AD1470" s="177"/>
      <c r="AE1470" s="177"/>
      <c r="AF1470" s="139"/>
      <c r="AG1470" s="139"/>
      <c r="AH1470" s="177"/>
      <c r="AI1470" s="178"/>
      <c r="AJ1470" s="139"/>
      <c r="AK1470" s="173"/>
      <c r="AL1470" s="177"/>
      <c r="AM1470" s="178"/>
      <c r="AN1470" s="173"/>
      <c r="AO1470" s="173"/>
      <c r="AP1470" s="173"/>
      <c r="AQ1470" s="178"/>
      <c r="AR1470" s="173"/>
      <c r="AS1470" s="173"/>
      <c r="AT1470" s="140"/>
      <c r="AX1470" s="140"/>
      <c r="BB1470" s="173"/>
      <c r="BC1470" s="173"/>
    </row>
    <row r="1471" spans="2:55" s="134" customFormat="1" x14ac:dyDescent="0.2">
      <c r="B1471" s="145"/>
      <c r="D1471" s="145"/>
      <c r="Z1471" s="177"/>
      <c r="AA1471" s="178"/>
      <c r="AB1471" s="139"/>
      <c r="AC1471" s="173"/>
      <c r="AD1471" s="177"/>
      <c r="AE1471" s="177"/>
      <c r="AF1471" s="139"/>
      <c r="AG1471" s="139"/>
      <c r="AH1471" s="177"/>
      <c r="AI1471" s="178"/>
      <c r="AJ1471" s="139"/>
      <c r="AK1471" s="173"/>
      <c r="AL1471" s="177"/>
      <c r="AM1471" s="178"/>
      <c r="AN1471" s="173"/>
      <c r="AO1471" s="173"/>
      <c r="AP1471" s="173"/>
      <c r="AQ1471" s="178"/>
      <c r="AR1471" s="173"/>
      <c r="AS1471" s="173"/>
      <c r="AT1471" s="140"/>
      <c r="AX1471" s="140"/>
      <c r="BB1471" s="173"/>
      <c r="BC1471" s="173"/>
    </row>
    <row r="1472" spans="2:55" s="134" customFormat="1" x14ac:dyDescent="0.2">
      <c r="B1472" s="145"/>
      <c r="D1472" s="145"/>
      <c r="Z1472" s="177"/>
      <c r="AA1472" s="178"/>
      <c r="AB1472" s="139"/>
      <c r="AC1472" s="173"/>
      <c r="AD1472" s="177"/>
      <c r="AE1472" s="177"/>
      <c r="AF1472" s="139"/>
      <c r="AG1472" s="139"/>
      <c r="AH1472" s="177"/>
      <c r="AI1472" s="178"/>
      <c r="AJ1472" s="139"/>
      <c r="AK1472" s="173"/>
      <c r="AL1472" s="177"/>
      <c r="AM1472" s="178"/>
      <c r="AN1472" s="173"/>
      <c r="AO1472" s="173"/>
      <c r="AP1472" s="173"/>
      <c r="AQ1472" s="178"/>
      <c r="AR1472" s="173"/>
      <c r="AS1472" s="173"/>
      <c r="AT1472" s="140"/>
      <c r="AX1472" s="140"/>
      <c r="BB1472" s="173"/>
      <c r="BC1472" s="173"/>
    </row>
    <row r="1473" spans="2:55" s="134" customFormat="1" x14ac:dyDescent="0.2">
      <c r="B1473" s="145"/>
      <c r="D1473" s="145"/>
      <c r="Z1473" s="177"/>
      <c r="AA1473" s="178"/>
      <c r="AB1473" s="139"/>
      <c r="AC1473" s="173"/>
      <c r="AD1473" s="177"/>
      <c r="AE1473" s="177"/>
      <c r="AF1473" s="139"/>
      <c r="AG1473" s="139"/>
      <c r="AH1473" s="177"/>
      <c r="AI1473" s="178"/>
      <c r="AJ1473" s="139"/>
      <c r="AK1473" s="173"/>
      <c r="AL1473" s="177"/>
      <c r="AM1473" s="178"/>
      <c r="AN1473" s="173"/>
      <c r="AO1473" s="173"/>
      <c r="AP1473" s="173"/>
      <c r="AQ1473" s="178"/>
      <c r="AR1473" s="173"/>
      <c r="AS1473" s="173"/>
      <c r="AT1473" s="140"/>
      <c r="AX1473" s="140"/>
      <c r="BB1473" s="173"/>
      <c r="BC1473" s="173"/>
    </row>
    <row r="1474" spans="2:55" s="134" customFormat="1" x14ac:dyDescent="0.2">
      <c r="B1474" s="145"/>
      <c r="D1474" s="145"/>
      <c r="Z1474" s="177"/>
      <c r="AA1474" s="178"/>
      <c r="AB1474" s="139"/>
      <c r="AC1474" s="173"/>
      <c r="AD1474" s="177"/>
      <c r="AE1474" s="177"/>
      <c r="AF1474" s="139"/>
      <c r="AG1474" s="139"/>
      <c r="AH1474" s="177"/>
      <c r="AI1474" s="178"/>
      <c r="AJ1474" s="139"/>
      <c r="AK1474" s="173"/>
      <c r="AL1474" s="177"/>
      <c r="AM1474" s="178"/>
      <c r="AN1474" s="173"/>
      <c r="AO1474" s="173"/>
      <c r="AP1474" s="173"/>
      <c r="AQ1474" s="178"/>
      <c r="AR1474" s="173"/>
      <c r="AS1474" s="173"/>
      <c r="AT1474" s="140"/>
      <c r="AX1474" s="140"/>
      <c r="BB1474" s="173"/>
      <c r="BC1474" s="173"/>
    </row>
    <row r="1475" spans="2:55" s="134" customFormat="1" x14ac:dyDescent="0.2">
      <c r="B1475" s="145"/>
      <c r="D1475" s="145"/>
      <c r="Z1475" s="177"/>
      <c r="AA1475" s="178"/>
      <c r="AB1475" s="139"/>
      <c r="AC1475" s="173"/>
      <c r="AD1475" s="177"/>
      <c r="AE1475" s="177"/>
      <c r="AF1475" s="139"/>
      <c r="AG1475" s="139"/>
      <c r="AH1475" s="177"/>
      <c r="AI1475" s="178"/>
      <c r="AJ1475" s="139"/>
      <c r="AK1475" s="173"/>
      <c r="AL1475" s="177"/>
      <c r="AM1475" s="178"/>
      <c r="AN1475" s="173"/>
      <c r="AO1475" s="173"/>
      <c r="AP1475" s="173"/>
      <c r="AQ1475" s="178"/>
      <c r="AR1475" s="173"/>
      <c r="AS1475" s="173"/>
      <c r="AT1475" s="140"/>
      <c r="AX1475" s="140"/>
      <c r="BB1475" s="173"/>
      <c r="BC1475" s="173"/>
    </row>
    <row r="1476" spans="2:55" s="134" customFormat="1" x14ac:dyDescent="0.2">
      <c r="B1476" s="145"/>
      <c r="D1476" s="145"/>
      <c r="Z1476" s="177"/>
      <c r="AA1476" s="178"/>
      <c r="AB1476" s="139"/>
      <c r="AC1476" s="173"/>
      <c r="AD1476" s="177"/>
      <c r="AE1476" s="177"/>
      <c r="AF1476" s="139"/>
      <c r="AG1476" s="139"/>
      <c r="AH1476" s="177"/>
      <c r="AI1476" s="178"/>
      <c r="AJ1476" s="139"/>
      <c r="AK1476" s="173"/>
      <c r="AL1476" s="177"/>
      <c r="AM1476" s="178"/>
      <c r="AN1476" s="173"/>
      <c r="AO1476" s="173"/>
      <c r="AP1476" s="173"/>
      <c r="AQ1476" s="178"/>
      <c r="AR1476" s="173"/>
      <c r="AS1476" s="173"/>
      <c r="AT1476" s="140"/>
      <c r="AX1476" s="140"/>
      <c r="BB1476" s="173"/>
      <c r="BC1476" s="173"/>
    </row>
    <row r="1477" spans="2:55" s="134" customFormat="1" x14ac:dyDescent="0.2">
      <c r="B1477" s="145"/>
      <c r="D1477" s="145"/>
      <c r="Z1477" s="177"/>
      <c r="AA1477" s="178"/>
      <c r="AB1477" s="139"/>
      <c r="AC1477" s="173"/>
      <c r="AD1477" s="177"/>
      <c r="AE1477" s="177"/>
      <c r="AF1477" s="139"/>
      <c r="AG1477" s="139"/>
      <c r="AH1477" s="177"/>
      <c r="AI1477" s="178"/>
      <c r="AJ1477" s="139"/>
      <c r="AK1477" s="173"/>
      <c r="AL1477" s="177"/>
      <c r="AM1477" s="178"/>
      <c r="AN1477" s="173"/>
      <c r="AO1477" s="173"/>
      <c r="AP1477" s="173"/>
      <c r="AQ1477" s="178"/>
      <c r="AR1477" s="173"/>
      <c r="AS1477" s="173"/>
      <c r="AT1477" s="140"/>
      <c r="AX1477" s="140"/>
      <c r="BB1477" s="173"/>
      <c r="BC1477" s="173"/>
    </row>
    <row r="1478" spans="2:55" s="134" customFormat="1" x14ac:dyDescent="0.2">
      <c r="B1478" s="145"/>
      <c r="D1478" s="145"/>
      <c r="Z1478" s="177"/>
      <c r="AA1478" s="178"/>
      <c r="AB1478" s="139"/>
      <c r="AC1478" s="173"/>
      <c r="AD1478" s="177"/>
      <c r="AE1478" s="177"/>
      <c r="AF1478" s="139"/>
      <c r="AG1478" s="139"/>
      <c r="AH1478" s="177"/>
      <c r="AI1478" s="178"/>
      <c r="AJ1478" s="139"/>
      <c r="AK1478" s="173"/>
      <c r="AL1478" s="177"/>
      <c r="AM1478" s="178"/>
      <c r="AN1478" s="173"/>
      <c r="AO1478" s="173"/>
      <c r="AP1478" s="173"/>
      <c r="AQ1478" s="178"/>
      <c r="AR1478" s="173"/>
      <c r="AS1478" s="173"/>
      <c r="AT1478" s="140"/>
      <c r="AX1478" s="140"/>
      <c r="BB1478" s="173"/>
      <c r="BC1478" s="173"/>
    </row>
    <row r="1479" spans="2:55" s="134" customFormat="1" x14ac:dyDescent="0.2">
      <c r="B1479" s="145"/>
      <c r="D1479" s="145"/>
      <c r="Z1479" s="177"/>
      <c r="AA1479" s="178"/>
      <c r="AB1479" s="139"/>
      <c r="AC1479" s="173"/>
      <c r="AD1479" s="177"/>
      <c r="AE1479" s="177"/>
      <c r="AF1479" s="139"/>
      <c r="AG1479" s="139"/>
      <c r="AH1479" s="177"/>
      <c r="AI1479" s="178"/>
      <c r="AJ1479" s="139"/>
      <c r="AK1479" s="173"/>
      <c r="AL1479" s="177"/>
      <c r="AM1479" s="178"/>
      <c r="AN1479" s="173"/>
      <c r="AO1479" s="173"/>
      <c r="AP1479" s="173"/>
      <c r="AQ1479" s="178"/>
      <c r="AR1479" s="173"/>
      <c r="AS1479" s="173"/>
      <c r="AT1479" s="140"/>
      <c r="AX1479" s="140"/>
      <c r="BB1479" s="173"/>
      <c r="BC1479" s="173"/>
    </row>
    <row r="1480" spans="2:55" s="134" customFormat="1" x14ac:dyDescent="0.2">
      <c r="B1480" s="145"/>
      <c r="D1480" s="145"/>
      <c r="Z1480" s="177"/>
      <c r="AA1480" s="178"/>
      <c r="AB1480" s="139"/>
      <c r="AC1480" s="173"/>
      <c r="AD1480" s="177"/>
      <c r="AE1480" s="177"/>
      <c r="AF1480" s="139"/>
      <c r="AG1480" s="139"/>
      <c r="AH1480" s="177"/>
      <c r="AI1480" s="178"/>
      <c r="AJ1480" s="139"/>
      <c r="AK1480" s="173"/>
      <c r="AL1480" s="177"/>
      <c r="AM1480" s="178"/>
      <c r="AN1480" s="173"/>
      <c r="AO1480" s="173"/>
      <c r="AP1480" s="173"/>
      <c r="AQ1480" s="178"/>
      <c r="AR1480" s="173"/>
      <c r="AS1480" s="173"/>
      <c r="AT1480" s="140"/>
      <c r="AX1480" s="140"/>
      <c r="BB1480" s="173"/>
      <c r="BC1480" s="173"/>
    </row>
    <row r="1481" spans="2:55" s="134" customFormat="1" x14ac:dyDescent="0.2">
      <c r="B1481" s="145"/>
      <c r="D1481" s="145"/>
      <c r="Z1481" s="177"/>
      <c r="AA1481" s="178"/>
      <c r="AB1481" s="139"/>
      <c r="AC1481" s="173"/>
      <c r="AD1481" s="177"/>
      <c r="AE1481" s="177"/>
      <c r="AF1481" s="139"/>
      <c r="AG1481" s="139"/>
      <c r="AH1481" s="177"/>
      <c r="AI1481" s="178"/>
      <c r="AJ1481" s="139"/>
      <c r="AK1481" s="173"/>
      <c r="AL1481" s="177"/>
      <c r="AM1481" s="178"/>
      <c r="AN1481" s="173"/>
      <c r="AO1481" s="173"/>
      <c r="AP1481" s="173"/>
      <c r="AQ1481" s="178"/>
      <c r="AR1481" s="173"/>
      <c r="AS1481" s="173"/>
      <c r="AT1481" s="140"/>
      <c r="AX1481" s="140"/>
      <c r="BB1481" s="173"/>
      <c r="BC1481" s="173"/>
    </row>
    <row r="1482" spans="2:55" s="134" customFormat="1" x14ac:dyDescent="0.2">
      <c r="B1482" s="145"/>
      <c r="D1482" s="145"/>
      <c r="Z1482" s="177"/>
      <c r="AA1482" s="178"/>
      <c r="AB1482" s="139"/>
      <c r="AC1482" s="173"/>
      <c r="AD1482" s="177"/>
      <c r="AE1482" s="177"/>
      <c r="AF1482" s="139"/>
      <c r="AG1482" s="139"/>
      <c r="AH1482" s="177"/>
      <c r="AI1482" s="178"/>
      <c r="AJ1482" s="139"/>
      <c r="AK1482" s="173"/>
      <c r="AL1482" s="177"/>
      <c r="AM1482" s="178"/>
      <c r="AN1482" s="173"/>
      <c r="AO1482" s="173"/>
      <c r="AP1482" s="173"/>
      <c r="AQ1482" s="178"/>
      <c r="AR1482" s="173"/>
      <c r="AS1482" s="173"/>
      <c r="AT1482" s="140"/>
      <c r="AX1482" s="140"/>
      <c r="BB1482" s="173"/>
      <c r="BC1482" s="173"/>
    </row>
    <row r="1483" spans="2:55" s="134" customFormat="1" x14ac:dyDescent="0.2">
      <c r="B1483" s="145"/>
      <c r="D1483" s="145"/>
      <c r="Z1483" s="177"/>
      <c r="AA1483" s="178"/>
      <c r="AB1483" s="139"/>
      <c r="AC1483" s="173"/>
      <c r="AD1483" s="177"/>
      <c r="AE1483" s="177"/>
      <c r="AF1483" s="139"/>
      <c r="AG1483" s="139"/>
      <c r="AH1483" s="177"/>
      <c r="AI1483" s="178"/>
      <c r="AJ1483" s="139"/>
      <c r="AK1483" s="173"/>
      <c r="AL1483" s="177"/>
      <c r="AM1483" s="178"/>
      <c r="AN1483" s="173"/>
      <c r="AO1483" s="173"/>
      <c r="AP1483" s="173"/>
      <c r="AQ1483" s="178"/>
      <c r="AR1483" s="173"/>
      <c r="AS1483" s="173"/>
      <c r="AT1483" s="140"/>
      <c r="AX1483" s="140"/>
      <c r="BB1483" s="173"/>
      <c r="BC1483" s="173"/>
    </row>
    <row r="1484" spans="2:55" s="134" customFormat="1" x14ac:dyDescent="0.2">
      <c r="B1484" s="145"/>
      <c r="D1484" s="145"/>
      <c r="Z1484" s="177"/>
      <c r="AA1484" s="178"/>
      <c r="AB1484" s="139"/>
      <c r="AC1484" s="173"/>
      <c r="AD1484" s="177"/>
      <c r="AE1484" s="177"/>
      <c r="AF1484" s="139"/>
      <c r="AG1484" s="139"/>
      <c r="AH1484" s="177"/>
      <c r="AI1484" s="178"/>
      <c r="AJ1484" s="139"/>
      <c r="AK1484" s="173"/>
      <c r="AL1484" s="177"/>
      <c r="AM1484" s="178"/>
      <c r="AN1484" s="173"/>
      <c r="AO1484" s="173"/>
      <c r="AP1484" s="173"/>
      <c r="AQ1484" s="178"/>
      <c r="AR1484" s="173"/>
      <c r="AS1484" s="173"/>
      <c r="AT1484" s="140"/>
      <c r="AX1484" s="140"/>
      <c r="BB1484" s="173"/>
      <c r="BC1484" s="173"/>
    </row>
    <row r="1485" spans="2:55" s="134" customFormat="1" x14ac:dyDescent="0.2">
      <c r="B1485" s="145"/>
      <c r="D1485" s="145"/>
      <c r="Z1485" s="177"/>
      <c r="AA1485" s="178"/>
      <c r="AB1485" s="139"/>
      <c r="AC1485" s="173"/>
      <c r="AD1485" s="177"/>
      <c r="AE1485" s="177"/>
      <c r="AF1485" s="139"/>
      <c r="AG1485" s="139"/>
      <c r="AH1485" s="177"/>
      <c r="AI1485" s="178"/>
      <c r="AJ1485" s="139"/>
      <c r="AK1485" s="173"/>
      <c r="AL1485" s="177"/>
      <c r="AM1485" s="178"/>
      <c r="AN1485" s="173"/>
      <c r="AO1485" s="173"/>
      <c r="AP1485" s="173"/>
      <c r="AQ1485" s="178"/>
      <c r="AR1485" s="173"/>
      <c r="AS1485" s="173"/>
      <c r="AT1485" s="140"/>
      <c r="AX1485" s="140"/>
      <c r="BB1485" s="173"/>
      <c r="BC1485" s="173"/>
    </row>
    <row r="1486" spans="2:55" s="134" customFormat="1" x14ac:dyDescent="0.2">
      <c r="B1486" s="145"/>
      <c r="D1486" s="145"/>
      <c r="Z1486" s="177"/>
      <c r="AA1486" s="178"/>
      <c r="AB1486" s="139"/>
      <c r="AC1486" s="173"/>
      <c r="AD1486" s="177"/>
      <c r="AE1486" s="177"/>
      <c r="AF1486" s="139"/>
      <c r="AG1486" s="139"/>
      <c r="AH1486" s="177"/>
      <c r="AI1486" s="178"/>
      <c r="AJ1486" s="139"/>
      <c r="AK1486" s="173"/>
      <c r="AL1486" s="177"/>
      <c r="AM1486" s="178"/>
      <c r="AN1486" s="173"/>
      <c r="AO1486" s="173"/>
      <c r="AP1486" s="173"/>
      <c r="AQ1486" s="178"/>
      <c r="AR1486" s="173"/>
      <c r="AS1486" s="173"/>
      <c r="AT1486" s="140"/>
      <c r="AX1486" s="140"/>
      <c r="BB1486" s="173"/>
      <c r="BC1486" s="173"/>
    </row>
    <row r="1487" spans="2:55" s="134" customFormat="1" x14ac:dyDescent="0.2">
      <c r="B1487" s="145"/>
      <c r="D1487" s="145"/>
      <c r="Z1487" s="177"/>
      <c r="AA1487" s="178"/>
      <c r="AB1487" s="139"/>
      <c r="AC1487" s="173"/>
      <c r="AD1487" s="177"/>
      <c r="AE1487" s="177"/>
      <c r="AF1487" s="139"/>
      <c r="AG1487" s="139"/>
      <c r="AH1487" s="177"/>
      <c r="AI1487" s="178"/>
      <c r="AJ1487" s="139"/>
      <c r="AK1487" s="173"/>
      <c r="AL1487" s="177"/>
      <c r="AM1487" s="178"/>
      <c r="AN1487" s="173"/>
      <c r="AO1487" s="173"/>
      <c r="AP1487" s="173"/>
      <c r="AQ1487" s="178"/>
      <c r="AR1487" s="173"/>
      <c r="AS1487" s="173"/>
      <c r="AT1487" s="140"/>
      <c r="AX1487" s="140"/>
      <c r="BB1487" s="173"/>
      <c r="BC1487" s="173"/>
    </row>
    <row r="1488" spans="2:55" s="134" customFormat="1" x14ac:dyDescent="0.2">
      <c r="B1488" s="145"/>
      <c r="D1488" s="145"/>
      <c r="Z1488" s="177"/>
      <c r="AA1488" s="178"/>
      <c r="AB1488" s="139"/>
      <c r="AC1488" s="173"/>
      <c r="AD1488" s="177"/>
      <c r="AE1488" s="177"/>
      <c r="AF1488" s="139"/>
      <c r="AG1488" s="139"/>
      <c r="AH1488" s="177"/>
      <c r="AI1488" s="178"/>
      <c r="AJ1488" s="139"/>
      <c r="AK1488" s="173"/>
      <c r="AL1488" s="177"/>
      <c r="AM1488" s="178"/>
      <c r="AN1488" s="173"/>
      <c r="AO1488" s="173"/>
      <c r="AP1488" s="173"/>
      <c r="AQ1488" s="178"/>
      <c r="AR1488" s="173"/>
      <c r="AS1488" s="173"/>
      <c r="AT1488" s="140"/>
      <c r="AX1488" s="140"/>
      <c r="BB1488" s="173"/>
      <c r="BC1488" s="173"/>
    </row>
    <row r="1489" spans="2:55" s="134" customFormat="1" x14ac:dyDescent="0.2">
      <c r="B1489" s="145"/>
      <c r="D1489" s="145"/>
      <c r="Z1489" s="177"/>
      <c r="AA1489" s="178"/>
      <c r="AB1489" s="139"/>
      <c r="AC1489" s="173"/>
      <c r="AD1489" s="177"/>
      <c r="AE1489" s="177"/>
      <c r="AF1489" s="139"/>
      <c r="AG1489" s="139"/>
      <c r="AH1489" s="177"/>
      <c r="AI1489" s="178"/>
      <c r="AJ1489" s="139"/>
      <c r="AK1489" s="173"/>
      <c r="AL1489" s="177"/>
      <c r="AM1489" s="178"/>
      <c r="AN1489" s="173"/>
      <c r="AO1489" s="173"/>
      <c r="AP1489" s="173"/>
      <c r="AQ1489" s="178"/>
      <c r="AR1489" s="173"/>
      <c r="AS1489" s="173"/>
      <c r="AT1489" s="140"/>
      <c r="AX1489" s="140"/>
      <c r="BB1489" s="173"/>
      <c r="BC1489" s="173"/>
    </row>
    <row r="1490" spans="2:55" s="134" customFormat="1" x14ac:dyDescent="0.2">
      <c r="B1490" s="145"/>
      <c r="D1490" s="145"/>
      <c r="Z1490" s="177"/>
      <c r="AA1490" s="178"/>
      <c r="AB1490" s="139"/>
      <c r="AC1490" s="173"/>
      <c r="AD1490" s="177"/>
      <c r="AE1490" s="177"/>
      <c r="AF1490" s="139"/>
      <c r="AG1490" s="139"/>
      <c r="AH1490" s="177"/>
      <c r="AI1490" s="178"/>
      <c r="AJ1490" s="139"/>
      <c r="AK1490" s="173"/>
      <c r="AL1490" s="177"/>
      <c r="AM1490" s="178"/>
      <c r="AN1490" s="173"/>
      <c r="AO1490" s="173"/>
      <c r="AP1490" s="173"/>
      <c r="AQ1490" s="178"/>
      <c r="AR1490" s="173"/>
      <c r="AS1490" s="173"/>
      <c r="AT1490" s="140"/>
      <c r="AX1490" s="140"/>
      <c r="BB1490" s="173"/>
      <c r="BC1490" s="173"/>
    </row>
    <row r="1491" spans="2:55" s="134" customFormat="1" x14ac:dyDescent="0.2">
      <c r="B1491" s="145"/>
      <c r="D1491" s="145"/>
      <c r="Z1491" s="177"/>
      <c r="AA1491" s="178"/>
      <c r="AB1491" s="139"/>
      <c r="AC1491" s="173"/>
      <c r="AD1491" s="177"/>
      <c r="AE1491" s="177"/>
      <c r="AF1491" s="139"/>
      <c r="AG1491" s="139"/>
      <c r="AH1491" s="177"/>
      <c r="AI1491" s="178"/>
      <c r="AJ1491" s="139"/>
      <c r="AK1491" s="173"/>
      <c r="AL1491" s="177"/>
      <c r="AM1491" s="178"/>
      <c r="AN1491" s="173"/>
      <c r="AO1491" s="173"/>
      <c r="AP1491" s="173"/>
      <c r="AQ1491" s="178"/>
      <c r="AR1491" s="173"/>
      <c r="AS1491" s="173"/>
      <c r="AT1491" s="140"/>
      <c r="AX1491" s="140"/>
      <c r="BB1491" s="173"/>
      <c r="BC1491" s="173"/>
    </row>
    <row r="1492" spans="2:55" s="134" customFormat="1" x14ac:dyDescent="0.2">
      <c r="B1492" s="145"/>
      <c r="D1492" s="145"/>
      <c r="Z1492" s="177"/>
      <c r="AA1492" s="178"/>
      <c r="AB1492" s="139"/>
      <c r="AC1492" s="173"/>
      <c r="AD1492" s="177"/>
      <c r="AE1492" s="177"/>
      <c r="AF1492" s="139"/>
      <c r="AG1492" s="139"/>
      <c r="AH1492" s="177"/>
      <c r="AI1492" s="178"/>
      <c r="AJ1492" s="139"/>
      <c r="AK1492" s="173"/>
      <c r="AL1492" s="177"/>
      <c r="AM1492" s="178"/>
      <c r="AN1492" s="173"/>
      <c r="AO1492" s="173"/>
      <c r="AP1492" s="173"/>
      <c r="AQ1492" s="178"/>
      <c r="AR1492" s="173"/>
      <c r="AS1492" s="173"/>
      <c r="AT1492" s="140"/>
      <c r="AX1492" s="140"/>
      <c r="BB1492" s="173"/>
      <c r="BC1492" s="173"/>
    </row>
    <row r="1493" spans="2:55" s="134" customFormat="1" x14ac:dyDescent="0.2">
      <c r="B1493" s="145"/>
      <c r="D1493" s="145"/>
      <c r="Z1493" s="177"/>
      <c r="AA1493" s="178"/>
      <c r="AB1493" s="139"/>
      <c r="AC1493" s="173"/>
      <c r="AD1493" s="177"/>
      <c r="AE1493" s="177"/>
      <c r="AF1493" s="139"/>
      <c r="AG1493" s="139"/>
      <c r="AH1493" s="177"/>
      <c r="AI1493" s="178"/>
      <c r="AJ1493" s="139"/>
      <c r="AK1493" s="173"/>
      <c r="AL1493" s="177"/>
      <c r="AM1493" s="178"/>
      <c r="AN1493" s="173"/>
      <c r="AO1493" s="173"/>
      <c r="AP1493" s="173"/>
      <c r="AQ1493" s="178"/>
      <c r="AR1493" s="173"/>
      <c r="AS1493" s="173"/>
      <c r="AT1493" s="140"/>
      <c r="AX1493" s="140"/>
      <c r="BB1493" s="173"/>
      <c r="BC1493" s="173"/>
    </row>
    <row r="1494" spans="2:55" s="134" customFormat="1" x14ac:dyDescent="0.2">
      <c r="B1494" s="145"/>
      <c r="D1494" s="145"/>
      <c r="Z1494" s="177"/>
      <c r="AA1494" s="178"/>
      <c r="AB1494" s="139"/>
      <c r="AC1494" s="173"/>
      <c r="AD1494" s="177"/>
      <c r="AE1494" s="177"/>
      <c r="AF1494" s="139"/>
      <c r="AG1494" s="139"/>
      <c r="AH1494" s="177"/>
      <c r="AI1494" s="178"/>
      <c r="AJ1494" s="139"/>
      <c r="AK1494" s="173"/>
      <c r="AL1494" s="177"/>
      <c r="AM1494" s="178"/>
      <c r="AN1494" s="173"/>
      <c r="AO1494" s="173"/>
      <c r="AP1494" s="173"/>
      <c r="AQ1494" s="178"/>
      <c r="AR1494" s="173"/>
      <c r="AS1494" s="173"/>
      <c r="AT1494" s="140"/>
      <c r="AX1494" s="140"/>
      <c r="BB1494" s="173"/>
      <c r="BC1494" s="173"/>
    </row>
    <row r="1495" spans="2:55" s="134" customFormat="1" x14ac:dyDescent="0.2">
      <c r="B1495" s="145"/>
      <c r="D1495" s="145"/>
      <c r="Z1495" s="177"/>
      <c r="AA1495" s="178"/>
      <c r="AB1495" s="139"/>
      <c r="AC1495" s="173"/>
      <c r="AD1495" s="177"/>
      <c r="AE1495" s="177"/>
      <c r="AF1495" s="139"/>
      <c r="AG1495" s="139"/>
      <c r="AH1495" s="177"/>
      <c r="AI1495" s="178"/>
      <c r="AJ1495" s="139"/>
      <c r="AK1495" s="173"/>
      <c r="AL1495" s="177"/>
      <c r="AM1495" s="178"/>
      <c r="AN1495" s="173"/>
      <c r="AO1495" s="173"/>
      <c r="AP1495" s="173"/>
      <c r="AQ1495" s="178"/>
      <c r="AR1495" s="173"/>
      <c r="AS1495" s="173"/>
      <c r="AT1495" s="140"/>
      <c r="AX1495" s="140"/>
      <c r="BB1495" s="173"/>
      <c r="BC1495" s="173"/>
    </row>
    <row r="1496" spans="2:55" s="134" customFormat="1" x14ac:dyDescent="0.2">
      <c r="B1496" s="145"/>
      <c r="D1496" s="145"/>
      <c r="Z1496" s="177"/>
      <c r="AA1496" s="178"/>
      <c r="AB1496" s="139"/>
      <c r="AC1496" s="173"/>
      <c r="AD1496" s="177"/>
      <c r="AE1496" s="177"/>
      <c r="AF1496" s="139"/>
      <c r="AG1496" s="139"/>
      <c r="AH1496" s="177"/>
      <c r="AI1496" s="178"/>
      <c r="AJ1496" s="139"/>
      <c r="AK1496" s="173"/>
      <c r="AL1496" s="177"/>
      <c r="AM1496" s="178"/>
      <c r="AN1496" s="173"/>
      <c r="AO1496" s="173"/>
      <c r="AP1496" s="173"/>
      <c r="AQ1496" s="178"/>
      <c r="AR1496" s="173"/>
      <c r="AS1496" s="173"/>
      <c r="AT1496" s="140"/>
      <c r="AX1496" s="140"/>
      <c r="BB1496" s="173"/>
      <c r="BC1496" s="173"/>
    </row>
    <row r="1497" spans="2:55" s="134" customFormat="1" x14ac:dyDescent="0.2">
      <c r="B1497" s="145"/>
      <c r="D1497" s="145"/>
      <c r="Z1497" s="177"/>
      <c r="AA1497" s="178"/>
      <c r="AB1497" s="139"/>
      <c r="AC1497" s="173"/>
      <c r="AD1497" s="177"/>
      <c r="AE1497" s="177"/>
      <c r="AF1497" s="139"/>
      <c r="AG1497" s="139"/>
      <c r="AH1497" s="177"/>
      <c r="AI1497" s="178"/>
      <c r="AJ1497" s="139"/>
      <c r="AK1497" s="173"/>
      <c r="AL1497" s="177"/>
      <c r="AM1497" s="178"/>
      <c r="AN1497" s="173"/>
      <c r="AO1497" s="173"/>
      <c r="AP1497" s="173"/>
      <c r="AQ1497" s="178"/>
      <c r="AR1497" s="173"/>
      <c r="AS1497" s="173"/>
      <c r="AT1497" s="140"/>
      <c r="AX1497" s="140"/>
      <c r="BB1497" s="173"/>
      <c r="BC1497" s="173"/>
    </row>
    <row r="1498" spans="2:55" s="134" customFormat="1" x14ac:dyDescent="0.2">
      <c r="B1498" s="145"/>
      <c r="D1498" s="145"/>
      <c r="Z1498" s="177"/>
      <c r="AA1498" s="178"/>
      <c r="AB1498" s="139"/>
      <c r="AC1498" s="173"/>
      <c r="AD1498" s="177"/>
      <c r="AE1498" s="177"/>
      <c r="AF1498" s="139"/>
      <c r="AG1498" s="139"/>
      <c r="AH1498" s="177"/>
      <c r="AI1498" s="178"/>
      <c r="AJ1498" s="139"/>
      <c r="AK1498" s="173"/>
      <c r="AL1498" s="177"/>
      <c r="AM1498" s="178"/>
      <c r="AN1498" s="173"/>
      <c r="AO1498" s="173"/>
      <c r="AP1498" s="173"/>
      <c r="AQ1498" s="178"/>
      <c r="AR1498" s="173"/>
      <c r="AS1498" s="173"/>
      <c r="AT1498" s="140"/>
      <c r="AX1498" s="140"/>
      <c r="BB1498" s="173"/>
      <c r="BC1498" s="173"/>
    </row>
    <row r="1499" spans="2:55" s="134" customFormat="1" x14ac:dyDescent="0.2">
      <c r="B1499" s="145"/>
      <c r="D1499" s="145"/>
      <c r="Z1499" s="177"/>
      <c r="AA1499" s="178"/>
      <c r="AB1499" s="139"/>
      <c r="AC1499" s="173"/>
      <c r="AD1499" s="177"/>
      <c r="AE1499" s="177"/>
      <c r="AF1499" s="139"/>
      <c r="AG1499" s="139"/>
      <c r="AH1499" s="177"/>
      <c r="AI1499" s="178"/>
      <c r="AJ1499" s="139"/>
      <c r="AK1499" s="173"/>
      <c r="AL1499" s="177"/>
      <c r="AM1499" s="178"/>
      <c r="AN1499" s="173"/>
      <c r="AO1499" s="173"/>
      <c r="AP1499" s="173"/>
      <c r="AQ1499" s="178"/>
      <c r="AR1499" s="173"/>
      <c r="AS1499" s="173"/>
      <c r="AT1499" s="140"/>
      <c r="AX1499" s="140"/>
      <c r="BB1499" s="173"/>
      <c r="BC1499" s="173"/>
    </row>
    <row r="1500" spans="2:55" s="134" customFormat="1" x14ac:dyDescent="0.2">
      <c r="B1500" s="145"/>
      <c r="D1500" s="145"/>
      <c r="Z1500" s="177"/>
      <c r="AA1500" s="178"/>
      <c r="AB1500" s="139"/>
      <c r="AC1500" s="173"/>
      <c r="AD1500" s="177"/>
      <c r="AE1500" s="177"/>
      <c r="AF1500" s="139"/>
      <c r="AG1500" s="139"/>
      <c r="AH1500" s="177"/>
      <c r="AI1500" s="178"/>
      <c r="AJ1500" s="139"/>
      <c r="AK1500" s="173"/>
      <c r="AL1500" s="177"/>
      <c r="AM1500" s="178"/>
      <c r="AN1500" s="173"/>
      <c r="AO1500" s="173"/>
      <c r="AP1500" s="173"/>
      <c r="AQ1500" s="178"/>
      <c r="AR1500" s="173"/>
      <c r="AS1500" s="173"/>
      <c r="AT1500" s="140"/>
      <c r="AX1500" s="140"/>
      <c r="BB1500" s="173"/>
      <c r="BC1500" s="173"/>
    </row>
    <row r="1501" spans="2:55" s="134" customFormat="1" x14ac:dyDescent="0.2">
      <c r="B1501" s="145"/>
      <c r="D1501" s="145"/>
      <c r="Z1501" s="177"/>
      <c r="AA1501" s="178"/>
      <c r="AB1501" s="139"/>
      <c r="AC1501" s="173"/>
      <c r="AD1501" s="177"/>
      <c r="AE1501" s="177"/>
      <c r="AF1501" s="139"/>
      <c r="AG1501" s="139"/>
      <c r="AH1501" s="177"/>
      <c r="AI1501" s="178"/>
      <c r="AJ1501" s="139"/>
      <c r="AK1501" s="173"/>
      <c r="AL1501" s="177"/>
      <c r="AM1501" s="178"/>
      <c r="AN1501" s="173"/>
      <c r="AO1501" s="173"/>
      <c r="AP1501" s="173"/>
      <c r="AQ1501" s="178"/>
      <c r="AR1501" s="173"/>
      <c r="AS1501" s="173"/>
      <c r="AT1501" s="140"/>
      <c r="AX1501" s="140"/>
      <c r="BB1501" s="173"/>
      <c r="BC1501" s="173"/>
    </row>
    <row r="1502" spans="2:55" s="134" customFormat="1" x14ac:dyDescent="0.2">
      <c r="B1502" s="145"/>
      <c r="D1502" s="145"/>
      <c r="Z1502" s="177"/>
      <c r="AA1502" s="178"/>
      <c r="AB1502" s="139"/>
      <c r="AC1502" s="173"/>
      <c r="AD1502" s="177"/>
      <c r="AE1502" s="177"/>
      <c r="AF1502" s="139"/>
      <c r="AG1502" s="139"/>
      <c r="AH1502" s="177"/>
      <c r="AI1502" s="178"/>
      <c r="AJ1502" s="139"/>
      <c r="AK1502" s="173"/>
      <c r="AL1502" s="177"/>
      <c r="AM1502" s="178"/>
      <c r="AN1502" s="173"/>
      <c r="AO1502" s="173"/>
      <c r="AP1502" s="173"/>
      <c r="AQ1502" s="178"/>
      <c r="AR1502" s="173"/>
      <c r="AS1502" s="173"/>
      <c r="AT1502" s="140"/>
      <c r="AX1502" s="140"/>
      <c r="BB1502" s="173"/>
      <c r="BC1502" s="173"/>
    </row>
    <row r="1503" spans="2:55" s="134" customFormat="1" x14ac:dyDescent="0.2">
      <c r="B1503" s="145"/>
      <c r="D1503" s="145"/>
      <c r="Z1503" s="177"/>
      <c r="AA1503" s="178"/>
      <c r="AB1503" s="139"/>
      <c r="AC1503" s="173"/>
      <c r="AD1503" s="177"/>
      <c r="AE1503" s="177"/>
      <c r="AF1503" s="139"/>
      <c r="AG1503" s="139"/>
      <c r="AH1503" s="177"/>
      <c r="AI1503" s="178"/>
      <c r="AJ1503" s="139"/>
      <c r="AK1503" s="173"/>
      <c r="AL1503" s="177"/>
      <c r="AM1503" s="178"/>
      <c r="AN1503" s="173"/>
      <c r="AO1503" s="173"/>
      <c r="AP1503" s="173"/>
      <c r="AQ1503" s="178"/>
      <c r="AR1503" s="173"/>
      <c r="AS1503" s="173"/>
      <c r="AT1503" s="140"/>
      <c r="AX1503" s="140"/>
      <c r="BB1503" s="173"/>
      <c r="BC1503" s="173"/>
    </row>
    <row r="1504" spans="2:55" s="134" customFormat="1" x14ac:dyDescent="0.2">
      <c r="B1504" s="145"/>
      <c r="D1504" s="145"/>
      <c r="Z1504" s="177"/>
      <c r="AA1504" s="178"/>
      <c r="AB1504" s="139"/>
      <c r="AC1504" s="173"/>
      <c r="AD1504" s="177"/>
      <c r="AE1504" s="177"/>
      <c r="AF1504" s="139"/>
      <c r="AG1504" s="139"/>
      <c r="AH1504" s="177"/>
      <c r="AI1504" s="178"/>
      <c r="AJ1504" s="139"/>
      <c r="AK1504" s="173"/>
      <c r="AL1504" s="177"/>
      <c r="AM1504" s="178"/>
      <c r="AN1504" s="173"/>
      <c r="AO1504" s="173"/>
      <c r="AP1504" s="173"/>
      <c r="AQ1504" s="178"/>
      <c r="AR1504" s="173"/>
      <c r="AS1504" s="173"/>
      <c r="AT1504" s="140"/>
      <c r="AX1504" s="140"/>
      <c r="BB1504" s="173"/>
      <c r="BC1504" s="173"/>
    </row>
    <row r="1505" spans="2:55" s="134" customFormat="1" x14ac:dyDescent="0.2">
      <c r="B1505" s="145"/>
      <c r="D1505" s="145"/>
      <c r="Z1505" s="177"/>
      <c r="AA1505" s="178"/>
      <c r="AB1505" s="139"/>
      <c r="AC1505" s="173"/>
      <c r="AD1505" s="177"/>
      <c r="AE1505" s="177"/>
      <c r="AF1505" s="139"/>
      <c r="AG1505" s="139"/>
      <c r="AH1505" s="177"/>
      <c r="AI1505" s="178"/>
      <c r="AJ1505" s="139"/>
      <c r="AK1505" s="173"/>
      <c r="AL1505" s="177"/>
      <c r="AM1505" s="178"/>
      <c r="AN1505" s="173"/>
      <c r="AO1505" s="173"/>
      <c r="AP1505" s="173"/>
      <c r="AQ1505" s="178"/>
      <c r="AR1505" s="173"/>
      <c r="AS1505" s="173"/>
      <c r="AT1505" s="140"/>
      <c r="AX1505" s="140"/>
      <c r="BB1505" s="173"/>
      <c r="BC1505" s="173"/>
    </row>
    <row r="1506" spans="2:55" s="134" customFormat="1" x14ac:dyDescent="0.2">
      <c r="B1506" s="145"/>
      <c r="D1506" s="145"/>
      <c r="Z1506" s="177"/>
      <c r="AA1506" s="178"/>
      <c r="AB1506" s="139"/>
      <c r="AC1506" s="173"/>
      <c r="AD1506" s="177"/>
      <c r="AE1506" s="177"/>
      <c r="AF1506" s="139"/>
      <c r="AG1506" s="139"/>
      <c r="AH1506" s="177"/>
      <c r="AI1506" s="178"/>
      <c r="AJ1506" s="139"/>
      <c r="AK1506" s="173"/>
      <c r="AL1506" s="177"/>
      <c r="AM1506" s="178"/>
      <c r="AN1506" s="173"/>
      <c r="AO1506" s="173"/>
      <c r="AP1506" s="173"/>
      <c r="AQ1506" s="178"/>
      <c r="AR1506" s="173"/>
      <c r="AS1506" s="173"/>
      <c r="AT1506" s="140"/>
      <c r="AX1506" s="140"/>
      <c r="BB1506" s="173"/>
      <c r="BC1506" s="173"/>
    </row>
    <row r="1507" spans="2:55" s="134" customFormat="1" x14ac:dyDescent="0.2">
      <c r="B1507" s="145"/>
      <c r="D1507" s="145"/>
      <c r="Z1507" s="177"/>
      <c r="AA1507" s="178"/>
      <c r="AB1507" s="139"/>
      <c r="AC1507" s="173"/>
      <c r="AD1507" s="177"/>
      <c r="AE1507" s="177"/>
      <c r="AF1507" s="139"/>
      <c r="AG1507" s="139"/>
      <c r="AH1507" s="177"/>
      <c r="AI1507" s="178"/>
      <c r="AJ1507" s="139"/>
      <c r="AK1507" s="173"/>
      <c r="AL1507" s="177"/>
      <c r="AM1507" s="178"/>
      <c r="AN1507" s="173"/>
      <c r="AO1507" s="173"/>
      <c r="AP1507" s="173"/>
      <c r="AQ1507" s="178"/>
      <c r="AR1507" s="173"/>
      <c r="AS1507" s="173"/>
      <c r="AT1507" s="140"/>
      <c r="AX1507" s="140"/>
      <c r="BB1507" s="173"/>
      <c r="BC1507" s="173"/>
    </row>
    <row r="1508" spans="2:55" s="134" customFormat="1" x14ac:dyDescent="0.2">
      <c r="B1508" s="145"/>
      <c r="D1508" s="145"/>
      <c r="Z1508" s="177"/>
      <c r="AA1508" s="178"/>
      <c r="AB1508" s="139"/>
      <c r="AC1508" s="173"/>
      <c r="AD1508" s="177"/>
      <c r="AE1508" s="177"/>
      <c r="AF1508" s="139"/>
      <c r="AG1508" s="139"/>
      <c r="AH1508" s="177"/>
      <c r="AI1508" s="178"/>
      <c r="AJ1508" s="139"/>
      <c r="AK1508" s="173"/>
      <c r="AL1508" s="177"/>
      <c r="AM1508" s="178"/>
      <c r="AN1508" s="173"/>
      <c r="AO1508" s="173"/>
      <c r="AP1508" s="173"/>
      <c r="AQ1508" s="178"/>
      <c r="AR1508" s="173"/>
      <c r="AS1508" s="173"/>
      <c r="AT1508" s="140"/>
      <c r="AX1508" s="140"/>
      <c r="BB1508" s="173"/>
      <c r="BC1508" s="173"/>
    </row>
    <row r="1509" spans="2:55" s="134" customFormat="1" x14ac:dyDescent="0.2">
      <c r="B1509" s="145"/>
      <c r="D1509" s="145"/>
      <c r="Z1509" s="177"/>
      <c r="AA1509" s="178"/>
      <c r="AB1509" s="139"/>
      <c r="AC1509" s="173"/>
      <c r="AD1509" s="177"/>
      <c r="AE1509" s="177"/>
      <c r="AF1509" s="139"/>
      <c r="AG1509" s="139"/>
      <c r="AH1509" s="177"/>
      <c r="AI1509" s="178"/>
      <c r="AJ1509" s="139"/>
      <c r="AK1509" s="173"/>
      <c r="AL1509" s="177"/>
      <c r="AM1509" s="178"/>
      <c r="AN1509" s="173"/>
      <c r="AO1509" s="173"/>
      <c r="AP1509" s="173"/>
      <c r="AQ1509" s="178"/>
      <c r="AR1509" s="173"/>
      <c r="AS1509" s="173"/>
      <c r="AT1509" s="140"/>
      <c r="AX1509" s="140"/>
      <c r="BB1509" s="173"/>
      <c r="BC1509" s="173"/>
    </row>
    <row r="1510" spans="2:55" s="134" customFormat="1" x14ac:dyDescent="0.2">
      <c r="B1510" s="145"/>
      <c r="D1510" s="145"/>
      <c r="Z1510" s="177"/>
      <c r="AA1510" s="178"/>
      <c r="AB1510" s="139"/>
      <c r="AC1510" s="173"/>
      <c r="AD1510" s="177"/>
      <c r="AE1510" s="177"/>
      <c r="AF1510" s="139"/>
      <c r="AG1510" s="139"/>
      <c r="AH1510" s="177"/>
      <c r="AI1510" s="178"/>
      <c r="AJ1510" s="139"/>
      <c r="AK1510" s="173"/>
      <c r="AL1510" s="177"/>
      <c r="AM1510" s="178"/>
      <c r="AN1510" s="173"/>
      <c r="AO1510" s="173"/>
      <c r="AP1510" s="173"/>
      <c r="AQ1510" s="178"/>
      <c r="AR1510" s="173"/>
      <c r="AS1510" s="173"/>
      <c r="AT1510" s="140"/>
      <c r="AX1510" s="140"/>
      <c r="BB1510" s="173"/>
      <c r="BC1510" s="173"/>
    </row>
    <row r="1511" spans="2:55" s="134" customFormat="1" x14ac:dyDescent="0.2">
      <c r="B1511" s="145"/>
      <c r="D1511" s="145"/>
      <c r="Z1511" s="177"/>
      <c r="AA1511" s="178"/>
      <c r="AB1511" s="139"/>
      <c r="AC1511" s="173"/>
      <c r="AD1511" s="177"/>
      <c r="AE1511" s="177"/>
      <c r="AF1511" s="139"/>
      <c r="AG1511" s="139"/>
      <c r="AH1511" s="177"/>
      <c r="AI1511" s="178"/>
      <c r="AJ1511" s="139"/>
      <c r="AK1511" s="173"/>
      <c r="AL1511" s="177"/>
      <c r="AM1511" s="178"/>
      <c r="AN1511" s="173"/>
      <c r="AO1511" s="173"/>
      <c r="AP1511" s="173"/>
      <c r="AQ1511" s="178"/>
      <c r="AR1511" s="173"/>
      <c r="AS1511" s="173"/>
      <c r="AT1511" s="140"/>
      <c r="AX1511" s="140"/>
      <c r="BB1511" s="173"/>
      <c r="BC1511" s="173"/>
    </row>
    <row r="1512" spans="2:55" s="134" customFormat="1" x14ac:dyDescent="0.2">
      <c r="B1512" s="145"/>
      <c r="D1512" s="145"/>
      <c r="Z1512" s="177"/>
      <c r="AA1512" s="178"/>
      <c r="AB1512" s="139"/>
      <c r="AC1512" s="173"/>
      <c r="AD1512" s="177"/>
      <c r="AE1512" s="177"/>
      <c r="AF1512" s="139"/>
      <c r="AG1512" s="139"/>
      <c r="AH1512" s="177"/>
      <c r="AI1512" s="178"/>
      <c r="AJ1512" s="139"/>
      <c r="AK1512" s="173"/>
      <c r="AL1512" s="177"/>
      <c r="AM1512" s="178"/>
      <c r="AN1512" s="173"/>
      <c r="AO1512" s="173"/>
      <c r="AP1512" s="173"/>
      <c r="AQ1512" s="178"/>
      <c r="AR1512" s="173"/>
      <c r="AS1512" s="173"/>
      <c r="AT1512" s="140"/>
      <c r="AX1512" s="140"/>
      <c r="BB1512" s="173"/>
      <c r="BC1512" s="173"/>
    </row>
    <row r="1513" spans="2:55" s="134" customFormat="1" x14ac:dyDescent="0.2">
      <c r="B1513" s="145"/>
      <c r="D1513" s="145"/>
      <c r="Z1513" s="177"/>
      <c r="AA1513" s="178"/>
      <c r="AB1513" s="139"/>
      <c r="AC1513" s="173"/>
      <c r="AD1513" s="177"/>
      <c r="AE1513" s="177"/>
      <c r="AF1513" s="139"/>
      <c r="AG1513" s="139"/>
      <c r="AH1513" s="177"/>
      <c r="AI1513" s="178"/>
      <c r="AJ1513" s="139"/>
      <c r="AK1513" s="173"/>
      <c r="AL1513" s="177"/>
      <c r="AM1513" s="178"/>
      <c r="AN1513" s="173"/>
      <c r="AO1513" s="173"/>
      <c r="AP1513" s="173"/>
      <c r="AQ1513" s="178"/>
      <c r="AR1513" s="173"/>
      <c r="AS1513" s="173"/>
      <c r="AT1513" s="140"/>
      <c r="AX1513" s="140"/>
      <c r="BB1513" s="173"/>
      <c r="BC1513" s="173"/>
    </row>
    <row r="1514" spans="2:55" s="134" customFormat="1" x14ac:dyDescent="0.2">
      <c r="B1514" s="145"/>
      <c r="D1514" s="145"/>
      <c r="Z1514" s="177"/>
      <c r="AA1514" s="178"/>
      <c r="AB1514" s="139"/>
      <c r="AC1514" s="173"/>
      <c r="AD1514" s="177"/>
      <c r="AE1514" s="177"/>
      <c r="AF1514" s="139"/>
      <c r="AG1514" s="139"/>
      <c r="AH1514" s="177"/>
      <c r="AI1514" s="178"/>
      <c r="AJ1514" s="139"/>
      <c r="AK1514" s="173"/>
      <c r="AL1514" s="177"/>
      <c r="AM1514" s="178"/>
      <c r="AN1514" s="173"/>
      <c r="AO1514" s="173"/>
      <c r="AP1514" s="173"/>
      <c r="AQ1514" s="178"/>
      <c r="AR1514" s="173"/>
      <c r="AS1514" s="173"/>
      <c r="AT1514" s="140"/>
      <c r="AX1514" s="140"/>
      <c r="BB1514" s="173"/>
      <c r="BC1514" s="173"/>
    </row>
    <row r="1515" spans="2:55" s="134" customFormat="1" x14ac:dyDescent="0.2">
      <c r="B1515" s="145"/>
      <c r="D1515" s="145"/>
      <c r="Z1515" s="177"/>
      <c r="AA1515" s="178"/>
      <c r="AB1515" s="139"/>
      <c r="AC1515" s="173"/>
      <c r="AD1515" s="177"/>
      <c r="AE1515" s="177"/>
      <c r="AF1515" s="139"/>
      <c r="AG1515" s="139"/>
      <c r="AH1515" s="177"/>
      <c r="AI1515" s="178"/>
      <c r="AJ1515" s="139"/>
      <c r="AK1515" s="173"/>
      <c r="AL1515" s="177"/>
      <c r="AM1515" s="178"/>
      <c r="AN1515" s="173"/>
      <c r="AO1515" s="173"/>
      <c r="AP1515" s="173"/>
      <c r="AQ1515" s="178"/>
      <c r="AR1515" s="173"/>
      <c r="AS1515" s="173"/>
      <c r="AT1515" s="140"/>
      <c r="AX1515" s="140"/>
      <c r="BB1515" s="173"/>
      <c r="BC1515" s="173"/>
    </row>
    <row r="1516" spans="2:55" s="134" customFormat="1" x14ac:dyDescent="0.2">
      <c r="B1516" s="145"/>
      <c r="D1516" s="145"/>
      <c r="Z1516" s="177"/>
      <c r="AA1516" s="178"/>
      <c r="AB1516" s="139"/>
      <c r="AC1516" s="173"/>
      <c r="AD1516" s="177"/>
      <c r="AE1516" s="177"/>
      <c r="AF1516" s="139"/>
      <c r="AG1516" s="139"/>
      <c r="AH1516" s="177"/>
      <c r="AI1516" s="178"/>
      <c r="AJ1516" s="139"/>
      <c r="AK1516" s="173"/>
      <c r="AL1516" s="177"/>
      <c r="AM1516" s="178"/>
      <c r="AN1516" s="173"/>
      <c r="AO1516" s="173"/>
      <c r="AP1516" s="173"/>
      <c r="AQ1516" s="178"/>
      <c r="AR1516" s="173"/>
      <c r="AS1516" s="173"/>
      <c r="AT1516" s="140"/>
      <c r="AX1516" s="140"/>
      <c r="BB1516" s="173"/>
      <c r="BC1516" s="173"/>
    </row>
    <row r="1517" spans="2:55" s="134" customFormat="1" x14ac:dyDescent="0.2">
      <c r="B1517" s="145"/>
      <c r="D1517" s="145"/>
      <c r="Z1517" s="177"/>
      <c r="AA1517" s="178"/>
      <c r="AB1517" s="139"/>
      <c r="AC1517" s="173"/>
      <c r="AD1517" s="177"/>
      <c r="AE1517" s="177"/>
      <c r="AF1517" s="139"/>
      <c r="AG1517" s="139"/>
      <c r="AH1517" s="177"/>
      <c r="AI1517" s="178"/>
      <c r="AJ1517" s="139"/>
      <c r="AK1517" s="173"/>
      <c r="AL1517" s="177"/>
      <c r="AM1517" s="178"/>
      <c r="AN1517" s="173"/>
      <c r="AO1517" s="173"/>
      <c r="AP1517" s="173"/>
      <c r="AQ1517" s="178"/>
      <c r="AR1517" s="173"/>
      <c r="AS1517" s="173"/>
      <c r="AT1517" s="140"/>
      <c r="AX1517" s="140"/>
      <c r="BB1517" s="173"/>
      <c r="BC1517" s="173"/>
    </row>
    <row r="1518" spans="2:55" s="134" customFormat="1" x14ac:dyDescent="0.2">
      <c r="B1518" s="145"/>
      <c r="D1518" s="145"/>
      <c r="Z1518" s="177"/>
      <c r="AA1518" s="178"/>
      <c r="AB1518" s="139"/>
      <c r="AC1518" s="173"/>
      <c r="AD1518" s="177"/>
      <c r="AE1518" s="177"/>
      <c r="AF1518" s="139"/>
      <c r="AG1518" s="139"/>
      <c r="AH1518" s="177"/>
      <c r="AI1518" s="178"/>
      <c r="AJ1518" s="139"/>
      <c r="AK1518" s="173"/>
      <c r="AL1518" s="177"/>
      <c r="AM1518" s="178"/>
      <c r="AN1518" s="173"/>
      <c r="AO1518" s="173"/>
      <c r="AP1518" s="173"/>
      <c r="AQ1518" s="178"/>
      <c r="AR1518" s="173"/>
      <c r="AS1518" s="173"/>
      <c r="AT1518" s="140"/>
      <c r="AX1518" s="140"/>
      <c r="BB1518" s="173"/>
      <c r="BC1518" s="173"/>
    </row>
    <row r="1519" spans="2:55" s="134" customFormat="1" x14ac:dyDescent="0.2">
      <c r="B1519" s="145"/>
      <c r="D1519" s="145"/>
      <c r="Z1519" s="177"/>
      <c r="AA1519" s="178"/>
      <c r="AB1519" s="139"/>
      <c r="AC1519" s="173"/>
      <c r="AD1519" s="177"/>
      <c r="AE1519" s="177"/>
      <c r="AF1519" s="139"/>
      <c r="AG1519" s="139"/>
      <c r="AH1519" s="177"/>
      <c r="AI1519" s="178"/>
      <c r="AJ1519" s="139"/>
      <c r="AK1519" s="173"/>
      <c r="AL1519" s="177"/>
      <c r="AM1519" s="178"/>
      <c r="AN1519" s="173"/>
      <c r="AO1519" s="173"/>
      <c r="AP1519" s="173"/>
      <c r="AQ1519" s="178"/>
      <c r="AR1519" s="173"/>
      <c r="AS1519" s="173"/>
      <c r="AT1519" s="140"/>
      <c r="AX1519" s="140"/>
      <c r="BB1519" s="173"/>
      <c r="BC1519" s="173"/>
    </row>
    <row r="1520" spans="2:55" s="134" customFormat="1" x14ac:dyDescent="0.2">
      <c r="B1520" s="145"/>
      <c r="D1520" s="145"/>
      <c r="Z1520" s="177"/>
      <c r="AA1520" s="178"/>
      <c r="AB1520" s="139"/>
      <c r="AC1520" s="173"/>
      <c r="AD1520" s="177"/>
      <c r="AE1520" s="177"/>
      <c r="AF1520" s="139"/>
      <c r="AG1520" s="139"/>
      <c r="AH1520" s="177"/>
      <c r="AI1520" s="178"/>
      <c r="AJ1520" s="139"/>
      <c r="AK1520" s="173"/>
      <c r="AL1520" s="177"/>
      <c r="AM1520" s="178"/>
      <c r="AN1520" s="173"/>
      <c r="AO1520" s="173"/>
      <c r="AP1520" s="173"/>
      <c r="AQ1520" s="178"/>
      <c r="AR1520" s="173"/>
      <c r="AS1520" s="173"/>
      <c r="AT1520" s="140"/>
      <c r="AX1520" s="140"/>
      <c r="BB1520" s="173"/>
      <c r="BC1520" s="173"/>
    </row>
    <row r="1521" spans="2:55" s="134" customFormat="1" x14ac:dyDescent="0.2">
      <c r="B1521" s="145"/>
      <c r="D1521" s="145"/>
      <c r="Z1521" s="177"/>
      <c r="AA1521" s="178"/>
      <c r="AB1521" s="139"/>
      <c r="AC1521" s="173"/>
      <c r="AD1521" s="177"/>
      <c r="AE1521" s="177"/>
      <c r="AF1521" s="139"/>
      <c r="AG1521" s="139"/>
      <c r="AH1521" s="177"/>
      <c r="AI1521" s="178"/>
      <c r="AJ1521" s="139"/>
      <c r="AK1521" s="173"/>
      <c r="AL1521" s="177"/>
      <c r="AM1521" s="178"/>
      <c r="AN1521" s="173"/>
      <c r="AO1521" s="173"/>
      <c r="AP1521" s="173"/>
      <c r="AQ1521" s="178"/>
      <c r="AR1521" s="173"/>
      <c r="AS1521" s="173"/>
      <c r="AT1521" s="140"/>
      <c r="AX1521" s="140"/>
      <c r="BB1521" s="173"/>
      <c r="BC1521" s="173"/>
    </row>
    <row r="1522" spans="2:55" s="134" customFormat="1" x14ac:dyDescent="0.2">
      <c r="B1522" s="145"/>
      <c r="D1522" s="145"/>
      <c r="Z1522" s="177"/>
      <c r="AA1522" s="178"/>
      <c r="AB1522" s="139"/>
      <c r="AC1522" s="173"/>
      <c r="AD1522" s="177"/>
      <c r="AE1522" s="177"/>
      <c r="AF1522" s="139"/>
      <c r="AG1522" s="139"/>
      <c r="AH1522" s="177"/>
      <c r="AI1522" s="178"/>
      <c r="AJ1522" s="139"/>
      <c r="AK1522" s="173"/>
      <c r="AL1522" s="177"/>
      <c r="AM1522" s="178"/>
      <c r="AN1522" s="173"/>
      <c r="AO1522" s="173"/>
      <c r="AP1522" s="173"/>
      <c r="AQ1522" s="178"/>
      <c r="AR1522" s="173"/>
      <c r="AS1522" s="173"/>
      <c r="AT1522" s="140"/>
      <c r="AX1522" s="140"/>
      <c r="BB1522" s="173"/>
      <c r="BC1522" s="173"/>
    </row>
    <row r="1523" spans="2:55" s="134" customFormat="1" x14ac:dyDescent="0.2">
      <c r="B1523" s="145"/>
      <c r="D1523" s="145"/>
      <c r="Z1523" s="177"/>
      <c r="AA1523" s="178"/>
      <c r="AB1523" s="139"/>
      <c r="AC1523" s="173"/>
      <c r="AD1523" s="177"/>
      <c r="AE1523" s="177"/>
      <c r="AF1523" s="139"/>
      <c r="AG1523" s="139"/>
      <c r="AH1523" s="177"/>
      <c r="AI1523" s="178"/>
      <c r="AJ1523" s="139"/>
      <c r="AK1523" s="173"/>
      <c r="AL1523" s="177"/>
      <c r="AM1523" s="178"/>
      <c r="AN1523" s="173"/>
      <c r="AO1523" s="173"/>
      <c r="AP1523" s="173"/>
      <c r="AQ1523" s="178"/>
      <c r="AR1523" s="173"/>
      <c r="AS1523" s="173"/>
      <c r="AT1523" s="140"/>
      <c r="AX1523" s="140"/>
      <c r="BB1523" s="173"/>
      <c r="BC1523" s="173"/>
    </row>
    <row r="1524" spans="2:55" s="134" customFormat="1" x14ac:dyDescent="0.2">
      <c r="B1524" s="145"/>
      <c r="D1524" s="145"/>
      <c r="Z1524" s="177"/>
      <c r="AA1524" s="178"/>
      <c r="AB1524" s="139"/>
      <c r="AC1524" s="173"/>
      <c r="AD1524" s="177"/>
      <c r="AE1524" s="177"/>
      <c r="AF1524" s="139"/>
      <c r="AG1524" s="139"/>
      <c r="AH1524" s="177"/>
      <c r="AI1524" s="178"/>
      <c r="AJ1524" s="139"/>
      <c r="AK1524" s="173"/>
      <c r="AL1524" s="177"/>
      <c r="AM1524" s="178"/>
      <c r="AN1524" s="173"/>
      <c r="AO1524" s="173"/>
      <c r="AP1524" s="173"/>
      <c r="AQ1524" s="178"/>
      <c r="AR1524" s="173"/>
      <c r="AS1524" s="173"/>
      <c r="AT1524" s="140"/>
      <c r="AX1524" s="140"/>
      <c r="BB1524" s="173"/>
      <c r="BC1524" s="173"/>
    </row>
    <row r="1525" spans="2:55" s="134" customFormat="1" x14ac:dyDescent="0.2">
      <c r="B1525" s="145"/>
      <c r="D1525" s="145"/>
      <c r="Z1525" s="177"/>
      <c r="AA1525" s="178"/>
      <c r="AB1525" s="139"/>
      <c r="AC1525" s="173"/>
      <c r="AD1525" s="177"/>
      <c r="AE1525" s="177"/>
      <c r="AF1525" s="139"/>
      <c r="AG1525" s="139"/>
      <c r="AH1525" s="177"/>
      <c r="AI1525" s="178"/>
      <c r="AJ1525" s="139"/>
      <c r="AK1525" s="173"/>
      <c r="AL1525" s="177"/>
      <c r="AM1525" s="178"/>
      <c r="AN1525" s="173"/>
      <c r="AO1525" s="173"/>
      <c r="AP1525" s="173"/>
      <c r="AQ1525" s="178"/>
      <c r="AR1525" s="173"/>
      <c r="AS1525" s="173"/>
      <c r="AT1525" s="140"/>
      <c r="AX1525" s="140"/>
      <c r="BB1525" s="173"/>
      <c r="BC1525" s="173"/>
    </row>
    <row r="1526" spans="2:55" s="134" customFormat="1" x14ac:dyDescent="0.2">
      <c r="B1526" s="145"/>
      <c r="D1526" s="145"/>
      <c r="Z1526" s="177"/>
      <c r="AA1526" s="178"/>
      <c r="AB1526" s="139"/>
      <c r="AC1526" s="173"/>
      <c r="AD1526" s="177"/>
      <c r="AE1526" s="177"/>
      <c r="AF1526" s="139"/>
      <c r="AG1526" s="139"/>
      <c r="AH1526" s="177"/>
      <c r="AI1526" s="178"/>
      <c r="AJ1526" s="139"/>
      <c r="AK1526" s="173"/>
      <c r="AL1526" s="177"/>
      <c r="AM1526" s="178"/>
      <c r="AN1526" s="173"/>
      <c r="AO1526" s="173"/>
      <c r="AP1526" s="173"/>
      <c r="AQ1526" s="178"/>
      <c r="AR1526" s="173"/>
      <c r="AS1526" s="173"/>
      <c r="AT1526" s="140"/>
      <c r="AX1526" s="140"/>
      <c r="BB1526" s="173"/>
      <c r="BC1526" s="173"/>
    </row>
    <row r="1527" spans="2:55" s="134" customFormat="1" x14ac:dyDescent="0.2">
      <c r="B1527" s="145"/>
      <c r="D1527" s="145"/>
      <c r="Z1527" s="177"/>
      <c r="AA1527" s="178"/>
      <c r="AB1527" s="139"/>
      <c r="AC1527" s="173"/>
      <c r="AD1527" s="177"/>
      <c r="AE1527" s="177"/>
      <c r="AF1527" s="139"/>
      <c r="AG1527" s="139"/>
      <c r="AH1527" s="177"/>
      <c r="AI1527" s="178"/>
      <c r="AJ1527" s="139"/>
      <c r="AK1527" s="173"/>
      <c r="AL1527" s="177"/>
      <c r="AM1527" s="178"/>
      <c r="AN1527" s="173"/>
      <c r="AO1527" s="173"/>
      <c r="AP1527" s="173"/>
      <c r="AQ1527" s="178"/>
      <c r="AR1527" s="173"/>
      <c r="AS1527" s="173"/>
      <c r="AT1527" s="140"/>
      <c r="AX1527" s="140"/>
      <c r="BB1527" s="173"/>
      <c r="BC1527" s="173"/>
    </row>
    <row r="1528" spans="2:55" s="134" customFormat="1" x14ac:dyDescent="0.2">
      <c r="B1528" s="145"/>
      <c r="D1528" s="145"/>
      <c r="Z1528" s="177"/>
      <c r="AA1528" s="178"/>
      <c r="AB1528" s="139"/>
      <c r="AC1528" s="173"/>
      <c r="AD1528" s="177"/>
      <c r="AE1528" s="177"/>
      <c r="AF1528" s="139"/>
      <c r="AG1528" s="139"/>
      <c r="AH1528" s="177"/>
      <c r="AI1528" s="178"/>
      <c r="AJ1528" s="139"/>
      <c r="AK1528" s="173"/>
      <c r="AL1528" s="177"/>
      <c r="AM1528" s="178"/>
      <c r="AN1528" s="173"/>
      <c r="AO1528" s="173"/>
      <c r="AP1528" s="173"/>
      <c r="AQ1528" s="178"/>
      <c r="AR1528" s="173"/>
      <c r="AS1528" s="173"/>
      <c r="AT1528" s="140"/>
      <c r="AX1528" s="140"/>
      <c r="BB1528" s="173"/>
      <c r="BC1528" s="173"/>
    </row>
    <row r="1529" spans="2:55" s="134" customFormat="1" x14ac:dyDescent="0.2">
      <c r="B1529" s="145"/>
      <c r="D1529" s="145"/>
      <c r="Z1529" s="177"/>
      <c r="AA1529" s="178"/>
      <c r="AB1529" s="139"/>
      <c r="AC1529" s="173"/>
      <c r="AD1529" s="177"/>
      <c r="AE1529" s="177"/>
      <c r="AF1529" s="139"/>
      <c r="AG1529" s="139"/>
      <c r="AH1529" s="177"/>
      <c r="AI1529" s="178"/>
      <c r="AJ1529" s="139"/>
      <c r="AK1529" s="173"/>
      <c r="AL1529" s="177"/>
      <c r="AM1529" s="178"/>
      <c r="AN1529" s="173"/>
      <c r="AO1529" s="173"/>
      <c r="AP1529" s="173"/>
      <c r="AQ1529" s="178"/>
      <c r="AR1529" s="173"/>
      <c r="AS1529" s="173"/>
      <c r="AT1529" s="140"/>
      <c r="AX1529" s="140"/>
      <c r="BB1529" s="173"/>
      <c r="BC1529" s="173"/>
    </row>
    <row r="1530" spans="2:55" s="134" customFormat="1" x14ac:dyDescent="0.2">
      <c r="B1530" s="145"/>
      <c r="D1530" s="145"/>
      <c r="Z1530" s="177"/>
      <c r="AA1530" s="178"/>
      <c r="AB1530" s="139"/>
      <c r="AC1530" s="173"/>
      <c r="AD1530" s="177"/>
      <c r="AE1530" s="177"/>
      <c r="AF1530" s="139"/>
      <c r="AG1530" s="139"/>
      <c r="AH1530" s="177"/>
      <c r="AI1530" s="178"/>
      <c r="AJ1530" s="139"/>
      <c r="AK1530" s="173"/>
      <c r="AL1530" s="177"/>
      <c r="AM1530" s="178"/>
      <c r="AN1530" s="173"/>
      <c r="AO1530" s="173"/>
      <c r="AP1530" s="173"/>
      <c r="AQ1530" s="178"/>
      <c r="AR1530" s="173"/>
      <c r="AS1530" s="173"/>
      <c r="AT1530" s="140"/>
      <c r="AX1530" s="140"/>
      <c r="BB1530" s="173"/>
      <c r="BC1530" s="173"/>
    </row>
    <row r="1531" spans="2:55" s="134" customFormat="1" x14ac:dyDescent="0.2">
      <c r="B1531" s="145"/>
      <c r="D1531" s="145"/>
      <c r="Z1531" s="177"/>
      <c r="AA1531" s="178"/>
      <c r="AB1531" s="139"/>
      <c r="AC1531" s="173"/>
      <c r="AD1531" s="177"/>
      <c r="AE1531" s="177"/>
      <c r="AF1531" s="139"/>
      <c r="AG1531" s="139"/>
      <c r="AH1531" s="177"/>
      <c r="AI1531" s="178"/>
      <c r="AJ1531" s="139"/>
      <c r="AK1531" s="173"/>
      <c r="AL1531" s="177"/>
      <c r="AM1531" s="178"/>
      <c r="AN1531" s="173"/>
      <c r="AO1531" s="173"/>
      <c r="AP1531" s="173"/>
      <c r="AQ1531" s="178"/>
      <c r="AR1531" s="173"/>
      <c r="AS1531" s="173"/>
      <c r="AT1531" s="140"/>
      <c r="AX1531" s="140"/>
      <c r="BB1531" s="173"/>
      <c r="BC1531" s="173"/>
    </row>
    <row r="1532" spans="2:55" s="134" customFormat="1" x14ac:dyDescent="0.2">
      <c r="B1532" s="145"/>
      <c r="D1532" s="145"/>
      <c r="Z1532" s="177"/>
      <c r="AA1532" s="178"/>
      <c r="AB1532" s="139"/>
      <c r="AC1532" s="173"/>
      <c r="AD1532" s="177"/>
      <c r="AE1532" s="177"/>
      <c r="AF1532" s="139"/>
      <c r="AG1532" s="139"/>
      <c r="AH1532" s="177"/>
      <c r="AI1532" s="178"/>
      <c r="AJ1532" s="139"/>
      <c r="AK1532" s="173"/>
      <c r="AL1532" s="177"/>
      <c r="AM1532" s="178"/>
      <c r="AN1532" s="173"/>
      <c r="AO1532" s="173"/>
      <c r="AP1532" s="173"/>
      <c r="AQ1532" s="178"/>
      <c r="AR1532" s="173"/>
      <c r="AS1532" s="173"/>
      <c r="AT1532" s="140"/>
      <c r="AX1532" s="140"/>
      <c r="BB1532" s="173"/>
      <c r="BC1532" s="173"/>
    </row>
    <row r="1533" spans="2:55" s="134" customFormat="1" x14ac:dyDescent="0.2">
      <c r="B1533" s="145"/>
      <c r="D1533" s="145"/>
      <c r="Z1533" s="177"/>
      <c r="AA1533" s="178"/>
      <c r="AB1533" s="139"/>
      <c r="AC1533" s="173"/>
      <c r="AD1533" s="177"/>
      <c r="AE1533" s="177"/>
      <c r="AF1533" s="139"/>
      <c r="AG1533" s="139"/>
      <c r="AH1533" s="177"/>
      <c r="AI1533" s="178"/>
      <c r="AJ1533" s="139"/>
      <c r="AK1533" s="173"/>
      <c r="AL1533" s="177"/>
      <c r="AM1533" s="178"/>
      <c r="AN1533" s="173"/>
      <c r="AO1533" s="173"/>
      <c r="AP1533" s="173"/>
      <c r="AQ1533" s="178"/>
      <c r="AR1533" s="173"/>
      <c r="AS1533" s="173"/>
      <c r="AT1533" s="140"/>
      <c r="AX1533" s="140"/>
      <c r="BB1533" s="173"/>
      <c r="BC1533" s="173"/>
    </row>
    <row r="1534" spans="2:55" s="134" customFormat="1" x14ac:dyDescent="0.2">
      <c r="B1534" s="145"/>
      <c r="D1534" s="145"/>
      <c r="Z1534" s="177"/>
      <c r="AA1534" s="178"/>
      <c r="AB1534" s="139"/>
      <c r="AC1534" s="173"/>
      <c r="AD1534" s="177"/>
      <c r="AE1534" s="177"/>
      <c r="AF1534" s="139"/>
      <c r="AG1534" s="139"/>
      <c r="AH1534" s="177"/>
      <c r="AI1534" s="178"/>
      <c r="AJ1534" s="139"/>
      <c r="AK1534" s="173"/>
      <c r="AL1534" s="177"/>
      <c r="AM1534" s="178"/>
      <c r="AN1534" s="173"/>
      <c r="AO1534" s="173"/>
      <c r="AP1534" s="173"/>
      <c r="AQ1534" s="178"/>
      <c r="AR1534" s="173"/>
      <c r="AS1534" s="173"/>
      <c r="AT1534" s="140"/>
      <c r="AX1534" s="140"/>
      <c r="BB1534" s="173"/>
      <c r="BC1534" s="173"/>
    </row>
    <row r="1535" spans="2:55" s="134" customFormat="1" x14ac:dyDescent="0.2">
      <c r="B1535" s="145"/>
      <c r="D1535" s="145"/>
      <c r="Z1535" s="177"/>
      <c r="AA1535" s="178"/>
      <c r="AB1535" s="139"/>
      <c r="AC1535" s="173"/>
      <c r="AD1535" s="177"/>
      <c r="AE1535" s="177"/>
      <c r="AF1535" s="139"/>
      <c r="AG1535" s="139"/>
      <c r="AH1535" s="177"/>
      <c r="AI1535" s="178"/>
      <c r="AJ1535" s="139"/>
      <c r="AK1535" s="173"/>
      <c r="AL1535" s="177"/>
      <c r="AM1535" s="178"/>
      <c r="AN1535" s="173"/>
      <c r="AO1535" s="173"/>
      <c r="AP1535" s="173"/>
      <c r="AQ1535" s="178"/>
      <c r="AR1535" s="173"/>
      <c r="AS1535" s="173"/>
      <c r="AT1535" s="140"/>
      <c r="AX1535" s="140"/>
      <c r="BB1535" s="173"/>
      <c r="BC1535" s="173"/>
    </row>
    <row r="1536" spans="2:55" s="134" customFormat="1" x14ac:dyDescent="0.2">
      <c r="B1536" s="145"/>
      <c r="D1536" s="145"/>
      <c r="Z1536" s="177"/>
      <c r="AA1536" s="178"/>
      <c r="AB1536" s="139"/>
      <c r="AC1536" s="173"/>
      <c r="AD1536" s="177"/>
      <c r="AE1536" s="177"/>
      <c r="AF1536" s="139"/>
      <c r="AG1536" s="139"/>
      <c r="AH1536" s="177"/>
      <c r="AI1536" s="178"/>
      <c r="AJ1536" s="139"/>
      <c r="AK1536" s="173"/>
      <c r="AL1536" s="177"/>
      <c r="AM1536" s="178"/>
      <c r="AN1536" s="173"/>
      <c r="AO1536" s="173"/>
      <c r="AP1536" s="173"/>
      <c r="AQ1536" s="178"/>
      <c r="AR1536" s="173"/>
      <c r="AS1536" s="173"/>
      <c r="AT1536" s="140"/>
      <c r="AX1536" s="140"/>
      <c r="BB1536" s="173"/>
      <c r="BC1536" s="173"/>
    </row>
    <row r="1537" spans="2:55" s="134" customFormat="1" x14ac:dyDescent="0.2">
      <c r="B1537" s="145"/>
      <c r="D1537" s="145"/>
      <c r="Z1537" s="177"/>
      <c r="AA1537" s="178"/>
      <c r="AB1537" s="139"/>
      <c r="AC1537" s="173"/>
      <c r="AD1537" s="177"/>
      <c r="AE1537" s="177"/>
      <c r="AF1537" s="139"/>
      <c r="AG1537" s="139"/>
      <c r="AH1537" s="177"/>
      <c r="AI1537" s="178"/>
      <c r="AJ1537" s="139"/>
      <c r="AK1537" s="173"/>
      <c r="AL1537" s="177"/>
      <c r="AM1537" s="178"/>
      <c r="AN1537" s="173"/>
      <c r="AO1537" s="173"/>
      <c r="AP1537" s="173"/>
      <c r="AQ1537" s="178"/>
      <c r="AR1537" s="173"/>
      <c r="AS1537" s="173"/>
      <c r="AT1537" s="140"/>
      <c r="AX1537" s="140"/>
      <c r="BB1537" s="173"/>
      <c r="BC1537" s="173"/>
    </row>
    <row r="1538" spans="2:55" s="134" customFormat="1" x14ac:dyDescent="0.2">
      <c r="B1538" s="145"/>
      <c r="D1538" s="145"/>
      <c r="Z1538" s="177"/>
      <c r="AA1538" s="178"/>
      <c r="AB1538" s="139"/>
      <c r="AC1538" s="173"/>
      <c r="AD1538" s="177"/>
      <c r="AE1538" s="177"/>
      <c r="AF1538" s="139"/>
      <c r="AG1538" s="139"/>
      <c r="AH1538" s="177"/>
      <c r="AI1538" s="178"/>
      <c r="AJ1538" s="139"/>
      <c r="AK1538" s="173"/>
      <c r="AL1538" s="177"/>
      <c r="AM1538" s="178"/>
      <c r="AN1538" s="173"/>
      <c r="AO1538" s="173"/>
      <c r="AP1538" s="173"/>
      <c r="AQ1538" s="178"/>
      <c r="AR1538" s="173"/>
      <c r="AS1538" s="173"/>
      <c r="AT1538" s="140"/>
      <c r="AX1538" s="140"/>
      <c r="BB1538" s="173"/>
      <c r="BC1538" s="173"/>
    </row>
    <row r="1539" spans="2:55" s="134" customFormat="1" x14ac:dyDescent="0.2">
      <c r="B1539" s="145"/>
      <c r="D1539" s="145"/>
      <c r="Z1539" s="177"/>
      <c r="AA1539" s="178"/>
      <c r="AB1539" s="139"/>
      <c r="AC1539" s="173"/>
      <c r="AD1539" s="177"/>
      <c r="AE1539" s="177"/>
      <c r="AF1539" s="139"/>
      <c r="AG1539" s="139"/>
      <c r="AH1539" s="177"/>
      <c r="AI1539" s="178"/>
      <c r="AJ1539" s="139"/>
      <c r="AK1539" s="173"/>
      <c r="AL1539" s="177"/>
      <c r="AM1539" s="178"/>
      <c r="AN1539" s="173"/>
      <c r="AO1539" s="173"/>
      <c r="AP1539" s="173"/>
      <c r="AQ1539" s="178"/>
      <c r="AR1539" s="173"/>
      <c r="AS1539" s="173"/>
      <c r="AT1539" s="140"/>
      <c r="AX1539" s="140"/>
      <c r="BB1539" s="173"/>
      <c r="BC1539" s="173"/>
    </row>
    <row r="1540" spans="2:55" s="134" customFormat="1" x14ac:dyDescent="0.2">
      <c r="B1540" s="145"/>
      <c r="D1540" s="145"/>
      <c r="Z1540" s="177"/>
      <c r="AA1540" s="178"/>
      <c r="AB1540" s="139"/>
      <c r="AC1540" s="173"/>
      <c r="AD1540" s="177"/>
      <c r="AE1540" s="177"/>
      <c r="AF1540" s="139"/>
      <c r="AG1540" s="139"/>
      <c r="AH1540" s="177"/>
      <c r="AI1540" s="178"/>
      <c r="AJ1540" s="139"/>
      <c r="AK1540" s="173"/>
      <c r="AL1540" s="177"/>
      <c r="AM1540" s="178"/>
      <c r="AN1540" s="173"/>
      <c r="AO1540" s="173"/>
      <c r="AP1540" s="173"/>
      <c r="AQ1540" s="178"/>
      <c r="AR1540" s="173"/>
      <c r="AS1540" s="173"/>
      <c r="AT1540" s="140"/>
      <c r="AX1540" s="140"/>
      <c r="BB1540" s="173"/>
      <c r="BC1540" s="173"/>
    </row>
    <row r="1541" spans="2:55" s="134" customFormat="1" x14ac:dyDescent="0.2">
      <c r="B1541" s="145"/>
      <c r="D1541" s="145"/>
      <c r="Z1541" s="177"/>
      <c r="AA1541" s="178"/>
      <c r="AB1541" s="139"/>
      <c r="AC1541" s="173"/>
      <c r="AD1541" s="177"/>
      <c r="AE1541" s="177"/>
      <c r="AF1541" s="139"/>
      <c r="AG1541" s="139"/>
      <c r="AH1541" s="177"/>
      <c r="AI1541" s="178"/>
      <c r="AJ1541" s="139"/>
      <c r="AK1541" s="173"/>
      <c r="AL1541" s="177"/>
      <c r="AM1541" s="178"/>
      <c r="AN1541" s="173"/>
      <c r="AO1541" s="173"/>
      <c r="AP1541" s="173"/>
      <c r="AQ1541" s="178"/>
      <c r="AR1541" s="173"/>
      <c r="AS1541" s="173"/>
      <c r="AT1541" s="140"/>
      <c r="AX1541" s="140"/>
      <c r="BB1541" s="173"/>
      <c r="BC1541" s="173"/>
    </row>
    <row r="1542" spans="2:55" s="134" customFormat="1" x14ac:dyDescent="0.2">
      <c r="B1542" s="145"/>
      <c r="D1542" s="145"/>
      <c r="Z1542" s="177"/>
      <c r="AA1542" s="178"/>
      <c r="AB1542" s="139"/>
      <c r="AC1542" s="173"/>
      <c r="AD1542" s="177"/>
      <c r="AE1542" s="177"/>
      <c r="AF1542" s="139"/>
      <c r="AG1542" s="139"/>
      <c r="AH1542" s="177"/>
      <c r="AI1542" s="178"/>
      <c r="AJ1542" s="139"/>
      <c r="AK1542" s="173"/>
      <c r="AL1542" s="177"/>
      <c r="AM1542" s="178"/>
      <c r="AN1542" s="173"/>
      <c r="AO1542" s="173"/>
      <c r="AP1542" s="173"/>
      <c r="AQ1542" s="178"/>
      <c r="AR1542" s="173"/>
      <c r="AS1542" s="173"/>
      <c r="AT1542" s="140"/>
      <c r="AX1542" s="140"/>
      <c r="BB1542" s="173"/>
      <c r="BC1542" s="173"/>
    </row>
    <row r="1543" spans="2:55" s="134" customFormat="1" x14ac:dyDescent="0.2">
      <c r="B1543" s="145"/>
      <c r="D1543" s="145"/>
      <c r="Z1543" s="177"/>
      <c r="AA1543" s="178"/>
      <c r="AB1543" s="139"/>
      <c r="AC1543" s="173"/>
      <c r="AD1543" s="177"/>
      <c r="AE1543" s="177"/>
      <c r="AF1543" s="139"/>
      <c r="AG1543" s="139"/>
      <c r="AH1543" s="177"/>
      <c r="AI1543" s="178"/>
      <c r="AJ1543" s="139"/>
      <c r="AK1543" s="173"/>
      <c r="AL1543" s="177"/>
      <c r="AM1543" s="178"/>
      <c r="AN1543" s="173"/>
      <c r="AO1543" s="173"/>
      <c r="AP1543" s="173"/>
      <c r="AQ1543" s="178"/>
      <c r="AR1543" s="173"/>
      <c r="AS1543" s="173"/>
      <c r="AT1543" s="140"/>
      <c r="AX1543" s="140"/>
      <c r="BB1543" s="173"/>
      <c r="BC1543" s="173"/>
    </row>
    <row r="1544" spans="2:55" s="134" customFormat="1" x14ac:dyDescent="0.2">
      <c r="B1544" s="145"/>
      <c r="D1544" s="145"/>
      <c r="Z1544" s="177"/>
      <c r="AA1544" s="178"/>
      <c r="AB1544" s="139"/>
      <c r="AC1544" s="173"/>
      <c r="AD1544" s="177"/>
      <c r="AE1544" s="177"/>
      <c r="AF1544" s="139"/>
      <c r="AG1544" s="139"/>
      <c r="AH1544" s="177"/>
      <c r="AI1544" s="178"/>
      <c r="AJ1544" s="139"/>
      <c r="AK1544" s="173"/>
      <c r="AL1544" s="177"/>
      <c r="AM1544" s="178"/>
      <c r="AN1544" s="173"/>
      <c r="AO1544" s="173"/>
      <c r="AP1544" s="173"/>
      <c r="AQ1544" s="178"/>
      <c r="AR1544" s="173"/>
      <c r="AS1544" s="173"/>
      <c r="AT1544" s="140"/>
      <c r="AX1544" s="140"/>
      <c r="BB1544" s="173"/>
      <c r="BC1544" s="173"/>
    </row>
    <row r="1545" spans="2:55" s="134" customFormat="1" x14ac:dyDescent="0.2">
      <c r="B1545" s="145"/>
      <c r="D1545" s="145"/>
      <c r="Z1545" s="177"/>
      <c r="AA1545" s="178"/>
      <c r="AB1545" s="139"/>
      <c r="AC1545" s="173"/>
      <c r="AD1545" s="177"/>
      <c r="AE1545" s="177"/>
      <c r="AF1545" s="139"/>
      <c r="AG1545" s="139"/>
      <c r="AH1545" s="177"/>
      <c r="AI1545" s="178"/>
      <c r="AJ1545" s="139"/>
      <c r="AK1545" s="173"/>
      <c r="AL1545" s="177"/>
      <c r="AM1545" s="178"/>
      <c r="AN1545" s="173"/>
      <c r="AO1545" s="173"/>
      <c r="AP1545" s="173"/>
      <c r="AQ1545" s="178"/>
      <c r="AR1545" s="173"/>
      <c r="AS1545" s="173"/>
      <c r="AT1545" s="140"/>
      <c r="AX1545" s="140"/>
      <c r="BB1545" s="173"/>
      <c r="BC1545" s="173"/>
    </row>
    <row r="1546" spans="2:55" s="134" customFormat="1" x14ac:dyDescent="0.2">
      <c r="B1546" s="145"/>
      <c r="D1546" s="145"/>
      <c r="Z1546" s="177"/>
      <c r="AA1546" s="178"/>
      <c r="AB1546" s="139"/>
      <c r="AC1546" s="173"/>
      <c r="AD1546" s="177"/>
      <c r="AE1546" s="177"/>
      <c r="AF1546" s="139"/>
      <c r="AG1546" s="139"/>
      <c r="AH1546" s="177"/>
      <c r="AI1546" s="178"/>
      <c r="AJ1546" s="139"/>
      <c r="AK1546" s="173"/>
      <c r="AL1546" s="177"/>
      <c r="AM1546" s="178"/>
      <c r="AN1546" s="173"/>
      <c r="AO1546" s="173"/>
      <c r="AP1546" s="173"/>
      <c r="AQ1546" s="178"/>
      <c r="AR1546" s="173"/>
      <c r="AS1546" s="173"/>
      <c r="AT1546" s="140"/>
      <c r="AX1546" s="140"/>
      <c r="BB1546" s="173"/>
      <c r="BC1546" s="173"/>
    </row>
    <row r="1547" spans="2:55" s="134" customFormat="1" x14ac:dyDescent="0.2">
      <c r="B1547" s="145"/>
      <c r="D1547" s="145"/>
      <c r="Z1547" s="177"/>
      <c r="AA1547" s="178"/>
      <c r="AB1547" s="139"/>
      <c r="AC1547" s="173"/>
      <c r="AD1547" s="177"/>
      <c r="AE1547" s="177"/>
      <c r="AF1547" s="139"/>
      <c r="AG1547" s="139"/>
      <c r="AH1547" s="177"/>
      <c r="AI1547" s="178"/>
      <c r="AJ1547" s="139"/>
      <c r="AK1547" s="173"/>
      <c r="AL1547" s="177"/>
      <c r="AM1547" s="178"/>
      <c r="AN1547" s="173"/>
      <c r="AO1547" s="173"/>
      <c r="AP1547" s="173"/>
      <c r="AQ1547" s="178"/>
      <c r="AR1547" s="173"/>
      <c r="AS1547" s="173"/>
      <c r="AT1547" s="140"/>
      <c r="AX1547" s="140"/>
      <c r="BB1547" s="173"/>
      <c r="BC1547" s="173"/>
    </row>
    <row r="1548" spans="2:55" s="134" customFormat="1" x14ac:dyDescent="0.2">
      <c r="B1548" s="145"/>
      <c r="D1548" s="145"/>
      <c r="Z1548" s="177"/>
      <c r="AA1548" s="178"/>
      <c r="AB1548" s="139"/>
      <c r="AC1548" s="173"/>
      <c r="AD1548" s="177"/>
      <c r="AE1548" s="177"/>
      <c r="AF1548" s="139"/>
      <c r="AG1548" s="139"/>
      <c r="AH1548" s="177"/>
      <c r="AI1548" s="178"/>
      <c r="AJ1548" s="139"/>
      <c r="AK1548" s="173"/>
      <c r="AL1548" s="177"/>
      <c r="AM1548" s="178"/>
      <c r="AN1548" s="173"/>
      <c r="AO1548" s="173"/>
      <c r="AP1548" s="173"/>
      <c r="AQ1548" s="178"/>
      <c r="AR1548" s="173"/>
      <c r="AS1548" s="173"/>
      <c r="AT1548" s="140"/>
      <c r="AX1548" s="140"/>
      <c r="BB1548" s="173"/>
      <c r="BC1548" s="173"/>
    </row>
    <row r="1549" spans="2:55" s="134" customFormat="1" x14ac:dyDescent="0.2">
      <c r="B1549" s="145"/>
      <c r="D1549" s="145"/>
      <c r="Z1549" s="177"/>
      <c r="AA1549" s="178"/>
      <c r="AB1549" s="139"/>
      <c r="AC1549" s="173"/>
      <c r="AD1549" s="177"/>
      <c r="AE1549" s="177"/>
      <c r="AF1549" s="139"/>
      <c r="AG1549" s="139"/>
      <c r="AH1549" s="177"/>
      <c r="AI1549" s="178"/>
      <c r="AJ1549" s="139"/>
      <c r="AK1549" s="173"/>
      <c r="AL1549" s="177"/>
      <c r="AM1549" s="178"/>
      <c r="AN1549" s="173"/>
      <c r="AO1549" s="173"/>
      <c r="AP1549" s="173"/>
      <c r="AQ1549" s="178"/>
      <c r="AR1549" s="173"/>
      <c r="AS1549" s="173"/>
      <c r="AT1549" s="140"/>
      <c r="AX1549" s="140"/>
      <c r="BB1549" s="173"/>
      <c r="BC1549" s="173"/>
    </row>
    <row r="1550" spans="2:55" s="134" customFormat="1" x14ac:dyDescent="0.2">
      <c r="B1550" s="145"/>
      <c r="D1550" s="145"/>
      <c r="Z1550" s="177"/>
      <c r="AA1550" s="178"/>
      <c r="AB1550" s="139"/>
      <c r="AC1550" s="173"/>
      <c r="AD1550" s="177"/>
      <c r="AE1550" s="177"/>
      <c r="AF1550" s="139"/>
      <c r="AG1550" s="139"/>
      <c r="AH1550" s="177"/>
      <c r="AI1550" s="178"/>
      <c r="AJ1550" s="139"/>
      <c r="AK1550" s="173"/>
      <c r="AL1550" s="177"/>
      <c r="AM1550" s="178"/>
      <c r="AN1550" s="173"/>
      <c r="AO1550" s="173"/>
      <c r="AP1550" s="173"/>
      <c r="AQ1550" s="178"/>
      <c r="AR1550" s="173"/>
      <c r="AS1550" s="173"/>
      <c r="AT1550" s="140"/>
      <c r="AX1550" s="140"/>
      <c r="BB1550" s="173"/>
      <c r="BC1550" s="173"/>
    </row>
    <row r="1551" spans="2:55" s="134" customFormat="1" x14ac:dyDescent="0.2">
      <c r="B1551" s="145"/>
      <c r="D1551" s="145"/>
      <c r="Z1551" s="177"/>
      <c r="AA1551" s="178"/>
      <c r="AB1551" s="139"/>
      <c r="AC1551" s="173"/>
      <c r="AD1551" s="177"/>
      <c r="AE1551" s="177"/>
      <c r="AF1551" s="139"/>
      <c r="AG1551" s="139"/>
      <c r="AH1551" s="177"/>
      <c r="AI1551" s="178"/>
      <c r="AJ1551" s="139"/>
      <c r="AK1551" s="173"/>
      <c r="AL1551" s="177"/>
      <c r="AM1551" s="178"/>
      <c r="AN1551" s="173"/>
      <c r="AO1551" s="173"/>
      <c r="AP1551" s="173"/>
      <c r="AQ1551" s="178"/>
      <c r="AR1551" s="173"/>
      <c r="AS1551" s="173"/>
      <c r="AT1551" s="140"/>
      <c r="AX1551" s="140"/>
      <c r="BB1551" s="173"/>
      <c r="BC1551" s="173"/>
    </row>
    <row r="1552" spans="2:55" s="134" customFormat="1" x14ac:dyDescent="0.2">
      <c r="B1552" s="145"/>
      <c r="D1552" s="145"/>
      <c r="Z1552" s="177"/>
      <c r="AA1552" s="178"/>
      <c r="AB1552" s="139"/>
      <c r="AC1552" s="173"/>
      <c r="AD1552" s="177"/>
      <c r="AE1552" s="177"/>
      <c r="AF1552" s="139"/>
      <c r="AG1552" s="139"/>
      <c r="AH1552" s="177"/>
      <c r="AI1552" s="178"/>
      <c r="AJ1552" s="139"/>
      <c r="AK1552" s="173"/>
      <c r="AL1552" s="177"/>
      <c r="AM1552" s="178"/>
      <c r="AN1552" s="173"/>
      <c r="AO1552" s="173"/>
      <c r="AP1552" s="173"/>
      <c r="AQ1552" s="178"/>
      <c r="AR1552" s="173"/>
      <c r="AS1552" s="173"/>
      <c r="AT1552" s="140"/>
      <c r="AX1552" s="140"/>
      <c r="BB1552" s="173"/>
      <c r="BC1552" s="173"/>
    </row>
    <row r="1553" spans="2:55" s="134" customFormat="1" x14ac:dyDescent="0.2">
      <c r="B1553" s="145"/>
      <c r="D1553" s="145"/>
      <c r="Z1553" s="177"/>
      <c r="AA1553" s="178"/>
      <c r="AB1553" s="139"/>
      <c r="AC1553" s="173"/>
      <c r="AD1553" s="177"/>
      <c r="AE1553" s="177"/>
      <c r="AF1553" s="139"/>
      <c r="AG1553" s="139"/>
      <c r="AH1553" s="177"/>
      <c r="AI1553" s="178"/>
      <c r="AJ1553" s="139"/>
      <c r="AK1553" s="173"/>
      <c r="AL1553" s="177"/>
      <c r="AM1553" s="178"/>
      <c r="AN1553" s="173"/>
      <c r="AO1553" s="173"/>
      <c r="AP1553" s="173"/>
      <c r="AQ1553" s="178"/>
      <c r="AR1553" s="173"/>
      <c r="AS1553" s="173"/>
      <c r="AT1553" s="140"/>
      <c r="AX1553" s="140"/>
      <c r="BB1553" s="173"/>
      <c r="BC1553" s="173"/>
    </row>
    <row r="1554" spans="2:55" s="134" customFormat="1" x14ac:dyDescent="0.2">
      <c r="B1554" s="145"/>
      <c r="D1554" s="145"/>
      <c r="Z1554" s="177"/>
      <c r="AA1554" s="178"/>
      <c r="AB1554" s="139"/>
      <c r="AC1554" s="173"/>
      <c r="AD1554" s="177"/>
      <c r="AE1554" s="177"/>
      <c r="AF1554" s="139"/>
      <c r="AG1554" s="139"/>
      <c r="AH1554" s="177"/>
      <c r="AI1554" s="178"/>
      <c r="AJ1554" s="139"/>
      <c r="AK1554" s="173"/>
      <c r="AL1554" s="177"/>
      <c r="AM1554" s="178"/>
      <c r="AN1554" s="173"/>
      <c r="AO1554" s="173"/>
      <c r="AP1554" s="173"/>
      <c r="AQ1554" s="178"/>
      <c r="AR1554" s="173"/>
      <c r="AS1554" s="173"/>
      <c r="AT1554" s="140"/>
      <c r="AX1554" s="140"/>
      <c r="BB1554" s="173"/>
      <c r="BC1554" s="173"/>
    </row>
    <row r="1555" spans="2:55" s="134" customFormat="1" x14ac:dyDescent="0.2">
      <c r="B1555" s="145"/>
      <c r="D1555" s="145"/>
      <c r="Z1555" s="177"/>
      <c r="AA1555" s="178"/>
      <c r="AB1555" s="139"/>
      <c r="AC1555" s="173"/>
      <c r="AD1555" s="177"/>
      <c r="AE1555" s="177"/>
      <c r="AF1555" s="139"/>
      <c r="AG1555" s="139"/>
      <c r="AH1555" s="177"/>
      <c r="AI1555" s="178"/>
      <c r="AJ1555" s="139"/>
      <c r="AK1555" s="173"/>
      <c r="AL1555" s="177"/>
      <c r="AM1555" s="178"/>
      <c r="AN1555" s="173"/>
      <c r="AO1555" s="173"/>
      <c r="AP1555" s="173"/>
      <c r="AQ1555" s="178"/>
      <c r="AR1555" s="173"/>
      <c r="AS1555" s="173"/>
      <c r="AT1555" s="140"/>
      <c r="AX1555" s="140"/>
      <c r="BB1555" s="173"/>
      <c r="BC1555" s="173"/>
    </row>
    <row r="1556" spans="2:55" s="134" customFormat="1" x14ac:dyDescent="0.2">
      <c r="B1556" s="145"/>
      <c r="D1556" s="145"/>
      <c r="Z1556" s="177"/>
      <c r="AA1556" s="178"/>
      <c r="AB1556" s="139"/>
      <c r="AC1556" s="173"/>
      <c r="AD1556" s="177"/>
      <c r="AE1556" s="177"/>
      <c r="AF1556" s="139"/>
      <c r="AG1556" s="139"/>
      <c r="AH1556" s="177"/>
      <c r="AI1556" s="178"/>
      <c r="AJ1556" s="139"/>
      <c r="AK1556" s="173"/>
      <c r="AL1556" s="177"/>
      <c r="AM1556" s="178"/>
      <c r="AN1556" s="173"/>
      <c r="AO1556" s="173"/>
      <c r="AP1556" s="173"/>
      <c r="AQ1556" s="178"/>
      <c r="AR1556" s="173"/>
      <c r="AS1556" s="173"/>
      <c r="AT1556" s="140"/>
      <c r="AX1556" s="140"/>
      <c r="BB1556" s="173"/>
      <c r="BC1556" s="173"/>
    </row>
    <row r="1557" spans="2:55" s="134" customFormat="1" x14ac:dyDescent="0.2">
      <c r="B1557" s="145"/>
      <c r="D1557" s="145"/>
      <c r="Z1557" s="177"/>
      <c r="AA1557" s="178"/>
      <c r="AB1557" s="139"/>
      <c r="AC1557" s="173"/>
      <c r="AD1557" s="177"/>
      <c r="AE1557" s="177"/>
      <c r="AF1557" s="139"/>
      <c r="AG1557" s="139"/>
      <c r="AH1557" s="177"/>
      <c r="AI1557" s="178"/>
      <c r="AJ1557" s="139"/>
      <c r="AK1557" s="173"/>
      <c r="AL1557" s="177"/>
      <c r="AM1557" s="178"/>
      <c r="AN1557" s="173"/>
      <c r="AO1557" s="173"/>
      <c r="AP1557" s="173"/>
      <c r="AQ1557" s="178"/>
      <c r="AR1557" s="173"/>
      <c r="AS1557" s="173"/>
      <c r="AT1557" s="140"/>
      <c r="AX1557" s="140"/>
      <c r="BB1557" s="173"/>
      <c r="BC1557" s="173"/>
    </row>
    <row r="1558" spans="2:55" s="134" customFormat="1" x14ac:dyDescent="0.2">
      <c r="B1558" s="145"/>
      <c r="D1558" s="145"/>
      <c r="Z1558" s="177"/>
      <c r="AA1558" s="178"/>
      <c r="AB1558" s="139"/>
      <c r="AC1558" s="173"/>
      <c r="AD1558" s="177"/>
      <c r="AE1558" s="177"/>
      <c r="AF1558" s="139"/>
      <c r="AG1558" s="139"/>
      <c r="AH1558" s="177"/>
      <c r="AI1558" s="178"/>
      <c r="AJ1558" s="139"/>
      <c r="AK1558" s="173"/>
      <c r="AL1558" s="177"/>
      <c r="AM1558" s="178"/>
      <c r="AN1558" s="173"/>
      <c r="AO1558" s="173"/>
      <c r="AP1558" s="173"/>
      <c r="AQ1558" s="178"/>
      <c r="AR1558" s="173"/>
      <c r="AS1558" s="173"/>
      <c r="AT1558" s="140"/>
      <c r="AX1558" s="140"/>
      <c r="BB1558" s="173"/>
      <c r="BC1558" s="173"/>
    </row>
    <row r="1559" spans="2:55" s="134" customFormat="1" x14ac:dyDescent="0.2">
      <c r="B1559" s="145"/>
      <c r="D1559" s="145"/>
      <c r="Z1559" s="177"/>
      <c r="AA1559" s="178"/>
      <c r="AB1559" s="139"/>
      <c r="AC1559" s="173"/>
      <c r="AD1559" s="177"/>
      <c r="AE1559" s="177"/>
      <c r="AF1559" s="139"/>
      <c r="AG1559" s="139"/>
      <c r="AH1559" s="177"/>
      <c r="AI1559" s="178"/>
      <c r="AJ1559" s="139"/>
      <c r="AK1559" s="173"/>
      <c r="AL1559" s="177"/>
      <c r="AM1559" s="178"/>
      <c r="AN1559" s="173"/>
      <c r="AO1559" s="173"/>
      <c r="AP1559" s="173"/>
      <c r="AQ1559" s="178"/>
      <c r="AR1559" s="173"/>
      <c r="AS1559" s="173"/>
      <c r="AT1559" s="140"/>
      <c r="AX1559" s="140"/>
      <c r="BB1559" s="173"/>
      <c r="BC1559" s="173"/>
    </row>
    <row r="1560" spans="2:55" s="134" customFormat="1" x14ac:dyDescent="0.2">
      <c r="B1560" s="145"/>
      <c r="D1560" s="145"/>
      <c r="Z1560" s="177"/>
      <c r="AA1560" s="178"/>
      <c r="AB1560" s="139"/>
      <c r="AC1560" s="173"/>
      <c r="AD1560" s="177"/>
      <c r="AE1560" s="177"/>
      <c r="AF1560" s="139"/>
      <c r="AG1560" s="139"/>
      <c r="AH1560" s="177"/>
      <c r="AI1560" s="178"/>
      <c r="AJ1560" s="139"/>
      <c r="AK1560" s="173"/>
      <c r="AL1560" s="177"/>
      <c r="AM1560" s="178"/>
      <c r="AN1560" s="173"/>
      <c r="AO1560" s="173"/>
      <c r="AP1560" s="173"/>
      <c r="AQ1560" s="178"/>
      <c r="AR1560" s="173"/>
      <c r="AS1560" s="173"/>
      <c r="AT1560" s="140"/>
      <c r="AX1560" s="140"/>
      <c r="BB1560" s="173"/>
      <c r="BC1560" s="173"/>
    </row>
    <row r="1561" spans="2:55" s="134" customFormat="1" x14ac:dyDescent="0.2">
      <c r="B1561" s="145"/>
      <c r="D1561" s="145"/>
      <c r="Z1561" s="177"/>
      <c r="AA1561" s="178"/>
      <c r="AB1561" s="139"/>
      <c r="AC1561" s="173"/>
      <c r="AD1561" s="177"/>
      <c r="AE1561" s="177"/>
      <c r="AF1561" s="139"/>
      <c r="AG1561" s="139"/>
      <c r="AH1561" s="177"/>
      <c r="AI1561" s="178"/>
      <c r="AJ1561" s="139"/>
      <c r="AK1561" s="173"/>
      <c r="AL1561" s="177"/>
      <c r="AM1561" s="178"/>
      <c r="AN1561" s="173"/>
      <c r="AO1561" s="173"/>
      <c r="AP1561" s="173"/>
      <c r="AQ1561" s="178"/>
      <c r="AR1561" s="173"/>
      <c r="AS1561" s="173"/>
      <c r="AT1561" s="140"/>
      <c r="AX1561" s="140"/>
      <c r="BB1561" s="173"/>
      <c r="BC1561" s="173"/>
    </row>
    <row r="1562" spans="2:55" s="134" customFormat="1" x14ac:dyDescent="0.2">
      <c r="B1562" s="145"/>
      <c r="D1562" s="145"/>
      <c r="Z1562" s="177"/>
      <c r="AA1562" s="178"/>
      <c r="AB1562" s="139"/>
      <c r="AC1562" s="173"/>
      <c r="AD1562" s="177"/>
      <c r="AE1562" s="177"/>
      <c r="AF1562" s="139"/>
      <c r="AG1562" s="139"/>
      <c r="AH1562" s="177"/>
      <c r="AI1562" s="178"/>
      <c r="AJ1562" s="139"/>
      <c r="AK1562" s="173"/>
      <c r="AL1562" s="177"/>
      <c r="AM1562" s="178"/>
      <c r="AN1562" s="173"/>
      <c r="AO1562" s="173"/>
      <c r="AP1562" s="173"/>
      <c r="AQ1562" s="178"/>
      <c r="AR1562" s="173"/>
      <c r="AS1562" s="173"/>
      <c r="AT1562" s="140"/>
      <c r="AX1562" s="140"/>
      <c r="BB1562" s="173"/>
      <c r="BC1562" s="173"/>
    </row>
    <row r="1563" spans="2:55" s="134" customFormat="1" x14ac:dyDescent="0.2">
      <c r="B1563" s="145"/>
      <c r="D1563" s="145"/>
      <c r="Z1563" s="177"/>
      <c r="AA1563" s="178"/>
      <c r="AB1563" s="139"/>
      <c r="AC1563" s="173"/>
      <c r="AD1563" s="177"/>
      <c r="AE1563" s="177"/>
      <c r="AF1563" s="139"/>
      <c r="AG1563" s="139"/>
      <c r="AH1563" s="177"/>
      <c r="AI1563" s="178"/>
      <c r="AJ1563" s="139"/>
      <c r="AK1563" s="173"/>
      <c r="AL1563" s="177"/>
      <c r="AM1563" s="178"/>
      <c r="AN1563" s="173"/>
      <c r="AO1563" s="173"/>
      <c r="AP1563" s="173"/>
      <c r="AQ1563" s="178"/>
      <c r="AR1563" s="173"/>
      <c r="AS1563" s="173"/>
      <c r="AT1563" s="140"/>
      <c r="AX1563" s="140"/>
      <c r="BB1563" s="173"/>
      <c r="BC1563" s="173"/>
    </row>
    <row r="1564" spans="2:55" s="134" customFormat="1" x14ac:dyDescent="0.2">
      <c r="B1564" s="145"/>
      <c r="D1564" s="145"/>
      <c r="Z1564" s="177"/>
      <c r="AA1564" s="178"/>
      <c r="AB1564" s="139"/>
      <c r="AC1564" s="173"/>
      <c r="AD1564" s="177"/>
      <c r="AE1564" s="177"/>
      <c r="AF1564" s="139"/>
      <c r="AG1564" s="139"/>
      <c r="AH1564" s="177"/>
      <c r="AI1564" s="178"/>
      <c r="AJ1564" s="139"/>
      <c r="AK1564" s="173"/>
      <c r="AL1564" s="177"/>
      <c r="AM1564" s="178"/>
      <c r="AN1564" s="173"/>
      <c r="AO1564" s="173"/>
      <c r="AP1564" s="173"/>
      <c r="AQ1564" s="178"/>
      <c r="AR1564" s="173"/>
      <c r="AS1564" s="173"/>
      <c r="AT1564" s="140"/>
      <c r="AX1564" s="140"/>
      <c r="BB1564" s="173"/>
      <c r="BC1564" s="173"/>
    </row>
    <row r="1565" spans="2:55" s="134" customFormat="1" x14ac:dyDescent="0.2">
      <c r="B1565" s="145"/>
      <c r="D1565" s="145"/>
      <c r="Z1565" s="177"/>
      <c r="AA1565" s="178"/>
      <c r="AB1565" s="139"/>
      <c r="AC1565" s="173"/>
      <c r="AD1565" s="177"/>
      <c r="AE1565" s="177"/>
      <c r="AF1565" s="139"/>
      <c r="AG1565" s="139"/>
      <c r="AH1565" s="177"/>
      <c r="AI1565" s="178"/>
      <c r="AJ1565" s="139"/>
      <c r="AK1565" s="173"/>
      <c r="AL1565" s="177"/>
      <c r="AM1565" s="178"/>
      <c r="AN1565" s="173"/>
      <c r="AO1565" s="173"/>
      <c r="AP1565" s="173"/>
      <c r="AQ1565" s="178"/>
      <c r="AR1565" s="173"/>
      <c r="AS1565" s="173"/>
      <c r="AT1565" s="140"/>
      <c r="AX1565" s="140"/>
      <c r="BB1565" s="173"/>
      <c r="BC1565" s="173"/>
    </row>
    <row r="1566" spans="2:55" s="134" customFormat="1" x14ac:dyDescent="0.2">
      <c r="B1566" s="145"/>
      <c r="D1566" s="145"/>
      <c r="Z1566" s="177"/>
      <c r="AA1566" s="178"/>
      <c r="AB1566" s="139"/>
      <c r="AC1566" s="173"/>
      <c r="AD1566" s="177"/>
      <c r="AE1566" s="177"/>
      <c r="AF1566" s="139"/>
      <c r="AG1566" s="139"/>
      <c r="AH1566" s="177"/>
      <c r="AI1566" s="178"/>
      <c r="AJ1566" s="139"/>
      <c r="AK1566" s="173"/>
      <c r="AL1566" s="177"/>
      <c r="AM1566" s="178"/>
      <c r="AN1566" s="173"/>
      <c r="AO1566" s="173"/>
      <c r="AP1566" s="173"/>
      <c r="AQ1566" s="178"/>
      <c r="AR1566" s="173"/>
      <c r="AS1566" s="173"/>
      <c r="AT1566" s="140"/>
      <c r="AX1566" s="140"/>
      <c r="BB1566" s="173"/>
      <c r="BC1566" s="173"/>
    </row>
    <row r="1567" spans="2:55" s="134" customFormat="1" x14ac:dyDescent="0.2">
      <c r="B1567" s="145"/>
      <c r="D1567" s="145"/>
      <c r="Z1567" s="177"/>
      <c r="AA1567" s="178"/>
      <c r="AB1567" s="139"/>
      <c r="AC1567" s="173"/>
      <c r="AD1567" s="177"/>
      <c r="AE1567" s="177"/>
      <c r="AF1567" s="139"/>
      <c r="AG1567" s="139"/>
      <c r="AH1567" s="177"/>
      <c r="AI1567" s="178"/>
      <c r="AJ1567" s="139"/>
      <c r="AK1567" s="173"/>
      <c r="AL1567" s="177"/>
      <c r="AM1567" s="178"/>
      <c r="AN1567" s="173"/>
      <c r="AO1567" s="173"/>
      <c r="AP1567" s="173"/>
      <c r="AQ1567" s="178"/>
      <c r="AR1567" s="173"/>
      <c r="AS1567" s="173"/>
      <c r="AT1567" s="140"/>
      <c r="AX1567" s="140"/>
      <c r="BB1567" s="173"/>
      <c r="BC1567" s="173"/>
    </row>
    <row r="1568" spans="2:55" s="134" customFormat="1" x14ac:dyDescent="0.2">
      <c r="B1568" s="145"/>
      <c r="D1568" s="145"/>
      <c r="Z1568" s="177"/>
      <c r="AA1568" s="178"/>
      <c r="AB1568" s="139"/>
      <c r="AC1568" s="173"/>
      <c r="AD1568" s="177"/>
      <c r="AE1568" s="177"/>
      <c r="AF1568" s="139"/>
      <c r="AG1568" s="139"/>
      <c r="AH1568" s="177"/>
      <c r="AI1568" s="178"/>
      <c r="AJ1568" s="139"/>
      <c r="AK1568" s="173"/>
      <c r="AL1568" s="177"/>
      <c r="AM1568" s="178"/>
      <c r="AN1568" s="173"/>
      <c r="AO1568" s="173"/>
      <c r="AP1568" s="173"/>
      <c r="AQ1568" s="178"/>
      <c r="AR1568" s="173"/>
      <c r="AS1568" s="173"/>
      <c r="AT1568" s="140"/>
      <c r="AX1568" s="140"/>
      <c r="BB1568" s="173"/>
      <c r="BC1568" s="173"/>
    </row>
    <row r="1569" spans="2:55" s="134" customFormat="1" x14ac:dyDescent="0.2">
      <c r="B1569" s="145"/>
      <c r="D1569" s="145"/>
      <c r="Z1569" s="177"/>
      <c r="AA1569" s="178"/>
      <c r="AB1569" s="139"/>
      <c r="AC1569" s="173"/>
      <c r="AD1569" s="177"/>
      <c r="AE1569" s="177"/>
      <c r="AF1569" s="139"/>
      <c r="AG1569" s="139"/>
      <c r="AH1569" s="177"/>
      <c r="AI1569" s="178"/>
      <c r="AJ1569" s="139"/>
      <c r="AK1569" s="173"/>
      <c r="AL1569" s="177"/>
      <c r="AM1569" s="178"/>
      <c r="AN1569" s="173"/>
      <c r="AO1569" s="173"/>
      <c r="AP1569" s="173"/>
      <c r="AQ1569" s="178"/>
      <c r="AR1569" s="173"/>
      <c r="AS1569" s="173"/>
      <c r="AT1569" s="140"/>
      <c r="AX1569" s="140"/>
      <c r="BB1569" s="173"/>
      <c r="BC1569" s="173"/>
    </row>
    <row r="1570" spans="2:55" s="134" customFormat="1" x14ac:dyDescent="0.2">
      <c r="B1570" s="145"/>
      <c r="D1570" s="145"/>
      <c r="Z1570" s="177"/>
      <c r="AA1570" s="178"/>
      <c r="AB1570" s="139"/>
      <c r="AC1570" s="173"/>
      <c r="AD1570" s="177"/>
      <c r="AE1570" s="177"/>
      <c r="AF1570" s="139"/>
      <c r="AG1570" s="139"/>
      <c r="AH1570" s="177"/>
      <c r="AI1570" s="178"/>
      <c r="AJ1570" s="139"/>
      <c r="AK1570" s="173"/>
      <c r="AL1570" s="177"/>
      <c r="AM1570" s="178"/>
      <c r="AN1570" s="173"/>
      <c r="AO1570" s="173"/>
      <c r="AP1570" s="173"/>
      <c r="AQ1570" s="178"/>
      <c r="AR1570" s="173"/>
      <c r="AS1570" s="173"/>
      <c r="AT1570" s="140"/>
      <c r="AX1570" s="140"/>
      <c r="BB1570" s="173"/>
      <c r="BC1570" s="173"/>
    </row>
    <row r="1571" spans="2:55" s="134" customFormat="1" x14ac:dyDescent="0.2">
      <c r="B1571" s="145"/>
      <c r="D1571" s="145"/>
      <c r="Z1571" s="177"/>
      <c r="AA1571" s="178"/>
      <c r="AB1571" s="139"/>
      <c r="AC1571" s="173"/>
      <c r="AD1571" s="177"/>
      <c r="AE1571" s="177"/>
      <c r="AF1571" s="139"/>
      <c r="AG1571" s="139"/>
      <c r="AH1571" s="177"/>
      <c r="AI1571" s="178"/>
      <c r="AJ1571" s="139"/>
      <c r="AK1571" s="173"/>
      <c r="AL1571" s="177"/>
      <c r="AM1571" s="178"/>
      <c r="AN1571" s="173"/>
      <c r="AO1571" s="173"/>
      <c r="AP1571" s="173"/>
      <c r="AQ1571" s="178"/>
      <c r="AR1571" s="173"/>
      <c r="AS1571" s="173"/>
      <c r="AT1571" s="140"/>
      <c r="AX1571" s="140"/>
      <c r="BB1571" s="173"/>
      <c r="BC1571" s="173"/>
    </row>
    <row r="1572" spans="2:55" s="134" customFormat="1" x14ac:dyDescent="0.2">
      <c r="B1572" s="145"/>
      <c r="D1572" s="145"/>
      <c r="Z1572" s="177"/>
      <c r="AA1572" s="178"/>
      <c r="AB1572" s="139"/>
      <c r="AC1572" s="173"/>
      <c r="AD1572" s="177"/>
      <c r="AE1572" s="177"/>
      <c r="AF1572" s="139"/>
      <c r="AG1572" s="139"/>
      <c r="AH1572" s="177"/>
      <c r="AI1572" s="178"/>
      <c r="AJ1572" s="139"/>
      <c r="AK1572" s="173"/>
      <c r="AL1572" s="177"/>
      <c r="AM1572" s="178"/>
      <c r="AN1572" s="173"/>
      <c r="AO1572" s="173"/>
      <c r="AP1572" s="173"/>
      <c r="AQ1572" s="178"/>
      <c r="AR1572" s="173"/>
      <c r="AS1572" s="173"/>
      <c r="AT1572" s="140"/>
      <c r="AX1572" s="140"/>
      <c r="BB1572" s="173"/>
      <c r="BC1572" s="173"/>
    </row>
    <row r="1573" spans="2:55" s="134" customFormat="1" x14ac:dyDescent="0.2">
      <c r="B1573" s="145"/>
      <c r="D1573" s="145"/>
      <c r="Z1573" s="177"/>
      <c r="AA1573" s="178"/>
      <c r="AB1573" s="139"/>
      <c r="AC1573" s="173"/>
      <c r="AD1573" s="177"/>
      <c r="AE1573" s="177"/>
      <c r="AF1573" s="139"/>
      <c r="AG1573" s="139"/>
      <c r="AH1573" s="177"/>
      <c r="AI1573" s="178"/>
      <c r="AJ1573" s="139"/>
      <c r="AK1573" s="173"/>
      <c r="AL1573" s="177"/>
      <c r="AM1573" s="178"/>
      <c r="AN1573" s="173"/>
      <c r="AO1573" s="173"/>
      <c r="AP1573" s="173"/>
      <c r="AQ1573" s="178"/>
      <c r="AR1573" s="173"/>
      <c r="AS1573" s="173"/>
      <c r="AT1573" s="140"/>
      <c r="AX1573" s="140"/>
      <c r="BB1573" s="173"/>
      <c r="BC1573" s="173"/>
    </row>
    <row r="1574" spans="2:55" s="134" customFormat="1" x14ac:dyDescent="0.2">
      <c r="B1574" s="145"/>
      <c r="D1574" s="145"/>
      <c r="Z1574" s="177"/>
      <c r="AA1574" s="178"/>
      <c r="AB1574" s="139"/>
      <c r="AC1574" s="173"/>
      <c r="AD1574" s="177"/>
      <c r="AE1574" s="177"/>
      <c r="AF1574" s="139"/>
      <c r="AG1574" s="139"/>
      <c r="AH1574" s="177"/>
      <c r="AI1574" s="178"/>
      <c r="AJ1574" s="139"/>
      <c r="AK1574" s="173"/>
      <c r="AL1574" s="177"/>
      <c r="AM1574" s="178"/>
      <c r="AN1574" s="173"/>
      <c r="AO1574" s="173"/>
      <c r="AP1574" s="173"/>
      <c r="AQ1574" s="178"/>
      <c r="AR1574" s="173"/>
      <c r="AS1574" s="173"/>
      <c r="AT1574" s="140"/>
      <c r="AX1574" s="140"/>
      <c r="BB1574" s="173"/>
      <c r="BC1574" s="173"/>
    </row>
    <row r="1575" spans="2:55" s="134" customFormat="1" x14ac:dyDescent="0.2">
      <c r="B1575" s="145"/>
      <c r="D1575" s="145"/>
      <c r="Z1575" s="177"/>
      <c r="AA1575" s="178"/>
      <c r="AB1575" s="139"/>
      <c r="AC1575" s="173"/>
      <c r="AD1575" s="177"/>
      <c r="AE1575" s="177"/>
      <c r="AF1575" s="139"/>
      <c r="AG1575" s="139"/>
      <c r="AH1575" s="177"/>
      <c r="AI1575" s="178"/>
      <c r="AJ1575" s="139"/>
      <c r="AK1575" s="173"/>
      <c r="AL1575" s="177"/>
      <c r="AM1575" s="178"/>
      <c r="AN1575" s="173"/>
      <c r="AO1575" s="173"/>
      <c r="AP1575" s="173"/>
      <c r="AQ1575" s="178"/>
      <c r="AR1575" s="173"/>
      <c r="AS1575" s="173"/>
      <c r="AT1575" s="140"/>
      <c r="AX1575" s="140"/>
      <c r="BB1575" s="173"/>
      <c r="BC1575" s="173"/>
    </row>
    <row r="1576" spans="2:55" s="134" customFormat="1" x14ac:dyDescent="0.2">
      <c r="B1576" s="145"/>
      <c r="D1576" s="145"/>
      <c r="Z1576" s="177"/>
      <c r="AA1576" s="178"/>
      <c r="AB1576" s="139"/>
      <c r="AC1576" s="173"/>
      <c r="AD1576" s="177"/>
      <c r="AE1576" s="177"/>
      <c r="AF1576" s="139"/>
      <c r="AG1576" s="139"/>
      <c r="AH1576" s="177"/>
      <c r="AI1576" s="178"/>
      <c r="AJ1576" s="139"/>
      <c r="AK1576" s="173"/>
      <c r="AL1576" s="177"/>
      <c r="AM1576" s="178"/>
      <c r="AN1576" s="173"/>
      <c r="AO1576" s="173"/>
      <c r="AP1576" s="173"/>
      <c r="AQ1576" s="178"/>
      <c r="AR1576" s="173"/>
      <c r="AS1576" s="173"/>
      <c r="AT1576" s="140"/>
      <c r="AX1576" s="140"/>
      <c r="BB1576" s="173"/>
      <c r="BC1576" s="173"/>
    </row>
    <row r="1577" spans="2:55" s="134" customFormat="1" x14ac:dyDescent="0.2">
      <c r="B1577" s="145"/>
      <c r="D1577" s="145"/>
      <c r="Z1577" s="177"/>
      <c r="AA1577" s="178"/>
      <c r="AB1577" s="139"/>
      <c r="AC1577" s="173"/>
      <c r="AD1577" s="177"/>
      <c r="AE1577" s="177"/>
      <c r="AF1577" s="139"/>
      <c r="AG1577" s="139"/>
      <c r="AH1577" s="177"/>
      <c r="AI1577" s="178"/>
      <c r="AJ1577" s="139"/>
      <c r="AK1577" s="173"/>
      <c r="AL1577" s="177"/>
      <c r="AM1577" s="178"/>
      <c r="AN1577" s="173"/>
      <c r="AO1577" s="173"/>
      <c r="AP1577" s="173"/>
      <c r="AQ1577" s="178"/>
      <c r="AR1577" s="173"/>
      <c r="AS1577" s="173"/>
      <c r="AT1577" s="140"/>
      <c r="AX1577" s="140"/>
      <c r="BB1577" s="173"/>
      <c r="BC1577" s="173"/>
    </row>
    <row r="1578" spans="2:55" s="134" customFormat="1" x14ac:dyDescent="0.2">
      <c r="B1578" s="145"/>
      <c r="D1578" s="145"/>
      <c r="Z1578" s="177"/>
      <c r="AA1578" s="178"/>
      <c r="AB1578" s="139"/>
      <c r="AC1578" s="173"/>
      <c r="AD1578" s="177"/>
      <c r="AE1578" s="177"/>
      <c r="AF1578" s="139"/>
      <c r="AG1578" s="139"/>
      <c r="AH1578" s="177"/>
      <c r="AI1578" s="178"/>
      <c r="AJ1578" s="139"/>
      <c r="AK1578" s="173"/>
      <c r="AL1578" s="177"/>
      <c r="AM1578" s="178"/>
      <c r="AN1578" s="173"/>
      <c r="AO1578" s="173"/>
      <c r="AP1578" s="173"/>
      <c r="AQ1578" s="178"/>
      <c r="AR1578" s="173"/>
      <c r="AS1578" s="173"/>
      <c r="AT1578" s="140"/>
      <c r="AX1578" s="140"/>
      <c r="BB1578" s="173"/>
      <c r="BC1578" s="173"/>
    </row>
    <row r="1579" spans="2:55" s="134" customFormat="1" x14ac:dyDescent="0.2">
      <c r="B1579" s="145"/>
      <c r="D1579" s="145"/>
      <c r="Z1579" s="177"/>
      <c r="AA1579" s="178"/>
      <c r="AB1579" s="139"/>
      <c r="AC1579" s="173"/>
      <c r="AD1579" s="177"/>
      <c r="AE1579" s="177"/>
      <c r="AF1579" s="139"/>
      <c r="AG1579" s="139"/>
      <c r="AH1579" s="177"/>
      <c r="AI1579" s="178"/>
      <c r="AJ1579" s="139"/>
      <c r="AK1579" s="173"/>
      <c r="AL1579" s="177"/>
      <c r="AM1579" s="178"/>
      <c r="AN1579" s="173"/>
      <c r="AO1579" s="173"/>
      <c r="AP1579" s="173"/>
      <c r="AQ1579" s="178"/>
      <c r="AR1579" s="173"/>
      <c r="AS1579" s="173"/>
      <c r="AT1579" s="140"/>
      <c r="AX1579" s="140"/>
      <c r="BB1579" s="173"/>
      <c r="BC1579" s="173"/>
    </row>
    <row r="1580" spans="2:55" s="134" customFormat="1" x14ac:dyDescent="0.2">
      <c r="B1580" s="145"/>
      <c r="D1580" s="145"/>
      <c r="Z1580" s="177"/>
      <c r="AA1580" s="178"/>
      <c r="AB1580" s="139"/>
      <c r="AC1580" s="173"/>
      <c r="AD1580" s="177"/>
      <c r="AE1580" s="177"/>
      <c r="AF1580" s="139"/>
      <c r="AG1580" s="139"/>
      <c r="AH1580" s="177"/>
      <c r="AI1580" s="178"/>
      <c r="AJ1580" s="139"/>
      <c r="AK1580" s="173"/>
      <c r="AL1580" s="177"/>
      <c r="AM1580" s="178"/>
      <c r="AN1580" s="173"/>
      <c r="AO1580" s="173"/>
      <c r="AP1580" s="173"/>
      <c r="AQ1580" s="178"/>
      <c r="AR1580" s="173"/>
      <c r="AS1580" s="173"/>
      <c r="AT1580" s="140"/>
      <c r="AX1580" s="140"/>
      <c r="BB1580" s="173"/>
      <c r="BC1580" s="173"/>
    </row>
    <row r="1581" spans="2:55" s="134" customFormat="1" x14ac:dyDescent="0.2">
      <c r="B1581" s="145"/>
      <c r="D1581" s="145"/>
      <c r="Z1581" s="177"/>
      <c r="AA1581" s="178"/>
      <c r="AB1581" s="139"/>
      <c r="AC1581" s="173"/>
      <c r="AD1581" s="177"/>
      <c r="AE1581" s="177"/>
      <c r="AF1581" s="139"/>
      <c r="AG1581" s="139"/>
      <c r="AH1581" s="177"/>
      <c r="AI1581" s="178"/>
      <c r="AJ1581" s="139"/>
      <c r="AK1581" s="173"/>
      <c r="AL1581" s="177"/>
      <c r="AM1581" s="178"/>
      <c r="AN1581" s="173"/>
      <c r="AO1581" s="173"/>
      <c r="AP1581" s="173"/>
      <c r="AQ1581" s="178"/>
      <c r="AR1581" s="173"/>
      <c r="AS1581" s="173"/>
      <c r="AT1581" s="140"/>
      <c r="AX1581" s="140"/>
      <c r="BB1581" s="173"/>
      <c r="BC1581" s="173"/>
    </row>
    <row r="1582" spans="2:55" s="134" customFormat="1" x14ac:dyDescent="0.2">
      <c r="B1582" s="145"/>
      <c r="D1582" s="145"/>
      <c r="Z1582" s="177"/>
      <c r="AA1582" s="178"/>
      <c r="AB1582" s="139"/>
      <c r="AC1582" s="173"/>
      <c r="AD1582" s="177"/>
      <c r="AE1582" s="177"/>
      <c r="AF1582" s="139"/>
      <c r="AG1582" s="139"/>
      <c r="AH1582" s="177"/>
      <c r="AI1582" s="178"/>
      <c r="AJ1582" s="139"/>
      <c r="AK1582" s="173"/>
      <c r="AL1582" s="177"/>
      <c r="AM1582" s="178"/>
      <c r="AN1582" s="173"/>
      <c r="AO1582" s="173"/>
      <c r="AP1582" s="173"/>
      <c r="AQ1582" s="178"/>
      <c r="AR1582" s="173"/>
      <c r="AS1582" s="173"/>
      <c r="AT1582" s="140"/>
      <c r="AX1582" s="140"/>
      <c r="BB1582" s="173"/>
      <c r="BC1582" s="173"/>
    </row>
    <row r="1583" spans="2:55" s="134" customFormat="1" x14ac:dyDescent="0.2">
      <c r="B1583" s="145"/>
      <c r="D1583" s="145"/>
      <c r="Z1583" s="177"/>
      <c r="AA1583" s="178"/>
      <c r="AB1583" s="139"/>
      <c r="AC1583" s="173"/>
      <c r="AD1583" s="177"/>
      <c r="AE1583" s="177"/>
      <c r="AF1583" s="139"/>
      <c r="AG1583" s="139"/>
      <c r="AH1583" s="177"/>
      <c r="AI1583" s="178"/>
      <c r="AJ1583" s="139"/>
      <c r="AK1583" s="173"/>
      <c r="AL1583" s="177"/>
      <c r="AM1583" s="178"/>
      <c r="AN1583" s="173"/>
      <c r="AO1583" s="173"/>
      <c r="AP1583" s="173"/>
      <c r="AQ1583" s="178"/>
      <c r="AR1583" s="173"/>
      <c r="AS1583" s="173"/>
      <c r="AT1583" s="140"/>
      <c r="AX1583" s="140"/>
      <c r="BB1583" s="173"/>
      <c r="BC1583" s="173"/>
    </row>
    <row r="1584" spans="2:55" s="134" customFormat="1" x14ac:dyDescent="0.2">
      <c r="B1584" s="145"/>
      <c r="D1584" s="145"/>
      <c r="Z1584" s="177"/>
      <c r="AA1584" s="178"/>
      <c r="AB1584" s="139"/>
      <c r="AC1584" s="173"/>
      <c r="AD1584" s="177"/>
      <c r="AE1584" s="177"/>
      <c r="AF1584" s="139"/>
      <c r="AG1584" s="139"/>
      <c r="AH1584" s="177"/>
      <c r="AI1584" s="178"/>
      <c r="AJ1584" s="139"/>
      <c r="AK1584" s="173"/>
      <c r="AL1584" s="177"/>
      <c r="AM1584" s="178"/>
      <c r="AN1584" s="173"/>
      <c r="AO1584" s="173"/>
      <c r="AP1584" s="173"/>
      <c r="AQ1584" s="178"/>
      <c r="AR1584" s="173"/>
      <c r="AS1584" s="173"/>
      <c r="AT1584" s="140"/>
      <c r="AX1584" s="140"/>
      <c r="BB1584" s="173"/>
      <c r="BC1584" s="173"/>
    </row>
    <row r="1585" spans="2:55" s="134" customFormat="1" x14ac:dyDescent="0.2">
      <c r="B1585" s="145"/>
      <c r="D1585" s="145"/>
      <c r="Z1585" s="177"/>
      <c r="AA1585" s="178"/>
      <c r="AB1585" s="139"/>
      <c r="AC1585" s="173"/>
      <c r="AD1585" s="177"/>
      <c r="AE1585" s="177"/>
      <c r="AF1585" s="139"/>
      <c r="AG1585" s="139"/>
      <c r="AH1585" s="177"/>
      <c r="AI1585" s="178"/>
      <c r="AJ1585" s="139"/>
      <c r="AK1585" s="173"/>
      <c r="AL1585" s="177"/>
      <c r="AM1585" s="178"/>
      <c r="AN1585" s="173"/>
      <c r="AO1585" s="173"/>
      <c r="AP1585" s="173"/>
      <c r="AQ1585" s="178"/>
      <c r="AR1585" s="173"/>
      <c r="AS1585" s="173"/>
      <c r="AT1585" s="140"/>
      <c r="AX1585" s="140"/>
      <c r="BB1585" s="173"/>
      <c r="BC1585" s="173"/>
    </row>
    <row r="1586" spans="2:55" s="134" customFormat="1" x14ac:dyDescent="0.2">
      <c r="B1586" s="145"/>
      <c r="D1586" s="145"/>
      <c r="Z1586" s="177"/>
      <c r="AA1586" s="178"/>
      <c r="AB1586" s="139"/>
      <c r="AC1586" s="173"/>
      <c r="AD1586" s="177"/>
      <c r="AE1586" s="177"/>
      <c r="AF1586" s="139"/>
      <c r="AG1586" s="139"/>
      <c r="AH1586" s="177"/>
      <c r="AI1586" s="178"/>
      <c r="AJ1586" s="139"/>
      <c r="AK1586" s="173"/>
      <c r="AL1586" s="177"/>
      <c r="AM1586" s="178"/>
      <c r="AN1586" s="173"/>
      <c r="AO1586" s="173"/>
      <c r="AP1586" s="173"/>
      <c r="AQ1586" s="178"/>
      <c r="AR1586" s="173"/>
      <c r="AS1586" s="173"/>
      <c r="AT1586" s="140"/>
      <c r="AX1586" s="140"/>
      <c r="BB1586" s="173"/>
      <c r="BC1586" s="173"/>
    </row>
    <row r="1587" spans="2:55" s="134" customFormat="1" x14ac:dyDescent="0.2">
      <c r="B1587" s="145"/>
      <c r="D1587" s="145"/>
      <c r="Z1587" s="177"/>
      <c r="AA1587" s="178"/>
      <c r="AB1587" s="139"/>
      <c r="AC1587" s="173"/>
      <c r="AD1587" s="177"/>
      <c r="AE1587" s="177"/>
      <c r="AF1587" s="139"/>
      <c r="AG1587" s="139"/>
      <c r="AH1587" s="177"/>
      <c r="AI1587" s="178"/>
      <c r="AJ1587" s="139"/>
      <c r="AK1587" s="173"/>
      <c r="AL1587" s="177"/>
      <c r="AM1587" s="178"/>
      <c r="AN1587" s="173"/>
      <c r="AO1587" s="173"/>
      <c r="AP1587" s="173"/>
      <c r="AQ1587" s="178"/>
      <c r="AR1587" s="173"/>
      <c r="AS1587" s="173"/>
      <c r="AT1587" s="140"/>
      <c r="AX1587" s="140"/>
      <c r="BB1587" s="173"/>
      <c r="BC1587" s="173"/>
    </row>
    <row r="1588" spans="2:55" s="134" customFormat="1" x14ac:dyDescent="0.2">
      <c r="B1588" s="145"/>
      <c r="D1588" s="145"/>
      <c r="Z1588" s="177"/>
      <c r="AA1588" s="178"/>
      <c r="AB1588" s="139"/>
      <c r="AC1588" s="173"/>
      <c r="AD1588" s="177"/>
      <c r="AE1588" s="177"/>
      <c r="AF1588" s="139"/>
      <c r="AG1588" s="139"/>
      <c r="AH1588" s="177"/>
      <c r="AI1588" s="178"/>
      <c r="AJ1588" s="139"/>
      <c r="AK1588" s="173"/>
      <c r="AL1588" s="177"/>
      <c r="AM1588" s="178"/>
      <c r="AN1588" s="173"/>
      <c r="AO1588" s="173"/>
      <c r="AP1588" s="173"/>
      <c r="AQ1588" s="178"/>
      <c r="AR1588" s="173"/>
      <c r="AS1588" s="173"/>
      <c r="AT1588" s="140"/>
      <c r="AX1588" s="140"/>
      <c r="BB1588" s="173"/>
      <c r="BC1588" s="173"/>
    </row>
    <row r="1589" spans="2:55" s="134" customFormat="1" x14ac:dyDescent="0.2">
      <c r="B1589" s="145"/>
      <c r="D1589" s="145"/>
      <c r="Z1589" s="177"/>
      <c r="AA1589" s="178"/>
      <c r="AB1589" s="139"/>
      <c r="AC1589" s="173"/>
      <c r="AD1589" s="177"/>
      <c r="AE1589" s="177"/>
      <c r="AF1589" s="139"/>
      <c r="AG1589" s="139"/>
      <c r="AH1589" s="177"/>
      <c r="AI1589" s="178"/>
      <c r="AJ1589" s="139"/>
      <c r="AK1589" s="173"/>
      <c r="AL1589" s="177"/>
      <c r="AM1589" s="178"/>
      <c r="AN1589" s="173"/>
      <c r="AO1589" s="173"/>
      <c r="AP1589" s="173"/>
      <c r="AQ1589" s="178"/>
      <c r="AR1589" s="173"/>
      <c r="AS1589" s="173"/>
      <c r="AT1589" s="140"/>
      <c r="AX1589" s="140"/>
      <c r="BB1589" s="173"/>
      <c r="BC1589" s="173"/>
    </row>
    <row r="1590" spans="2:55" s="134" customFormat="1" x14ac:dyDescent="0.2">
      <c r="B1590" s="145"/>
      <c r="D1590" s="145"/>
      <c r="Z1590" s="177"/>
      <c r="AA1590" s="178"/>
      <c r="AB1590" s="139"/>
      <c r="AC1590" s="173"/>
      <c r="AD1590" s="177"/>
      <c r="AE1590" s="177"/>
      <c r="AF1590" s="139"/>
      <c r="AG1590" s="139"/>
      <c r="AH1590" s="177"/>
      <c r="AI1590" s="178"/>
      <c r="AJ1590" s="139"/>
      <c r="AK1590" s="173"/>
      <c r="AL1590" s="177"/>
      <c r="AM1590" s="178"/>
      <c r="AN1590" s="173"/>
      <c r="AO1590" s="173"/>
      <c r="AP1590" s="173"/>
      <c r="AQ1590" s="178"/>
      <c r="AR1590" s="173"/>
      <c r="AS1590" s="173"/>
      <c r="AT1590" s="140"/>
      <c r="AX1590" s="140"/>
      <c r="BB1590" s="173"/>
      <c r="BC1590" s="173"/>
    </row>
    <row r="1591" spans="2:55" s="134" customFormat="1" x14ac:dyDescent="0.2">
      <c r="B1591" s="145"/>
      <c r="D1591" s="145"/>
      <c r="Z1591" s="177"/>
      <c r="AA1591" s="178"/>
      <c r="AB1591" s="139"/>
      <c r="AC1591" s="173"/>
      <c r="AD1591" s="177"/>
      <c r="AE1591" s="177"/>
      <c r="AF1591" s="139"/>
      <c r="AG1591" s="139"/>
      <c r="AH1591" s="177"/>
      <c r="AI1591" s="178"/>
      <c r="AJ1591" s="139"/>
      <c r="AK1591" s="173"/>
      <c r="AL1591" s="177"/>
      <c r="AM1591" s="178"/>
      <c r="AN1591" s="173"/>
      <c r="AO1591" s="173"/>
      <c r="AP1591" s="173"/>
      <c r="AQ1591" s="178"/>
      <c r="AR1591" s="173"/>
      <c r="AS1591" s="173"/>
      <c r="AT1591" s="140"/>
      <c r="AX1591" s="140"/>
      <c r="BB1591" s="173"/>
      <c r="BC1591" s="173"/>
    </row>
    <row r="1592" spans="2:55" s="134" customFormat="1" x14ac:dyDescent="0.2">
      <c r="B1592" s="145"/>
      <c r="D1592" s="145"/>
      <c r="Z1592" s="177"/>
      <c r="AA1592" s="178"/>
      <c r="AB1592" s="139"/>
      <c r="AC1592" s="173"/>
      <c r="AD1592" s="177"/>
      <c r="AE1592" s="177"/>
      <c r="AF1592" s="139"/>
      <c r="AG1592" s="139"/>
      <c r="AH1592" s="177"/>
      <c r="AI1592" s="178"/>
      <c r="AJ1592" s="139"/>
      <c r="AK1592" s="173"/>
      <c r="AL1592" s="177"/>
      <c r="AM1592" s="178"/>
      <c r="AN1592" s="173"/>
      <c r="AO1592" s="173"/>
      <c r="AP1592" s="173"/>
      <c r="AQ1592" s="178"/>
      <c r="AR1592" s="173"/>
      <c r="AS1592" s="173"/>
      <c r="AT1592" s="140"/>
      <c r="AX1592" s="140"/>
      <c r="BB1592" s="173"/>
      <c r="BC1592" s="173"/>
    </row>
    <row r="1593" spans="2:55" s="134" customFormat="1" x14ac:dyDescent="0.2">
      <c r="B1593" s="145"/>
      <c r="D1593" s="145"/>
      <c r="Z1593" s="177"/>
      <c r="AA1593" s="178"/>
      <c r="AB1593" s="139"/>
      <c r="AC1593" s="173"/>
      <c r="AD1593" s="177"/>
      <c r="AE1593" s="177"/>
      <c r="AF1593" s="139"/>
      <c r="AG1593" s="139"/>
      <c r="AH1593" s="177"/>
      <c r="AI1593" s="178"/>
      <c r="AJ1593" s="139"/>
      <c r="AK1593" s="173"/>
      <c r="AL1593" s="177"/>
      <c r="AM1593" s="178"/>
      <c r="AN1593" s="173"/>
      <c r="AO1593" s="173"/>
      <c r="AP1593" s="173"/>
      <c r="AQ1593" s="178"/>
      <c r="AR1593" s="173"/>
      <c r="AS1593" s="173"/>
      <c r="AT1593" s="140"/>
      <c r="AX1593" s="140"/>
      <c r="BB1593" s="173"/>
      <c r="BC1593" s="173"/>
    </row>
    <row r="1594" spans="2:55" s="134" customFormat="1" x14ac:dyDescent="0.2">
      <c r="B1594" s="145"/>
      <c r="D1594" s="145"/>
      <c r="Z1594" s="177"/>
      <c r="AA1594" s="178"/>
      <c r="AB1594" s="139"/>
      <c r="AC1594" s="173"/>
      <c r="AD1594" s="177"/>
      <c r="AE1594" s="177"/>
      <c r="AF1594" s="139"/>
      <c r="AG1594" s="139"/>
      <c r="AH1594" s="177"/>
      <c r="AI1594" s="178"/>
      <c r="AJ1594" s="139"/>
      <c r="AK1594" s="173"/>
      <c r="AL1594" s="177"/>
      <c r="AM1594" s="178"/>
      <c r="AN1594" s="173"/>
      <c r="AO1594" s="173"/>
      <c r="AP1594" s="173"/>
      <c r="AQ1594" s="178"/>
      <c r="AR1594" s="173"/>
      <c r="AS1594" s="173"/>
      <c r="AT1594" s="140"/>
      <c r="AX1594" s="140"/>
      <c r="BB1594" s="173"/>
      <c r="BC1594" s="173"/>
    </row>
    <row r="1595" spans="2:55" s="134" customFormat="1" x14ac:dyDescent="0.2">
      <c r="B1595" s="145"/>
      <c r="D1595" s="145"/>
      <c r="Z1595" s="177"/>
      <c r="AA1595" s="178"/>
      <c r="AB1595" s="139"/>
      <c r="AC1595" s="173"/>
      <c r="AD1595" s="177"/>
      <c r="AE1595" s="177"/>
      <c r="AF1595" s="139"/>
      <c r="AG1595" s="139"/>
      <c r="AH1595" s="177"/>
      <c r="AI1595" s="178"/>
      <c r="AJ1595" s="139"/>
      <c r="AK1595" s="173"/>
      <c r="AL1595" s="177"/>
      <c r="AM1595" s="178"/>
      <c r="AN1595" s="173"/>
      <c r="AO1595" s="173"/>
      <c r="AP1595" s="173"/>
      <c r="AQ1595" s="178"/>
      <c r="AR1595" s="173"/>
      <c r="AS1595" s="173"/>
      <c r="AT1595" s="140"/>
      <c r="AX1595" s="140"/>
      <c r="BB1595" s="173"/>
      <c r="BC1595" s="173"/>
    </row>
    <row r="1596" spans="2:55" s="134" customFormat="1" x14ac:dyDescent="0.2">
      <c r="B1596" s="145"/>
      <c r="D1596" s="145"/>
      <c r="Z1596" s="177"/>
      <c r="AA1596" s="178"/>
      <c r="AB1596" s="139"/>
      <c r="AC1596" s="173"/>
      <c r="AD1596" s="177"/>
      <c r="AE1596" s="177"/>
      <c r="AF1596" s="139"/>
      <c r="AG1596" s="139"/>
      <c r="AH1596" s="177"/>
      <c r="AI1596" s="178"/>
      <c r="AJ1596" s="139"/>
      <c r="AK1596" s="173"/>
      <c r="AL1596" s="177"/>
      <c r="AM1596" s="178"/>
      <c r="AN1596" s="173"/>
      <c r="AO1596" s="173"/>
      <c r="AP1596" s="173"/>
      <c r="AQ1596" s="178"/>
      <c r="AR1596" s="173"/>
      <c r="AS1596" s="173"/>
      <c r="AT1596" s="140"/>
      <c r="AX1596" s="140"/>
      <c r="BB1596" s="173"/>
      <c r="BC1596" s="173"/>
    </row>
    <row r="1597" spans="2:55" s="134" customFormat="1" x14ac:dyDescent="0.2">
      <c r="B1597" s="145"/>
      <c r="D1597" s="145"/>
      <c r="Z1597" s="177"/>
      <c r="AA1597" s="178"/>
      <c r="AB1597" s="139"/>
      <c r="AC1597" s="173"/>
      <c r="AD1597" s="177"/>
      <c r="AE1597" s="177"/>
      <c r="AF1597" s="139"/>
      <c r="AG1597" s="139"/>
      <c r="AH1597" s="177"/>
      <c r="AI1597" s="178"/>
      <c r="AJ1597" s="139"/>
      <c r="AK1597" s="173"/>
      <c r="AL1597" s="177"/>
      <c r="AM1597" s="178"/>
      <c r="AN1597" s="173"/>
      <c r="AO1597" s="173"/>
      <c r="AP1597" s="173"/>
      <c r="AQ1597" s="178"/>
      <c r="AR1597" s="173"/>
      <c r="AS1597" s="173"/>
      <c r="AT1597" s="140"/>
      <c r="AX1597" s="140"/>
      <c r="BB1597" s="173"/>
      <c r="BC1597" s="173"/>
    </row>
    <row r="1598" spans="2:55" s="134" customFormat="1" x14ac:dyDescent="0.2">
      <c r="B1598" s="145"/>
      <c r="D1598" s="145"/>
      <c r="Z1598" s="177"/>
      <c r="AA1598" s="178"/>
      <c r="AB1598" s="139"/>
      <c r="AC1598" s="173"/>
      <c r="AD1598" s="177"/>
      <c r="AE1598" s="177"/>
      <c r="AF1598" s="139"/>
      <c r="AG1598" s="139"/>
      <c r="AH1598" s="177"/>
      <c r="AI1598" s="178"/>
      <c r="AJ1598" s="139"/>
      <c r="AK1598" s="173"/>
      <c r="AL1598" s="177"/>
      <c r="AM1598" s="178"/>
      <c r="AN1598" s="173"/>
      <c r="AO1598" s="173"/>
      <c r="AP1598" s="173"/>
      <c r="AQ1598" s="178"/>
      <c r="AR1598" s="173"/>
      <c r="AS1598" s="173"/>
      <c r="AT1598" s="140"/>
      <c r="AX1598" s="140"/>
      <c r="BB1598" s="173"/>
      <c r="BC1598" s="173"/>
    </row>
    <row r="1599" spans="2:55" s="134" customFormat="1" x14ac:dyDescent="0.2">
      <c r="B1599" s="145"/>
      <c r="D1599" s="145"/>
      <c r="Z1599" s="177"/>
      <c r="AA1599" s="178"/>
      <c r="AB1599" s="139"/>
      <c r="AC1599" s="173"/>
      <c r="AD1599" s="177"/>
      <c r="AE1599" s="177"/>
      <c r="AF1599" s="139"/>
      <c r="AG1599" s="139"/>
      <c r="AH1599" s="177"/>
      <c r="AI1599" s="178"/>
      <c r="AJ1599" s="139"/>
      <c r="AK1599" s="173"/>
      <c r="AL1599" s="177"/>
      <c r="AM1599" s="178"/>
      <c r="AN1599" s="173"/>
      <c r="AO1599" s="173"/>
      <c r="AP1599" s="173"/>
      <c r="AQ1599" s="178"/>
      <c r="AR1599" s="173"/>
      <c r="AS1599" s="173"/>
      <c r="AT1599" s="140"/>
      <c r="AX1599" s="140"/>
      <c r="BB1599" s="173"/>
      <c r="BC1599" s="173"/>
    </row>
    <row r="1600" spans="2:55" s="134" customFormat="1" x14ac:dyDescent="0.2">
      <c r="B1600" s="145"/>
      <c r="D1600" s="145"/>
      <c r="Z1600" s="177"/>
      <c r="AA1600" s="178"/>
      <c r="AB1600" s="139"/>
      <c r="AC1600" s="173"/>
      <c r="AD1600" s="177"/>
      <c r="AE1600" s="177"/>
      <c r="AF1600" s="139"/>
      <c r="AG1600" s="139"/>
      <c r="AH1600" s="177"/>
      <c r="AI1600" s="178"/>
      <c r="AJ1600" s="139"/>
      <c r="AK1600" s="173"/>
      <c r="AL1600" s="177"/>
      <c r="AM1600" s="178"/>
      <c r="AN1600" s="173"/>
      <c r="AO1600" s="173"/>
      <c r="AP1600" s="173"/>
      <c r="AQ1600" s="178"/>
      <c r="AR1600" s="173"/>
      <c r="AS1600" s="173"/>
      <c r="AT1600" s="140"/>
      <c r="AX1600" s="140"/>
      <c r="BB1600" s="173"/>
      <c r="BC1600" s="173"/>
    </row>
    <row r="1601" spans="2:55" s="134" customFormat="1" x14ac:dyDescent="0.2">
      <c r="B1601" s="145"/>
      <c r="D1601" s="145"/>
      <c r="Z1601" s="177"/>
      <c r="AA1601" s="178"/>
      <c r="AB1601" s="139"/>
      <c r="AC1601" s="173"/>
      <c r="AD1601" s="177"/>
      <c r="AE1601" s="177"/>
      <c r="AF1601" s="139"/>
      <c r="AG1601" s="139"/>
      <c r="AH1601" s="177"/>
      <c r="AI1601" s="178"/>
      <c r="AJ1601" s="139"/>
      <c r="AK1601" s="173"/>
      <c r="AL1601" s="177"/>
      <c r="AM1601" s="178"/>
      <c r="AN1601" s="173"/>
      <c r="AO1601" s="173"/>
      <c r="AP1601" s="173"/>
      <c r="AQ1601" s="178"/>
      <c r="AR1601" s="173"/>
      <c r="AS1601" s="173"/>
      <c r="AT1601" s="140"/>
      <c r="AX1601" s="140"/>
      <c r="BB1601" s="173"/>
      <c r="BC1601" s="173"/>
    </row>
    <row r="1602" spans="2:55" s="134" customFormat="1" x14ac:dyDescent="0.2">
      <c r="B1602" s="145"/>
      <c r="D1602" s="145"/>
      <c r="Z1602" s="177"/>
      <c r="AA1602" s="178"/>
      <c r="AB1602" s="139"/>
      <c r="AC1602" s="173"/>
      <c r="AD1602" s="177"/>
      <c r="AE1602" s="177"/>
      <c r="AF1602" s="139"/>
      <c r="AG1602" s="139"/>
      <c r="AH1602" s="177"/>
      <c r="AI1602" s="178"/>
      <c r="AJ1602" s="139"/>
      <c r="AK1602" s="173"/>
      <c r="AL1602" s="177"/>
      <c r="AM1602" s="178"/>
      <c r="AN1602" s="173"/>
      <c r="AO1602" s="173"/>
      <c r="AP1602" s="173"/>
      <c r="AQ1602" s="178"/>
      <c r="AR1602" s="173"/>
      <c r="AS1602" s="173"/>
      <c r="AT1602" s="140"/>
      <c r="AX1602" s="140"/>
      <c r="BB1602" s="173"/>
      <c r="BC1602" s="173"/>
    </row>
    <row r="1603" spans="2:55" s="134" customFormat="1" x14ac:dyDescent="0.2">
      <c r="B1603" s="145"/>
      <c r="D1603" s="145"/>
      <c r="Z1603" s="177"/>
      <c r="AA1603" s="178"/>
      <c r="AB1603" s="139"/>
      <c r="AC1603" s="173"/>
      <c r="AD1603" s="177"/>
      <c r="AE1603" s="177"/>
      <c r="AF1603" s="139"/>
      <c r="AG1603" s="139"/>
      <c r="AH1603" s="177"/>
      <c r="AI1603" s="178"/>
      <c r="AJ1603" s="139"/>
      <c r="AK1603" s="173"/>
      <c r="AL1603" s="177"/>
      <c r="AM1603" s="178"/>
      <c r="AN1603" s="173"/>
      <c r="AO1603" s="173"/>
      <c r="AP1603" s="173"/>
      <c r="AQ1603" s="178"/>
      <c r="AR1603" s="173"/>
      <c r="AS1603" s="173"/>
      <c r="AT1603" s="140"/>
      <c r="AX1603" s="140"/>
      <c r="BB1603" s="173"/>
      <c r="BC1603" s="173"/>
    </row>
    <row r="1604" spans="2:55" s="134" customFormat="1" x14ac:dyDescent="0.2">
      <c r="B1604" s="145"/>
      <c r="D1604" s="145"/>
      <c r="Z1604" s="177"/>
      <c r="AA1604" s="178"/>
      <c r="AB1604" s="139"/>
      <c r="AC1604" s="173"/>
      <c r="AD1604" s="177"/>
      <c r="AE1604" s="177"/>
      <c r="AF1604" s="139"/>
      <c r="AG1604" s="139"/>
      <c r="AH1604" s="177"/>
      <c r="AI1604" s="178"/>
      <c r="AJ1604" s="139"/>
      <c r="AK1604" s="173"/>
      <c r="AL1604" s="177"/>
      <c r="AM1604" s="178"/>
      <c r="AN1604" s="173"/>
      <c r="AO1604" s="173"/>
      <c r="AP1604" s="173"/>
      <c r="AQ1604" s="178"/>
      <c r="AR1604" s="173"/>
      <c r="AS1604" s="173"/>
      <c r="AT1604" s="140"/>
      <c r="AX1604" s="140"/>
      <c r="BB1604" s="173"/>
      <c r="BC1604" s="173"/>
    </row>
    <row r="1605" spans="2:55" s="134" customFormat="1" x14ac:dyDescent="0.2">
      <c r="B1605" s="145"/>
      <c r="D1605" s="145"/>
      <c r="Z1605" s="177"/>
      <c r="AA1605" s="178"/>
      <c r="AB1605" s="139"/>
      <c r="AC1605" s="173"/>
      <c r="AD1605" s="177"/>
      <c r="AE1605" s="177"/>
      <c r="AF1605" s="139"/>
      <c r="AG1605" s="139"/>
      <c r="AH1605" s="177"/>
      <c r="AI1605" s="178"/>
      <c r="AJ1605" s="139"/>
      <c r="AK1605" s="173"/>
      <c r="AL1605" s="177"/>
      <c r="AM1605" s="178"/>
      <c r="AN1605" s="173"/>
      <c r="AO1605" s="173"/>
      <c r="AP1605" s="173"/>
      <c r="AQ1605" s="178"/>
      <c r="AR1605" s="173"/>
      <c r="AS1605" s="173"/>
      <c r="AT1605" s="140"/>
      <c r="AX1605" s="140"/>
      <c r="BB1605" s="173"/>
      <c r="BC1605" s="173"/>
    </row>
    <row r="1606" spans="2:55" s="134" customFormat="1" x14ac:dyDescent="0.2">
      <c r="B1606" s="145"/>
      <c r="D1606" s="145"/>
      <c r="Z1606" s="177"/>
      <c r="AA1606" s="178"/>
      <c r="AB1606" s="139"/>
      <c r="AC1606" s="173"/>
      <c r="AD1606" s="177"/>
      <c r="AE1606" s="177"/>
      <c r="AF1606" s="139"/>
      <c r="AG1606" s="139"/>
      <c r="AH1606" s="177"/>
      <c r="AI1606" s="178"/>
      <c r="AJ1606" s="139"/>
      <c r="AK1606" s="173"/>
      <c r="AL1606" s="177"/>
      <c r="AM1606" s="178"/>
      <c r="AN1606" s="173"/>
      <c r="AO1606" s="173"/>
      <c r="AP1606" s="173"/>
      <c r="AQ1606" s="178"/>
      <c r="AR1606" s="173"/>
      <c r="AS1606" s="173"/>
      <c r="AT1606" s="140"/>
      <c r="AX1606" s="140"/>
      <c r="BB1606" s="173"/>
      <c r="BC1606" s="173"/>
    </row>
    <row r="1607" spans="2:55" s="134" customFormat="1" x14ac:dyDescent="0.2">
      <c r="B1607" s="145"/>
      <c r="D1607" s="145"/>
      <c r="Z1607" s="177"/>
      <c r="AA1607" s="178"/>
      <c r="AB1607" s="139"/>
      <c r="AC1607" s="173"/>
      <c r="AD1607" s="177"/>
      <c r="AE1607" s="177"/>
      <c r="AF1607" s="139"/>
      <c r="AG1607" s="139"/>
      <c r="AH1607" s="177"/>
      <c r="AI1607" s="178"/>
      <c r="AJ1607" s="139"/>
      <c r="AK1607" s="173"/>
      <c r="AL1607" s="177"/>
      <c r="AM1607" s="178"/>
      <c r="AN1607" s="173"/>
      <c r="AO1607" s="173"/>
      <c r="AP1607" s="173"/>
      <c r="AQ1607" s="178"/>
      <c r="AR1607" s="173"/>
      <c r="AS1607" s="173"/>
      <c r="AT1607" s="140"/>
      <c r="AX1607" s="140"/>
      <c r="BB1607" s="173"/>
      <c r="BC1607" s="173"/>
    </row>
    <row r="1608" spans="2:55" s="134" customFormat="1" x14ac:dyDescent="0.2">
      <c r="B1608" s="145"/>
      <c r="D1608" s="145"/>
      <c r="Z1608" s="177"/>
      <c r="AA1608" s="178"/>
      <c r="AB1608" s="139"/>
      <c r="AC1608" s="173"/>
      <c r="AD1608" s="177"/>
      <c r="AE1608" s="177"/>
      <c r="AF1608" s="139"/>
      <c r="AG1608" s="139"/>
      <c r="AH1608" s="177"/>
      <c r="AI1608" s="178"/>
      <c r="AJ1608" s="139"/>
      <c r="AK1608" s="173"/>
      <c r="AL1608" s="177"/>
      <c r="AM1608" s="178"/>
      <c r="AN1608" s="173"/>
      <c r="AO1608" s="173"/>
      <c r="AP1608" s="173"/>
      <c r="AQ1608" s="178"/>
      <c r="AR1608" s="173"/>
      <c r="AS1608" s="173"/>
      <c r="AT1608" s="140"/>
      <c r="AX1608" s="140"/>
      <c r="BB1608" s="173"/>
      <c r="BC1608" s="173"/>
    </row>
    <row r="1609" spans="2:55" s="134" customFormat="1" x14ac:dyDescent="0.2">
      <c r="B1609" s="145"/>
      <c r="D1609" s="145"/>
      <c r="Z1609" s="177"/>
      <c r="AA1609" s="178"/>
      <c r="AB1609" s="139"/>
      <c r="AC1609" s="173"/>
      <c r="AD1609" s="177"/>
      <c r="AE1609" s="177"/>
      <c r="AF1609" s="139"/>
      <c r="AG1609" s="139"/>
      <c r="AH1609" s="177"/>
      <c r="AI1609" s="178"/>
      <c r="AJ1609" s="139"/>
      <c r="AK1609" s="173"/>
      <c r="AL1609" s="177"/>
      <c r="AM1609" s="178"/>
      <c r="AN1609" s="173"/>
      <c r="AO1609" s="173"/>
      <c r="AP1609" s="173"/>
      <c r="AQ1609" s="178"/>
      <c r="AR1609" s="173"/>
      <c r="AS1609" s="173"/>
      <c r="AT1609" s="140"/>
      <c r="AX1609" s="140"/>
      <c r="BB1609" s="173"/>
      <c r="BC1609" s="173"/>
    </row>
    <row r="1610" spans="2:55" s="134" customFormat="1" x14ac:dyDescent="0.2">
      <c r="B1610" s="145"/>
      <c r="D1610" s="145"/>
      <c r="Z1610" s="177"/>
      <c r="AA1610" s="178"/>
      <c r="AB1610" s="139"/>
      <c r="AC1610" s="173"/>
      <c r="AD1610" s="177"/>
      <c r="AE1610" s="177"/>
      <c r="AF1610" s="139"/>
      <c r="AG1610" s="139"/>
      <c r="AH1610" s="177"/>
      <c r="AI1610" s="178"/>
      <c r="AJ1610" s="139"/>
      <c r="AK1610" s="173"/>
      <c r="AL1610" s="177"/>
      <c r="AM1610" s="178"/>
      <c r="AN1610" s="173"/>
      <c r="AO1610" s="173"/>
      <c r="AP1610" s="173"/>
      <c r="AQ1610" s="178"/>
      <c r="AR1610" s="173"/>
      <c r="AS1610" s="173"/>
      <c r="AT1610" s="140"/>
      <c r="AX1610" s="140"/>
      <c r="BB1610" s="173"/>
      <c r="BC1610" s="173"/>
    </row>
    <row r="1611" spans="2:55" s="134" customFormat="1" x14ac:dyDescent="0.2">
      <c r="B1611" s="145"/>
      <c r="D1611" s="145"/>
      <c r="Z1611" s="177"/>
      <c r="AA1611" s="178"/>
      <c r="AB1611" s="139"/>
      <c r="AC1611" s="173"/>
      <c r="AD1611" s="177"/>
      <c r="AE1611" s="177"/>
      <c r="AF1611" s="139"/>
      <c r="AG1611" s="139"/>
      <c r="AH1611" s="177"/>
      <c r="AI1611" s="178"/>
      <c r="AJ1611" s="139"/>
      <c r="AK1611" s="173"/>
      <c r="AL1611" s="177"/>
      <c r="AM1611" s="178"/>
      <c r="AN1611" s="173"/>
      <c r="AO1611" s="173"/>
      <c r="AP1611" s="173"/>
      <c r="AQ1611" s="178"/>
      <c r="AR1611" s="173"/>
      <c r="AS1611" s="173"/>
      <c r="AT1611" s="140"/>
      <c r="AX1611" s="140"/>
      <c r="BB1611" s="173"/>
      <c r="BC1611" s="173"/>
    </row>
    <row r="1612" spans="2:55" s="134" customFormat="1" x14ac:dyDescent="0.2">
      <c r="B1612" s="145"/>
      <c r="D1612" s="145"/>
      <c r="Z1612" s="177"/>
      <c r="AA1612" s="178"/>
      <c r="AB1612" s="139"/>
      <c r="AC1612" s="173"/>
      <c r="AD1612" s="177"/>
      <c r="AE1612" s="177"/>
      <c r="AF1612" s="139"/>
      <c r="AG1612" s="139"/>
      <c r="AH1612" s="177"/>
      <c r="AI1612" s="178"/>
      <c r="AJ1612" s="139"/>
      <c r="AK1612" s="173"/>
      <c r="AL1612" s="177"/>
      <c r="AM1612" s="178"/>
      <c r="AN1612" s="173"/>
      <c r="AO1612" s="173"/>
      <c r="AP1612" s="173"/>
      <c r="AQ1612" s="178"/>
      <c r="AR1612" s="173"/>
      <c r="AS1612" s="173"/>
      <c r="AT1612" s="140"/>
      <c r="AX1612" s="140"/>
      <c r="BB1612" s="173"/>
      <c r="BC1612" s="173"/>
    </row>
    <row r="1613" spans="2:55" s="134" customFormat="1" x14ac:dyDescent="0.2">
      <c r="B1613" s="145"/>
      <c r="D1613" s="145"/>
      <c r="Z1613" s="177"/>
      <c r="AA1613" s="178"/>
      <c r="AB1613" s="139"/>
      <c r="AC1613" s="173"/>
      <c r="AD1613" s="177"/>
      <c r="AE1613" s="177"/>
      <c r="AF1613" s="139"/>
      <c r="AG1613" s="139"/>
      <c r="AH1613" s="177"/>
      <c r="AI1613" s="178"/>
      <c r="AJ1613" s="139"/>
      <c r="AK1613" s="173"/>
      <c r="AL1613" s="177"/>
      <c r="AM1613" s="178"/>
      <c r="AN1613" s="173"/>
      <c r="AO1613" s="173"/>
      <c r="AP1613" s="173"/>
      <c r="AQ1613" s="178"/>
      <c r="AR1613" s="173"/>
      <c r="AS1613" s="173"/>
      <c r="AT1613" s="140"/>
      <c r="AX1613" s="140"/>
      <c r="BB1613" s="173"/>
      <c r="BC1613" s="173"/>
    </row>
    <row r="1614" spans="2:55" s="134" customFormat="1" x14ac:dyDescent="0.2">
      <c r="B1614" s="145"/>
      <c r="D1614" s="145"/>
      <c r="Z1614" s="177"/>
      <c r="AA1614" s="178"/>
      <c r="AB1614" s="139"/>
      <c r="AC1614" s="173"/>
      <c r="AD1614" s="177"/>
      <c r="AE1614" s="177"/>
      <c r="AF1614" s="139"/>
      <c r="AG1614" s="139"/>
      <c r="AH1614" s="177"/>
      <c r="AI1614" s="178"/>
      <c r="AJ1614" s="139"/>
      <c r="AK1614" s="173"/>
      <c r="AL1614" s="177"/>
      <c r="AM1614" s="178"/>
      <c r="AN1614" s="173"/>
      <c r="AO1614" s="173"/>
      <c r="AP1614" s="173"/>
      <c r="AQ1614" s="178"/>
      <c r="AR1614" s="173"/>
      <c r="AS1614" s="173"/>
      <c r="AT1614" s="140"/>
      <c r="AX1614" s="140"/>
      <c r="BB1614" s="173"/>
      <c r="BC1614" s="173"/>
    </row>
    <row r="1615" spans="2:55" s="134" customFormat="1" x14ac:dyDescent="0.2">
      <c r="B1615" s="145"/>
      <c r="D1615" s="145"/>
      <c r="Z1615" s="177"/>
      <c r="AA1615" s="178"/>
      <c r="AB1615" s="139"/>
      <c r="AC1615" s="173"/>
      <c r="AD1615" s="177"/>
      <c r="AE1615" s="177"/>
      <c r="AF1615" s="139"/>
      <c r="AG1615" s="139"/>
      <c r="AH1615" s="177"/>
      <c r="AI1615" s="178"/>
      <c r="AJ1615" s="139"/>
      <c r="AK1615" s="173"/>
      <c r="AL1615" s="177"/>
      <c r="AM1615" s="178"/>
      <c r="AN1615" s="173"/>
      <c r="AO1615" s="173"/>
      <c r="AP1615" s="173"/>
      <c r="AQ1615" s="178"/>
      <c r="AR1615" s="173"/>
      <c r="AS1615" s="173"/>
      <c r="AT1615" s="140"/>
      <c r="AX1615" s="140"/>
      <c r="BB1615" s="173"/>
      <c r="BC1615" s="173"/>
    </row>
    <row r="1616" spans="2:55" s="134" customFormat="1" x14ac:dyDescent="0.2">
      <c r="B1616" s="145"/>
      <c r="D1616" s="145"/>
      <c r="Z1616" s="177"/>
      <c r="AA1616" s="178"/>
      <c r="AB1616" s="139"/>
      <c r="AC1616" s="173"/>
      <c r="AD1616" s="177"/>
      <c r="AE1616" s="177"/>
      <c r="AF1616" s="139"/>
      <c r="AG1616" s="139"/>
      <c r="AH1616" s="177"/>
      <c r="AI1616" s="178"/>
      <c r="AJ1616" s="139"/>
      <c r="AK1616" s="173"/>
      <c r="AL1616" s="177"/>
      <c r="AM1616" s="178"/>
      <c r="AN1616" s="173"/>
      <c r="AO1616" s="173"/>
      <c r="AP1616" s="173"/>
      <c r="AQ1616" s="178"/>
      <c r="AR1616" s="173"/>
      <c r="AS1616" s="173"/>
      <c r="AT1616" s="140"/>
      <c r="AX1616" s="140"/>
      <c r="BB1616" s="173"/>
      <c r="BC1616" s="173"/>
    </row>
    <row r="1617" spans="2:55" s="134" customFormat="1" x14ac:dyDescent="0.2">
      <c r="B1617" s="145"/>
      <c r="D1617" s="145"/>
      <c r="Z1617" s="177"/>
      <c r="AA1617" s="178"/>
      <c r="AB1617" s="139"/>
      <c r="AC1617" s="173"/>
      <c r="AD1617" s="177"/>
      <c r="AE1617" s="177"/>
      <c r="AF1617" s="139"/>
      <c r="AG1617" s="139"/>
      <c r="AH1617" s="177"/>
      <c r="AI1617" s="178"/>
      <c r="AJ1617" s="139"/>
      <c r="AK1617" s="173"/>
      <c r="AL1617" s="177"/>
      <c r="AM1617" s="178"/>
      <c r="AN1617" s="173"/>
      <c r="AO1617" s="173"/>
      <c r="AP1617" s="173"/>
      <c r="AQ1617" s="178"/>
      <c r="AR1617" s="173"/>
      <c r="AS1617" s="173"/>
      <c r="AT1617" s="140"/>
      <c r="AX1617" s="140"/>
      <c r="BB1617" s="173"/>
      <c r="BC1617" s="173"/>
    </row>
    <row r="1618" spans="2:55" s="134" customFormat="1" x14ac:dyDescent="0.2">
      <c r="B1618" s="145"/>
      <c r="D1618" s="145"/>
      <c r="Z1618" s="177"/>
      <c r="AA1618" s="178"/>
      <c r="AB1618" s="139"/>
      <c r="AC1618" s="173"/>
      <c r="AD1618" s="177"/>
      <c r="AE1618" s="177"/>
      <c r="AF1618" s="139"/>
      <c r="AG1618" s="139"/>
      <c r="AH1618" s="177"/>
      <c r="AI1618" s="178"/>
      <c r="AJ1618" s="139"/>
      <c r="AK1618" s="173"/>
      <c r="AL1618" s="177"/>
      <c r="AM1618" s="178"/>
      <c r="AN1618" s="173"/>
      <c r="AO1618" s="173"/>
      <c r="AP1618" s="173"/>
      <c r="AQ1618" s="178"/>
      <c r="AR1618" s="173"/>
      <c r="AS1618" s="173"/>
      <c r="AT1618" s="140"/>
      <c r="AX1618" s="140"/>
      <c r="BB1618" s="173"/>
      <c r="BC1618" s="173"/>
    </row>
    <row r="1619" spans="2:55" s="134" customFormat="1" x14ac:dyDescent="0.2">
      <c r="B1619" s="145"/>
      <c r="D1619" s="145"/>
      <c r="Z1619" s="177"/>
      <c r="AA1619" s="178"/>
      <c r="AB1619" s="139"/>
      <c r="AC1619" s="173"/>
      <c r="AD1619" s="177"/>
      <c r="AE1619" s="177"/>
      <c r="AF1619" s="139"/>
      <c r="AG1619" s="139"/>
      <c r="AH1619" s="177"/>
      <c r="AI1619" s="178"/>
      <c r="AJ1619" s="139"/>
      <c r="AK1619" s="173"/>
      <c r="AL1619" s="177"/>
      <c r="AM1619" s="178"/>
      <c r="AN1619" s="173"/>
      <c r="AO1619" s="173"/>
      <c r="AP1619" s="173"/>
      <c r="AQ1619" s="178"/>
      <c r="AR1619" s="173"/>
      <c r="AS1619" s="173"/>
      <c r="AT1619" s="140"/>
      <c r="AX1619" s="140"/>
      <c r="BB1619" s="173"/>
      <c r="BC1619" s="173"/>
    </row>
    <row r="1620" spans="2:55" s="134" customFormat="1" x14ac:dyDescent="0.2">
      <c r="B1620" s="145"/>
      <c r="D1620" s="145"/>
      <c r="Z1620" s="177"/>
      <c r="AA1620" s="178"/>
      <c r="AB1620" s="139"/>
      <c r="AC1620" s="173"/>
      <c r="AD1620" s="177"/>
      <c r="AE1620" s="177"/>
      <c r="AF1620" s="139"/>
      <c r="AG1620" s="139"/>
      <c r="AH1620" s="177"/>
      <c r="AI1620" s="178"/>
      <c r="AJ1620" s="139"/>
      <c r="AK1620" s="173"/>
      <c r="AL1620" s="177"/>
      <c r="AM1620" s="178"/>
      <c r="AN1620" s="173"/>
      <c r="AO1620" s="173"/>
      <c r="AP1620" s="173"/>
      <c r="AQ1620" s="178"/>
      <c r="AR1620" s="173"/>
      <c r="AS1620" s="173"/>
      <c r="AT1620" s="140"/>
      <c r="AX1620" s="140"/>
      <c r="BB1620" s="173"/>
      <c r="BC1620" s="173"/>
    </row>
    <row r="1621" spans="2:55" s="134" customFormat="1" x14ac:dyDescent="0.2">
      <c r="B1621" s="145"/>
      <c r="D1621" s="145"/>
      <c r="Z1621" s="177"/>
      <c r="AA1621" s="178"/>
      <c r="AB1621" s="139"/>
      <c r="AC1621" s="173"/>
      <c r="AD1621" s="177"/>
      <c r="AE1621" s="177"/>
      <c r="AF1621" s="139"/>
      <c r="AG1621" s="139"/>
      <c r="AH1621" s="177"/>
      <c r="AI1621" s="178"/>
      <c r="AJ1621" s="139"/>
      <c r="AK1621" s="173"/>
      <c r="AL1621" s="177"/>
      <c r="AM1621" s="178"/>
      <c r="AN1621" s="173"/>
      <c r="AO1621" s="173"/>
      <c r="AP1621" s="173"/>
      <c r="AQ1621" s="178"/>
      <c r="AR1621" s="173"/>
      <c r="AS1621" s="173"/>
      <c r="AT1621" s="140"/>
      <c r="AX1621" s="140"/>
      <c r="BB1621" s="173"/>
      <c r="BC1621" s="173"/>
    </row>
    <row r="1622" spans="2:55" s="134" customFormat="1" x14ac:dyDescent="0.2">
      <c r="B1622" s="145"/>
      <c r="D1622" s="145"/>
      <c r="Z1622" s="177"/>
      <c r="AA1622" s="178"/>
      <c r="AB1622" s="139"/>
      <c r="AC1622" s="173"/>
      <c r="AD1622" s="177"/>
      <c r="AE1622" s="177"/>
      <c r="AF1622" s="139"/>
      <c r="AG1622" s="139"/>
      <c r="AH1622" s="177"/>
      <c r="AI1622" s="178"/>
      <c r="AJ1622" s="139"/>
      <c r="AK1622" s="173"/>
      <c r="AL1622" s="177"/>
      <c r="AM1622" s="178"/>
      <c r="AN1622" s="173"/>
      <c r="AO1622" s="173"/>
      <c r="AP1622" s="173"/>
      <c r="AQ1622" s="178"/>
      <c r="AR1622" s="173"/>
      <c r="AS1622" s="173"/>
      <c r="AT1622" s="140"/>
      <c r="AX1622" s="140"/>
      <c r="BB1622" s="173"/>
      <c r="BC1622" s="173"/>
    </row>
    <row r="1623" spans="2:55" s="134" customFormat="1" x14ac:dyDescent="0.2">
      <c r="B1623" s="145"/>
      <c r="D1623" s="145"/>
      <c r="Z1623" s="177"/>
      <c r="AA1623" s="178"/>
      <c r="AB1623" s="139"/>
      <c r="AC1623" s="173"/>
      <c r="AD1623" s="177"/>
      <c r="AE1623" s="177"/>
      <c r="AF1623" s="139"/>
      <c r="AG1623" s="139"/>
      <c r="AH1623" s="177"/>
      <c r="AI1623" s="178"/>
      <c r="AJ1623" s="139"/>
      <c r="AK1623" s="173"/>
      <c r="AL1623" s="177"/>
      <c r="AM1623" s="178"/>
      <c r="AN1623" s="173"/>
      <c r="AO1623" s="173"/>
      <c r="AP1623" s="173"/>
      <c r="AQ1623" s="178"/>
      <c r="AR1623" s="173"/>
      <c r="AS1623" s="173"/>
      <c r="AT1623" s="140"/>
      <c r="AX1623" s="140"/>
      <c r="BB1623" s="173"/>
      <c r="BC1623" s="173"/>
    </row>
    <row r="1624" spans="2:55" s="134" customFormat="1" x14ac:dyDescent="0.2">
      <c r="B1624" s="145"/>
      <c r="D1624" s="145"/>
      <c r="Z1624" s="177"/>
      <c r="AA1624" s="178"/>
      <c r="AB1624" s="139"/>
      <c r="AC1624" s="173"/>
      <c r="AD1624" s="177"/>
      <c r="AE1624" s="177"/>
      <c r="AF1624" s="139"/>
      <c r="AG1624" s="139"/>
      <c r="AH1624" s="177"/>
      <c r="AI1624" s="178"/>
      <c r="AJ1624" s="139"/>
      <c r="AK1624" s="173"/>
      <c r="AL1624" s="177"/>
      <c r="AM1624" s="178"/>
      <c r="AN1624" s="173"/>
      <c r="AO1624" s="173"/>
      <c r="AP1624" s="173"/>
      <c r="AQ1624" s="178"/>
      <c r="AR1624" s="173"/>
      <c r="AS1624" s="173"/>
      <c r="AT1624" s="140"/>
      <c r="AX1624" s="140"/>
      <c r="BB1624" s="173"/>
      <c r="BC1624" s="173"/>
    </row>
    <row r="1625" spans="2:55" s="134" customFormat="1" x14ac:dyDescent="0.2">
      <c r="B1625" s="145"/>
      <c r="D1625" s="145"/>
      <c r="Z1625" s="177"/>
      <c r="AA1625" s="178"/>
      <c r="AB1625" s="139"/>
      <c r="AC1625" s="173"/>
      <c r="AD1625" s="177"/>
      <c r="AE1625" s="177"/>
      <c r="AF1625" s="139"/>
      <c r="AG1625" s="139"/>
      <c r="AH1625" s="177"/>
      <c r="AI1625" s="178"/>
      <c r="AJ1625" s="139"/>
      <c r="AK1625" s="173"/>
      <c r="AL1625" s="177"/>
      <c r="AM1625" s="178"/>
      <c r="AN1625" s="173"/>
      <c r="AO1625" s="173"/>
      <c r="AP1625" s="173"/>
      <c r="AQ1625" s="178"/>
      <c r="AR1625" s="173"/>
      <c r="AS1625" s="173"/>
      <c r="AT1625" s="140"/>
      <c r="AX1625" s="140"/>
      <c r="BB1625" s="173"/>
      <c r="BC1625" s="173"/>
    </row>
    <row r="1626" spans="2:55" s="134" customFormat="1" x14ac:dyDescent="0.2">
      <c r="B1626" s="145"/>
      <c r="D1626" s="145"/>
      <c r="Z1626" s="177"/>
      <c r="AA1626" s="178"/>
      <c r="AB1626" s="139"/>
      <c r="AC1626" s="173"/>
      <c r="AD1626" s="177"/>
      <c r="AE1626" s="177"/>
      <c r="AF1626" s="139"/>
      <c r="AG1626" s="139"/>
      <c r="AH1626" s="177"/>
      <c r="AI1626" s="178"/>
      <c r="AJ1626" s="139"/>
      <c r="AK1626" s="173"/>
      <c r="AL1626" s="177"/>
      <c r="AM1626" s="178"/>
      <c r="AN1626" s="173"/>
      <c r="AO1626" s="173"/>
      <c r="AP1626" s="173"/>
      <c r="AQ1626" s="178"/>
      <c r="AR1626" s="173"/>
      <c r="AS1626" s="173"/>
      <c r="AT1626" s="140"/>
      <c r="AX1626" s="140"/>
      <c r="BB1626" s="173"/>
      <c r="BC1626" s="173"/>
    </row>
    <row r="1627" spans="2:55" s="134" customFormat="1" x14ac:dyDescent="0.2">
      <c r="B1627" s="145"/>
      <c r="D1627" s="145"/>
      <c r="Z1627" s="177"/>
      <c r="AA1627" s="178"/>
      <c r="AB1627" s="139"/>
      <c r="AC1627" s="173"/>
      <c r="AD1627" s="177"/>
      <c r="AE1627" s="177"/>
      <c r="AF1627" s="139"/>
      <c r="AG1627" s="139"/>
      <c r="AH1627" s="177"/>
      <c r="AI1627" s="178"/>
      <c r="AJ1627" s="139"/>
      <c r="AK1627" s="173"/>
      <c r="AL1627" s="177"/>
      <c r="AM1627" s="178"/>
      <c r="AN1627" s="173"/>
      <c r="AO1627" s="173"/>
      <c r="AP1627" s="173"/>
      <c r="AQ1627" s="178"/>
      <c r="AR1627" s="173"/>
      <c r="AS1627" s="173"/>
      <c r="AT1627" s="140"/>
      <c r="AX1627" s="140"/>
      <c r="BB1627" s="173"/>
      <c r="BC1627" s="173"/>
    </row>
    <row r="1628" spans="2:55" s="134" customFormat="1" x14ac:dyDescent="0.2">
      <c r="B1628" s="145"/>
      <c r="D1628" s="145"/>
      <c r="Z1628" s="177"/>
      <c r="AA1628" s="178"/>
      <c r="AB1628" s="139"/>
      <c r="AC1628" s="173"/>
      <c r="AD1628" s="177"/>
      <c r="AE1628" s="177"/>
      <c r="AF1628" s="139"/>
      <c r="AG1628" s="139"/>
      <c r="AH1628" s="177"/>
      <c r="AI1628" s="178"/>
      <c r="AJ1628" s="139"/>
      <c r="AK1628" s="173"/>
      <c r="AL1628" s="177"/>
      <c r="AM1628" s="178"/>
      <c r="AN1628" s="173"/>
      <c r="AO1628" s="173"/>
      <c r="AP1628" s="173"/>
      <c r="AQ1628" s="178"/>
      <c r="AR1628" s="173"/>
      <c r="AS1628" s="173"/>
      <c r="AT1628" s="140"/>
      <c r="AX1628" s="140"/>
      <c r="BB1628" s="173"/>
      <c r="BC1628" s="173"/>
    </row>
    <row r="1629" spans="2:55" s="134" customFormat="1" x14ac:dyDescent="0.2">
      <c r="B1629" s="145"/>
      <c r="D1629" s="145"/>
      <c r="Z1629" s="177"/>
      <c r="AA1629" s="178"/>
      <c r="AB1629" s="139"/>
      <c r="AC1629" s="173"/>
      <c r="AD1629" s="177"/>
      <c r="AE1629" s="177"/>
      <c r="AF1629" s="139"/>
      <c r="AG1629" s="139"/>
      <c r="AH1629" s="177"/>
      <c r="AI1629" s="178"/>
      <c r="AJ1629" s="139"/>
      <c r="AK1629" s="173"/>
      <c r="AL1629" s="177"/>
      <c r="AM1629" s="178"/>
      <c r="AN1629" s="173"/>
      <c r="AO1629" s="173"/>
      <c r="AP1629" s="173"/>
      <c r="AQ1629" s="178"/>
      <c r="AR1629" s="173"/>
      <c r="AS1629" s="173"/>
      <c r="AT1629" s="140"/>
      <c r="AX1629" s="140"/>
      <c r="BB1629" s="173"/>
      <c r="BC1629" s="173"/>
    </row>
    <row r="1630" spans="2:55" s="134" customFormat="1" x14ac:dyDescent="0.2">
      <c r="B1630" s="145"/>
      <c r="D1630" s="145"/>
      <c r="Z1630" s="177"/>
      <c r="AA1630" s="178"/>
      <c r="AB1630" s="139"/>
      <c r="AC1630" s="173"/>
      <c r="AD1630" s="177"/>
      <c r="AE1630" s="177"/>
      <c r="AF1630" s="139"/>
      <c r="AG1630" s="139"/>
      <c r="AH1630" s="177"/>
      <c r="AI1630" s="178"/>
      <c r="AJ1630" s="139"/>
      <c r="AK1630" s="173"/>
      <c r="AL1630" s="177"/>
      <c r="AM1630" s="178"/>
      <c r="AN1630" s="173"/>
      <c r="AO1630" s="173"/>
      <c r="AP1630" s="173"/>
      <c r="AQ1630" s="178"/>
      <c r="AR1630" s="173"/>
      <c r="AS1630" s="173"/>
      <c r="AT1630" s="140"/>
      <c r="AX1630" s="140"/>
      <c r="BB1630" s="173"/>
      <c r="BC1630" s="173"/>
    </row>
    <row r="1631" spans="2:55" s="134" customFormat="1" x14ac:dyDescent="0.2">
      <c r="B1631" s="145"/>
      <c r="D1631" s="145"/>
      <c r="Z1631" s="177"/>
      <c r="AA1631" s="178"/>
      <c r="AB1631" s="139"/>
      <c r="AC1631" s="173"/>
      <c r="AD1631" s="177"/>
      <c r="AE1631" s="177"/>
      <c r="AF1631" s="139"/>
      <c r="AG1631" s="139"/>
      <c r="AH1631" s="177"/>
      <c r="AI1631" s="178"/>
      <c r="AJ1631" s="139"/>
      <c r="AK1631" s="173"/>
      <c r="AL1631" s="177"/>
      <c r="AM1631" s="178"/>
      <c r="AN1631" s="173"/>
      <c r="AO1631" s="173"/>
      <c r="AP1631" s="173"/>
      <c r="AQ1631" s="178"/>
      <c r="AR1631" s="173"/>
      <c r="AS1631" s="173"/>
      <c r="AT1631" s="140"/>
      <c r="AX1631" s="140"/>
      <c r="BB1631" s="173"/>
      <c r="BC1631" s="173"/>
    </row>
    <row r="1632" spans="2:55" s="134" customFormat="1" x14ac:dyDescent="0.2">
      <c r="B1632" s="145"/>
      <c r="D1632" s="145"/>
      <c r="Z1632" s="177"/>
      <c r="AA1632" s="178"/>
      <c r="AB1632" s="139"/>
      <c r="AC1632" s="173"/>
      <c r="AD1632" s="177"/>
      <c r="AE1632" s="177"/>
      <c r="AF1632" s="139"/>
      <c r="AG1632" s="139"/>
      <c r="AH1632" s="177"/>
      <c r="AI1632" s="178"/>
      <c r="AJ1632" s="139"/>
      <c r="AK1632" s="173"/>
      <c r="AL1632" s="177"/>
      <c r="AM1632" s="178"/>
      <c r="AN1632" s="173"/>
      <c r="AO1632" s="173"/>
      <c r="AP1632" s="173"/>
      <c r="AQ1632" s="178"/>
      <c r="AR1632" s="173"/>
      <c r="AS1632" s="173"/>
      <c r="AT1632" s="140"/>
      <c r="AX1632" s="140"/>
      <c r="BB1632" s="173"/>
      <c r="BC1632" s="173"/>
    </row>
    <row r="1633" spans="2:55" s="134" customFormat="1" x14ac:dyDescent="0.2">
      <c r="B1633" s="145"/>
      <c r="D1633" s="145"/>
      <c r="Z1633" s="177"/>
      <c r="AA1633" s="178"/>
      <c r="AB1633" s="139"/>
      <c r="AC1633" s="173"/>
      <c r="AD1633" s="177"/>
      <c r="AE1633" s="177"/>
      <c r="AF1633" s="139"/>
      <c r="AG1633" s="139"/>
      <c r="AH1633" s="177"/>
      <c r="AI1633" s="178"/>
      <c r="AJ1633" s="139"/>
      <c r="AK1633" s="173"/>
      <c r="AL1633" s="177"/>
      <c r="AM1633" s="178"/>
      <c r="AN1633" s="173"/>
      <c r="AO1633" s="173"/>
      <c r="AP1633" s="173"/>
      <c r="AQ1633" s="178"/>
      <c r="AR1633" s="173"/>
      <c r="AS1633" s="173"/>
      <c r="AT1633" s="140"/>
      <c r="AX1633" s="140"/>
      <c r="BB1633" s="173"/>
      <c r="BC1633" s="173"/>
    </row>
    <row r="1634" spans="2:55" s="134" customFormat="1" x14ac:dyDescent="0.2">
      <c r="B1634" s="145"/>
      <c r="D1634" s="145"/>
      <c r="Z1634" s="177"/>
      <c r="AA1634" s="178"/>
      <c r="AB1634" s="139"/>
      <c r="AC1634" s="173"/>
      <c r="AD1634" s="177"/>
      <c r="AE1634" s="177"/>
      <c r="AF1634" s="139"/>
      <c r="AG1634" s="139"/>
      <c r="AH1634" s="177"/>
      <c r="AI1634" s="178"/>
      <c r="AJ1634" s="139"/>
      <c r="AK1634" s="173"/>
      <c r="AL1634" s="177"/>
      <c r="AM1634" s="178"/>
      <c r="AN1634" s="173"/>
      <c r="AO1634" s="173"/>
      <c r="AP1634" s="173"/>
      <c r="AQ1634" s="178"/>
      <c r="AR1634" s="173"/>
      <c r="AS1634" s="173"/>
      <c r="AT1634" s="140"/>
      <c r="AX1634" s="140"/>
      <c r="BB1634" s="173"/>
      <c r="BC1634" s="173"/>
    </row>
    <row r="1635" spans="2:55" s="134" customFormat="1" x14ac:dyDescent="0.2">
      <c r="B1635" s="145"/>
      <c r="D1635" s="145"/>
      <c r="Z1635" s="177"/>
      <c r="AA1635" s="178"/>
      <c r="AB1635" s="139"/>
      <c r="AC1635" s="173"/>
      <c r="AD1635" s="177"/>
      <c r="AE1635" s="177"/>
      <c r="AF1635" s="139"/>
      <c r="AG1635" s="139"/>
      <c r="AH1635" s="177"/>
      <c r="AI1635" s="178"/>
      <c r="AJ1635" s="139"/>
      <c r="AK1635" s="173"/>
      <c r="AL1635" s="177"/>
      <c r="AM1635" s="178"/>
      <c r="AN1635" s="173"/>
      <c r="AO1635" s="173"/>
      <c r="AP1635" s="173"/>
      <c r="AQ1635" s="178"/>
      <c r="AR1635" s="173"/>
      <c r="AS1635" s="173"/>
      <c r="AT1635" s="140"/>
      <c r="AX1635" s="140"/>
      <c r="BB1635" s="173"/>
      <c r="BC1635" s="173"/>
    </row>
    <row r="1636" spans="2:55" s="134" customFormat="1" x14ac:dyDescent="0.2">
      <c r="B1636" s="145"/>
      <c r="D1636" s="145"/>
      <c r="Z1636" s="177"/>
      <c r="AA1636" s="178"/>
      <c r="AB1636" s="139"/>
      <c r="AC1636" s="173"/>
      <c r="AD1636" s="177"/>
      <c r="AE1636" s="177"/>
      <c r="AF1636" s="139"/>
      <c r="AG1636" s="139"/>
      <c r="AH1636" s="177"/>
      <c r="AI1636" s="178"/>
      <c r="AJ1636" s="139"/>
      <c r="AK1636" s="173"/>
      <c r="AL1636" s="177"/>
      <c r="AM1636" s="178"/>
      <c r="AN1636" s="173"/>
      <c r="AO1636" s="173"/>
      <c r="AP1636" s="173"/>
      <c r="AQ1636" s="178"/>
      <c r="AR1636" s="173"/>
      <c r="AS1636" s="173"/>
      <c r="AT1636" s="140"/>
      <c r="AX1636" s="140"/>
      <c r="BB1636" s="173"/>
      <c r="BC1636" s="173"/>
    </row>
    <row r="1637" spans="2:55" s="134" customFormat="1" x14ac:dyDescent="0.2">
      <c r="B1637" s="145"/>
      <c r="D1637" s="145"/>
      <c r="Z1637" s="177"/>
      <c r="AA1637" s="178"/>
      <c r="AB1637" s="139"/>
      <c r="AC1637" s="173"/>
      <c r="AD1637" s="177"/>
      <c r="AE1637" s="177"/>
      <c r="AF1637" s="139"/>
      <c r="AG1637" s="139"/>
      <c r="AH1637" s="177"/>
      <c r="AI1637" s="178"/>
      <c r="AJ1637" s="139"/>
      <c r="AK1637" s="173"/>
      <c r="AL1637" s="177"/>
      <c r="AM1637" s="178"/>
      <c r="AN1637" s="173"/>
      <c r="AO1637" s="173"/>
      <c r="AP1637" s="173"/>
      <c r="AQ1637" s="178"/>
      <c r="AR1637" s="173"/>
      <c r="AS1637" s="173"/>
      <c r="AT1637" s="140"/>
      <c r="AX1637" s="140"/>
      <c r="BB1637" s="173"/>
      <c r="BC1637" s="173"/>
    </row>
    <row r="1638" spans="2:55" s="134" customFormat="1" x14ac:dyDescent="0.2">
      <c r="B1638" s="145"/>
      <c r="D1638" s="145"/>
      <c r="Z1638" s="177"/>
      <c r="AA1638" s="178"/>
      <c r="AB1638" s="139"/>
      <c r="AC1638" s="173"/>
      <c r="AD1638" s="177"/>
      <c r="AE1638" s="177"/>
      <c r="AF1638" s="139"/>
      <c r="AG1638" s="139"/>
      <c r="AH1638" s="177"/>
      <c r="AI1638" s="178"/>
      <c r="AJ1638" s="139"/>
      <c r="AK1638" s="173"/>
      <c r="AL1638" s="177"/>
      <c r="AM1638" s="178"/>
      <c r="AN1638" s="173"/>
      <c r="AO1638" s="173"/>
      <c r="AP1638" s="173"/>
      <c r="AQ1638" s="178"/>
      <c r="AR1638" s="173"/>
      <c r="AS1638" s="173"/>
      <c r="AT1638" s="140"/>
      <c r="AX1638" s="140"/>
      <c r="BB1638" s="173"/>
      <c r="BC1638" s="173"/>
    </row>
    <row r="1639" spans="2:55" s="134" customFormat="1" x14ac:dyDescent="0.2">
      <c r="B1639" s="145"/>
      <c r="D1639" s="145"/>
      <c r="Z1639" s="177"/>
      <c r="AA1639" s="178"/>
      <c r="AB1639" s="139"/>
      <c r="AC1639" s="173"/>
      <c r="AD1639" s="177"/>
      <c r="AE1639" s="177"/>
      <c r="AF1639" s="139"/>
      <c r="AG1639" s="139"/>
      <c r="AH1639" s="177"/>
      <c r="AI1639" s="178"/>
      <c r="AJ1639" s="139"/>
      <c r="AK1639" s="173"/>
      <c r="AL1639" s="177"/>
      <c r="AM1639" s="178"/>
      <c r="AN1639" s="173"/>
      <c r="AO1639" s="173"/>
      <c r="AP1639" s="173"/>
      <c r="AQ1639" s="178"/>
      <c r="AR1639" s="173"/>
      <c r="AS1639" s="173"/>
      <c r="AT1639" s="140"/>
      <c r="AX1639" s="140"/>
      <c r="BB1639" s="173"/>
      <c r="BC1639" s="173"/>
    </row>
    <row r="1640" spans="2:55" s="134" customFormat="1" x14ac:dyDescent="0.2">
      <c r="B1640" s="145"/>
      <c r="D1640" s="145"/>
      <c r="Z1640" s="177"/>
      <c r="AA1640" s="178"/>
      <c r="AB1640" s="139"/>
      <c r="AC1640" s="173"/>
      <c r="AD1640" s="177"/>
      <c r="AE1640" s="177"/>
      <c r="AF1640" s="139"/>
      <c r="AG1640" s="139"/>
      <c r="AH1640" s="177"/>
      <c r="AI1640" s="178"/>
      <c r="AJ1640" s="139"/>
      <c r="AK1640" s="173"/>
      <c r="AL1640" s="177"/>
      <c r="AM1640" s="178"/>
      <c r="AN1640" s="173"/>
      <c r="AO1640" s="173"/>
      <c r="AP1640" s="173"/>
      <c r="AQ1640" s="178"/>
      <c r="AR1640" s="173"/>
      <c r="AS1640" s="173"/>
      <c r="AT1640" s="140"/>
      <c r="AX1640" s="140"/>
      <c r="BB1640" s="173"/>
      <c r="BC1640" s="173"/>
    </row>
    <row r="1641" spans="2:55" s="134" customFormat="1" x14ac:dyDescent="0.2">
      <c r="B1641" s="145"/>
      <c r="D1641" s="145"/>
      <c r="Z1641" s="177"/>
      <c r="AA1641" s="178"/>
      <c r="AB1641" s="139"/>
      <c r="AC1641" s="173"/>
      <c r="AD1641" s="177"/>
      <c r="AE1641" s="177"/>
      <c r="AF1641" s="139"/>
      <c r="AG1641" s="139"/>
      <c r="AH1641" s="177"/>
      <c r="AI1641" s="178"/>
      <c r="AJ1641" s="139"/>
      <c r="AK1641" s="173"/>
      <c r="AL1641" s="177"/>
      <c r="AM1641" s="178"/>
      <c r="AN1641" s="173"/>
      <c r="AO1641" s="173"/>
      <c r="AP1641" s="173"/>
      <c r="AQ1641" s="178"/>
      <c r="AR1641" s="173"/>
      <c r="AS1641" s="173"/>
      <c r="AT1641" s="140"/>
      <c r="AX1641" s="140"/>
      <c r="BB1641" s="173"/>
      <c r="BC1641" s="173"/>
    </row>
    <row r="1642" spans="2:55" s="134" customFormat="1" x14ac:dyDescent="0.2">
      <c r="B1642" s="145"/>
      <c r="D1642" s="145"/>
      <c r="Z1642" s="177"/>
      <c r="AA1642" s="178"/>
      <c r="AB1642" s="139"/>
      <c r="AC1642" s="173"/>
      <c r="AD1642" s="177"/>
      <c r="AE1642" s="177"/>
      <c r="AF1642" s="139"/>
      <c r="AG1642" s="139"/>
      <c r="AH1642" s="177"/>
      <c r="AI1642" s="178"/>
      <c r="AJ1642" s="139"/>
      <c r="AK1642" s="173"/>
      <c r="AL1642" s="177"/>
      <c r="AM1642" s="178"/>
      <c r="AN1642" s="173"/>
      <c r="AO1642" s="173"/>
      <c r="AP1642" s="173"/>
      <c r="AQ1642" s="178"/>
      <c r="AR1642" s="173"/>
      <c r="AS1642" s="173"/>
      <c r="AT1642" s="140"/>
      <c r="AX1642" s="140"/>
      <c r="BB1642" s="173"/>
      <c r="BC1642" s="173"/>
    </row>
    <row r="1643" spans="2:55" s="134" customFormat="1" x14ac:dyDescent="0.2">
      <c r="B1643" s="145"/>
      <c r="D1643" s="145"/>
      <c r="Z1643" s="177"/>
      <c r="AA1643" s="178"/>
      <c r="AB1643" s="139"/>
      <c r="AC1643" s="173"/>
      <c r="AD1643" s="177"/>
      <c r="AE1643" s="177"/>
      <c r="AF1643" s="139"/>
      <c r="AG1643" s="139"/>
      <c r="AH1643" s="177"/>
      <c r="AI1643" s="178"/>
      <c r="AJ1643" s="139"/>
      <c r="AK1643" s="173"/>
      <c r="AL1643" s="177"/>
      <c r="AM1643" s="178"/>
      <c r="AN1643" s="173"/>
      <c r="AO1643" s="173"/>
      <c r="AP1643" s="173"/>
      <c r="AQ1643" s="178"/>
      <c r="AR1643" s="173"/>
      <c r="AS1643" s="173"/>
      <c r="AT1643" s="140"/>
      <c r="AX1643" s="140"/>
      <c r="BB1643" s="173"/>
      <c r="BC1643" s="173"/>
    </row>
    <row r="1644" spans="2:55" s="134" customFormat="1" x14ac:dyDescent="0.2">
      <c r="B1644" s="145"/>
      <c r="D1644" s="145"/>
      <c r="Z1644" s="177"/>
      <c r="AA1644" s="178"/>
      <c r="AB1644" s="139"/>
      <c r="AC1644" s="173"/>
      <c r="AD1644" s="177"/>
      <c r="AE1644" s="177"/>
      <c r="AF1644" s="139"/>
      <c r="AG1644" s="139"/>
      <c r="AH1644" s="177"/>
      <c r="AI1644" s="178"/>
      <c r="AJ1644" s="139"/>
      <c r="AK1644" s="173"/>
      <c r="AL1644" s="177"/>
      <c r="AM1644" s="178"/>
      <c r="AN1644" s="173"/>
      <c r="AO1644" s="173"/>
      <c r="AP1644" s="173"/>
      <c r="AQ1644" s="178"/>
      <c r="AR1644" s="173"/>
      <c r="AS1644" s="173"/>
      <c r="AT1644" s="140"/>
      <c r="AX1644" s="140"/>
      <c r="BB1644" s="173"/>
      <c r="BC1644" s="173"/>
    </row>
    <row r="1645" spans="2:55" s="134" customFormat="1" x14ac:dyDescent="0.2">
      <c r="B1645" s="145"/>
      <c r="D1645" s="145"/>
      <c r="Z1645" s="177"/>
      <c r="AA1645" s="178"/>
      <c r="AB1645" s="139"/>
      <c r="AC1645" s="173"/>
      <c r="AD1645" s="177"/>
      <c r="AE1645" s="177"/>
      <c r="AF1645" s="139"/>
      <c r="AG1645" s="139"/>
      <c r="AH1645" s="177"/>
      <c r="AI1645" s="178"/>
      <c r="AJ1645" s="139"/>
      <c r="AK1645" s="173"/>
      <c r="AL1645" s="177"/>
      <c r="AM1645" s="178"/>
      <c r="AN1645" s="173"/>
      <c r="AO1645" s="173"/>
      <c r="AP1645" s="173"/>
      <c r="AQ1645" s="178"/>
      <c r="AR1645" s="173"/>
      <c r="AS1645" s="173"/>
      <c r="AT1645" s="140"/>
      <c r="AX1645" s="140"/>
      <c r="BB1645" s="173"/>
      <c r="BC1645" s="173"/>
    </row>
    <row r="1646" spans="2:55" s="134" customFormat="1" x14ac:dyDescent="0.2">
      <c r="B1646" s="145"/>
      <c r="D1646" s="145"/>
      <c r="Z1646" s="177"/>
      <c r="AA1646" s="178"/>
      <c r="AB1646" s="139"/>
      <c r="AC1646" s="173"/>
      <c r="AD1646" s="177"/>
      <c r="AE1646" s="177"/>
      <c r="AF1646" s="139"/>
      <c r="AG1646" s="139"/>
      <c r="AH1646" s="177"/>
      <c r="AI1646" s="178"/>
      <c r="AJ1646" s="139"/>
      <c r="AK1646" s="173"/>
      <c r="AL1646" s="177"/>
      <c r="AM1646" s="178"/>
      <c r="AN1646" s="173"/>
      <c r="AO1646" s="173"/>
      <c r="AP1646" s="173"/>
      <c r="AQ1646" s="178"/>
      <c r="AR1646" s="173"/>
      <c r="AS1646" s="173"/>
      <c r="AT1646" s="140"/>
      <c r="AX1646" s="140"/>
      <c r="BB1646" s="173"/>
      <c r="BC1646" s="173"/>
    </row>
    <row r="1647" spans="2:55" s="134" customFormat="1" x14ac:dyDescent="0.2">
      <c r="B1647" s="145"/>
      <c r="D1647" s="145"/>
      <c r="Z1647" s="177"/>
      <c r="AA1647" s="178"/>
      <c r="AB1647" s="139"/>
      <c r="AC1647" s="173"/>
      <c r="AD1647" s="177"/>
      <c r="AE1647" s="177"/>
      <c r="AF1647" s="139"/>
      <c r="AG1647" s="139"/>
      <c r="AH1647" s="177"/>
      <c r="AI1647" s="178"/>
      <c r="AJ1647" s="139"/>
      <c r="AK1647" s="173"/>
      <c r="AL1647" s="177"/>
      <c r="AM1647" s="178"/>
      <c r="AN1647" s="173"/>
      <c r="AO1647" s="173"/>
      <c r="AP1647" s="173"/>
      <c r="AQ1647" s="178"/>
      <c r="AR1647" s="173"/>
      <c r="AS1647" s="173"/>
      <c r="AT1647" s="140"/>
      <c r="AX1647" s="140"/>
      <c r="BB1647" s="173"/>
      <c r="BC1647" s="173"/>
    </row>
    <row r="1648" spans="2:55" s="134" customFormat="1" x14ac:dyDescent="0.2">
      <c r="B1648" s="145"/>
      <c r="D1648" s="145"/>
      <c r="Z1648" s="177"/>
      <c r="AA1648" s="178"/>
      <c r="AB1648" s="139"/>
      <c r="AC1648" s="173"/>
      <c r="AD1648" s="177"/>
      <c r="AE1648" s="177"/>
      <c r="AF1648" s="139"/>
      <c r="AG1648" s="139"/>
      <c r="AH1648" s="177"/>
      <c r="AI1648" s="178"/>
      <c r="AJ1648" s="139"/>
      <c r="AK1648" s="173"/>
      <c r="AL1648" s="177"/>
      <c r="AM1648" s="178"/>
      <c r="AN1648" s="173"/>
      <c r="AO1648" s="173"/>
      <c r="AP1648" s="173"/>
      <c r="AQ1648" s="178"/>
      <c r="AR1648" s="173"/>
      <c r="AS1648" s="173"/>
      <c r="AT1648" s="140"/>
      <c r="AX1648" s="140"/>
      <c r="BB1648" s="173"/>
      <c r="BC1648" s="173"/>
    </row>
    <row r="1649" spans="2:55" s="134" customFormat="1" x14ac:dyDescent="0.2">
      <c r="B1649" s="145"/>
      <c r="D1649" s="145"/>
      <c r="Z1649" s="177"/>
      <c r="AA1649" s="178"/>
      <c r="AB1649" s="139"/>
      <c r="AC1649" s="173"/>
      <c r="AD1649" s="177"/>
      <c r="AE1649" s="177"/>
      <c r="AF1649" s="139"/>
      <c r="AG1649" s="139"/>
      <c r="AH1649" s="177"/>
      <c r="AI1649" s="178"/>
      <c r="AJ1649" s="139"/>
      <c r="AK1649" s="173"/>
      <c r="AL1649" s="177"/>
      <c r="AM1649" s="178"/>
      <c r="AN1649" s="173"/>
      <c r="AO1649" s="173"/>
      <c r="AP1649" s="173"/>
      <c r="AQ1649" s="178"/>
      <c r="AR1649" s="173"/>
      <c r="AS1649" s="173"/>
      <c r="AT1649" s="140"/>
      <c r="AX1649" s="140"/>
      <c r="BB1649" s="173"/>
      <c r="BC1649" s="173"/>
    </row>
    <row r="1650" spans="2:55" s="134" customFormat="1" x14ac:dyDescent="0.2">
      <c r="B1650" s="145"/>
      <c r="D1650" s="145"/>
      <c r="Z1650" s="177"/>
      <c r="AA1650" s="178"/>
      <c r="AB1650" s="139"/>
      <c r="AC1650" s="173"/>
      <c r="AD1650" s="177"/>
      <c r="AE1650" s="177"/>
      <c r="AF1650" s="139"/>
      <c r="AG1650" s="139"/>
      <c r="AH1650" s="177"/>
      <c r="AI1650" s="178"/>
      <c r="AJ1650" s="139"/>
      <c r="AK1650" s="173"/>
      <c r="AL1650" s="177"/>
      <c r="AM1650" s="178"/>
      <c r="AN1650" s="173"/>
      <c r="AO1650" s="173"/>
      <c r="AP1650" s="173"/>
      <c r="AQ1650" s="178"/>
      <c r="AR1650" s="173"/>
      <c r="AS1650" s="173"/>
      <c r="AT1650" s="140"/>
      <c r="AX1650" s="140"/>
      <c r="BB1650" s="173"/>
      <c r="BC1650" s="173"/>
    </row>
    <row r="1651" spans="2:55" s="134" customFormat="1" x14ac:dyDescent="0.2">
      <c r="B1651" s="145"/>
      <c r="D1651" s="145"/>
      <c r="Z1651" s="177"/>
      <c r="AA1651" s="178"/>
      <c r="AB1651" s="139"/>
      <c r="AC1651" s="173"/>
      <c r="AD1651" s="177"/>
      <c r="AE1651" s="177"/>
      <c r="AF1651" s="139"/>
      <c r="AG1651" s="139"/>
      <c r="AH1651" s="177"/>
      <c r="AI1651" s="178"/>
      <c r="AJ1651" s="139"/>
      <c r="AK1651" s="173"/>
      <c r="AL1651" s="177"/>
      <c r="AM1651" s="178"/>
      <c r="AN1651" s="173"/>
      <c r="AO1651" s="173"/>
      <c r="AP1651" s="173"/>
      <c r="AQ1651" s="178"/>
      <c r="AR1651" s="173"/>
      <c r="AS1651" s="173"/>
      <c r="AT1651" s="140"/>
      <c r="AX1651" s="140"/>
      <c r="BB1651" s="173"/>
      <c r="BC1651" s="173"/>
    </row>
    <row r="1652" spans="2:55" s="134" customFormat="1" x14ac:dyDescent="0.2">
      <c r="B1652" s="145"/>
      <c r="D1652" s="145"/>
      <c r="Z1652" s="177"/>
      <c r="AA1652" s="178"/>
      <c r="AB1652" s="139"/>
      <c r="AC1652" s="173"/>
      <c r="AD1652" s="177"/>
      <c r="AE1652" s="177"/>
      <c r="AF1652" s="139"/>
      <c r="AG1652" s="139"/>
      <c r="AH1652" s="177"/>
      <c r="AI1652" s="178"/>
      <c r="AJ1652" s="139"/>
      <c r="AK1652" s="173"/>
      <c r="AL1652" s="177"/>
      <c r="AM1652" s="178"/>
      <c r="AN1652" s="173"/>
      <c r="AO1652" s="173"/>
      <c r="AP1652" s="173"/>
      <c r="AQ1652" s="178"/>
      <c r="AR1652" s="173"/>
      <c r="AS1652" s="173"/>
      <c r="AT1652" s="140"/>
      <c r="AX1652" s="140"/>
      <c r="BB1652" s="173"/>
      <c r="BC1652" s="173"/>
    </row>
    <row r="1653" spans="2:55" s="134" customFormat="1" x14ac:dyDescent="0.2">
      <c r="B1653" s="145"/>
      <c r="D1653" s="145"/>
      <c r="Z1653" s="177"/>
      <c r="AA1653" s="178"/>
      <c r="AB1653" s="139"/>
      <c r="AC1653" s="173"/>
      <c r="AD1653" s="177"/>
      <c r="AE1653" s="177"/>
      <c r="AF1653" s="139"/>
      <c r="AG1653" s="139"/>
      <c r="AH1653" s="177"/>
      <c r="AI1653" s="178"/>
      <c r="AJ1653" s="139"/>
      <c r="AK1653" s="173"/>
      <c r="AL1653" s="177"/>
      <c r="AM1653" s="178"/>
      <c r="AN1653" s="173"/>
      <c r="AO1653" s="173"/>
      <c r="AP1653" s="173"/>
      <c r="AQ1653" s="178"/>
      <c r="AR1653" s="173"/>
      <c r="AS1653" s="173"/>
      <c r="AT1653" s="140"/>
      <c r="AX1653" s="140"/>
      <c r="BB1653" s="173"/>
      <c r="BC1653" s="173"/>
    </row>
    <row r="1654" spans="2:55" s="134" customFormat="1" x14ac:dyDescent="0.2">
      <c r="B1654" s="145"/>
      <c r="D1654" s="145"/>
      <c r="Z1654" s="177"/>
      <c r="AA1654" s="178"/>
      <c r="AB1654" s="139"/>
      <c r="AC1654" s="173"/>
      <c r="AD1654" s="177"/>
      <c r="AE1654" s="177"/>
      <c r="AF1654" s="139"/>
      <c r="AG1654" s="139"/>
      <c r="AH1654" s="177"/>
      <c r="AI1654" s="178"/>
      <c r="AJ1654" s="139"/>
      <c r="AK1654" s="173"/>
      <c r="AL1654" s="177"/>
      <c r="AM1654" s="178"/>
      <c r="AN1654" s="173"/>
      <c r="AO1654" s="173"/>
      <c r="AP1654" s="173"/>
      <c r="AQ1654" s="178"/>
      <c r="AR1654" s="173"/>
      <c r="AS1654" s="173"/>
      <c r="AT1654" s="140"/>
      <c r="AX1654" s="140"/>
      <c r="BB1654" s="173"/>
      <c r="BC1654" s="173"/>
    </row>
    <row r="1655" spans="2:55" s="134" customFormat="1" x14ac:dyDescent="0.2">
      <c r="B1655" s="145"/>
      <c r="D1655" s="145"/>
      <c r="Z1655" s="177"/>
      <c r="AA1655" s="178"/>
      <c r="AB1655" s="139"/>
      <c r="AC1655" s="173"/>
      <c r="AD1655" s="177"/>
      <c r="AE1655" s="177"/>
      <c r="AF1655" s="139"/>
      <c r="AG1655" s="139"/>
      <c r="AH1655" s="177"/>
      <c r="AI1655" s="178"/>
      <c r="AJ1655" s="139"/>
      <c r="AK1655" s="173"/>
      <c r="AL1655" s="177"/>
      <c r="AM1655" s="178"/>
      <c r="AN1655" s="173"/>
      <c r="AO1655" s="173"/>
      <c r="AP1655" s="173"/>
      <c r="AQ1655" s="178"/>
      <c r="AR1655" s="173"/>
      <c r="AS1655" s="173"/>
      <c r="AT1655" s="140"/>
      <c r="AX1655" s="140"/>
      <c r="BB1655" s="173"/>
      <c r="BC1655" s="173"/>
    </row>
    <row r="1656" spans="2:55" s="134" customFormat="1" x14ac:dyDescent="0.2">
      <c r="B1656" s="145"/>
      <c r="D1656" s="145"/>
      <c r="Z1656" s="177"/>
      <c r="AA1656" s="178"/>
      <c r="AB1656" s="139"/>
      <c r="AC1656" s="173"/>
      <c r="AD1656" s="177"/>
      <c r="AE1656" s="177"/>
      <c r="AF1656" s="139"/>
      <c r="AG1656" s="139"/>
      <c r="AH1656" s="177"/>
      <c r="AI1656" s="178"/>
      <c r="AJ1656" s="139"/>
      <c r="AK1656" s="173"/>
      <c r="AL1656" s="177"/>
      <c r="AM1656" s="178"/>
      <c r="AN1656" s="173"/>
      <c r="AO1656" s="173"/>
      <c r="AP1656" s="173"/>
      <c r="AQ1656" s="178"/>
      <c r="AR1656" s="173"/>
      <c r="AS1656" s="173"/>
      <c r="AT1656" s="140"/>
      <c r="AX1656" s="140"/>
      <c r="BB1656" s="173"/>
      <c r="BC1656" s="173"/>
    </row>
    <row r="1657" spans="2:55" s="134" customFormat="1" x14ac:dyDescent="0.2">
      <c r="B1657" s="145"/>
      <c r="D1657" s="145"/>
      <c r="Z1657" s="177"/>
      <c r="AA1657" s="178"/>
      <c r="AB1657" s="139"/>
      <c r="AC1657" s="173"/>
      <c r="AD1657" s="177"/>
      <c r="AE1657" s="177"/>
      <c r="AF1657" s="139"/>
      <c r="AG1657" s="139"/>
      <c r="AH1657" s="177"/>
      <c r="AI1657" s="178"/>
      <c r="AJ1657" s="139"/>
      <c r="AK1657" s="173"/>
      <c r="AL1657" s="177"/>
      <c r="AM1657" s="178"/>
      <c r="AN1657" s="173"/>
      <c r="AO1657" s="173"/>
      <c r="AP1657" s="173"/>
      <c r="AQ1657" s="178"/>
      <c r="AR1657" s="173"/>
      <c r="AS1657" s="173"/>
      <c r="AT1657" s="140"/>
      <c r="AX1657" s="140"/>
      <c r="BB1657" s="173"/>
      <c r="BC1657" s="173"/>
    </row>
    <row r="1658" spans="2:55" s="134" customFormat="1" x14ac:dyDescent="0.2">
      <c r="B1658" s="145"/>
      <c r="D1658" s="145"/>
      <c r="Z1658" s="177"/>
      <c r="AA1658" s="178"/>
      <c r="AB1658" s="139"/>
      <c r="AC1658" s="173"/>
      <c r="AD1658" s="177"/>
      <c r="AE1658" s="177"/>
      <c r="AF1658" s="139"/>
      <c r="AG1658" s="139"/>
      <c r="AH1658" s="177"/>
      <c r="AI1658" s="178"/>
      <c r="AJ1658" s="139"/>
      <c r="AK1658" s="173"/>
      <c r="AL1658" s="177"/>
      <c r="AM1658" s="178"/>
      <c r="AN1658" s="173"/>
      <c r="AO1658" s="173"/>
      <c r="AP1658" s="173"/>
      <c r="AQ1658" s="178"/>
      <c r="AR1658" s="173"/>
      <c r="AS1658" s="173"/>
      <c r="AT1658" s="140"/>
      <c r="AX1658" s="140"/>
      <c r="BB1658" s="173"/>
      <c r="BC1658" s="173"/>
    </row>
    <row r="1659" spans="2:55" s="134" customFormat="1" x14ac:dyDescent="0.2">
      <c r="B1659" s="145"/>
      <c r="D1659" s="145"/>
      <c r="Z1659" s="177"/>
      <c r="AA1659" s="178"/>
      <c r="AB1659" s="139"/>
      <c r="AC1659" s="173"/>
      <c r="AD1659" s="177"/>
      <c r="AE1659" s="177"/>
      <c r="AF1659" s="139"/>
      <c r="AG1659" s="139"/>
      <c r="AH1659" s="177"/>
      <c r="AI1659" s="178"/>
      <c r="AJ1659" s="139"/>
      <c r="AK1659" s="173"/>
      <c r="AL1659" s="177"/>
      <c r="AM1659" s="178"/>
      <c r="AN1659" s="173"/>
      <c r="AO1659" s="173"/>
      <c r="AP1659" s="173"/>
      <c r="AQ1659" s="178"/>
      <c r="AR1659" s="173"/>
      <c r="AS1659" s="173"/>
      <c r="AT1659" s="140"/>
      <c r="AX1659" s="140"/>
      <c r="BB1659" s="173"/>
      <c r="BC1659" s="173"/>
    </row>
    <row r="1660" spans="2:55" s="134" customFormat="1" x14ac:dyDescent="0.2">
      <c r="B1660" s="145"/>
      <c r="D1660" s="145"/>
      <c r="Z1660" s="177"/>
      <c r="AA1660" s="178"/>
      <c r="AB1660" s="139"/>
      <c r="AC1660" s="173"/>
      <c r="AD1660" s="177"/>
      <c r="AE1660" s="177"/>
      <c r="AF1660" s="139"/>
      <c r="AG1660" s="139"/>
      <c r="AH1660" s="177"/>
      <c r="AI1660" s="178"/>
      <c r="AJ1660" s="139"/>
      <c r="AK1660" s="173"/>
      <c r="AL1660" s="177"/>
      <c r="AM1660" s="178"/>
      <c r="AN1660" s="173"/>
      <c r="AO1660" s="173"/>
      <c r="AP1660" s="173"/>
      <c r="AQ1660" s="178"/>
      <c r="AR1660" s="173"/>
      <c r="AS1660" s="173"/>
      <c r="AT1660" s="140"/>
      <c r="AX1660" s="140"/>
      <c r="BB1660" s="173"/>
      <c r="BC1660" s="173"/>
    </row>
    <row r="1661" spans="2:55" s="134" customFormat="1" x14ac:dyDescent="0.2">
      <c r="B1661" s="145"/>
      <c r="D1661" s="145"/>
      <c r="Z1661" s="177"/>
      <c r="AA1661" s="178"/>
      <c r="AB1661" s="139"/>
      <c r="AC1661" s="173"/>
      <c r="AD1661" s="177"/>
      <c r="AE1661" s="177"/>
      <c r="AF1661" s="139"/>
      <c r="AG1661" s="139"/>
      <c r="AH1661" s="177"/>
      <c r="AI1661" s="178"/>
      <c r="AJ1661" s="139"/>
      <c r="AK1661" s="173"/>
      <c r="AL1661" s="177"/>
      <c r="AM1661" s="178"/>
      <c r="AN1661" s="173"/>
      <c r="AO1661" s="173"/>
      <c r="AP1661" s="173"/>
      <c r="AQ1661" s="178"/>
      <c r="AR1661" s="173"/>
      <c r="AS1661" s="173"/>
      <c r="AT1661" s="140"/>
      <c r="AX1661" s="140"/>
      <c r="BB1661" s="173"/>
      <c r="BC1661" s="173"/>
    </row>
    <row r="1662" spans="2:55" s="134" customFormat="1" x14ac:dyDescent="0.2">
      <c r="B1662" s="145"/>
      <c r="D1662" s="145"/>
      <c r="Z1662" s="177"/>
      <c r="AA1662" s="178"/>
      <c r="AB1662" s="139"/>
      <c r="AC1662" s="173"/>
      <c r="AD1662" s="177"/>
      <c r="AE1662" s="177"/>
      <c r="AF1662" s="139"/>
      <c r="AG1662" s="139"/>
      <c r="AH1662" s="177"/>
      <c r="AI1662" s="178"/>
      <c r="AJ1662" s="139"/>
      <c r="AK1662" s="173"/>
      <c r="AL1662" s="177"/>
      <c r="AM1662" s="178"/>
      <c r="AN1662" s="173"/>
      <c r="AO1662" s="173"/>
      <c r="AP1662" s="173"/>
      <c r="AQ1662" s="178"/>
      <c r="AR1662" s="173"/>
      <c r="AS1662" s="173"/>
      <c r="AT1662" s="140"/>
      <c r="AX1662" s="140"/>
      <c r="BB1662" s="173"/>
      <c r="BC1662" s="173"/>
    </row>
    <row r="1663" spans="2:55" s="134" customFormat="1" x14ac:dyDescent="0.2">
      <c r="B1663" s="145"/>
      <c r="D1663" s="145"/>
      <c r="Z1663" s="177"/>
      <c r="AA1663" s="178"/>
      <c r="AB1663" s="139"/>
      <c r="AC1663" s="173"/>
      <c r="AD1663" s="177"/>
      <c r="AE1663" s="177"/>
      <c r="AF1663" s="139"/>
      <c r="AG1663" s="139"/>
      <c r="AH1663" s="177"/>
      <c r="AI1663" s="178"/>
      <c r="AJ1663" s="139"/>
      <c r="AK1663" s="173"/>
      <c r="AL1663" s="177"/>
      <c r="AM1663" s="178"/>
      <c r="AN1663" s="173"/>
      <c r="AO1663" s="173"/>
      <c r="AP1663" s="173"/>
      <c r="AQ1663" s="178"/>
      <c r="AR1663" s="173"/>
      <c r="AS1663" s="173"/>
      <c r="AT1663" s="140"/>
      <c r="AX1663" s="140"/>
      <c r="BB1663" s="173"/>
      <c r="BC1663" s="173"/>
    </row>
    <row r="1664" spans="2:55" s="134" customFormat="1" x14ac:dyDescent="0.2">
      <c r="B1664" s="145"/>
      <c r="D1664" s="145"/>
      <c r="Z1664" s="177"/>
      <c r="AA1664" s="178"/>
      <c r="AB1664" s="139"/>
      <c r="AC1664" s="173"/>
      <c r="AD1664" s="177"/>
      <c r="AE1664" s="177"/>
      <c r="AF1664" s="139"/>
      <c r="AG1664" s="139"/>
      <c r="AH1664" s="177"/>
      <c r="AI1664" s="178"/>
      <c r="AJ1664" s="139"/>
      <c r="AK1664" s="173"/>
      <c r="AL1664" s="177"/>
      <c r="AM1664" s="178"/>
      <c r="AN1664" s="173"/>
      <c r="AO1664" s="173"/>
      <c r="AP1664" s="173"/>
      <c r="AQ1664" s="178"/>
      <c r="AR1664" s="173"/>
      <c r="AS1664" s="173"/>
      <c r="AT1664" s="140"/>
      <c r="AX1664" s="140"/>
      <c r="BB1664" s="173"/>
      <c r="BC1664" s="173"/>
    </row>
    <row r="1665" spans="2:55" s="134" customFormat="1" x14ac:dyDescent="0.2">
      <c r="B1665" s="145"/>
      <c r="D1665" s="145"/>
      <c r="Z1665" s="177"/>
      <c r="AA1665" s="178"/>
      <c r="AB1665" s="139"/>
      <c r="AC1665" s="173"/>
      <c r="AD1665" s="177"/>
      <c r="AE1665" s="177"/>
      <c r="AF1665" s="139"/>
      <c r="AG1665" s="139"/>
      <c r="AH1665" s="177"/>
      <c r="AI1665" s="178"/>
      <c r="AJ1665" s="139"/>
      <c r="AK1665" s="173"/>
      <c r="AL1665" s="177"/>
      <c r="AM1665" s="178"/>
      <c r="AN1665" s="173"/>
      <c r="AO1665" s="173"/>
      <c r="AP1665" s="173"/>
      <c r="AQ1665" s="178"/>
      <c r="AR1665" s="173"/>
      <c r="AS1665" s="173"/>
      <c r="AT1665" s="140"/>
      <c r="AX1665" s="140"/>
      <c r="BB1665" s="173"/>
      <c r="BC1665" s="173"/>
    </row>
    <row r="1666" spans="2:55" s="134" customFormat="1" x14ac:dyDescent="0.2">
      <c r="B1666" s="145"/>
      <c r="D1666" s="145"/>
      <c r="Z1666" s="177"/>
      <c r="AA1666" s="178"/>
      <c r="AB1666" s="139"/>
      <c r="AC1666" s="173"/>
      <c r="AD1666" s="177"/>
      <c r="AE1666" s="177"/>
      <c r="AF1666" s="139"/>
      <c r="AG1666" s="139"/>
      <c r="AH1666" s="177"/>
      <c r="AI1666" s="178"/>
      <c r="AJ1666" s="139"/>
      <c r="AK1666" s="173"/>
      <c r="AL1666" s="177"/>
      <c r="AM1666" s="178"/>
      <c r="AN1666" s="173"/>
      <c r="AO1666" s="173"/>
      <c r="AP1666" s="173"/>
      <c r="AQ1666" s="178"/>
      <c r="AR1666" s="173"/>
      <c r="AS1666" s="173"/>
      <c r="AT1666" s="140"/>
      <c r="AX1666" s="140"/>
      <c r="BB1666" s="173"/>
      <c r="BC1666" s="173"/>
    </row>
    <row r="1667" spans="2:55" s="134" customFormat="1" x14ac:dyDescent="0.2">
      <c r="B1667" s="145"/>
      <c r="D1667" s="145"/>
      <c r="Z1667" s="177"/>
      <c r="AA1667" s="178"/>
      <c r="AB1667" s="139"/>
      <c r="AC1667" s="173"/>
      <c r="AD1667" s="177"/>
      <c r="AE1667" s="177"/>
      <c r="AF1667" s="139"/>
      <c r="AG1667" s="139"/>
      <c r="AH1667" s="177"/>
      <c r="AI1667" s="178"/>
      <c r="AJ1667" s="139"/>
      <c r="AK1667" s="173"/>
      <c r="AL1667" s="177"/>
      <c r="AM1667" s="178"/>
      <c r="AN1667" s="173"/>
      <c r="AO1667" s="173"/>
      <c r="AP1667" s="173"/>
      <c r="AQ1667" s="178"/>
      <c r="AR1667" s="173"/>
      <c r="AS1667" s="173"/>
      <c r="AT1667" s="140"/>
      <c r="AX1667" s="140"/>
      <c r="BB1667" s="173"/>
      <c r="BC1667" s="173"/>
    </row>
    <row r="1668" spans="2:55" s="134" customFormat="1" x14ac:dyDescent="0.2">
      <c r="B1668" s="145"/>
      <c r="D1668" s="145"/>
      <c r="Z1668" s="177"/>
      <c r="AA1668" s="178"/>
      <c r="AB1668" s="139"/>
      <c r="AC1668" s="173"/>
      <c r="AD1668" s="177"/>
      <c r="AE1668" s="177"/>
      <c r="AF1668" s="139"/>
      <c r="AG1668" s="139"/>
      <c r="AH1668" s="177"/>
      <c r="AI1668" s="178"/>
      <c r="AJ1668" s="139"/>
      <c r="AK1668" s="173"/>
      <c r="AL1668" s="177"/>
      <c r="AM1668" s="178"/>
      <c r="AN1668" s="173"/>
      <c r="AO1668" s="173"/>
      <c r="AP1668" s="173"/>
      <c r="AQ1668" s="178"/>
      <c r="AR1668" s="173"/>
      <c r="AS1668" s="173"/>
      <c r="AT1668" s="140"/>
      <c r="AX1668" s="140"/>
      <c r="BB1668" s="173"/>
      <c r="BC1668" s="173"/>
    </row>
    <row r="1669" spans="2:55" s="134" customFormat="1" x14ac:dyDescent="0.2">
      <c r="B1669" s="145"/>
      <c r="D1669" s="145"/>
      <c r="Z1669" s="177"/>
      <c r="AA1669" s="178"/>
      <c r="AB1669" s="139"/>
      <c r="AC1669" s="173"/>
      <c r="AD1669" s="177"/>
      <c r="AE1669" s="177"/>
      <c r="AF1669" s="139"/>
      <c r="AG1669" s="139"/>
      <c r="AH1669" s="177"/>
      <c r="AI1669" s="178"/>
      <c r="AJ1669" s="139"/>
      <c r="AK1669" s="173"/>
      <c r="AL1669" s="177"/>
      <c r="AM1669" s="178"/>
      <c r="AN1669" s="173"/>
      <c r="AO1669" s="173"/>
      <c r="AP1669" s="173"/>
      <c r="AQ1669" s="178"/>
      <c r="AR1669" s="173"/>
      <c r="AS1669" s="173"/>
      <c r="AT1669" s="140"/>
      <c r="AX1669" s="140"/>
      <c r="BB1669" s="173"/>
      <c r="BC1669" s="173"/>
    </row>
    <row r="1670" spans="2:55" s="134" customFormat="1" x14ac:dyDescent="0.2">
      <c r="B1670" s="145"/>
      <c r="D1670" s="145"/>
      <c r="Z1670" s="177"/>
      <c r="AA1670" s="178"/>
      <c r="AB1670" s="139"/>
      <c r="AC1670" s="173"/>
      <c r="AD1670" s="177"/>
      <c r="AE1670" s="177"/>
      <c r="AF1670" s="139"/>
      <c r="AG1670" s="139"/>
      <c r="AH1670" s="177"/>
      <c r="AI1670" s="178"/>
      <c r="AJ1670" s="139"/>
      <c r="AK1670" s="173"/>
      <c r="AL1670" s="177"/>
      <c r="AM1670" s="178"/>
      <c r="AN1670" s="173"/>
      <c r="AO1670" s="173"/>
      <c r="AP1670" s="173"/>
      <c r="AQ1670" s="178"/>
      <c r="AR1670" s="173"/>
      <c r="AS1670" s="173"/>
      <c r="AT1670" s="140"/>
      <c r="AX1670" s="140"/>
      <c r="BB1670" s="173"/>
      <c r="BC1670" s="173"/>
    </row>
    <row r="1671" spans="2:55" s="134" customFormat="1" x14ac:dyDescent="0.2">
      <c r="B1671" s="145"/>
      <c r="D1671" s="145"/>
      <c r="Z1671" s="177"/>
      <c r="AA1671" s="178"/>
      <c r="AB1671" s="139"/>
      <c r="AC1671" s="173"/>
      <c r="AD1671" s="177"/>
      <c r="AE1671" s="177"/>
      <c r="AF1671" s="139"/>
      <c r="AG1671" s="139"/>
      <c r="AH1671" s="177"/>
      <c r="AI1671" s="178"/>
      <c r="AJ1671" s="139"/>
      <c r="AK1671" s="173"/>
      <c r="AL1671" s="177"/>
      <c r="AM1671" s="178"/>
      <c r="AN1671" s="173"/>
      <c r="AO1671" s="173"/>
      <c r="AP1671" s="173"/>
      <c r="AQ1671" s="178"/>
      <c r="AR1671" s="173"/>
      <c r="AS1671" s="173"/>
      <c r="AT1671" s="140"/>
      <c r="AX1671" s="140"/>
      <c r="BB1671" s="173"/>
      <c r="BC1671" s="173"/>
    </row>
    <row r="1672" spans="2:55" s="134" customFormat="1" x14ac:dyDescent="0.2">
      <c r="B1672" s="145"/>
      <c r="D1672" s="145"/>
      <c r="Z1672" s="177"/>
      <c r="AA1672" s="178"/>
      <c r="AB1672" s="139"/>
      <c r="AC1672" s="173"/>
      <c r="AD1672" s="177"/>
      <c r="AE1672" s="177"/>
      <c r="AF1672" s="139"/>
      <c r="AG1672" s="139"/>
      <c r="AH1672" s="177"/>
      <c r="AI1672" s="178"/>
      <c r="AJ1672" s="139"/>
      <c r="AK1672" s="173"/>
      <c r="AL1672" s="177"/>
      <c r="AM1672" s="178"/>
      <c r="AN1672" s="173"/>
      <c r="AO1672" s="173"/>
      <c r="AP1672" s="173"/>
      <c r="AQ1672" s="178"/>
      <c r="AR1672" s="173"/>
      <c r="AS1672" s="173"/>
      <c r="AT1672" s="140"/>
      <c r="AX1672" s="140"/>
      <c r="BB1672" s="173"/>
      <c r="BC1672" s="173"/>
    </row>
    <row r="1673" spans="2:55" s="134" customFormat="1" x14ac:dyDescent="0.2">
      <c r="B1673" s="145"/>
      <c r="D1673" s="145"/>
      <c r="Z1673" s="177"/>
      <c r="AA1673" s="178"/>
      <c r="AB1673" s="139"/>
      <c r="AC1673" s="173"/>
      <c r="AD1673" s="177"/>
      <c r="AE1673" s="177"/>
      <c r="AF1673" s="139"/>
      <c r="AG1673" s="139"/>
      <c r="AH1673" s="177"/>
      <c r="AI1673" s="178"/>
      <c r="AJ1673" s="139"/>
      <c r="AK1673" s="173"/>
      <c r="AL1673" s="177"/>
      <c r="AM1673" s="178"/>
      <c r="AN1673" s="173"/>
      <c r="AO1673" s="173"/>
      <c r="AP1673" s="173"/>
      <c r="AQ1673" s="178"/>
      <c r="AR1673" s="173"/>
      <c r="AS1673" s="173"/>
      <c r="AT1673" s="140"/>
      <c r="AX1673" s="140"/>
      <c r="BB1673" s="173"/>
      <c r="BC1673" s="173"/>
    </row>
    <row r="1674" spans="2:55" s="134" customFormat="1" x14ac:dyDescent="0.2">
      <c r="B1674" s="145"/>
      <c r="D1674" s="145"/>
      <c r="Z1674" s="177"/>
      <c r="AA1674" s="178"/>
      <c r="AB1674" s="139"/>
      <c r="AC1674" s="173"/>
      <c r="AD1674" s="177"/>
      <c r="AE1674" s="177"/>
      <c r="AF1674" s="139"/>
      <c r="AG1674" s="139"/>
      <c r="AH1674" s="177"/>
      <c r="AI1674" s="178"/>
      <c r="AJ1674" s="139"/>
      <c r="AK1674" s="173"/>
      <c r="AL1674" s="177"/>
      <c r="AM1674" s="178"/>
      <c r="AN1674" s="173"/>
      <c r="AO1674" s="173"/>
      <c r="AP1674" s="173"/>
      <c r="AQ1674" s="178"/>
      <c r="AR1674" s="173"/>
      <c r="AS1674" s="173"/>
      <c r="AT1674" s="140"/>
      <c r="AX1674" s="140"/>
      <c r="BB1674" s="173"/>
      <c r="BC1674" s="173"/>
    </row>
    <row r="1675" spans="2:55" s="134" customFormat="1" x14ac:dyDescent="0.2">
      <c r="B1675" s="145"/>
      <c r="D1675" s="145"/>
      <c r="Z1675" s="177"/>
      <c r="AA1675" s="178"/>
      <c r="AB1675" s="139"/>
      <c r="AC1675" s="173"/>
      <c r="AD1675" s="177"/>
      <c r="AE1675" s="177"/>
      <c r="AF1675" s="139"/>
      <c r="AG1675" s="139"/>
      <c r="AH1675" s="177"/>
      <c r="AI1675" s="178"/>
      <c r="AJ1675" s="139"/>
      <c r="AK1675" s="173"/>
      <c r="AL1675" s="177"/>
      <c r="AM1675" s="178"/>
      <c r="AN1675" s="173"/>
      <c r="AO1675" s="173"/>
      <c r="AP1675" s="173"/>
      <c r="AQ1675" s="178"/>
      <c r="AR1675" s="173"/>
      <c r="AS1675" s="173"/>
      <c r="AT1675" s="140"/>
      <c r="AX1675" s="140"/>
      <c r="BB1675" s="173"/>
      <c r="BC1675" s="173"/>
    </row>
    <row r="1676" spans="2:55" s="134" customFormat="1" x14ac:dyDescent="0.2">
      <c r="B1676" s="145"/>
      <c r="D1676" s="145"/>
      <c r="Z1676" s="177"/>
      <c r="AA1676" s="178"/>
      <c r="AB1676" s="139"/>
      <c r="AC1676" s="173"/>
      <c r="AD1676" s="177"/>
      <c r="AE1676" s="177"/>
      <c r="AF1676" s="139"/>
      <c r="AG1676" s="139"/>
      <c r="AH1676" s="177"/>
      <c r="AI1676" s="178"/>
      <c r="AJ1676" s="139"/>
      <c r="AK1676" s="173"/>
      <c r="AL1676" s="177"/>
      <c r="AM1676" s="178"/>
      <c r="AN1676" s="173"/>
      <c r="AO1676" s="173"/>
      <c r="AP1676" s="173"/>
      <c r="AQ1676" s="178"/>
      <c r="AR1676" s="173"/>
      <c r="AS1676" s="173"/>
      <c r="AT1676" s="140"/>
      <c r="AX1676" s="140"/>
      <c r="BB1676" s="173"/>
      <c r="BC1676" s="173"/>
    </row>
    <row r="1677" spans="2:55" s="134" customFormat="1" x14ac:dyDescent="0.2">
      <c r="B1677" s="145"/>
      <c r="D1677" s="145"/>
      <c r="Z1677" s="177"/>
      <c r="AA1677" s="178"/>
      <c r="AB1677" s="139"/>
      <c r="AC1677" s="173"/>
      <c r="AD1677" s="177"/>
      <c r="AE1677" s="177"/>
      <c r="AF1677" s="139"/>
      <c r="AG1677" s="139"/>
      <c r="AH1677" s="177"/>
      <c r="AI1677" s="178"/>
      <c r="AJ1677" s="139"/>
      <c r="AK1677" s="173"/>
      <c r="AL1677" s="177"/>
      <c r="AM1677" s="178"/>
      <c r="AN1677" s="173"/>
      <c r="AO1677" s="173"/>
      <c r="AP1677" s="173"/>
      <c r="AQ1677" s="178"/>
      <c r="AR1677" s="173"/>
      <c r="AS1677" s="173"/>
      <c r="AT1677" s="140"/>
      <c r="AX1677" s="140"/>
      <c r="BB1677" s="173"/>
      <c r="BC1677" s="173"/>
    </row>
    <row r="1678" spans="2:55" s="134" customFormat="1" x14ac:dyDescent="0.2">
      <c r="B1678" s="145"/>
      <c r="D1678" s="145"/>
      <c r="Z1678" s="177"/>
      <c r="AA1678" s="178"/>
      <c r="AB1678" s="139"/>
      <c r="AC1678" s="173"/>
      <c r="AD1678" s="177"/>
      <c r="AE1678" s="177"/>
      <c r="AF1678" s="139"/>
      <c r="AG1678" s="139"/>
      <c r="AH1678" s="177"/>
      <c r="AI1678" s="178"/>
      <c r="AJ1678" s="139"/>
      <c r="AK1678" s="173"/>
      <c r="AL1678" s="177"/>
      <c r="AM1678" s="178"/>
      <c r="AN1678" s="173"/>
      <c r="AO1678" s="173"/>
      <c r="AP1678" s="173"/>
      <c r="AQ1678" s="178"/>
      <c r="AR1678" s="173"/>
      <c r="AS1678" s="173"/>
      <c r="AT1678" s="140"/>
      <c r="AX1678" s="140"/>
      <c r="BB1678" s="173"/>
      <c r="BC1678" s="173"/>
    </row>
    <row r="1679" spans="2:55" s="134" customFormat="1" x14ac:dyDescent="0.2">
      <c r="B1679" s="145"/>
      <c r="D1679" s="145"/>
      <c r="Z1679" s="177"/>
      <c r="AA1679" s="178"/>
      <c r="AB1679" s="139"/>
      <c r="AC1679" s="173"/>
      <c r="AD1679" s="177"/>
      <c r="AE1679" s="177"/>
      <c r="AF1679" s="139"/>
      <c r="AG1679" s="139"/>
      <c r="AH1679" s="177"/>
      <c r="AI1679" s="178"/>
      <c r="AJ1679" s="139"/>
      <c r="AK1679" s="173"/>
      <c r="AL1679" s="177"/>
      <c r="AM1679" s="178"/>
      <c r="AN1679" s="173"/>
      <c r="AO1679" s="173"/>
      <c r="AP1679" s="173"/>
      <c r="AQ1679" s="178"/>
      <c r="AR1679" s="173"/>
      <c r="AS1679" s="173"/>
      <c r="AT1679" s="140"/>
      <c r="AX1679" s="140"/>
      <c r="BB1679" s="173"/>
      <c r="BC1679" s="173"/>
    </row>
    <row r="1680" spans="2:55" s="134" customFormat="1" x14ac:dyDescent="0.2">
      <c r="B1680" s="145"/>
      <c r="D1680" s="145"/>
      <c r="Z1680" s="177"/>
      <c r="AA1680" s="178"/>
      <c r="AB1680" s="139"/>
      <c r="AC1680" s="173"/>
      <c r="AD1680" s="177"/>
      <c r="AE1680" s="177"/>
      <c r="AF1680" s="139"/>
      <c r="AG1680" s="139"/>
      <c r="AH1680" s="177"/>
      <c r="AI1680" s="178"/>
      <c r="AJ1680" s="139"/>
      <c r="AK1680" s="173"/>
      <c r="AL1680" s="177"/>
      <c r="AM1680" s="178"/>
      <c r="AN1680" s="173"/>
      <c r="AO1680" s="173"/>
      <c r="AP1680" s="173"/>
      <c r="AQ1680" s="178"/>
      <c r="AR1680" s="173"/>
      <c r="AS1680" s="173"/>
      <c r="AT1680" s="140"/>
      <c r="AX1680" s="140"/>
      <c r="BB1680" s="173"/>
      <c r="BC1680" s="173"/>
    </row>
    <row r="1681" spans="2:55" s="134" customFormat="1" x14ac:dyDescent="0.2">
      <c r="B1681" s="145"/>
      <c r="D1681" s="145"/>
      <c r="Z1681" s="177"/>
      <c r="AA1681" s="178"/>
      <c r="AB1681" s="139"/>
      <c r="AC1681" s="173"/>
      <c r="AD1681" s="177"/>
      <c r="AE1681" s="177"/>
      <c r="AF1681" s="139"/>
      <c r="AG1681" s="139"/>
      <c r="AH1681" s="177"/>
      <c r="AI1681" s="178"/>
      <c r="AJ1681" s="139"/>
      <c r="AK1681" s="173"/>
      <c r="AL1681" s="177"/>
      <c r="AM1681" s="178"/>
      <c r="AN1681" s="173"/>
      <c r="AO1681" s="173"/>
      <c r="AP1681" s="173"/>
      <c r="AQ1681" s="178"/>
      <c r="AR1681" s="173"/>
      <c r="AS1681" s="173"/>
      <c r="AT1681" s="140"/>
      <c r="AX1681" s="140"/>
      <c r="BB1681" s="173"/>
      <c r="BC1681" s="173"/>
    </row>
    <row r="1682" spans="2:55" s="134" customFormat="1" x14ac:dyDescent="0.2">
      <c r="B1682" s="145"/>
      <c r="D1682" s="145"/>
      <c r="Z1682" s="177"/>
      <c r="AA1682" s="178"/>
      <c r="AB1682" s="139"/>
      <c r="AC1682" s="173"/>
      <c r="AD1682" s="177"/>
      <c r="AE1682" s="177"/>
      <c r="AF1682" s="139"/>
      <c r="AG1682" s="139"/>
      <c r="AH1682" s="177"/>
      <c r="AI1682" s="178"/>
      <c r="AJ1682" s="139"/>
      <c r="AK1682" s="173"/>
      <c r="AL1682" s="177"/>
      <c r="AM1682" s="178"/>
      <c r="AN1682" s="173"/>
      <c r="AO1682" s="173"/>
      <c r="AP1682" s="173"/>
      <c r="AQ1682" s="178"/>
      <c r="AR1682" s="173"/>
      <c r="AS1682" s="173"/>
      <c r="AT1682" s="140"/>
      <c r="AX1682" s="140"/>
      <c r="BB1682" s="173"/>
      <c r="BC1682" s="173"/>
    </row>
    <row r="1683" spans="2:55" s="134" customFormat="1" x14ac:dyDescent="0.2">
      <c r="B1683" s="145"/>
      <c r="D1683" s="145"/>
      <c r="Z1683" s="177"/>
      <c r="AA1683" s="178"/>
      <c r="AB1683" s="139"/>
      <c r="AC1683" s="173"/>
      <c r="AD1683" s="177"/>
      <c r="AE1683" s="177"/>
      <c r="AF1683" s="139"/>
      <c r="AG1683" s="139"/>
      <c r="AH1683" s="177"/>
      <c r="AI1683" s="178"/>
      <c r="AJ1683" s="139"/>
      <c r="AK1683" s="173"/>
      <c r="AL1683" s="177"/>
      <c r="AM1683" s="178"/>
      <c r="AN1683" s="173"/>
      <c r="AO1683" s="173"/>
      <c r="AP1683" s="173"/>
      <c r="AQ1683" s="178"/>
      <c r="AR1683" s="173"/>
      <c r="AS1683" s="173"/>
      <c r="AT1683" s="140"/>
      <c r="AX1683" s="140"/>
      <c r="BB1683" s="173"/>
      <c r="BC1683" s="173"/>
    </row>
    <row r="1684" spans="2:55" s="134" customFormat="1" x14ac:dyDescent="0.2">
      <c r="B1684" s="145"/>
      <c r="D1684" s="145"/>
      <c r="Z1684" s="177"/>
      <c r="AA1684" s="178"/>
      <c r="AB1684" s="139"/>
      <c r="AC1684" s="173"/>
      <c r="AD1684" s="177"/>
      <c r="AE1684" s="177"/>
      <c r="AF1684" s="139"/>
      <c r="AG1684" s="139"/>
      <c r="AH1684" s="177"/>
      <c r="AI1684" s="178"/>
      <c r="AJ1684" s="139"/>
      <c r="AK1684" s="173"/>
      <c r="AL1684" s="177"/>
      <c r="AM1684" s="178"/>
      <c r="AN1684" s="173"/>
      <c r="AO1684" s="173"/>
      <c r="AP1684" s="173"/>
      <c r="AQ1684" s="178"/>
      <c r="AR1684" s="173"/>
      <c r="AS1684" s="173"/>
      <c r="AT1684" s="140"/>
      <c r="AX1684" s="140"/>
      <c r="BB1684" s="173"/>
      <c r="BC1684" s="173"/>
    </row>
    <row r="1685" spans="2:55" s="134" customFormat="1" x14ac:dyDescent="0.2">
      <c r="B1685" s="145"/>
      <c r="D1685" s="145"/>
      <c r="Z1685" s="177"/>
      <c r="AA1685" s="178"/>
      <c r="AB1685" s="139"/>
      <c r="AC1685" s="173"/>
      <c r="AD1685" s="177"/>
      <c r="AE1685" s="177"/>
      <c r="AF1685" s="139"/>
      <c r="AG1685" s="139"/>
      <c r="AH1685" s="177"/>
      <c r="AI1685" s="178"/>
      <c r="AJ1685" s="139"/>
      <c r="AK1685" s="173"/>
      <c r="AL1685" s="177"/>
      <c r="AM1685" s="178"/>
      <c r="AN1685" s="173"/>
      <c r="AO1685" s="173"/>
      <c r="AP1685" s="173"/>
      <c r="AQ1685" s="178"/>
      <c r="AR1685" s="173"/>
      <c r="AS1685" s="173"/>
      <c r="AT1685" s="140"/>
      <c r="AX1685" s="140"/>
      <c r="BB1685" s="173"/>
      <c r="BC1685" s="173"/>
    </row>
    <row r="1686" spans="2:55" s="134" customFormat="1" x14ac:dyDescent="0.2">
      <c r="B1686" s="145"/>
      <c r="D1686" s="145"/>
      <c r="Z1686" s="177"/>
      <c r="AA1686" s="178"/>
      <c r="AB1686" s="139"/>
      <c r="AC1686" s="173"/>
      <c r="AD1686" s="177"/>
      <c r="AE1686" s="177"/>
      <c r="AF1686" s="139"/>
      <c r="AG1686" s="139"/>
      <c r="AH1686" s="177"/>
      <c r="AI1686" s="178"/>
      <c r="AJ1686" s="139"/>
      <c r="AK1686" s="173"/>
      <c r="AL1686" s="177"/>
      <c r="AM1686" s="178"/>
      <c r="AN1686" s="173"/>
      <c r="AO1686" s="173"/>
      <c r="AP1686" s="173"/>
      <c r="AQ1686" s="178"/>
      <c r="AR1686" s="173"/>
      <c r="AS1686" s="173"/>
      <c r="AT1686" s="140"/>
      <c r="AX1686" s="140"/>
      <c r="BB1686" s="173"/>
      <c r="BC1686" s="173"/>
    </row>
    <row r="1687" spans="2:55" s="134" customFormat="1" x14ac:dyDescent="0.2">
      <c r="B1687" s="145"/>
      <c r="D1687" s="145"/>
      <c r="Z1687" s="177"/>
      <c r="AA1687" s="178"/>
      <c r="AB1687" s="139"/>
      <c r="AC1687" s="173"/>
      <c r="AD1687" s="177"/>
      <c r="AE1687" s="177"/>
      <c r="AF1687" s="139"/>
      <c r="AG1687" s="139"/>
      <c r="AH1687" s="177"/>
      <c r="AI1687" s="178"/>
      <c r="AJ1687" s="139"/>
      <c r="AK1687" s="173"/>
      <c r="AL1687" s="177"/>
      <c r="AM1687" s="178"/>
      <c r="AN1687" s="173"/>
      <c r="AO1687" s="173"/>
      <c r="AP1687" s="173"/>
      <c r="AQ1687" s="178"/>
      <c r="AR1687" s="173"/>
      <c r="AS1687" s="173"/>
      <c r="AT1687" s="140"/>
      <c r="AX1687" s="140"/>
      <c r="BB1687" s="173"/>
      <c r="BC1687" s="173"/>
    </row>
    <row r="1688" spans="2:55" s="134" customFormat="1" x14ac:dyDescent="0.2">
      <c r="B1688" s="145"/>
      <c r="D1688" s="145"/>
      <c r="Z1688" s="177"/>
      <c r="AA1688" s="178"/>
      <c r="AB1688" s="139"/>
      <c r="AC1688" s="173"/>
      <c r="AD1688" s="177"/>
      <c r="AE1688" s="177"/>
      <c r="AF1688" s="139"/>
      <c r="AG1688" s="139"/>
      <c r="AH1688" s="177"/>
      <c r="AI1688" s="178"/>
      <c r="AJ1688" s="139"/>
      <c r="AK1688" s="173"/>
      <c r="AL1688" s="177"/>
      <c r="AM1688" s="178"/>
      <c r="AN1688" s="173"/>
      <c r="AO1688" s="173"/>
      <c r="AP1688" s="173"/>
      <c r="AQ1688" s="178"/>
      <c r="AR1688" s="173"/>
      <c r="AS1688" s="173"/>
      <c r="AT1688" s="140"/>
      <c r="AX1688" s="140"/>
      <c r="BB1688" s="173"/>
      <c r="BC1688" s="173"/>
    </row>
    <row r="1689" spans="2:55" s="134" customFormat="1" x14ac:dyDescent="0.2">
      <c r="B1689" s="145"/>
      <c r="D1689" s="145"/>
      <c r="Z1689" s="177"/>
      <c r="AA1689" s="178"/>
      <c r="AB1689" s="139"/>
      <c r="AC1689" s="173"/>
      <c r="AD1689" s="177"/>
      <c r="AE1689" s="177"/>
      <c r="AF1689" s="139"/>
      <c r="AG1689" s="139"/>
      <c r="AH1689" s="177"/>
      <c r="AI1689" s="178"/>
      <c r="AJ1689" s="139"/>
      <c r="AK1689" s="173"/>
      <c r="AL1689" s="177"/>
      <c r="AM1689" s="178"/>
      <c r="AN1689" s="173"/>
      <c r="AO1689" s="173"/>
      <c r="AP1689" s="173"/>
      <c r="AQ1689" s="178"/>
      <c r="AR1689" s="173"/>
      <c r="AS1689" s="173"/>
      <c r="AT1689" s="140"/>
      <c r="AX1689" s="140"/>
      <c r="BB1689" s="173"/>
      <c r="BC1689" s="173"/>
    </row>
    <row r="1690" spans="2:55" s="134" customFormat="1" x14ac:dyDescent="0.2">
      <c r="B1690" s="145"/>
      <c r="D1690" s="145"/>
      <c r="Z1690" s="177"/>
      <c r="AA1690" s="178"/>
      <c r="AB1690" s="139"/>
      <c r="AC1690" s="173"/>
      <c r="AD1690" s="177"/>
      <c r="AE1690" s="177"/>
      <c r="AF1690" s="139"/>
      <c r="AG1690" s="139"/>
      <c r="AH1690" s="177"/>
      <c r="AI1690" s="178"/>
      <c r="AJ1690" s="139"/>
      <c r="AK1690" s="173"/>
      <c r="AL1690" s="177"/>
      <c r="AM1690" s="178"/>
      <c r="AN1690" s="173"/>
      <c r="AO1690" s="173"/>
      <c r="AP1690" s="173"/>
      <c r="AQ1690" s="178"/>
      <c r="AR1690" s="173"/>
      <c r="AS1690" s="173"/>
      <c r="AT1690" s="140"/>
      <c r="AX1690" s="140"/>
      <c r="BB1690" s="173"/>
      <c r="BC1690" s="173"/>
    </row>
    <row r="1691" spans="2:55" s="134" customFormat="1" x14ac:dyDescent="0.2">
      <c r="B1691" s="145"/>
      <c r="D1691" s="145"/>
      <c r="Z1691" s="177"/>
      <c r="AA1691" s="178"/>
      <c r="AB1691" s="139"/>
      <c r="AC1691" s="173"/>
      <c r="AD1691" s="177"/>
      <c r="AE1691" s="177"/>
      <c r="AF1691" s="139"/>
      <c r="AG1691" s="139"/>
      <c r="AH1691" s="177"/>
      <c r="AI1691" s="178"/>
      <c r="AJ1691" s="139"/>
      <c r="AK1691" s="173"/>
      <c r="AL1691" s="177"/>
      <c r="AM1691" s="178"/>
      <c r="AN1691" s="173"/>
      <c r="AO1691" s="173"/>
      <c r="AP1691" s="173"/>
      <c r="AQ1691" s="178"/>
      <c r="AR1691" s="173"/>
      <c r="AS1691" s="173"/>
      <c r="AT1691" s="140"/>
      <c r="AX1691" s="140"/>
      <c r="BB1691" s="173"/>
      <c r="BC1691" s="173"/>
    </row>
    <row r="1692" spans="2:55" s="134" customFormat="1" x14ac:dyDescent="0.2">
      <c r="B1692" s="145"/>
      <c r="D1692" s="145"/>
      <c r="Z1692" s="177"/>
      <c r="AA1692" s="178"/>
      <c r="AB1692" s="139"/>
      <c r="AC1692" s="173"/>
      <c r="AD1692" s="177"/>
      <c r="AE1692" s="177"/>
      <c r="AF1692" s="139"/>
      <c r="AG1692" s="139"/>
      <c r="AH1692" s="177"/>
      <c r="AI1692" s="178"/>
      <c r="AJ1692" s="139"/>
      <c r="AK1692" s="173"/>
      <c r="AL1692" s="177"/>
      <c r="AM1692" s="178"/>
      <c r="AN1692" s="173"/>
      <c r="AO1692" s="173"/>
      <c r="AP1692" s="173"/>
      <c r="AQ1692" s="178"/>
      <c r="AR1692" s="173"/>
      <c r="AS1692" s="173"/>
      <c r="AT1692" s="140"/>
      <c r="AX1692" s="140"/>
      <c r="BB1692" s="173"/>
      <c r="BC1692" s="173"/>
    </row>
    <row r="1693" spans="2:55" s="134" customFormat="1" x14ac:dyDescent="0.2">
      <c r="B1693" s="145"/>
      <c r="D1693" s="145"/>
      <c r="Z1693" s="177"/>
      <c r="AA1693" s="178"/>
      <c r="AB1693" s="139"/>
      <c r="AC1693" s="173"/>
      <c r="AD1693" s="177"/>
      <c r="AE1693" s="177"/>
      <c r="AF1693" s="139"/>
      <c r="AG1693" s="139"/>
      <c r="AH1693" s="177"/>
      <c r="AI1693" s="178"/>
      <c r="AJ1693" s="139"/>
      <c r="AK1693" s="173"/>
      <c r="AL1693" s="177"/>
      <c r="AM1693" s="178"/>
      <c r="AN1693" s="173"/>
      <c r="AO1693" s="173"/>
      <c r="AP1693" s="173"/>
      <c r="AQ1693" s="178"/>
      <c r="AR1693" s="173"/>
      <c r="AS1693" s="173"/>
      <c r="AT1693" s="140"/>
      <c r="AX1693" s="140"/>
      <c r="BB1693" s="173"/>
      <c r="BC1693" s="173"/>
    </row>
    <row r="1694" spans="2:55" s="134" customFormat="1" x14ac:dyDescent="0.2">
      <c r="B1694" s="145"/>
      <c r="D1694" s="145"/>
      <c r="Z1694" s="177"/>
      <c r="AA1694" s="178"/>
      <c r="AB1694" s="139"/>
      <c r="AC1694" s="173"/>
      <c r="AD1694" s="177"/>
      <c r="AE1694" s="177"/>
      <c r="AF1694" s="139"/>
      <c r="AG1694" s="139"/>
      <c r="AH1694" s="177"/>
      <c r="AI1694" s="178"/>
      <c r="AJ1694" s="139"/>
      <c r="AK1694" s="173"/>
      <c r="AL1694" s="177"/>
      <c r="AM1694" s="178"/>
      <c r="AN1694" s="173"/>
      <c r="AO1694" s="173"/>
      <c r="AP1694" s="173"/>
      <c r="AQ1694" s="178"/>
      <c r="AR1694" s="173"/>
      <c r="AS1694" s="173"/>
      <c r="AT1694" s="140"/>
      <c r="AX1694" s="140"/>
      <c r="BB1694" s="173"/>
      <c r="BC1694" s="173"/>
    </row>
    <row r="1695" spans="2:55" s="134" customFormat="1" x14ac:dyDescent="0.2">
      <c r="B1695" s="145"/>
      <c r="D1695" s="145"/>
      <c r="Z1695" s="177"/>
      <c r="AA1695" s="178"/>
      <c r="AB1695" s="139"/>
      <c r="AC1695" s="173"/>
      <c r="AD1695" s="177"/>
      <c r="AE1695" s="177"/>
      <c r="AF1695" s="139"/>
      <c r="AG1695" s="139"/>
      <c r="AH1695" s="177"/>
      <c r="AI1695" s="178"/>
      <c r="AJ1695" s="139"/>
      <c r="AK1695" s="173"/>
      <c r="AL1695" s="177"/>
      <c r="AM1695" s="178"/>
      <c r="AN1695" s="173"/>
      <c r="AO1695" s="173"/>
      <c r="AP1695" s="173"/>
      <c r="AQ1695" s="178"/>
      <c r="AR1695" s="173"/>
      <c r="AS1695" s="173"/>
      <c r="AT1695" s="140"/>
      <c r="AX1695" s="140"/>
      <c r="BB1695" s="173"/>
      <c r="BC1695" s="173"/>
    </row>
    <row r="1696" spans="2:55" s="134" customFormat="1" x14ac:dyDescent="0.2">
      <c r="B1696" s="145"/>
      <c r="D1696" s="145"/>
      <c r="Z1696" s="177"/>
      <c r="AA1696" s="178"/>
      <c r="AB1696" s="139"/>
      <c r="AC1696" s="173"/>
      <c r="AD1696" s="177"/>
      <c r="AE1696" s="177"/>
      <c r="AF1696" s="139"/>
      <c r="AG1696" s="139"/>
      <c r="AH1696" s="177"/>
      <c r="AI1696" s="178"/>
      <c r="AJ1696" s="139"/>
      <c r="AK1696" s="173"/>
      <c r="AL1696" s="177"/>
      <c r="AM1696" s="178"/>
      <c r="AN1696" s="173"/>
      <c r="AO1696" s="173"/>
      <c r="AP1696" s="173"/>
      <c r="AQ1696" s="178"/>
      <c r="AR1696" s="173"/>
      <c r="AS1696" s="173"/>
      <c r="AT1696" s="140"/>
      <c r="AX1696" s="140"/>
      <c r="BB1696" s="173"/>
      <c r="BC1696" s="173"/>
    </row>
    <row r="1697" spans="2:55" s="134" customFormat="1" x14ac:dyDescent="0.2">
      <c r="B1697" s="145"/>
      <c r="D1697" s="145"/>
      <c r="Z1697" s="177"/>
      <c r="AA1697" s="178"/>
      <c r="AB1697" s="139"/>
      <c r="AC1697" s="173"/>
      <c r="AD1697" s="177"/>
      <c r="AE1697" s="177"/>
      <c r="AF1697" s="139"/>
      <c r="AG1697" s="139"/>
      <c r="AH1697" s="177"/>
      <c r="AI1697" s="178"/>
      <c r="AJ1697" s="139"/>
      <c r="AK1697" s="173"/>
      <c r="AL1697" s="177"/>
      <c r="AM1697" s="178"/>
      <c r="AN1697" s="173"/>
      <c r="AO1697" s="173"/>
      <c r="AP1697" s="173"/>
      <c r="AQ1697" s="178"/>
      <c r="AR1697" s="173"/>
      <c r="AS1697" s="173"/>
      <c r="AT1697" s="140"/>
      <c r="AX1697" s="140"/>
      <c r="BB1697" s="173"/>
      <c r="BC1697" s="173"/>
    </row>
    <row r="1698" spans="2:55" s="134" customFormat="1" x14ac:dyDescent="0.2">
      <c r="B1698" s="145"/>
      <c r="D1698" s="145"/>
      <c r="Z1698" s="177"/>
      <c r="AA1698" s="178"/>
      <c r="AB1698" s="139"/>
      <c r="AC1698" s="173"/>
      <c r="AD1698" s="177"/>
      <c r="AE1698" s="177"/>
      <c r="AF1698" s="139"/>
      <c r="AG1698" s="139"/>
      <c r="AH1698" s="177"/>
      <c r="AI1698" s="178"/>
      <c r="AJ1698" s="139"/>
      <c r="AK1698" s="173"/>
      <c r="AL1698" s="177"/>
      <c r="AM1698" s="178"/>
      <c r="AN1698" s="173"/>
      <c r="AO1698" s="173"/>
      <c r="AP1698" s="173"/>
      <c r="AQ1698" s="178"/>
      <c r="AR1698" s="173"/>
      <c r="AS1698" s="173"/>
      <c r="AT1698" s="140"/>
      <c r="AX1698" s="140"/>
      <c r="BB1698" s="173"/>
      <c r="BC1698" s="173"/>
    </row>
    <row r="1699" spans="2:55" s="134" customFormat="1" x14ac:dyDescent="0.2">
      <c r="B1699" s="145"/>
      <c r="D1699" s="145"/>
      <c r="Z1699" s="177"/>
      <c r="AA1699" s="178"/>
      <c r="AB1699" s="139"/>
      <c r="AC1699" s="173"/>
      <c r="AD1699" s="177"/>
      <c r="AE1699" s="177"/>
      <c r="AF1699" s="139"/>
      <c r="AG1699" s="139"/>
      <c r="AH1699" s="177"/>
      <c r="AI1699" s="178"/>
      <c r="AJ1699" s="139"/>
      <c r="AK1699" s="173"/>
      <c r="AL1699" s="177"/>
      <c r="AM1699" s="178"/>
      <c r="AN1699" s="173"/>
      <c r="AO1699" s="173"/>
      <c r="AP1699" s="173"/>
      <c r="AQ1699" s="178"/>
      <c r="AR1699" s="173"/>
      <c r="AS1699" s="173"/>
      <c r="AT1699" s="140"/>
      <c r="AX1699" s="140"/>
      <c r="BB1699" s="173"/>
      <c r="BC1699" s="173"/>
    </row>
    <row r="1700" spans="2:55" s="134" customFormat="1" x14ac:dyDescent="0.2">
      <c r="B1700" s="145"/>
      <c r="D1700" s="145"/>
      <c r="Z1700" s="177"/>
      <c r="AA1700" s="178"/>
      <c r="AB1700" s="139"/>
      <c r="AC1700" s="173"/>
      <c r="AD1700" s="177"/>
      <c r="AE1700" s="177"/>
      <c r="AF1700" s="139"/>
      <c r="AG1700" s="139"/>
      <c r="AH1700" s="177"/>
      <c r="AI1700" s="178"/>
      <c r="AJ1700" s="139"/>
      <c r="AK1700" s="173"/>
      <c r="AL1700" s="177"/>
      <c r="AM1700" s="178"/>
      <c r="AN1700" s="173"/>
      <c r="AO1700" s="173"/>
      <c r="AP1700" s="173"/>
      <c r="AQ1700" s="178"/>
      <c r="AR1700" s="173"/>
      <c r="AS1700" s="173"/>
      <c r="AT1700" s="140"/>
      <c r="AX1700" s="140"/>
      <c r="BB1700" s="173"/>
      <c r="BC1700" s="173"/>
    </row>
    <row r="1701" spans="2:55" s="134" customFormat="1" x14ac:dyDescent="0.2">
      <c r="B1701" s="145"/>
      <c r="D1701" s="145"/>
      <c r="Z1701" s="177"/>
      <c r="AA1701" s="178"/>
      <c r="AB1701" s="139"/>
      <c r="AC1701" s="173"/>
      <c r="AD1701" s="177"/>
      <c r="AE1701" s="177"/>
      <c r="AF1701" s="139"/>
      <c r="AG1701" s="139"/>
      <c r="AH1701" s="177"/>
      <c r="AI1701" s="178"/>
      <c r="AJ1701" s="139"/>
      <c r="AK1701" s="173"/>
      <c r="AL1701" s="177"/>
      <c r="AM1701" s="178"/>
      <c r="AN1701" s="173"/>
      <c r="AO1701" s="173"/>
      <c r="AP1701" s="173"/>
      <c r="AQ1701" s="178"/>
      <c r="AR1701" s="173"/>
      <c r="AS1701" s="173"/>
      <c r="AT1701" s="140"/>
      <c r="AX1701" s="140"/>
      <c r="BB1701" s="173"/>
      <c r="BC1701" s="173"/>
    </row>
    <row r="1702" spans="2:55" s="134" customFormat="1" x14ac:dyDescent="0.2">
      <c r="B1702" s="145"/>
      <c r="D1702" s="145"/>
      <c r="Z1702" s="177"/>
      <c r="AA1702" s="178"/>
      <c r="AB1702" s="139"/>
      <c r="AC1702" s="173"/>
      <c r="AD1702" s="177"/>
      <c r="AE1702" s="177"/>
      <c r="AF1702" s="139"/>
      <c r="AG1702" s="139"/>
      <c r="AH1702" s="177"/>
      <c r="AI1702" s="178"/>
      <c r="AJ1702" s="139"/>
      <c r="AK1702" s="173"/>
      <c r="AL1702" s="177"/>
      <c r="AM1702" s="178"/>
      <c r="AN1702" s="173"/>
      <c r="AO1702" s="173"/>
      <c r="AP1702" s="173"/>
      <c r="AQ1702" s="178"/>
      <c r="AR1702" s="173"/>
      <c r="AS1702" s="173"/>
      <c r="AT1702" s="140"/>
      <c r="AX1702" s="140"/>
      <c r="BB1702" s="173"/>
      <c r="BC1702" s="173"/>
    </row>
    <row r="1703" spans="2:55" s="134" customFormat="1" x14ac:dyDescent="0.2">
      <c r="B1703" s="145"/>
      <c r="D1703" s="145"/>
      <c r="Z1703" s="177"/>
      <c r="AA1703" s="178"/>
      <c r="AB1703" s="139"/>
      <c r="AC1703" s="173"/>
      <c r="AD1703" s="177"/>
      <c r="AE1703" s="177"/>
      <c r="AF1703" s="139"/>
      <c r="AG1703" s="139"/>
      <c r="AH1703" s="177"/>
      <c r="AI1703" s="178"/>
      <c r="AJ1703" s="139"/>
      <c r="AK1703" s="173"/>
      <c r="AL1703" s="177"/>
      <c r="AM1703" s="178"/>
      <c r="AN1703" s="173"/>
      <c r="AO1703" s="173"/>
      <c r="AP1703" s="173"/>
      <c r="AQ1703" s="178"/>
      <c r="AR1703" s="173"/>
      <c r="AS1703" s="173"/>
      <c r="AT1703" s="140"/>
      <c r="AX1703" s="140"/>
      <c r="BB1703" s="173"/>
      <c r="BC1703" s="173"/>
    </row>
    <row r="1704" spans="2:55" s="134" customFormat="1" x14ac:dyDescent="0.2">
      <c r="B1704" s="145"/>
      <c r="D1704" s="145"/>
      <c r="Z1704" s="177"/>
      <c r="AA1704" s="178"/>
      <c r="AB1704" s="139"/>
      <c r="AC1704" s="173"/>
      <c r="AD1704" s="177"/>
      <c r="AE1704" s="177"/>
      <c r="AF1704" s="139"/>
      <c r="AG1704" s="139"/>
      <c r="AH1704" s="177"/>
      <c r="AI1704" s="178"/>
      <c r="AJ1704" s="139"/>
      <c r="AK1704" s="173"/>
      <c r="AL1704" s="177"/>
      <c r="AM1704" s="178"/>
      <c r="AN1704" s="173"/>
      <c r="AO1704" s="173"/>
      <c r="AP1704" s="173"/>
      <c r="AQ1704" s="178"/>
      <c r="AR1704" s="173"/>
      <c r="AS1704" s="173"/>
      <c r="AT1704" s="140"/>
      <c r="AX1704" s="140"/>
      <c r="BB1704" s="173"/>
      <c r="BC1704" s="173"/>
    </row>
    <row r="1705" spans="2:55" s="134" customFormat="1" x14ac:dyDescent="0.2">
      <c r="B1705" s="145"/>
      <c r="D1705" s="145"/>
      <c r="Z1705" s="177"/>
      <c r="AA1705" s="178"/>
      <c r="AB1705" s="139"/>
      <c r="AC1705" s="173"/>
      <c r="AD1705" s="177"/>
      <c r="AE1705" s="177"/>
      <c r="AF1705" s="139"/>
      <c r="AG1705" s="139"/>
      <c r="AH1705" s="177"/>
      <c r="AI1705" s="178"/>
      <c r="AJ1705" s="139"/>
      <c r="AK1705" s="173"/>
      <c r="AL1705" s="177"/>
      <c r="AM1705" s="178"/>
      <c r="AN1705" s="173"/>
      <c r="AO1705" s="173"/>
      <c r="AP1705" s="173"/>
      <c r="AQ1705" s="178"/>
      <c r="AR1705" s="173"/>
      <c r="AS1705" s="173"/>
      <c r="AT1705" s="140"/>
      <c r="AX1705" s="140"/>
      <c r="BB1705" s="173"/>
      <c r="BC1705" s="173"/>
    </row>
    <row r="1706" spans="2:55" s="134" customFormat="1" x14ac:dyDescent="0.2">
      <c r="B1706" s="145"/>
      <c r="D1706" s="145"/>
      <c r="Z1706" s="177"/>
      <c r="AA1706" s="178"/>
      <c r="AB1706" s="139"/>
      <c r="AC1706" s="173"/>
      <c r="AD1706" s="177"/>
      <c r="AE1706" s="177"/>
      <c r="AF1706" s="139"/>
      <c r="AG1706" s="139"/>
      <c r="AH1706" s="177"/>
      <c r="AI1706" s="178"/>
      <c r="AJ1706" s="139"/>
      <c r="AK1706" s="173"/>
      <c r="AL1706" s="177"/>
      <c r="AM1706" s="178"/>
      <c r="AN1706" s="173"/>
      <c r="AO1706" s="173"/>
      <c r="AP1706" s="173"/>
      <c r="AQ1706" s="178"/>
      <c r="AR1706" s="173"/>
      <c r="AS1706" s="173"/>
      <c r="AT1706" s="140"/>
      <c r="AX1706" s="140"/>
      <c r="BB1706" s="173"/>
      <c r="BC1706" s="173"/>
    </row>
    <row r="1707" spans="2:55" s="134" customFormat="1" x14ac:dyDescent="0.2">
      <c r="B1707" s="145"/>
      <c r="D1707" s="145"/>
      <c r="Z1707" s="177"/>
      <c r="AA1707" s="178"/>
      <c r="AB1707" s="139"/>
      <c r="AC1707" s="173"/>
      <c r="AD1707" s="177"/>
      <c r="AE1707" s="177"/>
      <c r="AF1707" s="139"/>
      <c r="AG1707" s="139"/>
      <c r="AH1707" s="177"/>
      <c r="AI1707" s="178"/>
      <c r="AJ1707" s="139"/>
      <c r="AK1707" s="173"/>
      <c r="AL1707" s="177"/>
      <c r="AM1707" s="178"/>
      <c r="AN1707" s="173"/>
      <c r="AO1707" s="173"/>
      <c r="AP1707" s="173"/>
      <c r="AQ1707" s="178"/>
      <c r="AR1707" s="173"/>
      <c r="AS1707" s="173"/>
      <c r="AT1707" s="140"/>
      <c r="AX1707" s="140"/>
      <c r="BB1707" s="173"/>
      <c r="BC1707" s="173"/>
    </row>
    <row r="1708" spans="2:55" s="134" customFormat="1" x14ac:dyDescent="0.2">
      <c r="B1708" s="145"/>
      <c r="D1708" s="145"/>
      <c r="Z1708" s="177"/>
      <c r="AA1708" s="178"/>
      <c r="AB1708" s="139"/>
      <c r="AC1708" s="173"/>
      <c r="AD1708" s="177"/>
      <c r="AE1708" s="177"/>
      <c r="AF1708" s="139"/>
      <c r="AG1708" s="139"/>
      <c r="AH1708" s="177"/>
      <c r="AI1708" s="178"/>
      <c r="AJ1708" s="139"/>
      <c r="AK1708" s="173"/>
      <c r="AL1708" s="177"/>
      <c r="AM1708" s="178"/>
      <c r="AN1708" s="173"/>
      <c r="AO1708" s="173"/>
      <c r="AP1708" s="173"/>
      <c r="AQ1708" s="178"/>
      <c r="AR1708" s="173"/>
      <c r="AS1708" s="173"/>
      <c r="AT1708" s="140"/>
      <c r="AX1708" s="140"/>
      <c r="BB1708" s="173"/>
      <c r="BC1708" s="173"/>
    </row>
    <row r="1709" spans="2:55" s="134" customFormat="1" x14ac:dyDescent="0.2">
      <c r="B1709" s="145"/>
      <c r="D1709" s="145"/>
      <c r="Z1709" s="177"/>
      <c r="AA1709" s="178"/>
      <c r="AB1709" s="139"/>
      <c r="AC1709" s="173"/>
      <c r="AD1709" s="177"/>
      <c r="AE1709" s="177"/>
      <c r="AF1709" s="139"/>
      <c r="AG1709" s="139"/>
      <c r="AH1709" s="177"/>
      <c r="AI1709" s="178"/>
      <c r="AJ1709" s="139"/>
      <c r="AK1709" s="173"/>
      <c r="AL1709" s="177"/>
      <c r="AM1709" s="178"/>
      <c r="AN1709" s="173"/>
      <c r="AO1709" s="173"/>
      <c r="AP1709" s="173"/>
      <c r="AQ1709" s="178"/>
      <c r="AR1709" s="173"/>
      <c r="AS1709" s="173"/>
      <c r="AT1709" s="140"/>
      <c r="AX1709" s="140"/>
      <c r="BB1709" s="173"/>
      <c r="BC1709" s="173"/>
    </row>
    <row r="1710" spans="2:55" s="134" customFormat="1" x14ac:dyDescent="0.2">
      <c r="B1710" s="145"/>
      <c r="D1710" s="145"/>
      <c r="Z1710" s="177"/>
      <c r="AA1710" s="178"/>
      <c r="AB1710" s="139"/>
      <c r="AC1710" s="173"/>
      <c r="AD1710" s="177"/>
      <c r="AE1710" s="177"/>
      <c r="AF1710" s="139"/>
      <c r="AG1710" s="139"/>
      <c r="AH1710" s="177"/>
      <c r="AI1710" s="178"/>
      <c r="AJ1710" s="139"/>
      <c r="AK1710" s="173"/>
      <c r="AL1710" s="177"/>
      <c r="AM1710" s="178"/>
      <c r="AN1710" s="173"/>
      <c r="AO1710" s="173"/>
      <c r="AP1710" s="173"/>
      <c r="AQ1710" s="178"/>
      <c r="AR1710" s="173"/>
      <c r="AS1710" s="173"/>
      <c r="AT1710" s="140"/>
      <c r="AX1710" s="140"/>
      <c r="BB1710" s="173"/>
      <c r="BC1710" s="173"/>
    </row>
    <row r="1711" spans="2:55" s="134" customFormat="1" x14ac:dyDescent="0.2">
      <c r="B1711" s="145"/>
      <c r="D1711" s="145"/>
      <c r="Z1711" s="177"/>
      <c r="AA1711" s="178"/>
      <c r="AB1711" s="139"/>
      <c r="AC1711" s="173"/>
      <c r="AD1711" s="177"/>
      <c r="AE1711" s="177"/>
      <c r="AF1711" s="139"/>
      <c r="AG1711" s="139"/>
      <c r="AH1711" s="177"/>
      <c r="AI1711" s="178"/>
      <c r="AJ1711" s="139"/>
      <c r="AK1711" s="173"/>
      <c r="AL1711" s="177"/>
      <c r="AM1711" s="178"/>
      <c r="AN1711" s="173"/>
      <c r="AO1711" s="173"/>
      <c r="AP1711" s="173"/>
      <c r="AQ1711" s="178"/>
      <c r="AR1711" s="173"/>
      <c r="AS1711" s="173"/>
      <c r="AT1711" s="140"/>
      <c r="AX1711" s="140"/>
      <c r="BB1711" s="173"/>
      <c r="BC1711" s="173"/>
    </row>
    <row r="1712" spans="2:55" s="134" customFormat="1" x14ac:dyDescent="0.2">
      <c r="B1712" s="145"/>
      <c r="D1712" s="145"/>
      <c r="Z1712" s="177"/>
      <c r="AA1712" s="178"/>
      <c r="AB1712" s="139"/>
      <c r="AC1712" s="173"/>
      <c r="AD1712" s="177"/>
      <c r="AE1712" s="177"/>
      <c r="AF1712" s="139"/>
      <c r="AG1712" s="139"/>
      <c r="AH1712" s="177"/>
      <c r="AI1712" s="178"/>
      <c r="AJ1712" s="139"/>
      <c r="AK1712" s="173"/>
      <c r="AL1712" s="177"/>
      <c r="AM1712" s="178"/>
      <c r="AN1712" s="173"/>
      <c r="AO1712" s="173"/>
      <c r="AP1712" s="173"/>
      <c r="AQ1712" s="178"/>
      <c r="AR1712" s="173"/>
      <c r="AS1712" s="173"/>
      <c r="AT1712" s="140"/>
      <c r="AX1712" s="140"/>
      <c r="BB1712" s="173"/>
      <c r="BC1712" s="173"/>
    </row>
    <row r="1713" spans="2:55" s="134" customFormat="1" x14ac:dyDescent="0.2">
      <c r="B1713" s="145"/>
      <c r="D1713" s="145"/>
      <c r="Z1713" s="177"/>
      <c r="AA1713" s="178"/>
      <c r="AB1713" s="139"/>
      <c r="AC1713" s="173"/>
      <c r="AD1713" s="177"/>
      <c r="AE1713" s="177"/>
      <c r="AF1713" s="139"/>
      <c r="AG1713" s="139"/>
      <c r="AH1713" s="177"/>
      <c r="AI1713" s="178"/>
      <c r="AJ1713" s="139"/>
      <c r="AK1713" s="173"/>
      <c r="AL1713" s="177"/>
      <c r="AM1713" s="178"/>
      <c r="AN1713" s="173"/>
      <c r="AO1713" s="173"/>
      <c r="AP1713" s="173"/>
      <c r="AQ1713" s="178"/>
      <c r="AR1713" s="173"/>
      <c r="AS1713" s="173"/>
      <c r="AT1713" s="140"/>
      <c r="AX1713" s="140"/>
      <c r="BB1713" s="173"/>
      <c r="BC1713" s="173"/>
    </row>
    <row r="1714" spans="2:55" s="134" customFormat="1" x14ac:dyDescent="0.2">
      <c r="B1714" s="145"/>
      <c r="D1714" s="145"/>
      <c r="Z1714" s="177"/>
      <c r="AA1714" s="178"/>
      <c r="AB1714" s="139"/>
      <c r="AC1714" s="173"/>
      <c r="AD1714" s="177"/>
      <c r="AE1714" s="177"/>
      <c r="AF1714" s="139"/>
      <c r="AG1714" s="139"/>
      <c r="AH1714" s="177"/>
      <c r="AI1714" s="178"/>
      <c r="AJ1714" s="139"/>
      <c r="AK1714" s="173"/>
      <c r="AL1714" s="177"/>
      <c r="AM1714" s="178"/>
      <c r="AN1714" s="173"/>
      <c r="AO1714" s="173"/>
      <c r="AP1714" s="173"/>
      <c r="AQ1714" s="178"/>
      <c r="AR1714" s="173"/>
      <c r="AS1714" s="173"/>
      <c r="AT1714" s="140"/>
      <c r="AX1714" s="140"/>
      <c r="BB1714" s="173"/>
      <c r="BC1714" s="173"/>
    </row>
    <row r="1715" spans="2:55" s="134" customFormat="1" x14ac:dyDescent="0.2">
      <c r="B1715" s="145"/>
      <c r="D1715" s="145"/>
      <c r="Z1715" s="177"/>
      <c r="AA1715" s="178"/>
      <c r="AB1715" s="139"/>
      <c r="AC1715" s="173"/>
      <c r="AD1715" s="177"/>
      <c r="AE1715" s="177"/>
      <c r="AF1715" s="139"/>
      <c r="AG1715" s="139"/>
      <c r="AH1715" s="177"/>
      <c r="AI1715" s="178"/>
      <c r="AJ1715" s="139"/>
      <c r="AK1715" s="173"/>
      <c r="AL1715" s="177"/>
      <c r="AM1715" s="178"/>
      <c r="AN1715" s="173"/>
      <c r="AO1715" s="173"/>
      <c r="AP1715" s="173"/>
      <c r="AQ1715" s="178"/>
      <c r="AR1715" s="173"/>
      <c r="AS1715" s="173"/>
      <c r="AT1715" s="140"/>
      <c r="AX1715" s="140"/>
      <c r="BB1715" s="173"/>
      <c r="BC1715" s="173"/>
    </row>
    <row r="1716" spans="2:55" s="134" customFormat="1" x14ac:dyDescent="0.2">
      <c r="B1716" s="145"/>
      <c r="D1716" s="145"/>
      <c r="Z1716" s="177"/>
      <c r="AA1716" s="178"/>
      <c r="AB1716" s="139"/>
      <c r="AC1716" s="173"/>
      <c r="AD1716" s="177"/>
      <c r="AE1716" s="177"/>
      <c r="AF1716" s="139"/>
      <c r="AG1716" s="139"/>
      <c r="AH1716" s="177"/>
      <c r="AI1716" s="178"/>
      <c r="AJ1716" s="139"/>
      <c r="AK1716" s="173"/>
      <c r="AL1716" s="177"/>
      <c r="AM1716" s="178"/>
      <c r="AN1716" s="173"/>
      <c r="AO1716" s="173"/>
      <c r="AP1716" s="173"/>
      <c r="AQ1716" s="178"/>
      <c r="AR1716" s="173"/>
      <c r="AS1716" s="173"/>
      <c r="AT1716" s="140"/>
      <c r="AX1716" s="140"/>
      <c r="BB1716" s="173"/>
      <c r="BC1716" s="173"/>
    </row>
    <row r="1717" spans="2:55" s="134" customFormat="1" x14ac:dyDescent="0.2">
      <c r="B1717" s="145"/>
      <c r="D1717" s="145"/>
      <c r="Z1717" s="177"/>
      <c r="AA1717" s="178"/>
      <c r="AB1717" s="139"/>
      <c r="AC1717" s="173"/>
      <c r="AD1717" s="177"/>
      <c r="AE1717" s="177"/>
      <c r="AF1717" s="139"/>
      <c r="AG1717" s="139"/>
      <c r="AH1717" s="177"/>
      <c r="AI1717" s="178"/>
      <c r="AJ1717" s="139"/>
      <c r="AK1717" s="173"/>
      <c r="AL1717" s="177"/>
      <c r="AM1717" s="178"/>
      <c r="AN1717" s="173"/>
      <c r="AO1717" s="173"/>
      <c r="AP1717" s="173"/>
      <c r="AQ1717" s="178"/>
      <c r="AR1717" s="173"/>
      <c r="AS1717" s="173"/>
      <c r="AT1717" s="140"/>
      <c r="AX1717" s="140"/>
      <c r="BB1717" s="173"/>
      <c r="BC1717" s="173"/>
    </row>
    <row r="1718" spans="2:55" s="134" customFormat="1" x14ac:dyDescent="0.2">
      <c r="B1718" s="145"/>
      <c r="D1718" s="145"/>
      <c r="Z1718" s="177"/>
      <c r="AA1718" s="178"/>
      <c r="AB1718" s="139"/>
      <c r="AC1718" s="173"/>
      <c r="AD1718" s="177"/>
      <c r="AE1718" s="177"/>
      <c r="AF1718" s="139"/>
      <c r="AG1718" s="139"/>
      <c r="AH1718" s="177"/>
      <c r="AI1718" s="178"/>
      <c r="AJ1718" s="139"/>
      <c r="AK1718" s="173"/>
      <c r="AL1718" s="177"/>
      <c r="AM1718" s="178"/>
      <c r="AN1718" s="173"/>
      <c r="AO1718" s="173"/>
      <c r="AP1718" s="173"/>
      <c r="AQ1718" s="178"/>
      <c r="AR1718" s="173"/>
      <c r="AS1718" s="173"/>
      <c r="AT1718" s="140"/>
      <c r="AX1718" s="140"/>
      <c r="BB1718" s="173"/>
      <c r="BC1718" s="173"/>
    </row>
    <row r="1719" spans="2:55" s="134" customFormat="1" x14ac:dyDescent="0.2">
      <c r="B1719" s="145"/>
      <c r="D1719" s="145"/>
      <c r="Z1719" s="177"/>
      <c r="AA1719" s="178"/>
      <c r="AB1719" s="139"/>
      <c r="AC1719" s="173"/>
      <c r="AD1719" s="177"/>
      <c r="AE1719" s="177"/>
      <c r="AF1719" s="139"/>
      <c r="AG1719" s="139"/>
      <c r="AH1719" s="177"/>
      <c r="AI1719" s="178"/>
      <c r="AJ1719" s="139"/>
      <c r="AK1719" s="173"/>
      <c r="AL1719" s="177"/>
      <c r="AM1719" s="178"/>
      <c r="AN1719" s="173"/>
      <c r="AO1719" s="173"/>
      <c r="AP1719" s="173"/>
      <c r="AQ1719" s="178"/>
      <c r="AR1719" s="173"/>
      <c r="AS1719" s="173"/>
      <c r="AT1719" s="140"/>
      <c r="AX1719" s="140"/>
      <c r="BB1719" s="173"/>
      <c r="BC1719" s="173"/>
    </row>
    <row r="1720" spans="2:55" s="134" customFormat="1" x14ac:dyDescent="0.2">
      <c r="B1720" s="145"/>
      <c r="D1720" s="145"/>
      <c r="Z1720" s="177"/>
      <c r="AA1720" s="178"/>
      <c r="AB1720" s="139"/>
      <c r="AC1720" s="173"/>
      <c r="AD1720" s="177"/>
      <c r="AE1720" s="177"/>
      <c r="AF1720" s="139"/>
      <c r="AG1720" s="139"/>
      <c r="AH1720" s="177"/>
      <c r="AI1720" s="178"/>
      <c r="AJ1720" s="139"/>
      <c r="AK1720" s="173"/>
      <c r="AL1720" s="177"/>
      <c r="AM1720" s="178"/>
      <c r="AN1720" s="173"/>
      <c r="AO1720" s="173"/>
      <c r="AP1720" s="173"/>
      <c r="AQ1720" s="178"/>
      <c r="AR1720" s="173"/>
      <c r="AS1720" s="173"/>
      <c r="AT1720" s="140"/>
      <c r="AX1720" s="140"/>
      <c r="BB1720" s="173"/>
      <c r="BC1720" s="173"/>
    </row>
    <row r="1721" spans="2:55" s="134" customFormat="1" x14ac:dyDescent="0.2">
      <c r="B1721" s="145"/>
      <c r="D1721" s="145"/>
      <c r="Z1721" s="177"/>
      <c r="AA1721" s="178"/>
      <c r="AB1721" s="139"/>
      <c r="AC1721" s="173"/>
      <c r="AD1721" s="177"/>
      <c r="AE1721" s="177"/>
      <c r="AF1721" s="139"/>
      <c r="AG1721" s="139"/>
      <c r="AH1721" s="177"/>
      <c r="AI1721" s="178"/>
      <c r="AJ1721" s="139"/>
      <c r="AK1721" s="173"/>
      <c r="AL1721" s="177"/>
      <c r="AM1721" s="178"/>
      <c r="AN1721" s="173"/>
      <c r="AO1721" s="173"/>
      <c r="AP1721" s="173"/>
      <c r="AQ1721" s="178"/>
      <c r="AR1721" s="173"/>
      <c r="AS1721" s="173"/>
      <c r="AT1721" s="140"/>
      <c r="AX1721" s="140"/>
      <c r="BB1721" s="173"/>
      <c r="BC1721" s="173"/>
    </row>
    <row r="1722" spans="2:55" s="134" customFormat="1" x14ac:dyDescent="0.2">
      <c r="B1722" s="145"/>
      <c r="D1722" s="145"/>
      <c r="Z1722" s="177"/>
      <c r="AA1722" s="178"/>
      <c r="AB1722" s="139"/>
      <c r="AC1722" s="173"/>
      <c r="AD1722" s="177"/>
      <c r="AE1722" s="177"/>
      <c r="AF1722" s="139"/>
      <c r="AG1722" s="139"/>
      <c r="AH1722" s="177"/>
      <c r="AI1722" s="178"/>
      <c r="AJ1722" s="139"/>
      <c r="AK1722" s="173"/>
      <c r="AL1722" s="177"/>
      <c r="AM1722" s="178"/>
      <c r="AN1722" s="173"/>
      <c r="AO1722" s="173"/>
      <c r="AP1722" s="173"/>
      <c r="AQ1722" s="178"/>
      <c r="AR1722" s="173"/>
      <c r="AS1722" s="173"/>
      <c r="AT1722" s="140"/>
      <c r="AX1722" s="140"/>
      <c r="BB1722" s="173"/>
      <c r="BC1722" s="173"/>
    </row>
    <row r="1723" spans="2:55" s="134" customFormat="1" x14ac:dyDescent="0.2">
      <c r="B1723" s="145"/>
      <c r="D1723" s="145"/>
      <c r="Z1723" s="177"/>
      <c r="AA1723" s="178"/>
      <c r="AB1723" s="139"/>
      <c r="AC1723" s="173"/>
      <c r="AD1723" s="177"/>
      <c r="AE1723" s="177"/>
      <c r="AF1723" s="139"/>
      <c r="AG1723" s="139"/>
      <c r="AH1723" s="177"/>
      <c r="AI1723" s="178"/>
      <c r="AJ1723" s="139"/>
      <c r="AK1723" s="173"/>
      <c r="AL1723" s="177"/>
      <c r="AM1723" s="178"/>
      <c r="AN1723" s="173"/>
      <c r="AO1723" s="173"/>
      <c r="AP1723" s="173"/>
      <c r="AQ1723" s="178"/>
      <c r="AR1723" s="173"/>
      <c r="AS1723" s="173"/>
      <c r="AT1723" s="140"/>
      <c r="AX1723" s="140"/>
      <c r="BB1723" s="173"/>
      <c r="BC1723" s="173"/>
    </row>
    <row r="1724" spans="2:55" s="134" customFormat="1" x14ac:dyDescent="0.2">
      <c r="B1724" s="145"/>
      <c r="D1724" s="145"/>
      <c r="Z1724" s="177"/>
      <c r="AA1724" s="178"/>
      <c r="AB1724" s="139"/>
      <c r="AC1724" s="173"/>
      <c r="AD1724" s="177"/>
      <c r="AE1724" s="177"/>
      <c r="AF1724" s="139"/>
      <c r="AG1724" s="139"/>
      <c r="AH1724" s="177"/>
      <c r="AI1724" s="178"/>
      <c r="AJ1724" s="139"/>
      <c r="AK1724" s="173"/>
      <c r="AL1724" s="177"/>
      <c r="AM1724" s="178"/>
      <c r="AN1724" s="173"/>
      <c r="AO1724" s="173"/>
      <c r="AP1724" s="173"/>
      <c r="AQ1724" s="178"/>
      <c r="AR1724" s="173"/>
      <c r="AS1724" s="173"/>
      <c r="AT1724" s="140"/>
      <c r="AX1724" s="140"/>
      <c r="BB1724" s="173"/>
      <c r="BC1724" s="173"/>
    </row>
    <row r="1725" spans="2:55" s="134" customFormat="1" x14ac:dyDescent="0.2">
      <c r="B1725" s="145"/>
      <c r="D1725" s="145"/>
      <c r="Z1725" s="177"/>
      <c r="AA1725" s="178"/>
      <c r="AB1725" s="139"/>
      <c r="AC1725" s="173"/>
      <c r="AD1725" s="177"/>
      <c r="AE1725" s="177"/>
      <c r="AF1725" s="139"/>
      <c r="AG1725" s="139"/>
      <c r="AH1725" s="177"/>
      <c r="AI1725" s="178"/>
      <c r="AJ1725" s="139"/>
      <c r="AK1725" s="173"/>
      <c r="AL1725" s="177"/>
      <c r="AM1725" s="178"/>
      <c r="AN1725" s="173"/>
      <c r="AO1725" s="173"/>
      <c r="AP1725" s="173"/>
      <c r="AQ1725" s="178"/>
      <c r="AR1725" s="173"/>
      <c r="AS1725" s="173"/>
      <c r="AT1725" s="140"/>
      <c r="AX1725" s="140"/>
      <c r="BB1725" s="173"/>
      <c r="BC1725" s="173"/>
    </row>
    <row r="1726" spans="2:55" s="134" customFormat="1" x14ac:dyDescent="0.2">
      <c r="B1726" s="145"/>
      <c r="D1726" s="145"/>
      <c r="Z1726" s="177"/>
      <c r="AA1726" s="178"/>
      <c r="AB1726" s="139"/>
      <c r="AC1726" s="173"/>
      <c r="AD1726" s="177"/>
      <c r="AE1726" s="177"/>
      <c r="AF1726" s="139"/>
      <c r="AG1726" s="139"/>
      <c r="AH1726" s="177"/>
      <c r="AI1726" s="178"/>
      <c r="AJ1726" s="139"/>
      <c r="AK1726" s="173"/>
      <c r="AL1726" s="177"/>
      <c r="AM1726" s="178"/>
      <c r="AN1726" s="173"/>
      <c r="AO1726" s="173"/>
      <c r="AP1726" s="173"/>
      <c r="AQ1726" s="178"/>
      <c r="AR1726" s="173"/>
      <c r="AS1726" s="173"/>
      <c r="AT1726" s="140"/>
      <c r="AX1726" s="140"/>
      <c r="BB1726" s="173"/>
      <c r="BC1726" s="173"/>
    </row>
    <row r="1727" spans="2:55" s="134" customFormat="1" x14ac:dyDescent="0.2">
      <c r="B1727" s="145"/>
      <c r="D1727" s="145"/>
      <c r="Z1727" s="177"/>
      <c r="AA1727" s="178"/>
      <c r="AB1727" s="139"/>
      <c r="AC1727" s="173"/>
      <c r="AD1727" s="177"/>
      <c r="AE1727" s="177"/>
      <c r="AF1727" s="139"/>
      <c r="AG1727" s="139"/>
      <c r="AH1727" s="177"/>
      <c r="AI1727" s="178"/>
      <c r="AJ1727" s="139"/>
      <c r="AK1727" s="173"/>
      <c r="AL1727" s="177"/>
      <c r="AM1727" s="178"/>
      <c r="AN1727" s="173"/>
      <c r="AO1727" s="173"/>
      <c r="AP1727" s="173"/>
      <c r="AQ1727" s="178"/>
      <c r="AR1727" s="173"/>
      <c r="AS1727" s="173"/>
      <c r="AT1727" s="140"/>
      <c r="AX1727" s="140"/>
      <c r="BB1727" s="173"/>
      <c r="BC1727" s="173"/>
    </row>
    <row r="1728" spans="2:55" s="134" customFormat="1" x14ac:dyDescent="0.2">
      <c r="B1728" s="145"/>
      <c r="D1728" s="145"/>
      <c r="Z1728" s="177"/>
      <c r="AA1728" s="178"/>
      <c r="AB1728" s="139"/>
      <c r="AC1728" s="173"/>
      <c r="AD1728" s="177"/>
      <c r="AE1728" s="177"/>
      <c r="AF1728" s="139"/>
      <c r="AG1728" s="139"/>
      <c r="AH1728" s="177"/>
      <c r="AI1728" s="178"/>
      <c r="AJ1728" s="139"/>
      <c r="AK1728" s="173"/>
      <c r="AL1728" s="177"/>
      <c r="AM1728" s="178"/>
      <c r="AN1728" s="173"/>
      <c r="AO1728" s="173"/>
      <c r="AP1728" s="173"/>
      <c r="AQ1728" s="178"/>
      <c r="AR1728" s="173"/>
      <c r="AS1728" s="173"/>
      <c r="AT1728" s="140"/>
      <c r="AX1728" s="140"/>
      <c r="BB1728" s="173"/>
      <c r="BC1728" s="173"/>
    </row>
    <row r="1729" spans="2:55" s="134" customFormat="1" x14ac:dyDescent="0.2">
      <c r="B1729" s="145"/>
      <c r="D1729" s="145"/>
      <c r="Z1729" s="177"/>
      <c r="AA1729" s="178"/>
      <c r="AB1729" s="139"/>
      <c r="AC1729" s="173"/>
      <c r="AD1729" s="177"/>
      <c r="AE1729" s="177"/>
      <c r="AF1729" s="139"/>
      <c r="AG1729" s="139"/>
      <c r="AH1729" s="177"/>
      <c r="AI1729" s="178"/>
      <c r="AJ1729" s="139"/>
      <c r="AK1729" s="173"/>
      <c r="AL1729" s="177"/>
      <c r="AM1729" s="178"/>
      <c r="AN1729" s="173"/>
      <c r="AO1729" s="173"/>
      <c r="AP1729" s="173"/>
      <c r="AQ1729" s="178"/>
      <c r="AR1729" s="173"/>
      <c r="AS1729" s="173"/>
      <c r="AT1729" s="140"/>
      <c r="AX1729" s="140"/>
      <c r="BB1729" s="173"/>
      <c r="BC1729" s="173"/>
    </row>
    <row r="1730" spans="2:55" s="134" customFormat="1" x14ac:dyDescent="0.2">
      <c r="B1730" s="145"/>
      <c r="D1730" s="145"/>
      <c r="Z1730" s="177"/>
      <c r="AA1730" s="178"/>
      <c r="AB1730" s="139"/>
      <c r="AC1730" s="173"/>
      <c r="AD1730" s="177"/>
      <c r="AE1730" s="177"/>
      <c r="AF1730" s="139"/>
      <c r="AG1730" s="139"/>
      <c r="AH1730" s="177"/>
      <c r="AI1730" s="178"/>
      <c r="AJ1730" s="139"/>
      <c r="AK1730" s="173"/>
      <c r="AL1730" s="177"/>
      <c r="AM1730" s="178"/>
      <c r="AN1730" s="173"/>
      <c r="AO1730" s="173"/>
      <c r="AP1730" s="173"/>
      <c r="AQ1730" s="178"/>
      <c r="AR1730" s="173"/>
      <c r="AS1730" s="173"/>
      <c r="AT1730" s="140"/>
      <c r="AX1730" s="140"/>
      <c r="BB1730" s="173"/>
      <c r="BC1730" s="173"/>
    </row>
    <row r="1731" spans="2:55" s="134" customFormat="1" x14ac:dyDescent="0.2">
      <c r="B1731" s="145"/>
      <c r="D1731" s="145"/>
      <c r="Z1731" s="177"/>
      <c r="AA1731" s="178"/>
      <c r="AB1731" s="139"/>
      <c r="AC1731" s="173"/>
      <c r="AD1731" s="177"/>
      <c r="AE1731" s="177"/>
      <c r="AF1731" s="139"/>
      <c r="AG1731" s="139"/>
      <c r="AH1731" s="177"/>
      <c r="AI1731" s="178"/>
      <c r="AJ1731" s="139"/>
      <c r="AK1731" s="173"/>
      <c r="AL1731" s="177"/>
      <c r="AM1731" s="178"/>
      <c r="AN1731" s="173"/>
      <c r="AO1731" s="173"/>
      <c r="AP1731" s="173"/>
      <c r="AQ1731" s="178"/>
      <c r="AR1731" s="173"/>
      <c r="AS1731" s="173"/>
      <c r="AT1731" s="140"/>
      <c r="AX1731" s="140"/>
      <c r="BB1731" s="173"/>
      <c r="BC1731" s="173"/>
    </row>
    <row r="1732" spans="2:55" s="134" customFormat="1" x14ac:dyDescent="0.2">
      <c r="B1732" s="145"/>
      <c r="D1732" s="145"/>
      <c r="Z1732" s="177"/>
      <c r="AA1732" s="178"/>
      <c r="AB1732" s="139"/>
      <c r="AC1732" s="173"/>
      <c r="AD1732" s="177"/>
      <c r="AE1732" s="177"/>
      <c r="AF1732" s="139"/>
      <c r="AG1732" s="139"/>
      <c r="AH1732" s="177"/>
      <c r="AI1732" s="178"/>
      <c r="AJ1732" s="139"/>
      <c r="AK1732" s="173"/>
      <c r="AL1732" s="177"/>
      <c r="AM1732" s="178"/>
      <c r="AN1732" s="173"/>
      <c r="AO1732" s="173"/>
      <c r="AP1732" s="173"/>
      <c r="AQ1732" s="178"/>
      <c r="AR1732" s="173"/>
      <c r="AS1732" s="173"/>
      <c r="AT1732" s="140"/>
      <c r="AX1732" s="140"/>
      <c r="BB1732" s="173"/>
      <c r="BC1732" s="173"/>
    </row>
    <row r="1733" spans="2:55" s="134" customFormat="1" x14ac:dyDescent="0.2">
      <c r="B1733" s="145"/>
      <c r="D1733" s="145"/>
      <c r="Z1733" s="177"/>
      <c r="AA1733" s="178"/>
      <c r="AB1733" s="139"/>
      <c r="AC1733" s="173"/>
      <c r="AD1733" s="177"/>
      <c r="AE1733" s="177"/>
      <c r="AF1733" s="139"/>
      <c r="AG1733" s="139"/>
      <c r="AH1733" s="177"/>
      <c r="AI1733" s="178"/>
      <c r="AJ1733" s="139"/>
      <c r="AK1733" s="173"/>
      <c r="AL1733" s="177"/>
      <c r="AM1733" s="178"/>
      <c r="AN1733" s="173"/>
      <c r="AO1733" s="173"/>
      <c r="AP1733" s="173"/>
      <c r="AQ1733" s="178"/>
      <c r="AR1733" s="173"/>
      <c r="AS1733" s="173"/>
      <c r="AT1733" s="140"/>
      <c r="AX1733" s="140"/>
      <c r="BB1733" s="173"/>
      <c r="BC1733" s="173"/>
    </row>
    <row r="1734" spans="2:55" s="134" customFormat="1" x14ac:dyDescent="0.2">
      <c r="B1734" s="145"/>
      <c r="D1734" s="145"/>
      <c r="Z1734" s="177"/>
      <c r="AA1734" s="178"/>
      <c r="AB1734" s="139"/>
      <c r="AC1734" s="173"/>
      <c r="AD1734" s="177"/>
      <c r="AE1734" s="177"/>
      <c r="AF1734" s="139"/>
      <c r="AG1734" s="139"/>
      <c r="AH1734" s="177"/>
      <c r="AI1734" s="178"/>
      <c r="AJ1734" s="139"/>
      <c r="AK1734" s="173"/>
      <c r="AL1734" s="177"/>
      <c r="AM1734" s="178"/>
      <c r="AN1734" s="173"/>
      <c r="AO1734" s="173"/>
      <c r="AP1734" s="173"/>
      <c r="AQ1734" s="178"/>
      <c r="AR1734" s="173"/>
      <c r="AS1734" s="173"/>
      <c r="AT1734" s="140"/>
      <c r="AX1734" s="140"/>
      <c r="BB1734" s="173"/>
      <c r="BC1734" s="173"/>
    </row>
    <row r="1735" spans="2:55" s="134" customFormat="1" x14ac:dyDescent="0.2">
      <c r="B1735" s="145"/>
      <c r="D1735" s="145"/>
      <c r="Z1735" s="177"/>
      <c r="AA1735" s="178"/>
      <c r="AB1735" s="139"/>
      <c r="AC1735" s="173"/>
      <c r="AD1735" s="177"/>
      <c r="AE1735" s="177"/>
      <c r="AF1735" s="139"/>
      <c r="AG1735" s="139"/>
      <c r="AH1735" s="177"/>
      <c r="AI1735" s="178"/>
      <c r="AJ1735" s="139"/>
      <c r="AK1735" s="173"/>
      <c r="AL1735" s="177"/>
      <c r="AM1735" s="178"/>
      <c r="AN1735" s="173"/>
      <c r="AO1735" s="173"/>
      <c r="AP1735" s="173"/>
      <c r="AQ1735" s="178"/>
      <c r="AR1735" s="173"/>
      <c r="AS1735" s="173"/>
      <c r="AT1735" s="140"/>
      <c r="AX1735" s="140"/>
      <c r="BB1735" s="173"/>
      <c r="BC1735" s="173"/>
    </row>
    <row r="1736" spans="2:55" s="134" customFormat="1" x14ac:dyDescent="0.2">
      <c r="B1736" s="145"/>
      <c r="D1736" s="145"/>
      <c r="Z1736" s="177"/>
      <c r="AA1736" s="178"/>
      <c r="AB1736" s="139"/>
      <c r="AC1736" s="173"/>
      <c r="AD1736" s="177"/>
      <c r="AE1736" s="177"/>
      <c r="AF1736" s="139"/>
      <c r="AG1736" s="139"/>
      <c r="AH1736" s="177"/>
      <c r="AI1736" s="178"/>
      <c r="AJ1736" s="139"/>
      <c r="AK1736" s="173"/>
      <c r="AL1736" s="177"/>
      <c r="AM1736" s="178"/>
      <c r="AN1736" s="173"/>
      <c r="AO1736" s="173"/>
      <c r="AP1736" s="173"/>
      <c r="AQ1736" s="178"/>
      <c r="AR1736" s="173"/>
      <c r="AS1736" s="173"/>
      <c r="AT1736" s="140"/>
      <c r="AX1736" s="140"/>
      <c r="BB1736" s="173"/>
      <c r="BC1736" s="173"/>
    </row>
    <row r="1737" spans="2:55" s="134" customFormat="1" x14ac:dyDescent="0.2">
      <c r="B1737" s="145"/>
      <c r="D1737" s="145"/>
      <c r="Z1737" s="177"/>
      <c r="AA1737" s="178"/>
      <c r="AB1737" s="139"/>
      <c r="AC1737" s="173"/>
      <c r="AD1737" s="177"/>
      <c r="AE1737" s="177"/>
      <c r="AF1737" s="139"/>
      <c r="AG1737" s="139"/>
      <c r="AH1737" s="177"/>
      <c r="AI1737" s="178"/>
      <c r="AJ1737" s="139"/>
      <c r="AK1737" s="173"/>
      <c r="AL1737" s="177"/>
      <c r="AM1737" s="178"/>
      <c r="AN1737" s="173"/>
      <c r="AO1737" s="173"/>
      <c r="AP1737" s="173"/>
      <c r="AQ1737" s="178"/>
      <c r="AR1737" s="173"/>
      <c r="AS1737" s="173"/>
      <c r="AT1737" s="140"/>
      <c r="AX1737" s="140"/>
      <c r="BB1737" s="173"/>
      <c r="BC1737" s="173"/>
    </row>
    <row r="1738" spans="2:55" s="134" customFormat="1" x14ac:dyDescent="0.2">
      <c r="B1738" s="145"/>
      <c r="D1738" s="145"/>
      <c r="Z1738" s="177"/>
      <c r="AA1738" s="178"/>
      <c r="AB1738" s="139"/>
      <c r="AC1738" s="173"/>
      <c r="AD1738" s="177"/>
      <c r="AE1738" s="177"/>
      <c r="AF1738" s="139"/>
      <c r="AG1738" s="139"/>
      <c r="AH1738" s="177"/>
      <c r="AI1738" s="178"/>
      <c r="AJ1738" s="139"/>
      <c r="AK1738" s="173"/>
      <c r="AL1738" s="177"/>
      <c r="AM1738" s="178"/>
      <c r="AN1738" s="173"/>
      <c r="AO1738" s="173"/>
      <c r="AP1738" s="173"/>
      <c r="AQ1738" s="178"/>
      <c r="AR1738" s="173"/>
      <c r="AS1738" s="173"/>
      <c r="AT1738" s="140"/>
      <c r="AX1738" s="140"/>
      <c r="BB1738" s="173"/>
      <c r="BC1738" s="173"/>
    </row>
    <row r="1739" spans="2:55" s="134" customFormat="1" x14ac:dyDescent="0.2">
      <c r="B1739" s="145"/>
      <c r="D1739" s="145"/>
      <c r="Z1739" s="177"/>
      <c r="AA1739" s="178"/>
      <c r="AB1739" s="139"/>
      <c r="AC1739" s="173"/>
      <c r="AD1739" s="177"/>
      <c r="AE1739" s="177"/>
      <c r="AF1739" s="139"/>
      <c r="AG1739" s="139"/>
      <c r="AH1739" s="177"/>
      <c r="AI1739" s="178"/>
      <c r="AJ1739" s="139"/>
      <c r="AK1739" s="173"/>
      <c r="AL1739" s="177"/>
      <c r="AM1739" s="178"/>
      <c r="AN1739" s="173"/>
      <c r="AO1739" s="173"/>
      <c r="AP1739" s="173"/>
      <c r="AQ1739" s="178"/>
      <c r="AR1739" s="173"/>
      <c r="AS1739" s="173"/>
      <c r="AT1739" s="140"/>
      <c r="AX1739" s="140"/>
      <c r="BB1739" s="173"/>
      <c r="BC1739" s="173"/>
    </row>
    <row r="1740" spans="2:55" s="134" customFormat="1" x14ac:dyDescent="0.2">
      <c r="B1740" s="145"/>
      <c r="D1740" s="145"/>
      <c r="Z1740" s="177"/>
      <c r="AA1740" s="178"/>
      <c r="AB1740" s="139"/>
      <c r="AC1740" s="173"/>
      <c r="AD1740" s="177"/>
      <c r="AE1740" s="177"/>
      <c r="AF1740" s="139"/>
      <c r="AG1740" s="139"/>
      <c r="AH1740" s="177"/>
      <c r="AI1740" s="178"/>
      <c r="AJ1740" s="139"/>
      <c r="AK1740" s="173"/>
      <c r="AL1740" s="177"/>
      <c r="AM1740" s="178"/>
      <c r="AN1740" s="173"/>
      <c r="AO1740" s="173"/>
      <c r="AP1740" s="173"/>
      <c r="AQ1740" s="178"/>
      <c r="AR1740" s="173"/>
      <c r="AS1740" s="173"/>
      <c r="AT1740" s="140"/>
      <c r="AX1740" s="140"/>
      <c r="BB1740" s="173"/>
      <c r="BC1740" s="173"/>
    </row>
    <row r="1741" spans="2:55" s="134" customFormat="1" x14ac:dyDescent="0.2">
      <c r="B1741" s="145"/>
      <c r="D1741" s="145"/>
      <c r="Z1741" s="177"/>
      <c r="AA1741" s="178"/>
      <c r="AB1741" s="139"/>
      <c r="AC1741" s="173"/>
      <c r="AD1741" s="177"/>
      <c r="AE1741" s="177"/>
      <c r="AF1741" s="139"/>
      <c r="AG1741" s="139"/>
      <c r="AH1741" s="177"/>
      <c r="AI1741" s="178"/>
      <c r="AJ1741" s="139"/>
      <c r="AK1741" s="173"/>
      <c r="AL1741" s="177"/>
      <c r="AM1741" s="178"/>
      <c r="AN1741" s="173"/>
      <c r="AO1741" s="173"/>
      <c r="AP1741" s="173"/>
      <c r="AQ1741" s="178"/>
      <c r="AR1741" s="173"/>
      <c r="AS1741" s="173"/>
      <c r="AT1741" s="140"/>
      <c r="AX1741" s="140"/>
      <c r="BB1741" s="173"/>
      <c r="BC1741" s="173"/>
    </row>
    <row r="1742" spans="2:55" s="134" customFormat="1" x14ac:dyDescent="0.2">
      <c r="B1742" s="145"/>
      <c r="D1742" s="145"/>
      <c r="Z1742" s="177"/>
      <c r="AA1742" s="178"/>
      <c r="AB1742" s="139"/>
      <c r="AC1742" s="173"/>
      <c r="AD1742" s="177"/>
      <c r="AE1742" s="177"/>
      <c r="AF1742" s="139"/>
      <c r="AG1742" s="139"/>
      <c r="AH1742" s="177"/>
      <c r="AI1742" s="178"/>
      <c r="AJ1742" s="139"/>
      <c r="AK1742" s="173"/>
      <c r="AL1742" s="177"/>
      <c r="AM1742" s="178"/>
      <c r="AN1742" s="173"/>
      <c r="AO1742" s="173"/>
      <c r="AP1742" s="173"/>
      <c r="AQ1742" s="178"/>
      <c r="AR1742" s="173"/>
      <c r="AS1742" s="173"/>
      <c r="AT1742" s="140"/>
      <c r="AX1742" s="140"/>
      <c r="BB1742" s="173"/>
      <c r="BC1742" s="173"/>
    </row>
    <row r="1743" spans="2:55" s="134" customFormat="1" x14ac:dyDescent="0.2">
      <c r="B1743" s="145"/>
      <c r="D1743" s="145"/>
      <c r="Z1743" s="177"/>
      <c r="AA1743" s="178"/>
      <c r="AB1743" s="139"/>
      <c r="AC1743" s="173"/>
      <c r="AD1743" s="177"/>
      <c r="AE1743" s="177"/>
      <c r="AF1743" s="139"/>
      <c r="AG1743" s="139"/>
      <c r="AH1743" s="177"/>
      <c r="AI1743" s="178"/>
      <c r="AJ1743" s="139"/>
      <c r="AK1743" s="173"/>
      <c r="AL1743" s="177"/>
      <c r="AM1743" s="178"/>
      <c r="AN1743" s="173"/>
      <c r="AO1743" s="173"/>
      <c r="AP1743" s="173"/>
      <c r="AQ1743" s="178"/>
      <c r="AR1743" s="173"/>
      <c r="AS1743" s="173"/>
      <c r="AT1743" s="140"/>
      <c r="AX1743" s="140"/>
      <c r="BB1743" s="173"/>
      <c r="BC1743" s="173"/>
    </row>
    <row r="1744" spans="2:55" s="134" customFormat="1" x14ac:dyDescent="0.2">
      <c r="B1744" s="145"/>
      <c r="D1744" s="145"/>
      <c r="Z1744" s="177"/>
      <c r="AA1744" s="178"/>
      <c r="AB1744" s="139"/>
      <c r="AC1744" s="173"/>
      <c r="AD1744" s="177"/>
      <c r="AE1744" s="177"/>
      <c r="AF1744" s="139"/>
      <c r="AG1744" s="139"/>
      <c r="AH1744" s="177"/>
      <c r="AI1744" s="178"/>
      <c r="AJ1744" s="139"/>
      <c r="AK1744" s="173"/>
      <c r="AL1744" s="177"/>
      <c r="AM1744" s="178"/>
      <c r="AN1744" s="173"/>
      <c r="AO1744" s="173"/>
      <c r="AP1744" s="173"/>
      <c r="AQ1744" s="178"/>
      <c r="AR1744" s="173"/>
      <c r="AS1744" s="173"/>
      <c r="AT1744" s="140"/>
      <c r="AX1744" s="140"/>
      <c r="BB1744" s="173"/>
      <c r="BC1744" s="173"/>
    </row>
    <row r="1745" spans="2:55" s="134" customFormat="1" x14ac:dyDescent="0.2">
      <c r="B1745" s="145"/>
      <c r="D1745" s="145"/>
      <c r="Z1745" s="177"/>
      <c r="AA1745" s="178"/>
      <c r="AB1745" s="139"/>
      <c r="AC1745" s="173"/>
      <c r="AD1745" s="177"/>
      <c r="AE1745" s="177"/>
      <c r="AF1745" s="139"/>
      <c r="AG1745" s="139"/>
      <c r="AH1745" s="177"/>
      <c r="AI1745" s="178"/>
      <c r="AJ1745" s="139"/>
      <c r="AK1745" s="173"/>
      <c r="AL1745" s="177"/>
      <c r="AM1745" s="178"/>
      <c r="AN1745" s="173"/>
      <c r="AO1745" s="173"/>
      <c r="AP1745" s="173"/>
      <c r="AQ1745" s="178"/>
      <c r="AR1745" s="173"/>
      <c r="AS1745" s="173"/>
      <c r="AT1745" s="140"/>
      <c r="AX1745" s="140"/>
      <c r="BB1745" s="173"/>
      <c r="BC1745" s="173"/>
    </row>
    <row r="1746" spans="2:55" s="134" customFormat="1" x14ac:dyDescent="0.2">
      <c r="B1746" s="145"/>
      <c r="D1746" s="145"/>
      <c r="Z1746" s="177"/>
      <c r="AA1746" s="178"/>
      <c r="AB1746" s="139"/>
      <c r="AC1746" s="173"/>
      <c r="AD1746" s="177"/>
      <c r="AE1746" s="177"/>
      <c r="AF1746" s="139"/>
      <c r="AG1746" s="139"/>
      <c r="AH1746" s="177"/>
      <c r="AI1746" s="178"/>
      <c r="AJ1746" s="139"/>
      <c r="AK1746" s="173"/>
      <c r="AL1746" s="177"/>
      <c r="AM1746" s="178"/>
      <c r="AN1746" s="173"/>
      <c r="AO1746" s="173"/>
      <c r="AP1746" s="173"/>
      <c r="AQ1746" s="178"/>
      <c r="AR1746" s="173"/>
      <c r="AS1746" s="173"/>
      <c r="AT1746" s="140"/>
      <c r="AX1746" s="140"/>
      <c r="BB1746" s="173"/>
      <c r="BC1746" s="173"/>
    </row>
    <row r="1747" spans="2:55" s="134" customFormat="1" x14ac:dyDescent="0.2">
      <c r="B1747" s="145"/>
      <c r="D1747" s="145"/>
      <c r="Z1747" s="177"/>
      <c r="AA1747" s="178"/>
      <c r="AB1747" s="139"/>
      <c r="AC1747" s="173"/>
      <c r="AD1747" s="177"/>
      <c r="AE1747" s="177"/>
      <c r="AF1747" s="139"/>
      <c r="AG1747" s="139"/>
      <c r="AH1747" s="177"/>
      <c r="AI1747" s="178"/>
      <c r="AJ1747" s="139"/>
      <c r="AK1747" s="173"/>
      <c r="AL1747" s="177"/>
      <c r="AM1747" s="178"/>
      <c r="AN1747" s="173"/>
      <c r="AO1747" s="173"/>
      <c r="AP1747" s="173"/>
      <c r="AQ1747" s="178"/>
      <c r="AR1747" s="173"/>
      <c r="AS1747" s="173"/>
      <c r="AT1747" s="140"/>
      <c r="AX1747" s="140"/>
      <c r="BB1747" s="173"/>
      <c r="BC1747" s="173"/>
    </row>
    <row r="1748" spans="2:55" s="134" customFormat="1" x14ac:dyDescent="0.2">
      <c r="B1748" s="145"/>
      <c r="D1748" s="145"/>
      <c r="Z1748" s="177"/>
      <c r="AA1748" s="178"/>
      <c r="AB1748" s="139"/>
      <c r="AC1748" s="173"/>
      <c r="AD1748" s="177"/>
      <c r="AE1748" s="177"/>
      <c r="AF1748" s="139"/>
      <c r="AG1748" s="139"/>
      <c r="AH1748" s="177"/>
      <c r="AI1748" s="178"/>
      <c r="AJ1748" s="139"/>
      <c r="AK1748" s="173"/>
      <c r="AL1748" s="177"/>
      <c r="AM1748" s="178"/>
      <c r="AN1748" s="173"/>
      <c r="AO1748" s="173"/>
      <c r="AP1748" s="173"/>
      <c r="AQ1748" s="178"/>
      <c r="AR1748" s="173"/>
      <c r="AS1748" s="173"/>
      <c r="AT1748" s="140"/>
      <c r="AX1748" s="140"/>
      <c r="BB1748" s="173"/>
      <c r="BC1748" s="173"/>
    </row>
    <row r="1749" spans="2:55" s="134" customFormat="1" x14ac:dyDescent="0.2">
      <c r="B1749" s="145"/>
      <c r="D1749" s="145"/>
      <c r="Z1749" s="177"/>
      <c r="AA1749" s="178"/>
      <c r="AB1749" s="139"/>
      <c r="AC1749" s="173"/>
      <c r="AD1749" s="177"/>
      <c r="AE1749" s="177"/>
      <c r="AF1749" s="139"/>
      <c r="AG1749" s="139"/>
      <c r="AH1749" s="177"/>
      <c r="AI1749" s="178"/>
      <c r="AJ1749" s="139"/>
      <c r="AK1749" s="173"/>
      <c r="AL1749" s="177"/>
      <c r="AM1749" s="178"/>
      <c r="AN1749" s="173"/>
      <c r="AO1749" s="173"/>
      <c r="AP1749" s="173"/>
      <c r="AQ1749" s="178"/>
      <c r="AR1749" s="173"/>
      <c r="AS1749" s="173"/>
      <c r="AT1749" s="140"/>
      <c r="AX1749" s="140"/>
      <c r="BB1749" s="173"/>
      <c r="BC1749" s="173"/>
    </row>
    <row r="1750" spans="2:55" s="134" customFormat="1" x14ac:dyDescent="0.2">
      <c r="B1750" s="145"/>
      <c r="D1750" s="145"/>
      <c r="Z1750" s="177"/>
      <c r="AA1750" s="178"/>
      <c r="AB1750" s="139"/>
      <c r="AC1750" s="173"/>
      <c r="AD1750" s="177"/>
      <c r="AE1750" s="177"/>
      <c r="AF1750" s="139"/>
      <c r="AG1750" s="139"/>
      <c r="AH1750" s="177"/>
      <c r="AI1750" s="178"/>
      <c r="AJ1750" s="139"/>
      <c r="AK1750" s="173"/>
      <c r="AL1750" s="177"/>
      <c r="AM1750" s="178"/>
      <c r="AN1750" s="173"/>
      <c r="AO1750" s="173"/>
      <c r="AP1750" s="173"/>
      <c r="AQ1750" s="178"/>
      <c r="AR1750" s="173"/>
      <c r="AS1750" s="173"/>
      <c r="AT1750" s="140"/>
      <c r="AX1750" s="140"/>
      <c r="BB1750" s="173"/>
      <c r="BC1750" s="173"/>
    </row>
    <row r="1751" spans="2:55" s="134" customFormat="1" x14ac:dyDescent="0.2">
      <c r="B1751" s="145"/>
      <c r="D1751" s="145"/>
      <c r="Z1751" s="177"/>
      <c r="AA1751" s="178"/>
      <c r="AB1751" s="139"/>
      <c r="AC1751" s="173"/>
      <c r="AD1751" s="177"/>
      <c r="AE1751" s="177"/>
      <c r="AF1751" s="139"/>
      <c r="AG1751" s="139"/>
      <c r="AH1751" s="177"/>
      <c r="AI1751" s="178"/>
      <c r="AJ1751" s="139"/>
      <c r="AK1751" s="173"/>
      <c r="AL1751" s="177"/>
      <c r="AM1751" s="178"/>
      <c r="AN1751" s="173"/>
      <c r="AO1751" s="173"/>
      <c r="AP1751" s="173"/>
      <c r="AQ1751" s="178"/>
      <c r="AR1751" s="173"/>
      <c r="AS1751" s="173"/>
      <c r="AT1751" s="140"/>
      <c r="AX1751" s="140"/>
      <c r="BB1751" s="173"/>
      <c r="BC1751" s="173"/>
    </row>
    <row r="1752" spans="2:55" s="134" customFormat="1" x14ac:dyDescent="0.2">
      <c r="B1752" s="145"/>
      <c r="D1752" s="145"/>
      <c r="Z1752" s="177"/>
      <c r="AA1752" s="178"/>
      <c r="AB1752" s="139"/>
      <c r="AC1752" s="173"/>
      <c r="AD1752" s="177"/>
      <c r="AE1752" s="177"/>
      <c r="AF1752" s="139"/>
      <c r="AG1752" s="139"/>
      <c r="AH1752" s="177"/>
      <c r="AI1752" s="178"/>
      <c r="AJ1752" s="139"/>
      <c r="AK1752" s="173"/>
      <c r="AL1752" s="177"/>
      <c r="AM1752" s="178"/>
      <c r="AN1752" s="173"/>
      <c r="AO1752" s="173"/>
      <c r="AP1752" s="173"/>
      <c r="AQ1752" s="178"/>
      <c r="AR1752" s="173"/>
      <c r="AS1752" s="173"/>
      <c r="AT1752" s="140"/>
      <c r="AX1752" s="140"/>
      <c r="BB1752" s="173"/>
      <c r="BC1752" s="173"/>
    </row>
    <row r="1753" spans="2:55" s="134" customFormat="1" x14ac:dyDescent="0.2">
      <c r="B1753" s="145"/>
      <c r="D1753" s="145"/>
      <c r="Z1753" s="177"/>
      <c r="AA1753" s="178"/>
      <c r="AB1753" s="139"/>
      <c r="AC1753" s="173"/>
      <c r="AD1753" s="177"/>
      <c r="AE1753" s="177"/>
      <c r="AF1753" s="139"/>
      <c r="AG1753" s="139"/>
      <c r="AH1753" s="177"/>
      <c r="AI1753" s="178"/>
      <c r="AJ1753" s="139"/>
      <c r="AK1753" s="173"/>
      <c r="AL1753" s="177"/>
      <c r="AM1753" s="178"/>
      <c r="AN1753" s="173"/>
      <c r="AO1753" s="173"/>
      <c r="AP1753" s="173"/>
      <c r="AQ1753" s="178"/>
      <c r="AR1753" s="173"/>
      <c r="AS1753" s="173"/>
      <c r="AT1753" s="140"/>
      <c r="AX1753" s="140"/>
      <c r="BB1753" s="173"/>
      <c r="BC1753" s="173"/>
    </row>
    <row r="1754" spans="2:55" s="134" customFormat="1" x14ac:dyDescent="0.2">
      <c r="B1754" s="145"/>
      <c r="D1754" s="145"/>
      <c r="Z1754" s="177"/>
      <c r="AA1754" s="178"/>
      <c r="AB1754" s="139"/>
      <c r="AC1754" s="173"/>
      <c r="AD1754" s="177"/>
      <c r="AE1754" s="177"/>
      <c r="AF1754" s="139"/>
      <c r="AG1754" s="139"/>
      <c r="AH1754" s="177"/>
      <c r="AI1754" s="178"/>
      <c r="AJ1754" s="139"/>
      <c r="AK1754" s="173"/>
      <c r="AL1754" s="177"/>
      <c r="AM1754" s="178"/>
      <c r="AN1754" s="173"/>
      <c r="AO1754" s="173"/>
      <c r="AP1754" s="173"/>
      <c r="AQ1754" s="178"/>
      <c r="AR1754" s="173"/>
      <c r="AS1754" s="173"/>
      <c r="AT1754" s="140"/>
      <c r="AX1754" s="140"/>
      <c r="BB1754" s="173"/>
      <c r="BC1754" s="173"/>
    </row>
    <row r="1755" spans="2:55" s="134" customFormat="1" x14ac:dyDescent="0.2">
      <c r="B1755" s="145"/>
      <c r="D1755" s="145"/>
      <c r="Z1755" s="177"/>
      <c r="AA1755" s="178"/>
      <c r="AB1755" s="139"/>
      <c r="AC1755" s="173"/>
      <c r="AD1755" s="177"/>
      <c r="AE1755" s="177"/>
      <c r="AF1755" s="139"/>
      <c r="AG1755" s="139"/>
      <c r="AH1755" s="177"/>
      <c r="AI1755" s="178"/>
      <c r="AJ1755" s="139"/>
      <c r="AK1755" s="173"/>
      <c r="AL1755" s="177"/>
      <c r="AM1755" s="178"/>
      <c r="AN1755" s="173"/>
      <c r="AO1755" s="173"/>
      <c r="AP1755" s="173"/>
      <c r="AQ1755" s="178"/>
      <c r="AR1755" s="173"/>
      <c r="AS1755" s="173"/>
      <c r="AT1755" s="140"/>
      <c r="AX1755" s="140"/>
      <c r="BB1755" s="173"/>
      <c r="BC1755" s="173"/>
    </row>
    <row r="1756" spans="2:55" s="134" customFormat="1" x14ac:dyDescent="0.2">
      <c r="B1756" s="145"/>
      <c r="D1756" s="145"/>
      <c r="Z1756" s="177"/>
      <c r="AA1756" s="178"/>
      <c r="AB1756" s="139"/>
      <c r="AC1756" s="173"/>
      <c r="AD1756" s="177"/>
      <c r="AE1756" s="177"/>
      <c r="AF1756" s="139"/>
      <c r="AG1756" s="139"/>
      <c r="AH1756" s="177"/>
      <c r="AI1756" s="178"/>
      <c r="AJ1756" s="139"/>
      <c r="AK1756" s="173"/>
      <c r="AL1756" s="177"/>
      <c r="AM1756" s="178"/>
      <c r="AN1756" s="173"/>
      <c r="AO1756" s="173"/>
      <c r="AP1756" s="173"/>
      <c r="AQ1756" s="178"/>
      <c r="AR1756" s="173"/>
      <c r="AS1756" s="173"/>
      <c r="AT1756" s="140"/>
      <c r="AX1756" s="140"/>
      <c r="BB1756" s="173"/>
      <c r="BC1756" s="173"/>
    </row>
    <row r="1757" spans="2:55" s="134" customFormat="1" x14ac:dyDescent="0.2">
      <c r="B1757" s="145"/>
      <c r="D1757" s="145"/>
      <c r="Z1757" s="177"/>
      <c r="AA1757" s="178"/>
      <c r="AB1757" s="139"/>
      <c r="AC1757" s="173"/>
      <c r="AD1757" s="177"/>
      <c r="AE1757" s="177"/>
      <c r="AF1757" s="139"/>
      <c r="AG1757" s="139"/>
      <c r="AH1757" s="177"/>
      <c r="AI1757" s="178"/>
      <c r="AJ1757" s="139"/>
      <c r="AK1757" s="173"/>
      <c r="AL1757" s="177"/>
      <c r="AM1757" s="178"/>
      <c r="AN1757" s="173"/>
      <c r="AO1757" s="173"/>
      <c r="AP1757" s="173"/>
      <c r="AQ1757" s="178"/>
      <c r="AR1757" s="173"/>
      <c r="AS1757" s="173"/>
      <c r="AT1757" s="140"/>
      <c r="AX1757" s="140"/>
      <c r="BB1757" s="173"/>
      <c r="BC1757" s="173"/>
    </row>
    <row r="1758" spans="2:55" s="134" customFormat="1" x14ac:dyDescent="0.2">
      <c r="B1758" s="145"/>
      <c r="D1758" s="145"/>
      <c r="Z1758" s="177"/>
      <c r="AA1758" s="178"/>
      <c r="AB1758" s="139"/>
      <c r="AC1758" s="173"/>
      <c r="AD1758" s="177"/>
      <c r="AE1758" s="177"/>
      <c r="AF1758" s="139"/>
      <c r="AG1758" s="139"/>
      <c r="AH1758" s="177"/>
      <c r="AI1758" s="178"/>
      <c r="AJ1758" s="139"/>
      <c r="AK1758" s="173"/>
      <c r="AL1758" s="177"/>
      <c r="AM1758" s="178"/>
      <c r="AN1758" s="173"/>
      <c r="AO1758" s="173"/>
      <c r="AP1758" s="173"/>
      <c r="AQ1758" s="178"/>
      <c r="AR1758" s="173"/>
      <c r="AS1758" s="173"/>
      <c r="AT1758" s="140"/>
      <c r="AX1758" s="140"/>
      <c r="BB1758" s="173"/>
      <c r="BC1758" s="173"/>
    </row>
    <row r="1759" spans="2:55" s="134" customFormat="1" x14ac:dyDescent="0.2">
      <c r="B1759" s="145"/>
      <c r="D1759" s="145"/>
      <c r="Z1759" s="177"/>
      <c r="AA1759" s="178"/>
      <c r="AB1759" s="139"/>
      <c r="AC1759" s="173"/>
      <c r="AD1759" s="177"/>
      <c r="AE1759" s="177"/>
      <c r="AF1759" s="139"/>
      <c r="AG1759" s="139"/>
      <c r="AH1759" s="177"/>
      <c r="AI1759" s="178"/>
      <c r="AJ1759" s="139"/>
      <c r="AK1759" s="173"/>
      <c r="AL1759" s="177"/>
      <c r="AM1759" s="178"/>
      <c r="AN1759" s="173"/>
      <c r="AO1759" s="173"/>
      <c r="AP1759" s="173"/>
      <c r="AQ1759" s="178"/>
      <c r="AR1759" s="173"/>
      <c r="AS1759" s="173"/>
      <c r="AT1759" s="140"/>
      <c r="AX1759" s="140"/>
      <c r="BB1759" s="173"/>
      <c r="BC1759" s="173"/>
    </row>
    <row r="1760" spans="2:55" s="134" customFormat="1" x14ac:dyDescent="0.2">
      <c r="B1760" s="145"/>
      <c r="D1760" s="145"/>
      <c r="Z1760" s="177"/>
      <c r="AA1760" s="178"/>
      <c r="AB1760" s="139"/>
      <c r="AC1760" s="173"/>
      <c r="AD1760" s="177"/>
      <c r="AE1760" s="177"/>
      <c r="AF1760" s="139"/>
      <c r="AG1760" s="139"/>
      <c r="AH1760" s="177"/>
      <c r="AI1760" s="178"/>
      <c r="AJ1760" s="139"/>
      <c r="AK1760" s="173"/>
      <c r="AL1760" s="177"/>
      <c r="AM1760" s="178"/>
      <c r="AN1760" s="173"/>
      <c r="AO1760" s="173"/>
      <c r="AP1760" s="173"/>
      <c r="AQ1760" s="178"/>
      <c r="AR1760" s="173"/>
      <c r="AS1760" s="173"/>
      <c r="AT1760" s="140"/>
      <c r="AX1760" s="140"/>
      <c r="BB1760" s="173"/>
      <c r="BC1760" s="173"/>
    </row>
    <row r="1761" spans="2:55" s="134" customFormat="1" x14ac:dyDescent="0.2">
      <c r="B1761" s="145"/>
      <c r="D1761" s="145"/>
      <c r="Z1761" s="177"/>
      <c r="AA1761" s="178"/>
      <c r="AB1761" s="139"/>
      <c r="AC1761" s="173"/>
      <c r="AD1761" s="177"/>
      <c r="AE1761" s="177"/>
      <c r="AF1761" s="139"/>
      <c r="AG1761" s="139"/>
      <c r="AH1761" s="177"/>
      <c r="AI1761" s="178"/>
      <c r="AJ1761" s="139"/>
      <c r="AK1761" s="173"/>
      <c r="AL1761" s="177"/>
      <c r="AM1761" s="178"/>
      <c r="AN1761" s="173"/>
      <c r="AO1761" s="173"/>
      <c r="AP1761" s="173"/>
      <c r="AQ1761" s="178"/>
      <c r="AR1761" s="173"/>
      <c r="AS1761" s="173"/>
      <c r="AT1761" s="140"/>
      <c r="AX1761" s="140"/>
      <c r="BB1761" s="173"/>
      <c r="BC1761" s="173"/>
    </row>
    <row r="1762" spans="2:55" s="134" customFormat="1" x14ac:dyDescent="0.2">
      <c r="B1762" s="145"/>
      <c r="D1762" s="145"/>
      <c r="Z1762" s="177"/>
      <c r="AA1762" s="178"/>
      <c r="AB1762" s="139"/>
      <c r="AC1762" s="173"/>
      <c r="AD1762" s="177"/>
      <c r="AE1762" s="177"/>
      <c r="AF1762" s="139"/>
      <c r="AG1762" s="139"/>
      <c r="AH1762" s="177"/>
      <c r="AI1762" s="178"/>
      <c r="AJ1762" s="139"/>
      <c r="AK1762" s="173"/>
      <c r="AL1762" s="177"/>
      <c r="AM1762" s="178"/>
      <c r="AN1762" s="173"/>
      <c r="AO1762" s="173"/>
      <c r="AP1762" s="173"/>
      <c r="AQ1762" s="178"/>
      <c r="AR1762" s="173"/>
      <c r="AS1762" s="173"/>
      <c r="AT1762" s="140"/>
      <c r="AX1762" s="140"/>
      <c r="BB1762" s="173"/>
      <c r="BC1762" s="173"/>
    </row>
    <row r="1763" spans="2:55" s="134" customFormat="1" x14ac:dyDescent="0.2">
      <c r="B1763" s="145"/>
      <c r="D1763" s="145"/>
      <c r="Z1763" s="177"/>
      <c r="AA1763" s="178"/>
      <c r="AB1763" s="139"/>
      <c r="AC1763" s="173"/>
      <c r="AD1763" s="177"/>
      <c r="AE1763" s="177"/>
      <c r="AF1763" s="139"/>
      <c r="AG1763" s="139"/>
      <c r="AH1763" s="177"/>
      <c r="AI1763" s="178"/>
      <c r="AJ1763" s="139"/>
      <c r="AK1763" s="173"/>
      <c r="AL1763" s="177"/>
      <c r="AM1763" s="178"/>
      <c r="AN1763" s="173"/>
      <c r="AO1763" s="173"/>
      <c r="AP1763" s="173"/>
      <c r="AQ1763" s="178"/>
      <c r="AR1763" s="173"/>
      <c r="AS1763" s="173"/>
      <c r="AT1763" s="140"/>
      <c r="AX1763" s="140"/>
      <c r="BB1763" s="173"/>
      <c r="BC1763" s="173"/>
    </row>
    <row r="1764" spans="2:55" s="134" customFormat="1" x14ac:dyDescent="0.2">
      <c r="B1764" s="145"/>
      <c r="D1764" s="145"/>
      <c r="Z1764" s="177"/>
      <c r="AA1764" s="178"/>
      <c r="AB1764" s="139"/>
      <c r="AC1764" s="173"/>
      <c r="AD1764" s="177"/>
      <c r="AE1764" s="177"/>
      <c r="AF1764" s="139"/>
      <c r="AG1764" s="139"/>
      <c r="AH1764" s="177"/>
      <c r="AI1764" s="178"/>
      <c r="AJ1764" s="139"/>
      <c r="AK1764" s="173"/>
      <c r="AL1764" s="177"/>
      <c r="AM1764" s="178"/>
      <c r="AN1764" s="173"/>
      <c r="AO1764" s="173"/>
      <c r="AP1764" s="173"/>
      <c r="AQ1764" s="178"/>
      <c r="AR1764" s="173"/>
      <c r="AS1764" s="173"/>
      <c r="AT1764" s="140"/>
      <c r="AX1764" s="140"/>
      <c r="BB1764" s="173"/>
      <c r="BC1764" s="173"/>
    </row>
    <row r="1765" spans="2:55" s="134" customFormat="1" x14ac:dyDescent="0.2">
      <c r="B1765" s="145"/>
      <c r="D1765" s="145"/>
      <c r="Z1765" s="177"/>
      <c r="AA1765" s="178"/>
      <c r="AB1765" s="139"/>
      <c r="AC1765" s="173"/>
      <c r="AD1765" s="177"/>
      <c r="AE1765" s="177"/>
      <c r="AF1765" s="139"/>
      <c r="AG1765" s="139"/>
      <c r="AH1765" s="177"/>
      <c r="AI1765" s="178"/>
      <c r="AJ1765" s="139"/>
      <c r="AK1765" s="173"/>
      <c r="AL1765" s="177"/>
      <c r="AM1765" s="178"/>
      <c r="AN1765" s="173"/>
      <c r="AO1765" s="173"/>
      <c r="AP1765" s="173"/>
      <c r="AQ1765" s="178"/>
      <c r="AR1765" s="173"/>
      <c r="AS1765" s="173"/>
      <c r="AT1765" s="140"/>
      <c r="AX1765" s="140"/>
      <c r="BB1765" s="173"/>
      <c r="BC1765" s="173"/>
    </row>
    <row r="1766" spans="2:55" s="134" customFormat="1" x14ac:dyDescent="0.2">
      <c r="B1766" s="145"/>
      <c r="D1766" s="145"/>
      <c r="Z1766" s="177"/>
      <c r="AA1766" s="178"/>
      <c r="AB1766" s="139"/>
      <c r="AC1766" s="173"/>
      <c r="AD1766" s="177"/>
      <c r="AE1766" s="177"/>
      <c r="AF1766" s="139"/>
      <c r="AG1766" s="139"/>
      <c r="AH1766" s="177"/>
      <c r="AI1766" s="178"/>
      <c r="AJ1766" s="139"/>
      <c r="AK1766" s="173"/>
      <c r="AL1766" s="177"/>
      <c r="AM1766" s="178"/>
      <c r="AN1766" s="173"/>
      <c r="AO1766" s="173"/>
      <c r="AP1766" s="173"/>
      <c r="AQ1766" s="178"/>
      <c r="AR1766" s="173"/>
      <c r="AS1766" s="173"/>
      <c r="AT1766" s="140"/>
      <c r="AX1766" s="140"/>
      <c r="BB1766" s="173"/>
      <c r="BC1766" s="173"/>
    </row>
    <row r="1767" spans="2:55" s="134" customFormat="1" x14ac:dyDescent="0.2">
      <c r="B1767" s="145"/>
      <c r="D1767" s="145"/>
      <c r="Z1767" s="177"/>
      <c r="AA1767" s="178"/>
      <c r="AB1767" s="139"/>
      <c r="AC1767" s="173"/>
      <c r="AD1767" s="177"/>
      <c r="AE1767" s="177"/>
      <c r="AF1767" s="139"/>
      <c r="AG1767" s="139"/>
      <c r="AH1767" s="177"/>
      <c r="AI1767" s="178"/>
      <c r="AJ1767" s="139"/>
      <c r="AK1767" s="173"/>
      <c r="AL1767" s="177"/>
      <c r="AM1767" s="178"/>
      <c r="AN1767" s="173"/>
      <c r="AO1767" s="173"/>
      <c r="AP1767" s="173"/>
      <c r="AQ1767" s="178"/>
      <c r="AR1767" s="173"/>
      <c r="AS1767" s="173"/>
      <c r="AT1767" s="140"/>
      <c r="AX1767" s="140"/>
      <c r="BB1767" s="173"/>
      <c r="BC1767" s="173"/>
    </row>
    <row r="1768" spans="2:55" s="134" customFormat="1" x14ac:dyDescent="0.2">
      <c r="B1768" s="145"/>
      <c r="D1768" s="145"/>
      <c r="Z1768" s="177"/>
      <c r="AA1768" s="178"/>
      <c r="AB1768" s="139"/>
      <c r="AC1768" s="173"/>
      <c r="AD1768" s="177"/>
      <c r="AE1768" s="177"/>
      <c r="AF1768" s="139"/>
      <c r="AG1768" s="139"/>
      <c r="AH1768" s="177"/>
      <c r="AI1768" s="178"/>
      <c r="AJ1768" s="139"/>
      <c r="AK1768" s="173"/>
      <c r="AL1768" s="177"/>
      <c r="AM1768" s="178"/>
      <c r="AN1768" s="173"/>
      <c r="AO1768" s="173"/>
      <c r="AP1768" s="173"/>
      <c r="AQ1768" s="178"/>
      <c r="AR1768" s="173"/>
      <c r="AS1768" s="173"/>
      <c r="AT1768" s="140"/>
      <c r="AX1768" s="140"/>
      <c r="BB1768" s="173"/>
      <c r="BC1768" s="173"/>
    </row>
    <row r="1769" spans="2:55" s="134" customFormat="1" x14ac:dyDescent="0.2">
      <c r="B1769" s="145"/>
      <c r="D1769" s="145"/>
      <c r="Z1769" s="177"/>
      <c r="AA1769" s="178"/>
      <c r="AB1769" s="139"/>
      <c r="AC1769" s="173"/>
      <c r="AD1769" s="177"/>
      <c r="AE1769" s="177"/>
      <c r="AF1769" s="139"/>
      <c r="AG1769" s="139"/>
      <c r="AH1769" s="177"/>
      <c r="AI1769" s="178"/>
      <c r="AJ1769" s="139"/>
      <c r="AK1769" s="173"/>
      <c r="AL1769" s="177"/>
      <c r="AM1769" s="178"/>
      <c r="AN1769" s="173"/>
      <c r="AO1769" s="173"/>
      <c r="AP1769" s="173"/>
      <c r="AQ1769" s="178"/>
      <c r="AR1769" s="173"/>
      <c r="AS1769" s="173"/>
      <c r="AT1769" s="140"/>
      <c r="AX1769" s="140"/>
      <c r="BB1769" s="173"/>
      <c r="BC1769" s="173"/>
    </row>
    <row r="1770" spans="2:55" s="134" customFormat="1" x14ac:dyDescent="0.2">
      <c r="B1770" s="145"/>
      <c r="D1770" s="145"/>
      <c r="Z1770" s="177"/>
      <c r="AA1770" s="178"/>
      <c r="AB1770" s="139"/>
      <c r="AC1770" s="173"/>
      <c r="AD1770" s="177"/>
      <c r="AE1770" s="177"/>
      <c r="AF1770" s="139"/>
      <c r="AG1770" s="139"/>
      <c r="AH1770" s="177"/>
      <c r="AI1770" s="178"/>
      <c r="AJ1770" s="139"/>
      <c r="AK1770" s="173"/>
      <c r="AL1770" s="177"/>
      <c r="AM1770" s="178"/>
      <c r="AN1770" s="173"/>
      <c r="AO1770" s="173"/>
      <c r="AP1770" s="173"/>
      <c r="AQ1770" s="178"/>
      <c r="AR1770" s="173"/>
      <c r="AS1770" s="173"/>
      <c r="AT1770" s="140"/>
      <c r="AX1770" s="140"/>
      <c r="BB1770" s="173"/>
      <c r="BC1770" s="173"/>
    </row>
    <row r="1771" spans="2:55" s="134" customFormat="1" x14ac:dyDescent="0.2">
      <c r="B1771" s="145"/>
      <c r="D1771" s="145"/>
      <c r="Z1771" s="177"/>
      <c r="AA1771" s="178"/>
      <c r="AB1771" s="139"/>
      <c r="AC1771" s="173"/>
      <c r="AD1771" s="177"/>
      <c r="AE1771" s="177"/>
      <c r="AF1771" s="139"/>
      <c r="AG1771" s="139"/>
      <c r="AH1771" s="177"/>
      <c r="AI1771" s="178"/>
      <c r="AJ1771" s="139"/>
      <c r="AK1771" s="173"/>
      <c r="AL1771" s="177"/>
      <c r="AM1771" s="178"/>
      <c r="AN1771" s="173"/>
      <c r="AO1771" s="173"/>
      <c r="AP1771" s="173"/>
      <c r="AQ1771" s="178"/>
      <c r="AR1771" s="173"/>
      <c r="AS1771" s="173"/>
      <c r="AT1771" s="140"/>
      <c r="AX1771" s="140"/>
      <c r="BB1771" s="173"/>
      <c r="BC1771" s="173"/>
    </row>
    <row r="1772" spans="2:55" s="134" customFormat="1" x14ac:dyDescent="0.2">
      <c r="B1772" s="145"/>
      <c r="D1772" s="145"/>
      <c r="Z1772" s="177"/>
      <c r="AA1772" s="178"/>
      <c r="AB1772" s="139"/>
      <c r="AC1772" s="173"/>
      <c r="AD1772" s="177"/>
      <c r="AE1772" s="177"/>
      <c r="AF1772" s="139"/>
      <c r="AG1772" s="139"/>
      <c r="AH1772" s="177"/>
      <c r="AI1772" s="178"/>
      <c r="AJ1772" s="139"/>
      <c r="AK1772" s="173"/>
      <c r="AL1772" s="177"/>
      <c r="AM1772" s="178"/>
      <c r="AN1772" s="173"/>
      <c r="AO1772" s="173"/>
      <c r="AP1772" s="173"/>
      <c r="AQ1772" s="178"/>
      <c r="AR1772" s="173"/>
      <c r="AS1772" s="173"/>
      <c r="AT1772" s="140"/>
      <c r="AX1772" s="140"/>
      <c r="BB1772" s="173"/>
      <c r="BC1772" s="173"/>
    </row>
    <row r="1773" spans="2:55" s="134" customFormat="1" x14ac:dyDescent="0.2">
      <c r="B1773" s="145"/>
      <c r="D1773" s="145"/>
      <c r="Z1773" s="177"/>
      <c r="AA1773" s="178"/>
      <c r="AB1773" s="139"/>
      <c r="AC1773" s="173"/>
      <c r="AD1773" s="177"/>
      <c r="AE1773" s="177"/>
      <c r="AF1773" s="139"/>
      <c r="AG1773" s="139"/>
      <c r="AH1773" s="177"/>
      <c r="AI1773" s="178"/>
      <c r="AJ1773" s="139"/>
      <c r="AK1773" s="173"/>
      <c r="AL1773" s="177"/>
      <c r="AM1773" s="178"/>
      <c r="AN1773" s="173"/>
      <c r="AO1773" s="173"/>
      <c r="AP1773" s="173"/>
      <c r="AQ1773" s="178"/>
      <c r="AR1773" s="173"/>
      <c r="AS1773" s="173"/>
      <c r="AT1773" s="140"/>
      <c r="AX1773" s="140"/>
      <c r="BB1773" s="173"/>
      <c r="BC1773" s="173"/>
    </row>
    <row r="1774" spans="2:55" s="134" customFormat="1" x14ac:dyDescent="0.2">
      <c r="B1774" s="145"/>
      <c r="D1774" s="145"/>
      <c r="Z1774" s="177"/>
      <c r="AA1774" s="178"/>
      <c r="AB1774" s="139"/>
      <c r="AC1774" s="173"/>
      <c r="AD1774" s="177"/>
      <c r="AE1774" s="177"/>
      <c r="AF1774" s="139"/>
      <c r="AG1774" s="139"/>
      <c r="AH1774" s="177"/>
      <c r="AI1774" s="178"/>
      <c r="AJ1774" s="139"/>
      <c r="AK1774" s="173"/>
      <c r="AL1774" s="177"/>
      <c r="AM1774" s="178"/>
      <c r="AN1774" s="173"/>
      <c r="AO1774" s="173"/>
      <c r="AP1774" s="173"/>
      <c r="AQ1774" s="178"/>
      <c r="AR1774" s="173"/>
      <c r="AS1774" s="173"/>
      <c r="AT1774" s="140"/>
      <c r="AX1774" s="140"/>
      <c r="BB1774" s="173"/>
      <c r="BC1774" s="173"/>
    </row>
    <row r="1775" spans="2:55" s="134" customFormat="1" x14ac:dyDescent="0.2">
      <c r="B1775" s="145"/>
      <c r="D1775" s="145"/>
      <c r="Z1775" s="177"/>
      <c r="AA1775" s="178"/>
      <c r="AB1775" s="139"/>
      <c r="AC1775" s="173"/>
      <c r="AD1775" s="177"/>
      <c r="AE1775" s="177"/>
      <c r="AF1775" s="139"/>
      <c r="AG1775" s="139"/>
      <c r="AH1775" s="177"/>
      <c r="AI1775" s="178"/>
      <c r="AJ1775" s="139"/>
      <c r="AK1775" s="173"/>
      <c r="AL1775" s="177"/>
      <c r="AM1775" s="178"/>
      <c r="AN1775" s="173"/>
      <c r="AO1775" s="173"/>
      <c r="AP1775" s="173"/>
      <c r="AQ1775" s="178"/>
      <c r="AR1775" s="173"/>
      <c r="AS1775" s="173"/>
      <c r="AT1775" s="140"/>
      <c r="AX1775" s="140"/>
      <c r="BB1775" s="173"/>
      <c r="BC1775" s="173"/>
    </row>
    <row r="1776" spans="2:55" s="134" customFormat="1" x14ac:dyDescent="0.2">
      <c r="B1776" s="145"/>
      <c r="D1776" s="145"/>
      <c r="Z1776" s="177"/>
      <c r="AA1776" s="178"/>
      <c r="AB1776" s="139"/>
      <c r="AC1776" s="173"/>
      <c r="AD1776" s="177"/>
      <c r="AE1776" s="177"/>
      <c r="AF1776" s="139"/>
      <c r="AG1776" s="139"/>
      <c r="AH1776" s="177"/>
      <c r="AI1776" s="178"/>
      <c r="AJ1776" s="139"/>
      <c r="AK1776" s="173"/>
      <c r="AL1776" s="177"/>
      <c r="AM1776" s="178"/>
      <c r="AN1776" s="173"/>
      <c r="AO1776" s="173"/>
      <c r="AP1776" s="173"/>
      <c r="AQ1776" s="178"/>
      <c r="AR1776" s="173"/>
      <c r="AS1776" s="173"/>
      <c r="AT1776" s="140"/>
      <c r="AX1776" s="140"/>
      <c r="BB1776" s="173"/>
      <c r="BC1776" s="173"/>
    </row>
    <row r="1777" spans="2:55" s="134" customFormat="1" x14ac:dyDescent="0.2">
      <c r="B1777" s="145"/>
      <c r="D1777" s="145"/>
      <c r="Z1777" s="177"/>
      <c r="AA1777" s="178"/>
      <c r="AB1777" s="139"/>
      <c r="AC1777" s="173"/>
      <c r="AD1777" s="177"/>
      <c r="AE1777" s="177"/>
      <c r="AF1777" s="139"/>
      <c r="AG1777" s="139"/>
      <c r="AH1777" s="177"/>
      <c r="AI1777" s="178"/>
      <c r="AJ1777" s="139"/>
      <c r="AK1777" s="173"/>
      <c r="AL1777" s="177"/>
      <c r="AM1777" s="178"/>
      <c r="AN1777" s="173"/>
      <c r="AO1777" s="173"/>
      <c r="AP1777" s="173"/>
      <c r="AQ1777" s="178"/>
      <c r="AR1777" s="173"/>
      <c r="AS1777" s="173"/>
      <c r="AT1777" s="140"/>
      <c r="AX1777" s="140"/>
      <c r="BB1777" s="173"/>
      <c r="BC1777" s="173"/>
    </row>
    <row r="1778" spans="2:55" s="134" customFormat="1" x14ac:dyDescent="0.2">
      <c r="B1778" s="145"/>
      <c r="D1778" s="145"/>
      <c r="Z1778" s="177"/>
      <c r="AA1778" s="178"/>
      <c r="AB1778" s="139"/>
      <c r="AC1778" s="173"/>
      <c r="AD1778" s="177"/>
      <c r="AE1778" s="177"/>
      <c r="AF1778" s="139"/>
      <c r="AG1778" s="139"/>
      <c r="AH1778" s="177"/>
      <c r="AI1778" s="178"/>
      <c r="AJ1778" s="139"/>
      <c r="AK1778" s="173"/>
      <c r="AL1778" s="177"/>
      <c r="AM1778" s="178"/>
      <c r="AN1778" s="173"/>
      <c r="AO1778" s="173"/>
      <c r="AP1778" s="173"/>
      <c r="AQ1778" s="178"/>
      <c r="AR1778" s="173"/>
      <c r="AS1778" s="173"/>
      <c r="AT1778" s="140"/>
      <c r="AX1778" s="140"/>
      <c r="BB1778" s="173"/>
      <c r="BC1778" s="173"/>
    </row>
    <row r="1779" spans="2:55" s="134" customFormat="1" x14ac:dyDescent="0.2">
      <c r="B1779" s="145"/>
      <c r="D1779" s="145"/>
      <c r="Z1779" s="177"/>
      <c r="AA1779" s="178"/>
      <c r="AB1779" s="139"/>
      <c r="AC1779" s="173"/>
      <c r="AD1779" s="177"/>
      <c r="AE1779" s="177"/>
      <c r="AF1779" s="139"/>
      <c r="AG1779" s="139"/>
      <c r="AH1779" s="177"/>
      <c r="AI1779" s="178"/>
      <c r="AJ1779" s="139"/>
      <c r="AK1779" s="173"/>
      <c r="AL1779" s="177"/>
      <c r="AM1779" s="178"/>
      <c r="AN1779" s="173"/>
      <c r="AO1779" s="173"/>
      <c r="AP1779" s="173"/>
      <c r="AQ1779" s="178"/>
      <c r="AR1779" s="173"/>
      <c r="AS1779" s="173"/>
      <c r="AT1779" s="140"/>
      <c r="AX1779" s="140"/>
      <c r="BB1779" s="173"/>
      <c r="BC1779" s="173"/>
    </row>
    <row r="1780" spans="2:55" s="134" customFormat="1" x14ac:dyDescent="0.2">
      <c r="B1780" s="145"/>
      <c r="D1780" s="145"/>
      <c r="Z1780" s="177"/>
      <c r="AA1780" s="178"/>
      <c r="AB1780" s="139"/>
      <c r="AC1780" s="173"/>
      <c r="AD1780" s="177"/>
      <c r="AE1780" s="177"/>
      <c r="AF1780" s="139"/>
      <c r="AG1780" s="139"/>
      <c r="AH1780" s="177"/>
      <c r="AI1780" s="178"/>
      <c r="AJ1780" s="139"/>
      <c r="AK1780" s="173"/>
      <c r="AL1780" s="177"/>
      <c r="AM1780" s="178"/>
      <c r="AN1780" s="173"/>
      <c r="AO1780" s="173"/>
      <c r="AP1780" s="173"/>
      <c r="AQ1780" s="178"/>
      <c r="AR1780" s="173"/>
      <c r="AS1780" s="173"/>
      <c r="AT1780" s="140"/>
      <c r="AX1780" s="140"/>
      <c r="BB1780" s="173"/>
      <c r="BC1780" s="173"/>
    </row>
    <row r="1781" spans="2:55" s="134" customFormat="1" x14ac:dyDescent="0.2">
      <c r="B1781" s="145"/>
      <c r="D1781" s="145"/>
      <c r="Z1781" s="177"/>
      <c r="AA1781" s="178"/>
      <c r="AB1781" s="139"/>
      <c r="AC1781" s="173"/>
      <c r="AD1781" s="177"/>
      <c r="AE1781" s="177"/>
      <c r="AF1781" s="139"/>
      <c r="AG1781" s="139"/>
      <c r="AH1781" s="177"/>
      <c r="AI1781" s="178"/>
      <c r="AJ1781" s="139"/>
      <c r="AK1781" s="173"/>
      <c r="AL1781" s="177"/>
      <c r="AM1781" s="178"/>
      <c r="AN1781" s="173"/>
      <c r="AO1781" s="173"/>
      <c r="AP1781" s="173"/>
      <c r="AQ1781" s="178"/>
      <c r="AR1781" s="173"/>
      <c r="AS1781" s="173"/>
      <c r="AT1781" s="140"/>
      <c r="AX1781" s="140"/>
      <c r="BB1781" s="173"/>
      <c r="BC1781" s="173"/>
    </row>
    <row r="1782" spans="2:55" s="134" customFormat="1" x14ac:dyDescent="0.2">
      <c r="B1782" s="145"/>
      <c r="D1782" s="145"/>
      <c r="Z1782" s="177"/>
      <c r="AA1782" s="178"/>
      <c r="AB1782" s="139"/>
      <c r="AC1782" s="173"/>
      <c r="AD1782" s="177"/>
      <c r="AE1782" s="177"/>
      <c r="AF1782" s="139"/>
      <c r="AG1782" s="139"/>
      <c r="AH1782" s="177"/>
      <c r="AI1782" s="178"/>
      <c r="AJ1782" s="139"/>
      <c r="AK1782" s="173"/>
      <c r="AL1782" s="177"/>
      <c r="AM1782" s="178"/>
      <c r="AN1782" s="173"/>
      <c r="AO1782" s="173"/>
      <c r="AP1782" s="173"/>
      <c r="AQ1782" s="178"/>
      <c r="AR1782" s="173"/>
      <c r="AS1782" s="173"/>
      <c r="AT1782" s="140"/>
      <c r="AX1782" s="140"/>
      <c r="BB1782" s="173"/>
      <c r="BC1782" s="173"/>
    </row>
    <row r="1783" spans="2:55" s="134" customFormat="1" x14ac:dyDescent="0.2">
      <c r="B1783" s="145"/>
      <c r="D1783" s="145"/>
      <c r="Z1783" s="177"/>
      <c r="AA1783" s="178"/>
      <c r="AB1783" s="139"/>
      <c r="AC1783" s="173"/>
      <c r="AD1783" s="177"/>
      <c r="AE1783" s="177"/>
      <c r="AF1783" s="139"/>
      <c r="AG1783" s="139"/>
      <c r="AH1783" s="177"/>
      <c r="AI1783" s="178"/>
      <c r="AJ1783" s="139"/>
      <c r="AK1783" s="173"/>
      <c r="AL1783" s="177"/>
      <c r="AM1783" s="178"/>
      <c r="AN1783" s="173"/>
      <c r="AO1783" s="173"/>
      <c r="AP1783" s="173"/>
      <c r="AQ1783" s="178"/>
      <c r="AR1783" s="173"/>
      <c r="AS1783" s="173"/>
      <c r="AT1783" s="140"/>
      <c r="AX1783" s="140"/>
      <c r="BB1783" s="173"/>
      <c r="BC1783" s="173"/>
    </row>
    <row r="1784" spans="2:55" s="134" customFormat="1" x14ac:dyDescent="0.2">
      <c r="B1784" s="145"/>
      <c r="D1784" s="145"/>
      <c r="Z1784" s="177"/>
      <c r="AA1784" s="178"/>
      <c r="AB1784" s="139"/>
      <c r="AC1784" s="173"/>
      <c r="AD1784" s="177"/>
      <c r="AE1784" s="177"/>
      <c r="AF1784" s="139"/>
      <c r="AG1784" s="139"/>
      <c r="AH1784" s="177"/>
      <c r="AI1784" s="178"/>
      <c r="AJ1784" s="139"/>
      <c r="AK1784" s="173"/>
      <c r="AL1784" s="177"/>
      <c r="AM1784" s="178"/>
      <c r="AN1784" s="173"/>
      <c r="AO1784" s="173"/>
      <c r="AP1784" s="173"/>
      <c r="AQ1784" s="178"/>
      <c r="AR1784" s="173"/>
      <c r="AS1784" s="173"/>
      <c r="AT1784" s="140"/>
      <c r="AX1784" s="140"/>
      <c r="BB1784" s="173"/>
      <c r="BC1784" s="173"/>
    </row>
    <row r="1785" spans="2:55" s="134" customFormat="1" x14ac:dyDescent="0.2">
      <c r="B1785" s="145"/>
      <c r="D1785" s="145"/>
      <c r="Z1785" s="177"/>
      <c r="AA1785" s="178"/>
      <c r="AB1785" s="139"/>
      <c r="AC1785" s="173"/>
      <c r="AD1785" s="177"/>
      <c r="AE1785" s="177"/>
      <c r="AF1785" s="139"/>
      <c r="AG1785" s="139"/>
      <c r="AH1785" s="177"/>
      <c r="AI1785" s="178"/>
      <c r="AJ1785" s="139"/>
      <c r="AK1785" s="173"/>
      <c r="AL1785" s="177"/>
      <c r="AM1785" s="178"/>
      <c r="AN1785" s="173"/>
      <c r="AO1785" s="173"/>
      <c r="AP1785" s="173"/>
      <c r="AQ1785" s="178"/>
      <c r="AR1785" s="173"/>
      <c r="AS1785" s="173"/>
      <c r="AT1785" s="140"/>
      <c r="AX1785" s="140"/>
      <c r="BB1785" s="173"/>
      <c r="BC1785" s="173"/>
    </row>
    <row r="1786" spans="2:55" s="134" customFormat="1" x14ac:dyDescent="0.2">
      <c r="B1786" s="145"/>
      <c r="D1786" s="145"/>
      <c r="Z1786" s="177"/>
      <c r="AA1786" s="178"/>
      <c r="AB1786" s="139"/>
      <c r="AC1786" s="173"/>
      <c r="AD1786" s="177"/>
      <c r="AE1786" s="177"/>
      <c r="AF1786" s="139"/>
      <c r="AG1786" s="139"/>
      <c r="AH1786" s="177"/>
      <c r="AI1786" s="178"/>
      <c r="AJ1786" s="139"/>
      <c r="AK1786" s="173"/>
      <c r="AL1786" s="177"/>
      <c r="AM1786" s="178"/>
      <c r="AN1786" s="173"/>
      <c r="AO1786" s="173"/>
      <c r="AP1786" s="173"/>
      <c r="AQ1786" s="178"/>
      <c r="AR1786" s="173"/>
      <c r="AS1786" s="173"/>
      <c r="AT1786" s="140"/>
      <c r="AX1786" s="140"/>
      <c r="BB1786" s="173"/>
      <c r="BC1786" s="173"/>
    </row>
    <row r="1787" spans="2:55" s="134" customFormat="1" x14ac:dyDescent="0.2">
      <c r="B1787" s="145"/>
      <c r="D1787" s="145"/>
      <c r="Z1787" s="177"/>
      <c r="AA1787" s="178"/>
      <c r="AB1787" s="139"/>
      <c r="AC1787" s="173"/>
      <c r="AD1787" s="177"/>
      <c r="AE1787" s="177"/>
      <c r="AF1787" s="139"/>
      <c r="AG1787" s="139"/>
      <c r="AH1787" s="177"/>
      <c r="AI1787" s="178"/>
      <c r="AJ1787" s="139"/>
      <c r="AK1787" s="173"/>
      <c r="AL1787" s="177"/>
      <c r="AM1787" s="178"/>
      <c r="AN1787" s="173"/>
      <c r="AO1787" s="173"/>
      <c r="AP1787" s="173"/>
      <c r="AQ1787" s="178"/>
      <c r="AR1787" s="173"/>
      <c r="AS1787" s="173"/>
      <c r="AT1787" s="140"/>
      <c r="AX1787" s="140"/>
      <c r="BB1787" s="173"/>
      <c r="BC1787" s="173"/>
    </row>
    <row r="1788" spans="2:55" s="134" customFormat="1" x14ac:dyDescent="0.2">
      <c r="B1788" s="145"/>
      <c r="D1788" s="145"/>
      <c r="Z1788" s="177"/>
      <c r="AA1788" s="178"/>
      <c r="AB1788" s="139"/>
      <c r="AC1788" s="173"/>
      <c r="AD1788" s="177"/>
      <c r="AE1788" s="177"/>
      <c r="AF1788" s="139"/>
      <c r="AG1788" s="139"/>
      <c r="AH1788" s="177"/>
      <c r="AI1788" s="178"/>
      <c r="AJ1788" s="139"/>
      <c r="AK1788" s="173"/>
      <c r="AL1788" s="177"/>
      <c r="AM1788" s="178"/>
      <c r="AN1788" s="173"/>
      <c r="AO1788" s="173"/>
      <c r="AP1788" s="173"/>
      <c r="AQ1788" s="178"/>
      <c r="AR1788" s="173"/>
      <c r="AS1788" s="173"/>
      <c r="AT1788" s="140"/>
      <c r="AX1788" s="140"/>
      <c r="BB1788" s="173"/>
      <c r="BC1788" s="173"/>
    </row>
    <row r="1789" spans="2:55" s="134" customFormat="1" x14ac:dyDescent="0.2">
      <c r="B1789" s="145"/>
      <c r="D1789" s="145"/>
      <c r="Z1789" s="177"/>
      <c r="AA1789" s="178"/>
      <c r="AB1789" s="139"/>
      <c r="AC1789" s="173"/>
      <c r="AD1789" s="177"/>
      <c r="AE1789" s="177"/>
      <c r="AF1789" s="139"/>
      <c r="AG1789" s="139"/>
      <c r="AH1789" s="177"/>
      <c r="AI1789" s="178"/>
      <c r="AJ1789" s="139"/>
      <c r="AK1789" s="173"/>
      <c r="AL1789" s="177"/>
      <c r="AM1789" s="178"/>
      <c r="AN1789" s="173"/>
      <c r="AO1789" s="173"/>
      <c r="AP1789" s="173"/>
      <c r="AQ1789" s="178"/>
      <c r="AR1789" s="173"/>
      <c r="AS1789" s="173"/>
      <c r="AT1789" s="140"/>
      <c r="AX1789" s="140"/>
      <c r="BB1789" s="173"/>
      <c r="BC1789" s="173"/>
    </row>
    <row r="1790" spans="2:55" s="134" customFormat="1" x14ac:dyDescent="0.2">
      <c r="B1790" s="145"/>
      <c r="D1790" s="145"/>
      <c r="Z1790" s="177"/>
      <c r="AA1790" s="178"/>
      <c r="AB1790" s="139"/>
      <c r="AC1790" s="173"/>
      <c r="AD1790" s="177"/>
      <c r="AE1790" s="177"/>
      <c r="AF1790" s="139"/>
      <c r="AG1790" s="139"/>
      <c r="AH1790" s="177"/>
      <c r="AI1790" s="178"/>
      <c r="AJ1790" s="139"/>
      <c r="AK1790" s="173"/>
      <c r="AL1790" s="177"/>
      <c r="AM1790" s="178"/>
      <c r="AN1790" s="173"/>
      <c r="AO1790" s="173"/>
      <c r="AP1790" s="173"/>
      <c r="AQ1790" s="178"/>
      <c r="AR1790" s="173"/>
      <c r="AS1790" s="173"/>
      <c r="AT1790" s="140"/>
      <c r="AX1790" s="140"/>
      <c r="BB1790" s="173"/>
      <c r="BC1790" s="173"/>
    </row>
    <row r="1791" spans="2:55" s="134" customFormat="1" x14ac:dyDescent="0.2">
      <c r="B1791" s="145"/>
      <c r="D1791" s="145"/>
      <c r="Z1791" s="177"/>
      <c r="AA1791" s="178"/>
      <c r="AB1791" s="139"/>
      <c r="AC1791" s="173"/>
      <c r="AD1791" s="177"/>
      <c r="AE1791" s="177"/>
      <c r="AF1791" s="139"/>
      <c r="AG1791" s="139"/>
      <c r="AH1791" s="177"/>
      <c r="AI1791" s="178"/>
      <c r="AJ1791" s="139"/>
      <c r="AK1791" s="173"/>
      <c r="AL1791" s="177"/>
      <c r="AM1791" s="178"/>
      <c r="AN1791" s="173"/>
      <c r="AO1791" s="173"/>
      <c r="AP1791" s="173"/>
      <c r="AQ1791" s="178"/>
      <c r="AR1791" s="173"/>
      <c r="AS1791" s="173"/>
      <c r="AT1791" s="140"/>
      <c r="AX1791" s="140"/>
      <c r="BB1791" s="173"/>
      <c r="BC1791" s="173"/>
    </row>
    <row r="1792" spans="2:55" s="134" customFormat="1" x14ac:dyDescent="0.2">
      <c r="B1792" s="145"/>
      <c r="D1792" s="145"/>
      <c r="Z1792" s="177"/>
      <c r="AA1792" s="178"/>
      <c r="AB1792" s="139"/>
      <c r="AC1792" s="173"/>
      <c r="AD1792" s="177"/>
      <c r="AE1792" s="177"/>
      <c r="AF1792" s="139"/>
      <c r="AG1792" s="139"/>
      <c r="AH1792" s="177"/>
      <c r="AI1792" s="178"/>
      <c r="AJ1792" s="139"/>
      <c r="AK1792" s="173"/>
      <c r="AL1792" s="177"/>
      <c r="AM1792" s="178"/>
      <c r="AN1792" s="173"/>
      <c r="AO1792" s="173"/>
      <c r="AP1792" s="173"/>
      <c r="AQ1792" s="178"/>
      <c r="AR1792" s="173"/>
      <c r="AS1792" s="173"/>
      <c r="AT1792" s="140"/>
      <c r="AX1792" s="140"/>
      <c r="BB1792" s="173"/>
      <c r="BC1792" s="173"/>
    </row>
    <row r="1793" spans="2:55" s="134" customFormat="1" x14ac:dyDescent="0.2">
      <c r="B1793" s="145"/>
      <c r="D1793" s="145"/>
      <c r="Z1793" s="177"/>
      <c r="AA1793" s="178"/>
      <c r="AB1793" s="139"/>
      <c r="AC1793" s="173"/>
      <c r="AD1793" s="177"/>
      <c r="AE1793" s="177"/>
      <c r="AF1793" s="139"/>
      <c r="AG1793" s="139"/>
      <c r="AH1793" s="177"/>
      <c r="AI1793" s="178"/>
      <c r="AJ1793" s="139"/>
      <c r="AK1793" s="173"/>
      <c r="AL1793" s="177"/>
      <c r="AM1793" s="178"/>
      <c r="AN1793" s="173"/>
      <c r="AO1793" s="173"/>
      <c r="AP1793" s="173"/>
      <c r="AQ1793" s="178"/>
      <c r="AR1793" s="173"/>
      <c r="AS1793" s="173"/>
      <c r="AT1793" s="140"/>
      <c r="AX1793" s="140"/>
      <c r="BB1793" s="173"/>
      <c r="BC1793" s="173"/>
    </row>
    <row r="1794" spans="2:55" s="134" customFormat="1" x14ac:dyDescent="0.2">
      <c r="B1794" s="145"/>
      <c r="D1794" s="145"/>
      <c r="Z1794" s="177"/>
      <c r="AA1794" s="178"/>
      <c r="AB1794" s="139"/>
      <c r="AC1794" s="173"/>
      <c r="AD1794" s="177"/>
      <c r="AE1794" s="177"/>
      <c r="AF1794" s="139"/>
      <c r="AG1794" s="139"/>
      <c r="AH1794" s="177"/>
      <c r="AI1794" s="178"/>
      <c r="AJ1794" s="139"/>
      <c r="AK1794" s="173"/>
      <c r="AL1794" s="177"/>
      <c r="AM1794" s="178"/>
      <c r="AN1794" s="173"/>
      <c r="AO1794" s="173"/>
      <c r="AP1794" s="173"/>
      <c r="AQ1794" s="178"/>
      <c r="AR1794" s="173"/>
      <c r="AS1794" s="173"/>
      <c r="AT1794" s="140"/>
      <c r="AX1794" s="140"/>
      <c r="BB1794" s="173"/>
      <c r="BC1794" s="173"/>
    </row>
    <row r="1795" spans="2:55" s="134" customFormat="1" x14ac:dyDescent="0.2">
      <c r="B1795" s="145"/>
      <c r="D1795" s="145"/>
      <c r="Z1795" s="177"/>
      <c r="AA1795" s="178"/>
      <c r="AB1795" s="139"/>
      <c r="AC1795" s="173"/>
      <c r="AD1795" s="177"/>
      <c r="AE1795" s="177"/>
      <c r="AF1795" s="139"/>
      <c r="AG1795" s="139"/>
      <c r="AH1795" s="177"/>
      <c r="AI1795" s="178"/>
      <c r="AJ1795" s="139"/>
      <c r="AK1795" s="173"/>
      <c r="AL1795" s="177"/>
      <c r="AM1795" s="178"/>
      <c r="AN1795" s="173"/>
      <c r="AO1795" s="173"/>
      <c r="AP1795" s="173"/>
      <c r="AQ1795" s="178"/>
      <c r="AR1795" s="173"/>
      <c r="AS1795" s="173"/>
      <c r="AT1795" s="140"/>
      <c r="AX1795" s="140"/>
      <c r="BB1795" s="173"/>
      <c r="BC1795" s="173"/>
    </row>
    <row r="1796" spans="2:55" s="134" customFormat="1" x14ac:dyDescent="0.2">
      <c r="B1796" s="145"/>
      <c r="D1796" s="145"/>
      <c r="Z1796" s="177"/>
      <c r="AA1796" s="178"/>
      <c r="AB1796" s="139"/>
      <c r="AC1796" s="173"/>
      <c r="AD1796" s="177"/>
      <c r="AE1796" s="177"/>
      <c r="AF1796" s="139"/>
      <c r="AG1796" s="139"/>
      <c r="AH1796" s="177"/>
      <c r="AI1796" s="178"/>
      <c r="AJ1796" s="139"/>
      <c r="AK1796" s="173"/>
      <c r="AL1796" s="177"/>
      <c r="AM1796" s="178"/>
      <c r="AN1796" s="173"/>
      <c r="AO1796" s="173"/>
      <c r="AP1796" s="173"/>
      <c r="AQ1796" s="178"/>
      <c r="AR1796" s="173"/>
      <c r="AS1796" s="173"/>
      <c r="AT1796" s="140"/>
      <c r="AX1796" s="140"/>
      <c r="BB1796" s="173"/>
      <c r="BC1796" s="173"/>
    </row>
    <row r="1797" spans="2:55" s="134" customFormat="1" x14ac:dyDescent="0.2">
      <c r="B1797" s="145"/>
      <c r="D1797" s="145"/>
      <c r="Z1797" s="177"/>
      <c r="AA1797" s="178"/>
      <c r="AB1797" s="139"/>
      <c r="AC1797" s="173"/>
      <c r="AD1797" s="177"/>
      <c r="AE1797" s="177"/>
      <c r="AF1797" s="139"/>
      <c r="AG1797" s="139"/>
      <c r="AH1797" s="177"/>
      <c r="AI1797" s="178"/>
      <c r="AJ1797" s="139"/>
      <c r="AK1797" s="173"/>
      <c r="AL1797" s="177"/>
      <c r="AM1797" s="178"/>
      <c r="AN1797" s="173"/>
      <c r="AO1797" s="173"/>
      <c r="AP1797" s="173"/>
      <c r="AQ1797" s="178"/>
      <c r="AR1797" s="173"/>
      <c r="AS1797" s="173"/>
      <c r="AT1797" s="140"/>
      <c r="AX1797" s="140"/>
      <c r="BB1797" s="173"/>
      <c r="BC1797" s="173"/>
    </row>
    <row r="1798" spans="2:55" s="134" customFormat="1" x14ac:dyDescent="0.2">
      <c r="B1798" s="145"/>
      <c r="D1798" s="145"/>
      <c r="Z1798" s="177"/>
      <c r="AA1798" s="178"/>
      <c r="AB1798" s="139"/>
      <c r="AC1798" s="173"/>
      <c r="AD1798" s="177"/>
      <c r="AE1798" s="177"/>
      <c r="AF1798" s="139"/>
      <c r="AG1798" s="139"/>
      <c r="AH1798" s="177"/>
      <c r="AI1798" s="178"/>
      <c r="AJ1798" s="139"/>
      <c r="AK1798" s="173"/>
      <c r="AL1798" s="177"/>
      <c r="AM1798" s="178"/>
      <c r="AN1798" s="173"/>
      <c r="AO1798" s="173"/>
      <c r="AP1798" s="173"/>
      <c r="AQ1798" s="178"/>
      <c r="AR1798" s="173"/>
      <c r="AS1798" s="173"/>
      <c r="AT1798" s="140"/>
      <c r="AX1798" s="140"/>
      <c r="BB1798" s="173"/>
      <c r="BC1798" s="173"/>
    </row>
    <row r="1799" spans="2:55" s="134" customFormat="1" x14ac:dyDescent="0.2">
      <c r="B1799" s="145"/>
      <c r="D1799" s="145"/>
      <c r="Z1799" s="177"/>
      <c r="AA1799" s="178"/>
      <c r="AB1799" s="139"/>
      <c r="AC1799" s="173"/>
      <c r="AD1799" s="177"/>
      <c r="AE1799" s="177"/>
      <c r="AF1799" s="139"/>
      <c r="AG1799" s="139"/>
      <c r="AH1799" s="177"/>
      <c r="AI1799" s="178"/>
      <c r="AJ1799" s="139"/>
      <c r="AK1799" s="173"/>
      <c r="AL1799" s="177"/>
      <c r="AM1799" s="178"/>
      <c r="AN1799" s="173"/>
      <c r="AO1799" s="173"/>
      <c r="AP1799" s="173"/>
      <c r="AQ1799" s="178"/>
      <c r="AR1799" s="173"/>
      <c r="AS1799" s="173"/>
      <c r="AT1799" s="140"/>
      <c r="AX1799" s="140"/>
      <c r="BB1799" s="173"/>
      <c r="BC1799" s="173"/>
    </row>
    <row r="1800" spans="2:55" s="134" customFormat="1" x14ac:dyDescent="0.2">
      <c r="B1800" s="145"/>
      <c r="D1800" s="145"/>
      <c r="Z1800" s="177"/>
      <c r="AA1800" s="178"/>
      <c r="AB1800" s="139"/>
      <c r="AC1800" s="173"/>
      <c r="AD1800" s="177"/>
      <c r="AE1800" s="177"/>
      <c r="AF1800" s="139"/>
      <c r="AG1800" s="139"/>
      <c r="AH1800" s="177"/>
      <c r="AI1800" s="178"/>
      <c r="AJ1800" s="139"/>
      <c r="AK1800" s="173"/>
      <c r="AL1800" s="177"/>
      <c r="AM1800" s="178"/>
      <c r="AN1800" s="173"/>
      <c r="AO1800" s="173"/>
      <c r="AP1800" s="173"/>
      <c r="AQ1800" s="178"/>
      <c r="AR1800" s="173"/>
      <c r="AS1800" s="173"/>
      <c r="AT1800" s="140"/>
      <c r="AX1800" s="140"/>
      <c r="BB1800" s="173"/>
      <c r="BC1800" s="173"/>
    </row>
    <row r="1801" spans="2:55" s="134" customFormat="1" x14ac:dyDescent="0.2">
      <c r="B1801" s="145"/>
      <c r="D1801" s="145"/>
      <c r="Z1801" s="177"/>
      <c r="AA1801" s="178"/>
      <c r="AB1801" s="139"/>
      <c r="AC1801" s="173"/>
      <c r="AD1801" s="177"/>
      <c r="AE1801" s="177"/>
      <c r="AF1801" s="139"/>
      <c r="AG1801" s="139"/>
      <c r="AH1801" s="177"/>
      <c r="AI1801" s="178"/>
      <c r="AJ1801" s="139"/>
      <c r="AK1801" s="173"/>
      <c r="AL1801" s="177"/>
      <c r="AM1801" s="178"/>
      <c r="AN1801" s="173"/>
      <c r="AO1801" s="173"/>
      <c r="AP1801" s="173"/>
      <c r="AQ1801" s="178"/>
      <c r="AR1801" s="173"/>
      <c r="AS1801" s="173"/>
      <c r="AT1801" s="140"/>
      <c r="AX1801" s="140"/>
      <c r="BB1801" s="173"/>
      <c r="BC1801" s="173"/>
    </row>
    <row r="1802" spans="2:55" s="134" customFormat="1" x14ac:dyDescent="0.2">
      <c r="B1802" s="145"/>
      <c r="D1802" s="145"/>
      <c r="Z1802" s="177"/>
      <c r="AA1802" s="178"/>
      <c r="AB1802" s="139"/>
      <c r="AC1802" s="173"/>
      <c r="AD1802" s="177"/>
      <c r="AE1802" s="177"/>
      <c r="AF1802" s="139"/>
      <c r="AG1802" s="139"/>
      <c r="AH1802" s="177"/>
      <c r="AI1802" s="178"/>
      <c r="AJ1802" s="139"/>
      <c r="AK1802" s="173"/>
      <c r="AL1802" s="177"/>
      <c r="AM1802" s="178"/>
      <c r="AN1802" s="173"/>
      <c r="AO1802" s="173"/>
      <c r="AP1802" s="173"/>
      <c r="AQ1802" s="178"/>
      <c r="AR1802" s="173"/>
      <c r="AS1802" s="173"/>
      <c r="AT1802" s="140"/>
      <c r="AX1802" s="140"/>
      <c r="BB1802" s="173"/>
      <c r="BC1802" s="173"/>
    </row>
    <row r="1803" spans="2:55" s="134" customFormat="1" x14ac:dyDescent="0.2">
      <c r="B1803" s="145"/>
      <c r="D1803" s="145"/>
      <c r="Z1803" s="177"/>
      <c r="AA1803" s="178"/>
      <c r="AB1803" s="139"/>
      <c r="AC1803" s="173"/>
      <c r="AD1803" s="177"/>
      <c r="AE1803" s="177"/>
      <c r="AF1803" s="139"/>
      <c r="AG1803" s="139"/>
      <c r="AH1803" s="177"/>
      <c r="AI1803" s="178"/>
      <c r="AJ1803" s="139"/>
      <c r="AK1803" s="173"/>
      <c r="AL1803" s="177"/>
      <c r="AM1803" s="178"/>
      <c r="AN1803" s="173"/>
      <c r="AO1803" s="173"/>
      <c r="AP1803" s="173"/>
      <c r="AQ1803" s="178"/>
      <c r="AR1803" s="173"/>
      <c r="AS1803" s="173"/>
      <c r="AT1803" s="140"/>
      <c r="AX1803" s="140"/>
      <c r="BB1803" s="173"/>
      <c r="BC1803" s="173"/>
    </row>
    <row r="1804" spans="2:55" s="134" customFormat="1" x14ac:dyDescent="0.2">
      <c r="B1804" s="145"/>
      <c r="D1804" s="145"/>
      <c r="Z1804" s="177"/>
      <c r="AA1804" s="178"/>
      <c r="AB1804" s="139"/>
      <c r="AC1804" s="173"/>
      <c r="AD1804" s="177"/>
      <c r="AE1804" s="177"/>
      <c r="AF1804" s="139"/>
      <c r="AG1804" s="139"/>
      <c r="AH1804" s="177"/>
      <c r="AI1804" s="178"/>
      <c r="AJ1804" s="139"/>
      <c r="AK1804" s="173"/>
      <c r="AL1804" s="177"/>
      <c r="AM1804" s="178"/>
      <c r="AN1804" s="173"/>
      <c r="AO1804" s="173"/>
      <c r="AP1804" s="173"/>
      <c r="AQ1804" s="178"/>
      <c r="AR1804" s="173"/>
      <c r="AS1804" s="173"/>
      <c r="AT1804" s="140"/>
      <c r="AX1804" s="140"/>
      <c r="BB1804" s="173"/>
      <c r="BC1804" s="173"/>
    </row>
    <row r="1805" spans="2:55" s="134" customFormat="1" x14ac:dyDescent="0.2">
      <c r="B1805" s="145"/>
      <c r="D1805" s="145"/>
      <c r="Z1805" s="177"/>
      <c r="AA1805" s="178"/>
      <c r="AB1805" s="139"/>
      <c r="AC1805" s="173"/>
      <c r="AD1805" s="177"/>
      <c r="AE1805" s="177"/>
      <c r="AF1805" s="139"/>
      <c r="AG1805" s="139"/>
      <c r="AH1805" s="177"/>
      <c r="AI1805" s="178"/>
      <c r="AJ1805" s="139"/>
      <c r="AK1805" s="173"/>
      <c r="AL1805" s="177"/>
      <c r="AM1805" s="178"/>
      <c r="AN1805" s="173"/>
      <c r="AO1805" s="173"/>
      <c r="AP1805" s="173"/>
      <c r="AQ1805" s="178"/>
      <c r="AR1805" s="173"/>
      <c r="AS1805" s="173"/>
      <c r="AT1805" s="140"/>
      <c r="AX1805" s="140"/>
      <c r="BB1805" s="173"/>
      <c r="BC1805" s="173"/>
    </row>
    <row r="1806" spans="2:55" s="134" customFormat="1" x14ac:dyDescent="0.2">
      <c r="B1806" s="145"/>
      <c r="D1806" s="145"/>
      <c r="Z1806" s="177"/>
      <c r="AA1806" s="178"/>
      <c r="AB1806" s="139"/>
      <c r="AC1806" s="173"/>
      <c r="AD1806" s="177"/>
      <c r="AE1806" s="177"/>
      <c r="AF1806" s="139"/>
      <c r="AG1806" s="139"/>
      <c r="AH1806" s="177"/>
      <c r="AI1806" s="178"/>
      <c r="AJ1806" s="139"/>
      <c r="AK1806" s="173"/>
      <c r="AL1806" s="177"/>
      <c r="AM1806" s="178"/>
      <c r="AN1806" s="173"/>
      <c r="AO1806" s="173"/>
      <c r="AP1806" s="173"/>
      <c r="AQ1806" s="178"/>
      <c r="AR1806" s="173"/>
      <c r="AS1806" s="173"/>
      <c r="AT1806" s="140"/>
      <c r="AX1806" s="140"/>
      <c r="BB1806" s="173"/>
      <c r="BC1806" s="173"/>
    </row>
    <row r="1807" spans="2:55" s="134" customFormat="1" x14ac:dyDescent="0.2">
      <c r="B1807" s="145"/>
      <c r="D1807" s="145"/>
      <c r="Z1807" s="177"/>
      <c r="AA1807" s="178"/>
      <c r="AB1807" s="139"/>
      <c r="AC1807" s="173"/>
      <c r="AD1807" s="177"/>
      <c r="AE1807" s="177"/>
      <c r="AF1807" s="139"/>
      <c r="AG1807" s="139"/>
      <c r="AH1807" s="177"/>
      <c r="AI1807" s="178"/>
      <c r="AJ1807" s="139"/>
      <c r="AK1807" s="173"/>
      <c r="AL1807" s="177"/>
      <c r="AM1807" s="178"/>
      <c r="AN1807" s="173"/>
      <c r="AO1807" s="173"/>
      <c r="AP1807" s="173"/>
      <c r="AQ1807" s="178"/>
      <c r="AR1807" s="173"/>
      <c r="AS1807" s="173"/>
      <c r="AT1807" s="140"/>
      <c r="AX1807" s="140"/>
      <c r="BB1807" s="173"/>
      <c r="BC1807" s="173"/>
    </row>
    <row r="1808" spans="2:55" s="134" customFormat="1" x14ac:dyDescent="0.2">
      <c r="B1808" s="145"/>
      <c r="D1808" s="145"/>
      <c r="Z1808" s="177"/>
      <c r="AA1808" s="178"/>
      <c r="AB1808" s="139"/>
      <c r="AC1808" s="173"/>
      <c r="AD1808" s="177"/>
      <c r="AE1808" s="177"/>
      <c r="AF1808" s="139"/>
      <c r="AG1808" s="139"/>
      <c r="AH1808" s="177"/>
      <c r="AI1808" s="178"/>
      <c r="AJ1808" s="139"/>
      <c r="AK1808" s="173"/>
      <c r="AL1808" s="177"/>
      <c r="AM1808" s="178"/>
      <c r="AN1808" s="173"/>
      <c r="AO1808" s="173"/>
      <c r="AP1808" s="173"/>
      <c r="AQ1808" s="178"/>
      <c r="AR1808" s="173"/>
      <c r="AS1808" s="173"/>
      <c r="AT1808" s="140"/>
      <c r="AX1808" s="140"/>
      <c r="BB1808" s="173"/>
      <c r="BC1808" s="173"/>
    </row>
    <row r="1809" spans="2:55" s="134" customFormat="1" x14ac:dyDescent="0.2">
      <c r="B1809" s="145"/>
      <c r="D1809" s="145"/>
      <c r="Z1809" s="177"/>
      <c r="AA1809" s="178"/>
      <c r="AB1809" s="139"/>
      <c r="AC1809" s="173"/>
      <c r="AD1809" s="177"/>
      <c r="AE1809" s="177"/>
      <c r="AF1809" s="139"/>
      <c r="AG1809" s="139"/>
      <c r="AH1809" s="177"/>
      <c r="AI1809" s="178"/>
      <c r="AJ1809" s="139"/>
      <c r="AK1809" s="173"/>
      <c r="AL1809" s="177"/>
      <c r="AM1809" s="178"/>
      <c r="AN1809" s="173"/>
      <c r="AO1809" s="173"/>
      <c r="AP1809" s="173"/>
      <c r="AQ1809" s="178"/>
      <c r="AR1809" s="173"/>
      <c r="AS1809" s="173"/>
      <c r="AT1809" s="140"/>
      <c r="AX1809" s="140"/>
      <c r="BB1809" s="173"/>
      <c r="BC1809" s="173"/>
    </row>
    <row r="1810" spans="2:55" s="134" customFormat="1" x14ac:dyDescent="0.2">
      <c r="B1810" s="145"/>
      <c r="D1810" s="145"/>
      <c r="Z1810" s="177"/>
      <c r="AA1810" s="178"/>
      <c r="AB1810" s="139"/>
      <c r="AC1810" s="173"/>
      <c r="AD1810" s="177"/>
      <c r="AE1810" s="177"/>
      <c r="AF1810" s="139"/>
      <c r="AG1810" s="139"/>
      <c r="AH1810" s="177"/>
      <c r="AI1810" s="178"/>
      <c r="AJ1810" s="139"/>
      <c r="AK1810" s="173"/>
      <c r="AL1810" s="177"/>
      <c r="AM1810" s="178"/>
      <c r="AN1810" s="173"/>
      <c r="AO1810" s="173"/>
      <c r="AP1810" s="173"/>
      <c r="AQ1810" s="178"/>
      <c r="AR1810" s="173"/>
      <c r="AS1810" s="173"/>
      <c r="AT1810" s="140"/>
      <c r="AX1810" s="140"/>
      <c r="BB1810" s="173"/>
      <c r="BC1810" s="173"/>
    </row>
    <row r="1811" spans="2:55" s="134" customFormat="1" x14ac:dyDescent="0.2">
      <c r="B1811" s="145"/>
      <c r="D1811" s="145"/>
      <c r="Z1811" s="177"/>
      <c r="AA1811" s="178"/>
      <c r="AB1811" s="139"/>
      <c r="AC1811" s="173"/>
      <c r="AD1811" s="177"/>
      <c r="AE1811" s="177"/>
      <c r="AF1811" s="139"/>
      <c r="AG1811" s="139"/>
      <c r="AH1811" s="177"/>
      <c r="AI1811" s="178"/>
      <c r="AJ1811" s="139"/>
      <c r="AK1811" s="173"/>
      <c r="AL1811" s="177"/>
      <c r="AM1811" s="178"/>
      <c r="AN1811" s="173"/>
      <c r="AO1811" s="173"/>
      <c r="AP1811" s="173"/>
      <c r="AQ1811" s="178"/>
      <c r="AR1811" s="173"/>
      <c r="AS1811" s="173"/>
      <c r="AT1811" s="140"/>
      <c r="AX1811" s="140"/>
      <c r="BB1811" s="173"/>
      <c r="BC1811" s="173"/>
    </row>
    <row r="1812" spans="2:55" s="134" customFormat="1" x14ac:dyDescent="0.2">
      <c r="B1812" s="145"/>
      <c r="D1812" s="145"/>
      <c r="Z1812" s="177"/>
      <c r="AA1812" s="178"/>
      <c r="AB1812" s="139"/>
      <c r="AC1812" s="173"/>
      <c r="AD1812" s="177"/>
      <c r="AE1812" s="177"/>
      <c r="AF1812" s="139"/>
      <c r="AG1812" s="139"/>
      <c r="AH1812" s="177"/>
      <c r="AI1812" s="178"/>
      <c r="AJ1812" s="139"/>
      <c r="AK1812" s="173"/>
      <c r="AL1812" s="177"/>
      <c r="AM1812" s="178"/>
      <c r="AN1812" s="173"/>
      <c r="AO1812" s="173"/>
      <c r="AP1812" s="173"/>
      <c r="AQ1812" s="178"/>
      <c r="AR1812" s="173"/>
      <c r="AS1812" s="173"/>
      <c r="AT1812" s="140"/>
      <c r="AX1812" s="140"/>
      <c r="BB1812" s="173"/>
      <c r="BC1812" s="173"/>
    </row>
    <row r="1813" spans="2:55" s="134" customFormat="1" x14ac:dyDescent="0.2">
      <c r="B1813" s="145"/>
      <c r="D1813" s="145"/>
      <c r="Z1813" s="177"/>
      <c r="AA1813" s="178"/>
      <c r="AB1813" s="139"/>
      <c r="AC1813" s="173"/>
      <c r="AD1813" s="177"/>
      <c r="AE1813" s="177"/>
      <c r="AF1813" s="139"/>
      <c r="AG1813" s="139"/>
      <c r="AH1813" s="177"/>
      <c r="AI1813" s="178"/>
      <c r="AJ1813" s="139"/>
      <c r="AK1813" s="173"/>
      <c r="AL1813" s="177"/>
      <c r="AM1813" s="178"/>
      <c r="AN1813" s="173"/>
      <c r="AO1813" s="173"/>
      <c r="AP1813" s="173"/>
      <c r="AQ1813" s="178"/>
      <c r="AR1813" s="173"/>
      <c r="AS1813" s="173"/>
      <c r="AT1813" s="140"/>
      <c r="AX1813" s="140"/>
      <c r="BB1813" s="173"/>
      <c r="BC1813" s="173"/>
    </row>
    <row r="1814" spans="2:55" s="134" customFormat="1" x14ac:dyDescent="0.2">
      <c r="B1814" s="145"/>
      <c r="D1814" s="145"/>
      <c r="Z1814" s="177"/>
      <c r="AA1814" s="178"/>
      <c r="AB1814" s="139"/>
      <c r="AC1814" s="173"/>
      <c r="AD1814" s="177"/>
      <c r="AE1814" s="177"/>
      <c r="AF1814" s="139"/>
      <c r="AG1814" s="139"/>
      <c r="AH1814" s="177"/>
      <c r="AI1814" s="178"/>
      <c r="AJ1814" s="139"/>
      <c r="AK1814" s="173"/>
      <c r="AL1814" s="177"/>
      <c r="AM1814" s="178"/>
      <c r="AN1814" s="173"/>
      <c r="AO1814" s="173"/>
      <c r="AP1814" s="173"/>
      <c r="AQ1814" s="178"/>
      <c r="AR1814" s="173"/>
      <c r="AS1814" s="173"/>
      <c r="AT1814" s="140"/>
      <c r="AX1814" s="140"/>
      <c r="BB1814" s="173"/>
      <c r="BC1814" s="173"/>
    </row>
    <row r="1815" spans="2:55" s="134" customFormat="1" x14ac:dyDescent="0.2">
      <c r="B1815" s="145"/>
      <c r="D1815" s="145"/>
      <c r="Z1815" s="177"/>
      <c r="AA1815" s="178"/>
      <c r="AB1815" s="139"/>
      <c r="AC1815" s="173"/>
      <c r="AD1815" s="177"/>
      <c r="AE1815" s="177"/>
      <c r="AF1815" s="139"/>
      <c r="AG1815" s="139"/>
      <c r="AH1815" s="177"/>
      <c r="AI1815" s="178"/>
      <c r="AJ1815" s="139"/>
      <c r="AK1815" s="173"/>
      <c r="AL1815" s="177"/>
      <c r="AM1815" s="178"/>
      <c r="AN1815" s="173"/>
      <c r="AO1815" s="173"/>
      <c r="AP1815" s="173"/>
      <c r="AQ1815" s="178"/>
      <c r="AR1815" s="173"/>
      <c r="AS1815" s="173"/>
      <c r="AT1815" s="140"/>
      <c r="AX1815" s="140"/>
      <c r="BB1815" s="173"/>
      <c r="BC1815" s="173"/>
    </row>
    <row r="1816" spans="2:55" s="134" customFormat="1" x14ac:dyDescent="0.2">
      <c r="B1816" s="145"/>
      <c r="D1816" s="145"/>
      <c r="Z1816" s="177"/>
      <c r="AA1816" s="178"/>
      <c r="AB1816" s="139"/>
      <c r="AC1816" s="173"/>
      <c r="AD1816" s="177"/>
      <c r="AE1816" s="177"/>
      <c r="AF1816" s="139"/>
      <c r="AG1816" s="139"/>
      <c r="AH1816" s="177"/>
      <c r="AI1816" s="178"/>
      <c r="AJ1816" s="139"/>
      <c r="AK1816" s="173"/>
      <c r="AL1816" s="177"/>
      <c r="AM1816" s="178"/>
      <c r="AN1816" s="173"/>
      <c r="AO1816" s="173"/>
      <c r="AP1816" s="173"/>
      <c r="AQ1816" s="178"/>
      <c r="AR1816" s="173"/>
      <c r="AS1816" s="173"/>
      <c r="AT1816" s="140"/>
      <c r="AX1816" s="140"/>
      <c r="BB1816" s="173"/>
      <c r="BC1816" s="173"/>
    </row>
    <row r="1817" spans="2:55" s="134" customFormat="1" x14ac:dyDescent="0.2">
      <c r="B1817" s="145"/>
      <c r="D1817" s="145"/>
      <c r="Z1817" s="177"/>
      <c r="AA1817" s="178"/>
      <c r="AB1817" s="139"/>
      <c r="AC1817" s="173"/>
      <c r="AD1817" s="177"/>
      <c r="AE1817" s="177"/>
      <c r="AF1817" s="139"/>
      <c r="AG1817" s="139"/>
      <c r="AH1817" s="177"/>
      <c r="AI1817" s="178"/>
      <c r="AJ1817" s="139"/>
      <c r="AK1817" s="173"/>
      <c r="AL1817" s="177"/>
      <c r="AM1817" s="178"/>
      <c r="AN1817" s="173"/>
      <c r="AO1817" s="173"/>
      <c r="AP1817" s="173"/>
      <c r="AQ1817" s="178"/>
      <c r="AR1817" s="173"/>
      <c r="AS1817" s="173"/>
      <c r="AT1817" s="140"/>
      <c r="AX1817" s="140"/>
      <c r="BB1817" s="173"/>
      <c r="BC1817" s="173"/>
    </row>
    <row r="1818" spans="2:55" s="134" customFormat="1" x14ac:dyDescent="0.2">
      <c r="B1818" s="145"/>
      <c r="D1818" s="145"/>
      <c r="Z1818" s="177"/>
      <c r="AA1818" s="178"/>
      <c r="AB1818" s="139"/>
      <c r="AC1818" s="173"/>
      <c r="AD1818" s="177"/>
      <c r="AE1818" s="177"/>
      <c r="AF1818" s="139"/>
      <c r="AG1818" s="139"/>
      <c r="AH1818" s="177"/>
      <c r="AI1818" s="178"/>
      <c r="AJ1818" s="139"/>
      <c r="AK1818" s="173"/>
      <c r="AL1818" s="177"/>
      <c r="AM1818" s="178"/>
      <c r="AN1818" s="173"/>
      <c r="AO1818" s="173"/>
      <c r="AP1818" s="173"/>
      <c r="AQ1818" s="178"/>
      <c r="AR1818" s="173"/>
      <c r="AS1818" s="173"/>
      <c r="AT1818" s="140"/>
      <c r="AX1818" s="140"/>
      <c r="BB1818" s="173"/>
      <c r="BC1818" s="173"/>
    </row>
    <row r="1819" spans="2:55" s="134" customFormat="1" x14ac:dyDescent="0.2">
      <c r="B1819" s="145"/>
      <c r="D1819" s="145"/>
      <c r="Z1819" s="177"/>
      <c r="AA1819" s="178"/>
      <c r="AB1819" s="139"/>
      <c r="AC1819" s="173"/>
      <c r="AD1819" s="177"/>
      <c r="AE1819" s="177"/>
      <c r="AF1819" s="139"/>
      <c r="AG1819" s="139"/>
      <c r="AH1819" s="177"/>
      <c r="AI1819" s="178"/>
      <c r="AJ1819" s="139"/>
      <c r="AK1819" s="173"/>
      <c r="AL1819" s="177"/>
      <c r="AM1819" s="178"/>
      <c r="AN1819" s="173"/>
      <c r="AO1819" s="173"/>
      <c r="AP1819" s="173"/>
      <c r="AQ1819" s="178"/>
      <c r="AR1819" s="173"/>
      <c r="AS1819" s="173"/>
      <c r="AT1819" s="140"/>
      <c r="AX1819" s="140"/>
      <c r="BB1819" s="173"/>
      <c r="BC1819" s="173"/>
    </row>
    <row r="1820" spans="2:55" s="134" customFormat="1" x14ac:dyDescent="0.2">
      <c r="B1820" s="145"/>
      <c r="D1820" s="145"/>
      <c r="Z1820" s="177"/>
      <c r="AA1820" s="178"/>
      <c r="AB1820" s="139"/>
      <c r="AC1820" s="173"/>
      <c r="AD1820" s="177"/>
      <c r="AE1820" s="177"/>
      <c r="AF1820" s="139"/>
      <c r="AG1820" s="139"/>
      <c r="AH1820" s="177"/>
      <c r="AI1820" s="178"/>
      <c r="AJ1820" s="139"/>
      <c r="AK1820" s="173"/>
      <c r="AL1820" s="177"/>
      <c r="AM1820" s="178"/>
      <c r="AN1820" s="173"/>
      <c r="AO1820" s="173"/>
      <c r="AP1820" s="173"/>
      <c r="AQ1820" s="178"/>
      <c r="AR1820" s="173"/>
      <c r="AS1820" s="173"/>
      <c r="AT1820" s="140"/>
      <c r="AX1820" s="140"/>
      <c r="BB1820" s="173"/>
      <c r="BC1820" s="173"/>
    </row>
    <row r="1821" spans="2:55" s="134" customFormat="1" x14ac:dyDescent="0.2">
      <c r="B1821" s="145"/>
      <c r="D1821" s="145"/>
      <c r="Z1821" s="177"/>
      <c r="AA1821" s="178"/>
      <c r="AB1821" s="139"/>
      <c r="AC1821" s="173"/>
      <c r="AD1821" s="177"/>
      <c r="AE1821" s="177"/>
      <c r="AF1821" s="139"/>
      <c r="AG1821" s="139"/>
      <c r="AH1821" s="177"/>
      <c r="AI1821" s="178"/>
      <c r="AJ1821" s="139"/>
      <c r="AK1821" s="173"/>
      <c r="AL1821" s="177"/>
      <c r="AM1821" s="178"/>
      <c r="AN1821" s="173"/>
      <c r="AO1821" s="173"/>
      <c r="AP1821" s="173"/>
      <c r="AQ1821" s="178"/>
      <c r="AR1821" s="173"/>
      <c r="AS1821" s="173"/>
      <c r="AT1821" s="140"/>
      <c r="AX1821" s="140"/>
      <c r="BB1821" s="173"/>
      <c r="BC1821" s="173"/>
    </row>
    <row r="1822" spans="2:55" s="134" customFormat="1" x14ac:dyDescent="0.2">
      <c r="B1822" s="145"/>
      <c r="D1822" s="145"/>
      <c r="Z1822" s="177"/>
      <c r="AA1822" s="178"/>
      <c r="AB1822" s="139"/>
      <c r="AC1822" s="173"/>
      <c r="AD1822" s="177"/>
      <c r="AE1822" s="177"/>
      <c r="AF1822" s="139"/>
      <c r="AG1822" s="139"/>
      <c r="AH1822" s="177"/>
      <c r="AI1822" s="178"/>
      <c r="AJ1822" s="139"/>
      <c r="AK1822" s="173"/>
      <c r="AL1822" s="177"/>
      <c r="AM1822" s="178"/>
      <c r="AN1822" s="173"/>
      <c r="AO1822" s="173"/>
      <c r="AP1822" s="173"/>
      <c r="AQ1822" s="178"/>
      <c r="AR1822" s="173"/>
      <c r="AS1822" s="173"/>
      <c r="AT1822" s="140"/>
      <c r="AX1822" s="140"/>
      <c r="BB1822" s="173"/>
      <c r="BC1822" s="173"/>
    </row>
    <row r="1823" spans="2:55" s="134" customFormat="1" x14ac:dyDescent="0.2">
      <c r="B1823" s="145"/>
      <c r="D1823" s="145"/>
      <c r="Z1823" s="177"/>
      <c r="AA1823" s="178"/>
      <c r="AB1823" s="139"/>
      <c r="AC1823" s="173"/>
      <c r="AD1823" s="177"/>
      <c r="AE1823" s="177"/>
      <c r="AF1823" s="139"/>
      <c r="AG1823" s="139"/>
      <c r="AH1823" s="177"/>
      <c r="AI1823" s="178"/>
      <c r="AJ1823" s="139"/>
      <c r="AK1823" s="173"/>
      <c r="AL1823" s="177"/>
      <c r="AM1823" s="178"/>
      <c r="AN1823" s="173"/>
      <c r="AO1823" s="173"/>
      <c r="AP1823" s="173"/>
      <c r="AQ1823" s="178"/>
      <c r="AR1823" s="173"/>
      <c r="AS1823" s="173"/>
      <c r="AT1823" s="140"/>
      <c r="AX1823" s="140"/>
      <c r="BB1823" s="173"/>
      <c r="BC1823" s="173"/>
    </row>
    <row r="1824" spans="2:55" s="134" customFormat="1" x14ac:dyDescent="0.2">
      <c r="B1824" s="145"/>
      <c r="D1824" s="145"/>
      <c r="Z1824" s="177"/>
      <c r="AA1824" s="178"/>
      <c r="AB1824" s="139"/>
      <c r="AC1824" s="173"/>
      <c r="AD1824" s="177"/>
      <c r="AE1824" s="177"/>
      <c r="AF1824" s="139"/>
      <c r="AG1824" s="139"/>
      <c r="AH1824" s="177"/>
      <c r="AI1824" s="178"/>
      <c r="AJ1824" s="139"/>
      <c r="AK1824" s="173"/>
      <c r="AL1824" s="177"/>
      <c r="AM1824" s="178"/>
      <c r="AN1824" s="173"/>
      <c r="AO1824" s="173"/>
      <c r="AP1824" s="173"/>
      <c r="AQ1824" s="178"/>
      <c r="AR1824" s="173"/>
      <c r="AS1824" s="173"/>
      <c r="AT1824" s="140"/>
      <c r="AX1824" s="140"/>
      <c r="BB1824" s="173"/>
      <c r="BC1824" s="173"/>
    </row>
    <row r="1825" spans="2:55" s="134" customFormat="1" x14ac:dyDescent="0.2">
      <c r="B1825" s="145"/>
      <c r="D1825" s="145"/>
      <c r="Z1825" s="177"/>
      <c r="AA1825" s="178"/>
      <c r="AB1825" s="139"/>
      <c r="AC1825" s="173"/>
      <c r="AD1825" s="177"/>
      <c r="AE1825" s="177"/>
      <c r="AF1825" s="139"/>
      <c r="AG1825" s="139"/>
      <c r="AH1825" s="177"/>
      <c r="AI1825" s="178"/>
      <c r="AJ1825" s="139"/>
      <c r="AK1825" s="173"/>
      <c r="AL1825" s="177"/>
      <c r="AM1825" s="178"/>
      <c r="AN1825" s="173"/>
      <c r="AO1825" s="173"/>
      <c r="AP1825" s="173"/>
      <c r="AQ1825" s="178"/>
      <c r="AR1825" s="173"/>
      <c r="AS1825" s="173"/>
      <c r="AT1825" s="140"/>
      <c r="AX1825" s="140"/>
      <c r="BB1825" s="173"/>
      <c r="BC1825" s="173"/>
    </row>
    <row r="1826" spans="2:55" s="134" customFormat="1" x14ac:dyDescent="0.2">
      <c r="B1826" s="145"/>
      <c r="D1826" s="145"/>
      <c r="Z1826" s="177"/>
      <c r="AA1826" s="178"/>
      <c r="AB1826" s="139"/>
      <c r="AC1826" s="173"/>
      <c r="AD1826" s="177"/>
      <c r="AE1826" s="177"/>
      <c r="AF1826" s="139"/>
      <c r="AG1826" s="139"/>
      <c r="AH1826" s="177"/>
      <c r="AI1826" s="178"/>
      <c r="AJ1826" s="139"/>
      <c r="AK1826" s="173"/>
      <c r="AL1826" s="177"/>
      <c r="AM1826" s="178"/>
      <c r="AN1826" s="173"/>
      <c r="AO1826" s="173"/>
      <c r="AP1826" s="173"/>
      <c r="AQ1826" s="178"/>
      <c r="AR1826" s="173"/>
      <c r="AS1826" s="173"/>
      <c r="AT1826" s="140"/>
      <c r="AX1826" s="140"/>
      <c r="BB1826" s="173"/>
      <c r="BC1826" s="173"/>
    </row>
    <row r="1827" spans="2:55" s="134" customFormat="1" x14ac:dyDescent="0.2">
      <c r="B1827" s="145"/>
      <c r="D1827" s="145"/>
      <c r="Z1827" s="177"/>
      <c r="AA1827" s="178"/>
      <c r="AB1827" s="139"/>
      <c r="AC1827" s="173"/>
      <c r="AD1827" s="177"/>
      <c r="AE1827" s="177"/>
      <c r="AF1827" s="139"/>
      <c r="AG1827" s="139"/>
      <c r="AH1827" s="177"/>
      <c r="AI1827" s="178"/>
      <c r="AJ1827" s="139"/>
      <c r="AK1827" s="173"/>
      <c r="AL1827" s="177"/>
      <c r="AM1827" s="178"/>
      <c r="AN1827" s="173"/>
      <c r="AO1827" s="173"/>
      <c r="AP1827" s="173"/>
      <c r="AQ1827" s="178"/>
      <c r="AR1827" s="173"/>
      <c r="AS1827" s="173"/>
      <c r="AT1827" s="140"/>
      <c r="AX1827" s="140"/>
      <c r="BB1827" s="173"/>
      <c r="BC1827" s="173"/>
    </row>
    <row r="1828" spans="2:55" s="134" customFormat="1" x14ac:dyDescent="0.2">
      <c r="B1828" s="145"/>
      <c r="D1828" s="145"/>
      <c r="Z1828" s="177"/>
      <c r="AA1828" s="178"/>
      <c r="AB1828" s="139"/>
      <c r="AC1828" s="173"/>
      <c r="AD1828" s="177"/>
      <c r="AE1828" s="177"/>
      <c r="AF1828" s="139"/>
      <c r="AG1828" s="139"/>
      <c r="AH1828" s="177"/>
      <c r="AI1828" s="178"/>
      <c r="AJ1828" s="139"/>
      <c r="AK1828" s="173"/>
      <c r="AL1828" s="177"/>
      <c r="AM1828" s="178"/>
      <c r="AN1828" s="173"/>
      <c r="AO1828" s="173"/>
      <c r="AP1828" s="173"/>
      <c r="AQ1828" s="178"/>
      <c r="AR1828" s="173"/>
      <c r="AS1828" s="173"/>
      <c r="AT1828" s="140"/>
      <c r="AX1828" s="140"/>
      <c r="BB1828" s="173"/>
      <c r="BC1828" s="173"/>
    </row>
    <row r="1829" spans="2:55" s="134" customFormat="1" x14ac:dyDescent="0.2">
      <c r="B1829" s="145"/>
      <c r="D1829" s="145"/>
      <c r="Z1829" s="177"/>
      <c r="AA1829" s="178"/>
      <c r="AB1829" s="139"/>
      <c r="AC1829" s="173"/>
      <c r="AD1829" s="177"/>
      <c r="AE1829" s="177"/>
      <c r="AF1829" s="139"/>
      <c r="AG1829" s="139"/>
      <c r="AH1829" s="177"/>
      <c r="AI1829" s="178"/>
      <c r="AJ1829" s="139"/>
      <c r="AK1829" s="173"/>
      <c r="AL1829" s="177"/>
      <c r="AM1829" s="178"/>
      <c r="AN1829" s="173"/>
      <c r="AO1829" s="173"/>
      <c r="AP1829" s="173"/>
      <c r="AQ1829" s="178"/>
      <c r="AR1829" s="173"/>
      <c r="AS1829" s="173"/>
      <c r="AT1829" s="140"/>
      <c r="AX1829" s="140"/>
      <c r="BB1829" s="173"/>
      <c r="BC1829" s="173"/>
    </row>
    <row r="1830" spans="2:55" s="134" customFormat="1" x14ac:dyDescent="0.2">
      <c r="B1830" s="145"/>
      <c r="D1830" s="145"/>
      <c r="Z1830" s="177"/>
      <c r="AA1830" s="178"/>
      <c r="AB1830" s="139"/>
      <c r="AC1830" s="173"/>
      <c r="AD1830" s="177"/>
      <c r="AE1830" s="177"/>
      <c r="AF1830" s="139"/>
      <c r="AG1830" s="139"/>
      <c r="AH1830" s="177"/>
      <c r="AI1830" s="178"/>
      <c r="AJ1830" s="139"/>
      <c r="AK1830" s="173"/>
      <c r="AL1830" s="177"/>
      <c r="AM1830" s="178"/>
      <c r="AN1830" s="173"/>
      <c r="AO1830" s="173"/>
      <c r="AP1830" s="173"/>
      <c r="AQ1830" s="178"/>
      <c r="AR1830" s="173"/>
      <c r="AS1830" s="173"/>
      <c r="AT1830" s="140"/>
      <c r="AX1830" s="140"/>
      <c r="BB1830" s="173"/>
      <c r="BC1830" s="173"/>
    </row>
    <row r="1831" spans="2:55" s="134" customFormat="1" x14ac:dyDescent="0.2">
      <c r="B1831" s="145"/>
      <c r="D1831" s="145"/>
      <c r="Z1831" s="177"/>
      <c r="AA1831" s="178"/>
      <c r="AB1831" s="139"/>
      <c r="AC1831" s="173"/>
      <c r="AD1831" s="177"/>
      <c r="AE1831" s="177"/>
      <c r="AF1831" s="139"/>
      <c r="AG1831" s="139"/>
      <c r="AH1831" s="177"/>
      <c r="AI1831" s="178"/>
      <c r="AJ1831" s="139"/>
      <c r="AK1831" s="173"/>
      <c r="AL1831" s="177"/>
      <c r="AM1831" s="178"/>
      <c r="AN1831" s="173"/>
      <c r="AO1831" s="173"/>
      <c r="AP1831" s="173"/>
      <c r="AQ1831" s="178"/>
      <c r="AR1831" s="173"/>
      <c r="AS1831" s="173"/>
      <c r="AT1831" s="140"/>
      <c r="AX1831" s="140"/>
      <c r="BB1831" s="173"/>
      <c r="BC1831" s="173"/>
    </row>
    <row r="1832" spans="2:55" s="134" customFormat="1" x14ac:dyDescent="0.2">
      <c r="B1832" s="145"/>
      <c r="D1832" s="145"/>
      <c r="Z1832" s="177"/>
      <c r="AA1832" s="178"/>
      <c r="AB1832" s="139"/>
      <c r="AC1832" s="173"/>
      <c r="AD1832" s="177"/>
      <c r="AE1832" s="177"/>
      <c r="AF1832" s="139"/>
      <c r="AG1832" s="139"/>
      <c r="AH1832" s="177"/>
      <c r="AI1832" s="178"/>
      <c r="AJ1832" s="139"/>
      <c r="AK1832" s="173"/>
      <c r="AL1832" s="177"/>
      <c r="AM1832" s="178"/>
      <c r="AN1832" s="173"/>
      <c r="AO1832" s="173"/>
      <c r="AP1832" s="173"/>
      <c r="AQ1832" s="178"/>
      <c r="AR1832" s="173"/>
      <c r="AS1832" s="173"/>
      <c r="AT1832" s="140"/>
      <c r="AX1832" s="140"/>
      <c r="BB1832" s="173"/>
      <c r="BC1832" s="173"/>
    </row>
    <row r="1833" spans="2:55" s="134" customFormat="1" x14ac:dyDescent="0.2">
      <c r="B1833" s="145"/>
      <c r="D1833" s="145"/>
      <c r="Z1833" s="177"/>
      <c r="AA1833" s="178"/>
      <c r="AB1833" s="139"/>
      <c r="AC1833" s="173"/>
      <c r="AD1833" s="177"/>
      <c r="AE1833" s="177"/>
      <c r="AF1833" s="139"/>
      <c r="AG1833" s="139"/>
      <c r="AH1833" s="177"/>
      <c r="AI1833" s="178"/>
      <c r="AJ1833" s="139"/>
      <c r="AK1833" s="173"/>
      <c r="AL1833" s="177"/>
      <c r="AM1833" s="178"/>
      <c r="AN1833" s="173"/>
      <c r="AO1833" s="173"/>
      <c r="AP1833" s="173"/>
      <c r="AQ1833" s="178"/>
      <c r="AR1833" s="173"/>
      <c r="AS1833" s="173"/>
      <c r="AT1833" s="140"/>
      <c r="AX1833" s="140"/>
      <c r="BB1833" s="173"/>
      <c r="BC1833" s="173"/>
    </row>
    <row r="1834" spans="2:55" s="134" customFormat="1" x14ac:dyDescent="0.2">
      <c r="B1834" s="145"/>
      <c r="D1834" s="145"/>
      <c r="Z1834" s="177"/>
      <c r="AA1834" s="178"/>
      <c r="AB1834" s="139"/>
      <c r="AC1834" s="173"/>
      <c r="AD1834" s="177"/>
      <c r="AE1834" s="177"/>
      <c r="AF1834" s="139"/>
      <c r="AG1834" s="139"/>
      <c r="AH1834" s="177"/>
      <c r="AI1834" s="178"/>
      <c r="AJ1834" s="139"/>
      <c r="AK1834" s="173"/>
      <c r="AL1834" s="177"/>
      <c r="AM1834" s="178"/>
      <c r="AN1834" s="173"/>
      <c r="AO1834" s="173"/>
      <c r="AP1834" s="173"/>
      <c r="AQ1834" s="178"/>
      <c r="AR1834" s="173"/>
      <c r="AS1834" s="173"/>
      <c r="AT1834" s="140"/>
      <c r="AX1834" s="140"/>
      <c r="BB1834" s="173"/>
      <c r="BC1834" s="173"/>
    </row>
    <row r="1835" spans="2:55" s="134" customFormat="1" x14ac:dyDescent="0.2">
      <c r="B1835" s="145"/>
      <c r="D1835" s="145"/>
      <c r="Z1835" s="177"/>
      <c r="AA1835" s="178"/>
      <c r="AB1835" s="139"/>
      <c r="AC1835" s="173"/>
      <c r="AD1835" s="177"/>
      <c r="AE1835" s="177"/>
      <c r="AF1835" s="139"/>
      <c r="AG1835" s="139"/>
      <c r="AH1835" s="177"/>
      <c r="AI1835" s="178"/>
      <c r="AJ1835" s="139"/>
      <c r="AK1835" s="173"/>
      <c r="AL1835" s="177"/>
      <c r="AM1835" s="178"/>
      <c r="AN1835" s="173"/>
      <c r="AO1835" s="173"/>
      <c r="AP1835" s="173"/>
      <c r="AQ1835" s="178"/>
      <c r="AR1835" s="173"/>
      <c r="AS1835" s="173"/>
      <c r="AT1835" s="140"/>
      <c r="AX1835" s="140"/>
      <c r="BB1835" s="173"/>
      <c r="BC1835" s="173"/>
    </row>
    <row r="1836" spans="2:55" s="134" customFormat="1" x14ac:dyDescent="0.2">
      <c r="B1836" s="145"/>
      <c r="D1836" s="145"/>
      <c r="Z1836" s="177"/>
      <c r="AA1836" s="178"/>
      <c r="AB1836" s="139"/>
      <c r="AC1836" s="173"/>
      <c r="AD1836" s="177"/>
      <c r="AE1836" s="177"/>
      <c r="AF1836" s="139"/>
      <c r="AG1836" s="139"/>
      <c r="AH1836" s="177"/>
      <c r="AI1836" s="178"/>
      <c r="AJ1836" s="139"/>
      <c r="AK1836" s="173"/>
      <c r="AL1836" s="177"/>
      <c r="AM1836" s="178"/>
      <c r="AN1836" s="173"/>
      <c r="AO1836" s="173"/>
      <c r="AP1836" s="173"/>
      <c r="AQ1836" s="178"/>
      <c r="AR1836" s="173"/>
      <c r="AS1836" s="173"/>
      <c r="AT1836" s="140"/>
      <c r="AX1836" s="140"/>
      <c r="BB1836" s="173"/>
      <c r="BC1836" s="173"/>
    </row>
    <row r="1837" spans="2:55" s="134" customFormat="1" x14ac:dyDescent="0.2">
      <c r="B1837" s="145"/>
      <c r="D1837" s="145"/>
      <c r="Z1837" s="177"/>
      <c r="AA1837" s="178"/>
      <c r="AB1837" s="139"/>
      <c r="AC1837" s="173"/>
      <c r="AD1837" s="177"/>
      <c r="AE1837" s="177"/>
      <c r="AF1837" s="139"/>
      <c r="AG1837" s="139"/>
      <c r="AH1837" s="177"/>
      <c r="AI1837" s="178"/>
      <c r="AJ1837" s="139"/>
      <c r="AK1837" s="173"/>
      <c r="AL1837" s="177"/>
      <c r="AM1837" s="178"/>
      <c r="AN1837" s="173"/>
      <c r="AO1837" s="173"/>
      <c r="AP1837" s="173"/>
      <c r="AQ1837" s="178"/>
      <c r="AR1837" s="173"/>
      <c r="AS1837" s="173"/>
      <c r="AT1837" s="140"/>
      <c r="AX1837" s="140"/>
      <c r="BB1837" s="173"/>
      <c r="BC1837" s="173"/>
    </row>
    <row r="1838" spans="2:55" s="134" customFormat="1" x14ac:dyDescent="0.2">
      <c r="B1838" s="145"/>
      <c r="D1838" s="145"/>
      <c r="Z1838" s="177"/>
      <c r="AA1838" s="178"/>
      <c r="AB1838" s="139"/>
      <c r="AC1838" s="173"/>
      <c r="AD1838" s="177"/>
      <c r="AE1838" s="177"/>
      <c r="AF1838" s="139"/>
      <c r="AG1838" s="139"/>
      <c r="AH1838" s="177"/>
      <c r="AI1838" s="178"/>
      <c r="AJ1838" s="139"/>
      <c r="AK1838" s="173"/>
      <c r="AL1838" s="177"/>
      <c r="AM1838" s="178"/>
      <c r="AN1838" s="173"/>
      <c r="AO1838" s="173"/>
      <c r="AP1838" s="173"/>
      <c r="AQ1838" s="178"/>
      <c r="AR1838" s="173"/>
      <c r="AS1838" s="173"/>
      <c r="AT1838" s="140"/>
      <c r="AX1838" s="140"/>
      <c r="BB1838" s="173"/>
      <c r="BC1838" s="173"/>
    </row>
    <row r="1839" spans="2:55" s="134" customFormat="1" x14ac:dyDescent="0.2">
      <c r="B1839" s="145"/>
      <c r="D1839" s="145"/>
      <c r="Z1839" s="177"/>
      <c r="AA1839" s="178"/>
      <c r="AB1839" s="139"/>
      <c r="AC1839" s="173"/>
      <c r="AD1839" s="177"/>
      <c r="AE1839" s="177"/>
      <c r="AF1839" s="139"/>
      <c r="AG1839" s="139"/>
      <c r="AH1839" s="177"/>
      <c r="AI1839" s="178"/>
      <c r="AJ1839" s="139"/>
      <c r="AK1839" s="173"/>
      <c r="AL1839" s="177"/>
      <c r="AM1839" s="178"/>
      <c r="AN1839" s="173"/>
      <c r="AO1839" s="173"/>
      <c r="AP1839" s="173"/>
      <c r="AQ1839" s="178"/>
      <c r="AR1839" s="173"/>
      <c r="AS1839" s="173"/>
      <c r="AT1839" s="140"/>
      <c r="AX1839" s="140"/>
      <c r="BB1839" s="173"/>
      <c r="BC1839" s="173"/>
    </row>
    <row r="1840" spans="2:55" s="134" customFormat="1" x14ac:dyDescent="0.2">
      <c r="B1840" s="145"/>
      <c r="D1840" s="145"/>
      <c r="Z1840" s="177"/>
      <c r="AA1840" s="178"/>
      <c r="AB1840" s="139"/>
      <c r="AC1840" s="173"/>
      <c r="AD1840" s="177"/>
      <c r="AE1840" s="177"/>
      <c r="AF1840" s="139"/>
      <c r="AG1840" s="139"/>
      <c r="AH1840" s="177"/>
      <c r="AI1840" s="178"/>
      <c r="AJ1840" s="139"/>
      <c r="AK1840" s="173"/>
      <c r="AL1840" s="177"/>
      <c r="AM1840" s="178"/>
      <c r="AN1840" s="173"/>
      <c r="AO1840" s="173"/>
      <c r="AP1840" s="173"/>
      <c r="AQ1840" s="178"/>
      <c r="AR1840" s="173"/>
      <c r="AS1840" s="173"/>
      <c r="AT1840" s="140"/>
      <c r="AX1840" s="140"/>
      <c r="BB1840" s="173"/>
      <c r="BC1840" s="173"/>
    </row>
    <row r="1841" spans="2:55" s="134" customFormat="1" x14ac:dyDescent="0.2">
      <c r="B1841" s="145"/>
      <c r="D1841" s="145"/>
      <c r="Z1841" s="177"/>
      <c r="AA1841" s="178"/>
      <c r="AB1841" s="139"/>
      <c r="AC1841" s="173"/>
      <c r="AD1841" s="177"/>
      <c r="AE1841" s="177"/>
      <c r="AF1841" s="139"/>
      <c r="AG1841" s="139"/>
      <c r="AH1841" s="177"/>
      <c r="AI1841" s="178"/>
      <c r="AJ1841" s="139"/>
      <c r="AK1841" s="173"/>
      <c r="AL1841" s="177"/>
      <c r="AM1841" s="178"/>
      <c r="AN1841" s="173"/>
      <c r="AO1841" s="173"/>
      <c r="AP1841" s="173"/>
      <c r="AQ1841" s="178"/>
      <c r="AR1841" s="173"/>
      <c r="AS1841" s="173"/>
      <c r="AT1841" s="140"/>
      <c r="AX1841" s="140"/>
      <c r="BB1841" s="173"/>
      <c r="BC1841" s="173"/>
    </row>
    <row r="1842" spans="2:55" s="134" customFormat="1" x14ac:dyDescent="0.2">
      <c r="B1842" s="145"/>
      <c r="D1842" s="145"/>
      <c r="Z1842" s="177"/>
      <c r="AA1842" s="178"/>
      <c r="AB1842" s="139"/>
      <c r="AC1842" s="173"/>
      <c r="AD1842" s="177"/>
      <c r="AE1842" s="177"/>
      <c r="AF1842" s="139"/>
      <c r="AG1842" s="139"/>
      <c r="AH1842" s="177"/>
      <c r="AI1842" s="178"/>
      <c r="AJ1842" s="139"/>
      <c r="AK1842" s="173"/>
      <c r="AL1842" s="177"/>
      <c r="AM1842" s="178"/>
      <c r="AN1842" s="173"/>
      <c r="AO1842" s="173"/>
      <c r="AP1842" s="173"/>
      <c r="AQ1842" s="178"/>
      <c r="AR1842" s="173"/>
      <c r="AS1842" s="173"/>
      <c r="AT1842" s="140"/>
      <c r="AX1842" s="140"/>
      <c r="BB1842" s="173"/>
      <c r="BC1842" s="173"/>
    </row>
    <row r="1843" spans="2:55" s="134" customFormat="1" x14ac:dyDescent="0.2">
      <c r="B1843" s="145"/>
      <c r="D1843" s="145"/>
      <c r="Z1843" s="177"/>
      <c r="AA1843" s="178"/>
      <c r="AB1843" s="139"/>
      <c r="AC1843" s="173"/>
      <c r="AD1843" s="177"/>
      <c r="AE1843" s="177"/>
      <c r="AF1843" s="139"/>
      <c r="AG1843" s="139"/>
      <c r="AH1843" s="177"/>
      <c r="AI1843" s="178"/>
      <c r="AJ1843" s="139"/>
      <c r="AK1843" s="173"/>
      <c r="AL1843" s="177"/>
      <c r="AM1843" s="178"/>
      <c r="AN1843" s="173"/>
      <c r="AO1843" s="173"/>
      <c r="AP1843" s="173"/>
      <c r="AQ1843" s="178"/>
      <c r="AR1843" s="173"/>
      <c r="AS1843" s="173"/>
      <c r="AT1843" s="140"/>
      <c r="AX1843" s="140"/>
      <c r="BB1843" s="173"/>
      <c r="BC1843" s="173"/>
    </row>
    <row r="1844" spans="2:55" s="134" customFormat="1" x14ac:dyDescent="0.2">
      <c r="B1844" s="145"/>
      <c r="D1844" s="145"/>
      <c r="Z1844" s="177"/>
      <c r="AA1844" s="178"/>
      <c r="AB1844" s="139"/>
      <c r="AC1844" s="173"/>
      <c r="AD1844" s="177"/>
      <c r="AE1844" s="177"/>
      <c r="AF1844" s="139"/>
      <c r="AG1844" s="139"/>
      <c r="AH1844" s="177"/>
      <c r="AI1844" s="178"/>
      <c r="AJ1844" s="139"/>
      <c r="AK1844" s="173"/>
      <c r="AL1844" s="177"/>
      <c r="AM1844" s="178"/>
      <c r="AN1844" s="173"/>
      <c r="AO1844" s="173"/>
      <c r="AP1844" s="173"/>
      <c r="AQ1844" s="178"/>
      <c r="AR1844" s="173"/>
      <c r="AS1844" s="173"/>
      <c r="AT1844" s="140"/>
      <c r="AX1844" s="140"/>
      <c r="BB1844" s="173"/>
      <c r="BC1844" s="173"/>
    </row>
    <row r="1845" spans="2:55" s="134" customFormat="1" x14ac:dyDescent="0.2">
      <c r="B1845" s="145"/>
      <c r="D1845" s="145"/>
      <c r="Z1845" s="177"/>
      <c r="AA1845" s="178"/>
      <c r="AB1845" s="139"/>
      <c r="AC1845" s="173"/>
      <c r="AD1845" s="177"/>
      <c r="AE1845" s="177"/>
      <c r="AF1845" s="139"/>
      <c r="AG1845" s="139"/>
      <c r="AH1845" s="177"/>
      <c r="AI1845" s="178"/>
      <c r="AJ1845" s="139"/>
      <c r="AK1845" s="173"/>
      <c r="AL1845" s="177"/>
      <c r="AM1845" s="178"/>
      <c r="AN1845" s="173"/>
      <c r="AO1845" s="173"/>
      <c r="AP1845" s="173"/>
      <c r="AQ1845" s="178"/>
      <c r="AR1845" s="173"/>
      <c r="AS1845" s="173"/>
      <c r="AT1845" s="140"/>
      <c r="AX1845" s="140"/>
      <c r="BB1845" s="173"/>
      <c r="BC1845" s="173"/>
    </row>
    <row r="1846" spans="2:55" s="134" customFormat="1" x14ac:dyDescent="0.2">
      <c r="B1846" s="145"/>
      <c r="D1846" s="145"/>
      <c r="Z1846" s="177"/>
      <c r="AA1846" s="178"/>
      <c r="AB1846" s="139"/>
      <c r="AC1846" s="173"/>
      <c r="AD1846" s="177"/>
      <c r="AE1846" s="177"/>
      <c r="AF1846" s="139"/>
      <c r="AG1846" s="139"/>
      <c r="AH1846" s="177"/>
      <c r="AI1846" s="178"/>
      <c r="AJ1846" s="139"/>
      <c r="AK1846" s="173"/>
      <c r="AL1846" s="177"/>
      <c r="AM1846" s="178"/>
      <c r="AN1846" s="173"/>
      <c r="AO1846" s="173"/>
      <c r="AP1846" s="173"/>
      <c r="AQ1846" s="178"/>
      <c r="AR1846" s="173"/>
      <c r="AS1846" s="173"/>
      <c r="AT1846" s="140"/>
      <c r="AX1846" s="140"/>
      <c r="BB1846" s="173"/>
      <c r="BC1846" s="173"/>
    </row>
    <row r="1847" spans="2:55" s="134" customFormat="1" x14ac:dyDescent="0.2">
      <c r="B1847" s="145"/>
      <c r="D1847" s="145"/>
      <c r="Z1847" s="177"/>
      <c r="AA1847" s="178"/>
      <c r="AB1847" s="139"/>
      <c r="AC1847" s="173"/>
      <c r="AD1847" s="177"/>
      <c r="AE1847" s="177"/>
      <c r="AF1847" s="139"/>
      <c r="AG1847" s="139"/>
      <c r="AH1847" s="177"/>
      <c r="AI1847" s="178"/>
      <c r="AJ1847" s="139"/>
      <c r="AK1847" s="173"/>
      <c r="AL1847" s="177"/>
      <c r="AM1847" s="178"/>
      <c r="AN1847" s="173"/>
      <c r="AO1847" s="173"/>
      <c r="AP1847" s="173"/>
      <c r="AQ1847" s="178"/>
      <c r="AR1847" s="173"/>
      <c r="AS1847" s="173"/>
      <c r="AT1847" s="140"/>
      <c r="AX1847" s="140"/>
      <c r="BB1847" s="173"/>
      <c r="BC1847" s="173"/>
    </row>
    <row r="1848" spans="2:55" s="134" customFormat="1" x14ac:dyDescent="0.2">
      <c r="B1848" s="145"/>
      <c r="D1848" s="145"/>
      <c r="Z1848" s="177"/>
      <c r="AA1848" s="178"/>
      <c r="AB1848" s="139"/>
      <c r="AC1848" s="173"/>
      <c r="AD1848" s="177"/>
      <c r="AE1848" s="177"/>
      <c r="AF1848" s="139"/>
      <c r="AG1848" s="139"/>
      <c r="AH1848" s="177"/>
      <c r="AI1848" s="178"/>
      <c r="AJ1848" s="139"/>
      <c r="AK1848" s="173"/>
      <c r="AL1848" s="177"/>
      <c r="AM1848" s="178"/>
      <c r="AN1848" s="173"/>
      <c r="AO1848" s="173"/>
      <c r="AP1848" s="173"/>
      <c r="AQ1848" s="178"/>
      <c r="AR1848" s="173"/>
      <c r="AS1848" s="173"/>
      <c r="AT1848" s="140"/>
      <c r="AX1848" s="140"/>
      <c r="BB1848" s="173"/>
      <c r="BC1848" s="173"/>
    </row>
    <row r="1849" spans="2:55" s="134" customFormat="1" x14ac:dyDescent="0.2">
      <c r="B1849" s="145"/>
      <c r="D1849" s="145"/>
      <c r="Z1849" s="177"/>
      <c r="AA1849" s="178"/>
      <c r="AB1849" s="139"/>
      <c r="AC1849" s="173"/>
      <c r="AD1849" s="177"/>
      <c r="AE1849" s="177"/>
      <c r="AF1849" s="139"/>
      <c r="AG1849" s="139"/>
      <c r="AH1849" s="177"/>
      <c r="AI1849" s="178"/>
      <c r="AJ1849" s="139"/>
      <c r="AK1849" s="173"/>
      <c r="AL1849" s="177"/>
      <c r="AM1849" s="178"/>
      <c r="AN1849" s="173"/>
      <c r="AO1849" s="173"/>
      <c r="AP1849" s="173"/>
      <c r="AQ1849" s="178"/>
      <c r="AR1849" s="173"/>
      <c r="AS1849" s="173"/>
      <c r="AT1849" s="140"/>
      <c r="AX1849" s="140"/>
      <c r="BB1849" s="173"/>
      <c r="BC1849" s="173"/>
    </row>
    <row r="1850" spans="2:55" s="134" customFormat="1" x14ac:dyDescent="0.2">
      <c r="B1850" s="145"/>
      <c r="D1850" s="145"/>
      <c r="Z1850" s="177"/>
      <c r="AA1850" s="178"/>
      <c r="AB1850" s="139"/>
      <c r="AC1850" s="173"/>
      <c r="AD1850" s="177"/>
      <c r="AE1850" s="177"/>
      <c r="AF1850" s="139"/>
      <c r="AG1850" s="139"/>
      <c r="AH1850" s="177"/>
      <c r="AI1850" s="178"/>
      <c r="AJ1850" s="139"/>
      <c r="AK1850" s="173"/>
      <c r="AL1850" s="177"/>
      <c r="AM1850" s="178"/>
      <c r="AN1850" s="173"/>
      <c r="AO1850" s="173"/>
      <c r="AP1850" s="173"/>
      <c r="AQ1850" s="178"/>
      <c r="AR1850" s="173"/>
      <c r="AS1850" s="173"/>
      <c r="AT1850" s="140"/>
      <c r="AX1850" s="140"/>
      <c r="BB1850" s="173"/>
      <c r="BC1850" s="173"/>
    </row>
    <row r="1851" spans="2:55" s="134" customFormat="1" x14ac:dyDescent="0.2">
      <c r="B1851" s="145"/>
      <c r="D1851" s="145"/>
      <c r="Z1851" s="177"/>
      <c r="AA1851" s="178"/>
      <c r="AB1851" s="139"/>
      <c r="AC1851" s="173"/>
      <c r="AD1851" s="177"/>
      <c r="AE1851" s="177"/>
      <c r="AF1851" s="139"/>
      <c r="AG1851" s="139"/>
      <c r="AH1851" s="177"/>
      <c r="AI1851" s="178"/>
      <c r="AJ1851" s="139"/>
      <c r="AK1851" s="173"/>
      <c r="AL1851" s="177"/>
      <c r="AM1851" s="178"/>
      <c r="AN1851" s="173"/>
      <c r="AO1851" s="173"/>
      <c r="AP1851" s="173"/>
      <c r="AQ1851" s="178"/>
      <c r="AR1851" s="173"/>
      <c r="AS1851" s="173"/>
      <c r="AT1851" s="140"/>
      <c r="AX1851" s="140"/>
      <c r="BB1851" s="173"/>
      <c r="BC1851" s="173"/>
    </row>
    <row r="1852" spans="2:55" s="134" customFormat="1" x14ac:dyDescent="0.2">
      <c r="B1852" s="145"/>
      <c r="D1852" s="145"/>
      <c r="Z1852" s="177"/>
      <c r="AA1852" s="178"/>
      <c r="AB1852" s="139"/>
      <c r="AC1852" s="173"/>
      <c r="AD1852" s="177"/>
      <c r="AE1852" s="177"/>
      <c r="AF1852" s="139"/>
      <c r="AG1852" s="139"/>
      <c r="AH1852" s="177"/>
      <c r="AI1852" s="178"/>
      <c r="AJ1852" s="139"/>
      <c r="AK1852" s="173"/>
      <c r="AL1852" s="177"/>
      <c r="AM1852" s="178"/>
      <c r="AN1852" s="173"/>
      <c r="AO1852" s="173"/>
      <c r="AP1852" s="173"/>
      <c r="AQ1852" s="178"/>
      <c r="AR1852" s="173"/>
      <c r="AS1852" s="173"/>
      <c r="AT1852" s="140"/>
      <c r="AX1852" s="140"/>
      <c r="BB1852" s="173"/>
      <c r="BC1852" s="173"/>
    </row>
    <row r="1853" spans="2:55" s="134" customFormat="1" x14ac:dyDescent="0.2">
      <c r="B1853" s="145"/>
      <c r="D1853" s="145"/>
      <c r="Z1853" s="177"/>
      <c r="AA1853" s="178"/>
      <c r="AB1853" s="139"/>
      <c r="AC1853" s="173"/>
      <c r="AD1853" s="177"/>
      <c r="AE1853" s="177"/>
      <c r="AF1853" s="139"/>
      <c r="AG1853" s="139"/>
      <c r="AH1853" s="177"/>
      <c r="AI1853" s="178"/>
      <c r="AJ1853" s="139"/>
      <c r="AK1853" s="173"/>
      <c r="AL1853" s="177"/>
      <c r="AM1853" s="178"/>
      <c r="AN1853" s="173"/>
      <c r="AO1853" s="173"/>
      <c r="AP1853" s="173"/>
      <c r="AQ1853" s="178"/>
      <c r="AR1853" s="173"/>
      <c r="AS1853" s="173"/>
      <c r="AT1853" s="140"/>
      <c r="AX1853" s="140"/>
      <c r="BB1853" s="173"/>
      <c r="BC1853" s="173"/>
    </row>
    <row r="1854" spans="2:55" s="134" customFormat="1" x14ac:dyDescent="0.2">
      <c r="B1854" s="145"/>
      <c r="D1854" s="145"/>
      <c r="Z1854" s="177"/>
      <c r="AA1854" s="178"/>
      <c r="AB1854" s="139"/>
      <c r="AC1854" s="173"/>
      <c r="AD1854" s="177"/>
      <c r="AE1854" s="177"/>
      <c r="AF1854" s="139"/>
      <c r="AG1854" s="139"/>
      <c r="AH1854" s="177"/>
      <c r="AI1854" s="178"/>
      <c r="AJ1854" s="139"/>
      <c r="AK1854" s="173"/>
      <c r="AL1854" s="177"/>
      <c r="AM1854" s="178"/>
      <c r="AN1854" s="173"/>
      <c r="AO1854" s="173"/>
      <c r="AP1854" s="173"/>
      <c r="AQ1854" s="178"/>
      <c r="AR1854" s="173"/>
      <c r="AS1854" s="173"/>
      <c r="AT1854" s="140"/>
      <c r="AX1854" s="140"/>
      <c r="BB1854" s="173"/>
      <c r="BC1854" s="173"/>
    </row>
    <row r="1855" spans="2:55" s="134" customFormat="1" x14ac:dyDescent="0.2">
      <c r="B1855" s="145"/>
      <c r="D1855" s="145"/>
      <c r="Z1855" s="177"/>
      <c r="AA1855" s="178"/>
      <c r="AB1855" s="139"/>
      <c r="AC1855" s="173"/>
      <c r="AD1855" s="177"/>
      <c r="AE1855" s="177"/>
      <c r="AF1855" s="139"/>
      <c r="AG1855" s="139"/>
      <c r="AH1855" s="177"/>
      <c r="AI1855" s="178"/>
      <c r="AJ1855" s="139"/>
      <c r="AK1855" s="173"/>
      <c r="AL1855" s="177"/>
      <c r="AM1855" s="178"/>
      <c r="AN1855" s="173"/>
      <c r="AO1855" s="173"/>
      <c r="AP1855" s="173"/>
      <c r="AQ1855" s="178"/>
      <c r="AR1855" s="173"/>
      <c r="AS1855" s="173"/>
      <c r="AT1855" s="140"/>
      <c r="AX1855" s="140"/>
      <c r="BB1855" s="173"/>
      <c r="BC1855" s="173"/>
    </row>
    <row r="1856" spans="2:55" s="134" customFormat="1" x14ac:dyDescent="0.2">
      <c r="B1856" s="145"/>
      <c r="D1856" s="145"/>
      <c r="Z1856" s="177"/>
      <c r="AA1856" s="178"/>
      <c r="AB1856" s="139"/>
      <c r="AC1856" s="173"/>
      <c r="AD1856" s="177"/>
      <c r="AE1856" s="177"/>
      <c r="AF1856" s="139"/>
      <c r="AG1856" s="139"/>
      <c r="AH1856" s="177"/>
      <c r="AI1856" s="178"/>
      <c r="AJ1856" s="139"/>
      <c r="AK1856" s="173"/>
      <c r="AL1856" s="177"/>
      <c r="AM1856" s="178"/>
      <c r="AN1856" s="173"/>
      <c r="AO1856" s="173"/>
      <c r="AP1856" s="173"/>
      <c r="AQ1856" s="178"/>
      <c r="AR1856" s="173"/>
      <c r="AS1856" s="173"/>
      <c r="AT1856" s="140"/>
      <c r="AX1856" s="140"/>
      <c r="BB1856" s="173"/>
      <c r="BC1856" s="173"/>
    </row>
    <row r="1857" spans="2:55" s="134" customFormat="1" x14ac:dyDescent="0.2">
      <c r="B1857" s="145"/>
      <c r="D1857" s="145"/>
      <c r="Z1857" s="177"/>
      <c r="AA1857" s="178"/>
      <c r="AB1857" s="139"/>
      <c r="AC1857" s="173"/>
      <c r="AD1857" s="177"/>
      <c r="AE1857" s="177"/>
      <c r="AF1857" s="139"/>
      <c r="AG1857" s="139"/>
      <c r="AH1857" s="177"/>
      <c r="AI1857" s="178"/>
      <c r="AJ1857" s="139"/>
      <c r="AK1857" s="173"/>
      <c r="AL1857" s="177"/>
      <c r="AM1857" s="178"/>
      <c r="AN1857" s="173"/>
      <c r="AO1857" s="173"/>
      <c r="AP1857" s="173"/>
      <c r="AQ1857" s="178"/>
      <c r="AR1857" s="173"/>
      <c r="AS1857" s="173"/>
      <c r="AT1857" s="140"/>
      <c r="AX1857" s="140"/>
      <c r="BB1857" s="173"/>
      <c r="BC1857" s="173"/>
    </row>
    <row r="1858" spans="2:55" s="134" customFormat="1" x14ac:dyDescent="0.2">
      <c r="B1858" s="145"/>
      <c r="D1858" s="145"/>
      <c r="Z1858" s="177"/>
      <c r="AA1858" s="178"/>
      <c r="AB1858" s="139"/>
      <c r="AC1858" s="173"/>
      <c r="AD1858" s="177"/>
      <c r="AE1858" s="177"/>
      <c r="AF1858" s="139"/>
      <c r="AG1858" s="139"/>
      <c r="AH1858" s="177"/>
      <c r="AI1858" s="178"/>
      <c r="AJ1858" s="139"/>
      <c r="AK1858" s="173"/>
      <c r="AL1858" s="177"/>
      <c r="AM1858" s="178"/>
      <c r="AN1858" s="173"/>
      <c r="AO1858" s="173"/>
      <c r="AP1858" s="173"/>
      <c r="AQ1858" s="178"/>
      <c r="AR1858" s="173"/>
      <c r="AS1858" s="173"/>
      <c r="AT1858" s="140"/>
      <c r="AX1858" s="140"/>
      <c r="BB1858" s="173"/>
      <c r="BC1858" s="173"/>
    </row>
    <row r="1859" spans="2:55" s="134" customFormat="1" x14ac:dyDescent="0.2">
      <c r="B1859" s="145"/>
      <c r="D1859" s="145"/>
      <c r="Z1859" s="177"/>
      <c r="AA1859" s="178"/>
      <c r="AB1859" s="139"/>
      <c r="AC1859" s="173"/>
      <c r="AD1859" s="177"/>
      <c r="AE1859" s="177"/>
      <c r="AF1859" s="139"/>
      <c r="AG1859" s="139"/>
      <c r="AH1859" s="177"/>
      <c r="AI1859" s="178"/>
      <c r="AJ1859" s="139"/>
      <c r="AK1859" s="173"/>
      <c r="AL1859" s="177"/>
      <c r="AM1859" s="178"/>
      <c r="AN1859" s="173"/>
      <c r="AO1859" s="173"/>
      <c r="AP1859" s="173"/>
      <c r="AQ1859" s="178"/>
      <c r="AR1859" s="173"/>
      <c r="AS1859" s="173"/>
      <c r="AT1859" s="140"/>
      <c r="AX1859" s="140"/>
      <c r="BB1859" s="173"/>
      <c r="BC1859" s="173"/>
    </row>
    <row r="1860" spans="2:55" s="134" customFormat="1" x14ac:dyDescent="0.2">
      <c r="B1860" s="145"/>
      <c r="D1860" s="145"/>
      <c r="Z1860" s="177"/>
      <c r="AA1860" s="178"/>
      <c r="AB1860" s="139"/>
      <c r="AC1860" s="173"/>
      <c r="AD1860" s="177"/>
      <c r="AE1860" s="177"/>
      <c r="AF1860" s="139"/>
      <c r="AG1860" s="139"/>
      <c r="AH1860" s="177"/>
      <c r="AI1860" s="178"/>
      <c r="AJ1860" s="139"/>
      <c r="AK1860" s="173"/>
      <c r="AL1860" s="177"/>
      <c r="AM1860" s="178"/>
      <c r="AN1860" s="173"/>
      <c r="AO1860" s="173"/>
      <c r="AP1860" s="173"/>
      <c r="AQ1860" s="178"/>
      <c r="AR1860" s="173"/>
      <c r="AS1860" s="173"/>
      <c r="AT1860" s="140"/>
      <c r="AX1860" s="140"/>
      <c r="BB1860" s="173"/>
      <c r="BC1860" s="173"/>
    </row>
    <row r="1861" spans="2:55" s="134" customFormat="1" x14ac:dyDescent="0.2">
      <c r="B1861" s="145"/>
      <c r="D1861" s="145"/>
      <c r="Z1861" s="177"/>
      <c r="AA1861" s="178"/>
      <c r="AB1861" s="139"/>
      <c r="AC1861" s="173"/>
      <c r="AD1861" s="177"/>
      <c r="AE1861" s="177"/>
      <c r="AF1861" s="139"/>
      <c r="AG1861" s="139"/>
      <c r="AH1861" s="177"/>
      <c r="AI1861" s="178"/>
      <c r="AJ1861" s="139"/>
      <c r="AK1861" s="173"/>
      <c r="AL1861" s="177"/>
      <c r="AM1861" s="178"/>
      <c r="AN1861" s="173"/>
      <c r="AO1861" s="173"/>
      <c r="AP1861" s="173"/>
      <c r="AQ1861" s="178"/>
      <c r="AR1861" s="173"/>
      <c r="AS1861" s="173"/>
      <c r="AT1861" s="140"/>
      <c r="AX1861" s="140"/>
      <c r="BB1861" s="173"/>
      <c r="BC1861" s="173"/>
    </row>
    <row r="1862" spans="2:55" s="134" customFormat="1" x14ac:dyDescent="0.2">
      <c r="B1862" s="145"/>
      <c r="D1862" s="145"/>
      <c r="Z1862" s="177"/>
      <c r="AA1862" s="178"/>
      <c r="AB1862" s="139"/>
      <c r="AC1862" s="173"/>
      <c r="AD1862" s="177"/>
      <c r="AE1862" s="177"/>
      <c r="AF1862" s="139"/>
      <c r="AG1862" s="139"/>
      <c r="AH1862" s="177"/>
      <c r="AI1862" s="178"/>
      <c r="AJ1862" s="139"/>
      <c r="AK1862" s="173"/>
      <c r="AL1862" s="177"/>
      <c r="AM1862" s="178"/>
      <c r="AN1862" s="173"/>
      <c r="AO1862" s="173"/>
      <c r="AP1862" s="173"/>
      <c r="AQ1862" s="178"/>
      <c r="AR1862" s="173"/>
      <c r="AS1862" s="173"/>
      <c r="AT1862" s="140"/>
      <c r="AX1862" s="140"/>
      <c r="BB1862" s="173"/>
      <c r="BC1862" s="173"/>
    </row>
    <row r="1863" spans="2:55" s="134" customFormat="1" x14ac:dyDescent="0.2">
      <c r="B1863" s="145"/>
      <c r="D1863" s="145"/>
      <c r="Z1863" s="177"/>
      <c r="AA1863" s="178"/>
      <c r="AB1863" s="139"/>
      <c r="AC1863" s="173"/>
      <c r="AD1863" s="177"/>
      <c r="AE1863" s="177"/>
      <c r="AF1863" s="139"/>
      <c r="AG1863" s="139"/>
      <c r="AH1863" s="177"/>
      <c r="AI1863" s="178"/>
      <c r="AJ1863" s="139"/>
      <c r="AK1863" s="173"/>
      <c r="AL1863" s="177"/>
      <c r="AM1863" s="178"/>
      <c r="AN1863" s="173"/>
      <c r="AO1863" s="173"/>
      <c r="AP1863" s="173"/>
      <c r="AQ1863" s="178"/>
      <c r="AR1863" s="173"/>
      <c r="AS1863" s="173"/>
      <c r="AT1863" s="140"/>
      <c r="AX1863" s="140"/>
      <c r="BB1863" s="173"/>
      <c r="BC1863" s="173"/>
    </row>
    <row r="1864" spans="2:55" s="134" customFormat="1" x14ac:dyDescent="0.2">
      <c r="B1864" s="145"/>
      <c r="D1864" s="145"/>
      <c r="Z1864" s="177"/>
      <c r="AA1864" s="178"/>
      <c r="AB1864" s="139"/>
      <c r="AC1864" s="173"/>
      <c r="AD1864" s="177"/>
      <c r="AE1864" s="177"/>
      <c r="AF1864" s="139"/>
      <c r="AG1864" s="139"/>
      <c r="AH1864" s="177"/>
      <c r="AI1864" s="178"/>
      <c r="AJ1864" s="139"/>
      <c r="AK1864" s="173"/>
      <c r="AL1864" s="177"/>
      <c r="AM1864" s="178"/>
      <c r="AN1864" s="173"/>
      <c r="AO1864" s="173"/>
      <c r="AP1864" s="173"/>
      <c r="AQ1864" s="178"/>
      <c r="AR1864" s="173"/>
      <c r="AS1864" s="173"/>
      <c r="AT1864" s="140"/>
      <c r="AX1864" s="140"/>
      <c r="BB1864" s="173"/>
      <c r="BC1864" s="173"/>
    </row>
    <row r="1865" spans="2:55" s="134" customFormat="1" x14ac:dyDescent="0.2">
      <c r="B1865" s="145"/>
      <c r="D1865" s="145"/>
      <c r="Z1865" s="177"/>
      <c r="AA1865" s="178"/>
      <c r="AB1865" s="139"/>
      <c r="AC1865" s="173"/>
      <c r="AD1865" s="177"/>
      <c r="AE1865" s="177"/>
      <c r="AF1865" s="139"/>
      <c r="AG1865" s="139"/>
      <c r="AH1865" s="177"/>
      <c r="AI1865" s="178"/>
      <c r="AJ1865" s="139"/>
      <c r="AK1865" s="173"/>
      <c r="AL1865" s="177"/>
      <c r="AM1865" s="178"/>
      <c r="AN1865" s="173"/>
      <c r="AO1865" s="173"/>
      <c r="AP1865" s="173"/>
      <c r="AQ1865" s="178"/>
      <c r="AR1865" s="173"/>
      <c r="AS1865" s="173"/>
      <c r="AT1865" s="140"/>
      <c r="AX1865" s="140"/>
      <c r="BB1865" s="173"/>
      <c r="BC1865" s="173"/>
    </row>
    <row r="1866" spans="2:55" s="134" customFormat="1" x14ac:dyDescent="0.2">
      <c r="B1866" s="145"/>
      <c r="D1866" s="145"/>
      <c r="Z1866" s="177"/>
      <c r="AA1866" s="178"/>
      <c r="AB1866" s="139"/>
      <c r="AC1866" s="173"/>
      <c r="AD1866" s="177"/>
      <c r="AE1866" s="177"/>
      <c r="AF1866" s="139"/>
      <c r="AG1866" s="139"/>
      <c r="AH1866" s="177"/>
      <c r="AI1866" s="178"/>
      <c r="AJ1866" s="139"/>
      <c r="AK1866" s="173"/>
      <c r="AL1866" s="177"/>
      <c r="AM1866" s="178"/>
      <c r="AN1866" s="173"/>
      <c r="AO1866" s="173"/>
      <c r="AP1866" s="173"/>
      <c r="AQ1866" s="178"/>
      <c r="AR1866" s="173"/>
      <c r="AS1866" s="173"/>
      <c r="AT1866" s="140"/>
      <c r="AX1866" s="140"/>
      <c r="BB1866" s="173"/>
      <c r="BC1866" s="173"/>
    </row>
    <row r="1867" spans="2:55" s="134" customFormat="1" x14ac:dyDescent="0.2">
      <c r="B1867" s="145"/>
      <c r="D1867" s="145"/>
      <c r="Z1867" s="177"/>
      <c r="AA1867" s="178"/>
      <c r="AB1867" s="139"/>
      <c r="AC1867" s="173"/>
      <c r="AD1867" s="177"/>
      <c r="AE1867" s="177"/>
      <c r="AF1867" s="139"/>
      <c r="AG1867" s="139"/>
      <c r="AH1867" s="177"/>
      <c r="AI1867" s="178"/>
      <c r="AJ1867" s="139"/>
      <c r="AK1867" s="173"/>
      <c r="AL1867" s="177"/>
      <c r="AM1867" s="178"/>
      <c r="AN1867" s="173"/>
      <c r="AO1867" s="173"/>
      <c r="AP1867" s="173"/>
      <c r="AQ1867" s="178"/>
      <c r="AR1867" s="173"/>
      <c r="AS1867" s="173"/>
      <c r="AT1867" s="140"/>
      <c r="AX1867" s="140"/>
      <c r="BB1867" s="173"/>
      <c r="BC1867" s="173"/>
    </row>
    <row r="1868" spans="2:55" s="134" customFormat="1" x14ac:dyDescent="0.2">
      <c r="B1868" s="145"/>
      <c r="D1868" s="145"/>
      <c r="Z1868" s="177"/>
      <c r="AA1868" s="178"/>
      <c r="AB1868" s="139"/>
      <c r="AC1868" s="173"/>
      <c r="AD1868" s="177"/>
      <c r="AE1868" s="177"/>
      <c r="AF1868" s="139"/>
      <c r="AG1868" s="139"/>
      <c r="AH1868" s="177"/>
      <c r="AI1868" s="178"/>
      <c r="AJ1868" s="139"/>
      <c r="AK1868" s="173"/>
      <c r="AL1868" s="177"/>
      <c r="AM1868" s="178"/>
      <c r="AN1868" s="173"/>
      <c r="AO1868" s="173"/>
      <c r="AP1868" s="173"/>
      <c r="AQ1868" s="178"/>
      <c r="AR1868" s="173"/>
      <c r="AS1868" s="173"/>
      <c r="AT1868" s="140"/>
      <c r="AX1868" s="140"/>
      <c r="BB1868" s="173"/>
      <c r="BC1868" s="173"/>
    </row>
    <row r="1869" spans="2:55" s="134" customFormat="1" x14ac:dyDescent="0.2">
      <c r="B1869" s="145"/>
      <c r="D1869" s="145"/>
      <c r="Z1869" s="177"/>
      <c r="AA1869" s="178"/>
      <c r="AB1869" s="139"/>
      <c r="AC1869" s="173"/>
      <c r="AD1869" s="177"/>
      <c r="AE1869" s="177"/>
      <c r="AF1869" s="139"/>
      <c r="AG1869" s="139"/>
      <c r="AH1869" s="177"/>
      <c r="AI1869" s="178"/>
      <c r="AJ1869" s="139"/>
      <c r="AK1869" s="173"/>
      <c r="AL1869" s="177"/>
      <c r="AM1869" s="178"/>
      <c r="AN1869" s="173"/>
      <c r="AO1869" s="173"/>
      <c r="AP1869" s="173"/>
      <c r="AQ1869" s="178"/>
      <c r="AR1869" s="173"/>
      <c r="AS1869" s="173"/>
      <c r="AT1869" s="140"/>
      <c r="AX1869" s="140"/>
      <c r="BB1869" s="173"/>
      <c r="BC1869" s="173"/>
    </row>
    <row r="1870" spans="2:55" s="134" customFormat="1" x14ac:dyDescent="0.2">
      <c r="B1870" s="145"/>
      <c r="D1870" s="145"/>
      <c r="Z1870" s="177"/>
      <c r="AA1870" s="178"/>
      <c r="AB1870" s="139"/>
      <c r="AC1870" s="173"/>
      <c r="AD1870" s="177"/>
      <c r="AE1870" s="177"/>
      <c r="AF1870" s="139"/>
      <c r="AG1870" s="139"/>
      <c r="AH1870" s="177"/>
      <c r="AI1870" s="178"/>
      <c r="AJ1870" s="139"/>
      <c r="AK1870" s="173"/>
      <c r="AL1870" s="177"/>
      <c r="AM1870" s="178"/>
      <c r="AN1870" s="173"/>
      <c r="AO1870" s="173"/>
      <c r="AP1870" s="173"/>
      <c r="AQ1870" s="178"/>
      <c r="AR1870" s="173"/>
      <c r="AS1870" s="173"/>
      <c r="AT1870" s="140"/>
      <c r="AX1870" s="140"/>
      <c r="BB1870" s="173"/>
      <c r="BC1870" s="173"/>
    </row>
    <row r="1871" spans="2:55" s="134" customFormat="1" x14ac:dyDescent="0.2">
      <c r="B1871" s="145"/>
      <c r="D1871" s="145"/>
      <c r="Z1871" s="177"/>
      <c r="AA1871" s="178"/>
      <c r="AB1871" s="139"/>
      <c r="AC1871" s="173"/>
      <c r="AD1871" s="177"/>
      <c r="AE1871" s="177"/>
      <c r="AF1871" s="139"/>
      <c r="AG1871" s="139"/>
      <c r="AH1871" s="177"/>
      <c r="AI1871" s="178"/>
      <c r="AJ1871" s="139"/>
      <c r="AK1871" s="173"/>
      <c r="AL1871" s="177"/>
      <c r="AM1871" s="178"/>
      <c r="AN1871" s="173"/>
      <c r="AO1871" s="173"/>
      <c r="AP1871" s="173"/>
      <c r="AQ1871" s="178"/>
      <c r="AR1871" s="173"/>
      <c r="AS1871" s="173"/>
      <c r="AT1871" s="140"/>
      <c r="AX1871" s="140"/>
      <c r="BB1871" s="173"/>
      <c r="BC1871" s="173"/>
    </row>
    <row r="1872" spans="2:55" s="134" customFormat="1" x14ac:dyDescent="0.2">
      <c r="B1872" s="145"/>
      <c r="D1872" s="145"/>
      <c r="Z1872" s="177"/>
      <c r="AA1872" s="178"/>
      <c r="AB1872" s="139"/>
      <c r="AC1872" s="173"/>
      <c r="AD1872" s="177"/>
      <c r="AE1872" s="177"/>
      <c r="AF1872" s="139"/>
      <c r="AG1872" s="139"/>
      <c r="AH1872" s="177"/>
      <c r="AI1872" s="178"/>
      <c r="AJ1872" s="139"/>
      <c r="AK1872" s="173"/>
      <c r="AL1872" s="177"/>
      <c r="AM1872" s="178"/>
      <c r="AN1872" s="173"/>
      <c r="AO1872" s="173"/>
      <c r="AP1872" s="173"/>
      <c r="AQ1872" s="178"/>
      <c r="AR1872" s="173"/>
      <c r="AS1872" s="173"/>
      <c r="AT1872" s="140"/>
      <c r="AX1872" s="140"/>
      <c r="BB1872" s="173"/>
      <c r="BC1872" s="173"/>
    </row>
    <row r="1873" spans="2:55" s="134" customFormat="1" x14ac:dyDescent="0.2">
      <c r="B1873" s="145"/>
      <c r="D1873" s="145"/>
      <c r="Z1873" s="177"/>
      <c r="AA1873" s="178"/>
      <c r="AB1873" s="139"/>
      <c r="AC1873" s="173"/>
      <c r="AD1873" s="177"/>
      <c r="AE1873" s="177"/>
      <c r="AF1873" s="139"/>
      <c r="AG1873" s="139"/>
      <c r="AH1873" s="177"/>
      <c r="AI1873" s="178"/>
      <c r="AJ1873" s="139"/>
      <c r="AK1873" s="173"/>
      <c r="AL1873" s="177"/>
      <c r="AM1873" s="178"/>
      <c r="AN1873" s="173"/>
      <c r="AO1873" s="173"/>
      <c r="AP1873" s="173"/>
      <c r="AQ1873" s="178"/>
      <c r="AR1873" s="173"/>
      <c r="AS1873" s="173"/>
      <c r="AT1873" s="140"/>
      <c r="AX1873" s="140"/>
      <c r="BB1873" s="173"/>
      <c r="BC1873" s="173"/>
    </row>
    <row r="1874" spans="2:55" s="134" customFormat="1" x14ac:dyDescent="0.2">
      <c r="B1874" s="145"/>
      <c r="D1874" s="145"/>
      <c r="Z1874" s="177"/>
      <c r="AA1874" s="178"/>
      <c r="AB1874" s="139"/>
      <c r="AC1874" s="173"/>
      <c r="AD1874" s="177"/>
      <c r="AE1874" s="177"/>
      <c r="AF1874" s="139"/>
      <c r="AG1874" s="139"/>
      <c r="AH1874" s="177"/>
      <c r="AI1874" s="178"/>
      <c r="AJ1874" s="139"/>
      <c r="AK1874" s="173"/>
      <c r="AL1874" s="177"/>
      <c r="AM1874" s="178"/>
      <c r="AN1874" s="173"/>
      <c r="AO1874" s="173"/>
      <c r="AP1874" s="173"/>
      <c r="AQ1874" s="178"/>
      <c r="AR1874" s="173"/>
      <c r="AS1874" s="173"/>
      <c r="AT1874" s="140"/>
      <c r="AX1874" s="140"/>
      <c r="BB1874" s="173"/>
      <c r="BC1874" s="173"/>
    </row>
    <row r="1875" spans="2:55" s="134" customFormat="1" x14ac:dyDescent="0.2">
      <c r="B1875" s="145"/>
      <c r="D1875" s="145"/>
      <c r="Z1875" s="177"/>
      <c r="AA1875" s="178"/>
      <c r="AB1875" s="139"/>
      <c r="AC1875" s="173"/>
      <c r="AD1875" s="177"/>
      <c r="AE1875" s="177"/>
      <c r="AF1875" s="139"/>
      <c r="AG1875" s="139"/>
      <c r="AH1875" s="177"/>
      <c r="AI1875" s="178"/>
      <c r="AJ1875" s="139"/>
      <c r="AK1875" s="173"/>
      <c r="AL1875" s="177"/>
      <c r="AM1875" s="178"/>
      <c r="AN1875" s="173"/>
      <c r="AO1875" s="173"/>
      <c r="AP1875" s="173"/>
      <c r="AQ1875" s="178"/>
      <c r="AR1875" s="173"/>
      <c r="AS1875" s="173"/>
      <c r="AT1875" s="140"/>
      <c r="AX1875" s="140"/>
      <c r="BB1875" s="173"/>
      <c r="BC1875" s="173"/>
    </row>
    <row r="1876" spans="2:55" s="134" customFormat="1" x14ac:dyDescent="0.2">
      <c r="B1876" s="145"/>
      <c r="D1876" s="145"/>
      <c r="Z1876" s="177"/>
      <c r="AA1876" s="178"/>
      <c r="AB1876" s="139"/>
      <c r="AC1876" s="173"/>
      <c r="AD1876" s="177"/>
      <c r="AE1876" s="177"/>
      <c r="AF1876" s="139"/>
      <c r="AG1876" s="139"/>
      <c r="AH1876" s="177"/>
      <c r="AI1876" s="178"/>
      <c r="AJ1876" s="139"/>
      <c r="AK1876" s="173"/>
      <c r="AL1876" s="177"/>
      <c r="AM1876" s="178"/>
      <c r="AN1876" s="173"/>
      <c r="AO1876" s="173"/>
      <c r="AP1876" s="173"/>
      <c r="AQ1876" s="178"/>
      <c r="AR1876" s="173"/>
      <c r="AS1876" s="173"/>
      <c r="AT1876" s="140"/>
      <c r="AX1876" s="140"/>
      <c r="BB1876" s="173"/>
      <c r="BC1876" s="173"/>
    </row>
    <row r="1877" spans="2:55" s="134" customFormat="1" x14ac:dyDescent="0.2">
      <c r="B1877" s="145"/>
      <c r="D1877" s="145"/>
      <c r="Z1877" s="177"/>
      <c r="AA1877" s="178"/>
      <c r="AB1877" s="139"/>
      <c r="AC1877" s="173"/>
      <c r="AD1877" s="177"/>
      <c r="AE1877" s="177"/>
      <c r="AF1877" s="139"/>
      <c r="AG1877" s="139"/>
      <c r="AH1877" s="177"/>
      <c r="AI1877" s="178"/>
      <c r="AJ1877" s="139"/>
      <c r="AK1877" s="173"/>
      <c r="AL1877" s="177"/>
      <c r="AM1877" s="178"/>
      <c r="AN1877" s="173"/>
      <c r="AO1877" s="173"/>
      <c r="AP1877" s="173"/>
      <c r="AQ1877" s="178"/>
      <c r="AR1877" s="173"/>
      <c r="AS1877" s="173"/>
      <c r="AT1877" s="140"/>
      <c r="AX1877" s="140"/>
      <c r="BB1877" s="173"/>
      <c r="BC1877" s="173"/>
    </row>
    <row r="1878" spans="2:55" s="134" customFormat="1" x14ac:dyDescent="0.2">
      <c r="B1878" s="145"/>
      <c r="D1878" s="145"/>
      <c r="Z1878" s="177"/>
      <c r="AA1878" s="178"/>
      <c r="AB1878" s="139"/>
      <c r="AC1878" s="173"/>
      <c r="AD1878" s="177"/>
      <c r="AE1878" s="177"/>
      <c r="AF1878" s="139"/>
      <c r="AG1878" s="139"/>
      <c r="AH1878" s="177"/>
      <c r="AI1878" s="178"/>
      <c r="AJ1878" s="139"/>
      <c r="AK1878" s="173"/>
      <c r="AL1878" s="177"/>
      <c r="AM1878" s="178"/>
      <c r="AN1878" s="173"/>
      <c r="AO1878" s="173"/>
      <c r="AP1878" s="173"/>
      <c r="AQ1878" s="178"/>
      <c r="AR1878" s="173"/>
      <c r="AS1878" s="173"/>
      <c r="AT1878" s="140"/>
      <c r="AX1878" s="140"/>
      <c r="BB1878" s="173"/>
      <c r="BC1878" s="173"/>
    </row>
    <row r="1879" spans="2:55" s="134" customFormat="1" x14ac:dyDescent="0.2">
      <c r="B1879" s="145"/>
      <c r="D1879" s="145"/>
      <c r="Z1879" s="177"/>
      <c r="AA1879" s="178"/>
      <c r="AB1879" s="139"/>
      <c r="AC1879" s="173"/>
      <c r="AD1879" s="177"/>
      <c r="AE1879" s="177"/>
      <c r="AF1879" s="139"/>
      <c r="AG1879" s="139"/>
      <c r="AH1879" s="177"/>
      <c r="AI1879" s="178"/>
      <c r="AJ1879" s="139"/>
      <c r="AK1879" s="173"/>
      <c r="AL1879" s="177"/>
      <c r="AM1879" s="178"/>
      <c r="AN1879" s="173"/>
      <c r="AO1879" s="173"/>
      <c r="AP1879" s="173"/>
      <c r="AQ1879" s="178"/>
      <c r="AR1879" s="173"/>
      <c r="AS1879" s="173"/>
      <c r="AT1879" s="140"/>
      <c r="AX1879" s="140"/>
      <c r="BB1879" s="173"/>
      <c r="BC1879" s="173"/>
    </row>
    <row r="1880" spans="2:55" s="134" customFormat="1" x14ac:dyDescent="0.2">
      <c r="B1880" s="145"/>
      <c r="D1880" s="145"/>
      <c r="Z1880" s="177"/>
      <c r="AA1880" s="178"/>
      <c r="AB1880" s="139"/>
      <c r="AC1880" s="173"/>
      <c r="AD1880" s="177"/>
      <c r="AE1880" s="177"/>
      <c r="AF1880" s="139"/>
      <c r="AG1880" s="139"/>
      <c r="AH1880" s="177"/>
      <c r="AI1880" s="178"/>
      <c r="AJ1880" s="139"/>
      <c r="AK1880" s="173"/>
      <c r="AL1880" s="177"/>
      <c r="AM1880" s="178"/>
      <c r="AN1880" s="173"/>
      <c r="AO1880" s="173"/>
      <c r="AP1880" s="173"/>
      <c r="AQ1880" s="178"/>
      <c r="AR1880" s="173"/>
      <c r="AS1880" s="173"/>
      <c r="AT1880" s="140"/>
      <c r="AX1880" s="140"/>
      <c r="BB1880" s="173"/>
      <c r="BC1880" s="173"/>
    </row>
    <row r="1881" spans="2:55" s="134" customFormat="1" x14ac:dyDescent="0.2">
      <c r="B1881" s="145"/>
      <c r="D1881" s="145"/>
      <c r="Z1881" s="177"/>
      <c r="AA1881" s="178"/>
      <c r="AB1881" s="139"/>
      <c r="AC1881" s="173"/>
      <c r="AD1881" s="177"/>
      <c r="AE1881" s="177"/>
      <c r="AF1881" s="139"/>
      <c r="AG1881" s="139"/>
      <c r="AH1881" s="177"/>
      <c r="AI1881" s="178"/>
      <c r="AJ1881" s="139"/>
      <c r="AK1881" s="173"/>
      <c r="AL1881" s="177"/>
      <c r="AM1881" s="178"/>
      <c r="AN1881" s="173"/>
      <c r="AO1881" s="173"/>
      <c r="AP1881" s="173"/>
      <c r="AQ1881" s="178"/>
      <c r="AR1881" s="173"/>
      <c r="AS1881" s="173"/>
      <c r="AT1881" s="140"/>
      <c r="AX1881" s="140"/>
      <c r="BB1881" s="173"/>
      <c r="BC1881" s="173"/>
    </row>
    <row r="1882" spans="2:55" s="134" customFormat="1" x14ac:dyDescent="0.2">
      <c r="B1882" s="145"/>
      <c r="D1882" s="145"/>
      <c r="Z1882" s="177"/>
      <c r="AA1882" s="178"/>
      <c r="AB1882" s="139"/>
      <c r="AC1882" s="173"/>
      <c r="AD1882" s="177"/>
      <c r="AE1882" s="177"/>
      <c r="AF1882" s="139"/>
      <c r="AG1882" s="139"/>
      <c r="AH1882" s="177"/>
      <c r="AI1882" s="178"/>
      <c r="AJ1882" s="139"/>
      <c r="AK1882" s="173"/>
      <c r="AL1882" s="177"/>
      <c r="AM1882" s="178"/>
      <c r="AN1882" s="173"/>
      <c r="AO1882" s="173"/>
      <c r="AP1882" s="173"/>
      <c r="AQ1882" s="178"/>
      <c r="AR1882" s="173"/>
      <c r="AS1882" s="173"/>
      <c r="AT1882" s="140"/>
      <c r="AX1882" s="140"/>
      <c r="BB1882" s="173"/>
      <c r="BC1882" s="173"/>
    </row>
    <row r="1883" spans="2:55" s="134" customFormat="1" x14ac:dyDescent="0.2">
      <c r="B1883" s="145"/>
      <c r="D1883" s="145"/>
      <c r="Z1883" s="177"/>
      <c r="AA1883" s="178"/>
      <c r="AB1883" s="139"/>
      <c r="AC1883" s="173"/>
      <c r="AD1883" s="177"/>
      <c r="AE1883" s="177"/>
      <c r="AF1883" s="139"/>
      <c r="AG1883" s="139"/>
      <c r="AH1883" s="177"/>
      <c r="AI1883" s="178"/>
      <c r="AJ1883" s="139"/>
      <c r="AK1883" s="173"/>
      <c r="AL1883" s="177"/>
      <c r="AM1883" s="178"/>
      <c r="AN1883" s="173"/>
      <c r="AO1883" s="173"/>
      <c r="AP1883" s="173"/>
      <c r="AQ1883" s="178"/>
      <c r="AR1883" s="173"/>
      <c r="AS1883" s="173"/>
      <c r="AT1883" s="140"/>
      <c r="AX1883" s="140"/>
      <c r="BB1883" s="173"/>
      <c r="BC1883" s="173"/>
    </row>
    <row r="1884" spans="2:55" s="134" customFormat="1" x14ac:dyDescent="0.2">
      <c r="B1884" s="145"/>
      <c r="D1884" s="145"/>
      <c r="Z1884" s="177"/>
      <c r="AA1884" s="178"/>
      <c r="AB1884" s="139"/>
      <c r="AC1884" s="173"/>
      <c r="AD1884" s="177"/>
      <c r="AE1884" s="177"/>
      <c r="AF1884" s="139"/>
      <c r="AG1884" s="139"/>
      <c r="AH1884" s="177"/>
      <c r="AI1884" s="178"/>
      <c r="AJ1884" s="139"/>
      <c r="AK1884" s="173"/>
      <c r="AL1884" s="177"/>
      <c r="AM1884" s="178"/>
      <c r="AN1884" s="173"/>
      <c r="AO1884" s="173"/>
      <c r="AP1884" s="173"/>
      <c r="AQ1884" s="178"/>
      <c r="AR1884" s="173"/>
      <c r="AS1884" s="173"/>
      <c r="AT1884" s="140"/>
      <c r="AX1884" s="140"/>
      <c r="BB1884" s="173"/>
      <c r="BC1884" s="173"/>
    </row>
    <row r="1885" spans="2:55" s="134" customFormat="1" x14ac:dyDescent="0.2">
      <c r="B1885" s="145"/>
      <c r="D1885" s="145"/>
      <c r="Z1885" s="177"/>
      <c r="AA1885" s="178"/>
      <c r="AB1885" s="139"/>
      <c r="AC1885" s="173"/>
      <c r="AD1885" s="177"/>
      <c r="AE1885" s="177"/>
      <c r="AF1885" s="139"/>
      <c r="AG1885" s="139"/>
      <c r="AH1885" s="177"/>
      <c r="AI1885" s="178"/>
      <c r="AJ1885" s="139"/>
      <c r="AK1885" s="173"/>
      <c r="AL1885" s="177"/>
      <c r="AM1885" s="178"/>
      <c r="AN1885" s="173"/>
      <c r="AO1885" s="173"/>
      <c r="AP1885" s="173"/>
      <c r="AQ1885" s="178"/>
      <c r="AR1885" s="173"/>
      <c r="AS1885" s="173"/>
      <c r="AT1885" s="140"/>
      <c r="AX1885" s="140"/>
      <c r="BB1885" s="173"/>
      <c r="BC1885" s="173"/>
    </row>
    <row r="1886" spans="2:55" s="134" customFormat="1" x14ac:dyDescent="0.2">
      <c r="B1886" s="145"/>
      <c r="D1886" s="145"/>
      <c r="Z1886" s="177"/>
      <c r="AA1886" s="178"/>
      <c r="AB1886" s="139"/>
      <c r="AC1886" s="173"/>
      <c r="AD1886" s="177"/>
      <c r="AE1886" s="177"/>
      <c r="AF1886" s="139"/>
      <c r="AG1886" s="139"/>
      <c r="AH1886" s="177"/>
      <c r="AI1886" s="178"/>
      <c r="AJ1886" s="139"/>
      <c r="AK1886" s="173"/>
      <c r="AL1886" s="177"/>
      <c r="AM1886" s="178"/>
      <c r="AN1886" s="173"/>
      <c r="AO1886" s="173"/>
      <c r="AP1886" s="173"/>
      <c r="AQ1886" s="178"/>
      <c r="AR1886" s="173"/>
      <c r="AS1886" s="173"/>
      <c r="AT1886" s="140"/>
      <c r="AX1886" s="140"/>
      <c r="BB1886" s="173"/>
      <c r="BC1886" s="173"/>
    </row>
    <row r="1887" spans="2:55" s="134" customFormat="1" x14ac:dyDescent="0.2">
      <c r="B1887" s="145"/>
      <c r="D1887" s="145"/>
      <c r="Z1887" s="177"/>
      <c r="AA1887" s="178"/>
      <c r="AB1887" s="139"/>
      <c r="AC1887" s="173"/>
      <c r="AD1887" s="177"/>
      <c r="AE1887" s="177"/>
      <c r="AF1887" s="139"/>
      <c r="AG1887" s="139"/>
      <c r="AH1887" s="177"/>
      <c r="AI1887" s="178"/>
      <c r="AJ1887" s="139"/>
      <c r="AK1887" s="173"/>
      <c r="AL1887" s="177"/>
      <c r="AM1887" s="178"/>
      <c r="AN1887" s="173"/>
      <c r="AO1887" s="173"/>
      <c r="AP1887" s="173"/>
      <c r="AQ1887" s="178"/>
      <c r="AR1887" s="173"/>
      <c r="AS1887" s="173"/>
      <c r="AT1887" s="140"/>
      <c r="AX1887" s="140"/>
      <c r="BB1887" s="173"/>
      <c r="BC1887" s="173"/>
    </row>
    <row r="1888" spans="2:55" s="134" customFormat="1" x14ac:dyDescent="0.2">
      <c r="B1888" s="145"/>
      <c r="D1888" s="145"/>
      <c r="Z1888" s="177"/>
      <c r="AA1888" s="178"/>
      <c r="AB1888" s="139"/>
      <c r="AC1888" s="173"/>
      <c r="AD1888" s="177"/>
      <c r="AE1888" s="177"/>
      <c r="AF1888" s="139"/>
      <c r="AG1888" s="139"/>
      <c r="AH1888" s="177"/>
      <c r="AI1888" s="178"/>
      <c r="AJ1888" s="139"/>
      <c r="AK1888" s="173"/>
      <c r="AL1888" s="177"/>
      <c r="AM1888" s="178"/>
      <c r="AN1888" s="173"/>
      <c r="AO1888" s="173"/>
      <c r="AP1888" s="173"/>
      <c r="AQ1888" s="178"/>
      <c r="AR1888" s="173"/>
      <c r="AS1888" s="173"/>
      <c r="AT1888" s="140"/>
      <c r="AX1888" s="140"/>
      <c r="BB1888" s="173"/>
      <c r="BC1888" s="173"/>
    </row>
    <row r="1889" spans="2:55" s="134" customFormat="1" x14ac:dyDescent="0.2">
      <c r="B1889" s="145"/>
      <c r="D1889" s="145"/>
      <c r="Z1889" s="177"/>
      <c r="AA1889" s="178"/>
      <c r="AB1889" s="139"/>
      <c r="AC1889" s="173"/>
      <c r="AD1889" s="177"/>
      <c r="AE1889" s="177"/>
      <c r="AF1889" s="139"/>
      <c r="AG1889" s="139"/>
      <c r="AH1889" s="177"/>
      <c r="AI1889" s="178"/>
      <c r="AJ1889" s="139"/>
      <c r="AK1889" s="173"/>
      <c r="AL1889" s="177"/>
      <c r="AM1889" s="178"/>
      <c r="AN1889" s="173"/>
      <c r="AO1889" s="173"/>
      <c r="AP1889" s="173"/>
      <c r="AQ1889" s="178"/>
      <c r="AR1889" s="173"/>
      <c r="AS1889" s="173"/>
      <c r="AT1889" s="140"/>
      <c r="AX1889" s="140"/>
      <c r="BB1889" s="173"/>
      <c r="BC1889" s="173"/>
    </row>
    <row r="1890" spans="2:55" s="134" customFormat="1" x14ac:dyDescent="0.2">
      <c r="B1890" s="145"/>
      <c r="D1890" s="145"/>
      <c r="Z1890" s="177"/>
      <c r="AA1890" s="178"/>
      <c r="AB1890" s="139"/>
      <c r="AC1890" s="173"/>
      <c r="AD1890" s="177"/>
      <c r="AE1890" s="177"/>
      <c r="AF1890" s="139"/>
      <c r="AG1890" s="139"/>
      <c r="AH1890" s="177"/>
      <c r="AI1890" s="178"/>
      <c r="AJ1890" s="139"/>
      <c r="AK1890" s="173"/>
      <c r="AL1890" s="177"/>
      <c r="AM1890" s="178"/>
      <c r="AN1890" s="173"/>
      <c r="AO1890" s="173"/>
      <c r="AP1890" s="173"/>
      <c r="AQ1890" s="178"/>
      <c r="AR1890" s="173"/>
      <c r="AS1890" s="173"/>
      <c r="AT1890" s="140"/>
      <c r="AX1890" s="140"/>
      <c r="BB1890" s="173"/>
      <c r="BC1890" s="173"/>
    </row>
    <row r="1891" spans="2:55" s="134" customFormat="1" x14ac:dyDescent="0.2">
      <c r="B1891" s="145"/>
      <c r="D1891" s="145"/>
      <c r="Z1891" s="177"/>
      <c r="AA1891" s="178"/>
      <c r="AB1891" s="139"/>
      <c r="AC1891" s="173"/>
      <c r="AD1891" s="177"/>
      <c r="AE1891" s="177"/>
      <c r="AF1891" s="139"/>
      <c r="AG1891" s="139"/>
      <c r="AH1891" s="177"/>
      <c r="AI1891" s="178"/>
      <c r="AJ1891" s="139"/>
      <c r="AK1891" s="173"/>
      <c r="AL1891" s="177"/>
      <c r="AM1891" s="178"/>
      <c r="AN1891" s="173"/>
      <c r="AO1891" s="173"/>
      <c r="AP1891" s="173"/>
      <c r="AQ1891" s="178"/>
      <c r="AR1891" s="173"/>
      <c r="AS1891" s="173"/>
      <c r="AT1891" s="140"/>
      <c r="AX1891" s="140"/>
      <c r="BB1891" s="173"/>
      <c r="BC1891" s="173"/>
    </row>
    <row r="1892" spans="2:55" s="134" customFormat="1" x14ac:dyDescent="0.2">
      <c r="B1892" s="145"/>
      <c r="D1892" s="145"/>
      <c r="Z1892" s="177"/>
      <c r="AA1892" s="178"/>
      <c r="AB1892" s="139"/>
      <c r="AC1892" s="173"/>
      <c r="AD1892" s="177"/>
      <c r="AE1892" s="177"/>
      <c r="AF1892" s="139"/>
      <c r="AG1892" s="139"/>
      <c r="AH1892" s="177"/>
      <c r="AI1892" s="178"/>
      <c r="AJ1892" s="139"/>
      <c r="AK1892" s="173"/>
      <c r="AL1892" s="177"/>
      <c r="AM1892" s="178"/>
      <c r="AN1892" s="173"/>
      <c r="AO1892" s="173"/>
      <c r="AP1892" s="173"/>
      <c r="AQ1892" s="178"/>
      <c r="AR1892" s="173"/>
      <c r="AS1892" s="173"/>
      <c r="AT1892" s="140"/>
      <c r="AX1892" s="140"/>
      <c r="BB1892" s="173"/>
      <c r="BC1892" s="173"/>
    </row>
    <row r="1893" spans="2:55" s="134" customFormat="1" x14ac:dyDescent="0.2">
      <c r="B1893" s="145"/>
      <c r="D1893" s="145"/>
      <c r="Z1893" s="177"/>
      <c r="AA1893" s="178"/>
      <c r="AB1893" s="139"/>
      <c r="AC1893" s="173"/>
      <c r="AD1893" s="177"/>
      <c r="AE1893" s="177"/>
      <c r="AF1893" s="139"/>
      <c r="AG1893" s="139"/>
      <c r="AH1893" s="177"/>
      <c r="AI1893" s="178"/>
      <c r="AJ1893" s="139"/>
      <c r="AK1893" s="173"/>
      <c r="AL1893" s="177"/>
      <c r="AM1893" s="178"/>
      <c r="AN1893" s="173"/>
      <c r="AO1893" s="173"/>
      <c r="AP1893" s="173"/>
      <c r="AQ1893" s="178"/>
      <c r="AR1893" s="173"/>
      <c r="AS1893" s="173"/>
      <c r="AT1893" s="140"/>
      <c r="AX1893" s="140"/>
      <c r="BB1893" s="173"/>
      <c r="BC1893" s="173"/>
    </row>
    <row r="1894" spans="2:55" s="134" customFormat="1" x14ac:dyDescent="0.2">
      <c r="B1894" s="145"/>
      <c r="D1894" s="145"/>
      <c r="Z1894" s="177"/>
      <c r="AA1894" s="178"/>
      <c r="AB1894" s="139"/>
      <c r="AC1894" s="173"/>
      <c r="AD1894" s="177"/>
      <c r="AE1894" s="177"/>
      <c r="AF1894" s="139"/>
      <c r="AG1894" s="139"/>
      <c r="AH1894" s="177"/>
      <c r="AI1894" s="178"/>
      <c r="AJ1894" s="139"/>
      <c r="AK1894" s="173"/>
      <c r="AL1894" s="177"/>
      <c r="AM1894" s="178"/>
      <c r="AN1894" s="173"/>
      <c r="AO1894" s="173"/>
      <c r="AP1894" s="173"/>
      <c r="AQ1894" s="178"/>
      <c r="AR1894" s="173"/>
      <c r="AS1894" s="173"/>
      <c r="AT1894" s="140"/>
      <c r="AX1894" s="140"/>
      <c r="BB1894" s="173"/>
      <c r="BC1894" s="173"/>
    </row>
    <row r="1895" spans="2:55" s="134" customFormat="1" x14ac:dyDescent="0.2">
      <c r="B1895" s="145"/>
      <c r="D1895" s="145"/>
      <c r="Z1895" s="177"/>
      <c r="AA1895" s="178"/>
      <c r="AB1895" s="139"/>
      <c r="AC1895" s="173"/>
      <c r="AD1895" s="177"/>
      <c r="AE1895" s="177"/>
      <c r="AF1895" s="139"/>
      <c r="AG1895" s="139"/>
      <c r="AH1895" s="177"/>
      <c r="AI1895" s="178"/>
      <c r="AJ1895" s="139"/>
      <c r="AK1895" s="173"/>
      <c r="AL1895" s="177"/>
      <c r="AM1895" s="178"/>
      <c r="AN1895" s="173"/>
      <c r="AO1895" s="173"/>
      <c r="AP1895" s="173"/>
      <c r="AQ1895" s="178"/>
      <c r="AR1895" s="173"/>
      <c r="AS1895" s="173"/>
      <c r="AT1895" s="140"/>
      <c r="AX1895" s="140"/>
      <c r="BB1895" s="173"/>
      <c r="BC1895" s="173"/>
    </row>
    <row r="1896" spans="2:55" s="134" customFormat="1" x14ac:dyDescent="0.2">
      <c r="B1896" s="145"/>
      <c r="D1896" s="145"/>
      <c r="Z1896" s="177"/>
      <c r="AA1896" s="178"/>
      <c r="AB1896" s="139"/>
      <c r="AC1896" s="173"/>
      <c r="AD1896" s="177"/>
      <c r="AE1896" s="177"/>
      <c r="AF1896" s="139"/>
      <c r="AG1896" s="139"/>
      <c r="AH1896" s="177"/>
      <c r="AI1896" s="178"/>
      <c r="AJ1896" s="139"/>
      <c r="AK1896" s="173"/>
      <c r="AL1896" s="177"/>
      <c r="AM1896" s="178"/>
      <c r="AN1896" s="173"/>
      <c r="AO1896" s="173"/>
      <c r="AP1896" s="173"/>
      <c r="AQ1896" s="178"/>
      <c r="AR1896" s="173"/>
      <c r="AS1896" s="173"/>
      <c r="AT1896" s="140"/>
      <c r="AX1896" s="140"/>
      <c r="BB1896" s="173"/>
      <c r="BC1896" s="173"/>
    </row>
    <row r="1897" spans="2:55" s="134" customFormat="1" x14ac:dyDescent="0.2">
      <c r="B1897" s="145"/>
      <c r="D1897" s="145"/>
      <c r="Z1897" s="177"/>
      <c r="AA1897" s="178"/>
      <c r="AB1897" s="139"/>
      <c r="AC1897" s="173"/>
      <c r="AD1897" s="177"/>
      <c r="AE1897" s="177"/>
      <c r="AF1897" s="139"/>
      <c r="AG1897" s="139"/>
      <c r="AH1897" s="177"/>
      <c r="AI1897" s="178"/>
      <c r="AJ1897" s="139"/>
      <c r="AK1897" s="173"/>
      <c r="AL1897" s="177"/>
      <c r="AM1897" s="178"/>
      <c r="AN1897" s="173"/>
      <c r="AO1897" s="173"/>
      <c r="AP1897" s="173"/>
      <c r="AQ1897" s="178"/>
      <c r="AR1897" s="173"/>
      <c r="AS1897" s="173"/>
      <c r="AT1897" s="140"/>
      <c r="AX1897" s="140"/>
      <c r="BB1897" s="173"/>
      <c r="BC1897" s="173"/>
    </row>
    <row r="1898" spans="2:55" s="134" customFormat="1" x14ac:dyDescent="0.2">
      <c r="B1898" s="145"/>
      <c r="D1898" s="145"/>
      <c r="Z1898" s="177"/>
      <c r="AA1898" s="178"/>
      <c r="AB1898" s="139"/>
      <c r="AC1898" s="173"/>
      <c r="AD1898" s="177"/>
      <c r="AE1898" s="177"/>
      <c r="AF1898" s="139"/>
      <c r="AG1898" s="139"/>
      <c r="AH1898" s="177"/>
      <c r="AI1898" s="178"/>
      <c r="AJ1898" s="139"/>
      <c r="AK1898" s="173"/>
      <c r="AL1898" s="177"/>
      <c r="AM1898" s="178"/>
      <c r="AN1898" s="173"/>
      <c r="AO1898" s="173"/>
      <c r="AP1898" s="173"/>
      <c r="AQ1898" s="178"/>
      <c r="AR1898" s="173"/>
      <c r="AS1898" s="173"/>
      <c r="AT1898" s="140"/>
      <c r="AX1898" s="140"/>
      <c r="BB1898" s="173"/>
      <c r="BC1898" s="173"/>
    </row>
    <row r="1899" spans="2:55" s="134" customFormat="1" x14ac:dyDescent="0.2">
      <c r="B1899" s="145"/>
      <c r="D1899" s="145"/>
      <c r="Z1899" s="177"/>
      <c r="AA1899" s="178"/>
      <c r="AB1899" s="139"/>
      <c r="AC1899" s="173"/>
      <c r="AD1899" s="177"/>
      <c r="AE1899" s="177"/>
      <c r="AF1899" s="139"/>
      <c r="AG1899" s="139"/>
      <c r="AH1899" s="177"/>
      <c r="AI1899" s="178"/>
      <c r="AJ1899" s="139"/>
      <c r="AK1899" s="173"/>
      <c r="AL1899" s="177"/>
      <c r="AM1899" s="178"/>
      <c r="AN1899" s="173"/>
      <c r="AO1899" s="173"/>
      <c r="AP1899" s="173"/>
      <c r="AQ1899" s="178"/>
      <c r="AR1899" s="173"/>
      <c r="AS1899" s="173"/>
      <c r="AT1899" s="140"/>
      <c r="AX1899" s="140"/>
      <c r="BB1899" s="173"/>
      <c r="BC1899" s="173"/>
    </row>
    <row r="1900" spans="2:55" s="134" customFormat="1" x14ac:dyDescent="0.2">
      <c r="B1900" s="145"/>
      <c r="D1900" s="145"/>
      <c r="Z1900" s="177"/>
      <c r="AA1900" s="178"/>
      <c r="AB1900" s="139"/>
      <c r="AC1900" s="173"/>
      <c r="AD1900" s="177"/>
      <c r="AE1900" s="177"/>
      <c r="AF1900" s="139"/>
      <c r="AG1900" s="139"/>
      <c r="AH1900" s="177"/>
      <c r="AI1900" s="178"/>
      <c r="AJ1900" s="139"/>
      <c r="AK1900" s="173"/>
      <c r="AL1900" s="177"/>
      <c r="AM1900" s="178"/>
      <c r="AN1900" s="173"/>
      <c r="AO1900" s="173"/>
      <c r="AP1900" s="173"/>
      <c r="AQ1900" s="178"/>
      <c r="AR1900" s="173"/>
      <c r="AS1900" s="173"/>
      <c r="AT1900" s="140"/>
      <c r="AX1900" s="140"/>
      <c r="BB1900" s="173"/>
      <c r="BC1900" s="173"/>
    </row>
    <row r="1901" spans="2:55" s="134" customFormat="1" x14ac:dyDescent="0.2">
      <c r="B1901" s="145"/>
      <c r="D1901" s="145"/>
      <c r="Z1901" s="177"/>
      <c r="AA1901" s="178"/>
      <c r="AB1901" s="139"/>
      <c r="AC1901" s="173"/>
      <c r="AD1901" s="177"/>
      <c r="AE1901" s="177"/>
      <c r="AF1901" s="139"/>
      <c r="AG1901" s="139"/>
      <c r="AH1901" s="177"/>
      <c r="AI1901" s="178"/>
      <c r="AJ1901" s="139"/>
      <c r="AK1901" s="173"/>
      <c r="AL1901" s="177"/>
      <c r="AM1901" s="178"/>
      <c r="AN1901" s="173"/>
      <c r="AO1901" s="173"/>
      <c r="AP1901" s="173"/>
      <c r="AQ1901" s="178"/>
      <c r="AR1901" s="173"/>
      <c r="AS1901" s="173"/>
      <c r="AT1901" s="140"/>
      <c r="AX1901" s="140"/>
      <c r="BB1901" s="173"/>
      <c r="BC1901" s="173"/>
    </row>
    <row r="1902" spans="2:55" s="134" customFormat="1" x14ac:dyDescent="0.2">
      <c r="B1902" s="145"/>
      <c r="D1902" s="145"/>
      <c r="Z1902" s="177"/>
      <c r="AA1902" s="178"/>
      <c r="AB1902" s="139"/>
      <c r="AC1902" s="173"/>
      <c r="AD1902" s="177"/>
      <c r="AE1902" s="177"/>
      <c r="AF1902" s="139"/>
      <c r="AG1902" s="139"/>
      <c r="AH1902" s="177"/>
      <c r="AI1902" s="178"/>
      <c r="AJ1902" s="139"/>
      <c r="AK1902" s="173"/>
      <c r="AL1902" s="177"/>
      <c r="AM1902" s="178"/>
      <c r="AN1902" s="173"/>
      <c r="AO1902" s="173"/>
      <c r="AP1902" s="173"/>
      <c r="AQ1902" s="178"/>
      <c r="AR1902" s="173"/>
      <c r="AS1902" s="173"/>
      <c r="AT1902" s="140"/>
      <c r="AX1902" s="140"/>
      <c r="BB1902" s="173"/>
      <c r="BC1902" s="173"/>
    </row>
    <row r="1903" spans="2:55" s="134" customFormat="1" x14ac:dyDescent="0.2">
      <c r="B1903" s="145"/>
      <c r="D1903" s="145"/>
      <c r="Z1903" s="177"/>
      <c r="AA1903" s="178"/>
      <c r="AB1903" s="139"/>
      <c r="AC1903" s="173"/>
      <c r="AD1903" s="177"/>
      <c r="AE1903" s="177"/>
      <c r="AF1903" s="139"/>
      <c r="AG1903" s="139"/>
      <c r="AH1903" s="177"/>
      <c r="AI1903" s="178"/>
      <c r="AJ1903" s="139"/>
      <c r="AK1903" s="173"/>
      <c r="AL1903" s="177"/>
      <c r="AM1903" s="178"/>
      <c r="AN1903" s="173"/>
      <c r="AO1903" s="173"/>
      <c r="AP1903" s="173"/>
      <c r="AQ1903" s="178"/>
      <c r="AR1903" s="173"/>
      <c r="AS1903" s="173"/>
      <c r="AT1903" s="140"/>
      <c r="AX1903" s="140"/>
      <c r="BB1903" s="173"/>
      <c r="BC1903" s="173"/>
    </row>
    <row r="1904" spans="2:55" s="134" customFormat="1" x14ac:dyDescent="0.2">
      <c r="B1904" s="145"/>
      <c r="D1904" s="145"/>
      <c r="Z1904" s="177"/>
      <c r="AA1904" s="178"/>
      <c r="AB1904" s="139"/>
      <c r="AC1904" s="173"/>
      <c r="AD1904" s="177"/>
      <c r="AE1904" s="177"/>
      <c r="AF1904" s="139"/>
      <c r="AG1904" s="139"/>
      <c r="AH1904" s="177"/>
      <c r="AI1904" s="178"/>
      <c r="AJ1904" s="139"/>
      <c r="AK1904" s="173"/>
      <c r="AL1904" s="177"/>
      <c r="AM1904" s="178"/>
      <c r="AN1904" s="173"/>
      <c r="AO1904" s="173"/>
      <c r="AP1904" s="173"/>
      <c r="AQ1904" s="178"/>
      <c r="AR1904" s="173"/>
      <c r="AS1904" s="173"/>
      <c r="AT1904" s="140"/>
      <c r="AX1904" s="140"/>
      <c r="BB1904" s="173"/>
      <c r="BC1904" s="173"/>
    </row>
    <row r="1905" spans="2:55" s="134" customFormat="1" x14ac:dyDescent="0.2">
      <c r="B1905" s="145"/>
      <c r="D1905" s="145"/>
      <c r="Z1905" s="177"/>
      <c r="AA1905" s="178"/>
      <c r="AB1905" s="139"/>
      <c r="AC1905" s="173"/>
      <c r="AD1905" s="177"/>
      <c r="AE1905" s="177"/>
      <c r="AF1905" s="139"/>
      <c r="AG1905" s="139"/>
      <c r="AH1905" s="177"/>
      <c r="AI1905" s="178"/>
      <c r="AJ1905" s="139"/>
      <c r="AK1905" s="173"/>
      <c r="AL1905" s="177"/>
      <c r="AM1905" s="178"/>
      <c r="AN1905" s="173"/>
      <c r="AO1905" s="173"/>
      <c r="AP1905" s="173"/>
      <c r="AQ1905" s="178"/>
      <c r="AR1905" s="173"/>
      <c r="AS1905" s="173"/>
      <c r="AT1905" s="140"/>
      <c r="AX1905" s="140"/>
      <c r="BB1905" s="173"/>
      <c r="BC1905" s="173"/>
    </row>
    <row r="1906" spans="2:55" s="134" customFormat="1" x14ac:dyDescent="0.2">
      <c r="B1906" s="145"/>
      <c r="D1906" s="145"/>
      <c r="Z1906" s="177"/>
      <c r="AA1906" s="178"/>
      <c r="AB1906" s="139"/>
      <c r="AC1906" s="173"/>
      <c r="AD1906" s="177"/>
      <c r="AE1906" s="177"/>
      <c r="AF1906" s="139"/>
      <c r="AG1906" s="139"/>
      <c r="AH1906" s="177"/>
      <c r="AI1906" s="178"/>
      <c r="AJ1906" s="139"/>
      <c r="AK1906" s="173"/>
      <c r="AL1906" s="177"/>
      <c r="AM1906" s="178"/>
      <c r="AN1906" s="173"/>
      <c r="AO1906" s="173"/>
      <c r="AP1906" s="173"/>
      <c r="AQ1906" s="178"/>
      <c r="AR1906" s="173"/>
      <c r="AS1906" s="173"/>
      <c r="AT1906" s="140"/>
      <c r="AX1906" s="140"/>
      <c r="BB1906" s="173"/>
      <c r="BC1906" s="173"/>
    </row>
    <row r="1907" spans="2:55" s="134" customFormat="1" x14ac:dyDescent="0.2">
      <c r="B1907" s="145"/>
      <c r="D1907" s="145"/>
      <c r="Z1907" s="177"/>
      <c r="AA1907" s="178"/>
      <c r="AB1907" s="139"/>
      <c r="AC1907" s="173"/>
      <c r="AD1907" s="177"/>
      <c r="AE1907" s="177"/>
      <c r="AF1907" s="139"/>
      <c r="AG1907" s="139"/>
      <c r="AH1907" s="177"/>
      <c r="AI1907" s="178"/>
      <c r="AJ1907" s="139"/>
      <c r="AK1907" s="173"/>
      <c r="AL1907" s="177"/>
      <c r="AM1907" s="178"/>
      <c r="AN1907" s="173"/>
      <c r="AO1907" s="173"/>
      <c r="AP1907" s="173"/>
      <c r="AQ1907" s="178"/>
      <c r="AR1907" s="173"/>
      <c r="AS1907" s="173"/>
      <c r="AT1907" s="140"/>
      <c r="AX1907" s="140"/>
      <c r="BB1907" s="173"/>
      <c r="BC1907" s="173"/>
    </row>
    <row r="1908" spans="2:55" s="134" customFormat="1" x14ac:dyDescent="0.2">
      <c r="B1908" s="145"/>
      <c r="D1908" s="145"/>
      <c r="Z1908" s="177"/>
      <c r="AA1908" s="178"/>
      <c r="AB1908" s="139"/>
      <c r="AC1908" s="173"/>
      <c r="AD1908" s="177"/>
      <c r="AE1908" s="177"/>
      <c r="AF1908" s="139"/>
      <c r="AG1908" s="139"/>
      <c r="AH1908" s="177"/>
      <c r="AI1908" s="178"/>
      <c r="AJ1908" s="139"/>
      <c r="AK1908" s="173"/>
      <c r="AL1908" s="177"/>
      <c r="AM1908" s="178"/>
      <c r="AN1908" s="173"/>
      <c r="AO1908" s="173"/>
      <c r="AP1908" s="173"/>
      <c r="AQ1908" s="178"/>
      <c r="AR1908" s="173"/>
      <c r="AS1908" s="173"/>
      <c r="AT1908" s="140"/>
      <c r="AX1908" s="140"/>
      <c r="BB1908" s="173"/>
      <c r="BC1908" s="173"/>
    </row>
    <row r="1909" spans="2:55" s="134" customFormat="1" x14ac:dyDescent="0.2">
      <c r="B1909" s="145"/>
      <c r="D1909" s="145"/>
      <c r="Z1909" s="177"/>
      <c r="AA1909" s="178"/>
      <c r="AB1909" s="139"/>
      <c r="AC1909" s="173"/>
      <c r="AD1909" s="177"/>
      <c r="AE1909" s="177"/>
      <c r="AF1909" s="139"/>
      <c r="AG1909" s="139"/>
      <c r="AH1909" s="177"/>
      <c r="AI1909" s="178"/>
      <c r="AJ1909" s="139"/>
      <c r="AK1909" s="173"/>
      <c r="AL1909" s="177"/>
      <c r="AM1909" s="178"/>
      <c r="AN1909" s="173"/>
      <c r="AO1909" s="173"/>
      <c r="AP1909" s="173"/>
      <c r="AQ1909" s="178"/>
      <c r="AR1909" s="173"/>
      <c r="AS1909" s="173"/>
      <c r="AT1909" s="140"/>
      <c r="AX1909" s="140"/>
      <c r="BB1909" s="173"/>
      <c r="BC1909" s="173"/>
    </row>
    <row r="1910" spans="2:55" s="134" customFormat="1" x14ac:dyDescent="0.2">
      <c r="B1910" s="145"/>
      <c r="D1910" s="145"/>
      <c r="Z1910" s="177"/>
      <c r="AA1910" s="178"/>
      <c r="AB1910" s="139"/>
      <c r="AC1910" s="173"/>
      <c r="AD1910" s="177"/>
      <c r="AE1910" s="177"/>
      <c r="AF1910" s="139"/>
      <c r="AG1910" s="139"/>
      <c r="AH1910" s="177"/>
      <c r="AI1910" s="178"/>
      <c r="AJ1910" s="139"/>
      <c r="AK1910" s="173"/>
      <c r="AL1910" s="177"/>
      <c r="AM1910" s="178"/>
      <c r="AN1910" s="173"/>
      <c r="AO1910" s="173"/>
      <c r="AP1910" s="173"/>
      <c r="AQ1910" s="178"/>
      <c r="AR1910" s="173"/>
      <c r="AS1910" s="173"/>
      <c r="AT1910" s="140"/>
      <c r="AX1910" s="140"/>
      <c r="BB1910" s="173"/>
      <c r="BC1910" s="173"/>
    </row>
    <row r="1911" spans="2:55" s="134" customFormat="1" x14ac:dyDescent="0.2">
      <c r="B1911" s="145"/>
      <c r="D1911" s="145"/>
      <c r="Z1911" s="177"/>
      <c r="AA1911" s="178"/>
      <c r="AB1911" s="139"/>
      <c r="AC1911" s="173"/>
      <c r="AD1911" s="177"/>
      <c r="AE1911" s="177"/>
      <c r="AF1911" s="139"/>
      <c r="AG1911" s="139"/>
      <c r="AH1911" s="177"/>
      <c r="AI1911" s="178"/>
      <c r="AJ1911" s="139"/>
      <c r="AK1911" s="173"/>
      <c r="AL1911" s="177"/>
      <c r="AM1911" s="178"/>
      <c r="AN1911" s="173"/>
      <c r="AO1911" s="173"/>
      <c r="AP1911" s="173"/>
      <c r="AQ1911" s="178"/>
      <c r="AR1911" s="173"/>
      <c r="AS1911" s="173"/>
      <c r="AT1911" s="140"/>
      <c r="AX1911" s="140"/>
      <c r="BB1911" s="173"/>
      <c r="BC1911" s="173"/>
    </row>
    <row r="1912" spans="2:55" s="134" customFormat="1" x14ac:dyDescent="0.2">
      <c r="B1912" s="145"/>
      <c r="D1912" s="145"/>
      <c r="Z1912" s="177"/>
      <c r="AA1912" s="178"/>
      <c r="AB1912" s="139"/>
      <c r="AC1912" s="173"/>
      <c r="AD1912" s="177"/>
      <c r="AE1912" s="177"/>
      <c r="AF1912" s="139"/>
      <c r="AG1912" s="139"/>
      <c r="AH1912" s="177"/>
      <c r="AI1912" s="178"/>
      <c r="AJ1912" s="139"/>
      <c r="AK1912" s="173"/>
      <c r="AL1912" s="177"/>
      <c r="AM1912" s="178"/>
      <c r="AN1912" s="173"/>
      <c r="AO1912" s="173"/>
      <c r="AP1912" s="173"/>
      <c r="AQ1912" s="178"/>
      <c r="AR1912" s="173"/>
      <c r="AS1912" s="173"/>
      <c r="AT1912" s="140"/>
      <c r="AX1912" s="140"/>
      <c r="BB1912" s="173"/>
      <c r="BC1912" s="173"/>
    </row>
    <row r="1913" spans="2:55" s="134" customFormat="1" x14ac:dyDescent="0.2">
      <c r="B1913" s="145"/>
      <c r="D1913" s="145"/>
      <c r="Z1913" s="177"/>
      <c r="AA1913" s="178"/>
      <c r="AB1913" s="139"/>
      <c r="AC1913" s="173"/>
      <c r="AD1913" s="177"/>
      <c r="AE1913" s="177"/>
      <c r="AF1913" s="139"/>
      <c r="AG1913" s="139"/>
      <c r="AH1913" s="177"/>
      <c r="AI1913" s="178"/>
      <c r="AJ1913" s="139"/>
      <c r="AK1913" s="173"/>
      <c r="AL1913" s="177"/>
      <c r="AM1913" s="178"/>
      <c r="AN1913" s="173"/>
      <c r="AO1913" s="173"/>
      <c r="AP1913" s="173"/>
      <c r="AQ1913" s="178"/>
      <c r="AR1913" s="173"/>
      <c r="AS1913" s="173"/>
      <c r="AT1913" s="140"/>
      <c r="AX1913" s="140"/>
      <c r="BB1913" s="173"/>
      <c r="BC1913" s="173"/>
    </row>
    <row r="1914" spans="2:55" s="134" customFormat="1" x14ac:dyDescent="0.2">
      <c r="B1914" s="145"/>
      <c r="D1914" s="145"/>
      <c r="Z1914" s="177"/>
      <c r="AA1914" s="178"/>
      <c r="AB1914" s="139"/>
      <c r="AC1914" s="173"/>
      <c r="AD1914" s="177"/>
      <c r="AE1914" s="177"/>
      <c r="AF1914" s="139"/>
      <c r="AG1914" s="139"/>
      <c r="AH1914" s="177"/>
      <c r="AI1914" s="178"/>
      <c r="AJ1914" s="139"/>
      <c r="AK1914" s="173"/>
      <c r="AL1914" s="177"/>
      <c r="AM1914" s="178"/>
      <c r="AN1914" s="173"/>
      <c r="AO1914" s="173"/>
      <c r="AP1914" s="173"/>
      <c r="AQ1914" s="178"/>
      <c r="AR1914" s="173"/>
      <c r="AS1914" s="173"/>
      <c r="AT1914" s="140"/>
      <c r="AX1914" s="140"/>
      <c r="BB1914" s="173"/>
      <c r="BC1914" s="173"/>
    </row>
    <row r="1915" spans="2:55" s="134" customFormat="1" x14ac:dyDescent="0.2">
      <c r="B1915" s="145"/>
      <c r="D1915" s="145"/>
      <c r="Z1915" s="177"/>
      <c r="AA1915" s="178"/>
      <c r="AB1915" s="139"/>
      <c r="AC1915" s="173"/>
      <c r="AD1915" s="177"/>
      <c r="AE1915" s="177"/>
      <c r="AF1915" s="139"/>
      <c r="AG1915" s="139"/>
      <c r="AH1915" s="177"/>
      <c r="AI1915" s="178"/>
      <c r="AJ1915" s="139"/>
      <c r="AK1915" s="173"/>
      <c r="AL1915" s="177"/>
      <c r="AM1915" s="178"/>
      <c r="AN1915" s="173"/>
      <c r="AO1915" s="173"/>
      <c r="AP1915" s="173"/>
      <c r="AQ1915" s="178"/>
      <c r="AR1915" s="173"/>
      <c r="AS1915" s="173"/>
      <c r="AT1915" s="140"/>
      <c r="AX1915" s="140"/>
      <c r="BB1915" s="173"/>
      <c r="BC1915" s="173"/>
    </row>
    <row r="1916" spans="2:55" s="134" customFormat="1" x14ac:dyDescent="0.2">
      <c r="B1916" s="145"/>
      <c r="D1916" s="145"/>
      <c r="Z1916" s="177"/>
      <c r="AA1916" s="178"/>
      <c r="AB1916" s="139"/>
      <c r="AC1916" s="173"/>
      <c r="AD1916" s="177"/>
      <c r="AE1916" s="177"/>
      <c r="AF1916" s="139"/>
      <c r="AG1916" s="139"/>
      <c r="AH1916" s="177"/>
      <c r="AI1916" s="178"/>
      <c r="AJ1916" s="139"/>
      <c r="AK1916" s="173"/>
      <c r="AL1916" s="177"/>
      <c r="AM1916" s="178"/>
      <c r="AN1916" s="173"/>
      <c r="AO1916" s="173"/>
      <c r="AP1916" s="173"/>
      <c r="AQ1916" s="178"/>
      <c r="AR1916" s="173"/>
      <c r="AS1916" s="173"/>
      <c r="AT1916" s="140"/>
      <c r="AX1916" s="140"/>
      <c r="BB1916" s="173"/>
      <c r="BC1916" s="173"/>
    </row>
    <row r="1917" spans="2:55" s="134" customFormat="1" x14ac:dyDescent="0.2">
      <c r="B1917" s="145"/>
      <c r="D1917" s="145"/>
      <c r="Z1917" s="177"/>
      <c r="AA1917" s="178"/>
      <c r="AB1917" s="139"/>
      <c r="AC1917" s="173"/>
      <c r="AD1917" s="177"/>
      <c r="AE1917" s="177"/>
      <c r="AF1917" s="139"/>
      <c r="AG1917" s="139"/>
      <c r="AH1917" s="177"/>
      <c r="AI1917" s="178"/>
      <c r="AJ1917" s="139"/>
      <c r="AK1917" s="173"/>
      <c r="AL1917" s="177"/>
      <c r="AM1917" s="178"/>
      <c r="AN1917" s="173"/>
      <c r="AO1917" s="173"/>
      <c r="AP1917" s="173"/>
      <c r="AQ1917" s="178"/>
      <c r="AR1917" s="173"/>
      <c r="AS1917" s="173"/>
      <c r="AT1917" s="140"/>
      <c r="AX1917" s="140"/>
      <c r="BB1917" s="173"/>
      <c r="BC1917" s="173"/>
    </row>
    <row r="1918" spans="2:55" s="134" customFormat="1" x14ac:dyDescent="0.2">
      <c r="B1918" s="145"/>
      <c r="D1918" s="145"/>
      <c r="Z1918" s="177"/>
      <c r="AA1918" s="178"/>
      <c r="AB1918" s="139"/>
      <c r="AC1918" s="173"/>
      <c r="AD1918" s="177"/>
      <c r="AE1918" s="177"/>
      <c r="AF1918" s="139"/>
      <c r="AG1918" s="139"/>
      <c r="AH1918" s="177"/>
      <c r="AI1918" s="178"/>
      <c r="AJ1918" s="139"/>
      <c r="AK1918" s="173"/>
      <c r="AL1918" s="177"/>
      <c r="AM1918" s="178"/>
      <c r="AN1918" s="173"/>
      <c r="AO1918" s="173"/>
      <c r="AP1918" s="173"/>
      <c r="AQ1918" s="178"/>
      <c r="AR1918" s="173"/>
      <c r="AS1918" s="173"/>
      <c r="AT1918" s="140"/>
      <c r="AX1918" s="140"/>
      <c r="BB1918" s="173"/>
      <c r="BC1918" s="173"/>
    </row>
    <row r="1919" spans="2:55" s="134" customFormat="1" x14ac:dyDescent="0.2">
      <c r="B1919" s="145"/>
      <c r="D1919" s="145"/>
      <c r="Z1919" s="177"/>
      <c r="AA1919" s="178"/>
      <c r="AB1919" s="139"/>
      <c r="AC1919" s="173"/>
      <c r="AD1919" s="177"/>
      <c r="AE1919" s="177"/>
      <c r="AF1919" s="139"/>
      <c r="AG1919" s="139"/>
      <c r="AH1919" s="177"/>
      <c r="AI1919" s="178"/>
      <c r="AJ1919" s="139"/>
      <c r="AK1919" s="173"/>
      <c r="AL1919" s="177"/>
      <c r="AM1919" s="178"/>
      <c r="AN1919" s="173"/>
      <c r="AO1919" s="173"/>
      <c r="AP1919" s="173"/>
      <c r="AQ1919" s="178"/>
      <c r="AR1919" s="173"/>
      <c r="AS1919" s="173"/>
      <c r="AT1919" s="140"/>
      <c r="AX1919" s="140"/>
      <c r="BB1919" s="173"/>
      <c r="BC1919" s="173"/>
    </row>
    <row r="1920" spans="2:55" s="134" customFormat="1" x14ac:dyDescent="0.2">
      <c r="B1920" s="145"/>
      <c r="D1920" s="145"/>
      <c r="Z1920" s="177"/>
      <c r="AA1920" s="178"/>
      <c r="AB1920" s="139"/>
      <c r="AC1920" s="173"/>
      <c r="AD1920" s="177"/>
      <c r="AE1920" s="177"/>
      <c r="AF1920" s="139"/>
      <c r="AG1920" s="139"/>
      <c r="AH1920" s="177"/>
      <c r="AI1920" s="178"/>
      <c r="AJ1920" s="139"/>
      <c r="AK1920" s="173"/>
      <c r="AL1920" s="177"/>
      <c r="AM1920" s="178"/>
      <c r="AN1920" s="173"/>
      <c r="AO1920" s="173"/>
      <c r="AP1920" s="173"/>
      <c r="AQ1920" s="178"/>
      <c r="AR1920" s="173"/>
      <c r="AS1920" s="173"/>
      <c r="AT1920" s="140"/>
      <c r="AX1920" s="140"/>
      <c r="BB1920" s="173"/>
      <c r="BC1920" s="173"/>
    </row>
    <row r="1921" spans="2:55" s="134" customFormat="1" x14ac:dyDescent="0.2">
      <c r="B1921" s="145"/>
      <c r="D1921" s="145"/>
      <c r="Z1921" s="177"/>
      <c r="AA1921" s="178"/>
      <c r="AB1921" s="139"/>
      <c r="AC1921" s="173"/>
      <c r="AD1921" s="177"/>
      <c r="AE1921" s="177"/>
      <c r="AF1921" s="139"/>
      <c r="AG1921" s="139"/>
      <c r="AH1921" s="177"/>
      <c r="AI1921" s="178"/>
      <c r="AJ1921" s="139"/>
      <c r="AK1921" s="173"/>
      <c r="AL1921" s="177"/>
      <c r="AM1921" s="178"/>
      <c r="AN1921" s="173"/>
      <c r="AO1921" s="173"/>
      <c r="AP1921" s="173"/>
      <c r="AQ1921" s="178"/>
      <c r="AR1921" s="173"/>
      <c r="AS1921" s="173"/>
      <c r="AT1921" s="140"/>
      <c r="AX1921" s="140"/>
      <c r="BB1921" s="173"/>
      <c r="BC1921" s="173"/>
    </row>
    <row r="1922" spans="2:55" s="134" customFormat="1" x14ac:dyDescent="0.2">
      <c r="B1922" s="145"/>
      <c r="D1922" s="145"/>
      <c r="Z1922" s="177"/>
      <c r="AA1922" s="178"/>
      <c r="AB1922" s="139"/>
      <c r="AC1922" s="173"/>
      <c r="AD1922" s="177"/>
      <c r="AE1922" s="177"/>
      <c r="AF1922" s="139"/>
      <c r="AG1922" s="139"/>
      <c r="AH1922" s="177"/>
      <c r="AI1922" s="178"/>
      <c r="AJ1922" s="139"/>
      <c r="AK1922" s="173"/>
      <c r="AL1922" s="177"/>
      <c r="AM1922" s="178"/>
      <c r="AN1922" s="173"/>
      <c r="AO1922" s="173"/>
      <c r="AP1922" s="173"/>
      <c r="AQ1922" s="178"/>
      <c r="AR1922" s="173"/>
      <c r="AS1922" s="173"/>
      <c r="AT1922" s="140"/>
      <c r="AX1922" s="140"/>
      <c r="BB1922" s="173"/>
      <c r="BC1922" s="173"/>
    </row>
    <row r="1923" spans="2:55" s="134" customFormat="1" x14ac:dyDescent="0.2">
      <c r="B1923" s="145"/>
      <c r="D1923" s="145"/>
      <c r="Z1923" s="177"/>
      <c r="AA1923" s="178"/>
      <c r="AB1923" s="139"/>
      <c r="AC1923" s="173"/>
      <c r="AD1923" s="177"/>
      <c r="AE1923" s="177"/>
      <c r="AF1923" s="139"/>
      <c r="AG1923" s="139"/>
      <c r="AH1923" s="177"/>
      <c r="AI1923" s="178"/>
      <c r="AJ1923" s="139"/>
      <c r="AK1923" s="173"/>
      <c r="AL1923" s="177"/>
      <c r="AM1923" s="178"/>
      <c r="AN1923" s="173"/>
      <c r="AO1923" s="173"/>
      <c r="AP1923" s="173"/>
      <c r="AQ1923" s="178"/>
      <c r="AR1923" s="173"/>
      <c r="AS1923" s="173"/>
      <c r="AT1923" s="140"/>
      <c r="AX1923" s="140"/>
      <c r="BB1923" s="173"/>
      <c r="BC1923" s="173"/>
    </row>
    <row r="1924" spans="2:55" s="134" customFormat="1" x14ac:dyDescent="0.2">
      <c r="B1924" s="145"/>
      <c r="D1924" s="145"/>
      <c r="Z1924" s="177"/>
      <c r="AA1924" s="178"/>
      <c r="AB1924" s="139"/>
      <c r="AC1924" s="173"/>
      <c r="AD1924" s="177"/>
      <c r="AE1924" s="177"/>
      <c r="AF1924" s="139"/>
      <c r="AG1924" s="139"/>
      <c r="AH1924" s="177"/>
      <c r="AI1924" s="178"/>
      <c r="AJ1924" s="139"/>
      <c r="AK1924" s="173"/>
      <c r="AL1924" s="177"/>
      <c r="AM1924" s="178"/>
      <c r="AN1924" s="173"/>
      <c r="AO1924" s="173"/>
      <c r="AP1924" s="173"/>
      <c r="AQ1924" s="178"/>
      <c r="AR1924" s="173"/>
      <c r="AS1924" s="173"/>
      <c r="AT1924" s="140"/>
      <c r="AX1924" s="140"/>
      <c r="BB1924" s="173"/>
      <c r="BC1924" s="173"/>
    </row>
    <row r="1925" spans="2:55" s="134" customFormat="1" x14ac:dyDescent="0.2">
      <c r="B1925" s="145"/>
      <c r="D1925" s="145"/>
      <c r="Z1925" s="177"/>
      <c r="AA1925" s="178"/>
      <c r="AB1925" s="139"/>
      <c r="AC1925" s="173"/>
      <c r="AD1925" s="177"/>
      <c r="AE1925" s="177"/>
      <c r="AF1925" s="139"/>
      <c r="AG1925" s="139"/>
      <c r="AH1925" s="177"/>
      <c r="AI1925" s="178"/>
      <c r="AJ1925" s="139"/>
      <c r="AK1925" s="173"/>
      <c r="AL1925" s="177"/>
      <c r="AM1925" s="178"/>
      <c r="AN1925" s="173"/>
      <c r="AO1925" s="173"/>
      <c r="AP1925" s="173"/>
      <c r="AQ1925" s="178"/>
      <c r="AR1925" s="173"/>
      <c r="AS1925" s="173"/>
      <c r="AT1925" s="140"/>
      <c r="AX1925" s="140"/>
      <c r="BB1925" s="173"/>
      <c r="BC1925" s="173"/>
    </row>
    <row r="1926" spans="2:55" s="134" customFormat="1" x14ac:dyDescent="0.2">
      <c r="B1926" s="145"/>
      <c r="D1926" s="145"/>
      <c r="Z1926" s="177"/>
      <c r="AA1926" s="178"/>
      <c r="AB1926" s="139"/>
      <c r="AC1926" s="173"/>
      <c r="AD1926" s="177"/>
      <c r="AE1926" s="177"/>
      <c r="AF1926" s="139"/>
      <c r="AG1926" s="139"/>
      <c r="AH1926" s="177"/>
      <c r="AI1926" s="178"/>
      <c r="AJ1926" s="139"/>
      <c r="AK1926" s="173"/>
      <c r="AL1926" s="177"/>
      <c r="AM1926" s="178"/>
      <c r="AN1926" s="173"/>
      <c r="AO1926" s="173"/>
      <c r="AP1926" s="173"/>
      <c r="AQ1926" s="178"/>
      <c r="AR1926" s="173"/>
      <c r="AS1926" s="173"/>
      <c r="AT1926" s="140"/>
      <c r="AX1926" s="140"/>
      <c r="BB1926" s="173"/>
      <c r="BC1926" s="173"/>
    </row>
    <row r="1927" spans="2:55" s="134" customFormat="1" x14ac:dyDescent="0.2">
      <c r="B1927" s="145"/>
      <c r="D1927" s="145"/>
      <c r="Z1927" s="177"/>
      <c r="AA1927" s="178"/>
      <c r="AB1927" s="139"/>
      <c r="AC1927" s="173"/>
      <c r="AD1927" s="177"/>
      <c r="AE1927" s="177"/>
      <c r="AF1927" s="139"/>
      <c r="AG1927" s="139"/>
      <c r="AH1927" s="177"/>
      <c r="AI1927" s="178"/>
      <c r="AJ1927" s="139"/>
      <c r="AK1927" s="173"/>
      <c r="AL1927" s="177"/>
      <c r="AM1927" s="178"/>
      <c r="AN1927" s="173"/>
      <c r="AO1927" s="173"/>
      <c r="AP1927" s="173"/>
      <c r="AQ1927" s="178"/>
      <c r="AR1927" s="173"/>
      <c r="AS1927" s="173"/>
      <c r="AT1927" s="140"/>
      <c r="AX1927" s="140"/>
      <c r="BB1927" s="173"/>
      <c r="BC1927" s="173"/>
    </row>
    <row r="1928" spans="2:55" s="134" customFormat="1" x14ac:dyDescent="0.2">
      <c r="B1928" s="145"/>
      <c r="D1928" s="145"/>
      <c r="Z1928" s="177"/>
      <c r="AA1928" s="178"/>
      <c r="AB1928" s="139"/>
      <c r="AC1928" s="173"/>
      <c r="AD1928" s="177"/>
      <c r="AE1928" s="177"/>
      <c r="AF1928" s="139"/>
      <c r="AG1928" s="139"/>
      <c r="AH1928" s="177"/>
      <c r="AI1928" s="178"/>
      <c r="AJ1928" s="139"/>
      <c r="AK1928" s="173"/>
      <c r="AL1928" s="177"/>
      <c r="AM1928" s="178"/>
      <c r="AN1928" s="173"/>
      <c r="AO1928" s="173"/>
      <c r="AP1928" s="173"/>
      <c r="AQ1928" s="178"/>
      <c r="AR1928" s="173"/>
      <c r="AS1928" s="173"/>
      <c r="AT1928" s="140"/>
      <c r="AX1928" s="140"/>
      <c r="BB1928" s="173"/>
      <c r="BC1928" s="173"/>
    </row>
    <row r="1929" spans="2:55" s="134" customFormat="1" x14ac:dyDescent="0.2">
      <c r="B1929" s="145"/>
      <c r="D1929" s="145"/>
      <c r="Z1929" s="177"/>
      <c r="AA1929" s="178"/>
      <c r="AB1929" s="139"/>
      <c r="AC1929" s="173"/>
      <c r="AD1929" s="177"/>
      <c r="AE1929" s="177"/>
      <c r="AF1929" s="139"/>
      <c r="AG1929" s="139"/>
      <c r="AH1929" s="177"/>
      <c r="AI1929" s="178"/>
      <c r="AJ1929" s="139"/>
      <c r="AK1929" s="173"/>
      <c r="AL1929" s="177"/>
      <c r="AM1929" s="178"/>
      <c r="AN1929" s="173"/>
      <c r="AO1929" s="173"/>
      <c r="AP1929" s="173"/>
      <c r="AQ1929" s="178"/>
      <c r="AR1929" s="173"/>
      <c r="AS1929" s="173"/>
      <c r="AT1929" s="140"/>
      <c r="AX1929" s="140"/>
      <c r="BB1929" s="173"/>
      <c r="BC1929" s="173"/>
    </row>
    <row r="1930" spans="2:55" s="134" customFormat="1" x14ac:dyDescent="0.2">
      <c r="B1930" s="145"/>
      <c r="D1930" s="145"/>
      <c r="Z1930" s="177"/>
      <c r="AA1930" s="178"/>
      <c r="AB1930" s="139"/>
      <c r="AC1930" s="173"/>
      <c r="AD1930" s="177"/>
      <c r="AE1930" s="177"/>
      <c r="AF1930" s="139"/>
      <c r="AG1930" s="139"/>
      <c r="AH1930" s="177"/>
      <c r="AI1930" s="178"/>
      <c r="AJ1930" s="139"/>
      <c r="AK1930" s="173"/>
      <c r="AL1930" s="177"/>
      <c r="AM1930" s="178"/>
      <c r="AN1930" s="173"/>
      <c r="AO1930" s="173"/>
      <c r="AP1930" s="173"/>
      <c r="AQ1930" s="178"/>
      <c r="AR1930" s="173"/>
      <c r="AS1930" s="173"/>
      <c r="AT1930" s="140"/>
      <c r="AX1930" s="140"/>
      <c r="BB1930" s="173"/>
      <c r="BC1930" s="173"/>
    </row>
    <row r="1931" spans="2:55" s="134" customFormat="1" x14ac:dyDescent="0.2">
      <c r="B1931" s="145"/>
      <c r="D1931" s="145"/>
      <c r="Z1931" s="177"/>
      <c r="AA1931" s="178"/>
      <c r="AB1931" s="139"/>
      <c r="AC1931" s="173"/>
      <c r="AD1931" s="177"/>
      <c r="AE1931" s="177"/>
      <c r="AF1931" s="139"/>
      <c r="AG1931" s="139"/>
      <c r="AH1931" s="177"/>
      <c r="AI1931" s="178"/>
      <c r="AJ1931" s="139"/>
      <c r="AK1931" s="173"/>
      <c r="AL1931" s="177"/>
      <c r="AM1931" s="178"/>
      <c r="AN1931" s="173"/>
      <c r="AO1931" s="173"/>
      <c r="AP1931" s="173"/>
      <c r="AQ1931" s="178"/>
      <c r="AR1931" s="173"/>
      <c r="AS1931" s="173"/>
      <c r="AT1931" s="140"/>
      <c r="AX1931" s="140"/>
      <c r="BB1931" s="173"/>
      <c r="BC1931" s="173"/>
    </row>
    <row r="1932" spans="2:55" s="134" customFormat="1" x14ac:dyDescent="0.2">
      <c r="B1932" s="145"/>
      <c r="D1932" s="145"/>
      <c r="Z1932" s="177"/>
      <c r="AA1932" s="178"/>
      <c r="AB1932" s="139"/>
      <c r="AC1932" s="173"/>
      <c r="AD1932" s="177"/>
      <c r="AE1932" s="177"/>
      <c r="AF1932" s="139"/>
      <c r="AG1932" s="139"/>
      <c r="AH1932" s="177"/>
      <c r="AI1932" s="178"/>
      <c r="AJ1932" s="139"/>
      <c r="AK1932" s="173"/>
      <c r="AL1932" s="177"/>
      <c r="AM1932" s="178"/>
      <c r="AN1932" s="173"/>
      <c r="AO1932" s="173"/>
      <c r="AP1932" s="173"/>
      <c r="AQ1932" s="178"/>
      <c r="AR1932" s="173"/>
      <c r="AS1932" s="173"/>
      <c r="AT1932" s="140"/>
      <c r="AX1932" s="140"/>
      <c r="BB1932" s="173"/>
      <c r="BC1932" s="173"/>
    </row>
    <row r="1933" spans="2:55" s="134" customFormat="1" x14ac:dyDescent="0.2">
      <c r="B1933" s="145"/>
      <c r="D1933" s="145"/>
      <c r="Z1933" s="177"/>
      <c r="AA1933" s="178"/>
      <c r="AB1933" s="139"/>
      <c r="AC1933" s="173"/>
      <c r="AD1933" s="177"/>
      <c r="AE1933" s="177"/>
      <c r="AF1933" s="139"/>
      <c r="AG1933" s="139"/>
      <c r="AH1933" s="177"/>
      <c r="AI1933" s="178"/>
      <c r="AJ1933" s="139"/>
      <c r="AK1933" s="173"/>
      <c r="AL1933" s="177"/>
      <c r="AM1933" s="178"/>
      <c r="AN1933" s="173"/>
      <c r="AO1933" s="173"/>
      <c r="AP1933" s="173"/>
      <c r="AQ1933" s="178"/>
      <c r="AR1933" s="173"/>
      <c r="AS1933" s="173"/>
      <c r="AT1933" s="140"/>
      <c r="AX1933" s="140"/>
      <c r="BB1933" s="173"/>
      <c r="BC1933" s="173"/>
    </row>
    <row r="1934" spans="2:55" s="134" customFormat="1" x14ac:dyDescent="0.2">
      <c r="B1934" s="145"/>
      <c r="D1934" s="145"/>
      <c r="Z1934" s="177"/>
      <c r="AA1934" s="178"/>
      <c r="AB1934" s="139"/>
      <c r="AC1934" s="173"/>
      <c r="AD1934" s="177"/>
      <c r="AE1934" s="177"/>
      <c r="AF1934" s="139"/>
      <c r="AG1934" s="139"/>
      <c r="AH1934" s="177"/>
      <c r="AI1934" s="178"/>
      <c r="AJ1934" s="139"/>
      <c r="AK1934" s="173"/>
      <c r="AL1934" s="177"/>
      <c r="AM1934" s="178"/>
      <c r="AN1934" s="173"/>
      <c r="AO1934" s="173"/>
      <c r="AP1934" s="173"/>
      <c r="AQ1934" s="178"/>
      <c r="AR1934" s="173"/>
      <c r="AS1934" s="173"/>
      <c r="AT1934" s="140"/>
      <c r="AX1934" s="140"/>
      <c r="BB1934" s="173"/>
      <c r="BC1934" s="173"/>
    </row>
    <row r="1935" spans="2:55" s="134" customFormat="1" x14ac:dyDescent="0.2">
      <c r="B1935" s="145"/>
      <c r="D1935" s="145"/>
      <c r="Z1935" s="177"/>
      <c r="AA1935" s="178"/>
      <c r="AB1935" s="139"/>
      <c r="AC1935" s="173"/>
      <c r="AD1935" s="177"/>
      <c r="AE1935" s="177"/>
      <c r="AF1935" s="139"/>
      <c r="AG1935" s="139"/>
      <c r="AH1935" s="177"/>
      <c r="AI1935" s="178"/>
      <c r="AJ1935" s="139"/>
      <c r="AK1935" s="173"/>
      <c r="AL1935" s="177"/>
      <c r="AM1935" s="178"/>
      <c r="AN1935" s="173"/>
      <c r="AO1935" s="173"/>
      <c r="AP1935" s="173"/>
      <c r="AQ1935" s="178"/>
      <c r="AR1935" s="173"/>
      <c r="AS1935" s="173"/>
      <c r="AT1935" s="140"/>
      <c r="AX1935" s="140"/>
      <c r="BB1935" s="173"/>
      <c r="BC1935" s="173"/>
    </row>
    <row r="1936" spans="2:55" s="134" customFormat="1" x14ac:dyDescent="0.2">
      <c r="B1936" s="145"/>
      <c r="D1936" s="145"/>
      <c r="Z1936" s="177"/>
      <c r="AA1936" s="178"/>
      <c r="AB1936" s="139"/>
      <c r="AC1936" s="173"/>
      <c r="AD1936" s="177"/>
      <c r="AE1936" s="177"/>
      <c r="AF1936" s="139"/>
      <c r="AG1936" s="139"/>
      <c r="AH1936" s="177"/>
      <c r="AI1936" s="178"/>
      <c r="AJ1936" s="139"/>
      <c r="AK1936" s="173"/>
      <c r="AL1936" s="177"/>
      <c r="AM1936" s="178"/>
      <c r="AN1936" s="173"/>
      <c r="AO1936" s="173"/>
      <c r="AP1936" s="173"/>
      <c r="AQ1936" s="178"/>
      <c r="AR1936" s="173"/>
      <c r="AS1936" s="173"/>
      <c r="AT1936" s="140"/>
      <c r="AX1936" s="140"/>
      <c r="BB1936" s="173"/>
      <c r="BC1936" s="173"/>
    </row>
    <row r="1937" spans="2:55" s="134" customFormat="1" x14ac:dyDescent="0.2">
      <c r="B1937" s="145"/>
      <c r="D1937" s="145"/>
      <c r="Z1937" s="177"/>
      <c r="AA1937" s="178"/>
      <c r="AB1937" s="139"/>
      <c r="AC1937" s="173"/>
      <c r="AD1937" s="177"/>
      <c r="AE1937" s="177"/>
      <c r="AF1937" s="139"/>
      <c r="AG1937" s="139"/>
      <c r="AH1937" s="177"/>
      <c r="AI1937" s="178"/>
      <c r="AJ1937" s="139"/>
      <c r="AK1937" s="173"/>
      <c r="AL1937" s="177"/>
      <c r="AM1937" s="178"/>
      <c r="AN1937" s="173"/>
      <c r="AO1937" s="173"/>
      <c r="AP1937" s="173"/>
      <c r="AQ1937" s="178"/>
      <c r="AR1937" s="173"/>
      <c r="AS1937" s="173"/>
      <c r="AT1937" s="140"/>
      <c r="AX1937" s="140"/>
      <c r="BB1937" s="173"/>
      <c r="BC1937" s="173"/>
    </row>
    <row r="1938" spans="2:55" s="134" customFormat="1" x14ac:dyDescent="0.2">
      <c r="B1938" s="145"/>
      <c r="D1938" s="145"/>
      <c r="Z1938" s="177"/>
      <c r="AA1938" s="178"/>
      <c r="AB1938" s="139"/>
      <c r="AC1938" s="173"/>
      <c r="AD1938" s="177"/>
      <c r="AE1938" s="177"/>
      <c r="AF1938" s="139"/>
      <c r="AG1938" s="139"/>
      <c r="AH1938" s="177"/>
      <c r="AI1938" s="178"/>
      <c r="AJ1938" s="139"/>
      <c r="AK1938" s="173"/>
      <c r="AL1938" s="177"/>
      <c r="AM1938" s="178"/>
      <c r="AN1938" s="173"/>
      <c r="AO1938" s="173"/>
      <c r="AP1938" s="173"/>
      <c r="AQ1938" s="178"/>
      <c r="AR1938" s="173"/>
      <c r="AS1938" s="173"/>
      <c r="AT1938" s="140"/>
      <c r="AX1938" s="140"/>
      <c r="BB1938" s="173"/>
      <c r="BC1938" s="173"/>
    </row>
    <row r="1939" spans="2:55" s="134" customFormat="1" x14ac:dyDescent="0.2">
      <c r="B1939" s="145"/>
      <c r="D1939" s="145"/>
      <c r="Z1939" s="177"/>
      <c r="AA1939" s="178"/>
      <c r="AB1939" s="139"/>
      <c r="AC1939" s="173"/>
      <c r="AD1939" s="177"/>
      <c r="AE1939" s="177"/>
      <c r="AF1939" s="139"/>
      <c r="AG1939" s="139"/>
      <c r="AH1939" s="177"/>
      <c r="AI1939" s="178"/>
      <c r="AJ1939" s="139"/>
      <c r="AK1939" s="173"/>
      <c r="AL1939" s="177"/>
      <c r="AM1939" s="178"/>
      <c r="AN1939" s="173"/>
      <c r="AO1939" s="173"/>
      <c r="AP1939" s="173"/>
      <c r="AQ1939" s="178"/>
      <c r="AR1939" s="173"/>
      <c r="AS1939" s="173"/>
      <c r="AT1939" s="140"/>
      <c r="AX1939" s="140"/>
      <c r="BB1939" s="173"/>
      <c r="BC1939" s="173"/>
    </row>
    <row r="1940" spans="2:55" s="134" customFormat="1" x14ac:dyDescent="0.2">
      <c r="B1940" s="145"/>
      <c r="D1940" s="145"/>
      <c r="Z1940" s="177"/>
      <c r="AA1940" s="178"/>
      <c r="AB1940" s="139"/>
      <c r="AC1940" s="173"/>
      <c r="AD1940" s="177"/>
      <c r="AE1940" s="177"/>
      <c r="AF1940" s="139"/>
      <c r="AG1940" s="139"/>
      <c r="AH1940" s="177"/>
      <c r="AI1940" s="178"/>
      <c r="AJ1940" s="139"/>
      <c r="AK1940" s="173"/>
      <c r="AL1940" s="177"/>
      <c r="AM1940" s="178"/>
      <c r="AN1940" s="173"/>
      <c r="AO1940" s="173"/>
      <c r="AP1940" s="173"/>
      <c r="AQ1940" s="178"/>
      <c r="AR1940" s="173"/>
      <c r="AS1940" s="173"/>
      <c r="AT1940" s="140"/>
      <c r="AX1940" s="140"/>
      <c r="BB1940" s="173"/>
      <c r="BC1940" s="173"/>
    </row>
    <row r="1941" spans="2:55" s="134" customFormat="1" x14ac:dyDescent="0.2">
      <c r="B1941" s="145"/>
      <c r="D1941" s="145"/>
      <c r="Z1941" s="177"/>
      <c r="AA1941" s="178"/>
      <c r="AB1941" s="139"/>
      <c r="AC1941" s="173"/>
      <c r="AD1941" s="177"/>
      <c r="AE1941" s="177"/>
      <c r="AF1941" s="139"/>
      <c r="AG1941" s="139"/>
      <c r="AH1941" s="177"/>
      <c r="AI1941" s="178"/>
      <c r="AJ1941" s="139"/>
      <c r="AK1941" s="173"/>
      <c r="AL1941" s="177"/>
      <c r="AM1941" s="178"/>
      <c r="AN1941" s="173"/>
      <c r="AO1941" s="173"/>
      <c r="AP1941" s="173"/>
      <c r="AQ1941" s="178"/>
      <c r="AR1941" s="173"/>
      <c r="AS1941" s="173"/>
      <c r="AT1941" s="140"/>
      <c r="AX1941" s="140"/>
      <c r="BB1941" s="173"/>
      <c r="BC1941" s="173"/>
    </row>
    <row r="1942" spans="2:55" s="134" customFormat="1" x14ac:dyDescent="0.2">
      <c r="B1942" s="145"/>
      <c r="D1942" s="145"/>
      <c r="Z1942" s="177"/>
      <c r="AA1942" s="178"/>
      <c r="AB1942" s="139"/>
      <c r="AC1942" s="173"/>
      <c r="AD1942" s="177"/>
      <c r="AE1942" s="177"/>
      <c r="AF1942" s="139"/>
      <c r="AG1942" s="139"/>
      <c r="AH1942" s="177"/>
      <c r="AI1942" s="178"/>
      <c r="AJ1942" s="139"/>
      <c r="AK1942" s="173"/>
      <c r="AL1942" s="177"/>
      <c r="AM1942" s="178"/>
      <c r="AN1942" s="173"/>
      <c r="AO1942" s="173"/>
      <c r="AP1942" s="173"/>
      <c r="AQ1942" s="178"/>
      <c r="AR1942" s="173"/>
      <c r="AS1942" s="173"/>
      <c r="AT1942" s="140"/>
      <c r="AX1942" s="140"/>
      <c r="BB1942" s="173"/>
      <c r="BC1942" s="173"/>
    </row>
    <row r="1943" spans="2:55" s="134" customFormat="1" x14ac:dyDescent="0.2">
      <c r="B1943" s="145"/>
      <c r="D1943" s="145"/>
      <c r="Z1943" s="177"/>
      <c r="AA1943" s="178"/>
      <c r="AB1943" s="139"/>
      <c r="AC1943" s="173"/>
      <c r="AD1943" s="177"/>
      <c r="AE1943" s="177"/>
      <c r="AF1943" s="139"/>
      <c r="AG1943" s="139"/>
      <c r="AH1943" s="177"/>
      <c r="AI1943" s="178"/>
      <c r="AJ1943" s="139"/>
      <c r="AK1943" s="173"/>
      <c r="AL1943" s="177"/>
      <c r="AM1943" s="178"/>
      <c r="AN1943" s="173"/>
      <c r="AO1943" s="173"/>
      <c r="AP1943" s="173"/>
      <c r="AQ1943" s="178"/>
      <c r="AR1943" s="173"/>
      <c r="AS1943" s="173"/>
      <c r="AT1943" s="140"/>
      <c r="AX1943" s="140"/>
      <c r="BB1943" s="173"/>
      <c r="BC1943" s="173"/>
    </row>
    <row r="1944" spans="2:55" s="134" customFormat="1" x14ac:dyDescent="0.2">
      <c r="B1944" s="145"/>
      <c r="D1944" s="145"/>
      <c r="Z1944" s="177"/>
      <c r="AA1944" s="178"/>
      <c r="AB1944" s="139"/>
      <c r="AC1944" s="173"/>
      <c r="AD1944" s="177"/>
      <c r="AE1944" s="177"/>
      <c r="AF1944" s="139"/>
      <c r="AG1944" s="139"/>
      <c r="AH1944" s="177"/>
      <c r="AI1944" s="178"/>
      <c r="AJ1944" s="139"/>
      <c r="AK1944" s="173"/>
      <c r="AL1944" s="177"/>
      <c r="AM1944" s="178"/>
      <c r="AN1944" s="173"/>
      <c r="AO1944" s="173"/>
      <c r="AP1944" s="173"/>
      <c r="AQ1944" s="178"/>
      <c r="AR1944" s="173"/>
      <c r="AS1944" s="173"/>
      <c r="AT1944" s="140"/>
      <c r="AX1944" s="140"/>
      <c r="BB1944" s="173"/>
      <c r="BC1944" s="173"/>
    </row>
    <row r="1945" spans="2:55" s="134" customFormat="1" x14ac:dyDescent="0.2">
      <c r="B1945" s="145"/>
      <c r="D1945" s="145"/>
      <c r="Z1945" s="177"/>
      <c r="AA1945" s="178"/>
      <c r="AB1945" s="139"/>
      <c r="AC1945" s="173"/>
      <c r="AD1945" s="177"/>
      <c r="AE1945" s="177"/>
      <c r="AF1945" s="139"/>
      <c r="AG1945" s="139"/>
      <c r="AH1945" s="177"/>
      <c r="AI1945" s="178"/>
      <c r="AJ1945" s="139"/>
      <c r="AK1945" s="173"/>
      <c r="AL1945" s="177"/>
      <c r="AM1945" s="178"/>
      <c r="AN1945" s="173"/>
      <c r="AO1945" s="173"/>
      <c r="AP1945" s="173"/>
      <c r="AQ1945" s="178"/>
      <c r="AR1945" s="173"/>
      <c r="AS1945" s="173"/>
      <c r="AT1945" s="140"/>
      <c r="AX1945" s="140"/>
      <c r="BB1945" s="173"/>
      <c r="BC1945" s="173"/>
    </row>
    <row r="1946" spans="2:55" s="134" customFormat="1" x14ac:dyDescent="0.2">
      <c r="B1946" s="145"/>
      <c r="D1946" s="145"/>
      <c r="Z1946" s="177"/>
      <c r="AA1946" s="178"/>
      <c r="AB1946" s="139"/>
      <c r="AC1946" s="173"/>
      <c r="AD1946" s="177"/>
      <c r="AE1946" s="177"/>
      <c r="AF1946" s="139"/>
      <c r="AG1946" s="139"/>
      <c r="AH1946" s="177"/>
      <c r="AI1946" s="178"/>
      <c r="AJ1946" s="139"/>
      <c r="AK1946" s="173"/>
      <c r="AL1946" s="177"/>
      <c r="AM1946" s="178"/>
      <c r="AN1946" s="173"/>
      <c r="AO1946" s="173"/>
      <c r="AP1946" s="173"/>
      <c r="AQ1946" s="178"/>
      <c r="AR1946" s="173"/>
      <c r="AS1946" s="173"/>
      <c r="AT1946" s="140"/>
      <c r="AX1946" s="140"/>
      <c r="BB1946" s="173"/>
      <c r="BC1946" s="173"/>
    </row>
    <row r="1947" spans="2:55" s="134" customFormat="1" x14ac:dyDescent="0.2">
      <c r="B1947" s="145"/>
      <c r="D1947" s="145"/>
      <c r="Z1947" s="177"/>
      <c r="AA1947" s="178"/>
      <c r="AB1947" s="139"/>
      <c r="AC1947" s="173"/>
      <c r="AD1947" s="177"/>
      <c r="AE1947" s="177"/>
      <c r="AF1947" s="139"/>
      <c r="AG1947" s="139"/>
      <c r="AH1947" s="177"/>
      <c r="AI1947" s="178"/>
      <c r="AJ1947" s="139"/>
      <c r="AK1947" s="173"/>
      <c r="AL1947" s="177"/>
      <c r="AM1947" s="178"/>
      <c r="AN1947" s="173"/>
      <c r="AO1947" s="173"/>
      <c r="AP1947" s="173"/>
      <c r="AQ1947" s="178"/>
      <c r="AR1947" s="173"/>
      <c r="AS1947" s="173"/>
      <c r="AT1947" s="140"/>
      <c r="AX1947" s="140"/>
      <c r="BB1947" s="173"/>
      <c r="BC1947" s="173"/>
    </row>
    <row r="1948" spans="2:55" s="134" customFormat="1" x14ac:dyDescent="0.2">
      <c r="B1948" s="145"/>
      <c r="D1948" s="145"/>
      <c r="Z1948" s="177"/>
      <c r="AA1948" s="178"/>
      <c r="AB1948" s="139"/>
      <c r="AC1948" s="173"/>
      <c r="AD1948" s="177"/>
      <c r="AE1948" s="177"/>
      <c r="AF1948" s="139"/>
      <c r="AG1948" s="139"/>
      <c r="AH1948" s="177"/>
      <c r="AI1948" s="178"/>
      <c r="AJ1948" s="139"/>
      <c r="AK1948" s="173"/>
      <c r="AL1948" s="177"/>
      <c r="AM1948" s="178"/>
      <c r="AN1948" s="173"/>
      <c r="AO1948" s="173"/>
      <c r="AP1948" s="173"/>
      <c r="AQ1948" s="178"/>
      <c r="AR1948" s="173"/>
      <c r="AS1948" s="173"/>
      <c r="AT1948" s="140"/>
      <c r="AX1948" s="140"/>
      <c r="BB1948" s="173"/>
      <c r="BC1948" s="173"/>
    </row>
    <row r="1949" spans="2:55" s="134" customFormat="1" x14ac:dyDescent="0.2">
      <c r="B1949" s="145"/>
      <c r="D1949" s="145"/>
      <c r="Z1949" s="177"/>
      <c r="AA1949" s="178"/>
      <c r="AB1949" s="139"/>
      <c r="AC1949" s="173"/>
      <c r="AD1949" s="177"/>
      <c r="AE1949" s="177"/>
      <c r="AF1949" s="139"/>
      <c r="AG1949" s="139"/>
      <c r="AH1949" s="177"/>
      <c r="AI1949" s="178"/>
      <c r="AJ1949" s="139"/>
      <c r="AK1949" s="173"/>
      <c r="AL1949" s="177"/>
      <c r="AM1949" s="178"/>
      <c r="AN1949" s="173"/>
      <c r="AO1949" s="173"/>
      <c r="AP1949" s="173"/>
      <c r="AQ1949" s="178"/>
      <c r="AR1949" s="173"/>
      <c r="AS1949" s="173"/>
      <c r="AT1949" s="140"/>
      <c r="AX1949" s="140"/>
      <c r="BB1949" s="173"/>
      <c r="BC1949" s="173"/>
    </row>
    <row r="1950" spans="2:55" s="134" customFormat="1" x14ac:dyDescent="0.2">
      <c r="B1950" s="145"/>
      <c r="D1950" s="145"/>
      <c r="Z1950" s="177"/>
      <c r="AA1950" s="178"/>
      <c r="AB1950" s="139"/>
      <c r="AC1950" s="173"/>
      <c r="AD1950" s="177"/>
      <c r="AE1950" s="177"/>
      <c r="AF1950" s="139"/>
      <c r="AG1950" s="139"/>
      <c r="AH1950" s="177"/>
      <c r="AI1950" s="178"/>
      <c r="AJ1950" s="139"/>
      <c r="AK1950" s="173"/>
      <c r="AL1950" s="177"/>
      <c r="AM1950" s="178"/>
      <c r="AN1950" s="173"/>
      <c r="AO1950" s="173"/>
      <c r="AP1950" s="173"/>
      <c r="AQ1950" s="178"/>
      <c r="AR1950" s="173"/>
      <c r="AS1950" s="173"/>
      <c r="AT1950" s="140"/>
      <c r="AX1950" s="140"/>
      <c r="BB1950" s="173"/>
      <c r="BC1950" s="173"/>
    </row>
    <row r="1951" spans="2:55" s="134" customFormat="1" x14ac:dyDescent="0.2">
      <c r="B1951" s="145"/>
      <c r="D1951" s="145"/>
      <c r="Z1951" s="177"/>
      <c r="AA1951" s="178"/>
      <c r="AB1951" s="139"/>
      <c r="AC1951" s="173"/>
      <c r="AD1951" s="177"/>
      <c r="AE1951" s="177"/>
      <c r="AF1951" s="139"/>
      <c r="AG1951" s="139"/>
      <c r="AH1951" s="177"/>
      <c r="AI1951" s="178"/>
      <c r="AJ1951" s="139"/>
      <c r="AK1951" s="173"/>
      <c r="AL1951" s="177"/>
      <c r="AM1951" s="178"/>
      <c r="AN1951" s="173"/>
      <c r="AO1951" s="173"/>
      <c r="AP1951" s="173"/>
      <c r="AQ1951" s="178"/>
      <c r="AR1951" s="173"/>
      <c r="AS1951" s="173"/>
      <c r="AT1951" s="140"/>
      <c r="AX1951" s="140"/>
      <c r="BB1951" s="173"/>
      <c r="BC1951" s="173"/>
    </row>
    <row r="1952" spans="2:55" s="134" customFormat="1" x14ac:dyDescent="0.2">
      <c r="B1952" s="145"/>
      <c r="D1952" s="145"/>
      <c r="Z1952" s="177"/>
      <c r="AA1952" s="178"/>
      <c r="AB1952" s="139"/>
      <c r="AC1952" s="173"/>
      <c r="AD1952" s="177"/>
      <c r="AE1952" s="177"/>
      <c r="AF1952" s="139"/>
      <c r="AG1952" s="139"/>
      <c r="AH1952" s="177"/>
      <c r="AI1952" s="178"/>
      <c r="AJ1952" s="139"/>
      <c r="AK1952" s="173"/>
      <c r="AL1952" s="177"/>
      <c r="AM1952" s="178"/>
      <c r="AN1952" s="173"/>
      <c r="AO1952" s="173"/>
      <c r="AP1952" s="173"/>
      <c r="AQ1952" s="178"/>
      <c r="AR1952" s="173"/>
      <c r="AS1952" s="173"/>
      <c r="AT1952" s="140"/>
      <c r="AX1952" s="140"/>
      <c r="BB1952" s="173"/>
      <c r="BC1952" s="173"/>
    </row>
    <row r="1953" spans="2:55" s="134" customFormat="1" x14ac:dyDescent="0.2">
      <c r="B1953" s="145"/>
      <c r="D1953" s="145"/>
      <c r="Z1953" s="177"/>
      <c r="AA1953" s="178"/>
      <c r="AB1953" s="139"/>
      <c r="AC1953" s="173"/>
      <c r="AD1953" s="177"/>
      <c r="AE1953" s="177"/>
      <c r="AF1953" s="139"/>
      <c r="AG1953" s="139"/>
      <c r="AH1953" s="177"/>
      <c r="AI1953" s="178"/>
      <c r="AJ1953" s="139"/>
      <c r="AK1953" s="173"/>
      <c r="AL1953" s="177"/>
      <c r="AM1953" s="178"/>
      <c r="AN1953" s="173"/>
      <c r="AO1953" s="173"/>
      <c r="AP1953" s="173"/>
      <c r="AQ1953" s="178"/>
      <c r="AR1953" s="173"/>
      <c r="AS1953" s="173"/>
      <c r="AT1953" s="140"/>
      <c r="AX1953" s="140"/>
      <c r="BB1953" s="173"/>
      <c r="BC1953" s="173"/>
    </row>
    <row r="1954" spans="2:55" s="134" customFormat="1" x14ac:dyDescent="0.2">
      <c r="B1954" s="145"/>
      <c r="D1954" s="145"/>
      <c r="Z1954" s="177"/>
      <c r="AA1954" s="178"/>
      <c r="AB1954" s="139"/>
      <c r="AC1954" s="173"/>
      <c r="AD1954" s="177"/>
      <c r="AE1954" s="177"/>
      <c r="AF1954" s="139"/>
      <c r="AG1954" s="139"/>
      <c r="AH1954" s="177"/>
      <c r="AI1954" s="178"/>
      <c r="AJ1954" s="139"/>
      <c r="AK1954" s="173"/>
      <c r="AL1954" s="177"/>
      <c r="AM1954" s="178"/>
      <c r="AN1954" s="173"/>
      <c r="AO1954" s="173"/>
      <c r="AP1954" s="173"/>
      <c r="AQ1954" s="178"/>
      <c r="AR1954" s="173"/>
      <c r="AS1954" s="173"/>
      <c r="AT1954" s="140"/>
      <c r="AX1954" s="140"/>
      <c r="BB1954" s="173"/>
      <c r="BC1954" s="173"/>
    </row>
    <row r="1955" spans="2:55" s="134" customFormat="1" x14ac:dyDescent="0.2">
      <c r="B1955" s="145"/>
      <c r="D1955" s="145"/>
      <c r="Z1955" s="177"/>
      <c r="AA1955" s="178"/>
      <c r="AB1955" s="139"/>
      <c r="AC1955" s="173"/>
      <c r="AD1955" s="177"/>
      <c r="AE1955" s="177"/>
      <c r="AF1955" s="139"/>
      <c r="AG1955" s="139"/>
      <c r="AH1955" s="177"/>
      <c r="AI1955" s="178"/>
      <c r="AJ1955" s="139"/>
      <c r="AK1955" s="173"/>
      <c r="AL1955" s="177"/>
      <c r="AM1955" s="178"/>
      <c r="AN1955" s="173"/>
      <c r="AO1955" s="173"/>
      <c r="AP1955" s="173"/>
      <c r="AQ1955" s="178"/>
      <c r="AR1955" s="173"/>
      <c r="AS1955" s="173"/>
      <c r="AT1955" s="140"/>
      <c r="AX1955" s="140"/>
      <c r="BB1955" s="173"/>
      <c r="BC1955" s="173"/>
    </row>
    <row r="1956" spans="2:55" s="134" customFormat="1" x14ac:dyDescent="0.2">
      <c r="B1956" s="145"/>
      <c r="D1956" s="145"/>
      <c r="Z1956" s="177"/>
      <c r="AA1956" s="178"/>
      <c r="AB1956" s="139"/>
      <c r="AC1956" s="173"/>
      <c r="AD1956" s="177"/>
      <c r="AE1956" s="177"/>
      <c r="AF1956" s="139"/>
      <c r="AG1956" s="139"/>
      <c r="AH1956" s="177"/>
      <c r="AI1956" s="178"/>
      <c r="AJ1956" s="139"/>
      <c r="AK1956" s="173"/>
      <c r="AL1956" s="177"/>
      <c r="AM1956" s="178"/>
      <c r="AN1956" s="173"/>
      <c r="AO1956" s="173"/>
      <c r="AP1956" s="173"/>
      <c r="AQ1956" s="178"/>
      <c r="AR1956" s="173"/>
      <c r="AS1956" s="173"/>
      <c r="AT1956" s="140"/>
      <c r="AX1956" s="140"/>
      <c r="BB1956" s="173"/>
      <c r="BC1956" s="173"/>
    </row>
    <row r="1957" spans="2:55" s="134" customFormat="1" x14ac:dyDescent="0.2">
      <c r="B1957" s="145"/>
      <c r="D1957" s="145"/>
      <c r="Z1957" s="177"/>
      <c r="AA1957" s="178"/>
      <c r="AB1957" s="139"/>
      <c r="AC1957" s="173"/>
      <c r="AD1957" s="177"/>
      <c r="AE1957" s="177"/>
      <c r="AF1957" s="139"/>
      <c r="AG1957" s="139"/>
      <c r="AH1957" s="177"/>
      <c r="AI1957" s="178"/>
      <c r="AJ1957" s="139"/>
      <c r="AK1957" s="173"/>
      <c r="AL1957" s="177"/>
      <c r="AM1957" s="178"/>
      <c r="AN1957" s="173"/>
      <c r="AO1957" s="173"/>
      <c r="AP1957" s="173"/>
      <c r="AQ1957" s="178"/>
      <c r="AR1957" s="173"/>
      <c r="AS1957" s="173"/>
      <c r="AT1957" s="140"/>
      <c r="AX1957" s="140"/>
      <c r="BB1957" s="173"/>
      <c r="BC1957" s="173"/>
    </row>
    <row r="1958" spans="2:55" s="134" customFormat="1" x14ac:dyDescent="0.2">
      <c r="B1958" s="145"/>
      <c r="D1958" s="145"/>
      <c r="Z1958" s="177"/>
      <c r="AA1958" s="178"/>
      <c r="AB1958" s="139"/>
      <c r="AC1958" s="173"/>
      <c r="AD1958" s="177"/>
      <c r="AE1958" s="177"/>
      <c r="AF1958" s="139"/>
      <c r="AG1958" s="139"/>
      <c r="AH1958" s="177"/>
      <c r="AI1958" s="178"/>
      <c r="AJ1958" s="139"/>
      <c r="AK1958" s="173"/>
      <c r="AL1958" s="177"/>
      <c r="AM1958" s="178"/>
      <c r="AN1958" s="173"/>
      <c r="AO1958" s="173"/>
      <c r="AP1958" s="173"/>
      <c r="AQ1958" s="178"/>
      <c r="AR1958" s="173"/>
      <c r="AS1958" s="173"/>
      <c r="AT1958" s="140"/>
      <c r="AX1958" s="140"/>
      <c r="BB1958" s="173"/>
      <c r="BC1958" s="173"/>
    </row>
    <row r="1959" spans="2:55" s="134" customFormat="1" x14ac:dyDescent="0.2">
      <c r="B1959" s="145"/>
      <c r="D1959" s="145"/>
      <c r="Z1959" s="177"/>
      <c r="AA1959" s="178"/>
      <c r="AB1959" s="139"/>
      <c r="AC1959" s="173"/>
      <c r="AD1959" s="177"/>
      <c r="AE1959" s="177"/>
      <c r="AF1959" s="139"/>
      <c r="AG1959" s="139"/>
      <c r="AH1959" s="177"/>
      <c r="AI1959" s="178"/>
      <c r="AJ1959" s="139"/>
      <c r="AK1959" s="173"/>
      <c r="AL1959" s="177"/>
      <c r="AM1959" s="178"/>
      <c r="AN1959" s="173"/>
      <c r="AO1959" s="173"/>
      <c r="AP1959" s="173"/>
      <c r="AQ1959" s="178"/>
      <c r="AR1959" s="173"/>
      <c r="AS1959" s="173"/>
      <c r="AT1959" s="140"/>
      <c r="AX1959" s="140"/>
      <c r="BB1959" s="173"/>
      <c r="BC1959" s="173"/>
    </row>
    <row r="1960" spans="2:55" s="134" customFormat="1" x14ac:dyDescent="0.2">
      <c r="B1960" s="145"/>
      <c r="D1960" s="145"/>
      <c r="Z1960" s="177"/>
      <c r="AA1960" s="178"/>
      <c r="AB1960" s="139"/>
      <c r="AC1960" s="173"/>
      <c r="AD1960" s="177"/>
      <c r="AE1960" s="177"/>
      <c r="AF1960" s="139"/>
      <c r="AG1960" s="139"/>
      <c r="AH1960" s="177"/>
      <c r="AI1960" s="178"/>
      <c r="AJ1960" s="139"/>
      <c r="AK1960" s="173"/>
      <c r="AL1960" s="177"/>
      <c r="AM1960" s="178"/>
      <c r="AN1960" s="173"/>
      <c r="AO1960" s="173"/>
      <c r="AP1960" s="173"/>
      <c r="AQ1960" s="178"/>
      <c r="AR1960" s="173"/>
      <c r="AS1960" s="173"/>
      <c r="AT1960" s="140"/>
      <c r="AX1960" s="140"/>
      <c r="BB1960" s="173"/>
      <c r="BC1960" s="173"/>
    </row>
    <row r="1961" spans="2:55" s="134" customFormat="1" x14ac:dyDescent="0.2">
      <c r="B1961" s="145"/>
      <c r="D1961" s="145"/>
      <c r="Z1961" s="177"/>
      <c r="AA1961" s="178"/>
      <c r="AB1961" s="139"/>
      <c r="AC1961" s="173"/>
      <c r="AD1961" s="177"/>
      <c r="AE1961" s="177"/>
      <c r="AF1961" s="139"/>
      <c r="AG1961" s="139"/>
      <c r="AH1961" s="177"/>
      <c r="AI1961" s="178"/>
      <c r="AJ1961" s="139"/>
      <c r="AK1961" s="173"/>
      <c r="AL1961" s="177"/>
      <c r="AM1961" s="178"/>
      <c r="AN1961" s="173"/>
      <c r="AO1961" s="173"/>
      <c r="AP1961" s="173"/>
      <c r="AQ1961" s="178"/>
      <c r="AR1961" s="173"/>
      <c r="AS1961" s="173"/>
      <c r="AT1961" s="140"/>
      <c r="AX1961" s="140"/>
      <c r="BB1961" s="173"/>
      <c r="BC1961" s="173"/>
    </row>
    <row r="1962" spans="2:55" s="134" customFormat="1" x14ac:dyDescent="0.2">
      <c r="B1962" s="145"/>
      <c r="D1962" s="145"/>
      <c r="Z1962" s="177"/>
      <c r="AA1962" s="178"/>
      <c r="AB1962" s="139"/>
      <c r="AC1962" s="173"/>
      <c r="AD1962" s="177"/>
      <c r="AE1962" s="177"/>
      <c r="AF1962" s="139"/>
      <c r="AG1962" s="139"/>
      <c r="AH1962" s="177"/>
      <c r="AI1962" s="178"/>
      <c r="AJ1962" s="139"/>
      <c r="AK1962" s="173"/>
      <c r="AL1962" s="177"/>
      <c r="AM1962" s="178"/>
      <c r="AN1962" s="173"/>
      <c r="AO1962" s="173"/>
      <c r="AP1962" s="173"/>
      <c r="AQ1962" s="178"/>
      <c r="AR1962" s="173"/>
      <c r="AS1962" s="173"/>
      <c r="AT1962" s="140"/>
      <c r="AX1962" s="140"/>
      <c r="BB1962" s="173"/>
      <c r="BC1962" s="173"/>
    </row>
    <row r="1963" spans="2:55" s="134" customFormat="1" x14ac:dyDescent="0.2">
      <c r="B1963" s="145"/>
      <c r="D1963" s="145"/>
      <c r="Z1963" s="177"/>
      <c r="AA1963" s="178"/>
      <c r="AB1963" s="139"/>
      <c r="AC1963" s="173"/>
      <c r="AD1963" s="177"/>
      <c r="AE1963" s="177"/>
      <c r="AF1963" s="139"/>
      <c r="AG1963" s="139"/>
      <c r="AH1963" s="177"/>
      <c r="AI1963" s="178"/>
      <c r="AJ1963" s="139"/>
      <c r="AK1963" s="173"/>
      <c r="AL1963" s="177"/>
      <c r="AM1963" s="178"/>
      <c r="AN1963" s="173"/>
      <c r="AO1963" s="173"/>
      <c r="AP1963" s="173"/>
      <c r="AQ1963" s="178"/>
      <c r="AR1963" s="173"/>
      <c r="AS1963" s="173"/>
      <c r="AT1963" s="140"/>
      <c r="AX1963" s="140"/>
      <c r="BB1963" s="173"/>
      <c r="BC1963" s="173"/>
    </row>
    <row r="1964" spans="2:55" s="134" customFormat="1" x14ac:dyDescent="0.2">
      <c r="B1964" s="145"/>
      <c r="D1964" s="145"/>
      <c r="Z1964" s="177"/>
      <c r="AA1964" s="178"/>
      <c r="AB1964" s="139"/>
      <c r="AC1964" s="173"/>
      <c r="AD1964" s="177"/>
      <c r="AE1964" s="177"/>
      <c r="AF1964" s="139"/>
      <c r="AG1964" s="139"/>
      <c r="AH1964" s="177"/>
      <c r="AI1964" s="178"/>
      <c r="AJ1964" s="139"/>
      <c r="AK1964" s="173"/>
      <c r="AL1964" s="177"/>
      <c r="AM1964" s="178"/>
      <c r="AN1964" s="173"/>
      <c r="AO1964" s="173"/>
      <c r="AP1964" s="173"/>
      <c r="AQ1964" s="178"/>
      <c r="AR1964" s="173"/>
      <c r="AS1964" s="173"/>
      <c r="AT1964" s="140"/>
      <c r="AX1964" s="140"/>
      <c r="BB1964" s="173"/>
      <c r="BC1964" s="173"/>
    </row>
    <row r="1965" spans="2:55" s="134" customFormat="1" x14ac:dyDescent="0.2">
      <c r="B1965" s="145"/>
      <c r="D1965" s="145"/>
      <c r="Z1965" s="177"/>
      <c r="AA1965" s="178"/>
      <c r="AB1965" s="139"/>
      <c r="AC1965" s="173"/>
      <c r="AD1965" s="177"/>
      <c r="AE1965" s="177"/>
      <c r="AF1965" s="139"/>
      <c r="AG1965" s="139"/>
      <c r="AH1965" s="177"/>
      <c r="AI1965" s="178"/>
      <c r="AJ1965" s="139"/>
      <c r="AK1965" s="173"/>
      <c r="AL1965" s="177"/>
      <c r="AM1965" s="178"/>
      <c r="AN1965" s="173"/>
      <c r="AO1965" s="173"/>
      <c r="AP1965" s="173"/>
      <c r="AQ1965" s="178"/>
      <c r="AR1965" s="173"/>
      <c r="AS1965" s="173"/>
      <c r="AT1965" s="140"/>
      <c r="AX1965" s="140"/>
      <c r="BB1965" s="173"/>
      <c r="BC1965" s="173"/>
    </row>
    <row r="1966" spans="2:55" s="134" customFormat="1" x14ac:dyDescent="0.2">
      <c r="B1966" s="145"/>
      <c r="D1966" s="145"/>
      <c r="Z1966" s="177"/>
      <c r="AA1966" s="178"/>
      <c r="AB1966" s="139"/>
      <c r="AC1966" s="173"/>
      <c r="AD1966" s="177"/>
      <c r="AE1966" s="177"/>
      <c r="AF1966" s="139"/>
      <c r="AG1966" s="139"/>
      <c r="AH1966" s="177"/>
      <c r="AI1966" s="178"/>
      <c r="AJ1966" s="139"/>
      <c r="AK1966" s="173"/>
      <c r="AL1966" s="177"/>
      <c r="AM1966" s="178"/>
      <c r="AN1966" s="173"/>
      <c r="AO1966" s="173"/>
      <c r="AP1966" s="173"/>
      <c r="AQ1966" s="178"/>
      <c r="AR1966" s="173"/>
      <c r="AS1966" s="173"/>
      <c r="AT1966" s="140"/>
      <c r="AX1966" s="140"/>
      <c r="BB1966" s="173"/>
      <c r="BC1966" s="173"/>
    </row>
    <row r="1967" spans="2:55" s="134" customFormat="1" x14ac:dyDescent="0.2">
      <c r="B1967" s="145"/>
      <c r="D1967" s="145"/>
      <c r="Z1967" s="177"/>
      <c r="AA1967" s="178"/>
      <c r="AB1967" s="139"/>
      <c r="AC1967" s="173"/>
      <c r="AD1967" s="177"/>
      <c r="AE1967" s="177"/>
      <c r="AF1967" s="139"/>
      <c r="AG1967" s="139"/>
      <c r="AH1967" s="177"/>
      <c r="AI1967" s="178"/>
      <c r="AJ1967" s="139"/>
      <c r="AK1967" s="173"/>
      <c r="AL1967" s="177"/>
      <c r="AM1967" s="178"/>
      <c r="AN1967" s="173"/>
      <c r="AO1967" s="173"/>
      <c r="AP1967" s="173"/>
      <c r="AQ1967" s="178"/>
      <c r="AR1967" s="173"/>
      <c r="AS1967" s="173"/>
      <c r="AT1967" s="140"/>
      <c r="AX1967" s="140"/>
      <c r="BB1967" s="173"/>
      <c r="BC1967" s="173"/>
    </row>
    <row r="1968" spans="2:55" s="134" customFormat="1" x14ac:dyDescent="0.2">
      <c r="B1968" s="145"/>
      <c r="D1968" s="145"/>
      <c r="Z1968" s="177"/>
      <c r="AA1968" s="178"/>
      <c r="AB1968" s="139"/>
      <c r="AC1968" s="173"/>
      <c r="AD1968" s="177"/>
      <c r="AE1968" s="177"/>
      <c r="AF1968" s="139"/>
      <c r="AG1968" s="139"/>
      <c r="AH1968" s="177"/>
      <c r="AI1968" s="178"/>
      <c r="AJ1968" s="139"/>
      <c r="AK1968" s="173"/>
      <c r="AL1968" s="177"/>
      <c r="AM1968" s="178"/>
      <c r="AN1968" s="173"/>
      <c r="AO1968" s="173"/>
      <c r="AP1968" s="173"/>
      <c r="AQ1968" s="178"/>
      <c r="AR1968" s="173"/>
      <c r="AS1968" s="173"/>
      <c r="AT1968" s="140"/>
      <c r="AX1968" s="140"/>
      <c r="BB1968" s="173"/>
      <c r="BC1968" s="173"/>
    </row>
    <row r="1969" spans="2:55" s="134" customFormat="1" x14ac:dyDescent="0.2">
      <c r="B1969" s="145"/>
      <c r="D1969" s="145"/>
      <c r="Z1969" s="177"/>
      <c r="AA1969" s="178"/>
      <c r="AB1969" s="139"/>
      <c r="AC1969" s="173"/>
      <c r="AD1969" s="177"/>
      <c r="AE1969" s="177"/>
      <c r="AF1969" s="139"/>
      <c r="AG1969" s="139"/>
      <c r="AH1969" s="177"/>
      <c r="AI1969" s="178"/>
      <c r="AJ1969" s="139"/>
      <c r="AK1969" s="173"/>
      <c r="AL1969" s="177"/>
      <c r="AM1969" s="178"/>
      <c r="AN1969" s="173"/>
      <c r="AO1969" s="173"/>
      <c r="AP1969" s="173"/>
      <c r="AQ1969" s="178"/>
      <c r="AR1969" s="173"/>
      <c r="AS1969" s="173"/>
      <c r="AT1969" s="140"/>
      <c r="AX1969" s="140"/>
      <c r="BB1969" s="173"/>
      <c r="BC1969" s="173"/>
    </row>
    <row r="1970" spans="2:55" s="134" customFormat="1" x14ac:dyDescent="0.2">
      <c r="B1970" s="145"/>
      <c r="D1970" s="145"/>
      <c r="Z1970" s="177"/>
      <c r="AA1970" s="178"/>
      <c r="AB1970" s="139"/>
      <c r="AC1970" s="173"/>
      <c r="AD1970" s="177"/>
      <c r="AE1970" s="177"/>
      <c r="AF1970" s="139"/>
      <c r="AG1970" s="139"/>
      <c r="AH1970" s="177"/>
      <c r="AI1970" s="178"/>
      <c r="AJ1970" s="139"/>
      <c r="AK1970" s="173"/>
      <c r="AL1970" s="177"/>
      <c r="AM1970" s="178"/>
      <c r="AN1970" s="173"/>
      <c r="AO1970" s="173"/>
      <c r="AP1970" s="173"/>
      <c r="AQ1970" s="178"/>
      <c r="AR1970" s="173"/>
      <c r="AS1970" s="173"/>
      <c r="AT1970" s="140"/>
      <c r="AX1970" s="140"/>
      <c r="BB1970" s="173"/>
      <c r="BC1970" s="173"/>
    </row>
    <row r="1971" spans="2:55" s="134" customFormat="1" x14ac:dyDescent="0.2">
      <c r="B1971" s="145"/>
      <c r="D1971" s="145"/>
      <c r="Z1971" s="177"/>
      <c r="AA1971" s="178"/>
      <c r="AB1971" s="139"/>
      <c r="AC1971" s="173"/>
      <c r="AD1971" s="177"/>
      <c r="AE1971" s="177"/>
      <c r="AF1971" s="139"/>
      <c r="AG1971" s="139"/>
      <c r="AH1971" s="177"/>
      <c r="AI1971" s="178"/>
      <c r="AJ1971" s="139"/>
      <c r="AK1971" s="173"/>
      <c r="AL1971" s="177"/>
      <c r="AM1971" s="178"/>
      <c r="AN1971" s="173"/>
      <c r="AO1971" s="173"/>
      <c r="AP1971" s="173"/>
      <c r="AQ1971" s="178"/>
      <c r="AR1971" s="173"/>
      <c r="AS1971" s="173"/>
      <c r="AT1971" s="140"/>
      <c r="AX1971" s="140"/>
      <c r="BB1971" s="173"/>
      <c r="BC1971" s="173"/>
    </row>
    <row r="1972" spans="2:55" s="134" customFormat="1" x14ac:dyDescent="0.2">
      <c r="B1972" s="145"/>
      <c r="D1972" s="145"/>
      <c r="Z1972" s="177"/>
      <c r="AA1972" s="178"/>
      <c r="AB1972" s="139"/>
      <c r="AC1972" s="173"/>
      <c r="AD1972" s="177"/>
      <c r="AE1972" s="177"/>
      <c r="AF1972" s="139"/>
      <c r="AG1972" s="139"/>
      <c r="AH1972" s="177"/>
      <c r="AI1972" s="178"/>
      <c r="AJ1972" s="139"/>
      <c r="AK1972" s="173"/>
      <c r="AL1972" s="177"/>
      <c r="AM1972" s="178"/>
      <c r="AN1972" s="173"/>
      <c r="AO1972" s="173"/>
      <c r="AP1972" s="173"/>
      <c r="AQ1972" s="178"/>
      <c r="AR1972" s="173"/>
      <c r="AS1972" s="173"/>
      <c r="AT1972" s="140"/>
      <c r="AX1972" s="140"/>
      <c r="BB1972" s="173"/>
      <c r="BC1972" s="173"/>
    </row>
    <row r="1973" spans="2:55" s="134" customFormat="1" x14ac:dyDescent="0.2">
      <c r="B1973" s="145"/>
      <c r="D1973" s="145"/>
      <c r="Z1973" s="177"/>
      <c r="AA1973" s="178"/>
      <c r="AB1973" s="139"/>
      <c r="AC1973" s="173"/>
      <c r="AD1973" s="177"/>
      <c r="AE1973" s="177"/>
      <c r="AF1973" s="139"/>
      <c r="AG1973" s="139"/>
      <c r="AH1973" s="177"/>
      <c r="AI1973" s="178"/>
      <c r="AJ1973" s="139"/>
      <c r="AK1973" s="173"/>
      <c r="AL1973" s="177"/>
      <c r="AM1973" s="178"/>
      <c r="AN1973" s="173"/>
      <c r="AO1973" s="173"/>
      <c r="AP1973" s="173"/>
      <c r="AQ1973" s="178"/>
      <c r="AR1973" s="173"/>
      <c r="AS1973" s="173"/>
      <c r="AT1973" s="140"/>
      <c r="AX1973" s="140"/>
      <c r="BB1973" s="173"/>
      <c r="BC1973" s="173"/>
    </row>
    <row r="1974" spans="2:55" s="134" customFormat="1" x14ac:dyDescent="0.2">
      <c r="B1974" s="145"/>
      <c r="D1974" s="145"/>
      <c r="Z1974" s="177"/>
      <c r="AA1974" s="178"/>
      <c r="AB1974" s="139"/>
      <c r="AC1974" s="173"/>
      <c r="AD1974" s="177"/>
      <c r="AE1974" s="177"/>
      <c r="AF1974" s="139"/>
      <c r="AG1974" s="139"/>
      <c r="AH1974" s="177"/>
      <c r="AI1974" s="178"/>
      <c r="AJ1974" s="139"/>
      <c r="AK1974" s="173"/>
      <c r="AL1974" s="177"/>
      <c r="AM1974" s="178"/>
      <c r="AN1974" s="173"/>
      <c r="AO1974" s="173"/>
      <c r="AP1974" s="173"/>
      <c r="AQ1974" s="178"/>
      <c r="AR1974" s="173"/>
      <c r="AS1974" s="173"/>
      <c r="AT1974" s="140"/>
      <c r="AX1974" s="140"/>
      <c r="BB1974" s="173"/>
      <c r="BC1974" s="173"/>
    </row>
    <row r="1975" spans="2:55" s="134" customFormat="1" x14ac:dyDescent="0.2">
      <c r="B1975" s="145"/>
      <c r="D1975" s="145"/>
      <c r="Z1975" s="177"/>
      <c r="AA1975" s="178"/>
      <c r="AB1975" s="139"/>
      <c r="AC1975" s="173"/>
      <c r="AD1975" s="177"/>
      <c r="AE1975" s="177"/>
      <c r="AF1975" s="139"/>
      <c r="AG1975" s="139"/>
      <c r="AH1975" s="177"/>
      <c r="AI1975" s="178"/>
      <c r="AJ1975" s="139"/>
      <c r="AK1975" s="173"/>
      <c r="AL1975" s="177"/>
      <c r="AM1975" s="178"/>
      <c r="AN1975" s="173"/>
      <c r="AO1975" s="173"/>
      <c r="AP1975" s="173"/>
      <c r="AQ1975" s="178"/>
      <c r="AR1975" s="173"/>
      <c r="AS1975" s="173"/>
      <c r="AT1975" s="140"/>
      <c r="AX1975" s="140"/>
      <c r="BB1975" s="173"/>
      <c r="BC1975" s="173"/>
    </row>
    <row r="1976" spans="2:55" s="134" customFormat="1" x14ac:dyDescent="0.2">
      <c r="B1976" s="145"/>
      <c r="D1976" s="145"/>
      <c r="Z1976" s="177"/>
      <c r="AA1976" s="178"/>
      <c r="AB1976" s="139"/>
      <c r="AC1976" s="173"/>
      <c r="AD1976" s="177"/>
      <c r="AE1976" s="177"/>
      <c r="AF1976" s="139"/>
      <c r="AG1976" s="139"/>
      <c r="AH1976" s="177"/>
      <c r="AI1976" s="178"/>
      <c r="AJ1976" s="139"/>
      <c r="AK1976" s="173"/>
      <c r="AL1976" s="177"/>
      <c r="AM1976" s="178"/>
      <c r="AN1976" s="173"/>
      <c r="AO1976" s="173"/>
      <c r="AP1976" s="173"/>
      <c r="AQ1976" s="178"/>
      <c r="AR1976" s="173"/>
      <c r="AS1976" s="173"/>
      <c r="AT1976" s="140"/>
      <c r="AX1976" s="140"/>
      <c r="BB1976" s="173"/>
      <c r="BC1976" s="173"/>
    </row>
    <row r="1977" spans="2:55" s="134" customFormat="1" x14ac:dyDescent="0.2">
      <c r="B1977" s="145"/>
      <c r="D1977" s="145"/>
      <c r="Z1977" s="177"/>
      <c r="AA1977" s="178"/>
      <c r="AB1977" s="139"/>
      <c r="AC1977" s="173"/>
      <c r="AD1977" s="177"/>
      <c r="AE1977" s="177"/>
      <c r="AF1977" s="139"/>
      <c r="AG1977" s="139"/>
      <c r="AH1977" s="177"/>
      <c r="AI1977" s="178"/>
      <c r="AJ1977" s="139"/>
      <c r="AK1977" s="173"/>
      <c r="AL1977" s="177"/>
      <c r="AM1977" s="178"/>
      <c r="AN1977" s="173"/>
      <c r="AO1977" s="173"/>
      <c r="AP1977" s="173"/>
      <c r="AQ1977" s="178"/>
      <c r="AR1977" s="173"/>
      <c r="AS1977" s="173"/>
      <c r="AT1977" s="140"/>
      <c r="AX1977" s="140"/>
      <c r="BB1977" s="173"/>
      <c r="BC1977" s="173"/>
    </row>
    <row r="1978" spans="2:55" s="134" customFormat="1" x14ac:dyDescent="0.2">
      <c r="B1978" s="145"/>
      <c r="D1978" s="145"/>
      <c r="Z1978" s="177"/>
      <c r="AA1978" s="178"/>
      <c r="AB1978" s="139"/>
      <c r="AC1978" s="173"/>
      <c r="AD1978" s="177"/>
      <c r="AE1978" s="177"/>
      <c r="AF1978" s="139"/>
      <c r="AG1978" s="139"/>
      <c r="AH1978" s="177"/>
      <c r="AI1978" s="178"/>
      <c r="AJ1978" s="139"/>
      <c r="AK1978" s="173"/>
      <c r="AL1978" s="177"/>
      <c r="AM1978" s="178"/>
      <c r="AN1978" s="173"/>
      <c r="AO1978" s="173"/>
      <c r="AP1978" s="173"/>
      <c r="AQ1978" s="178"/>
      <c r="AR1978" s="173"/>
      <c r="AS1978" s="173"/>
      <c r="AT1978" s="140"/>
      <c r="AX1978" s="140"/>
      <c r="BB1978" s="173"/>
      <c r="BC1978" s="173"/>
    </row>
    <row r="1979" spans="2:55" s="134" customFormat="1" x14ac:dyDescent="0.2">
      <c r="B1979" s="145"/>
      <c r="D1979" s="145"/>
      <c r="Z1979" s="177"/>
      <c r="AA1979" s="178"/>
      <c r="AB1979" s="139"/>
      <c r="AC1979" s="173"/>
      <c r="AD1979" s="177"/>
      <c r="AE1979" s="177"/>
      <c r="AF1979" s="139"/>
      <c r="AG1979" s="139"/>
      <c r="AH1979" s="177"/>
      <c r="AI1979" s="178"/>
      <c r="AJ1979" s="139"/>
      <c r="AK1979" s="173"/>
      <c r="AL1979" s="177"/>
      <c r="AM1979" s="178"/>
      <c r="AN1979" s="173"/>
      <c r="AO1979" s="173"/>
      <c r="AP1979" s="173"/>
      <c r="AQ1979" s="178"/>
      <c r="AR1979" s="173"/>
      <c r="AS1979" s="173"/>
      <c r="AT1979" s="140"/>
      <c r="AX1979" s="140"/>
      <c r="BB1979" s="173"/>
      <c r="BC1979" s="173"/>
    </row>
    <row r="1980" spans="2:55" s="134" customFormat="1" x14ac:dyDescent="0.2">
      <c r="B1980" s="145"/>
      <c r="D1980" s="145"/>
      <c r="Z1980" s="177"/>
      <c r="AA1980" s="178"/>
      <c r="AB1980" s="139"/>
      <c r="AC1980" s="173"/>
      <c r="AD1980" s="177"/>
      <c r="AE1980" s="177"/>
      <c r="AF1980" s="139"/>
      <c r="AG1980" s="139"/>
      <c r="AH1980" s="177"/>
      <c r="AI1980" s="178"/>
      <c r="AJ1980" s="139"/>
      <c r="AK1980" s="173"/>
      <c r="AL1980" s="177"/>
      <c r="AM1980" s="178"/>
      <c r="AN1980" s="173"/>
      <c r="AO1980" s="173"/>
      <c r="AP1980" s="173"/>
      <c r="AQ1980" s="178"/>
      <c r="AR1980" s="173"/>
      <c r="AS1980" s="173"/>
      <c r="AT1980" s="140"/>
      <c r="AX1980" s="140"/>
      <c r="BB1980" s="173"/>
      <c r="BC1980" s="173"/>
    </row>
    <row r="1981" spans="2:55" s="134" customFormat="1" x14ac:dyDescent="0.2">
      <c r="B1981" s="145"/>
      <c r="D1981" s="145"/>
      <c r="Z1981" s="177"/>
      <c r="AA1981" s="178"/>
      <c r="AB1981" s="139"/>
      <c r="AC1981" s="173"/>
      <c r="AD1981" s="177"/>
      <c r="AE1981" s="177"/>
      <c r="AF1981" s="139"/>
      <c r="AG1981" s="139"/>
      <c r="AH1981" s="177"/>
      <c r="AI1981" s="178"/>
      <c r="AJ1981" s="139"/>
      <c r="AK1981" s="173"/>
      <c r="AL1981" s="177"/>
      <c r="AM1981" s="178"/>
      <c r="AN1981" s="173"/>
      <c r="AO1981" s="173"/>
      <c r="AP1981" s="173"/>
      <c r="AQ1981" s="178"/>
      <c r="AR1981" s="173"/>
      <c r="AS1981" s="173"/>
      <c r="AT1981" s="140"/>
      <c r="AX1981" s="140"/>
      <c r="BB1981" s="173"/>
      <c r="BC1981" s="173"/>
    </row>
    <row r="1982" spans="2:55" s="134" customFormat="1" x14ac:dyDescent="0.2">
      <c r="B1982" s="145"/>
      <c r="D1982" s="145"/>
      <c r="Z1982" s="177"/>
      <c r="AA1982" s="178"/>
      <c r="AB1982" s="139"/>
      <c r="AC1982" s="173"/>
      <c r="AD1982" s="177"/>
      <c r="AE1982" s="177"/>
      <c r="AF1982" s="139"/>
      <c r="AG1982" s="139"/>
      <c r="AH1982" s="177"/>
      <c r="AI1982" s="178"/>
      <c r="AJ1982" s="139"/>
      <c r="AK1982" s="173"/>
      <c r="AL1982" s="177"/>
      <c r="AM1982" s="178"/>
      <c r="AN1982" s="173"/>
      <c r="AO1982" s="173"/>
      <c r="AP1982" s="173"/>
      <c r="AQ1982" s="178"/>
      <c r="AR1982" s="173"/>
      <c r="AS1982" s="173"/>
      <c r="AT1982" s="140"/>
      <c r="AX1982" s="140"/>
      <c r="BB1982" s="173"/>
      <c r="BC1982" s="173"/>
    </row>
    <row r="1983" spans="2:55" s="134" customFormat="1" x14ac:dyDescent="0.2">
      <c r="B1983" s="145"/>
      <c r="D1983" s="145"/>
      <c r="Z1983" s="177"/>
      <c r="AA1983" s="178"/>
      <c r="AB1983" s="139"/>
      <c r="AC1983" s="173"/>
      <c r="AD1983" s="177"/>
      <c r="AE1983" s="177"/>
      <c r="AF1983" s="139"/>
      <c r="AG1983" s="139"/>
      <c r="AH1983" s="177"/>
      <c r="AI1983" s="178"/>
      <c r="AJ1983" s="139"/>
      <c r="AK1983" s="173"/>
      <c r="AL1983" s="177"/>
      <c r="AM1983" s="178"/>
      <c r="AN1983" s="173"/>
      <c r="AO1983" s="173"/>
      <c r="AP1983" s="173"/>
      <c r="AQ1983" s="178"/>
      <c r="AR1983" s="173"/>
      <c r="AS1983" s="173"/>
      <c r="AT1983" s="140"/>
      <c r="AX1983" s="140"/>
      <c r="BB1983" s="173"/>
      <c r="BC1983" s="173"/>
    </row>
    <row r="1984" spans="2:55" s="134" customFormat="1" x14ac:dyDescent="0.2">
      <c r="B1984" s="145"/>
      <c r="D1984" s="145"/>
      <c r="Z1984" s="177"/>
      <c r="AA1984" s="178"/>
      <c r="AB1984" s="139"/>
      <c r="AC1984" s="173"/>
      <c r="AD1984" s="177"/>
      <c r="AE1984" s="177"/>
      <c r="AF1984" s="139"/>
      <c r="AG1984" s="139"/>
      <c r="AH1984" s="177"/>
      <c r="AI1984" s="178"/>
      <c r="AJ1984" s="139"/>
      <c r="AK1984" s="173"/>
      <c r="AL1984" s="177"/>
      <c r="AM1984" s="178"/>
      <c r="AN1984" s="173"/>
      <c r="AO1984" s="173"/>
      <c r="AP1984" s="173"/>
      <c r="AQ1984" s="178"/>
      <c r="AR1984" s="173"/>
      <c r="AS1984" s="173"/>
      <c r="AT1984" s="140"/>
      <c r="AX1984" s="140"/>
      <c r="BB1984" s="173"/>
      <c r="BC1984" s="173"/>
    </row>
    <row r="1985" spans="2:55" s="134" customFormat="1" x14ac:dyDescent="0.2">
      <c r="B1985" s="145"/>
      <c r="D1985" s="145"/>
      <c r="Z1985" s="177"/>
      <c r="AA1985" s="178"/>
      <c r="AB1985" s="139"/>
      <c r="AC1985" s="173"/>
      <c r="AD1985" s="177"/>
      <c r="AE1985" s="177"/>
      <c r="AF1985" s="139"/>
      <c r="AG1985" s="139"/>
      <c r="AH1985" s="177"/>
      <c r="AI1985" s="178"/>
      <c r="AJ1985" s="139"/>
      <c r="AK1985" s="173"/>
      <c r="AL1985" s="177"/>
      <c r="AM1985" s="178"/>
      <c r="AN1985" s="173"/>
      <c r="AO1985" s="173"/>
      <c r="AP1985" s="173"/>
      <c r="AQ1985" s="178"/>
      <c r="AR1985" s="173"/>
      <c r="AS1985" s="173"/>
      <c r="AT1985" s="140"/>
      <c r="AX1985" s="140"/>
      <c r="BB1985" s="173"/>
      <c r="BC1985" s="173"/>
    </row>
    <row r="1986" spans="2:55" s="134" customFormat="1" x14ac:dyDescent="0.2">
      <c r="B1986" s="145"/>
      <c r="D1986" s="145"/>
      <c r="Z1986" s="177"/>
      <c r="AA1986" s="178"/>
      <c r="AB1986" s="139"/>
      <c r="AC1986" s="173"/>
      <c r="AD1986" s="177"/>
      <c r="AE1986" s="177"/>
      <c r="AF1986" s="139"/>
      <c r="AG1986" s="139"/>
      <c r="AH1986" s="177"/>
      <c r="AI1986" s="178"/>
      <c r="AJ1986" s="139"/>
      <c r="AK1986" s="173"/>
      <c r="AL1986" s="177"/>
      <c r="AM1986" s="178"/>
      <c r="AN1986" s="173"/>
      <c r="AO1986" s="173"/>
      <c r="AP1986" s="173"/>
      <c r="AQ1986" s="178"/>
      <c r="AR1986" s="173"/>
      <c r="AS1986" s="173"/>
      <c r="AT1986" s="140"/>
      <c r="AX1986" s="140"/>
      <c r="BB1986" s="173"/>
      <c r="BC1986" s="173"/>
    </row>
    <row r="1987" spans="2:55" s="134" customFormat="1" x14ac:dyDescent="0.2">
      <c r="B1987" s="145"/>
      <c r="D1987" s="145"/>
      <c r="Z1987" s="177"/>
      <c r="AA1987" s="178"/>
      <c r="AB1987" s="139"/>
      <c r="AC1987" s="173"/>
      <c r="AD1987" s="177"/>
      <c r="AE1987" s="177"/>
      <c r="AF1987" s="139"/>
      <c r="AG1987" s="139"/>
      <c r="AH1987" s="177"/>
      <c r="AI1987" s="178"/>
      <c r="AJ1987" s="139"/>
      <c r="AK1987" s="173"/>
      <c r="AL1987" s="177"/>
      <c r="AM1987" s="178"/>
      <c r="AN1987" s="173"/>
      <c r="AO1987" s="173"/>
      <c r="AP1987" s="173"/>
      <c r="AQ1987" s="178"/>
      <c r="AR1987" s="173"/>
      <c r="AS1987" s="173"/>
      <c r="AT1987" s="140"/>
      <c r="AX1987" s="140"/>
      <c r="BB1987" s="173"/>
      <c r="BC1987" s="173"/>
    </row>
    <row r="1988" spans="2:55" s="134" customFormat="1" x14ac:dyDescent="0.2">
      <c r="B1988" s="145"/>
      <c r="D1988" s="145"/>
      <c r="Z1988" s="177"/>
      <c r="AA1988" s="178"/>
      <c r="AB1988" s="139"/>
      <c r="AC1988" s="173"/>
      <c r="AD1988" s="177"/>
      <c r="AE1988" s="177"/>
      <c r="AF1988" s="139"/>
      <c r="AG1988" s="139"/>
      <c r="AH1988" s="177"/>
      <c r="AI1988" s="178"/>
      <c r="AJ1988" s="139"/>
      <c r="AK1988" s="173"/>
      <c r="AL1988" s="177"/>
      <c r="AM1988" s="178"/>
      <c r="AN1988" s="173"/>
      <c r="AO1988" s="173"/>
      <c r="AP1988" s="173"/>
      <c r="AQ1988" s="178"/>
      <c r="AR1988" s="173"/>
      <c r="AS1988" s="173"/>
      <c r="AT1988" s="140"/>
      <c r="AX1988" s="140"/>
      <c r="BB1988" s="173"/>
      <c r="BC1988" s="173"/>
    </row>
    <row r="1989" spans="2:55" s="134" customFormat="1" x14ac:dyDescent="0.2">
      <c r="B1989" s="145"/>
      <c r="D1989" s="145"/>
      <c r="Z1989" s="177"/>
      <c r="AA1989" s="178"/>
      <c r="AB1989" s="139"/>
      <c r="AC1989" s="173"/>
      <c r="AD1989" s="177"/>
      <c r="AE1989" s="177"/>
      <c r="AF1989" s="139"/>
      <c r="AG1989" s="139"/>
      <c r="AH1989" s="177"/>
      <c r="AI1989" s="178"/>
      <c r="AJ1989" s="139"/>
      <c r="AK1989" s="173"/>
      <c r="AL1989" s="177"/>
      <c r="AM1989" s="178"/>
      <c r="AN1989" s="173"/>
      <c r="AO1989" s="173"/>
      <c r="AP1989" s="173"/>
      <c r="AQ1989" s="178"/>
      <c r="AR1989" s="173"/>
      <c r="AS1989" s="173"/>
      <c r="AT1989" s="140"/>
      <c r="AX1989" s="140"/>
      <c r="BB1989" s="173"/>
      <c r="BC1989" s="173"/>
    </row>
    <row r="1990" spans="2:55" s="134" customFormat="1" x14ac:dyDescent="0.2">
      <c r="B1990" s="145"/>
      <c r="D1990" s="145"/>
      <c r="Z1990" s="177"/>
      <c r="AA1990" s="178"/>
      <c r="AB1990" s="139"/>
      <c r="AC1990" s="173"/>
      <c r="AD1990" s="177"/>
      <c r="AE1990" s="177"/>
      <c r="AF1990" s="139"/>
      <c r="AG1990" s="139"/>
      <c r="AH1990" s="177"/>
      <c r="AI1990" s="178"/>
      <c r="AJ1990" s="139"/>
      <c r="AK1990" s="173"/>
      <c r="AL1990" s="177"/>
      <c r="AM1990" s="178"/>
      <c r="AN1990" s="173"/>
      <c r="AO1990" s="173"/>
      <c r="AP1990" s="173"/>
      <c r="AQ1990" s="178"/>
      <c r="AR1990" s="173"/>
      <c r="AS1990" s="173"/>
      <c r="AT1990" s="140"/>
      <c r="AX1990" s="140"/>
      <c r="BB1990" s="173"/>
      <c r="BC1990" s="173"/>
    </row>
    <row r="1991" spans="2:55" s="134" customFormat="1" x14ac:dyDescent="0.2">
      <c r="B1991" s="145"/>
      <c r="D1991" s="145"/>
      <c r="Z1991" s="177"/>
      <c r="AA1991" s="178"/>
      <c r="AB1991" s="139"/>
      <c r="AC1991" s="173"/>
      <c r="AD1991" s="177"/>
      <c r="AE1991" s="177"/>
      <c r="AF1991" s="139"/>
      <c r="AG1991" s="139"/>
      <c r="AH1991" s="177"/>
      <c r="AI1991" s="178"/>
      <c r="AJ1991" s="139"/>
      <c r="AK1991" s="173"/>
      <c r="AL1991" s="177"/>
      <c r="AM1991" s="178"/>
      <c r="AN1991" s="173"/>
      <c r="AO1991" s="173"/>
      <c r="AP1991" s="173"/>
      <c r="AQ1991" s="178"/>
      <c r="AR1991" s="173"/>
      <c r="AS1991" s="173"/>
      <c r="AT1991" s="140"/>
      <c r="AX1991" s="140"/>
      <c r="BB1991" s="173"/>
      <c r="BC1991" s="173"/>
    </row>
    <row r="1992" spans="2:55" s="134" customFormat="1" x14ac:dyDescent="0.2">
      <c r="B1992" s="145"/>
      <c r="D1992" s="145"/>
      <c r="Z1992" s="177"/>
      <c r="AA1992" s="178"/>
      <c r="AB1992" s="139"/>
      <c r="AC1992" s="173"/>
      <c r="AD1992" s="177"/>
      <c r="AE1992" s="177"/>
      <c r="AF1992" s="139"/>
      <c r="AG1992" s="139"/>
      <c r="AH1992" s="177"/>
      <c r="AI1992" s="178"/>
      <c r="AJ1992" s="139"/>
      <c r="AK1992" s="173"/>
      <c r="AL1992" s="177"/>
      <c r="AM1992" s="178"/>
      <c r="AN1992" s="173"/>
      <c r="AO1992" s="173"/>
      <c r="AP1992" s="173"/>
      <c r="AQ1992" s="178"/>
      <c r="AR1992" s="173"/>
      <c r="AS1992" s="173"/>
      <c r="AT1992" s="140"/>
      <c r="AX1992" s="140"/>
      <c r="BB1992" s="173"/>
      <c r="BC1992" s="173"/>
    </row>
    <row r="1993" spans="2:55" s="134" customFormat="1" x14ac:dyDescent="0.2">
      <c r="B1993" s="145"/>
      <c r="D1993" s="145"/>
      <c r="Z1993" s="177"/>
      <c r="AA1993" s="178"/>
      <c r="AB1993" s="139"/>
      <c r="AC1993" s="173"/>
      <c r="AD1993" s="177"/>
      <c r="AE1993" s="177"/>
      <c r="AF1993" s="139"/>
      <c r="AG1993" s="139"/>
      <c r="AH1993" s="177"/>
      <c r="AI1993" s="178"/>
      <c r="AJ1993" s="139"/>
      <c r="AK1993" s="173"/>
      <c r="AL1993" s="177"/>
      <c r="AM1993" s="178"/>
      <c r="AN1993" s="173"/>
      <c r="AO1993" s="173"/>
      <c r="AP1993" s="173"/>
      <c r="AQ1993" s="178"/>
      <c r="AR1993" s="173"/>
      <c r="AS1993" s="173"/>
      <c r="AT1993" s="140"/>
      <c r="AX1993" s="140"/>
      <c r="BB1993" s="173"/>
      <c r="BC1993" s="173"/>
    </row>
    <row r="1994" spans="2:55" s="134" customFormat="1" x14ac:dyDescent="0.2">
      <c r="B1994" s="145"/>
      <c r="D1994" s="145"/>
      <c r="Z1994" s="177"/>
      <c r="AA1994" s="178"/>
      <c r="AB1994" s="139"/>
      <c r="AC1994" s="173"/>
      <c r="AD1994" s="177"/>
      <c r="AE1994" s="177"/>
      <c r="AF1994" s="139"/>
      <c r="AG1994" s="139"/>
      <c r="AH1994" s="177"/>
      <c r="AI1994" s="178"/>
      <c r="AJ1994" s="139"/>
      <c r="AK1994" s="173"/>
      <c r="AL1994" s="177"/>
      <c r="AM1994" s="178"/>
      <c r="AN1994" s="173"/>
      <c r="AO1994" s="173"/>
      <c r="AP1994" s="173"/>
      <c r="AQ1994" s="178"/>
      <c r="AR1994" s="173"/>
      <c r="AS1994" s="173"/>
      <c r="AT1994" s="140"/>
      <c r="AX1994" s="140"/>
      <c r="BB1994" s="173"/>
      <c r="BC1994" s="173"/>
    </row>
    <row r="1995" spans="2:55" s="134" customFormat="1" x14ac:dyDescent="0.2">
      <c r="B1995" s="145"/>
      <c r="D1995" s="145"/>
      <c r="Z1995" s="177"/>
      <c r="AA1995" s="178"/>
      <c r="AB1995" s="139"/>
      <c r="AC1995" s="173"/>
      <c r="AD1995" s="177"/>
      <c r="AE1995" s="177"/>
      <c r="AF1995" s="139"/>
      <c r="AG1995" s="139"/>
      <c r="AH1995" s="177"/>
      <c r="AI1995" s="178"/>
      <c r="AJ1995" s="139"/>
      <c r="AK1995" s="173"/>
      <c r="AL1995" s="177"/>
      <c r="AM1995" s="178"/>
      <c r="AN1995" s="173"/>
      <c r="AO1995" s="173"/>
      <c r="AP1995" s="173"/>
      <c r="AQ1995" s="178"/>
      <c r="AR1995" s="173"/>
      <c r="AS1995" s="173"/>
      <c r="AT1995" s="140"/>
      <c r="AX1995" s="140"/>
      <c r="BB1995" s="173"/>
      <c r="BC1995" s="173"/>
    </row>
    <row r="1996" spans="2:55" s="134" customFormat="1" x14ac:dyDescent="0.2">
      <c r="B1996" s="145"/>
      <c r="D1996" s="145"/>
      <c r="Z1996" s="177"/>
      <c r="AA1996" s="178"/>
      <c r="AB1996" s="139"/>
      <c r="AC1996" s="173"/>
      <c r="AD1996" s="177"/>
      <c r="AE1996" s="177"/>
      <c r="AF1996" s="139"/>
      <c r="AG1996" s="139"/>
      <c r="AH1996" s="177"/>
      <c r="AI1996" s="178"/>
      <c r="AJ1996" s="139"/>
      <c r="AK1996" s="173"/>
      <c r="AL1996" s="177"/>
      <c r="AM1996" s="178"/>
      <c r="AN1996" s="173"/>
      <c r="AO1996" s="173"/>
      <c r="AP1996" s="173"/>
      <c r="AQ1996" s="178"/>
      <c r="AR1996" s="173"/>
      <c r="AS1996" s="173"/>
      <c r="AT1996" s="140"/>
      <c r="AX1996" s="140"/>
      <c r="BB1996" s="173"/>
      <c r="BC1996" s="173"/>
    </row>
    <row r="1997" spans="2:55" s="134" customFormat="1" x14ac:dyDescent="0.2">
      <c r="B1997" s="145"/>
      <c r="D1997" s="145"/>
      <c r="Z1997" s="177"/>
      <c r="AA1997" s="178"/>
      <c r="AB1997" s="139"/>
      <c r="AC1997" s="173"/>
      <c r="AD1997" s="177"/>
      <c r="AE1997" s="177"/>
      <c r="AF1997" s="139"/>
      <c r="AG1997" s="139"/>
      <c r="AH1997" s="177"/>
      <c r="AI1997" s="178"/>
      <c r="AJ1997" s="139"/>
      <c r="AK1997" s="173"/>
      <c r="AL1997" s="177"/>
      <c r="AM1997" s="178"/>
      <c r="AN1997" s="173"/>
      <c r="AO1997" s="173"/>
      <c r="AP1997" s="173"/>
      <c r="AQ1997" s="178"/>
      <c r="AR1997" s="173"/>
      <c r="AS1997" s="173"/>
      <c r="AT1997" s="140"/>
      <c r="AX1997" s="140"/>
      <c r="BB1997" s="173"/>
      <c r="BC1997" s="173"/>
    </row>
    <row r="1998" spans="2:55" s="134" customFormat="1" x14ac:dyDescent="0.2">
      <c r="B1998" s="145"/>
      <c r="D1998" s="145"/>
      <c r="Z1998" s="177"/>
      <c r="AA1998" s="178"/>
      <c r="AB1998" s="139"/>
      <c r="AC1998" s="173"/>
      <c r="AD1998" s="177"/>
      <c r="AE1998" s="177"/>
      <c r="AF1998" s="139"/>
      <c r="AG1998" s="139"/>
      <c r="AH1998" s="177"/>
      <c r="AI1998" s="178"/>
      <c r="AJ1998" s="139"/>
      <c r="AK1998" s="173"/>
      <c r="AL1998" s="177"/>
      <c r="AM1998" s="178"/>
      <c r="AN1998" s="173"/>
      <c r="AO1998" s="173"/>
      <c r="AP1998" s="173"/>
      <c r="AQ1998" s="178"/>
      <c r="AR1998" s="173"/>
      <c r="AS1998" s="173"/>
      <c r="AT1998" s="140"/>
      <c r="AX1998" s="140"/>
      <c r="BB1998" s="173"/>
      <c r="BC1998" s="173"/>
    </row>
    <row r="1999" spans="2:55" s="134" customFormat="1" x14ac:dyDescent="0.2">
      <c r="B1999" s="145"/>
      <c r="D1999" s="145"/>
      <c r="Z1999" s="177"/>
      <c r="AA1999" s="178"/>
      <c r="AB1999" s="139"/>
      <c r="AC1999" s="173"/>
      <c r="AD1999" s="177"/>
      <c r="AE1999" s="177"/>
      <c r="AF1999" s="139"/>
      <c r="AG1999" s="139"/>
      <c r="AH1999" s="177"/>
      <c r="AI1999" s="178"/>
      <c r="AJ1999" s="139"/>
      <c r="AK1999" s="173"/>
      <c r="AL1999" s="177"/>
      <c r="AM1999" s="178"/>
      <c r="AN1999" s="173"/>
      <c r="AO1999" s="173"/>
      <c r="AP1999" s="173"/>
      <c r="AQ1999" s="178"/>
      <c r="AR1999" s="173"/>
      <c r="AS1999" s="173"/>
      <c r="AT1999" s="140"/>
      <c r="AX1999" s="140"/>
      <c r="BB1999" s="173"/>
      <c r="BC1999" s="173"/>
    </row>
    <row r="2000" spans="2:55" s="134" customFormat="1" x14ac:dyDescent="0.2">
      <c r="B2000" s="145"/>
      <c r="D2000" s="145"/>
      <c r="Z2000" s="177"/>
      <c r="AA2000" s="178"/>
      <c r="AB2000" s="139"/>
      <c r="AC2000" s="173"/>
      <c r="AD2000" s="177"/>
      <c r="AE2000" s="177"/>
      <c r="AF2000" s="139"/>
      <c r="AG2000" s="139"/>
      <c r="AH2000" s="177"/>
      <c r="AI2000" s="178"/>
      <c r="AJ2000" s="139"/>
      <c r="AK2000" s="173"/>
      <c r="AL2000" s="177"/>
      <c r="AM2000" s="178"/>
      <c r="AN2000" s="173"/>
      <c r="AO2000" s="173"/>
      <c r="AP2000" s="173"/>
      <c r="AQ2000" s="178"/>
      <c r="AR2000" s="173"/>
      <c r="AS2000" s="173"/>
      <c r="AT2000" s="140"/>
      <c r="AX2000" s="140"/>
      <c r="BB2000" s="173"/>
      <c r="BC2000" s="173"/>
    </row>
    <row r="2001" spans="2:55" s="134" customFormat="1" x14ac:dyDescent="0.2">
      <c r="B2001" s="145"/>
      <c r="D2001" s="145"/>
      <c r="Z2001" s="177"/>
      <c r="AA2001" s="178"/>
      <c r="AB2001" s="139"/>
      <c r="AC2001" s="173"/>
      <c r="AD2001" s="177"/>
      <c r="AE2001" s="177"/>
      <c r="AF2001" s="139"/>
      <c r="AG2001" s="139"/>
      <c r="AH2001" s="177"/>
      <c r="AI2001" s="178"/>
      <c r="AJ2001" s="139"/>
      <c r="AK2001" s="173"/>
      <c r="AL2001" s="177"/>
      <c r="AM2001" s="178"/>
      <c r="AN2001" s="173"/>
      <c r="AO2001" s="173"/>
      <c r="AP2001" s="173"/>
      <c r="AQ2001" s="178"/>
      <c r="AR2001" s="173"/>
      <c r="AS2001" s="173"/>
      <c r="AT2001" s="140"/>
      <c r="AX2001" s="140"/>
      <c r="BB2001" s="173"/>
      <c r="BC2001" s="173"/>
    </row>
    <row r="2002" spans="2:55" s="134" customFormat="1" x14ac:dyDescent="0.2">
      <c r="B2002" s="145"/>
      <c r="D2002" s="145"/>
      <c r="Z2002" s="177"/>
      <c r="AA2002" s="178"/>
      <c r="AB2002" s="139"/>
      <c r="AC2002" s="173"/>
      <c r="AD2002" s="177"/>
      <c r="AE2002" s="177"/>
      <c r="AF2002" s="139"/>
      <c r="AG2002" s="139"/>
      <c r="AH2002" s="177"/>
      <c r="AI2002" s="178"/>
      <c r="AJ2002" s="139"/>
      <c r="AK2002" s="173"/>
      <c r="AL2002" s="177"/>
      <c r="AM2002" s="178"/>
      <c r="AN2002" s="173"/>
      <c r="AO2002" s="173"/>
      <c r="AP2002" s="173"/>
      <c r="AQ2002" s="178"/>
      <c r="AR2002" s="173"/>
      <c r="AS2002" s="173"/>
      <c r="AT2002" s="140"/>
      <c r="AX2002" s="140"/>
      <c r="BB2002" s="173"/>
      <c r="BC2002" s="173"/>
    </row>
    <row r="2003" spans="2:55" s="134" customFormat="1" x14ac:dyDescent="0.2">
      <c r="B2003" s="145"/>
      <c r="D2003" s="145"/>
      <c r="Z2003" s="177"/>
      <c r="AA2003" s="178"/>
      <c r="AB2003" s="139"/>
      <c r="AC2003" s="173"/>
      <c r="AD2003" s="177"/>
      <c r="AE2003" s="177"/>
      <c r="AF2003" s="139"/>
      <c r="AG2003" s="139"/>
      <c r="AH2003" s="177"/>
      <c r="AI2003" s="178"/>
      <c r="AJ2003" s="139"/>
      <c r="AK2003" s="173"/>
      <c r="AL2003" s="177"/>
      <c r="AM2003" s="178"/>
      <c r="AN2003" s="173"/>
      <c r="AO2003" s="173"/>
      <c r="AP2003" s="173"/>
      <c r="AQ2003" s="178"/>
      <c r="AR2003" s="173"/>
      <c r="AS2003" s="173"/>
      <c r="AT2003" s="140"/>
      <c r="AX2003" s="140"/>
      <c r="BB2003" s="173"/>
      <c r="BC2003" s="173"/>
    </row>
    <row r="2004" spans="2:55" s="134" customFormat="1" x14ac:dyDescent="0.2">
      <c r="B2004" s="145"/>
      <c r="D2004" s="145"/>
      <c r="Z2004" s="177"/>
      <c r="AA2004" s="178"/>
      <c r="AB2004" s="139"/>
      <c r="AC2004" s="173"/>
      <c r="AD2004" s="177"/>
      <c r="AE2004" s="177"/>
      <c r="AF2004" s="139"/>
      <c r="AG2004" s="139"/>
      <c r="AH2004" s="177"/>
      <c r="AI2004" s="178"/>
      <c r="AJ2004" s="139"/>
      <c r="AK2004" s="173"/>
      <c r="AL2004" s="177"/>
      <c r="AM2004" s="178"/>
      <c r="AN2004" s="173"/>
      <c r="AO2004" s="173"/>
      <c r="AP2004" s="173"/>
      <c r="AQ2004" s="178"/>
      <c r="AR2004" s="173"/>
      <c r="AS2004" s="173"/>
      <c r="AT2004" s="140"/>
      <c r="AX2004" s="140"/>
      <c r="BB2004" s="173"/>
      <c r="BC2004" s="173"/>
    </row>
    <row r="2005" spans="2:55" s="134" customFormat="1" x14ac:dyDescent="0.2">
      <c r="B2005" s="145"/>
      <c r="D2005" s="145"/>
      <c r="Z2005" s="177"/>
      <c r="AA2005" s="178"/>
      <c r="AB2005" s="139"/>
      <c r="AC2005" s="173"/>
      <c r="AD2005" s="177"/>
      <c r="AE2005" s="177"/>
      <c r="AF2005" s="139"/>
      <c r="AG2005" s="139"/>
      <c r="AH2005" s="177"/>
      <c r="AI2005" s="178"/>
      <c r="AJ2005" s="139"/>
      <c r="AK2005" s="173"/>
      <c r="AL2005" s="177"/>
      <c r="AM2005" s="178"/>
      <c r="AN2005" s="173"/>
      <c r="AO2005" s="173"/>
      <c r="AP2005" s="173"/>
      <c r="AQ2005" s="178"/>
      <c r="AR2005" s="173"/>
      <c r="AS2005" s="173"/>
      <c r="AT2005" s="140"/>
      <c r="AX2005" s="140"/>
      <c r="BB2005" s="173"/>
      <c r="BC2005" s="173"/>
    </row>
    <row r="2006" spans="2:55" s="134" customFormat="1" x14ac:dyDescent="0.2">
      <c r="B2006" s="145"/>
      <c r="D2006" s="145"/>
      <c r="Z2006" s="177"/>
      <c r="AA2006" s="178"/>
      <c r="AB2006" s="139"/>
      <c r="AC2006" s="173"/>
      <c r="AD2006" s="177"/>
      <c r="AE2006" s="177"/>
      <c r="AF2006" s="139"/>
      <c r="AG2006" s="139"/>
      <c r="AH2006" s="177"/>
      <c r="AI2006" s="178"/>
      <c r="AJ2006" s="139"/>
      <c r="AK2006" s="173"/>
      <c r="AL2006" s="177"/>
      <c r="AM2006" s="178"/>
      <c r="AN2006" s="173"/>
      <c r="AO2006" s="173"/>
      <c r="AP2006" s="173"/>
      <c r="AQ2006" s="178"/>
      <c r="AR2006" s="173"/>
      <c r="AS2006" s="173"/>
      <c r="AT2006" s="140"/>
      <c r="AX2006" s="140"/>
      <c r="BB2006" s="173"/>
      <c r="BC2006" s="173"/>
    </row>
    <row r="2007" spans="2:55" s="134" customFormat="1" x14ac:dyDescent="0.2">
      <c r="B2007" s="145"/>
      <c r="D2007" s="145"/>
      <c r="Z2007" s="177"/>
      <c r="AA2007" s="178"/>
      <c r="AB2007" s="139"/>
      <c r="AC2007" s="173"/>
      <c r="AD2007" s="177"/>
      <c r="AE2007" s="177"/>
      <c r="AF2007" s="139"/>
      <c r="AG2007" s="139"/>
      <c r="AH2007" s="177"/>
      <c r="AI2007" s="178"/>
      <c r="AJ2007" s="139"/>
      <c r="AK2007" s="173"/>
      <c r="AL2007" s="177"/>
      <c r="AM2007" s="178"/>
      <c r="AN2007" s="173"/>
      <c r="AO2007" s="173"/>
      <c r="AP2007" s="173"/>
      <c r="AQ2007" s="178"/>
      <c r="AR2007" s="173"/>
      <c r="AS2007" s="173"/>
      <c r="AT2007" s="140"/>
      <c r="AX2007" s="140"/>
      <c r="BB2007" s="173"/>
      <c r="BC2007" s="173"/>
    </row>
    <row r="2008" spans="2:55" s="134" customFormat="1" x14ac:dyDescent="0.2">
      <c r="B2008" s="145"/>
      <c r="D2008" s="145"/>
      <c r="Z2008" s="177"/>
      <c r="AA2008" s="178"/>
      <c r="AB2008" s="139"/>
      <c r="AC2008" s="173"/>
      <c r="AD2008" s="177"/>
      <c r="AE2008" s="177"/>
      <c r="AF2008" s="139"/>
      <c r="AG2008" s="139"/>
      <c r="AH2008" s="177"/>
      <c r="AI2008" s="178"/>
      <c r="AJ2008" s="139"/>
      <c r="AK2008" s="173"/>
      <c r="AL2008" s="177"/>
      <c r="AM2008" s="178"/>
      <c r="AN2008" s="173"/>
      <c r="AO2008" s="173"/>
      <c r="AP2008" s="173"/>
      <c r="AQ2008" s="178"/>
      <c r="AR2008" s="173"/>
      <c r="AS2008" s="173"/>
      <c r="AT2008" s="140"/>
      <c r="AX2008" s="140"/>
      <c r="BB2008" s="173"/>
      <c r="BC2008" s="173"/>
    </row>
    <row r="2009" spans="2:55" s="134" customFormat="1" x14ac:dyDescent="0.2">
      <c r="B2009" s="145"/>
      <c r="D2009" s="145"/>
      <c r="Z2009" s="177"/>
      <c r="AA2009" s="178"/>
      <c r="AB2009" s="139"/>
      <c r="AC2009" s="173"/>
      <c r="AD2009" s="177"/>
      <c r="AE2009" s="177"/>
      <c r="AF2009" s="139"/>
      <c r="AG2009" s="139"/>
      <c r="AH2009" s="177"/>
      <c r="AI2009" s="178"/>
      <c r="AJ2009" s="139"/>
      <c r="AK2009" s="173"/>
      <c r="AL2009" s="177"/>
      <c r="AM2009" s="178"/>
      <c r="AN2009" s="173"/>
      <c r="AO2009" s="173"/>
      <c r="AP2009" s="173"/>
      <c r="AQ2009" s="178"/>
      <c r="AR2009" s="173"/>
      <c r="AS2009" s="173"/>
      <c r="AT2009" s="140"/>
      <c r="AX2009" s="140"/>
      <c r="BB2009" s="173"/>
      <c r="BC2009" s="173"/>
    </row>
    <row r="2010" spans="2:55" s="134" customFormat="1" x14ac:dyDescent="0.2">
      <c r="B2010" s="145"/>
      <c r="D2010" s="145"/>
      <c r="Z2010" s="177"/>
      <c r="AA2010" s="178"/>
      <c r="AB2010" s="139"/>
      <c r="AC2010" s="173"/>
      <c r="AD2010" s="177"/>
      <c r="AE2010" s="177"/>
      <c r="AF2010" s="139"/>
      <c r="AG2010" s="139"/>
      <c r="AH2010" s="177"/>
      <c r="AI2010" s="178"/>
      <c r="AJ2010" s="139"/>
      <c r="AK2010" s="173"/>
      <c r="AL2010" s="177"/>
      <c r="AM2010" s="178"/>
      <c r="AN2010" s="173"/>
      <c r="AO2010" s="173"/>
      <c r="AP2010" s="173"/>
      <c r="AQ2010" s="178"/>
      <c r="AR2010" s="173"/>
      <c r="AS2010" s="173"/>
      <c r="AT2010" s="140"/>
      <c r="AX2010" s="140"/>
      <c r="BB2010" s="173"/>
      <c r="BC2010" s="173"/>
    </row>
    <row r="2011" spans="2:55" s="134" customFormat="1" x14ac:dyDescent="0.2">
      <c r="B2011" s="145"/>
      <c r="D2011" s="145"/>
      <c r="Z2011" s="177"/>
      <c r="AA2011" s="178"/>
      <c r="AB2011" s="139"/>
      <c r="AC2011" s="173"/>
      <c r="AD2011" s="177"/>
      <c r="AE2011" s="177"/>
      <c r="AF2011" s="139"/>
      <c r="AG2011" s="139"/>
      <c r="AH2011" s="177"/>
      <c r="AI2011" s="178"/>
      <c r="AJ2011" s="139"/>
      <c r="AK2011" s="173"/>
      <c r="AL2011" s="177"/>
      <c r="AM2011" s="178"/>
      <c r="AN2011" s="173"/>
      <c r="AO2011" s="173"/>
      <c r="AP2011" s="173"/>
      <c r="AQ2011" s="178"/>
      <c r="AR2011" s="173"/>
      <c r="AS2011" s="173"/>
      <c r="AT2011" s="140"/>
      <c r="AX2011" s="140"/>
      <c r="BB2011" s="173"/>
      <c r="BC2011" s="173"/>
    </row>
    <row r="2012" spans="2:55" s="134" customFormat="1" x14ac:dyDescent="0.2">
      <c r="B2012" s="145"/>
      <c r="D2012" s="145"/>
      <c r="Z2012" s="177"/>
      <c r="AA2012" s="178"/>
      <c r="AB2012" s="139"/>
      <c r="AC2012" s="173"/>
      <c r="AD2012" s="177"/>
      <c r="AE2012" s="177"/>
      <c r="AF2012" s="139"/>
      <c r="AG2012" s="139"/>
      <c r="AH2012" s="177"/>
      <c r="AI2012" s="178"/>
      <c r="AJ2012" s="139"/>
      <c r="AK2012" s="173"/>
      <c r="AL2012" s="177"/>
      <c r="AM2012" s="178"/>
      <c r="AN2012" s="173"/>
      <c r="AO2012" s="173"/>
      <c r="AP2012" s="173"/>
      <c r="AQ2012" s="178"/>
      <c r="AR2012" s="173"/>
      <c r="AS2012" s="173"/>
      <c r="AT2012" s="140"/>
      <c r="AX2012" s="140"/>
      <c r="BB2012" s="173"/>
      <c r="BC2012" s="173"/>
    </row>
    <row r="2013" spans="2:55" s="134" customFormat="1" x14ac:dyDescent="0.2">
      <c r="B2013" s="145"/>
      <c r="D2013" s="145"/>
      <c r="Z2013" s="177"/>
      <c r="AA2013" s="178"/>
      <c r="AB2013" s="139"/>
      <c r="AC2013" s="173"/>
      <c r="AD2013" s="177"/>
      <c r="AE2013" s="177"/>
      <c r="AF2013" s="139"/>
      <c r="AG2013" s="139"/>
      <c r="AH2013" s="177"/>
      <c r="AI2013" s="178"/>
      <c r="AJ2013" s="139"/>
      <c r="AK2013" s="173"/>
      <c r="AL2013" s="177"/>
      <c r="AM2013" s="178"/>
      <c r="AN2013" s="173"/>
      <c r="AO2013" s="173"/>
      <c r="AP2013" s="173"/>
      <c r="AQ2013" s="178"/>
      <c r="AR2013" s="173"/>
      <c r="AS2013" s="173"/>
      <c r="AT2013" s="140"/>
      <c r="AX2013" s="140"/>
      <c r="BB2013" s="173"/>
      <c r="BC2013" s="173"/>
    </row>
    <row r="2014" spans="2:55" s="134" customFormat="1" x14ac:dyDescent="0.2">
      <c r="B2014" s="145"/>
      <c r="D2014" s="145"/>
      <c r="Z2014" s="177"/>
      <c r="AA2014" s="178"/>
      <c r="AB2014" s="139"/>
      <c r="AC2014" s="173"/>
      <c r="AD2014" s="177"/>
      <c r="AE2014" s="177"/>
      <c r="AF2014" s="139"/>
      <c r="AG2014" s="139"/>
      <c r="AH2014" s="177"/>
      <c r="AI2014" s="178"/>
      <c r="AJ2014" s="139"/>
      <c r="AK2014" s="173"/>
      <c r="AL2014" s="177"/>
      <c r="AM2014" s="178"/>
      <c r="AN2014" s="173"/>
      <c r="AO2014" s="173"/>
      <c r="AP2014" s="173"/>
      <c r="AQ2014" s="178"/>
      <c r="AR2014" s="173"/>
      <c r="AS2014" s="173"/>
      <c r="AT2014" s="140"/>
      <c r="AX2014" s="140"/>
      <c r="BB2014" s="173"/>
      <c r="BC2014" s="173"/>
    </row>
    <row r="2015" spans="2:55" s="134" customFormat="1" x14ac:dyDescent="0.2">
      <c r="B2015" s="145"/>
      <c r="D2015" s="145"/>
      <c r="Z2015" s="177"/>
      <c r="AA2015" s="178"/>
      <c r="AB2015" s="139"/>
      <c r="AC2015" s="173"/>
      <c r="AD2015" s="177"/>
      <c r="AE2015" s="177"/>
      <c r="AF2015" s="139"/>
      <c r="AG2015" s="139"/>
      <c r="AH2015" s="177"/>
      <c r="AI2015" s="178"/>
      <c r="AJ2015" s="139"/>
      <c r="AK2015" s="173"/>
      <c r="AL2015" s="177"/>
      <c r="AM2015" s="178"/>
      <c r="AN2015" s="173"/>
      <c r="AO2015" s="173"/>
      <c r="AP2015" s="173"/>
      <c r="AQ2015" s="178"/>
      <c r="AR2015" s="173"/>
      <c r="AS2015" s="173"/>
      <c r="AT2015" s="140"/>
      <c r="AX2015" s="140"/>
      <c r="BB2015" s="173"/>
      <c r="BC2015" s="173"/>
    </row>
    <row r="2016" spans="2:55" s="134" customFormat="1" x14ac:dyDescent="0.2">
      <c r="B2016" s="145"/>
      <c r="D2016" s="145"/>
      <c r="Z2016" s="177"/>
      <c r="AA2016" s="178"/>
      <c r="AB2016" s="139"/>
      <c r="AC2016" s="173"/>
      <c r="AD2016" s="177"/>
      <c r="AE2016" s="177"/>
      <c r="AF2016" s="139"/>
      <c r="AG2016" s="139"/>
      <c r="AH2016" s="177"/>
      <c r="AI2016" s="178"/>
      <c r="AJ2016" s="139"/>
      <c r="AK2016" s="173"/>
      <c r="AL2016" s="177"/>
      <c r="AM2016" s="178"/>
      <c r="AN2016" s="173"/>
      <c r="AO2016" s="173"/>
      <c r="AP2016" s="173"/>
      <c r="AQ2016" s="178"/>
      <c r="AR2016" s="173"/>
      <c r="AS2016" s="173"/>
      <c r="AT2016" s="140"/>
      <c r="AX2016" s="140"/>
      <c r="BB2016" s="173"/>
      <c r="BC2016" s="173"/>
    </row>
    <row r="2017" spans="2:55" s="134" customFormat="1" x14ac:dyDescent="0.2">
      <c r="B2017" s="145"/>
      <c r="D2017" s="145"/>
      <c r="Z2017" s="177"/>
      <c r="AA2017" s="178"/>
      <c r="AB2017" s="139"/>
      <c r="AC2017" s="173"/>
      <c r="AD2017" s="177"/>
      <c r="AE2017" s="177"/>
      <c r="AF2017" s="139"/>
      <c r="AG2017" s="139"/>
      <c r="AH2017" s="177"/>
      <c r="AI2017" s="178"/>
      <c r="AJ2017" s="139"/>
      <c r="AK2017" s="173"/>
      <c r="AL2017" s="177"/>
      <c r="AM2017" s="178"/>
      <c r="AN2017" s="173"/>
      <c r="AO2017" s="173"/>
      <c r="AP2017" s="173"/>
      <c r="AQ2017" s="178"/>
      <c r="AR2017" s="173"/>
      <c r="AS2017" s="173"/>
      <c r="AT2017" s="140"/>
      <c r="AX2017" s="140"/>
      <c r="BB2017" s="173"/>
      <c r="BC2017" s="173"/>
    </row>
    <row r="2018" spans="2:55" s="134" customFormat="1" x14ac:dyDescent="0.2">
      <c r="B2018" s="145"/>
      <c r="D2018" s="145"/>
      <c r="Z2018" s="177"/>
      <c r="AA2018" s="178"/>
      <c r="AB2018" s="139"/>
      <c r="AC2018" s="173"/>
      <c r="AD2018" s="177"/>
      <c r="AE2018" s="177"/>
      <c r="AF2018" s="139"/>
      <c r="AG2018" s="139"/>
      <c r="AH2018" s="177"/>
      <c r="AI2018" s="178"/>
      <c r="AJ2018" s="139"/>
      <c r="AK2018" s="173"/>
      <c r="AL2018" s="177"/>
      <c r="AM2018" s="178"/>
      <c r="AN2018" s="173"/>
      <c r="AO2018" s="173"/>
      <c r="AP2018" s="173"/>
      <c r="AQ2018" s="178"/>
      <c r="AR2018" s="173"/>
      <c r="AS2018" s="173"/>
      <c r="AT2018" s="140"/>
      <c r="AX2018" s="140"/>
      <c r="BB2018" s="173"/>
      <c r="BC2018" s="173"/>
    </row>
    <row r="2019" spans="2:55" s="134" customFormat="1" x14ac:dyDescent="0.2">
      <c r="B2019" s="145"/>
      <c r="D2019" s="145"/>
      <c r="Z2019" s="177"/>
      <c r="AA2019" s="178"/>
      <c r="AB2019" s="139"/>
      <c r="AC2019" s="173"/>
      <c r="AD2019" s="177"/>
      <c r="AE2019" s="177"/>
      <c r="AF2019" s="139"/>
      <c r="AG2019" s="139"/>
      <c r="AH2019" s="177"/>
      <c r="AI2019" s="178"/>
      <c r="AJ2019" s="139"/>
      <c r="AK2019" s="173"/>
      <c r="AL2019" s="177"/>
      <c r="AM2019" s="178"/>
      <c r="AN2019" s="173"/>
      <c r="AO2019" s="173"/>
      <c r="AP2019" s="173"/>
      <c r="AQ2019" s="178"/>
      <c r="AR2019" s="173"/>
      <c r="AS2019" s="173"/>
      <c r="AT2019" s="140"/>
      <c r="AX2019" s="140"/>
      <c r="BB2019" s="173"/>
      <c r="BC2019" s="173"/>
    </row>
    <row r="2020" spans="2:55" s="134" customFormat="1" x14ac:dyDescent="0.2">
      <c r="B2020" s="145"/>
      <c r="D2020" s="145"/>
      <c r="Z2020" s="177"/>
      <c r="AA2020" s="178"/>
      <c r="AB2020" s="139"/>
      <c r="AC2020" s="173"/>
      <c r="AD2020" s="177"/>
      <c r="AE2020" s="177"/>
      <c r="AF2020" s="139"/>
      <c r="AG2020" s="139"/>
      <c r="AH2020" s="177"/>
      <c r="AI2020" s="178"/>
      <c r="AJ2020" s="139"/>
      <c r="AK2020" s="173"/>
      <c r="AL2020" s="177"/>
      <c r="AM2020" s="178"/>
      <c r="AN2020" s="173"/>
      <c r="AO2020" s="173"/>
      <c r="AP2020" s="173"/>
      <c r="AQ2020" s="178"/>
      <c r="AR2020" s="173"/>
      <c r="AS2020" s="173"/>
      <c r="AT2020" s="140"/>
      <c r="AX2020" s="140"/>
      <c r="BB2020" s="173"/>
      <c r="BC2020" s="173"/>
    </row>
    <row r="2021" spans="2:55" s="134" customFormat="1" x14ac:dyDescent="0.2">
      <c r="B2021" s="145"/>
      <c r="D2021" s="145"/>
      <c r="Z2021" s="177"/>
      <c r="AA2021" s="178"/>
      <c r="AB2021" s="139"/>
      <c r="AC2021" s="173"/>
      <c r="AD2021" s="177"/>
      <c r="AE2021" s="177"/>
      <c r="AF2021" s="139"/>
      <c r="AG2021" s="139"/>
      <c r="AH2021" s="177"/>
      <c r="AI2021" s="178"/>
      <c r="AJ2021" s="139"/>
      <c r="AK2021" s="173"/>
      <c r="AL2021" s="177"/>
      <c r="AM2021" s="178"/>
      <c r="AN2021" s="173"/>
      <c r="AO2021" s="173"/>
      <c r="AP2021" s="173"/>
      <c r="AQ2021" s="178"/>
      <c r="AR2021" s="173"/>
      <c r="AS2021" s="173"/>
      <c r="AT2021" s="140"/>
      <c r="AX2021" s="140"/>
      <c r="BB2021" s="173"/>
      <c r="BC2021" s="173"/>
    </row>
    <row r="2022" spans="2:55" s="134" customFormat="1" x14ac:dyDescent="0.2">
      <c r="B2022" s="145"/>
      <c r="D2022" s="145"/>
      <c r="Z2022" s="177"/>
      <c r="AA2022" s="178"/>
      <c r="AB2022" s="139"/>
      <c r="AC2022" s="173"/>
      <c r="AD2022" s="177"/>
      <c r="AE2022" s="177"/>
      <c r="AF2022" s="139"/>
      <c r="AG2022" s="139"/>
      <c r="AH2022" s="177"/>
      <c r="AI2022" s="178"/>
      <c r="AJ2022" s="139"/>
      <c r="AK2022" s="173"/>
      <c r="AL2022" s="177"/>
      <c r="AM2022" s="178"/>
      <c r="AN2022" s="173"/>
      <c r="AO2022" s="173"/>
      <c r="AP2022" s="173"/>
      <c r="AQ2022" s="178"/>
      <c r="AR2022" s="173"/>
      <c r="AS2022" s="173"/>
      <c r="AT2022" s="140"/>
      <c r="AX2022" s="140"/>
      <c r="BB2022" s="173"/>
      <c r="BC2022" s="173"/>
    </row>
    <row r="2023" spans="2:55" s="134" customFormat="1" x14ac:dyDescent="0.2">
      <c r="B2023" s="145"/>
      <c r="D2023" s="145"/>
      <c r="Z2023" s="177"/>
      <c r="AA2023" s="178"/>
      <c r="AB2023" s="139"/>
      <c r="AC2023" s="173"/>
      <c r="AD2023" s="177"/>
      <c r="AE2023" s="177"/>
      <c r="AF2023" s="139"/>
      <c r="AG2023" s="139"/>
      <c r="AH2023" s="177"/>
      <c r="AI2023" s="178"/>
      <c r="AJ2023" s="139"/>
      <c r="AK2023" s="173"/>
      <c r="AL2023" s="177"/>
      <c r="AM2023" s="178"/>
      <c r="AN2023" s="173"/>
      <c r="AO2023" s="173"/>
      <c r="AP2023" s="173"/>
      <c r="AQ2023" s="178"/>
      <c r="AR2023" s="173"/>
      <c r="AS2023" s="173"/>
      <c r="AT2023" s="140"/>
      <c r="AX2023" s="140"/>
      <c r="BB2023" s="173"/>
      <c r="BC2023" s="173"/>
    </row>
    <row r="2024" spans="2:55" s="134" customFormat="1" x14ac:dyDescent="0.2">
      <c r="B2024" s="145"/>
      <c r="D2024" s="145"/>
      <c r="Z2024" s="177"/>
      <c r="AA2024" s="178"/>
      <c r="AB2024" s="139"/>
      <c r="AC2024" s="173"/>
      <c r="AD2024" s="177"/>
      <c r="AE2024" s="177"/>
      <c r="AF2024" s="139"/>
      <c r="AG2024" s="139"/>
      <c r="AH2024" s="177"/>
      <c r="AI2024" s="178"/>
      <c r="AJ2024" s="139"/>
      <c r="AK2024" s="173"/>
      <c r="AL2024" s="177"/>
      <c r="AM2024" s="178"/>
      <c r="AN2024" s="173"/>
      <c r="AO2024" s="173"/>
      <c r="AP2024" s="173"/>
      <c r="AQ2024" s="178"/>
      <c r="AR2024" s="173"/>
      <c r="AS2024" s="173"/>
      <c r="AT2024" s="140"/>
      <c r="AX2024" s="140"/>
      <c r="BB2024" s="173"/>
      <c r="BC2024" s="173"/>
    </row>
    <row r="2025" spans="2:55" s="134" customFormat="1" x14ac:dyDescent="0.2">
      <c r="B2025" s="145"/>
      <c r="D2025" s="145"/>
      <c r="Z2025" s="177"/>
      <c r="AA2025" s="178"/>
      <c r="AB2025" s="139"/>
      <c r="AC2025" s="173"/>
      <c r="AD2025" s="177"/>
      <c r="AE2025" s="177"/>
      <c r="AF2025" s="139"/>
      <c r="AG2025" s="139"/>
      <c r="AH2025" s="177"/>
      <c r="AI2025" s="178"/>
      <c r="AJ2025" s="139"/>
      <c r="AK2025" s="173"/>
      <c r="AL2025" s="177"/>
      <c r="AM2025" s="178"/>
      <c r="AN2025" s="173"/>
      <c r="AO2025" s="173"/>
      <c r="AP2025" s="173"/>
      <c r="AQ2025" s="178"/>
      <c r="AR2025" s="173"/>
      <c r="AS2025" s="173"/>
      <c r="AT2025" s="140"/>
      <c r="AX2025" s="140"/>
      <c r="BB2025" s="173"/>
      <c r="BC2025" s="173"/>
    </row>
    <row r="2026" spans="2:55" s="134" customFormat="1" x14ac:dyDescent="0.2">
      <c r="B2026" s="145"/>
      <c r="D2026" s="145"/>
      <c r="Z2026" s="177"/>
      <c r="AA2026" s="178"/>
      <c r="AB2026" s="139"/>
      <c r="AC2026" s="173"/>
      <c r="AD2026" s="177"/>
      <c r="AE2026" s="177"/>
      <c r="AF2026" s="139"/>
      <c r="AG2026" s="139"/>
      <c r="AH2026" s="177"/>
      <c r="AI2026" s="178"/>
      <c r="AJ2026" s="139"/>
      <c r="AK2026" s="173"/>
      <c r="AL2026" s="177"/>
      <c r="AM2026" s="178"/>
      <c r="AN2026" s="173"/>
      <c r="AO2026" s="173"/>
      <c r="AP2026" s="173"/>
      <c r="AQ2026" s="178"/>
      <c r="AR2026" s="173"/>
      <c r="AS2026" s="173"/>
      <c r="AT2026" s="140"/>
      <c r="AX2026" s="140"/>
      <c r="BB2026" s="173"/>
      <c r="BC2026" s="173"/>
    </row>
    <row r="2027" spans="2:55" s="134" customFormat="1" x14ac:dyDescent="0.2">
      <c r="B2027" s="145"/>
      <c r="D2027" s="145"/>
      <c r="Z2027" s="177"/>
      <c r="AA2027" s="178"/>
      <c r="AB2027" s="139"/>
      <c r="AC2027" s="173"/>
      <c r="AD2027" s="177"/>
      <c r="AE2027" s="177"/>
      <c r="AF2027" s="139"/>
      <c r="AG2027" s="139"/>
      <c r="AH2027" s="177"/>
      <c r="AI2027" s="178"/>
      <c r="AJ2027" s="139"/>
      <c r="AK2027" s="173"/>
      <c r="AL2027" s="177"/>
      <c r="AM2027" s="178"/>
      <c r="AN2027" s="173"/>
      <c r="AO2027" s="173"/>
      <c r="AP2027" s="173"/>
      <c r="AQ2027" s="178"/>
      <c r="AR2027" s="173"/>
      <c r="AS2027" s="173"/>
      <c r="AT2027" s="140"/>
      <c r="AX2027" s="140"/>
      <c r="BB2027" s="173"/>
      <c r="BC2027" s="173"/>
    </row>
    <row r="2028" spans="2:55" s="134" customFormat="1" x14ac:dyDescent="0.2">
      <c r="B2028" s="145"/>
      <c r="D2028" s="145"/>
      <c r="Z2028" s="177"/>
      <c r="AA2028" s="178"/>
      <c r="AB2028" s="139"/>
      <c r="AC2028" s="173"/>
      <c r="AD2028" s="177"/>
      <c r="AE2028" s="177"/>
      <c r="AF2028" s="139"/>
      <c r="AG2028" s="139"/>
      <c r="AH2028" s="177"/>
      <c r="AI2028" s="178"/>
      <c r="AJ2028" s="139"/>
      <c r="AK2028" s="173"/>
      <c r="AL2028" s="177"/>
      <c r="AM2028" s="178"/>
      <c r="AN2028" s="173"/>
      <c r="AO2028" s="173"/>
      <c r="AP2028" s="173"/>
      <c r="AQ2028" s="178"/>
      <c r="AR2028" s="173"/>
      <c r="AS2028" s="173"/>
      <c r="AT2028" s="140"/>
      <c r="AX2028" s="140"/>
      <c r="BB2028" s="173"/>
      <c r="BC2028" s="173"/>
    </row>
    <row r="2029" spans="2:55" s="134" customFormat="1" x14ac:dyDescent="0.2">
      <c r="B2029" s="145"/>
      <c r="D2029" s="145"/>
      <c r="Z2029" s="177"/>
      <c r="AA2029" s="178"/>
      <c r="AB2029" s="139"/>
      <c r="AC2029" s="173"/>
      <c r="AD2029" s="177"/>
      <c r="AE2029" s="177"/>
      <c r="AF2029" s="139"/>
      <c r="AG2029" s="139"/>
      <c r="AH2029" s="177"/>
      <c r="AI2029" s="178"/>
      <c r="AJ2029" s="139"/>
      <c r="AK2029" s="173"/>
      <c r="AL2029" s="177"/>
      <c r="AM2029" s="178"/>
      <c r="AN2029" s="173"/>
      <c r="AO2029" s="173"/>
      <c r="AP2029" s="173"/>
      <c r="AQ2029" s="178"/>
      <c r="AR2029" s="173"/>
      <c r="AS2029" s="173"/>
      <c r="AT2029" s="140"/>
      <c r="AX2029" s="140"/>
      <c r="BB2029" s="173"/>
      <c r="BC2029" s="173"/>
    </row>
    <row r="2030" spans="2:55" s="134" customFormat="1" x14ac:dyDescent="0.2">
      <c r="B2030" s="145"/>
      <c r="D2030" s="145"/>
      <c r="Z2030" s="177"/>
      <c r="AA2030" s="178"/>
      <c r="AB2030" s="139"/>
      <c r="AC2030" s="173"/>
      <c r="AD2030" s="177"/>
      <c r="AE2030" s="177"/>
      <c r="AF2030" s="139"/>
      <c r="AG2030" s="139"/>
      <c r="AH2030" s="177"/>
      <c r="AI2030" s="178"/>
      <c r="AJ2030" s="139"/>
      <c r="AK2030" s="173"/>
      <c r="AL2030" s="177"/>
      <c r="AM2030" s="178"/>
      <c r="AN2030" s="173"/>
      <c r="AO2030" s="173"/>
      <c r="AP2030" s="173"/>
      <c r="AQ2030" s="178"/>
      <c r="AR2030" s="173"/>
      <c r="AS2030" s="173"/>
      <c r="AT2030" s="140"/>
      <c r="AX2030" s="140"/>
      <c r="BB2030" s="173"/>
      <c r="BC2030" s="173"/>
    </row>
    <row r="2031" spans="2:55" s="134" customFormat="1" x14ac:dyDescent="0.2">
      <c r="B2031" s="145"/>
      <c r="D2031" s="145"/>
      <c r="Z2031" s="177"/>
      <c r="AA2031" s="178"/>
      <c r="AB2031" s="139"/>
      <c r="AC2031" s="173"/>
      <c r="AD2031" s="177"/>
      <c r="AE2031" s="177"/>
      <c r="AF2031" s="139"/>
      <c r="AG2031" s="139"/>
      <c r="AH2031" s="177"/>
      <c r="AI2031" s="178"/>
      <c r="AJ2031" s="139"/>
      <c r="AK2031" s="173"/>
      <c r="AL2031" s="177"/>
      <c r="AM2031" s="178"/>
      <c r="AN2031" s="173"/>
      <c r="AO2031" s="173"/>
      <c r="AP2031" s="173"/>
      <c r="AQ2031" s="178"/>
      <c r="AR2031" s="173"/>
      <c r="AS2031" s="173"/>
      <c r="AT2031" s="140"/>
      <c r="AX2031" s="140"/>
      <c r="BB2031" s="173"/>
      <c r="BC2031" s="173"/>
    </row>
    <row r="2032" spans="2:55" s="134" customFormat="1" x14ac:dyDescent="0.2">
      <c r="B2032" s="145"/>
      <c r="D2032" s="145"/>
      <c r="Z2032" s="177"/>
      <c r="AA2032" s="178"/>
      <c r="AB2032" s="139"/>
      <c r="AC2032" s="173"/>
      <c r="AD2032" s="177"/>
      <c r="AE2032" s="177"/>
      <c r="AF2032" s="139"/>
      <c r="AG2032" s="139"/>
      <c r="AH2032" s="177"/>
      <c r="AI2032" s="178"/>
      <c r="AJ2032" s="139"/>
      <c r="AK2032" s="173"/>
      <c r="AL2032" s="177"/>
      <c r="AM2032" s="178"/>
      <c r="AN2032" s="173"/>
      <c r="AO2032" s="173"/>
      <c r="AP2032" s="173"/>
      <c r="AQ2032" s="178"/>
      <c r="AR2032" s="173"/>
      <c r="AS2032" s="173"/>
      <c r="AT2032" s="140"/>
      <c r="AX2032" s="140"/>
      <c r="BB2032" s="173"/>
      <c r="BC2032" s="173"/>
    </row>
    <row r="2033" spans="2:55" s="134" customFormat="1" x14ac:dyDescent="0.2">
      <c r="B2033" s="145"/>
      <c r="D2033" s="145"/>
      <c r="Z2033" s="177"/>
      <c r="AA2033" s="178"/>
      <c r="AB2033" s="139"/>
      <c r="AC2033" s="173"/>
      <c r="AD2033" s="177"/>
      <c r="AE2033" s="177"/>
      <c r="AF2033" s="139"/>
      <c r="AG2033" s="139"/>
      <c r="AH2033" s="177"/>
      <c r="AI2033" s="178"/>
      <c r="AJ2033" s="139"/>
      <c r="AK2033" s="173"/>
      <c r="AL2033" s="177"/>
      <c r="AM2033" s="178"/>
      <c r="AN2033" s="173"/>
      <c r="AO2033" s="173"/>
      <c r="AP2033" s="173"/>
      <c r="AQ2033" s="178"/>
      <c r="AR2033" s="173"/>
      <c r="AS2033" s="173"/>
      <c r="AT2033" s="140"/>
      <c r="AX2033" s="140"/>
      <c r="BB2033" s="173"/>
      <c r="BC2033" s="173"/>
    </row>
    <row r="2034" spans="2:55" s="134" customFormat="1" x14ac:dyDescent="0.2">
      <c r="B2034" s="145"/>
      <c r="D2034" s="145"/>
      <c r="Z2034" s="177"/>
      <c r="AA2034" s="178"/>
      <c r="AB2034" s="139"/>
      <c r="AC2034" s="173"/>
      <c r="AD2034" s="177"/>
      <c r="AE2034" s="177"/>
      <c r="AF2034" s="139"/>
      <c r="AG2034" s="139"/>
      <c r="AH2034" s="177"/>
      <c r="AI2034" s="178"/>
      <c r="AJ2034" s="139"/>
      <c r="AK2034" s="173"/>
      <c r="AL2034" s="177"/>
      <c r="AM2034" s="178"/>
      <c r="AN2034" s="173"/>
      <c r="AO2034" s="173"/>
      <c r="AP2034" s="173"/>
      <c r="AQ2034" s="178"/>
      <c r="AR2034" s="173"/>
      <c r="AS2034" s="173"/>
      <c r="AT2034" s="140"/>
      <c r="AX2034" s="140"/>
      <c r="BB2034" s="173"/>
      <c r="BC2034" s="173"/>
    </row>
    <row r="2035" spans="2:55" s="134" customFormat="1" x14ac:dyDescent="0.2">
      <c r="B2035" s="145"/>
      <c r="D2035" s="145"/>
      <c r="Z2035" s="177"/>
      <c r="AA2035" s="178"/>
      <c r="AB2035" s="139"/>
      <c r="AC2035" s="173"/>
      <c r="AD2035" s="177"/>
      <c r="AE2035" s="177"/>
      <c r="AF2035" s="139"/>
      <c r="AG2035" s="139"/>
      <c r="AH2035" s="177"/>
      <c r="AI2035" s="178"/>
      <c r="AJ2035" s="139"/>
      <c r="AK2035" s="173"/>
      <c r="AL2035" s="177"/>
      <c r="AM2035" s="178"/>
      <c r="AN2035" s="173"/>
      <c r="AO2035" s="173"/>
      <c r="AP2035" s="173"/>
      <c r="AQ2035" s="178"/>
      <c r="AR2035" s="173"/>
      <c r="AS2035" s="173"/>
      <c r="AT2035" s="140"/>
      <c r="AX2035" s="140"/>
      <c r="BB2035" s="173"/>
      <c r="BC2035" s="173"/>
    </row>
    <row r="2036" spans="2:55" s="134" customFormat="1" x14ac:dyDescent="0.2">
      <c r="B2036" s="145"/>
      <c r="D2036" s="145"/>
      <c r="Z2036" s="177"/>
      <c r="AA2036" s="178"/>
      <c r="AB2036" s="139"/>
      <c r="AC2036" s="173"/>
      <c r="AD2036" s="177"/>
      <c r="AE2036" s="177"/>
      <c r="AF2036" s="139"/>
      <c r="AG2036" s="139"/>
      <c r="AH2036" s="177"/>
      <c r="AI2036" s="178"/>
      <c r="AJ2036" s="139"/>
      <c r="AK2036" s="173"/>
      <c r="AL2036" s="177"/>
      <c r="AM2036" s="178"/>
      <c r="AN2036" s="173"/>
      <c r="AO2036" s="173"/>
      <c r="AP2036" s="173"/>
      <c r="AQ2036" s="178"/>
      <c r="AR2036" s="173"/>
      <c r="AS2036" s="173"/>
      <c r="AT2036" s="140"/>
      <c r="AX2036" s="140"/>
      <c r="BB2036" s="173"/>
      <c r="BC2036" s="173"/>
    </row>
    <row r="2037" spans="2:55" s="134" customFormat="1" x14ac:dyDescent="0.2">
      <c r="B2037" s="145"/>
      <c r="D2037" s="145"/>
      <c r="Z2037" s="177"/>
      <c r="AA2037" s="178"/>
      <c r="AB2037" s="139"/>
      <c r="AC2037" s="173"/>
      <c r="AD2037" s="177"/>
      <c r="AE2037" s="177"/>
      <c r="AF2037" s="139"/>
      <c r="AG2037" s="139"/>
      <c r="AH2037" s="177"/>
      <c r="AI2037" s="178"/>
      <c r="AJ2037" s="139"/>
      <c r="AK2037" s="173"/>
      <c r="AL2037" s="177"/>
      <c r="AM2037" s="178"/>
      <c r="AN2037" s="173"/>
      <c r="AO2037" s="173"/>
      <c r="AP2037" s="173"/>
      <c r="AQ2037" s="178"/>
      <c r="AR2037" s="173"/>
      <c r="AS2037" s="173"/>
      <c r="AT2037" s="140"/>
      <c r="AX2037" s="140"/>
      <c r="BB2037" s="173"/>
      <c r="BC2037" s="173"/>
    </row>
    <row r="2038" spans="2:55" s="134" customFormat="1" x14ac:dyDescent="0.2">
      <c r="B2038" s="145"/>
      <c r="D2038" s="145"/>
      <c r="Z2038" s="177"/>
      <c r="AA2038" s="178"/>
      <c r="AB2038" s="139"/>
      <c r="AC2038" s="173"/>
      <c r="AD2038" s="177"/>
      <c r="AE2038" s="177"/>
      <c r="AF2038" s="139"/>
      <c r="AG2038" s="139"/>
      <c r="AH2038" s="177"/>
      <c r="AI2038" s="178"/>
      <c r="AJ2038" s="139"/>
      <c r="AK2038" s="173"/>
      <c r="AL2038" s="177"/>
      <c r="AM2038" s="178"/>
      <c r="AN2038" s="173"/>
      <c r="AO2038" s="173"/>
      <c r="AP2038" s="173"/>
      <c r="AQ2038" s="178"/>
      <c r="AR2038" s="173"/>
      <c r="AS2038" s="173"/>
      <c r="AT2038" s="140"/>
      <c r="AX2038" s="140"/>
      <c r="BB2038" s="173"/>
      <c r="BC2038" s="173"/>
    </row>
    <row r="2039" spans="2:55" s="134" customFormat="1" x14ac:dyDescent="0.2">
      <c r="B2039" s="145"/>
      <c r="D2039" s="145"/>
      <c r="Z2039" s="177"/>
      <c r="AA2039" s="178"/>
      <c r="AB2039" s="139"/>
      <c r="AC2039" s="173"/>
      <c r="AD2039" s="177"/>
      <c r="AE2039" s="177"/>
      <c r="AF2039" s="139"/>
      <c r="AG2039" s="139"/>
      <c r="AH2039" s="177"/>
      <c r="AI2039" s="178"/>
      <c r="AJ2039" s="139"/>
      <c r="AK2039" s="173"/>
      <c r="AL2039" s="177"/>
      <c r="AM2039" s="178"/>
      <c r="AN2039" s="173"/>
      <c r="AO2039" s="173"/>
      <c r="AP2039" s="173"/>
      <c r="AQ2039" s="178"/>
      <c r="AR2039" s="173"/>
      <c r="AS2039" s="173"/>
      <c r="AT2039" s="140"/>
      <c r="AX2039" s="140"/>
      <c r="BB2039" s="173"/>
      <c r="BC2039" s="173"/>
    </row>
    <row r="2040" spans="2:55" s="134" customFormat="1" x14ac:dyDescent="0.2">
      <c r="B2040" s="145"/>
      <c r="D2040" s="145"/>
      <c r="Z2040" s="177"/>
      <c r="AA2040" s="178"/>
      <c r="AB2040" s="139"/>
      <c r="AC2040" s="173"/>
      <c r="AD2040" s="177"/>
      <c r="AE2040" s="177"/>
      <c r="AF2040" s="139"/>
      <c r="AG2040" s="139"/>
      <c r="AH2040" s="177"/>
      <c r="AI2040" s="178"/>
      <c r="AJ2040" s="139"/>
      <c r="AK2040" s="173"/>
      <c r="AL2040" s="177"/>
      <c r="AM2040" s="178"/>
      <c r="AN2040" s="173"/>
      <c r="AO2040" s="173"/>
      <c r="AP2040" s="173"/>
      <c r="AQ2040" s="178"/>
      <c r="AR2040" s="173"/>
      <c r="AS2040" s="173"/>
      <c r="AT2040" s="140"/>
      <c r="AX2040" s="140"/>
      <c r="BB2040" s="173"/>
      <c r="BC2040" s="173"/>
    </row>
    <row r="2041" spans="2:55" s="134" customFormat="1" x14ac:dyDescent="0.2">
      <c r="B2041" s="145"/>
      <c r="D2041" s="145"/>
      <c r="Z2041" s="177"/>
      <c r="AA2041" s="178"/>
      <c r="AB2041" s="139"/>
      <c r="AC2041" s="173"/>
      <c r="AD2041" s="177"/>
      <c r="AE2041" s="177"/>
      <c r="AF2041" s="139"/>
      <c r="AG2041" s="139"/>
      <c r="AH2041" s="177"/>
      <c r="AI2041" s="178"/>
      <c r="AJ2041" s="139"/>
      <c r="AK2041" s="173"/>
      <c r="AL2041" s="177"/>
      <c r="AM2041" s="178"/>
      <c r="AN2041" s="173"/>
      <c r="AO2041" s="173"/>
      <c r="AP2041" s="173"/>
      <c r="AQ2041" s="178"/>
      <c r="AR2041" s="173"/>
      <c r="AS2041" s="173"/>
      <c r="AT2041" s="140"/>
      <c r="AX2041" s="140"/>
      <c r="BB2041" s="173"/>
      <c r="BC2041" s="173"/>
    </row>
    <row r="2042" spans="2:55" s="134" customFormat="1" x14ac:dyDescent="0.2">
      <c r="B2042" s="145"/>
      <c r="D2042" s="145"/>
      <c r="Z2042" s="177"/>
      <c r="AA2042" s="178"/>
      <c r="AB2042" s="139"/>
      <c r="AC2042" s="173"/>
      <c r="AD2042" s="177"/>
      <c r="AE2042" s="177"/>
      <c r="AF2042" s="139"/>
      <c r="AG2042" s="139"/>
      <c r="AH2042" s="177"/>
      <c r="AI2042" s="178"/>
      <c r="AJ2042" s="139"/>
      <c r="AK2042" s="173"/>
      <c r="AL2042" s="177"/>
      <c r="AM2042" s="178"/>
      <c r="AN2042" s="173"/>
      <c r="AO2042" s="173"/>
      <c r="AP2042" s="173"/>
      <c r="AQ2042" s="178"/>
      <c r="AR2042" s="173"/>
      <c r="AS2042" s="173"/>
      <c r="AT2042" s="140"/>
      <c r="AX2042" s="140"/>
      <c r="BB2042" s="173"/>
      <c r="BC2042" s="173"/>
    </row>
    <row r="2043" spans="2:55" s="134" customFormat="1" x14ac:dyDescent="0.2">
      <c r="B2043" s="145"/>
      <c r="D2043" s="145"/>
      <c r="Z2043" s="177"/>
      <c r="AA2043" s="178"/>
      <c r="AB2043" s="139"/>
      <c r="AC2043" s="173"/>
      <c r="AD2043" s="177"/>
      <c r="AE2043" s="177"/>
      <c r="AF2043" s="139"/>
      <c r="AG2043" s="139"/>
      <c r="AH2043" s="177"/>
      <c r="AI2043" s="178"/>
      <c r="AJ2043" s="139"/>
      <c r="AK2043" s="173"/>
      <c r="AL2043" s="177"/>
      <c r="AM2043" s="178"/>
      <c r="AN2043" s="173"/>
      <c r="AO2043" s="173"/>
      <c r="AP2043" s="173"/>
      <c r="AQ2043" s="178"/>
      <c r="AR2043" s="173"/>
      <c r="AS2043" s="173"/>
      <c r="AT2043" s="140"/>
      <c r="AX2043" s="140"/>
      <c r="BB2043" s="173"/>
      <c r="BC2043" s="173"/>
    </row>
    <row r="2044" spans="2:55" s="134" customFormat="1" x14ac:dyDescent="0.2">
      <c r="B2044" s="145"/>
      <c r="D2044" s="145"/>
      <c r="Z2044" s="177"/>
      <c r="AA2044" s="178"/>
      <c r="AB2044" s="139"/>
      <c r="AC2044" s="173"/>
      <c r="AD2044" s="177"/>
      <c r="AE2044" s="177"/>
      <c r="AF2044" s="139"/>
      <c r="AG2044" s="139"/>
      <c r="AH2044" s="177"/>
      <c r="AI2044" s="178"/>
      <c r="AJ2044" s="139"/>
      <c r="AK2044" s="173"/>
      <c r="AL2044" s="177"/>
      <c r="AM2044" s="178"/>
      <c r="AN2044" s="173"/>
      <c r="AO2044" s="173"/>
      <c r="AP2044" s="173"/>
      <c r="AQ2044" s="178"/>
      <c r="AR2044" s="173"/>
      <c r="AS2044" s="173"/>
      <c r="AT2044" s="140"/>
      <c r="AX2044" s="140"/>
      <c r="BB2044" s="173"/>
      <c r="BC2044" s="173"/>
    </row>
    <row r="2045" spans="2:55" s="134" customFormat="1" x14ac:dyDescent="0.2">
      <c r="B2045" s="145"/>
      <c r="D2045" s="145"/>
      <c r="Z2045" s="177"/>
      <c r="AA2045" s="178"/>
      <c r="AB2045" s="139"/>
      <c r="AC2045" s="173"/>
      <c r="AD2045" s="177"/>
      <c r="AE2045" s="177"/>
      <c r="AF2045" s="139"/>
      <c r="AG2045" s="139"/>
      <c r="AH2045" s="177"/>
      <c r="AI2045" s="178"/>
      <c r="AJ2045" s="139"/>
      <c r="AK2045" s="173"/>
      <c r="AL2045" s="177"/>
      <c r="AM2045" s="178"/>
      <c r="AN2045" s="173"/>
      <c r="AO2045" s="173"/>
      <c r="AP2045" s="173"/>
      <c r="AQ2045" s="178"/>
      <c r="AR2045" s="173"/>
      <c r="AS2045" s="173"/>
      <c r="AT2045" s="140"/>
      <c r="AX2045" s="140"/>
      <c r="BB2045" s="173"/>
      <c r="BC2045" s="173"/>
    </row>
    <row r="2046" spans="2:55" s="134" customFormat="1" x14ac:dyDescent="0.2">
      <c r="B2046" s="145"/>
      <c r="D2046" s="145"/>
      <c r="Z2046" s="177"/>
      <c r="AA2046" s="178"/>
      <c r="AB2046" s="139"/>
      <c r="AC2046" s="173"/>
      <c r="AD2046" s="177"/>
      <c r="AE2046" s="177"/>
      <c r="AF2046" s="139"/>
      <c r="AG2046" s="139"/>
      <c r="AH2046" s="177"/>
      <c r="AI2046" s="178"/>
      <c r="AJ2046" s="139"/>
      <c r="AK2046" s="173"/>
      <c r="AL2046" s="177"/>
      <c r="AM2046" s="178"/>
      <c r="AN2046" s="173"/>
      <c r="AO2046" s="173"/>
      <c r="AP2046" s="173"/>
      <c r="AQ2046" s="178"/>
      <c r="AR2046" s="173"/>
      <c r="AS2046" s="173"/>
      <c r="AT2046" s="140"/>
      <c r="AX2046" s="140"/>
      <c r="BB2046" s="173"/>
      <c r="BC2046" s="173"/>
    </row>
    <row r="2047" spans="2:55" s="134" customFormat="1" x14ac:dyDescent="0.2">
      <c r="B2047" s="145"/>
      <c r="D2047" s="145"/>
      <c r="Z2047" s="177"/>
      <c r="AA2047" s="178"/>
      <c r="AB2047" s="139"/>
      <c r="AC2047" s="173"/>
      <c r="AD2047" s="177"/>
      <c r="AE2047" s="177"/>
      <c r="AF2047" s="139"/>
      <c r="AG2047" s="139"/>
      <c r="AH2047" s="177"/>
      <c r="AI2047" s="178"/>
      <c r="AJ2047" s="139"/>
      <c r="AK2047" s="173"/>
      <c r="AL2047" s="177"/>
      <c r="AM2047" s="178"/>
      <c r="AN2047" s="173"/>
      <c r="AO2047" s="173"/>
      <c r="AP2047" s="173"/>
      <c r="AQ2047" s="178"/>
      <c r="AR2047" s="173"/>
      <c r="AS2047" s="173"/>
      <c r="AT2047" s="140"/>
      <c r="AX2047" s="140"/>
      <c r="BB2047" s="173"/>
      <c r="BC2047" s="173"/>
    </row>
    <row r="2048" spans="2:55" s="134" customFormat="1" x14ac:dyDescent="0.2">
      <c r="B2048" s="145"/>
      <c r="D2048" s="145"/>
      <c r="Z2048" s="177"/>
      <c r="AA2048" s="178"/>
      <c r="AB2048" s="139"/>
      <c r="AC2048" s="173"/>
      <c r="AD2048" s="177"/>
      <c r="AE2048" s="177"/>
      <c r="AF2048" s="139"/>
      <c r="AG2048" s="139"/>
      <c r="AH2048" s="177"/>
      <c r="AI2048" s="178"/>
      <c r="AJ2048" s="139"/>
      <c r="AK2048" s="173"/>
      <c r="AL2048" s="177"/>
      <c r="AM2048" s="178"/>
      <c r="AN2048" s="173"/>
      <c r="AO2048" s="173"/>
      <c r="AP2048" s="173"/>
      <c r="AQ2048" s="178"/>
      <c r="AR2048" s="173"/>
      <c r="AS2048" s="173"/>
      <c r="AT2048" s="140"/>
      <c r="AX2048" s="140"/>
      <c r="BB2048" s="173"/>
      <c r="BC2048" s="173"/>
    </row>
    <row r="2049" spans="2:55" s="134" customFormat="1" x14ac:dyDescent="0.2">
      <c r="B2049" s="145"/>
      <c r="D2049" s="145"/>
      <c r="Z2049" s="177"/>
      <c r="AA2049" s="178"/>
      <c r="AB2049" s="139"/>
      <c r="AC2049" s="173"/>
      <c r="AD2049" s="177"/>
      <c r="AE2049" s="177"/>
      <c r="AF2049" s="139"/>
      <c r="AG2049" s="139"/>
      <c r="AH2049" s="177"/>
      <c r="AI2049" s="178"/>
      <c r="AJ2049" s="139"/>
      <c r="AK2049" s="173"/>
      <c r="AL2049" s="177"/>
      <c r="AM2049" s="178"/>
      <c r="AN2049" s="173"/>
      <c r="AO2049" s="173"/>
      <c r="AP2049" s="173"/>
      <c r="AQ2049" s="178"/>
      <c r="AR2049" s="173"/>
      <c r="AS2049" s="173"/>
      <c r="AT2049" s="140"/>
      <c r="AX2049" s="140"/>
      <c r="BB2049" s="173"/>
      <c r="BC2049" s="173"/>
    </row>
    <row r="2050" spans="2:55" s="134" customFormat="1" x14ac:dyDescent="0.2">
      <c r="B2050" s="145"/>
      <c r="D2050" s="145"/>
      <c r="Z2050" s="177"/>
      <c r="AA2050" s="178"/>
      <c r="AB2050" s="139"/>
      <c r="AC2050" s="173"/>
      <c r="AD2050" s="177"/>
      <c r="AE2050" s="177"/>
      <c r="AF2050" s="139"/>
      <c r="AG2050" s="139"/>
      <c r="AH2050" s="177"/>
      <c r="AI2050" s="178"/>
      <c r="AJ2050" s="139"/>
      <c r="AK2050" s="173"/>
      <c r="AL2050" s="177"/>
      <c r="AM2050" s="178"/>
      <c r="AN2050" s="173"/>
      <c r="AO2050" s="173"/>
      <c r="AP2050" s="173"/>
      <c r="AQ2050" s="178"/>
      <c r="AR2050" s="173"/>
      <c r="AS2050" s="173"/>
      <c r="AT2050" s="140"/>
      <c r="AX2050" s="140"/>
      <c r="BB2050" s="173"/>
      <c r="BC2050" s="173"/>
    </row>
    <row r="2051" spans="2:55" s="134" customFormat="1" x14ac:dyDescent="0.2">
      <c r="B2051" s="145"/>
      <c r="D2051" s="145"/>
      <c r="Z2051" s="177"/>
      <c r="AA2051" s="178"/>
      <c r="AB2051" s="139"/>
      <c r="AC2051" s="173"/>
      <c r="AD2051" s="177"/>
      <c r="AE2051" s="177"/>
      <c r="AF2051" s="139"/>
      <c r="AG2051" s="139"/>
      <c r="AH2051" s="177"/>
      <c r="AI2051" s="178"/>
      <c r="AJ2051" s="139"/>
      <c r="AK2051" s="173"/>
      <c r="AL2051" s="177"/>
      <c r="AM2051" s="178"/>
      <c r="AN2051" s="173"/>
      <c r="AO2051" s="173"/>
      <c r="AP2051" s="173"/>
      <c r="AQ2051" s="178"/>
      <c r="AR2051" s="173"/>
      <c r="AS2051" s="173"/>
      <c r="AT2051" s="140"/>
      <c r="AX2051" s="140"/>
      <c r="BB2051" s="173"/>
      <c r="BC2051" s="173"/>
    </row>
    <row r="2052" spans="2:55" s="134" customFormat="1" x14ac:dyDescent="0.2">
      <c r="B2052" s="145"/>
      <c r="D2052" s="145"/>
      <c r="Z2052" s="177"/>
      <c r="AA2052" s="178"/>
      <c r="AB2052" s="139"/>
      <c r="AC2052" s="173"/>
      <c r="AD2052" s="177"/>
      <c r="AE2052" s="177"/>
      <c r="AF2052" s="139"/>
      <c r="AG2052" s="139"/>
      <c r="AH2052" s="177"/>
      <c r="AI2052" s="178"/>
      <c r="AJ2052" s="139"/>
      <c r="AK2052" s="173"/>
      <c r="AL2052" s="177"/>
      <c r="AM2052" s="178"/>
      <c r="AN2052" s="173"/>
      <c r="AO2052" s="173"/>
      <c r="AP2052" s="173"/>
      <c r="AQ2052" s="178"/>
      <c r="AR2052" s="173"/>
      <c r="AS2052" s="173"/>
      <c r="AT2052" s="140"/>
      <c r="AX2052" s="140"/>
      <c r="BB2052" s="173"/>
      <c r="BC2052" s="173"/>
    </row>
    <row r="2053" spans="2:55" s="134" customFormat="1" x14ac:dyDescent="0.2">
      <c r="B2053" s="145"/>
      <c r="D2053" s="145"/>
      <c r="Z2053" s="177"/>
      <c r="AA2053" s="178"/>
      <c r="AB2053" s="139"/>
      <c r="AC2053" s="173"/>
      <c r="AD2053" s="177"/>
      <c r="AE2053" s="177"/>
      <c r="AF2053" s="139"/>
      <c r="AG2053" s="139"/>
      <c r="AH2053" s="177"/>
      <c r="AI2053" s="178"/>
      <c r="AJ2053" s="139"/>
      <c r="AK2053" s="173"/>
      <c r="AL2053" s="177"/>
      <c r="AM2053" s="178"/>
      <c r="AN2053" s="173"/>
      <c r="AO2053" s="173"/>
      <c r="AP2053" s="173"/>
      <c r="AQ2053" s="178"/>
      <c r="AR2053" s="173"/>
      <c r="AS2053" s="173"/>
      <c r="AT2053" s="140"/>
      <c r="AX2053" s="140"/>
      <c r="BB2053" s="173"/>
      <c r="BC2053" s="173"/>
    </row>
    <row r="2054" spans="2:55" s="134" customFormat="1" x14ac:dyDescent="0.2">
      <c r="B2054" s="145"/>
      <c r="D2054" s="145"/>
      <c r="Z2054" s="177"/>
      <c r="AA2054" s="178"/>
      <c r="AB2054" s="139"/>
      <c r="AC2054" s="173"/>
      <c r="AD2054" s="177"/>
      <c r="AE2054" s="177"/>
      <c r="AF2054" s="139"/>
      <c r="AG2054" s="139"/>
      <c r="AH2054" s="177"/>
      <c r="AI2054" s="178"/>
      <c r="AJ2054" s="139"/>
      <c r="AK2054" s="173"/>
      <c r="AL2054" s="177"/>
      <c r="AM2054" s="178"/>
      <c r="AN2054" s="173"/>
      <c r="AO2054" s="173"/>
      <c r="AP2054" s="173"/>
      <c r="AQ2054" s="178"/>
      <c r="AR2054" s="173"/>
      <c r="AS2054" s="173"/>
      <c r="AT2054" s="140"/>
      <c r="AX2054" s="140"/>
      <c r="BB2054" s="173"/>
      <c r="BC2054" s="173"/>
    </row>
    <row r="2055" spans="2:55" s="134" customFormat="1" x14ac:dyDescent="0.2">
      <c r="B2055" s="145"/>
      <c r="D2055" s="145"/>
      <c r="Z2055" s="177"/>
      <c r="AA2055" s="178"/>
      <c r="AB2055" s="139"/>
      <c r="AC2055" s="173"/>
      <c r="AD2055" s="177"/>
      <c r="AE2055" s="177"/>
      <c r="AF2055" s="139"/>
      <c r="AG2055" s="139"/>
      <c r="AH2055" s="177"/>
      <c r="AI2055" s="178"/>
      <c r="AJ2055" s="139"/>
      <c r="AK2055" s="173"/>
      <c r="AL2055" s="177"/>
      <c r="AM2055" s="178"/>
      <c r="AN2055" s="173"/>
      <c r="AO2055" s="173"/>
      <c r="AP2055" s="173"/>
      <c r="AQ2055" s="178"/>
      <c r="AR2055" s="173"/>
      <c r="AS2055" s="173"/>
      <c r="AT2055" s="140"/>
      <c r="AX2055" s="140"/>
      <c r="BB2055" s="173"/>
      <c r="BC2055" s="173"/>
    </row>
    <row r="2056" spans="2:55" s="134" customFormat="1" x14ac:dyDescent="0.2">
      <c r="B2056" s="145"/>
      <c r="D2056" s="145"/>
      <c r="Z2056" s="177"/>
      <c r="AA2056" s="178"/>
      <c r="AB2056" s="139"/>
      <c r="AC2056" s="173"/>
      <c r="AD2056" s="177"/>
      <c r="AE2056" s="177"/>
      <c r="AF2056" s="139"/>
      <c r="AG2056" s="139"/>
      <c r="AH2056" s="177"/>
      <c r="AI2056" s="178"/>
      <c r="AJ2056" s="139"/>
      <c r="AK2056" s="173"/>
      <c r="AL2056" s="177"/>
      <c r="AM2056" s="178"/>
      <c r="AN2056" s="173"/>
      <c r="AO2056" s="173"/>
      <c r="AP2056" s="173"/>
      <c r="AQ2056" s="178"/>
      <c r="AR2056" s="173"/>
      <c r="AS2056" s="173"/>
      <c r="AT2056" s="140"/>
      <c r="AX2056" s="140"/>
      <c r="BB2056" s="173"/>
      <c r="BC2056" s="173"/>
    </row>
    <row r="2057" spans="2:55" s="134" customFormat="1" x14ac:dyDescent="0.2">
      <c r="B2057" s="145"/>
      <c r="D2057" s="145"/>
      <c r="Z2057" s="177"/>
      <c r="AA2057" s="178"/>
      <c r="AB2057" s="139"/>
      <c r="AC2057" s="173"/>
      <c r="AD2057" s="177"/>
      <c r="AE2057" s="177"/>
      <c r="AF2057" s="139"/>
      <c r="AG2057" s="139"/>
      <c r="AH2057" s="177"/>
      <c r="AI2057" s="178"/>
      <c r="AJ2057" s="139"/>
      <c r="AK2057" s="173"/>
      <c r="AL2057" s="177"/>
      <c r="AM2057" s="178"/>
      <c r="AN2057" s="173"/>
      <c r="AO2057" s="173"/>
      <c r="AP2057" s="173"/>
      <c r="AQ2057" s="178"/>
      <c r="AR2057" s="173"/>
      <c r="AS2057" s="173"/>
      <c r="AT2057" s="140"/>
      <c r="AX2057" s="140"/>
      <c r="BB2057" s="173"/>
      <c r="BC2057" s="173"/>
    </row>
    <row r="2058" spans="2:55" s="134" customFormat="1" x14ac:dyDescent="0.2">
      <c r="B2058" s="145"/>
      <c r="D2058" s="145"/>
      <c r="Z2058" s="177"/>
      <c r="AA2058" s="178"/>
      <c r="AB2058" s="139"/>
      <c r="AC2058" s="173"/>
      <c r="AD2058" s="177"/>
      <c r="AE2058" s="177"/>
      <c r="AF2058" s="139"/>
      <c r="AG2058" s="139"/>
      <c r="AH2058" s="177"/>
      <c r="AI2058" s="178"/>
      <c r="AJ2058" s="139"/>
      <c r="AK2058" s="173"/>
      <c r="AL2058" s="177"/>
      <c r="AM2058" s="178"/>
      <c r="AN2058" s="173"/>
      <c r="AO2058" s="173"/>
      <c r="AP2058" s="173"/>
      <c r="AQ2058" s="178"/>
      <c r="AR2058" s="173"/>
      <c r="AS2058" s="173"/>
      <c r="AT2058" s="140"/>
      <c r="AX2058" s="140"/>
      <c r="BB2058" s="173"/>
      <c r="BC2058" s="173"/>
    </row>
    <row r="2059" spans="2:55" s="134" customFormat="1" x14ac:dyDescent="0.2">
      <c r="B2059" s="145"/>
      <c r="D2059" s="145"/>
      <c r="Z2059" s="177"/>
      <c r="AA2059" s="178"/>
      <c r="AB2059" s="139"/>
      <c r="AC2059" s="173"/>
      <c r="AD2059" s="177"/>
      <c r="AE2059" s="177"/>
      <c r="AF2059" s="139"/>
      <c r="AG2059" s="139"/>
      <c r="AH2059" s="177"/>
      <c r="AI2059" s="178"/>
      <c r="AJ2059" s="139"/>
      <c r="AK2059" s="173"/>
      <c r="AL2059" s="177"/>
      <c r="AM2059" s="178"/>
      <c r="AN2059" s="173"/>
      <c r="AO2059" s="173"/>
      <c r="AP2059" s="173"/>
      <c r="AQ2059" s="178"/>
      <c r="AR2059" s="173"/>
      <c r="AS2059" s="173"/>
      <c r="AT2059" s="140"/>
      <c r="AX2059" s="140"/>
      <c r="BB2059" s="173"/>
      <c r="BC2059" s="173"/>
    </row>
    <row r="2060" spans="2:55" s="134" customFormat="1" x14ac:dyDescent="0.2">
      <c r="B2060" s="145"/>
      <c r="D2060" s="145"/>
      <c r="Z2060" s="177"/>
      <c r="AA2060" s="178"/>
      <c r="AB2060" s="139"/>
      <c r="AC2060" s="173"/>
      <c r="AD2060" s="177"/>
      <c r="AE2060" s="177"/>
      <c r="AF2060" s="139"/>
      <c r="AG2060" s="139"/>
      <c r="AH2060" s="177"/>
      <c r="AI2060" s="178"/>
      <c r="AJ2060" s="139"/>
      <c r="AK2060" s="173"/>
      <c r="AL2060" s="177"/>
      <c r="AM2060" s="178"/>
      <c r="AN2060" s="173"/>
      <c r="AO2060" s="173"/>
      <c r="AP2060" s="173"/>
      <c r="AQ2060" s="178"/>
      <c r="AR2060" s="173"/>
      <c r="AS2060" s="173"/>
      <c r="AT2060" s="140"/>
      <c r="AX2060" s="140"/>
      <c r="BB2060" s="173"/>
      <c r="BC2060" s="173"/>
    </row>
    <row r="2061" spans="2:55" s="134" customFormat="1" x14ac:dyDescent="0.2">
      <c r="B2061" s="145"/>
      <c r="D2061" s="145"/>
      <c r="Z2061" s="177"/>
      <c r="AA2061" s="178"/>
      <c r="AB2061" s="139"/>
      <c r="AC2061" s="173"/>
      <c r="AD2061" s="177"/>
      <c r="AE2061" s="177"/>
      <c r="AF2061" s="139"/>
      <c r="AG2061" s="139"/>
      <c r="AH2061" s="177"/>
      <c r="AI2061" s="178"/>
      <c r="AJ2061" s="139"/>
      <c r="AK2061" s="173"/>
      <c r="AL2061" s="177"/>
      <c r="AM2061" s="178"/>
      <c r="AN2061" s="173"/>
      <c r="AO2061" s="173"/>
      <c r="AP2061" s="173"/>
      <c r="AQ2061" s="178"/>
      <c r="AR2061" s="173"/>
      <c r="AS2061" s="173"/>
      <c r="AT2061" s="140"/>
      <c r="AX2061" s="140"/>
      <c r="BB2061" s="173"/>
      <c r="BC2061" s="173"/>
    </row>
    <row r="2062" spans="2:55" s="134" customFormat="1" x14ac:dyDescent="0.2">
      <c r="B2062" s="145"/>
      <c r="D2062" s="145"/>
      <c r="Z2062" s="177"/>
      <c r="AA2062" s="178"/>
      <c r="AB2062" s="139"/>
      <c r="AC2062" s="173"/>
      <c r="AD2062" s="177"/>
      <c r="AE2062" s="177"/>
      <c r="AF2062" s="139"/>
      <c r="AG2062" s="139"/>
      <c r="AH2062" s="177"/>
      <c r="AI2062" s="178"/>
      <c r="AJ2062" s="139"/>
      <c r="AK2062" s="173"/>
      <c r="AL2062" s="177"/>
      <c r="AM2062" s="178"/>
      <c r="AN2062" s="173"/>
      <c r="AO2062" s="173"/>
      <c r="AP2062" s="173"/>
      <c r="AQ2062" s="178"/>
      <c r="AR2062" s="173"/>
      <c r="AS2062" s="173"/>
      <c r="AT2062" s="140"/>
      <c r="AX2062" s="140"/>
      <c r="BB2062" s="173"/>
      <c r="BC2062" s="173"/>
    </row>
    <row r="2063" spans="2:55" s="134" customFormat="1" x14ac:dyDescent="0.2">
      <c r="B2063" s="145"/>
      <c r="D2063" s="145"/>
      <c r="Z2063" s="177"/>
      <c r="AA2063" s="178"/>
      <c r="AB2063" s="139"/>
      <c r="AC2063" s="173"/>
      <c r="AD2063" s="177"/>
      <c r="AE2063" s="177"/>
      <c r="AF2063" s="139"/>
      <c r="AG2063" s="139"/>
      <c r="AH2063" s="177"/>
      <c r="AI2063" s="178"/>
      <c r="AJ2063" s="139"/>
      <c r="AK2063" s="173"/>
      <c r="AL2063" s="177"/>
      <c r="AM2063" s="178"/>
      <c r="AN2063" s="173"/>
      <c r="AO2063" s="173"/>
      <c r="AP2063" s="173"/>
      <c r="AQ2063" s="178"/>
      <c r="AR2063" s="173"/>
      <c r="AS2063" s="173"/>
      <c r="AT2063" s="140"/>
      <c r="AX2063" s="140"/>
      <c r="BB2063" s="173"/>
      <c r="BC2063" s="173"/>
    </row>
    <row r="2064" spans="2:55" s="134" customFormat="1" x14ac:dyDescent="0.2">
      <c r="B2064" s="145"/>
      <c r="D2064" s="145"/>
      <c r="Z2064" s="177"/>
      <c r="AA2064" s="178"/>
      <c r="AB2064" s="139"/>
      <c r="AC2064" s="173"/>
      <c r="AD2064" s="177"/>
      <c r="AE2064" s="177"/>
      <c r="AF2064" s="139"/>
      <c r="AG2064" s="139"/>
      <c r="AH2064" s="177"/>
      <c r="AI2064" s="178"/>
      <c r="AJ2064" s="139"/>
      <c r="AK2064" s="173"/>
      <c r="AL2064" s="177"/>
      <c r="AM2064" s="178"/>
      <c r="AN2064" s="173"/>
      <c r="AO2064" s="173"/>
      <c r="AP2064" s="173"/>
      <c r="AQ2064" s="178"/>
      <c r="AR2064" s="173"/>
      <c r="AS2064" s="173"/>
      <c r="AT2064" s="140"/>
      <c r="AX2064" s="140"/>
      <c r="BB2064" s="173"/>
      <c r="BC2064" s="173"/>
    </row>
    <row r="2065" spans="2:55" s="134" customFormat="1" x14ac:dyDescent="0.2">
      <c r="B2065" s="145"/>
      <c r="D2065" s="145"/>
      <c r="Z2065" s="177"/>
      <c r="AA2065" s="178"/>
      <c r="AB2065" s="139"/>
      <c r="AC2065" s="173"/>
      <c r="AD2065" s="177"/>
      <c r="AE2065" s="177"/>
      <c r="AF2065" s="139"/>
      <c r="AG2065" s="139"/>
      <c r="AH2065" s="177"/>
      <c r="AI2065" s="178"/>
      <c r="AJ2065" s="139"/>
      <c r="AK2065" s="173"/>
      <c r="AL2065" s="177"/>
      <c r="AM2065" s="178"/>
      <c r="AN2065" s="173"/>
      <c r="AO2065" s="173"/>
      <c r="AP2065" s="173"/>
      <c r="AQ2065" s="178"/>
      <c r="AR2065" s="173"/>
      <c r="AS2065" s="173"/>
      <c r="AT2065" s="140"/>
      <c r="AX2065" s="140"/>
      <c r="BB2065" s="173"/>
      <c r="BC2065" s="173"/>
    </row>
    <row r="2066" spans="2:55" s="134" customFormat="1" x14ac:dyDescent="0.2">
      <c r="B2066" s="145"/>
      <c r="D2066" s="145"/>
      <c r="Z2066" s="177"/>
      <c r="AA2066" s="178"/>
      <c r="AB2066" s="139"/>
      <c r="AC2066" s="173"/>
      <c r="AD2066" s="177"/>
      <c r="AE2066" s="177"/>
      <c r="AF2066" s="139"/>
      <c r="AG2066" s="139"/>
      <c r="AH2066" s="177"/>
      <c r="AI2066" s="178"/>
      <c r="AJ2066" s="139"/>
      <c r="AK2066" s="173"/>
      <c r="AL2066" s="177"/>
      <c r="AM2066" s="178"/>
      <c r="AN2066" s="173"/>
      <c r="AO2066" s="173"/>
      <c r="AP2066" s="173"/>
      <c r="AQ2066" s="178"/>
      <c r="AR2066" s="173"/>
      <c r="AS2066" s="173"/>
      <c r="AT2066" s="140"/>
      <c r="AX2066" s="140"/>
      <c r="BB2066" s="173"/>
      <c r="BC2066" s="173"/>
    </row>
    <row r="2067" spans="2:55" s="134" customFormat="1" x14ac:dyDescent="0.2">
      <c r="B2067" s="145"/>
      <c r="D2067" s="145"/>
      <c r="Z2067" s="177"/>
      <c r="AA2067" s="178"/>
      <c r="AB2067" s="139"/>
      <c r="AC2067" s="173"/>
      <c r="AD2067" s="177"/>
      <c r="AE2067" s="177"/>
      <c r="AF2067" s="139"/>
      <c r="AG2067" s="139"/>
      <c r="AH2067" s="177"/>
      <c r="AI2067" s="178"/>
      <c r="AJ2067" s="139"/>
      <c r="AK2067" s="173"/>
      <c r="AL2067" s="177"/>
      <c r="AM2067" s="178"/>
      <c r="AN2067" s="173"/>
      <c r="AO2067" s="173"/>
      <c r="AP2067" s="173"/>
      <c r="AQ2067" s="178"/>
      <c r="AR2067" s="173"/>
      <c r="AS2067" s="173"/>
      <c r="AT2067" s="140"/>
      <c r="AX2067" s="140"/>
      <c r="BB2067" s="173"/>
      <c r="BC2067" s="173"/>
    </row>
    <row r="2068" spans="2:55" s="134" customFormat="1" x14ac:dyDescent="0.2">
      <c r="B2068" s="145"/>
      <c r="D2068" s="145"/>
      <c r="Z2068" s="177"/>
      <c r="AA2068" s="178"/>
      <c r="AB2068" s="139"/>
      <c r="AC2068" s="173"/>
      <c r="AD2068" s="177"/>
      <c r="AE2068" s="177"/>
      <c r="AF2068" s="139"/>
      <c r="AG2068" s="139"/>
      <c r="AH2068" s="177"/>
      <c r="AI2068" s="178"/>
      <c r="AJ2068" s="139"/>
      <c r="AK2068" s="173"/>
      <c r="AL2068" s="177"/>
      <c r="AM2068" s="178"/>
      <c r="AN2068" s="173"/>
      <c r="AO2068" s="173"/>
      <c r="AP2068" s="173"/>
      <c r="AQ2068" s="178"/>
      <c r="AR2068" s="173"/>
      <c r="AS2068" s="173"/>
      <c r="AT2068" s="140"/>
      <c r="AX2068" s="140"/>
      <c r="BB2068" s="173"/>
      <c r="BC2068" s="173"/>
    </row>
    <row r="2069" spans="2:55" s="134" customFormat="1" x14ac:dyDescent="0.2">
      <c r="B2069" s="145"/>
      <c r="D2069" s="145"/>
      <c r="Z2069" s="177"/>
      <c r="AA2069" s="178"/>
      <c r="AB2069" s="139"/>
      <c r="AC2069" s="173"/>
      <c r="AD2069" s="177"/>
      <c r="AE2069" s="177"/>
      <c r="AF2069" s="139"/>
      <c r="AG2069" s="139"/>
      <c r="AH2069" s="177"/>
      <c r="AI2069" s="178"/>
      <c r="AJ2069" s="139"/>
      <c r="AK2069" s="173"/>
      <c r="AL2069" s="177"/>
      <c r="AM2069" s="178"/>
      <c r="AN2069" s="173"/>
      <c r="AO2069" s="173"/>
      <c r="AP2069" s="173"/>
      <c r="AQ2069" s="178"/>
      <c r="AR2069" s="173"/>
      <c r="AS2069" s="173"/>
      <c r="AT2069" s="140"/>
      <c r="AX2069" s="140"/>
      <c r="BB2069" s="173"/>
      <c r="BC2069" s="173"/>
    </row>
    <row r="2070" spans="2:55" s="134" customFormat="1" x14ac:dyDescent="0.2">
      <c r="B2070" s="145"/>
      <c r="D2070" s="145"/>
      <c r="Z2070" s="177"/>
      <c r="AA2070" s="178"/>
      <c r="AB2070" s="139"/>
      <c r="AC2070" s="173"/>
      <c r="AD2070" s="177"/>
      <c r="AE2070" s="177"/>
      <c r="AF2070" s="139"/>
      <c r="AG2070" s="139"/>
      <c r="AH2070" s="177"/>
      <c r="AI2070" s="178"/>
      <c r="AJ2070" s="139"/>
      <c r="AK2070" s="173"/>
      <c r="AL2070" s="177"/>
      <c r="AM2070" s="178"/>
      <c r="AN2070" s="173"/>
      <c r="AO2070" s="173"/>
      <c r="AP2070" s="173"/>
      <c r="AQ2070" s="178"/>
      <c r="AR2070" s="173"/>
      <c r="AS2070" s="173"/>
      <c r="AT2070" s="140"/>
      <c r="AX2070" s="140"/>
      <c r="BB2070" s="173"/>
      <c r="BC2070" s="173"/>
    </row>
    <row r="2071" spans="2:55" s="134" customFormat="1" x14ac:dyDescent="0.2">
      <c r="B2071" s="145"/>
      <c r="D2071" s="145"/>
      <c r="Z2071" s="177"/>
      <c r="AA2071" s="178"/>
      <c r="AB2071" s="139"/>
      <c r="AC2071" s="173"/>
      <c r="AD2071" s="177"/>
      <c r="AE2071" s="177"/>
      <c r="AF2071" s="139"/>
      <c r="AG2071" s="139"/>
      <c r="AH2071" s="177"/>
      <c r="AI2071" s="178"/>
      <c r="AJ2071" s="139"/>
      <c r="AK2071" s="173"/>
      <c r="AL2071" s="177"/>
      <c r="AM2071" s="178"/>
      <c r="AN2071" s="173"/>
      <c r="AO2071" s="173"/>
      <c r="AP2071" s="173"/>
      <c r="AQ2071" s="178"/>
      <c r="AR2071" s="173"/>
      <c r="AS2071" s="173"/>
      <c r="AT2071" s="140"/>
      <c r="AX2071" s="140"/>
      <c r="BB2071" s="173"/>
      <c r="BC2071" s="173"/>
    </row>
    <row r="2072" spans="2:55" s="134" customFormat="1" x14ac:dyDescent="0.2">
      <c r="B2072" s="145"/>
      <c r="D2072" s="145"/>
      <c r="Z2072" s="177"/>
      <c r="AA2072" s="178"/>
      <c r="AB2072" s="139"/>
      <c r="AC2072" s="173"/>
      <c r="AD2072" s="177"/>
      <c r="AE2072" s="177"/>
      <c r="AF2072" s="139"/>
      <c r="AG2072" s="139"/>
      <c r="AH2072" s="177"/>
      <c r="AI2072" s="178"/>
      <c r="AJ2072" s="139"/>
      <c r="AK2072" s="173"/>
      <c r="AL2072" s="177"/>
      <c r="AM2072" s="178"/>
      <c r="AN2072" s="173"/>
      <c r="AO2072" s="173"/>
      <c r="AP2072" s="173"/>
      <c r="AQ2072" s="178"/>
      <c r="AR2072" s="173"/>
      <c r="AS2072" s="173"/>
      <c r="AT2072" s="140"/>
      <c r="AX2072" s="140"/>
      <c r="BB2072" s="173"/>
      <c r="BC2072" s="173"/>
    </row>
    <row r="2073" spans="2:55" s="134" customFormat="1" x14ac:dyDescent="0.2">
      <c r="B2073" s="145"/>
      <c r="D2073" s="145"/>
      <c r="Z2073" s="177"/>
      <c r="AA2073" s="178"/>
      <c r="AB2073" s="139"/>
      <c r="AC2073" s="173"/>
      <c r="AD2073" s="177"/>
      <c r="AE2073" s="177"/>
      <c r="AF2073" s="139"/>
      <c r="AG2073" s="139"/>
      <c r="AH2073" s="177"/>
      <c r="AI2073" s="178"/>
      <c r="AJ2073" s="139"/>
      <c r="AK2073" s="173"/>
      <c r="AL2073" s="177"/>
      <c r="AM2073" s="178"/>
      <c r="AN2073" s="173"/>
      <c r="AO2073" s="173"/>
      <c r="AP2073" s="173"/>
      <c r="AQ2073" s="178"/>
      <c r="AR2073" s="173"/>
      <c r="AS2073" s="173"/>
      <c r="AT2073" s="140"/>
      <c r="AX2073" s="140"/>
      <c r="BB2073" s="173"/>
      <c r="BC2073" s="173"/>
    </row>
    <row r="2074" spans="2:55" s="134" customFormat="1" x14ac:dyDescent="0.2">
      <c r="B2074" s="145"/>
      <c r="D2074" s="145"/>
      <c r="Z2074" s="177"/>
      <c r="AA2074" s="178"/>
      <c r="AB2074" s="139"/>
      <c r="AC2074" s="173"/>
      <c r="AD2074" s="177"/>
      <c r="AE2074" s="177"/>
      <c r="AF2074" s="139"/>
      <c r="AG2074" s="139"/>
      <c r="AH2074" s="177"/>
      <c r="AI2074" s="178"/>
      <c r="AJ2074" s="139"/>
      <c r="AK2074" s="173"/>
      <c r="AL2074" s="177"/>
      <c r="AM2074" s="178"/>
      <c r="AN2074" s="173"/>
      <c r="AO2074" s="173"/>
      <c r="AP2074" s="173"/>
      <c r="AQ2074" s="178"/>
      <c r="AR2074" s="173"/>
      <c r="AS2074" s="173"/>
      <c r="AT2074" s="140"/>
      <c r="AX2074" s="140"/>
      <c r="BB2074" s="173"/>
      <c r="BC2074" s="173"/>
    </row>
    <row r="2075" spans="2:55" s="134" customFormat="1" x14ac:dyDescent="0.2">
      <c r="B2075" s="145"/>
      <c r="D2075" s="145"/>
      <c r="Z2075" s="177"/>
      <c r="AA2075" s="178"/>
      <c r="AB2075" s="139"/>
      <c r="AC2075" s="173"/>
      <c r="AD2075" s="177"/>
      <c r="AE2075" s="177"/>
      <c r="AF2075" s="139"/>
      <c r="AG2075" s="139"/>
      <c r="AH2075" s="177"/>
      <c r="AI2075" s="178"/>
      <c r="AJ2075" s="139"/>
      <c r="AK2075" s="173"/>
      <c r="AL2075" s="177"/>
      <c r="AM2075" s="178"/>
      <c r="AN2075" s="173"/>
      <c r="AO2075" s="173"/>
      <c r="AP2075" s="173"/>
      <c r="AQ2075" s="178"/>
      <c r="AR2075" s="173"/>
      <c r="AS2075" s="173"/>
      <c r="AT2075" s="140"/>
      <c r="AX2075" s="140"/>
      <c r="BB2075" s="173"/>
      <c r="BC2075" s="173"/>
    </row>
    <row r="2076" spans="2:55" s="134" customFormat="1" x14ac:dyDescent="0.2">
      <c r="B2076" s="145"/>
      <c r="D2076" s="145"/>
      <c r="Z2076" s="177"/>
      <c r="AA2076" s="178"/>
      <c r="AB2076" s="139"/>
      <c r="AC2076" s="173"/>
      <c r="AD2076" s="177"/>
      <c r="AE2076" s="177"/>
      <c r="AF2076" s="139"/>
      <c r="AG2076" s="139"/>
      <c r="AH2076" s="177"/>
      <c r="AI2076" s="178"/>
      <c r="AJ2076" s="139"/>
      <c r="AK2076" s="173"/>
      <c r="AL2076" s="177"/>
      <c r="AM2076" s="178"/>
      <c r="AN2076" s="173"/>
      <c r="AO2076" s="173"/>
      <c r="AP2076" s="173"/>
      <c r="AQ2076" s="178"/>
      <c r="AR2076" s="173"/>
      <c r="AS2076" s="173"/>
      <c r="AT2076" s="140"/>
      <c r="AX2076" s="140"/>
      <c r="BB2076" s="173"/>
      <c r="BC2076" s="173"/>
    </row>
    <row r="2077" spans="2:55" s="134" customFormat="1" x14ac:dyDescent="0.2">
      <c r="B2077" s="145"/>
      <c r="D2077" s="145"/>
      <c r="Z2077" s="177"/>
      <c r="AA2077" s="178"/>
      <c r="AB2077" s="139"/>
      <c r="AC2077" s="173"/>
      <c r="AD2077" s="177"/>
      <c r="AE2077" s="177"/>
      <c r="AF2077" s="139"/>
      <c r="AG2077" s="139"/>
      <c r="AH2077" s="177"/>
      <c r="AI2077" s="178"/>
      <c r="AJ2077" s="139"/>
      <c r="AK2077" s="173"/>
      <c r="AL2077" s="177"/>
      <c r="AM2077" s="178"/>
      <c r="AN2077" s="173"/>
      <c r="AO2077" s="173"/>
      <c r="AP2077" s="173"/>
      <c r="AQ2077" s="178"/>
      <c r="AR2077" s="173"/>
      <c r="AS2077" s="173"/>
      <c r="AT2077" s="140"/>
      <c r="AX2077" s="140"/>
      <c r="BB2077" s="173"/>
      <c r="BC2077" s="173"/>
    </row>
    <row r="2078" spans="2:55" s="134" customFormat="1" x14ac:dyDescent="0.2">
      <c r="B2078" s="145"/>
      <c r="D2078" s="145"/>
      <c r="Z2078" s="177"/>
      <c r="AA2078" s="178"/>
      <c r="AB2078" s="139"/>
      <c r="AC2078" s="173"/>
      <c r="AD2078" s="177"/>
      <c r="AE2078" s="177"/>
      <c r="AF2078" s="139"/>
      <c r="AG2078" s="139"/>
      <c r="AH2078" s="177"/>
      <c r="AI2078" s="178"/>
      <c r="AJ2078" s="139"/>
      <c r="AK2078" s="173"/>
      <c r="AL2078" s="177"/>
      <c r="AM2078" s="178"/>
      <c r="AN2078" s="173"/>
      <c r="AO2078" s="173"/>
      <c r="AP2078" s="173"/>
      <c r="AQ2078" s="178"/>
      <c r="AR2078" s="173"/>
      <c r="AS2078" s="173"/>
      <c r="AT2078" s="140"/>
      <c r="AX2078" s="140"/>
      <c r="BB2078" s="173"/>
      <c r="BC2078" s="173"/>
    </row>
    <row r="2079" spans="2:55" s="134" customFormat="1" x14ac:dyDescent="0.2">
      <c r="B2079" s="145"/>
      <c r="D2079" s="145"/>
      <c r="Z2079" s="177"/>
      <c r="AA2079" s="178"/>
      <c r="AB2079" s="139"/>
      <c r="AC2079" s="173"/>
      <c r="AD2079" s="177"/>
      <c r="AE2079" s="177"/>
      <c r="AF2079" s="139"/>
      <c r="AG2079" s="139"/>
      <c r="AH2079" s="177"/>
      <c r="AI2079" s="178"/>
      <c r="AJ2079" s="139"/>
      <c r="AK2079" s="173"/>
      <c r="AL2079" s="177"/>
      <c r="AM2079" s="178"/>
      <c r="AN2079" s="173"/>
      <c r="AO2079" s="173"/>
      <c r="AP2079" s="173"/>
      <c r="AQ2079" s="178"/>
      <c r="AR2079" s="173"/>
      <c r="AS2079" s="173"/>
      <c r="AT2079" s="140"/>
      <c r="AX2079" s="140"/>
      <c r="BB2079" s="173"/>
      <c r="BC2079" s="173"/>
    </row>
    <row r="2080" spans="2:55" s="134" customFormat="1" x14ac:dyDescent="0.2">
      <c r="B2080" s="145"/>
      <c r="D2080" s="145"/>
      <c r="Z2080" s="177"/>
      <c r="AA2080" s="178"/>
      <c r="AB2080" s="139"/>
      <c r="AC2080" s="173"/>
      <c r="AD2080" s="177"/>
      <c r="AE2080" s="177"/>
      <c r="AF2080" s="139"/>
      <c r="AG2080" s="139"/>
      <c r="AH2080" s="177"/>
      <c r="AI2080" s="178"/>
      <c r="AJ2080" s="139"/>
      <c r="AK2080" s="173"/>
      <c r="AL2080" s="177"/>
      <c r="AM2080" s="178"/>
      <c r="AN2080" s="173"/>
      <c r="AO2080" s="173"/>
      <c r="AP2080" s="173"/>
      <c r="AQ2080" s="178"/>
      <c r="AR2080" s="173"/>
      <c r="AS2080" s="173"/>
      <c r="AT2080" s="140"/>
      <c r="AX2080" s="140"/>
      <c r="BB2080" s="173"/>
      <c r="BC2080" s="173"/>
    </row>
    <row r="2081" spans="2:55" s="134" customFormat="1" x14ac:dyDescent="0.2">
      <c r="B2081" s="145"/>
      <c r="D2081" s="145"/>
      <c r="Z2081" s="177"/>
      <c r="AA2081" s="178"/>
      <c r="AB2081" s="139"/>
      <c r="AC2081" s="173"/>
      <c r="AD2081" s="177"/>
      <c r="AE2081" s="177"/>
      <c r="AF2081" s="139"/>
      <c r="AG2081" s="139"/>
      <c r="AH2081" s="177"/>
      <c r="AI2081" s="178"/>
      <c r="AJ2081" s="139"/>
      <c r="AK2081" s="173"/>
      <c r="AL2081" s="177"/>
      <c r="AM2081" s="178"/>
      <c r="AN2081" s="173"/>
      <c r="AO2081" s="173"/>
      <c r="AP2081" s="173"/>
      <c r="AQ2081" s="178"/>
      <c r="AR2081" s="173"/>
      <c r="AS2081" s="173"/>
      <c r="AT2081" s="140"/>
      <c r="AX2081" s="140"/>
      <c r="BB2081" s="173"/>
      <c r="BC2081" s="173"/>
    </row>
    <row r="2082" spans="2:55" s="134" customFormat="1" x14ac:dyDescent="0.2">
      <c r="B2082" s="145"/>
      <c r="D2082" s="145"/>
      <c r="Z2082" s="177"/>
      <c r="AA2082" s="178"/>
      <c r="AB2082" s="139"/>
      <c r="AC2082" s="173"/>
      <c r="AD2082" s="177"/>
      <c r="AE2082" s="177"/>
      <c r="AF2082" s="139"/>
      <c r="AG2082" s="139"/>
      <c r="AH2082" s="177"/>
      <c r="AI2082" s="178"/>
      <c r="AJ2082" s="139"/>
      <c r="AK2082" s="173"/>
      <c r="AL2082" s="177"/>
      <c r="AM2082" s="178"/>
      <c r="AN2082" s="173"/>
      <c r="AO2082" s="173"/>
      <c r="AP2082" s="173"/>
      <c r="AQ2082" s="178"/>
      <c r="AR2082" s="173"/>
      <c r="AS2082" s="173"/>
      <c r="AT2082" s="140"/>
      <c r="AX2082" s="140"/>
      <c r="BB2082" s="173"/>
      <c r="BC2082" s="173"/>
    </row>
    <row r="2083" spans="2:55" s="134" customFormat="1" x14ac:dyDescent="0.2">
      <c r="B2083" s="145"/>
      <c r="D2083" s="145"/>
      <c r="Z2083" s="177"/>
      <c r="AA2083" s="178"/>
      <c r="AB2083" s="139"/>
      <c r="AC2083" s="173"/>
      <c r="AD2083" s="177"/>
      <c r="AE2083" s="177"/>
      <c r="AF2083" s="139"/>
      <c r="AG2083" s="139"/>
      <c r="AH2083" s="177"/>
      <c r="AI2083" s="178"/>
      <c r="AJ2083" s="139"/>
      <c r="AK2083" s="173"/>
      <c r="AL2083" s="177"/>
      <c r="AM2083" s="178"/>
      <c r="AN2083" s="173"/>
      <c r="AO2083" s="173"/>
      <c r="AP2083" s="173"/>
      <c r="AQ2083" s="178"/>
      <c r="AR2083" s="173"/>
      <c r="AS2083" s="173"/>
      <c r="AT2083" s="140"/>
      <c r="AX2083" s="140"/>
      <c r="BB2083" s="173"/>
      <c r="BC2083" s="173"/>
    </row>
    <row r="2084" spans="2:55" s="134" customFormat="1" x14ac:dyDescent="0.2">
      <c r="B2084" s="145"/>
      <c r="D2084" s="145"/>
      <c r="Z2084" s="177"/>
      <c r="AA2084" s="178"/>
      <c r="AB2084" s="139"/>
      <c r="AC2084" s="173"/>
      <c r="AD2084" s="177"/>
      <c r="AE2084" s="177"/>
      <c r="AF2084" s="139"/>
      <c r="AG2084" s="139"/>
      <c r="AH2084" s="177"/>
      <c r="AI2084" s="178"/>
      <c r="AJ2084" s="139"/>
      <c r="AK2084" s="173"/>
      <c r="AL2084" s="177"/>
      <c r="AM2084" s="178"/>
      <c r="AN2084" s="173"/>
      <c r="AO2084" s="173"/>
      <c r="AP2084" s="173"/>
      <c r="AQ2084" s="178"/>
      <c r="AR2084" s="173"/>
      <c r="AS2084" s="173"/>
      <c r="AT2084" s="140"/>
      <c r="AX2084" s="140"/>
      <c r="BB2084" s="173"/>
      <c r="BC2084" s="173"/>
    </row>
    <row r="2085" spans="2:55" s="134" customFormat="1" x14ac:dyDescent="0.2">
      <c r="B2085" s="145"/>
      <c r="D2085" s="145"/>
      <c r="Z2085" s="177"/>
      <c r="AA2085" s="178"/>
      <c r="AB2085" s="139"/>
      <c r="AC2085" s="173"/>
      <c r="AD2085" s="177"/>
      <c r="AE2085" s="177"/>
      <c r="AF2085" s="139"/>
      <c r="AG2085" s="139"/>
      <c r="AH2085" s="177"/>
      <c r="AI2085" s="178"/>
      <c r="AJ2085" s="139"/>
      <c r="AK2085" s="173"/>
      <c r="AL2085" s="177"/>
      <c r="AM2085" s="178"/>
      <c r="AN2085" s="173"/>
      <c r="AO2085" s="173"/>
      <c r="AP2085" s="173"/>
      <c r="AQ2085" s="178"/>
      <c r="AR2085" s="173"/>
      <c r="AS2085" s="173"/>
      <c r="AT2085" s="140"/>
      <c r="AX2085" s="140"/>
      <c r="BB2085" s="173"/>
      <c r="BC2085" s="173"/>
    </row>
    <row r="2086" spans="2:55" s="134" customFormat="1" x14ac:dyDescent="0.2">
      <c r="B2086" s="145"/>
      <c r="D2086" s="145"/>
      <c r="Z2086" s="177"/>
      <c r="AA2086" s="178"/>
      <c r="AB2086" s="139"/>
      <c r="AC2086" s="173"/>
      <c r="AD2086" s="177"/>
      <c r="AE2086" s="177"/>
      <c r="AF2086" s="139"/>
      <c r="AG2086" s="139"/>
      <c r="AH2086" s="177"/>
      <c r="AI2086" s="178"/>
      <c r="AJ2086" s="139"/>
      <c r="AK2086" s="173"/>
      <c r="AL2086" s="177"/>
      <c r="AM2086" s="178"/>
      <c r="AN2086" s="173"/>
      <c r="AO2086" s="173"/>
      <c r="AP2086" s="173"/>
      <c r="AQ2086" s="178"/>
      <c r="AR2086" s="173"/>
      <c r="AS2086" s="173"/>
      <c r="AT2086" s="140"/>
      <c r="AX2086" s="140"/>
      <c r="BB2086" s="173"/>
      <c r="BC2086" s="173"/>
    </row>
    <row r="2087" spans="2:55" s="134" customFormat="1" x14ac:dyDescent="0.2">
      <c r="B2087" s="145"/>
      <c r="D2087" s="145"/>
      <c r="Z2087" s="177"/>
      <c r="AA2087" s="178"/>
      <c r="AB2087" s="139"/>
      <c r="AC2087" s="173"/>
      <c r="AD2087" s="177"/>
      <c r="AE2087" s="177"/>
      <c r="AF2087" s="139"/>
      <c r="AG2087" s="139"/>
      <c r="AH2087" s="177"/>
      <c r="AI2087" s="178"/>
      <c r="AJ2087" s="139"/>
      <c r="AK2087" s="173"/>
      <c r="AL2087" s="177"/>
      <c r="AM2087" s="178"/>
      <c r="AN2087" s="173"/>
      <c r="AO2087" s="173"/>
      <c r="AP2087" s="173"/>
      <c r="AQ2087" s="178"/>
      <c r="AR2087" s="173"/>
      <c r="AS2087" s="173"/>
      <c r="AT2087" s="140"/>
      <c r="AX2087" s="140"/>
      <c r="BB2087" s="173"/>
      <c r="BC2087" s="173"/>
    </row>
    <row r="2088" spans="2:55" s="134" customFormat="1" x14ac:dyDescent="0.2">
      <c r="B2088" s="145"/>
      <c r="D2088" s="145"/>
      <c r="Z2088" s="177"/>
      <c r="AA2088" s="178"/>
      <c r="AB2088" s="139"/>
      <c r="AC2088" s="173"/>
      <c r="AD2088" s="177"/>
      <c r="AE2088" s="177"/>
      <c r="AF2088" s="139"/>
      <c r="AG2088" s="139"/>
      <c r="AH2088" s="177"/>
      <c r="AI2088" s="178"/>
      <c r="AJ2088" s="139"/>
      <c r="AK2088" s="173"/>
      <c r="AL2088" s="177"/>
      <c r="AM2088" s="178"/>
      <c r="AN2088" s="173"/>
      <c r="AO2088" s="173"/>
      <c r="AP2088" s="173"/>
      <c r="AQ2088" s="178"/>
      <c r="AR2088" s="173"/>
      <c r="AS2088" s="173"/>
      <c r="AT2088" s="140"/>
      <c r="AX2088" s="140"/>
      <c r="BB2088" s="173"/>
      <c r="BC2088" s="173"/>
    </row>
    <row r="2089" spans="2:55" s="134" customFormat="1" x14ac:dyDescent="0.2">
      <c r="B2089" s="145"/>
      <c r="D2089" s="145"/>
      <c r="Z2089" s="177"/>
      <c r="AA2089" s="178"/>
      <c r="AB2089" s="139"/>
      <c r="AC2089" s="173"/>
      <c r="AD2089" s="177"/>
      <c r="AE2089" s="177"/>
      <c r="AF2089" s="139"/>
      <c r="AG2089" s="139"/>
      <c r="AH2089" s="177"/>
      <c r="AI2089" s="178"/>
      <c r="AJ2089" s="139"/>
      <c r="AK2089" s="173"/>
      <c r="AL2089" s="177"/>
      <c r="AM2089" s="178"/>
      <c r="AN2089" s="173"/>
      <c r="AO2089" s="173"/>
      <c r="AP2089" s="173"/>
      <c r="AQ2089" s="178"/>
      <c r="AR2089" s="173"/>
      <c r="AS2089" s="173"/>
      <c r="AT2089" s="140"/>
      <c r="AX2089" s="140"/>
      <c r="BB2089" s="173"/>
      <c r="BC2089" s="173"/>
    </row>
    <row r="2090" spans="2:55" s="134" customFormat="1" x14ac:dyDescent="0.2">
      <c r="B2090" s="145"/>
      <c r="D2090" s="145"/>
      <c r="Z2090" s="177"/>
      <c r="AA2090" s="178"/>
      <c r="AB2090" s="139"/>
      <c r="AC2090" s="173"/>
      <c r="AD2090" s="177"/>
      <c r="AE2090" s="177"/>
      <c r="AF2090" s="139"/>
      <c r="AG2090" s="139"/>
      <c r="AH2090" s="177"/>
      <c r="AI2090" s="178"/>
      <c r="AJ2090" s="139"/>
      <c r="AK2090" s="173"/>
      <c r="AL2090" s="177"/>
      <c r="AM2090" s="178"/>
      <c r="AN2090" s="173"/>
      <c r="AO2090" s="173"/>
      <c r="AP2090" s="173"/>
      <c r="AQ2090" s="178"/>
      <c r="AR2090" s="173"/>
      <c r="AS2090" s="173"/>
      <c r="AT2090" s="140"/>
      <c r="AX2090" s="140"/>
      <c r="BB2090" s="173"/>
      <c r="BC2090" s="173"/>
    </row>
    <row r="2091" spans="2:55" s="134" customFormat="1" x14ac:dyDescent="0.2">
      <c r="B2091" s="145"/>
      <c r="D2091" s="145"/>
      <c r="Z2091" s="177"/>
      <c r="AA2091" s="178"/>
      <c r="AB2091" s="139"/>
      <c r="AC2091" s="173"/>
      <c r="AD2091" s="177"/>
      <c r="AE2091" s="177"/>
      <c r="AF2091" s="139"/>
      <c r="AG2091" s="139"/>
      <c r="AH2091" s="177"/>
      <c r="AI2091" s="178"/>
      <c r="AJ2091" s="139"/>
      <c r="AK2091" s="173"/>
      <c r="AL2091" s="177"/>
      <c r="AM2091" s="178"/>
      <c r="AN2091" s="173"/>
      <c r="AO2091" s="173"/>
      <c r="AP2091" s="173"/>
      <c r="AQ2091" s="178"/>
      <c r="AR2091" s="173"/>
      <c r="AS2091" s="173"/>
      <c r="AT2091" s="140"/>
      <c r="AX2091" s="140"/>
      <c r="BB2091" s="173"/>
      <c r="BC2091" s="173"/>
    </row>
    <row r="2092" spans="2:55" s="134" customFormat="1" x14ac:dyDescent="0.2">
      <c r="B2092" s="145"/>
      <c r="D2092" s="145"/>
      <c r="Z2092" s="177"/>
      <c r="AA2092" s="178"/>
      <c r="AB2092" s="139"/>
      <c r="AC2092" s="173"/>
      <c r="AD2092" s="177"/>
      <c r="AE2092" s="177"/>
      <c r="AF2092" s="139"/>
      <c r="AG2092" s="139"/>
      <c r="AH2092" s="177"/>
      <c r="AI2092" s="178"/>
      <c r="AJ2092" s="139"/>
      <c r="AK2092" s="173"/>
      <c r="AL2092" s="177"/>
      <c r="AM2092" s="178"/>
      <c r="AN2092" s="173"/>
      <c r="AO2092" s="173"/>
      <c r="AP2092" s="173"/>
      <c r="AQ2092" s="178"/>
      <c r="AR2092" s="173"/>
      <c r="AS2092" s="173"/>
      <c r="AT2092" s="140"/>
      <c r="AX2092" s="140"/>
      <c r="BB2092" s="173"/>
      <c r="BC2092" s="173"/>
    </row>
    <row r="2093" spans="2:55" s="134" customFormat="1" x14ac:dyDescent="0.2">
      <c r="B2093" s="145"/>
      <c r="D2093" s="145"/>
      <c r="Z2093" s="177"/>
      <c r="AA2093" s="178"/>
      <c r="AB2093" s="139"/>
      <c r="AC2093" s="173"/>
      <c r="AD2093" s="177"/>
      <c r="AE2093" s="177"/>
      <c r="AF2093" s="139"/>
      <c r="AG2093" s="139"/>
      <c r="AH2093" s="177"/>
      <c r="AI2093" s="178"/>
      <c r="AJ2093" s="139"/>
      <c r="AK2093" s="173"/>
      <c r="AL2093" s="177"/>
      <c r="AM2093" s="178"/>
      <c r="AN2093" s="173"/>
      <c r="AO2093" s="173"/>
      <c r="AP2093" s="173"/>
      <c r="AQ2093" s="178"/>
      <c r="AR2093" s="173"/>
      <c r="AS2093" s="173"/>
      <c r="AT2093" s="140"/>
      <c r="AX2093" s="140"/>
      <c r="BB2093" s="173"/>
      <c r="BC2093" s="173"/>
    </row>
    <row r="2094" spans="2:55" s="134" customFormat="1" x14ac:dyDescent="0.2">
      <c r="B2094" s="145"/>
      <c r="D2094" s="145"/>
      <c r="Z2094" s="177"/>
      <c r="AA2094" s="178"/>
      <c r="AB2094" s="139"/>
      <c r="AC2094" s="173"/>
      <c r="AD2094" s="177"/>
      <c r="AE2094" s="177"/>
      <c r="AF2094" s="139"/>
      <c r="AG2094" s="139"/>
      <c r="AH2094" s="177"/>
      <c r="AI2094" s="178"/>
      <c r="AJ2094" s="139"/>
      <c r="AK2094" s="173"/>
      <c r="AL2094" s="177"/>
      <c r="AM2094" s="178"/>
      <c r="AN2094" s="173"/>
      <c r="AO2094" s="173"/>
      <c r="AP2094" s="173"/>
      <c r="AQ2094" s="178"/>
      <c r="AR2094" s="173"/>
      <c r="AS2094" s="173"/>
      <c r="AT2094" s="140"/>
      <c r="AX2094" s="140"/>
      <c r="BB2094" s="173"/>
      <c r="BC2094" s="173"/>
    </row>
    <row r="2095" spans="2:55" s="134" customFormat="1" x14ac:dyDescent="0.2">
      <c r="B2095" s="145"/>
      <c r="D2095" s="145"/>
      <c r="Z2095" s="177"/>
      <c r="AA2095" s="178"/>
      <c r="AB2095" s="139"/>
      <c r="AC2095" s="173"/>
      <c r="AD2095" s="177"/>
      <c r="AE2095" s="177"/>
      <c r="AF2095" s="139"/>
      <c r="AG2095" s="139"/>
      <c r="AH2095" s="177"/>
      <c r="AI2095" s="178"/>
      <c r="AJ2095" s="139"/>
      <c r="AK2095" s="173"/>
      <c r="AL2095" s="177"/>
      <c r="AM2095" s="178"/>
      <c r="AN2095" s="173"/>
      <c r="AO2095" s="173"/>
      <c r="AP2095" s="173"/>
      <c r="AQ2095" s="178"/>
      <c r="AR2095" s="173"/>
      <c r="AS2095" s="173"/>
      <c r="AT2095" s="140"/>
      <c r="AX2095" s="140"/>
      <c r="BB2095" s="173"/>
      <c r="BC2095" s="173"/>
    </row>
    <row r="2096" spans="2:55" s="134" customFormat="1" x14ac:dyDescent="0.2">
      <c r="B2096" s="145"/>
      <c r="D2096" s="145"/>
      <c r="Z2096" s="177"/>
      <c r="AA2096" s="178"/>
      <c r="AB2096" s="139"/>
      <c r="AC2096" s="173"/>
      <c r="AD2096" s="177"/>
      <c r="AE2096" s="177"/>
      <c r="AF2096" s="139"/>
      <c r="AG2096" s="139"/>
      <c r="AH2096" s="177"/>
      <c r="AI2096" s="178"/>
      <c r="AJ2096" s="139"/>
      <c r="AK2096" s="173"/>
      <c r="AL2096" s="177"/>
      <c r="AM2096" s="178"/>
      <c r="AN2096" s="173"/>
      <c r="AO2096" s="173"/>
      <c r="AP2096" s="173"/>
      <c r="AQ2096" s="178"/>
      <c r="AR2096" s="173"/>
      <c r="AS2096" s="173"/>
      <c r="AT2096" s="140"/>
      <c r="AX2096" s="140"/>
      <c r="BB2096" s="173"/>
      <c r="BC2096" s="173"/>
    </row>
    <row r="2097" spans="2:55" s="134" customFormat="1" x14ac:dyDescent="0.2">
      <c r="B2097" s="145"/>
      <c r="D2097" s="145"/>
      <c r="Z2097" s="177"/>
      <c r="AA2097" s="178"/>
      <c r="AB2097" s="139"/>
      <c r="AC2097" s="173"/>
      <c r="AD2097" s="177"/>
      <c r="AE2097" s="177"/>
      <c r="AF2097" s="139"/>
      <c r="AG2097" s="139"/>
      <c r="AH2097" s="177"/>
      <c r="AI2097" s="178"/>
      <c r="AJ2097" s="139"/>
      <c r="AK2097" s="173"/>
      <c r="AL2097" s="177"/>
      <c r="AM2097" s="178"/>
      <c r="AN2097" s="173"/>
      <c r="AO2097" s="173"/>
      <c r="AP2097" s="173"/>
      <c r="AQ2097" s="178"/>
      <c r="AR2097" s="173"/>
      <c r="AS2097" s="173"/>
      <c r="AT2097" s="140"/>
      <c r="AX2097" s="140"/>
      <c r="BB2097" s="173"/>
      <c r="BC2097" s="173"/>
    </row>
    <row r="2098" spans="2:55" s="134" customFormat="1" x14ac:dyDescent="0.2">
      <c r="B2098" s="145"/>
      <c r="D2098" s="145"/>
      <c r="Z2098" s="177"/>
      <c r="AA2098" s="178"/>
      <c r="AB2098" s="139"/>
      <c r="AC2098" s="173"/>
      <c r="AD2098" s="177"/>
      <c r="AE2098" s="177"/>
      <c r="AF2098" s="139"/>
      <c r="AG2098" s="139"/>
      <c r="AH2098" s="177"/>
      <c r="AI2098" s="178"/>
      <c r="AJ2098" s="139"/>
      <c r="AK2098" s="173"/>
      <c r="AL2098" s="177"/>
      <c r="AM2098" s="178"/>
      <c r="AN2098" s="173"/>
      <c r="AO2098" s="173"/>
      <c r="AP2098" s="173"/>
      <c r="AQ2098" s="178"/>
      <c r="AR2098" s="173"/>
      <c r="AS2098" s="173"/>
      <c r="AT2098" s="140"/>
      <c r="AX2098" s="140"/>
      <c r="BB2098" s="173"/>
      <c r="BC2098" s="173"/>
    </row>
    <row r="2099" spans="2:55" s="134" customFormat="1" x14ac:dyDescent="0.2">
      <c r="B2099" s="145"/>
      <c r="D2099" s="145"/>
      <c r="Z2099" s="177"/>
      <c r="AA2099" s="178"/>
      <c r="AB2099" s="139"/>
      <c r="AC2099" s="173"/>
      <c r="AD2099" s="177"/>
      <c r="AE2099" s="177"/>
      <c r="AF2099" s="139"/>
      <c r="AG2099" s="139"/>
      <c r="AH2099" s="177"/>
      <c r="AI2099" s="178"/>
      <c r="AJ2099" s="139"/>
      <c r="AK2099" s="173"/>
      <c r="AL2099" s="177"/>
      <c r="AM2099" s="178"/>
      <c r="AN2099" s="173"/>
      <c r="AO2099" s="173"/>
      <c r="AP2099" s="173"/>
      <c r="AQ2099" s="178"/>
      <c r="AR2099" s="173"/>
      <c r="AS2099" s="173"/>
      <c r="AT2099" s="140"/>
      <c r="AX2099" s="140"/>
      <c r="BB2099" s="173"/>
      <c r="BC2099" s="173"/>
    </row>
    <row r="2100" spans="2:55" s="134" customFormat="1" x14ac:dyDescent="0.2">
      <c r="B2100" s="145"/>
      <c r="D2100" s="145"/>
      <c r="Z2100" s="177"/>
      <c r="AA2100" s="178"/>
      <c r="AB2100" s="139"/>
      <c r="AC2100" s="173"/>
      <c r="AD2100" s="177"/>
      <c r="AE2100" s="177"/>
      <c r="AF2100" s="139"/>
      <c r="AG2100" s="139"/>
      <c r="AH2100" s="177"/>
      <c r="AI2100" s="178"/>
      <c r="AJ2100" s="139"/>
      <c r="AK2100" s="173"/>
      <c r="AL2100" s="177"/>
      <c r="AM2100" s="178"/>
      <c r="AN2100" s="173"/>
      <c r="AO2100" s="173"/>
      <c r="AP2100" s="173"/>
      <c r="AQ2100" s="178"/>
      <c r="AR2100" s="173"/>
      <c r="AS2100" s="173"/>
      <c r="AT2100" s="140"/>
      <c r="AX2100" s="140"/>
      <c r="BB2100" s="173"/>
      <c r="BC2100" s="173"/>
    </row>
    <row r="2101" spans="2:55" s="134" customFormat="1" x14ac:dyDescent="0.2">
      <c r="B2101" s="145"/>
      <c r="D2101" s="145"/>
      <c r="Z2101" s="177"/>
      <c r="AA2101" s="178"/>
      <c r="AB2101" s="139"/>
      <c r="AC2101" s="173"/>
      <c r="AD2101" s="177"/>
      <c r="AE2101" s="177"/>
      <c r="AF2101" s="139"/>
      <c r="AG2101" s="139"/>
      <c r="AH2101" s="177"/>
      <c r="AI2101" s="178"/>
      <c r="AJ2101" s="139"/>
      <c r="AK2101" s="173"/>
      <c r="AL2101" s="177"/>
      <c r="AM2101" s="178"/>
      <c r="AN2101" s="173"/>
      <c r="AO2101" s="173"/>
      <c r="AP2101" s="173"/>
      <c r="AQ2101" s="178"/>
      <c r="AR2101" s="173"/>
      <c r="AS2101" s="173"/>
      <c r="AT2101" s="140"/>
      <c r="AX2101" s="140"/>
      <c r="BB2101" s="173"/>
      <c r="BC2101" s="173"/>
    </row>
    <row r="2102" spans="2:55" s="134" customFormat="1" x14ac:dyDescent="0.2">
      <c r="B2102" s="145"/>
      <c r="D2102" s="145"/>
      <c r="Z2102" s="177"/>
      <c r="AA2102" s="178"/>
      <c r="AB2102" s="139"/>
      <c r="AC2102" s="173"/>
      <c r="AD2102" s="177"/>
      <c r="AE2102" s="177"/>
      <c r="AF2102" s="139"/>
      <c r="AG2102" s="139"/>
      <c r="AH2102" s="177"/>
      <c r="AI2102" s="178"/>
      <c r="AJ2102" s="139"/>
      <c r="AK2102" s="173"/>
      <c r="AL2102" s="177"/>
      <c r="AM2102" s="178"/>
      <c r="AN2102" s="173"/>
      <c r="AO2102" s="173"/>
      <c r="AP2102" s="173"/>
      <c r="AQ2102" s="178"/>
      <c r="AR2102" s="173"/>
      <c r="AS2102" s="173"/>
      <c r="AT2102" s="140"/>
      <c r="AX2102" s="140"/>
      <c r="BB2102" s="173"/>
      <c r="BC2102" s="173"/>
    </row>
    <row r="2103" spans="2:55" s="134" customFormat="1" x14ac:dyDescent="0.2">
      <c r="B2103" s="145"/>
      <c r="D2103" s="145"/>
      <c r="Z2103" s="177"/>
      <c r="AA2103" s="178"/>
      <c r="AB2103" s="139"/>
      <c r="AC2103" s="173"/>
      <c r="AD2103" s="177"/>
      <c r="AE2103" s="177"/>
      <c r="AF2103" s="139"/>
      <c r="AG2103" s="139"/>
      <c r="AH2103" s="177"/>
      <c r="AI2103" s="178"/>
      <c r="AJ2103" s="139"/>
      <c r="AK2103" s="173"/>
      <c r="AL2103" s="177"/>
      <c r="AM2103" s="178"/>
      <c r="AN2103" s="173"/>
      <c r="AO2103" s="173"/>
      <c r="AP2103" s="173"/>
      <c r="AQ2103" s="178"/>
      <c r="AR2103" s="173"/>
      <c r="AS2103" s="173"/>
      <c r="AT2103" s="140"/>
      <c r="AX2103" s="140"/>
      <c r="BB2103" s="173"/>
      <c r="BC2103" s="173"/>
    </row>
    <row r="2104" spans="2:55" s="134" customFormat="1" x14ac:dyDescent="0.2">
      <c r="B2104" s="145"/>
      <c r="D2104" s="145"/>
      <c r="Z2104" s="177"/>
      <c r="AA2104" s="178"/>
      <c r="AB2104" s="139"/>
      <c r="AC2104" s="173"/>
      <c r="AD2104" s="177"/>
      <c r="AE2104" s="177"/>
      <c r="AF2104" s="139"/>
      <c r="AG2104" s="139"/>
      <c r="AH2104" s="177"/>
      <c r="AI2104" s="178"/>
      <c r="AJ2104" s="139"/>
      <c r="AK2104" s="173"/>
      <c r="AL2104" s="177"/>
      <c r="AM2104" s="178"/>
      <c r="AN2104" s="173"/>
      <c r="AO2104" s="173"/>
      <c r="AP2104" s="173"/>
      <c r="AQ2104" s="178"/>
      <c r="AR2104" s="173"/>
      <c r="AS2104" s="173"/>
      <c r="AT2104" s="140"/>
      <c r="AX2104" s="140"/>
      <c r="BB2104" s="173"/>
      <c r="BC2104" s="173"/>
    </row>
    <row r="2105" spans="2:55" s="134" customFormat="1" x14ac:dyDescent="0.2">
      <c r="B2105" s="145"/>
      <c r="D2105" s="145"/>
      <c r="Z2105" s="177"/>
      <c r="AA2105" s="178"/>
      <c r="AB2105" s="139"/>
      <c r="AC2105" s="173"/>
      <c r="AD2105" s="177"/>
      <c r="AE2105" s="177"/>
      <c r="AF2105" s="139"/>
      <c r="AG2105" s="139"/>
      <c r="AH2105" s="177"/>
      <c r="AI2105" s="178"/>
      <c r="AJ2105" s="139"/>
      <c r="AK2105" s="173"/>
      <c r="AL2105" s="177"/>
      <c r="AM2105" s="178"/>
      <c r="AN2105" s="173"/>
      <c r="AO2105" s="173"/>
      <c r="AP2105" s="173"/>
      <c r="AQ2105" s="178"/>
      <c r="AR2105" s="173"/>
      <c r="AS2105" s="173"/>
      <c r="AT2105" s="140"/>
      <c r="AX2105" s="140"/>
      <c r="BB2105" s="173"/>
      <c r="BC2105" s="173"/>
    </row>
    <row r="2106" spans="2:55" s="134" customFormat="1" x14ac:dyDescent="0.2">
      <c r="B2106" s="145"/>
      <c r="D2106" s="145"/>
      <c r="Z2106" s="177"/>
      <c r="AA2106" s="178"/>
      <c r="AB2106" s="139"/>
      <c r="AC2106" s="173"/>
      <c r="AD2106" s="177"/>
      <c r="AE2106" s="177"/>
      <c r="AF2106" s="139"/>
      <c r="AG2106" s="139"/>
      <c r="AH2106" s="177"/>
      <c r="AI2106" s="178"/>
      <c r="AJ2106" s="139"/>
      <c r="AK2106" s="173"/>
      <c r="AL2106" s="177"/>
      <c r="AM2106" s="178"/>
      <c r="AN2106" s="173"/>
      <c r="AO2106" s="173"/>
      <c r="AP2106" s="173"/>
      <c r="AQ2106" s="178"/>
      <c r="AR2106" s="173"/>
      <c r="AS2106" s="173"/>
      <c r="AT2106" s="140"/>
      <c r="AX2106" s="140"/>
      <c r="BB2106" s="173"/>
      <c r="BC2106" s="173"/>
    </row>
    <row r="2107" spans="2:55" s="134" customFormat="1" x14ac:dyDescent="0.2">
      <c r="B2107" s="145"/>
      <c r="D2107" s="145"/>
      <c r="Z2107" s="177"/>
      <c r="AA2107" s="178"/>
      <c r="AB2107" s="139"/>
      <c r="AC2107" s="173"/>
      <c r="AD2107" s="177"/>
      <c r="AE2107" s="177"/>
      <c r="AF2107" s="139"/>
      <c r="AG2107" s="139"/>
      <c r="AH2107" s="177"/>
      <c r="AI2107" s="178"/>
      <c r="AJ2107" s="139"/>
      <c r="AK2107" s="173"/>
      <c r="AL2107" s="177"/>
      <c r="AM2107" s="178"/>
      <c r="AN2107" s="173"/>
      <c r="AO2107" s="173"/>
      <c r="AP2107" s="173"/>
      <c r="AQ2107" s="178"/>
      <c r="AR2107" s="173"/>
      <c r="AS2107" s="173"/>
      <c r="AT2107" s="140"/>
      <c r="AX2107" s="140"/>
      <c r="BB2107" s="173"/>
      <c r="BC2107" s="173"/>
    </row>
    <row r="2108" spans="2:55" s="134" customFormat="1" x14ac:dyDescent="0.2">
      <c r="B2108" s="145"/>
      <c r="D2108" s="145"/>
      <c r="Z2108" s="177"/>
      <c r="AA2108" s="178"/>
      <c r="AB2108" s="139"/>
      <c r="AC2108" s="173"/>
      <c r="AD2108" s="177"/>
      <c r="AE2108" s="177"/>
      <c r="AF2108" s="139"/>
      <c r="AG2108" s="139"/>
      <c r="AH2108" s="177"/>
      <c r="AI2108" s="178"/>
      <c r="AJ2108" s="139"/>
      <c r="AK2108" s="173"/>
      <c r="AL2108" s="177"/>
      <c r="AM2108" s="178"/>
      <c r="AN2108" s="173"/>
      <c r="AO2108" s="173"/>
      <c r="AP2108" s="173"/>
      <c r="AQ2108" s="178"/>
      <c r="AR2108" s="173"/>
      <c r="AS2108" s="173"/>
      <c r="AT2108" s="140"/>
      <c r="AX2108" s="140"/>
      <c r="BB2108" s="173"/>
      <c r="BC2108" s="173"/>
    </row>
    <row r="2109" spans="2:55" s="134" customFormat="1" x14ac:dyDescent="0.2">
      <c r="B2109" s="145"/>
      <c r="D2109" s="145"/>
      <c r="Z2109" s="177"/>
      <c r="AA2109" s="178"/>
      <c r="AB2109" s="139"/>
      <c r="AC2109" s="173"/>
      <c r="AD2109" s="177"/>
      <c r="AE2109" s="177"/>
      <c r="AF2109" s="139"/>
      <c r="AG2109" s="139"/>
      <c r="AH2109" s="177"/>
      <c r="AI2109" s="178"/>
      <c r="AJ2109" s="139"/>
      <c r="AK2109" s="173"/>
      <c r="AL2109" s="177"/>
      <c r="AM2109" s="178"/>
      <c r="AN2109" s="173"/>
      <c r="AO2109" s="173"/>
      <c r="AP2109" s="173"/>
      <c r="AQ2109" s="178"/>
      <c r="AR2109" s="173"/>
      <c r="AS2109" s="173"/>
      <c r="AT2109" s="140"/>
      <c r="AX2109" s="140"/>
      <c r="BB2109" s="173"/>
      <c r="BC2109" s="173"/>
    </row>
    <row r="2110" spans="2:55" s="134" customFormat="1" x14ac:dyDescent="0.2">
      <c r="B2110" s="145"/>
      <c r="D2110" s="145"/>
      <c r="Z2110" s="177"/>
      <c r="AA2110" s="178"/>
      <c r="AB2110" s="139"/>
      <c r="AC2110" s="173"/>
      <c r="AD2110" s="177"/>
      <c r="AE2110" s="177"/>
      <c r="AF2110" s="139"/>
      <c r="AG2110" s="139"/>
      <c r="AH2110" s="177"/>
      <c r="AI2110" s="178"/>
      <c r="AJ2110" s="139"/>
      <c r="AK2110" s="173"/>
      <c r="AL2110" s="177"/>
      <c r="AM2110" s="178"/>
      <c r="AN2110" s="173"/>
      <c r="AO2110" s="173"/>
      <c r="AP2110" s="173"/>
      <c r="AQ2110" s="178"/>
      <c r="AR2110" s="173"/>
      <c r="AS2110" s="173"/>
      <c r="AT2110" s="140"/>
      <c r="AX2110" s="140"/>
      <c r="BB2110" s="173"/>
      <c r="BC2110" s="173"/>
    </row>
    <row r="2111" spans="2:55" s="134" customFormat="1" x14ac:dyDescent="0.2">
      <c r="B2111" s="145"/>
      <c r="D2111" s="145"/>
      <c r="Z2111" s="177"/>
      <c r="AA2111" s="178"/>
      <c r="AB2111" s="139"/>
      <c r="AC2111" s="173"/>
      <c r="AD2111" s="177"/>
      <c r="AE2111" s="177"/>
      <c r="AF2111" s="139"/>
      <c r="AG2111" s="139"/>
      <c r="AH2111" s="177"/>
      <c r="AI2111" s="178"/>
      <c r="AJ2111" s="139"/>
      <c r="AK2111" s="173"/>
      <c r="AL2111" s="177"/>
      <c r="AM2111" s="178"/>
      <c r="AN2111" s="173"/>
      <c r="AO2111" s="173"/>
      <c r="AP2111" s="173"/>
      <c r="AQ2111" s="178"/>
      <c r="AR2111" s="173"/>
      <c r="AS2111" s="173"/>
      <c r="AT2111" s="140"/>
      <c r="AX2111" s="140"/>
      <c r="BB2111" s="173"/>
      <c r="BC2111" s="173"/>
    </row>
    <row r="2112" spans="2:55" s="134" customFormat="1" x14ac:dyDescent="0.2">
      <c r="B2112" s="145"/>
      <c r="D2112" s="145"/>
      <c r="Z2112" s="177"/>
      <c r="AA2112" s="178"/>
      <c r="AB2112" s="139"/>
      <c r="AC2112" s="173"/>
      <c r="AD2112" s="177"/>
      <c r="AE2112" s="177"/>
      <c r="AF2112" s="139"/>
      <c r="AG2112" s="139"/>
      <c r="AH2112" s="177"/>
      <c r="AI2112" s="178"/>
      <c r="AJ2112" s="139"/>
      <c r="AK2112" s="173"/>
      <c r="AL2112" s="177"/>
      <c r="AM2112" s="178"/>
      <c r="AN2112" s="173"/>
      <c r="AO2112" s="173"/>
      <c r="AP2112" s="173"/>
      <c r="AQ2112" s="178"/>
      <c r="AR2112" s="173"/>
      <c r="AS2112" s="173"/>
      <c r="AT2112" s="140"/>
      <c r="AX2112" s="140"/>
      <c r="BB2112" s="173"/>
      <c r="BC2112" s="173"/>
    </row>
    <row r="2113" spans="2:55" s="134" customFormat="1" x14ac:dyDescent="0.2">
      <c r="B2113" s="145"/>
      <c r="D2113" s="145"/>
      <c r="Z2113" s="177"/>
      <c r="AA2113" s="178"/>
      <c r="AB2113" s="139"/>
      <c r="AC2113" s="173"/>
      <c r="AD2113" s="177"/>
      <c r="AE2113" s="177"/>
      <c r="AF2113" s="139"/>
      <c r="AG2113" s="139"/>
      <c r="AH2113" s="177"/>
      <c r="AI2113" s="178"/>
      <c r="AJ2113" s="139"/>
      <c r="AK2113" s="173"/>
      <c r="AL2113" s="177"/>
      <c r="AM2113" s="178"/>
      <c r="AN2113" s="173"/>
      <c r="AO2113" s="173"/>
      <c r="AP2113" s="173"/>
      <c r="AQ2113" s="178"/>
      <c r="AR2113" s="173"/>
      <c r="AS2113" s="173"/>
      <c r="AT2113" s="140"/>
      <c r="AX2113" s="140"/>
      <c r="BB2113" s="173"/>
      <c r="BC2113" s="173"/>
    </row>
    <row r="2114" spans="2:55" s="134" customFormat="1" x14ac:dyDescent="0.2">
      <c r="B2114" s="145"/>
      <c r="D2114" s="145"/>
      <c r="Z2114" s="177"/>
      <c r="AA2114" s="178"/>
      <c r="AB2114" s="139"/>
      <c r="AC2114" s="173"/>
      <c r="AD2114" s="177"/>
      <c r="AE2114" s="177"/>
      <c r="AF2114" s="139"/>
      <c r="AG2114" s="139"/>
      <c r="AH2114" s="177"/>
      <c r="AI2114" s="178"/>
      <c r="AJ2114" s="139"/>
      <c r="AK2114" s="173"/>
      <c r="AL2114" s="177"/>
      <c r="AM2114" s="178"/>
      <c r="AN2114" s="173"/>
      <c r="AO2114" s="173"/>
      <c r="AP2114" s="173"/>
      <c r="AQ2114" s="178"/>
      <c r="AR2114" s="173"/>
      <c r="AS2114" s="173"/>
      <c r="AT2114" s="140"/>
      <c r="AX2114" s="140"/>
      <c r="BB2114" s="173"/>
      <c r="BC2114" s="173"/>
    </row>
    <row r="2115" spans="2:55" s="134" customFormat="1" x14ac:dyDescent="0.2">
      <c r="B2115" s="145"/>
      <c r="D2115" s="145"/>
      <c r="Z2115" s="177"/>
      <c r="AA2115" s="178"/>
      <c r="AB2115" s="139"/>
      <c r="AC2115" s="173"/>
      <c r="AD2115" s="177"/>
      <c r="AE2115" s="177"/>
      <c r="AF2115" s="139"/>
      <c r="AG2115" s="139"/>
      <c r="AH2115" s="177"/>
      <c r="AI2115" s="178"/>
      <c r="AJ2115" s="139"/>
      <c r="AK2115" s="173"/>
      <c r="AL2115" s="177"/>
      <c r="AM2115" s="178"/>
      <c r="AN2115" s="173"/>
      <c r="AO2115" s="173"/>
      <c r="AP2115" s="173"/>
      <c r="AQ2115" s="178"/>
      <c r="AR2115" s="173"/>
      <c r="AS2115" s="173"/>
      <c r="AT2115" s="140"/>
      <c r="AX2115" s="140"/>
      <c r="BB2115" s="173"/>
      <c r="BC2115" s="173"/>
    </row>
    <row r="2116" spans="2:55" s="134" customFormat="1" x14ac:dyDescent="0.2">
      <c r="B2116" s="145"/>
      <c r="D2116" s="145"/>
      <c r="Z2116" s="177"/>
      <c r="AA2116" s="178"/>
      <c r="AB2116" s="139"/>
      <c r="AC2116" s="173"/>
      <c r="AD2116" s="177"/>
      <c r="AE2116" s="177"/>
      <c r="AF2116" s="139"/>
      <c r="AG2116" s="139"/>
      <c r="AH2116" s="177"/>
      <c r="AI2116" s="178"/>
      <c r="AJ2116" s="139"/>
      <c r="AK2116" s="173"/>
      <c r="AL2116" s="177"/>
      <c r="AM2116" s="178"/>
      <c r="AN2116" s="173"/>
      <c r="AO2116" s="173"/>
      <c r="AP2116" s="173"/>
      <c r="AQ2116" s="178"/>
      <c r="AR2116" s="173"/>
      <c r="AS2116" s="173"/>
      <c r="AT2116" s="140"/>
      <c r="AX2116" s="140"/>
      <c r="BB2116" s="173"/>
      <c r="BC2116" s="173"/>
    </row>
    <row r="2117" spans="2:55" s="134" customFormat="1" x14ac:dyDescent="0.2">
      <c r="B2117" s="145"/>
      <c r="D2117" s="145"/>
      <c r="Z2117" s="177"/>
      <c r="AA2117" s="178"/>
      <c r="AB2117" s="139"/>
      <c r="AC2117" s="173"/>
      <c r="AD2117" s="177"/>
      <c r="AE2117" s="177"/>
      <c r="AF2117" s="139"/>
      <c r="AG2117" s="139"/>
      <c r="AH2117" s="177"/>
      <c r="AI2117" s="178"/>
      <c r="AJ2117" s="139"/>
      <c r="AK2117" s="173"/>
      <c r="AL2117" s="177"/>
      <c r="AM2117" s="178"/>
      <c r="AN2117" s="173"/>
      <c r="AO2117" s="173"/>
      <c r="AP2117" s="173"/>
      <c r="AQ2117" s="178"/>
      <c r="AR2117" s="173"/>
      <c r="AS2117" s="173"/>
      <c r="AT2117" s="140"/>
      <c r="AX2117" s="140"/>
      <c r="BB2117" s="173"/>
      <c r="BC2117" s="173"/>
    </row>
    <row r="2118" spans="2:55" s="134" customFormat="1" x14ac:dyDescent="0.2">
      <c r="B2118" s="145"/>
      <c r="D2118" s="145"/>
      <c r="Z2118" s="177"/>
      <c r="AA2118" s="178"/>
      <c r="AB2118" s="139"/>
      <c r="AC2118" s="173"/>
      <c r="AD2118" s="177"/>
      <c r="AE2118" s="177"/>
      <c r="AF2118" s="139"/>
      <c r="AG2118" s="139"/>
      <c r="AH2118" s="177"/>
      <c r="AI2118" s="178"/>
      <c r="AJ2118" s="139"/>
      <c r="AK2118" s="173"/>
      <c r="AL2118" s="177"/>
      <c r="AM2118" s="178"/>
      <c r="AN2118" s="173"/>
      <c r="AO2118" s="173"/>
      <c r="AP2118" s="173"/>
      <c r="AQ2118" s="178"/>
      <c r="AR2118" s="173"/>
      <c r="AS2118" s="173"/>
      <c r="AT2118" s="140"/>
      <c r="AX2118" s="140"/>
      <c r="BB2118" s="173"/>
      <c r="BC2118" s="173"/>
    </row>
    <row r="2119" spans="2:55" s="134" customFormat="1" x14ac:dyDescent="0.2">
      <c r="B2119" s="145"/>
      <c r="D2119" s="145"/>
      <c r="Z2119" s="177"/>
      <c r="AA2119" s="178"/>
      <c r="AB2119" s="139"/>
      <c r="AC2119" s="173"/>
      <c r="AD2119" s="177"/>
      <c r="AE2119" s="177"/>
      <c r="AF2119" s="139"/>
      <c r="AG2119" s="139"/>
      <c r="AH2119" s="177"/>
      <c r="AI2119" s="178"/>
      <c r="AJ2119" s="139"/>
      <c r="AK2119" s="173"/>
      <c r="AL2119" s="177"/>
      <c r="AM2119" s="178"/>
      <c r="AN2119" s="173"/>
      <c r="AO2119" s="173"/>
      <c r="AP2119" s="173"/>
      <c r="AQ2119" s="178"/>
      <c r="AR2119" s="173"/>
      <c r="AS2119" s="173"/>
      <c r="AT2119" s="140"/>
      <c r="AX2119" s="140"/>
      <c r="BB2119" s="173"/>
      <c r="BC2119" s="173"/>
    </row>
    <row r="2120" spans="2:55" s="134" customFormat="1" x14ac:dyDescent="0.2">
      <c r="B2120" s="145"/>
      <c r="D2120" s="145"/>
      <c r="Z2120" s="177"/>
      <c r="AA2120" s="178"/>
      <c r="AB2120" s="139"/>
      <c r="AC2120" s="173"/>
      <c r="AD2120" s="177"/>
      <c r="AE2120" s="177"/>
      <c r="AF2120" s="139"/>
      <c r="AG2120" s="139"/>
      <c r="AH2120" s="177"/>
      <c r="AI2120" s="178"/>
      <c r="AJ2120" s="139"/>
      <c r="AK2120" s="173"/>
      <c r="AL2120" s="177"/>
      <c r="AM2120" s="178"/>
      <c r="AN2120" s="173"/>
      <c r="AO2120" s="173"/>
      <c r="AP2120" s="173"/>
      <c r="AQ2120" s="178"/>
      <c r="AR2120" s="173"/>
      <c r="AS2120" s="173"/>
      <c r="AT2120" s="140"/>
      <c r="AX2120" s="140"/>
      <c r="BB2120" s="173"/>
      <c r="BC2120" s="173"/>
    </row>
    <row r="2121" spans="2:55" s="134" customFormat="1" x14ac:dyDescent="0.2">
      <c r="B2121" s="145"/>
      <c r="D2121" s="145"/>
      <c r="Z2121" s="177"/>
      <c r="AA2121" s="178"/>
      <c r="AB2121" s="139"/>
      <c r="AC2121" s="173"/>
      <c r="AD2121" s="177"/>
      <c r="AE2121" s="177"/>
      <c r="AF2121" s="139"/>
      <c r="AG2121" s="139"/>
      <c r="AH2121" s="177"/>
      <c r="AI2121" s="178"/>
      <c r="AJ2121" s="139"/>
      <c r="AK2121" s="173"/>
      <c r="AL2121" s="177"/>
      <c r="AM2121" s="178"/>
      <c r="AN2121" s="173"/>
      <c r="AO2121" s="173"/>
      <c r="AP2121" s="173"/>
      <c r="AQ2121" s="178"/>
      <c r="AR2121" s="173"/>
      <c r="AS2121" s="173"/>
      <c r="AT2121" s="140"/>
      <c r="AX2121" s="140"/>
      <c r="BB2121" s="173"/>
      <c r="BC2121" s="173"/>
    </row>
    <row r="2122" spans="2:55" s="134" customFormat="1" x14ac:dyDescent="0.2">
      <c r="B2122" s="145"/>
      <c r="D2122" s="145"/>
      <c r="Z2122" s="177"/>
      <c r="AA2122" s="178"/>
      <c r="AB2122" s="139"/>
      <c r="AC2122" s="173"/>
      <c r="AD2122" s="177"/>
      <c r="AE2122" s="177"/>
      <c r="AF2122" s="139"/>
      <c r="AG2122" s="139"/>
      <c r="AH2122" s="177"/>
      <c r="AI2122" s="178"/>
      <c r="AJ2122" s="139"/>
      <c r="AK2122" s="173"/>
      <c r="AL2122" s="177"/>
      <c r="AM2122" s="178"/>
      <c r="AN2122" s="173"/>
      <c r="AO2122" s="173"/>
      <c r="AP2122" s="173"/>
      <c r="AQ2122" s="178"/>
      <c r="AR2122" s="173"/>
      <c r="AS2122" s="173"/>
      <c r="AT2122" s="140"/>
      <c r="AX2122" s="140"/>
      <c r="BB2122" s="173"/>
      <c r="BC2122" s="173"/>
    </row>
    <row r="2123" spans="2:55" s="134" customFormat="1" x14ac:dyDescent="0.2">
      <c r="B2123" s="145"/>
      <c r="D2123" s="145"/>
      <c r="Z2123" s="177"/>
      <c r="AA2123" s="178"/>
      <c r="AB2123" s="139"/>
      <c r="AC2123" s="173"/>
      <c r="AD2123" s="177"/>
      <c r="AE2123" s="177"/>
      <c r="AF2123" s="139"/>
      <c r="AG2123" s="139"/>
      <c r="AH2123" s="177"/>
      <c r="AI2123" s="178"/>
      <c r="AJ2123" s="139"/>
      <c r="AK2123" s="173"/>
      <c r="AL2123" s="177"/>
      <c r="AM2123" s="178"/>
      <c r="AN2123" s="173"/>
      <c r="AO2123" s="173"/>
      <c r="AP2123" s="173"/>
      <c r="AQ2123" s="178"/>
      <c r="AR2123" s="173"/>
      <c r="AS2123" s="173"/>
      <c r="AT2123" s="140"/>
      <c r="AX2123" s="140"/>
      <c r="BB2123" s="173"/>
      <c r="BC2123" s="173"/>
    </row>
    <row r="2124" spans="2:55" s="134" customFormat="1" x14ac:dyDescent="0.2">
      <c r="B2124" s="145"/>
      <c r="D2124" s="145"/>
      <c r="Z2124" s="177"/>
      <c r="AA2124" s="178"/>
      <c r="AB2124" s="139"/>
      <c r="AC2124" s="173"/>
      <c r="AD2124" s="177"/>
      <c r="AE2124" s="177"/>
      <c r="AF2124" s="139"/>
      <c r="AG2124" s="139"/>
      <c r="AH2124" s="177"/>
      <c r="AI2124" s="178"/>
      <c r="AJ2124" s="139"/>
      <c r="AK2124" s="173"/>
      <c r="AL2124" s="177"/>
      <c r="AM2124" s="178"/>
      <c r="AN2124" s="173"/>
      <c r="AO2124" s="173"/>
      <c r="AP2124" s="173"/>
      <c r="AQ2124" s="178"/>
      <c r="AR2124" s="173"/>
      <c r="AS2124" s="173"/>
      <c r="AT2124" s="140"/>
      <c r="AX2124" s="140"/>
      <c r="BB2124" s="173"/>
      <c r="BC2124" s="173"/>
    </row>
    <row r="2125" spans="2:55" s="134" customFormat="1" x14ac:dyDescent="0.2">
      <c r="B2125" s="145"/>
      <c r="D2125" s="145"/>
      <c r="Z2125" s="177"/>
      <c r="AA2125" s="178"/>
      <c r="AB2125" s="139"/>
      <c r="AC2125" s="173"/>
      <c r="AD2125" s="177"/>
      <c r="AE2125" s="177"/>
      <c r="AF2125" s="139"/>
      <c r="AG2125" s="139"/>
      <c r="AH2125" s="177"/>
      <c r="AI2125" s="178"/>
      <c r="AJ2125" s="139"/>
      <c r="AK2125" s="173"/>
      <c r="AL2125" s="177"/>
      <c r="AM2125" s="178"/>
      <c r="AN2125" s="173"/>
      <c r="AO2125" s="173"/>
      <c r="AP2125" s="173"/>
      <c r="AQ2125" s="178"/>
      <c r="AR2125" s="173"/>
      <c r="AS2125" s="173"/>
      <c r="AT2125" s="140"/>
      <c r="AX2125" s="140"/>
      <c r="BB2125" s="173"/>
      <c r="BC2125" s="173"/>
    </row>
    <row r="2126" spans="2:55" s="134" customFormat="1" x14ac:dyDescent="0.2">
      <c r="B2126" s="145"/>
      <c r="D2126" s="145"/>
      <c r="Z2126" s="177"/>
      <c r="AA2126" s="178"/>
      <c r="AB2126" s="139"/>
      <c r="AC2126" s="173"/>
      <c r="AD2126" s="177"/>
      <c r="AE2126" s="177"/>
      <c r="AF2126" s="139"/>
      <c r="AG2126" s="139"/>
      <c r="AH2126" s="177"/>
      <c r="AI2126" s="178"/>
      <c r="AJ2126" s="139"/>
      <c r="AK2126" s="173"/>
      <c r="AL2126" s="177"/>
      <c r="AM2126" s="178"/>
      <c r="AN2126" s="173"/>
      <c r="AO2126" s="173"/>
      <c r="AP2126" s="173"/>
      <c r="AQ2126" s="178"/>
      <c r="AR2126" s="173"/>
      <c r="AS2126" s="173"/>
      <c r="AT2126" s="140"/>
      <c r="AX2126" s="140"/>
      <c r="BB2126" s="173"/>
      <c r="BC2126" s="173"/>
    </row>
    <row r="2127" spans="2:55" s="134" customFormat="1" x14ac:dyDescent="0.2">
      <c r="B2127" s="145"/>
      <c r="D2127" s="145"/>
      <c r="Z2127" s="177"/>
      <c r="AA2127" s="178"/>
      <c r="AB2127" s="139"/>
      <c r="AC2127" s="173"/>
      <c r="AD2127" s="177"/>
      <c r="AE2127" s="177"/>
      <c r="AF2127" s="139"/>
      <c r="AG2127" s="139"/>
      <c r="AH2127" s="177"/>
      <c r="AI2127" s="178"/>
      <c r="AJ2127" s="139"/>
      <c r="AK2127" s="173"/>
      <c r="AL2127" s="177"/>
      <c r="AM2127" s="178"/>
      <c r="AN2127" s="173"/>
      <c r="AO2127" s="173"/>
      <c r="AP2127" s="173"/>
      <c r="AQ2127" s="178"/>
      <c r="AR2127" s="173"/>
      <c r="AS2127" s="173"/>
      <c r="AT2127" s="140"/>
      <c r="AX2127" s="140"/>
      <c r="BB2127" s="173"/>
      <c r="BC2127" s="173"/>
    </row>
    <row r="2128" spans="2:55" s="134" customFormat="1" x14ac:dyDescent="0.2">
      <c r="B2128" s="145"/>
      <c r="D2128" s="145"/>
      <c r="Z2128" s="177"/>
      <c r="AA2128" s="178"/>
      <c r="AB2128" s="139"/>
      <c r="AC2128" s="173"/>
      <c r="AD2128" s="177"/>
      <c r="AE2128" s="177"/>
      <c r="AF2128" s="139"/>
      <c r="AG2128" s="139"/>
      <c r="AH2128" s="177"/>
      <c r="AI2128" s="178"/>
      <c r="AJ2128" s="139"/>
      <c r="AK2128" s="173"/>
      <c r="AL2128" s="177"/>
      <c r="AM2128" s="178"/>
      <c r="AN2128" s="173"/>
      <c r="AO2128" s="173"/>
      <c r="AP2128" s="173"/>
      <c r="AQ2128" s="178"/>
      <c r="AR2128" s="173"/>
      <c r="AS2128" s="173"/>
      <c r="AT2128" s="140"/>
      <c r="AX2128" s="140"/>
      <c r="BB2128" s="173"/>
      <c r="BC2128" s="173"/>
    </row>
    <row r="2129" spans="2:55" s="134" customFormat="1" x14ac:dyDescent="0.2">
      <c r="B2129" s="145"/>
      <c r="D2129" s="145"/>
      <c r="Z2129" s="177"/>
      <c r="AA2129" s="178"/>
      <c r="AB2129" s="139"/>
      <c r="AC2129" s="173"/>
      <c r="AD2129" s="177"/>
      <c r="AE2129" s="177"/>
      <c r="AF2129" s="139"/>
      <c r="AG2129" s="139"/>
      <c r="AH2129" s="177"/>
      <c r="AI2129" s="178"/>
      <c r="AJ2129" s="139"/>
      <c r="AK2129" s="173"/>
      <c r="AL2129" s="177"/>
      <c r="AM2129" s="178"/>
      <c r="AN2129" s="173"/>
      <c r="AO2129" s="173"/>
      <c r="AP2129" s="173"/>
      <c r="AQ2129" s="178"/>
      <c r="AR2129" s="173"/>
      <c r="AS2129" s="173"/>
      <c r="AT2129" s="140"/>
      <c r="AX2129" s="140"/>
      <c r="BB2129" s="173"/>
      <c r="BC2129" s="173"/>
    </row>
    <row r="2130" spans="2:55" s="134" customFormat="1" x14ac:dyDescent="0.2">
      <c r="B2130" s="145"/>
      <c r="D2130" s="145"/>
      <c r="Z2130" s="177"/>
      <c r="AA2130" s="178"/>
      <c r="AB2130" s="139"/>
      <c r="AC2130" s="173"/>
      <c r="AD2130" s="177"/>
      <c r="AE2130" s="177"/>
      <c r="AF2130" s="139"/>
      <c r="AG2130" s="139"/>
      <c r="AH2130" s="177"/>
      <c r="AI2130" s="178"/>
      <c r="AJ2130" s="139"/>
      <c r="AK2130" s="173"/>
      <c r="AL2130" s="177"/>
      <c r="AM2130" s="178"/>
      <c r="AN2130" s="173"/>
      <c r="AO2130" s="173"/>
      <c r="AP2130" s="173"/>
      <c r="AQ2130" s="178"/>
      <c r="AR2130" s="173"/>
      <c r="AS2130" s="173"/>
      <c r="AT2130" s="140"/>
      <c r="AX2130" s="140"/>
      <c r="BB2130" s="173"/>
      <c r="BC2130" s="173"/>
    </row>
    <row r="2131" spans="2:55" s="134" customFormat="1" x14ac:dyDescent="0.2">
      <c r="B2131" s="145"/>
      <c r="D2131" s="145"/>
      <c r="Z2131" s="177"/>
      <c r="AA2131" s="178"/>
      <c r="AB2131" s="139"/>
      <c r="AC2131" s="173"/>
      <c r="AD2131" s="177"/>
      <c r="AE2131" s="177"/>
      <c r="AF2131" s="139"/>
      <c r="AG2131" s="139"/>
      <c r="AH2131" s="177"/>
      <c r="AI2131" s="178"/>
      <c r="AJ2131" s="139"/>
      <c r="AK2131" s="173"/>
      <c r="AL2131" s="177"/>
      <c r="AM2131" s="178"/>
      <c r="AN2131" s="173"/>
      <c r="AO2131" s="173"/>
      <c r="AP2131" s="173"/>
      <c r="AQ2131" s="178"/>
      <c r="AR2131" s="173"/>
      <c r="AS2131" s="173"/>
      <c r="AT2131" s="140"/>
      <c r="AX2131" s="140"/>
      <c r="BB2131" s="173"/>
      <c r="BC2131" s="173"/>
    </row>
    <row r="2132" spans="2:55" s="134" customFormat="1" x14ac:dyDescent="0.2">
      <c r="B2132" s="145"/>
      <c r="D2132" s="145"/>
      <c r="Z2132" s="177"/>
      <c r="AA2132" s="178"/>
      <c r="AB2132" s="139"/>
      <c r="AC2132" s="173"/>
      <c r="AD2132" s="177"/>
      <c r="AE2132" s="177"/>
      <c r="AF2132" s="139"/>
      <c r="AG2132" s="139"/>
      <c r="AH2132" s="177"/>
      <c r="AI2132" s="178"/>
      <c r="AJ2132" s="139"/>
      <c r="AK2132" s="173"/>
      <c r="AL2132" s="177"/>
      <c r="AM2132" s="178"/>
      <c r="AN2132" s="173"/>
      <c r="AO2132" s="173"/>
      <c r="AP2132" s="173"/>
      <c r="AQ2132" s="178"/>
      <c r="AR2132" s="173"/>
      <c r="AS2132" s="173"/>
      <c r="AT2132" s="140"/>
      <c r="AX2132" s="140"/>
      <c r="BB2132" s="173"/>
      <c r="BC2132" s="173"/>
    </row>
    <row r="2133" spans="2:55" s="134" customFormat="1" x14ac:dyDescent="0.2">
      <c r="B2133" s="145"/>
      <c r="D2133" s="145"/>
      <c r="Z2133" s="177"/>
      <c r="AA2133" s="178"/>
      <c r="AB2133" s="139"/>
      <c r="AC2133" s="173"/>
      <c r="AD2133" s="177"/>
      <c r="AE2133" s="177"/>
      <c r="AF2133" s="139"/>
      <c r="AG2133" s="139"/>
      <c r="AH2133" s="177"/>
      <c r="AI2133" s="178"/>
      <c r="AJ2133" s="139"/>
      <c r="AK2133" s="173"/>
      <c r="AL2133" s="177"/>
      <c r="AM2133" s="178"/>
      <c r="AN2133" s="173"/>
      <c r="AO2133" s="173"/>
      <c r="AP2133" s="173"/>
      <c r="AQ2133" s="178"/>
      <c r="AR2133" s="173"/>
      <c r="AS2133" s="173"/>
      <c r="AT2133" s="140"/>
      <c r="AX2133" s="140"/>
      <c r="BB2133" s="173"/>
      <c r="BC2133" s="173"/>
    </row>
    <row r="2134" spans="2:55" s="134" customFormat="1" x14ac:dyDescent="0.2">
      <c r="B2134" s="145"/>
      <c r="D2134" s="145"/>
      <c r="Z2134" s="177"/>
      <c r="AA2134" s="178"/>
      <c r="AB2134" s="139"/>
      <c r="AC2134" s="173"/>
      <c r="AD2134" s="177"/>
      <c r="AE2134" s="177"/>
      <c r="AF2134" s="139"/>
      <c r="AG2134" s="139"/>
      <c r="AH2134" s="177"/>
      <c r="AI2134" s="178"/>
      <c r="AJ2134" s="139"/>
      <c r="AK2134" s="173"/>
      <c r="AL2134" s="177"/>
      <c r="AM2134" s="178"/>
      <c r="AN2134" s="173"/>
      <c r="AO2134" s="173"/>
      <c r="AP2134" s="173"/>
      <c r="AQ2134" s="178"/>
      <c r="AR2134" s="173"/>
      <c r="AS2134" s="173"/>
      <c r="AT2134" s="140"/>
      <c r="AX2134" s="140"/>
      <c r="BB2134" s="173"/>
      <c r="BC2134" s="173"/>
    </row>
    <row r="2135" spans="2:55" s="134" customFormat="1" x14ac:dyDescent="0.2">
      <c r="B2135" s="145"/>
      <c r="D2135" s="145"/>
      <c r="Z2135" s="177"/>
      <c r="AA2135" s="178"/>
      <c r="AB2135" s="139"/>
      <c r="AC2135" s="173"/>
      <c r="AD2135" s="177"/>
      <c r="AE2135" s="177"/>
      <c r="AF2135" s="139"/>
      <c r="AG2135" s="139"/>
      <c r="AH2135" s="177"/>
      <c r="AI2135" s="178"/>
      <c r="AJ2135" s="139"/>
      <c r="AK2135" s="173"/>
      <c r="AL2135" s="177"/>
      <c r="AM2135" s="178"/>
      <c r="AN2135" s="173"/>
      <c r="AO2135" s="173"/>
      <c r="AP2135" s="173"/>
      <c r="AQ2135" s="178"/>
      <c r="AR2135" s="173"/>
      <c r="AS2135" s="173"/>
      <c r="AT2135" s="140"/>
      <c r="AX2135" s="140"/>
      <c r="BB2135" s="173"/>
      <c r="BC2135" s="173"/>
    </row>
    <row r="2136" spans="2:55" s="134" customFormat="1" x14ac:dyDescent="0.2">
      <c r="B2136" s="145"/>
      <c r="D2136" s="145"/>
      <c r="Z2136" s="177"/>
      <c r="AA2136" s="178"/>
      <c r="AB2136" s="139"/>
      <c r="AC2136" s="173"/>
      <c r="AD2136" s="177"/>
      <c r="AE2136" s="177"/>
      <c r="AF2136" s="139"/>
      <c r="AG2136" s="139"/>
      <c r="AH2136" s="177"/>
      <c r="AI2136" s="178"/>
      <c r="AJ2136" s="139"/>
      <c r="AK2136" s="173"/>
      <c r="AL2136" s="177"/>
      <c r="AM2136" s="178"/>
      <c r="AN2136" s="173"/>
      <c r="AO2136" s="173"/>
      <c r="AP2136" s="173"/>
      <c r="AQ2136" s="178"/>
      <c r="AR2136" s="173"/>
      <c r="AS2136" s="173"/>
      <c r="AT2136" s="140"/>
      <c r="AX2136" s="140"/>
      <c r="BB2136" s="173"/>
      <c r="BC2136" s="173"/>
    </row>
    <row r="2137" spans="2:55" s="134" customFormat="1" x14ac:dyDescent="0.2">
      <c r="B2137" s="145"/>
      <c r="D2137" s="145"/>
      <c r="Z2137" s="177"/>
      <c r="AA2137" s="178"/>
      <c r="AB2137" s="139"/>
      <c r="AC2137" s="173"/>
      <c r="AD2137" s="177"/>
      <c r="AE2137" s="177"/>
      <c r="AF2137" s="139"/>
      <c r="AG2137" s="139"/>
      <c r="AH2137" s="177"/>
      <c r="AI2137" s="178"/>
      <c r="AJ2137" s="139"/>
      <c r="AK2137" s="173"/>
      <c r="AL2137" s="177"/>
      <c r="AM2137" s="178"/>
      <c r="AN2137" s="173"/>
      <c r="AO2137" s="173"/>
      <c r="AP2137" s="173"/>
      <c r="AQ2137" s="178"/>
      <c r="AR2137" s="173"/>
      <c r="AS2137" s="173"/>
      <c r="AT2137" s="140"/>
      <c r="AX2137" s="140"/>
      <c r="BB2137" s="173"/>
      <c r="BC2137" s="173"/>
    </row>
    <row r="2138" spans="2:55" s="134" customFormat="1" x14ac:dyDescent="0.2">
      <c r="B2138" s="145"/>
      <c r="D2138" s="145"/>
      <c r="Z2138" s="177"/>
      <c r="AA2138" s="178"/>
      <c r="AB2138" s="139"/>
      <c r="AC2138" s="173"/>
      <c r="AD2138" s="177"/>
      <c r="AE2138" s="177"/>
      <c r="AF2138" s="139"/>
      <c r="AG2138" s="139"/>
      <c r="AH2138" s="177"/>
      <c r="AI2138" s="178"/>
      <c r="AJ2138" s="139"/>
      <c r="AK2138" s="173"/>
      <c r="AL2138" s="177"/>
      <c r="AM2138" s="178"/>
      <c r="AN2138" s="173"/>
      <c r="AO2138" s="173"/>
      <c r="AP2138" s="173"/>
      <c r="AQ2138" s="178"/>
      <c r="AR2138" s="173"/>
      <c r="AS2138" s="173"/>
      <c r="AT2138" s="140"/>
      <c r="AX2138" s="140"/>
      <c r="BB2138" s="173"/>
      <c r="BC2138" s="173"/>
    </row>
    <row r="2139" spans="2:55" s="134" customFormat="1" x14ac:dyDescent="0.2">
      <c r="B2139" s="145"/>
      <c r="D2139" s="145"/>
      <c r="Z2139" s="177"/>
      <c r="AA2139" s="178"/>
      <c r="AB2139" s="139"/>
      <c r="AC2139" s="173"/>
      <c r="AD2139" s="177"/>
      <c r="AE2139" s="177"/>
      <c r="AF2139" s="139"/>
      <c r="AG2139" s="139"/>
      <c r="AH2139" s="177"/>
      <c r="AI2139" s="178"/>
      <c r="AJ2139" s="139"/>
      <c r="AK2139" s="173"/>
      <c r="AL2139" s="177"/>
      <c r="AM2139" s="178"/>
      <c r="AN2139" s="173"/>
      <c r="AO2139" s="173"/>
      <c r="AP2139" s="173"/>
      <c r="AQ2139" s="178"/>
      <c r="AR2139" s="173"/>
      <c r="AS2139" s="173"/>
      <c r="AT2139" s="140"/>
      <c r="AX2139" s="140"/>
      <c r="BB2139" s="173"/>
      <c r="BC2139" s="173"/>
    </row>
    <row r="2140" spans="2:55" s="134" customFormat="1" x14ac:dyDescent="0.2">
      <c r="B2140" s="145"/>
      <c r="D2140" s="145"/>
      <c r="Z2140" s="177"/>
      <c r="AA2140" s="178"/>
      <c r="AB2140" s="139"/>
      <c r="AC2140" s="173"/>
      <c r="AD2140" s="177"/>
      <c r="AE2140" s="177"/>
      <c r="AF2140" s="139"/>
      <c r="AG2140" s="139"/>
      <c r="AH2140" s="177"/>
      <c r="AI2140" s="178"/>
      <c r="AJ2140" s="139"/>
      <c r="AK2140" s="173"/>
      <c r="AL2140" s="177"/>
      <c r="AM2140" s="178"/>
      <c r="AN2140" s="173"/>
      <c r="AO2140" s="173"/>
      <c r="AP2140" s="173"/>
      <c r="AQ2140" s="178"/>
      <c r="AR2140" s="173"/>
      <c r="AS2140" s="173"/>
      <c r="AT2140" s="140"/>
      <c r="AX2140" s="140"/>
      <c r="BB2140" s="173"/>
      <c r="BC2140" s="173"/>
    </row>
    <row r="2141" spans="2:55" s="134" customFormat="1" x14ac:dyDescent="0.2">
      <c r="B2141" s="145"/>
      <c r="D2141" s="145"/>
      <c r="Z2141" s="177"/>
      <c r="AA2141" s="178"/>
      <c r="AB2141" s="139"/>
      <c r="AC2141" s="173"/>
      <c r="AD2141" s="177"/>
      <c r="AE2141" s="177"/>
      <c r="AF2141" s="139"/>
      <c r="AG2141" s="139"/>
      <c r="AH2141" s="177"/>
      <c r="AI2141" s="178"/>
      <c r="AJ2141" s="139"/>
      <c r="AK2141" s="173"/>
      <c r="AL2141" s="177"/>
      <c r="AM2141" s="178"/>
      <c r="AN2141" s="173"/>
      <c r="AO2141" s="173"/>
      <c r="AP2141" s="173"/>
      <c r="AQ2141" s="178"/>
      <c r="AR2141" s="173"/>
      <c r="AS2141" s="173"/>
      <c r="AT2141" s="140"/>
      <c r="AX2141" s="140"/>
      <c r="BB2141" s="173"/>
      <c r="BC2141" s="173"/>
    </row>
    <row r="2142" spans="2:55" s="134" customFormat="1" x14ac:dyDescent="0.2">
      <c r="B2142" s="145"/>
      <c r="D2142" s="145"/>
      <c r="Z2142" s="177"/>
      <c r="AA2142" s="178"/>
      <c r="AB2142" s="139"/>
      <c r="AC2142" s="173"/>
      <c r="AD2142" s="177"/>
      <c r="AE2142" s="177"/>
      <c r="AF2142" s="139"/>
      <c r="AG2142" s="139"/>
      <c r="AH2142" s="177"/>
      <c r="AI2142" s="178"/>
      <c r="AJ2142" s="139"/>
      <c r="AK2142" s="173"/>
      <c r="AL2142" s="177"/>
      <c r="AM2142" s="178"/>
      <c r="AN2142" s="173"/>
      <c r="AO2142" s="173"/>
      <c r="AP2142" s="173"/>
      <c r="AQ2142" s="178"/>
      <c r="AR2142" s="173"/>
      <c r="AS2142" s="173"/>
      <c r="AT2142" s="140"/>
      <c r="AX2142" s="140"/>
      <c r="BB2142" s="173"/>
      <c r="BC2142" s="173"/>
    </row>
    <row r="2143" spans="2:55" s="134" customFormat="1" x14ac:dyDescent="0.2">
      <c r="B2143" s="145"/>
      <c r="D2143" s="145"/>
      <c r="Z2143" s="177"/>
      <c r="AA2143" s="178"/>
      <c r="AB2143" s="139"/>
      <c r="AC2143" s="173"/>
      <c r="AD2143" s="177"/>
      <c r="AE2143" s="177"/>
      <c r="AF2143" s="139"/>
      <c r="AG2143" s="139"/>
      <c r="AH2143" s="177"/>
      <c r="AI2143" s="178"/>
      <c r="AJ2143" s="139"/>
      <c r="AK2143" s="173"/>
      <c r="AL2143" s="177"/>
      <c r="AM2143" s="178"/>
      <c r="AN2143" s="173"/>
      <c r="AO2143" s="173"/>
      <c r="AP2143" s="173"/>
      <c r="AQ2143" s="178"/>
      <c r="AR2143" s="173"/>
      <c r="AS2143" s="173"/>
      <c r="AT2143" s="140"/>
      <c r="AX2143" s="140"/>
      <c r="BB2143" s="173"/>
      <c r="BC2143" s="173"/>
    </row>
    <row r="2144" spans="2:55" s="134" customFormat="1" x14ac:dyDescent="0.2">
      <c r="B2144" s="145"/>
      <c r="D2144" s="145"/>
      <c r="Z2144" s="177"/>
      <c r="AA2144" s="178"/>
      <c r="AB2144" s="139"/>
      <c r="AC2144" s="173"/>
      <c r="AD2144" s="177"/>
      <c r="AE2144" s="177"/>
      <c r="AF2144" s="139"/>
      <c r="AG2144" s="139"/>
      <c r="AH2144" s="177"/>
      <c r="AI2144" s="178"/>
      <c r="AJ2144" s="139"/>
      <c r="AK2144" s="173"/>
      <c r="AL2144" s="177"/>
      <c r="AM2144" s="178"/>
      <c r="AN2144" s="173"/>
      <c r="AO2144" s="173"/>
      <c r="AP2144" s="173"/>
      <c r="AQ2144" s="178"/>
      <c r="AR2144" s="173"/>
      <c r="AS2144" s="173"/>
      <c r="AT2144" s="140"/>
      <c r="AX2144" s="140"/>
      <c r="BB2144" s="173"/>
      <c r="BC2144" s="173"/>
    </row>
    <row r="2145" spans="2:55" s="134" customFormat="1" x14ac:dyDescent="0.2">
      <c r="B2145" s="145"/>
      <c r="D2145" s="145"/>
      <c r="Z2145" s="177"/>
      <c r="AA2145" s="178"/>
      <c r="AB2145" s="139"/>
      <c r="AC2145" s="173"/>
      <c r="AD2145" s="177"/>
      <c r="AE2145" s="177"/>
      <c r="AF2145" s="139"/>
      <c r="AG2145" s="139"/>
      <c r="AH2145" s="177"/>
      <c r="AI2145" s="178"/>
      <c r="AJ2145" s="139"/>
      <c r="AK2145" s="173"/>
      <c r="AL2145" s="177"/>
      <c r="AM2145" s="178"/>
      <c r="AN2145" s="173"/>
      <c r="AO2145" s="173"/>
      <c r="AP2145" s="173"/>
      <c r="AQ2145" s="178"/>
      <c r="AR2145" s="173"/>
      <c r="AS2145" s="173"/>
      <c r="AT2145" s="140"/>
      <c r="AX2145" s="140"/>
      <c r="BB2145" s="173"/>
      <c r="BC2145" s="173"/>
    </row>
    <row r="2146" spans="2:55" s="134" customFormat="1" x14ac:dyDescent="0.2">
      <c r="B2146" s="145"/>
      <c r="D2146" s="145"/>
      <c r="Z2146" s="177"/>
      <c r="AA2146" s="178"/>
      <c r="AB2146" s="139"/>
      <c r="AC2146" s="173"/>
      <c r="AD2146" s="177"/>
      <c r="AE2146" s="177"/>
      <c r="AF2146" s="139"/>
      <c r="AG2146" s="139"/>
      <c r="AH2146" s="177"/>
      <c r="AI2146" s="178"/>
      <c r="AJ2146" s="139"/>
      <c r="AK2146" s="173"/>
      <c r="AL2146" s="177"/>
      <c r="AM2146" s="178"/>
      <c r="AN2146" s="173"/>
      <c r="AO2146" s="173"/>
      <c r="AP2146" s="173"/>
      <c r="AQ2146" s="178"/>
      <c r="AR2146" s="173"/>
      <c r="AS2146" s="173"/>
      <c r="AT2146" s="140"/>
      <c r="AX2146" s="140"/>
      <c r="BB2146" s="173"/>
      <c r="BC2146" s="173"/>
    </row>
    <row r="2147" spans="2:55" s="134" customFormat="1" x14ac:dyDescent="0.2">
      <c r="B2147" s="145"/>
      <c r="D2147" s="145"/>
      <c r="Z2147" s="177"/>
      <c r="AA2147" s="178"/>
      <c r="AB2147" s="139"/>
      <c r="AC2147" s="173"/>
      <c r="AD2147" s="177"/>
      <c r="AE2147" s="177"/>
      <c r="AF2147" s="139"/>
      <c r="AG2147" s="139"/>
      <c r="AH2147" s="177"/>
      <c r="AI2147" s="178"/>
      <c r="AJ2147" s="139"/>
      <c r="AK2147" s="173"/>
      <c r="AL2147" s="177"/>
      <c r="AM2147" s="178"/>
      <c r="AN2147" s="173"/>
      <c r="AO2147" s="173"/>
      <c r="AP2147" s="173"/>
      <c r="AQ2147" s="178"/>
      <c r="AR2147" s="173"/>
      <c r="AS2147" s="173"/>
      <c r="AT2147" s="140"/>
      <c r="AX2147" s="140"/>
      <c r="BB2147" s="173"/>
      <c r="BC2147" s="173"/>
    </row>
    <row r="2148" spans="2:55" s="134" customFormat="1" x14ac:dyDescent="0.2">
      <c r="B2148" s="145"/>
      <c r="D2148" s="145"/>
      <c r="Z2148" s="177"/>
      <c r="AA2148" s="178"/>
      <c r="AB2148" s="139"/>
      <c r="AC2148" s="173"/>
      <c r="AD2148" s="177"/>
      <c r="AE2148" s="177"/>
      <c r="AF2148" s="139"/>
      <c r="AG2148" s="139"/>
      <c r="AH2148" s="177"/>
      <c r="AI2148" s="178"/>
      <c r="AJ2148" s="139"/>
      <c r="AK2148" s="173"/>
      <c r="AL2148" s="177"/>
      <c r="AM2148" s="178"/>
      <c r="AN2148" s="173"/>
      <c r="AO2148" s="173"/>
      <c r="AP2148" s="173"/>
      <c r="AQ2148" s="178"/>
      <c r="AR2148" s="173"/>
      <c r="AS2148" s="173"/>
      <c r="AT2148" s="140"/>
      <c r="AX2148" s="140"/>
      <c r="BB2148" s="173"/>
      <c r="BC2148" s="173"/>
    </row>
    <row r="2149" spans="2:55" s="134" customFormat="1" x14ac:dyDescent="0.2">
      <c r="B2149" s="145"/>
      <c r="D2149" s="145"/>
      <c r="Z2149" s="177"/>
      <c r="AA2149" s="178"/>
      <c r="AB2149" s="139"/>
      <c r="AC2149" s="173"/>
      <c r="AD2149" s="177"/>
      <c r="AE2149" s="177"/>
      <c r="AF2149" s="139"/>
      <c r="AG2149" s="139"/>
      <c r="AH2149" s="177"/>
      <c r="AI2149" s="178"/>
      <c r="AJ2149" s="139"/>
      <c r="AK2149" s="173"/>
      <c r="AL2149" s="177"/>
      <c r="AM2149" s="178"/>
      <c r="AN2149" s="173"/>
      <c r="AO2149" s="173"/>
      <c r="AP2149" s="173"/>
      <c r="AQ2149" s="178"/>
      <c r="AR2149" s="173"/>
      <c r="AS2149" s="173"/>
      <c r="AT2149" s="140"/>
      <c r="AX2149" s="140"/>
      <c r="BB2149" s="173"/>
      <c r="BC2149" s="173"/>
    </row>
    <row r="2150" spans="2:55" s="134" customFormat="1" x14ac:dyDescent="0.2">
      <c r="B2150" s="145"/>
      <c r="D2150" s="145"/>
      <c r="Z2150" s="177"/>
      <c r="AA2150" s="178"/>
      <c r="AB2150" s="139"/>
      <c r="AC2150" s="173"/>
      <c r="AD2150" s="177"/>
      <c r="AE2150" s="177"/>
      <c r="AF2150" s="139"/>
      <c r="AG2150" s="139"/>
      <c r="AH2150" s="177"/>
      <c r="AI2150" s="178"/>
      <c r="AJ2150" s="139"/>
      <c r="AK2150" s="173"/>
      <c r="AL2150" s="177"/>
      <c r="AM2150" s="178"/>
      <c r="AN2150" s="173"/>
      <c r="AO2150" s="173"/>
      <c r="AP2150" s="173"/>
      <c r="AQ2150" s="178"/>
      <c r="AR2150" s="173"/>
      <c r="AS2150" s="173"/>
      <c r="AT2150" s="140"/>
      <c r="AX2150" s="140"/>
      <c r="BB2150" s="173"/>
      <c r="BC2150" s="173"/>
    </row>
    <row r="2151" spans="2:55" s="134" customFormat="1" x14ac:dyDescent="0.2">
      <c r="B2151" s="145"/>
      <c r="D2151" s="145"/>
      <c r="Z2151" s="177"/>
      <c r="AA2151" s="178"/>
      <c r="AB2151" s="139"/>
      <c r="AC2151" s="173"/>
      <c r="AD2151" s="177"/>
      <c r="AE2151" s="177"/>
      <c r="AF2151" s="139"/>
      <c r="AG2151" s="139"/>
      <c r="AH2151" s="177"/>
      <c r="AI2151" s="178"/>
      <c r="AJ2151" s="139"/>
      <c r="AK2151" s="173"/>
      <c r="AL2151" s="177"/>
      <c r="AM2151" s="178"/>
      <c r="AN2151" s="173"/>
      <c r="AO2151" s="173"/>
      <c r="AP2151" s="173"/>
      <c r="AQ2151" s="178"/>
      <c r="AR2151" s="173"/>
      <c r="AS2151" s="173"/>
      <c r="AT2151" s="140"/>
      <c r="AX2151" s="140"/>
      <c r="BB2151" s="173"/>
      <c r="BC2151" s="173"/>
    </row>
    <row r="2152" spans="2:55" s="134" customFormat="1" x14ac:dyDescent="0.2">
      <c r="B2152" s="145"/>
      <c r="D2152" s="145"/>
      <c r="Z2152" s="177"/>
      <c r="AA2152" s="178"/>
      <c r="AB2152" s="139"/>
      <c r="AC2152" s="173"/>
      <c r="AD2152" s="177"/>
      <c r="AE2152" s="177"/>
      <c r="AF2152" s="139"/>
      <c r="AG2152" s="139"/>
      <c r="AH2152" s="177"/>
      <c r="AI2152" s="178"/>
      <c r="AJ2152" s="139"/>
      <c r="AK2152" s="173"/>
      <c r="AL2152" s="177"/>
      <c r="AM2152" s="178"/>
      <c r="AN2152" s="173"/>
      <c r="AO2152" s="173"/>
      <c r="AP2152" s="173"/>
      <c r="AQ2152" s="178"/>
      <c r="AR2152" s="173"/>
      <c r="AS2152" s="173"/>
      <c r="AT2152" s="140"/>
      <c r="AX2152" s="140"/>
      <c r="BB2152" s="173"/>
      <c r="BC2152" s="173"/>
    </row>
    <row r="2153" spans="2:55" s="134" customFormat="1" x14ac:dyDescent="0.2">
      <c r="B2153" s="145"/>
      <c r="D2153" s="145"/>
      <c r="Z2153" s="177"/>
      <c r="AA2153" s="178"/>
      <c r="AB2153" s="139"/>
      <c r="AC2153" s="173"/>
      <c r="AD2153" s="177"/>
      <c r="AE2153" s="177"/>
      <c r="AF2153" s="139"/>
      <c r="AG2153" s="139"/>
      <c r="AH2153" s="177"/>
      <c r="AI2153" s="178"/>
      <c r="AJ2153" s="139"/>
      <c r="AK2153" s="173"/>
      <c r="AL2153" s="177"/>
      <c r="AM2153" s="178"/>
      <c r="AN2153" s="173"/>
      <c r="AO2153" s="173"/>
      <c r="AP2153" s="173"/>
      <c r="AQ2153" s="178"/>
      <c r="AR2153" s="173"/>
      <c r="AS2153" s="173"/>
      <c r="AT2153" s="140"/>
      <c r="AX2153" s="140"/>
      <c r="BB2153" s="173"/>
      <c r="BC2153" s="173"/>
    </row>
    <row r="2154" spans="2:55" s="134" customFormat="1" x14ac:dyDescent="0.2">
      <c r="B2154" s="145"/>
      <c r="D2154" s="145"/>
      <c r="Z2154" s="177"/>
      <c r="AA2154" s="178"/>
      <c r="AB2154" s="139"/>
      <c r="AC2154" s="173"/>
      <c r="AD2154" s="177"/>
      <c r="AE2154" s="177"/>
      <c r="AF2154" s="139"/>
      <c r="AG2154" s="139"/>
      <c r="AH2154" s="177"/>
      <c r="AI2154" s="178"/>
      <c r="AJ2154" s="139"/>
      <c r="AK2154" s="173"/>
      <c r="AL2154" s="177"/>
      <c r="AM2154" s="178"/>
      <c r="AN2154" s="173"/>
      <c r="AO2154" s="173"/>
      <c r="AP2154" s="173"/>
      <c r="AQ2154" s="178"/>
      <c r="AR2154" s="173"/>
      <c r="AS2154" s="173"/>
      <c r="AT2154" s="140"/>
      <c r="AX2154" s="140"/>
      <c r="BB2154" s="173"/>
      <c r="BC2154" s="173"/>
    </row>
    <row r="2155" spans="2:55" s="134" customFormat="1" x14ac:dyDescent="0.2">
      <c r="B2155" s="145"/>
      <c r="D2155" s="145"/>
      <c r="Z2155" s="177"/>
      <c r="AA2155" s="178"/>
      <c r="AB2155" s="139"/>
      <c r="AC2155" s="173"/>
      <c r="AD2155" s="177"/>
      <c r="AE2155" s="177"/>
      <c r="AF2155" s="139"/>
      <c r="AG2155" s="139"/>
      <c r="AH2155" s="177"/>
      <c r="AI2155" s="178"/>
      <c r="AJ2155" s="139"/>
      <c r="AK2155" s="173"/>
      <c r="AL2155" s="177"/>
      <c r="AM2155" s="178"/>
      <c r="AN2155" s="173"/>
      <c r="AO2155" s="173"/>
      <c r="AP2155" s="173"/>
      <c r="AQ2155" s="178"/>
      <c r="AR2155" s="173"/>
      <c r="AS2155" s="173"/>
      <c r="AT2155" s="140"/>
      <c r="AX2155" s="140"/>
      <c r="BB2155" s="173"/>
      <c r="BC2155" s="173"/>
    </row>
    <row r="2156" spans="2:55" s="134" customFormat="1" x14ac:dyDescent="0.2">
      <c r="B2156" s="145"/>
      <c r="D2156" s="145"/>
      <c r="Z2156" s="177"/>
      <c r="AA2156" s="178"/>
      <c r="AB2156" s="139"/>
      <c r="AC2156" s="173"/>
      <c r="AD2156" s="177"/>
      <c r="AE2156" s="177"/>
      <c r="AF2156" s="139"/>
      <c r="AG2156" s="139"/>
      <c r="AH2156" s="177"/>
      <c r="AI2156" s="178"/>
      <c r="AJ2156" s="139"/>
      <c r="AK2156" s="173"/>
      <c r="AL2156" s="177"/>
      <c r="AM2156" s="178"/>
      <c r="AN2156" s="173"/>
      <c r="AO2156" s="173"/>
      <c r="AP2156" s="173"/>
      <c r="AQ2156" s="178"/>
      <c r="AR2156" s="173"/>
      <c r="AS2156" s="173"/>
      <c r="AT2156" s="140"/>
      <c r="AX2156" s="140"/>
      <c r="BB2156" s="173"/>
      <c r="BC2156" s="173"/>
    </row>
    <row r="2157" spans="2:55" s="134" customFormat="1" x14ac:dyDescent="0.2">
      <c r="B2157" s="145"/>
      <c r="D2157" s="145"/>
      <c r="Z2157" s="177"/>
      <c r="AA2157" s="178"/>
      <c r="AB2157" s="139"/>
      <c r="AC2157" s="173"/>
      <c r="AD2157" s="177"/>
      <c r="AE2157" s="177"/>
      <c r="AF2157" s="139"/>
      <c r="AG2157" s="139"/>
      <c r="AH2157" s="177"/>
      <c r="AI2157" s="178"/>
      <c r="AJ2157" s="139"/>
      <c r="AK2157" s="173"/>
      <c r="AL2157" s="177"/>
      <c r="AM2157" s="178"/>
      <c r="AN2157" s="173"/>
      <c r="AO2157" s="173"/>
      <c r="AP2157" s="173"/>
      <c r="AQ2157" s="178"/>
      <c r="AR2157" s="173"/>
      <c r="AS2157" s="173"/>
      <c r="AT2157" s="140"/>
      <c r="AX2157" s="140"/>
      <c r="BB2157" s="173"/>
      <c r="BC2157" s="173"/>
    </row>
    <row r="2158" spans="2:55" s="134" customFormat="1" x14ac:dyDescent="0.2">
      <c r="B2158" s="145"/>
      <c r="D2158" s="145"/>
      <c r="Z2158" s="177"/>
      <c r="AA2158" s="178"/>
      <c r="AB2158" s="139"/>
      <c r="AC2158" s="173"/>
      <c r="AD2158" s="177"/>
      <c r="AE2158" s="177"/>
      <c r="AF2158" s="139"/>
      <c r="AG2158" s="139"/>
      <c r="AH2158" s="177"/>
      <c r="AI2158" s="178"/>
      <c r="AJ2158" s="139"/>
      <c r="AK2158" s="173"/>
      <c r="AL2158" s="177"/>
      <c r="AM2158" s="178"/>
      <c r="AN2158" s="173"/>
      <c r="AO2158" s="173"/>
      <c r="AP2158" s="173"/>
      <c r="AQ2158" s="178"/>
      <c r="AR2158" s="173"/>
      <c r="AS2158" s="173"/>
      <c r="AT2158" s="140"/>
      <c r="AX2158" s="140"/>
      <c r="BB2158" s="173"/>
      <c r="BC2158" s="173"/>
    </row>
    <row r="2159" spans="2:55" s="134" customFormat="1" x14ac:dyDescent="0.2">
      <c r="B2159" s="145"/>
      <c r="D2159" s="145"/>
      <c r="Z2159" s="177"/>
      <c r="AA2159" s="178"/>
      <c r="AB2159" s="139"/>
      <c r="AC2159" s="173"/>
      <c r="AD2159" s="177"/>
      <c r="AE2159" s="177"/>
      <c r="AF2159" s="139"/>
      <c r="AG2159" s="139"/>
      <c r="AH2159" s="177"/>
      <c r="AI2159" s="178"/>
      <c r="AJ2159" s="139"/>
      <c r="AK2159" s="173"/>
      <c r="AL2159" s="177"/>
      <c r="AM2159" s="178"/>
      <c r="AN2159" s="173"/>
      <c r="AO2159" s="173"/>
      <c r="AP2159" s="173"/>
      <c r="AQ2159" s="178"/>
      <c r="AR2159" s="173"/>
      <c r="AS2159" s="173"/>
      <c r="AT2159" s="140"/>
      <c r="AX2159" s="140"/>
      <c r="BB2159" s="173"/>
      <c r="BC2159" s="173"/>
    </row>
    <row r="2160" spans="2:55" s="134" customFormat="1" x14ac:dyDescent="0.2">
      <c r="B2160" s="145"/>
      <c r="D2160" s="145"/>
      <c r="Z2160" s="177"/>
      <c r="AA2160" s="178"/>
      <c r="AB2160" s="139"/>
      <c r="AC2160" s="173"/>
      <c r="AD2160" s="177"/>
      <c r="AE2160" s="177"/>
      <c r="AF2160" s="139"/>
      <c r="AG2160" s="139"/>
      <c r="AH2160" s="177"/>
      <c r="AI2160" s="178"/>
      <c r="AJ2160" s="139"/>
      <c r="AK2160" s="173"/>
      <c r="AL2160" s="177"/>
      <c r="AM2160" s="178"/>
      <c r="AN2160" s="173"/>
      <c r="AO2160" s="173"/>
      <c r="AP2160" s="173"/>
      <c r="AQ2160" s="178"/>
      <c r="AR2160" s="173"/>
      <c r="AS2160" s="173"/>
      <c r="AT2160" s="140"/>
      <c r="AX2160" s="140"/>
      <c r="BB2160" s="173"/>
      <c r="BC2160" s="173"/>
    </row>
    <row r="2161" spans="2:55" s="134" customFormat="1" x14ac:dyDescent="0.2">
      <c r="B2161" s="145"/>
      <c r="D2161" s="145"/>
      <c r="Z2161" s="177"/>
      <c r="AA2161" s="178"/>
      <c r="AB2161" s="139"/>
      <c r="AC2161" s="173"/>
      <c r="AD2161" s="177"/>
      <c r="AE2161" s="177"/>
      <c r="AF2161" s="139"/>
      <c r="AG2161" s="139"/>
      <c r="AH2161" s="177"/>
      <c r="AI2161" s="178"/>
      <c r="AJ2161" s="139"/>
      <c r="AK2161" s="173"/>
      <c r="AL2161" s="177"/>
      <c r="AM2161" s="178"/>
      <c r="AN2161" s="173"/>
      <c r="AO2161" s="173"/>
      <c r="AP2161" s="173"/>
      <c r="AQ2161" s="178"/>
      <c r="AR2161" s="173"/>
      <c r="AS2161" s="173"/>
      <c r="AT2161" s="140"/>
      <c r="AX2161" s="140"/>
      <c r="BB2161" s="173"/>
      <c r="BC2161" s="173"/>
    </row>
    <row r="2162" spans="2:55" s="134" customFormat="1" x14ac:dyDescent="0.2">
      <c r="B2162" s="145"/>
      <c r="D2162" s="145"/>
      <c r="Z2162" s="177"/>
      <c r="AA2162" s="178"/>
      <c r="AB2162" s="139"/>
      <c r="AC2162" s="173"/>
      <c r="AD2162" s="177"/>
      <c r="AE2162" s="177"/>
      <c r="AF2162" s="139"/>
      <c r="AG2162" s="139"/>
      <c r="AH2162" s="177"/>
      <c r="AI2162" s="178"/>
      <c r="AJ2162" s="139"/>
      <c r="AK2162" s="173"/>
      <c r="AL2162" s="177"/>
      <c r="AM2162" s="178"/>
      <c r="AN2162" s="173"/>
      <c r="AO2162" s="173"/>
      <c r="AP2162" s="173"/>
      <c r="AQ2162" s="178"/>
      <c r="AR2162" s="173"/>
      <c r="AS2162" s="173"/>
      <c r="AT2162" s="140"/>
      <c r="AX2162" s="140"/>
      <c r="BB2162" s="173"/>
      <c r="BC2162" s="173"/>
    </row>
    <row r="2163" spans="2:55" s="134" customFormat="1" x14ac:dyDescent="0.2">
      <c r="B2163" s="145"/>
      <c r="D2163" s="145"/>
      <c r="Z2163" s="177"/>
      <c r="AA2163" s="178"/>
      <c r="AB2163" s="139"/>
      <c r="AC2163" s="173"/>
      <c r="AD2163" s="177"/>
      <c r="AE2163" s="177"/>
      <c r="AF2163" s="139"/>
      <c r="AG2163" s="139"/>
      <c r="AH2163" s="177"/>
      <c r="AI2163" s="178"/>
      <c r="AJ2163" s="139"/>
      <c r="AK2163" s="173"/>
      <c r="AL2163" s="177"/>
      <c r="AM2163" s="178"/>
      <c r="AN2163" s="173"/>
      <c r="AO2163" s="173"/>
      <c r="AP2163" s="173"/>
      <c r="AQ2163" s="178"/>
      <c r="AR2163" s="173"/>
      <c r="AS2163" s="173"/>
      <c r="AT2163" s="140"/>
      <c r="AX2163" s="140"/>
      <c r="BB2163" s="173"/>
      <c r="BC2163" s="173"/>
    </row>
    <row r="2164" spans="2:55" s="134" customFormat="1" x14ac:dyDescent="0.2">
      <c r="B2164" s="145"/>
      <c r="D2164" s="145"/>
      <c r="Z2164" s="177"/>
      <c r="AA2164" s="178"/>
      <c r="AB2164" s="139"/>
      <c r="AC2164" s="173"/>
      <c r="AD2164" s="177"/>
      <c r="AE2164" s="177"/>
      <c r="AF2164" s="139"/>
      <c r="AG2164" s="139"/>
      <c r="AH2164" s="177"/>
      <c r="AI2164" s="178"/>
      <c r="AJ2164" s="139"/>
      <c r="AK2164" s="173"/>
      <c r="AL2164" s="177"/>
      <c r="AM2164" s="178"/>
      <c r="AN2164" s="173"/>
      <c r="AO2164" s="173"/>
      <c r="AP2164" s="173"/>
      <c r="AQ2164" s="178"/>
      <c r="AR2164" s="173"/>
      <c r="AS2164" s="173"/>
      <c r="AT2164" s="140"/>
      <c r="AX2164" s="140"/>
      <c r="BB2164" s="173"/>
      <c r="BC2164" s="173"/>
    </row>
    <row r="2165" spans="2:55" s="134" customFormat="1" x14ac:dyDescent="0.2">
      <c r="B2165" s="145"/>
      <c r="D2165" s="145"/>
      <c r="Z2165" s="177"/>
      <c r="AA2165" s="178"/>
      <c r="AB2165" s="139"/>
      <c r="AC2165" s="173"/>
      <c r="AD2165" s="177"/>
      <c r="AE2165" s="177"/>
      <c r="AF2165" s="139"/>
      <c r="AG2165" s="139"/>
      <c r="AH2165" s="177"/>
      <c r="AI2165" s="178"/>
      <c r="AJ2165" s="139"/>
      <c r="AK2165" s="173"/>
      <c r="AL2165" s="177"/>
      <c r="AM2165" s="178"/>
      <c r="AN2165" s="173"/>
      <c r="AO2165" s="173"/>
      <c r="AP2165" s="173"/>
      <c r="AQ2165" s="178"/>
      <c r="AR2165" s="173"/>
      <c r="AS2165" s="173"/>
      <c r="AT2165" s="140"/>
      <c r="AX2165" s="140"/>
      <c r="BB2165" s="173"/>
      <c r="BC2165" s="173"/>
    </row>
    <row r="2166" spans="2:55" s="134" customFormat="1" x14ac:dyDescent="0.2">
      <c r="B2166" s="145"/>
      <c r="D2166" s="145"/>
      <c r="Z2166" s="177"/>
      <c r="AA2166" s="178"/>
      <c r="AB2166" s="139"/>
      <c r="AC2166" s="173"/>
      <c r="AD2166" s="177"/>
      <c r="AE2166" s="177"/>
      <c r="AF2166" s="139"/>
      <c r="AG2166" s="139"/>
      <c r="AH2166" s="177"/>
      <c r="AI2166" s="178"/>
      <c r="AJ2166" s="139"/>
      <c r="AK2166" s="173"/>
      <c r="AL2166" s="177"/>
      <c r="AM2166" s="178"/>
      <c r="AN2166" s="173"/>
      <c r="AO2166" s="173"/>
      <c r="AP2166" s="173"/>
      <c r="AQ2166" s="178"/>
      <c r="AR2166" s="173"/>
      <c r="AS2166" s="173"/>
      <c r="AT2166" s="140"/>
      <c r="AX2166" s="140"/>
      <c r="BB2166" s="173"/>
      <c r="BC2166" s="173"/>
    </row>
    <row r="2167" spans="2:55" s="134" customFormat="1" x14ac:dyDescent="0.2">
      <c r="B2167" s="145"/>
      <c r="D2167" s="145"/>
      <c r="Z2167" s="177"/>
      <c r="AA2167" s="178"/>
      <c r="AB2167" s="139"/>
      <c r="AC2167" s="173"/>
      <c r="AD2167" s="177"/>
      <c r="AE2167" s="177"/>
      <c r="AF2167" s="139"/>
      <c r="AG2167" s="139"/>
      <c r="AH2167" s="177"/>
      <c r="AI2167" s="178"/>
      <c r="AJ2167" s="139"/>
      <c r="AK2167" s="173"/>
      <c r="AL2167" s="177"/>
      <c r="AM2167" s="178"/>
      <c r="AN2167" s="173"/>
      <c r="AO2167" s="173"/>
      <c r="AP2167" s="173"/>
      <c r="AQ2167" s="178"/>
      <c r="AR2167" s="173"/>
      <c r="AS2167" s="173"/>
      <c r="AT2167" s="140"/>
      <c r="AX2167" s="140"/>
      <c r="BB2167" s="173"/>
      <c r="BC2167" s="173"/>
    </row>
    <row r="2168" spans="2:55" s="134" customFormat="1" x14ac:dyDescent="0.2">
      <c r="B2168" s="145"/>
      <c r="D2168" s="145"/>
      <c r="Z2168" s="177"/>
      <c r="AA2168" s="178"/>
      <c r="AB2168" s="139"/>
      <c r="AC2168" s="173"/>
      <c r="AD2168" s="177"/>
      <c r="AE2168" s="177"/>
      <c r="AF2168" s="139"/>
      <c r="AG2168" s="139"/>
      <c r="AH2168" s="177"/>
      <c r="AI2168" s="178"/>
      <c r="AJ2168" s="139"/>
      <c r="AK2168" s="173"/>
      <c r="AL2168" s="177"/>
      <c r="AM2168" s="178"/>
      <c r="AN2168" s="173"/>
      <c r="AO2168" s="173"/>
      <c r="AP2168" s="173"/>
      <c r="AQ2168" s="178"/>
      <c r="AR2168" s="173"/>
      <c r="AS2168" s="173"/>
      <c r="AT2168" s="140"/>
      <c r="AX2168" s="140"/>
      <c r="BB2168" s="173"/>
      <c r="BC2168" s="173"/>
    </row>
    <row r="2169" spans="2:55" s="134" customFormat="1" x14ac:dyDescent="0.2">
      <c r="B2169" s="145"/>
      <c r="D2169" s="145"/>
      <c r="Z2169" s="177"/>
      <c r="AA2169" s="178"/>
      <c r="AB2169" s="139"/>
      <c r="AC2169" s="173"/>
      <c r="AD2169" s="177"/>
      <c r="AE2169" s="177"/>
      <c r="AF2169" s="139"/>
      <c r="AG2169" s="139"/>
      <c r="AH2169" s="177"/>
      <c r="AI2169" s="178"/>
      <c r="AJ2169" s="139"/>
      <c r="AK2169" s="173"/>
      <c r="AL2169" s="177"/>
      <c r="AM2169" s="178"/>
      <c r="AN2169" s="173"/>
      <c r="AO2169" s="173"/>
      <c r="AP2169" s="173"/>
      <c r="AQ2169" s="178"/>
      <c r="AR2169" s="173"/>
      <c r="AS2169" s="173"/>
      <c r="AT2169" s="140"/>
      <c r="AX2169" s="140"/>
      <c r="BB2169" s="173"/>
      <c r="BC2169" s="173"/>
    </row>
    <row r="2170" spans="2:55" s="134" customFormat="1" x14ac:dyDescent="0.2">
      <c r="B2170" s="145"/>
      <c r="D2170" s="145"/>
      <c r="Z2170" s="177"/>
      <c r="AA2170" s="178"/>
      <c r="AB2170" s="139"/>
      <c r="AC2170" s="173"/>
      <c r="AD2170" s="177"/>
      <c r="AE2170" s="177"/>
      <c r="AF2170" s="139"/>
      <c r="AG2170" s="139"/>
      <c r="AH2170" s="177"/>
      <c r="AI2170" s="178"/>
      <c r="AJ2170" s="139"/>
      <c r="AK2170" s="173"/>
      <c r="AL2170" s="177"/>
      <c r="AM2170" s="178"/>
      <c r="AN2170" s="173"/>
      <c r="AO2170" s="173"/>
      <c r="AP2170" s="173"/>
      <c r="AQ2170" s="178"/>
      <c r="AR2170" s="173"/>
      <c r="AS2170" s="173"/>
      <c r="AT2170" s="140"/>
      <c r="AX2170" s="140"/>
      <c r="BB2170" s="173"/>
      <c r="BC2170" s="173"/>
    </row>
    <row r="2171" spans="2:55" s="134" customFormat="1" x14ac:dyDescent="0.2">
      <c r="B2171" s="145"/>
      <c r="D2171" s="145"/>
      <c r="Z2171" s="177"/>
      <c r="AA2171" s="178"/>
      <c r="AB2171" s="139"/>
      <c r="AC2171" s="173"/>
      <c r="AD2171" s="177"/>
      <c r="AE2171" s="177"/>
      <c r="AF2171" s="139"/>
      <c r="AG2171" s="139"/>
      <c r="AH2171" s="177"/>
      <c r="AI2171" s="178"/>
      <c r="AJ2171" s="139"/>
      <c r="AK2171" s="173"/>
      <c r="AL2171" s="177"/>
      <c r="AM2171" s="178"/>
      <c r="AN2171" s="173"/>
      <c r="AO2171" s="173"/>
      <c r="AP2171" s="173"/>
      <c r="AQ2171" s="178"/>
      <c r="AR2171" s="173"/>
      <c r="AS2171" s="173"/>
      <c r="AT2171" s="140"/>
      <c r="AX2171" s="140"/>
      <c r="BB2171" s="173"/>
      <c r="BC2171" s="173"/>
    </row>
    <row r="2172" spans="2:55" s="134" customFormat="1" x14ac:dyDescent="0.2">
      <c r="B2172" s="145"/>
      <c r="D2172" s="145"/>
      <c r="Z2172" s="177"/>
      <c r="AA2172" s="178"/>
      <c r="AB2172" s="139"/>
      <c r="AC2172" s="173"/>
      <c r="AD2172" s="177"/>
      <c r="AE2172" s="177"/>
      <c r="AF2172" s="139"/>
      <c r="AG2172" s="139"/>
      <c r="AH2172" s="177"/>
      <c r="AI2172" s="178"/>
      <c r="AJ2172" s="139"/>
      <c r="AK2172" s="173"/>
      <c r="AL2172" s="177"/>
      <c r="AM2172" s="178"/>
      <c r="AN2172" s="173"/>
      <c r="AO2172" s="173"/>
      <c r="AP2172" s="173"/>
      <c r="AQ2172" s="178"/>
      <c r="AR2172" s="173"/>
      <c r="AS2172" s="173"/>
      <c r="AT2172" s="140"/>
      <c r="AX2172" s="140"/>
      <c r="BB2172" s="173"/>
      <c r="BC2172" s="173"/>
    </row>
    <row r="2173" spans="2:55" s="134" customFormat="1" x14ac:dyDescent="0.2">
      <c r="B2173" s="145"/>
      <c r="D2173" s="145"/>
      <c r="Z2173" s="177"/>
      <c r="AA2173" s="178"/>
      <c r="AB2173" s="139"/>
      <c r="AC2173" s="173"/>
      <c r="AD2173" s="177"/>
      <c r="AE2173" s="177"/>
      <c r="AF2173" s="139"/>
      <c r="AG2173" s="139"/>
      <c r="AH2173" s="177"/>
      <c r="AI2173" s="178"/>
      <c r="AJ2173" s="139"/>
      <c r="AK2173" s="173"/>
      <c r="AL2173" s="177"/>
      <c r="AM2173" s="178"/>
      <c r="AN2173" s="173"/>
      <c r="AO2173" s="173"/>
      <c r="AP2173" s="173"/>
      <c r="AQ2173" s="178"/>
      <c r="AR2173" s="173"/>
      <c r="AS2173" s="173"/>
      <c r="AT2173" s="140"/>
      <c r="AX2173" s="140"/>
      <c r="BB2173" s="173"/>
      <c r="BC2173" s="173"/>
    </row>
    <row r="2174" spans="2:55" s="134" customFormat="1" x14ac:dyDescent="0.2">
      <c r="B2174" s="145"/>
      <c r="D2174" s="145"/>
      <c r="Z2174" s="177"/>
      <c r="AA2174" s="178"/>
      <c r="AB2174" s="139"/>
      <c r="AC2174" s="173"/>
      <c r="AD2174" s="177"/>
      <c r="AE2174" s="177"/>
      <c r="AF2174" s="139"/>
      <c r="AG2174" s="139"/>
      <c r="AH2174" s="177"/>
      <c r="AI2174" s="178"/>
      <c r="AJ2174" s="139"/>
      <c r="AK2174" s="173"/>
      <c r="AL2174" s="177"/>
      <c r="AM2174" s="178"/>
      <c r="AN2174" s="173"/>
      <c r="AO2174" s="173"/>
      <c r="AP2174" s="173"/>
      <c r="AQ2174" s="178"/>
      <c r="AR2174" s="173"/>
      <c r="AS2174" s="173"/>
      <c r="AT2174" s="140"/>
      <c r="AX2174" s="140"/>
      <c r="BB2174" s="173"/>
      <c r="BC2174" s="173"/>
    </row>
    <row r="2175" spans="2:55" s="134" customFormat="1" x14ac:dyDescent="0.2">
      <c r="B2175" s="145"/>
      <c r="D2175" s="145"/>
      <c r="Z2175" s="177"/>
      <c r="AA2175" s="178"/>
      <c r="AB2175" s="139"/>
      <c r="AC2175" s="173"/>
      <c r="AD2175" s="177"/>
      <c r="AE2175" s="177"/>
      <c r="AF2175" s="139"/>
      <c r="AG2175" s="139"/>
      <c r="AH2175" s="177"/>
      <c r="AI2175" s="178"/>
      <c r="AJ2175" s="139"/>
      <c r="AK2175" s="173"/>
      <c r="AL2175" s="177"/>
      <c r="AM2175" s="178"/>
      <c r="AN2175" s="173"/>
      <c r="AO2175" s="173"/>
      <c r="AP2175" s="173"/>
      <c r="AQ2175" s="178"/>
      <c r="AR2175" s="173"/>
      <c r="AS2175" s="173"/>
      <c r="AT2175" s="140"/>
      <c r="AX2175" s="140"/>
      <c r="BB2175" s="173"/>
      <c r="BC2175" s="173"/>
    </row>
    <row r="2176" spans="2:55" s="134" customFormat="1" x14ac:dyDescent="0.2">
      <c r="B2176" s="145"/>
      <c r="D2176" s="145"/>
      <c r="Z2176" s="177"/>
      <c r="AA2176" s="178"/>
      <c r="AB2176" s="139"/>
      <c r="AC2176" s="173"/>
      <c r="AD2176" s="177"/>
      <c r="AE2176" s="177"/>
      <c r="AF2176" s="139"/>
      <c r="AG2176" s="139"/>
      <c r="AH2176" s="177"/>
      <c r="AI2176" s="178"/>
      <c r="AJ2176" s="139"/>
      <c r="AK2176" s="173"/>
      <c r="AL2176" s="177"/>
      <c r="AM2176" s="178"/>
      <c r="AN2176" s="173"/>
      <c r="AO2176" s="173"/>
      <c r="AP2176" s="173"/>
      <c r="AQ2176" s="178"/>
      <c r="AR2176" s="173"/>
      <c r="AS2176" s="173"/>
      <c r="AT2176" s="140"/>
      <c r="AX2176" s="140"/>
      <c r="BB2176" s="173"/>
      <c r="BC2176" s="173"/>
    </row>
    <row r="2177" spans="2:55" s="134" customFormat="1" x14ac:dyDescent="0.2">
      <c r="B2177" s="145"/>
      <c r="D2177" s="145"/>
      <c r="Z2177" s="177"/>
      <c r="AA2177" s="178"/>
      <c r="AB2177" s="139"/>
      <c r="AC2177" s="173"/>
      <c r="AD2177" s="177"/>
      <c r="AE2177" s="177"/>
      <c r="AF2177" s="139"/>
      <c r="AG2177" s="139"/>
      <c r="AH2177" s="177"/>
      <c r="AI2177" s="178"/>
      <c r="AJ2177" s="139"/>
      <c r="AK2177" s="173"/>
      <c r="AL2177" s="177"/>
      <c r="AM2177" s="178"/>
      <c r="AN2177" s="173"/>
      <c r="AO2177" s="173"/>
      <c r="AP2177" s="173"/>
      <c r="AQ2177" s="178"/>
      <c r="AR2177" s="173"/>
      <c r="AS2177" s="173"/>
      <c r="AT2177" s="140"/>
      <c r="AX2177" s="140"/>
      <c r="BB2177" s="173"/>
      <c r="BC2177" s="173"/>
    </row>
    <row r="2178" spans="2:55" s="134" customFormat="1" x14ac:dyDescent="0.2">
      <c r="B2178" s="145"/>
      <c r="D2178" s="145"/>
      <c r="Z2178" s="177"/>
      <c r="AA2178" s="178"/>
      <c r="AB2178" s="139"/>
      <c r="AC2178" s="173"/>
      <c r="AD2178" s="177"/>
      <c r="AE2178" s="177"/>
      <c r="AF2178" s="139"/>
      <c r="AG2178" s="139"/>
      <c r="AH2178" s="177"/>
      <c r="AI2178" s="178"/>
      <c r="AJ2178" s="139"/>
      <c r="AK2178" s="173"/>
      <c r="AL2178" s="177"/>
      <c r="AM2178" s="178"/>
      <c r="AN2178" s="173"/>
      <c r="AO2178" s="173"/>
      <c r="AP2178" s="173"/>
      <c r="AQ2178" s="178"/>
      <c r="AR2178" s="173"/>
      <c r="AS2178" s="173"/>
      <c r="AT2178" s="140"/>
      <c r="AX2178" s="140"/>
      <c r="BB2178" s="173"/>
      <c r="BC2178" s="173"/>
    </row>
    <row r="2179" spans="2:55" s="134" customFormat="1" x14ac:dyDescent="0.2">
      <c r="B2179" s="145"/>
      <c r="D2179" s="145"/>
      <c r="Z2179" s="177"/>
      <c r="AA2179" s="178"/>
      <c r="AB2179" s="139"/>
      <c r="AC2179" s="173"/>
      <c r="AD2179" s="177"/>
      <c r="AE2179" s="177"/>
      <c r="AF2179" s="139"/>
      <c r="AG2179" s="139"/>
      <c r="AH2179" s="177"/>
      <c r="AI2179" s="178"/>
      <c r="AJ2179" s="139"/>
      <c r="AK2179" s="173"/>
      <c r="AL2179" s="177"/>
      <c r="AM2179" s="178"/>
      <c r="AN2179" s="173"/>
      <c r="AO2179" s="173"/>
      <c r="AP2179" s="173"/>
      <c r="AQ2179" s="178"/>
      <c r="AR2179" s="173"/>
      <c r="AS2179" s="173"/>
      <c r="AT2179" s="140"/>
      <c r="AX2179" s="140"/>
      <c r="BB2179" s="173"/>
      <c r="BC2179" s="173"/>
    </row>
    <row r="2180" spans="2:55" s="134" customFormat="1" x14ac:dyDescent="0.2">
      <c r="B2180" s="145"/>
      <c r="D2180" s="145"/>
      <c r="Z2180" s="177"/>
      <c r="AA2180" s="178"/>
      <c r="AB2180" s="139"/>
      <c r="AC2180" s="173"/>
      <c r="AD2180" s="177"/>
      <c r="AE2180" s="177"/>
      <c r="AF2180" s="139"/>
      <c r="AG2180" s="139"/>
      <c r="AH2180" s="177"/>
      <c r="AI2180" s="178"/>
      <c r="AJ2180" s="139"/>
      <c r="AK2180" s="173"/>
      <c r="AL2180" s="177"/>
      <c r="AM2180" s="178"/>
      <c r="AN2180" s="173"/>
      <c r="AO2180" s="173"/>
      <c r="AP2180" s="173"/>
      <c r="AQ2180" s="178"/>
      <c r="AR2180" s="173"/>
      <c r="AS2180" s="173"/>
      <c r="AT2180" s="140"/>
      <c r="AX2180" s="140"/>
      <c r="BB2180" s="173"/>
      <c r="BC2180" s="173"/>
    </row>
    <row r="2181" spans="2:55" s="134" customFormat="1" x14ac:dyDescent="0.2">
      <c r="B2181" s="145"/>
      <c r="D2181" s="145"/>
      <c r="Z2181" s="177"/>
      <c r="AA2181" s="178"/>
      <c r="AB2181" s="139"/>
      <c r="AC2181" s="173"/>
      <c r="AD2181" s="177"/>
      <c r="AE2181" s="177"/>
      <c r="AF2181" s="139"/>
      <c r="AG2181" s="139"/>
      <c r="AH2181" s="177"/>
      <c r="AI2181" s="178"/>
      <c r="AJ2181" s="139"/>
      <c r="AK2181" s="173"/>
      <c r="AL2181" s="177"/>
      <c r="AM2181" s="178"/>
      <c r="AN2181" s="173"/>
      <c r="AO2181" s="173"/>
      <c r="AP2181" s="173"/>
      <c r="AQ2181" s="178"/>
      <c r="AR2181" s="173"/>
      <c r="AS2181" s="173"/>
      <c r="AT2181" s="140"/>
      <c r="AX2181" s="140"/>
      <c r="BB2181" s="173"/>
      <c r="BC2181" s="173"/>
    </row>
    <row r="2182" spans="2:55" s="134" customFormat="1" x14ac:dyDescent="0.2">
      <c r="B2182" s="145"/>
      <c r="D2182" s="145"/>
      <c r="Z2182" s="177"/>
      <c r="AA2182" s="178"/>
      <c r="AB2182" s="139"/>
      <c r="AC2182" s="173"/>
      <c r="AD2182" s="177"/>
      <c r="AE2182" s="177"/>
      <c r="AF2182" s="139"/>
      <c r="AG2182" s="139"/>
      <c r="AH2182" s="177"/>
      <c r="AI2182" s="178"/>
      <c r="AJ2182" s="139"/>
      <c r="AK2182" s="173"/>
      <c r="AL2182" s="177"/>
      <c r="AM2182" s="178"/>
      <c r="AN2182" s="173"/>
      <c r="AO2182" s="173"/>
      <c r="AP2182" s="173"/>
      <c r="AQ2182" s="178"/>
      <c r="AR2182" s="173"/>
      <c r="AS2182" s="173"/>
      <c r="AT2182" s="140"/>
      <c r="AX2182" s="140"/>
      <c r="BB2182" s="173"/>
      <c r="BC2182" s="173"/>
    </row>
    <row r="2183" spans="2:55" s="134" customFormat="1" x14ac:dyDescent="0.2">
      <c r="B2183" s="145"/>
      <c r="D2183" s="145"/>
      <c r="Z2183" s="177"/>
      <c r="AA2183" s="178"/>
      <c r="AB2183" s="139"/>
      <c r="AC2183" s="173"/>
      <c r="AD2183" s="177"/>
      <c r="AE2183" s="177"/>
      <c r="AF2183" s="139"/>
      <c r="AG2183" s="139"/>
      <c r="AH2183" s="177"/>
      <c r="AI2183" s="178"/>
      <c r="AJ2183" s="139"/>
      <c r="AK2183" s="173"/>
      <c r="AL2183" s="177"/>
      <c r="AM2183" s="178"/>
      <c r="AN2183" s="173"/>
      <c r="AO2183" s="173"/>
      <c r="AP2183" s="173"/>
      <c r="AQ2183" s="178"/>
      <c r="AR2183" s="173"/>
      <c r="AS2183" s="173"/>
      <c r="AT2183" s="140"/>
      <c r="AX2183" s="140"/>
      <c r="BB2183" s="173"/>
      <c r="BC2183" s="173"/>
    </row>
    <row r="2184" spans="2:55" s="134" customFormat="1" x14ac:dyDescent="0.2">
      <c r="B2184" s="145"/>
      <c r="D2184" s="145"/>
      <c r="Z2184" s="177"/>
      <c r="AA2184" s="178"/>
      <c r="AB2184" s="139"/>
      <c r="AC2184" s="173"/>
      <c r="AD2184" s="177"/>
      <c r="AE2184" s="177"/>
      <c r="AF2184" s="139"/>
      <c r="AG2184" s="139"/>
      <c r="AH2184" s="177"/>
      <c r="AI2184" s="178"/>
      <c r="AJ2184" s="139"/>
      <c r="AK2184" s="173"/>
      <c r="AL2184" s="177"/>
      <c r="AM2184" s="178"/>
      <c r="AN2184" s="173"/>
      <c r="AO2184" s="173"/>
      <c r="AP2184" s="173"/>
      <c r="AQ2184" s="178"/>
      <c r="AR2184" s="173"/>
      <c r="AS2184" s="173"/>
      <c r="AT2184" s="140"/>
      <c r="AX2184" s="140"/>
      <c r="BB2184" s="173"/>
      <c r="BC2184" s="173"/>
    </row>
    <row r="2185" spans="2:55" s="134" customFormat="1" x14ac:dyDescent="0.2">
      <c r="B2185" s="145"/>
      <c r="D2185" s="145"/>
      <c r="Z2185" s="177"/>
      <c r="AA2185" s="178"/>
      <c r="AB2185" s="139"/>
      <c r="AC2185" s="173"/>
      <c r="AD2185" s="177"/>
      <c r="AE2185" s="177"/>
      <c r="AF2185" s="139"/>
      <c r="AG2185" s="139"/>
      <c r="AH2185" s="177"/>
      <c r="AI2185" s="178"/>
      <c r="AJ2185" s="139"/>
      <c r="AK2185" s="173"/>
      <c r="AL2185" s="177"/>
      <c r="AM2185" s="178"/>
      <c r="AN2185" s="173"/>
      <c r="AO2185" s="173"/>
      <c r="AP2185" s="173"/>
      <c r="AQ2185" s="178"/>
      <c r="AR2185" s="173"/>
      <c r="AS2185" s="173"/>
      <c r="AT2185" s="140"/>
      <c r="AX2185" s="140"/>
      <c r="BB2185" s="173"/>
      <c r="BC2185" s="173"/>
    </row>
    <row r="2186" spans="2:55" s="134" customFormat="1" x14ac:dyDescent="0.2">
      <c r="B2186" s="145"/>
      <c r="D2186" s="145"/>
      <c r="Z2186" s="177"/>
      <c r="AA2186" s="178"/>
      <c r="AB2186" s="139"/>
      <c r="AC2186" s="173"/>
      <c r="AD2186" s="177"/>
      <c r="AE2186" s="177"/>
      <c r="AF2186" s="139"/>
      <c r="AG2186" s="139"/>
      <c r="AH2186" s="177"/>
      <c r="AI2186" s="178"/>
      <c r="AJ2186" s="139"/>
      <c r="AK2186" s="173"/>
      <c r="AL2186" s="177"/>
      <c r="AM2186" s="178"/>
      <c r="AN2186" s="173"/>
      <c r="AO2186" s="173"/>
      <c r="AP2186" s="173"/>
      <c r="AQ2186" s="178"/>
      <c r="AR2186" s="173"/>
      <c r="AS2186" s="173"/>
      <c r="AT2186" s="140"/>
      <c r="AX2186" s="140"/>
      <c r="BB2186" s="173"/>
      <c r="BC2186" s="173"/>
    </row>
    <row r="2187" spans="2:55" s="134" customFormat="1" x14ac:dyDescent="0.2">
      <c r="B2187" s="145"/>
      <c r="D2187" s="145"/>
      <c r="Z2187" s="177"/>
      <c r="AA2187" s="178"/>
      <c r="AB2187" s="139"/>
      <c r="AC2187" s="173"/>
      <c r="AD2187" s="177"/>
      <c r="AE2187" s="177"/>
      <c r="AF2187" s="139"/>
      <c r="AG2187" s="139"/>
      <c r="AH2187" s="177"/>
      <c r="AI2187" s="178"/>
      <c r="AJ2187" s="139"/>
      <c r="AK2187" s="173"/>
      <c r="AL2187" s="177"/>
      <c r="AM2187" s="178"/>
      <c r="AN2187" s="173"/>
      <c r="AO2187" s="173"/>
      <c r="AP2187" s="173"/>
      <c r="AQ2187" s="178"/>
      <c r="AR2187" s="173"/>
      <c r="AS2187" s="173"/>
      <c r="AT2187" s="140"/>
      <c r="AX2187" s="140"/>
      <c r="BB2187" s="173"/>
      <c r="BC2187" s="173"/>
    </row>
    <row r="2188" spans="2:55" s="134" customFormat="1" x14ac:dyDescent="0.2">
      <c r="B2188" s="145"/>
      <c r="D2188" s="145"/>
      <c r="Z2188" s="177"/>
      <c r="AA2188" s="178"/>
      <c r="AB2188" s="139"/>
      <c r="AC2188" s="173"/>
      <c r="AD2188" s="177"/>
      <c r="AE2188" s="177"/>
      <c r="AF2188" s="139"/>
      <c r="AG2188" s="139"/>
      <c r="AH2188" s="177"/>
      <c r="AI2188" s="178"/>
      <c r="AJ2188" s="139"/>
      <c r="AK2188" s="173"/>
      <c r="AL2188" s="177"/>
      <c r="AM2188" s="178"/>
      <c r="AN2188" s="173"/>
      <c r="AO2188" s="173"/>
      <c r="AP2188" s="173"/>
      <c r="AQ2188" s="178"/>
      <c r="AR2188" s="173"/>
      <c r="AS2188" s="173"/>
      <c r="AT2188" s="140"/>
      <c r="AX2188" s="140"/>
      <c r="BB2188" s="173"/>
      <c r="BC2188" s="173"/>
    </row>
    <row r="2189" spans="2:55" s="134" customFormat="1" x14ac:dyDescent="0.2">
      <c r="B2189" s="145"/>
      <c r="D2189" s="145"/>
      <c r="Z2189" s="177"/>
      <c r="AA2189" s="178"/>
      <c r="AB2189" s="139"/>
      <c r="AC2189" s="173"/>
      <c r="AD2189" s="177"/>
      <c r="AE2189" s="177"/>
      <c r="AF2189" s="139"/>
      <c r="AG2189" s="139"/>
      <c r="AH2189" s="177"/>
      <c r="AI2189" s="178"/>
      <c r="AJ2189" s="139"/>
      <c r="AK2189" s="173"/>
      <c r="AL2189" s="177"/>
      <c r="AM2189" s="178"/>
      <c r="AN2189" s="173"/>
      <c r="AO2189" s="173"/>
      <c r="AP2189" s="173"/>
      <c r="AQ2189" s="178"/>
      <c r="AR2189" s="173"/>
      <c r="AS2189" s="173"/>
      <c r="AT2189" s="140"/>
      <c r="AX2189" s="140"/>
      <c r="BB2189" s="173"/>
      <c r="BC2189" s="173"/>
    </row>
    <row r="2190" spans="2:55" s="134" customFormat="1" x14ac:dyDescent="0.2">
      <c r="B2190" s="145"/>
      <c r="D2190" s="145"/>
      <c r="Z2190" s="177"/>
      <c r="AA2190" s="178"/>
      <c r="AB2190" s="139"/>
      <c r="AC2190" s="173"/>
      <c r="AD2190" s="177"/>
      <c r="AE2190" s="177"/>
      <c r="AF2190" s="139"/>
      <c r="AG2190" s="139"/>
      <c r="AH2190" s="177"/>
      <c r="AI2190" s="178"/>
      <c r="AJ2190" s="139"/>
      <c r="AK2190" s="173"/>
      <c r="AL2190" s="177"/>
      <c r="AM2190" s="178"/>
      <c r="AN2190" s="173"/>
      <c r="AO2190" s="173"/>
      <c r="AP2190" s="173"/>
      <c r="AQ2190" s="178"/>
      <c r="AR2190" s="173"/>
      <c r="AS2190" s="173"/>
      <c r="AT2190" s="140"/>
      <c r="AX2190" s="140"/>
      <c r="BB2190" s="173"/>
      <c r="BC2190" s="173"/>
    </row>
    <row r="2191" spans="2:55" s="134" customFormat="1" x14ac:dyDescent="0.2">
      <c r="B2191" s="145"/>
      <c r="D2191" s="145"/>
      <c r="Z2191" s="177"/>
      <c r="AA2191" s="178"/>
      <c r="AB2191" s="139"/>
      <c r="AC2191" s="173"/>
      <c r="AD2191" s="177"/>
      <c r="AE2191" s="177"/>
      <c r="AF2191" s="139"/>
      <c r="AG2191" s="139"/>
      <c r="AH2191" s="177"/>
      <c r="AI2191" s="178"/>
      <c r="AJ2191" s="139"/>
      <c r="AK2191" s="173"/>
      <c r="AL2191" s="177"/>
      <c r="AM2191" s="178"/>
      <c r="AN2191" s="173"/>
      <c r="AO2191" s="173"/>
      <c r="AP2191" s="173"/>
      <c r="AQ2191" s="178"/>
      <c r="AR2191" s="173"/>
      <c r="AS2191" s="173"/>
      <c r="AT2191" s="140"/>
      <c r="AX2191" s="140"/>
      <c r="BB2191" s="173"/>
      <c r="BC2191" s="173"/>
    </row>
    <row r="2192" spans="2:55" s="134" customFormat="1" x14ac:dyDescent="0.2">
      <c r="B2192" s="145"/>
      <c r="D2192" s="145"/>
      <c r="Z2192" s="177"/>
      <c r="AA2192" s="178"/>
      <c r="AB2192" s="139"/>
      <c r="AC2192" s="173"/>
      <c r="AD2192" s="177"/>
      <c r="AE2192" s="177"/>
      <c r="AF2192" s="139"/>
      <c r="AG2192" s="139"/>
      <c r="AH2192" s="177"/>
      <c r="AI2192" s="178"/>
      <c r="AJ2192" s="139"/>
      <c r="AK2192" s="173"/>
      <c r="AL2192" s="177"/>
      <c r="AM2192" s="178"/>
      <c r="AN2192" s="173"/>
      <c r="AO2192" s="173"/>
      <c r="AP2192" s="173"/>
      <c r="AQ2192" s="178"/>
      <c r="AR2192" s="173"/>
      <c r="AS2192" s="173"/>
      <c r="AT2192" s="140"/>
      <c r="AX2192" s="140"/>
      <c r="BB2192" s="173"/>
      <c r="BC2192" s="173"/>
    </row>
    <row r="2193" spans="2:55" s="134" customFormat="1" x14ac:dyDescent="0.2">
      <c r="B2193" s="145"/>
      <c r="D2193" s="145"/>
      <c r="Z2193" s="177"/>
      <c r="AA2193" s="178"/>
      <c r="AB2193" s="139"/>
      <c r="AC2193" s="173"/>
      <c r="AD2193" s="177"/>
      <c r="AE2193" s="177"/>
      <c r="AF2193" s="139"/>
      <c r="AG2193" s="139"/>
      <c r="AH2193" s="177"/>
      <c r="AI2193" s="178"/>
      <c r="AJ2193" s="139"/>
      <c r="AK2193" s="173"/>
      <c r="AL2193" s="177"/>
      <c r="AM2193" s="178"/>
      <c r="AN2193" s="173"/>
      <c r="AO2193" s="173"/>
      <c r="AP2193" s="173"/>
      <c r="AQ2193" s="178"/>
      <c r="AR2193" s="173"/>
      <c r="AS2193" s="173"/>
      <c r="AT2193" s="140"/>
      <c r="AX2193" s="140"/>
      <c r="BB2193" s="173"/>
      <c r="BC2193" s="173"/>
    </row>
    <row r="2194" spans="2:55" s="134" customFormat="1" x14ac:dyDescent="0.2">
      <c r="B2194" s="145"/>
      <c r="D2194" s="145"/>
      <c r="Z2194" s="177"/>
      <c r="AA2194" s="178"/>
      <c r="AB2194" s="139"/>
      <c r="AC2194" s="173"/>
      <c r="AD2194" s="177"/>
      <c r="AE2194" s="177"/>
      <c r="AF2194" s="139"/>
      <c r="AG2194" s="139"/>
      <c r="AH2194" s="177"/>
      <c r="AI2194" s="178"/>
      <c r="AJ2194" s="139"/>
      <c r="AK2194" s="173"/>
      <c r="AL2194" s="177"/>
      <c r="AM2194" s="178"/>
      <c r="AN2194" s="173"/>
      <c r="AO2194" s="173"/>
      <c r="AP2194" s="173"/>
      <c r="AQ2194" s="178"/>
      <c r="AR2194" s="173"/>
      <c r="AS2194" s="173"/>
      <c r="AT2194" s="140"/>
      <c r="AX2194" s="140"/>
      <c r="BB2194" s="173"/>
      <c r="BC2194" s="173"/>
    </row>
    <row r="2195" spans="2:55" s="134" customFormat="1" x14ac:dyDescent="0.2">
      <c r="B2195" s="145"/>
      <c r="D2195" s="145"/>
      <c r="Z2195" s="177"/>
      <c r="AA2195" s="178"/>
      <c r="AB2195" s="139"/>
      <c r="AC2195" s="173"/>
      <c r="AD2195" s="177"/>
      <c r="AE2195" s="177"/>
      <c r="AF2195" s="139"/>
      <c r="AG2195" s="139"/>
      <c r="AH2195" s="177"/>
      <c r="AI2195" s="178"/>
      <c r="AJ2195" s="139"/>
      <c r="AK2195" s="173"/>
      <c r="AL2195" s="177"/>
      <c r="AM2195" s="178"/>
      <c r="AN2195" s="173"/>
      <c r="AO2195" s="173"/>
      <c r="AP2195" s="173"/>
      <c r="AQ2195" s="178"/>
      <c r="AR2195" s="173"/>
      <c r="AS2195" s="173"/>
      <c r="AT2195" s="140"/>
      <c r="AX2195" s="140"/>
      <c r="BB2195" s="173"/>
      <c r="BC2195" s="173"/>
    </row>
    <row r="2196" spans="2:55" s="134" customFormat="1" x14ac:dyDescent="0.2">
      <c r="B2196" s="145"/>
      <c r="D2196" s="145"/>
      <c r="Z2196" s="177"/>
      <c r="AA2196" s="178"/>
      <c r="AB2196" s="139"/>
      <c r="AC2196" s="173"/>
      <c r="AD2196" s="177"/>
      <c r="AE2196" s="177"/>
      <c r="AF2196" s="139"/>
      <c r="AG2196" s="139"/>
      <c r="AH2196" s="177"/>
      <c r="AI2196" s="178"/>
      <c r="AJ2196" s="139"/>
      <c r="AK2196" s="173"/>
      <c r="AL2196" s="177"/>
      <c r="AM2196" s="178"/>
      <c r="AN2196" s="173"/>
      <c r="AO2196" s="173"/>
      <c r="AP2196" s="173"/>
      <c r="AQ2196" s="178"/>
      <c r="AR2196" s="173"/>
      <c r="AS2196" s="173"/>
      <c r="AT2196" s="140"/>
      <c r="AX2196" s="140"/>
      <c r="BB2196" s="173"/>
      <c r="BC2196" s="173"/>
    </row>
    <row r="2197" spans="2:55" s="134" customFormat="1" x14ac:dyDescent="0.2">
      <c r="B2197" s="145"/>
      <c r="D2197" s="145"/>
      <c r="Z2197" s="177"/>
      <c r="AA2197" s="178"/>
      <c r="AB2197" s="139"/>
      <c r="AC2197" s="173"/>
      <c r="AD2197" s="177"/>
      <c r="AE2197" s="177"/>
      <c r="AF2197" s="139"/>
      <c r="AG2197" s="139"/>
      <c r="AH2197" s="177"/>
      <c r="AI2197" s="178"/>
      <c r="AJ2197" s="139"/>
      <c r="AK2197" s="173"/>
      <c r="AL2197" s="177"/>
      <c r="AM2197" s="178"/>
      <c r="AN2197" s="173"/>
      <c r="AO2197" s="173"/>
      <c r="AP2197" s="173"/>
      <c r="AQ2197" s="178"/>
      <c r="AR2197" s="173"/>
      <c r="AS2197" s="173"/>
      <c r="AT2197" s="140"/>
      <c r="AX2197" s="140"/>
      <c r="BB2197" s="173"/>
      <c r="BC2197" s="173"/>
    </row>
    <row r="2198" spans="2:55" s="134" customFormat="1" x14ac:dyDescent="0.2">
      <c r="B2198" s="145"/>
      <c r="D2198" s="145"/>
      <c r="Z2198" s="177"/>
      <c r="AA2198" s="178"/>
      <c r="AB2198" s="139"/>
      <c r="AC2198" s="173"/>
      <c r="AD2198" s="177"/>
      <c r="AE2198" s="177"/>
      <c r="AF2198" s="139"/>
      <c r="AG2198" s="139"/>
      <c r="AH2198" s="177"/>
      <c r="AI2198" s="178"/>
      <c r="AJ2198" s="139"/>
      <c r="AK2198" s="173"/>
      <c r="AL2198" s="177"/>
      <c r="AM2198" s="178"/>
      <c r="AN2198" s="173"/>
      <c r="AO2198" s="173"/>
      <c r="AP2198" s="173"/>
      <c r="AQ2198" s="178"/>
      <c r="AR2198" s="173"/>
      <c r="AS2198" s="173"/>
      <c r="AT2198" s="140"/>
      <c r="AX2198" s="140"/>
      <c r="BB2198" s="173"/>
      <c r="BC2198" s="173"/>
    </row>
    <row r="2199" spans="2:55" s="134" customFormat="1" x14ac:dyDescent="0.2">
      <c r="B2199" s="145"/>
      <c r="D2199" s="145"/>
      <c r="Z2199" s="177"/>
      <c r="AA2199" s="178"/>
      <c r="AB2199" s="139"/>
      <c r="AC2199" s="173"/>
      <c r="AD2199" s="177"/>
      <c r="AE2199" s="177"/>
      <c r="AF2199" s="139"/>
      <c r="AG2199" s="139"/>
      <c r="AH2199" s="177"/>
      <c r="AI2199" s="178"/>
      <c r="AJ2199" s="139"/>
      <c r="AK2199" s="173"/>
      <c r="AL2199" s="177"/>
      <c r="AM2199" s="178"/>
      <c r="AN2199" s="173"/>
      <c r="AO2199" s="173"/>
      <c r="AP2199" s="173"/>
      <c r="AQ2199" s="178"/>
      <c r="AR2199" s="173"/>
      <c r="AS2199" s="173"/>
      <c r="AT2199" s="140"/>
      <c r="AX2199" s="140"/>
      <c r="BB2199" s="173"/>
      <c r="BC2199" s="173"/>
    </row>
    <row r="2200" spans="2:55" s="134" customFormat="1" x14ac:dyDescent="0.2">
      <c r="B2200" s="145"/>
      <c r="D2200" s="145"/>
      <c r="Z2200" s="177"/>
      <c r="AA2200" s="178"/>
      <c r="AB2200" s="139"/>
      <c r="AC2200" s="173"/>
      <c r="AD2200" s="177"/>
      <c r="AE2200" s="177"/>
      <c r="AF2200" s="139"/>
      <c r="AG2200" s="139"/>
      <c r="AH2200" s="177"/>
      <c r="AI2200" s="178"/>
      <c r="AJ2200" s="139"/>
      <c r="AK2200" s="173"/>
      <c r="AL2200" s="177"/>
      <c r="AM2200" s="178"/>
      <c r="AN2200" s="173"/>
      <c r="AO2200" s="173"/>
      <c r="AP2200" s="173"/>
      <c r="AQ2200" s="178"/>
      <c r="AR2200" s="173"/>
      <c r="AS2200" s="173"/>
      <c r="AT2200" s="140"/>
      <c r="AX2200" s="140"/>
      <c r="BB2200" s="173"/>
      <c r="BC2200" s="173"/>
    </row>
    <row r="2201" spans="2:55" s="134" customFormat="1" x14ac:dyDescent="0.2">
      <c r="B2201" s="145"/>
      <c r="D2201" s="145"/>
      <c r="Z2201" s="177"/>
      <c r="AA2201" s="178"/>
      <c r="AB2201" s="139"/>
      <c r="AC2201" s="173"/>
      <c r="AD2201" s="177"/>
      <c r="AE2201" s="177"/>
      <c r="AF2201" s="139"/>
      <c r="AG2201" s="139"/>
      <c r="AH2201" s="177"/>
      <c r="AI2201" s="178"/>
      <c r="AJ2201" s="139"/>
      <c r="AK2201" s="173"/>
      <c r="AL2201" s="177"/>
      <c r="AM2201" s="178"/>
      <c r="AN2201" s="173"/>
      <c r="AO2201" s="173"/>
      <c r="AP2201" s="173"/>
      <c r="AQ2201" s="178"/>
      <c r="AR2201" s="173"/>
      <c r="AS2201" s="173"/>
      <c r="AT2201" s="140"/>
      <c r="AX2201" s="140"/>
      <c r="BB2201" s="173"/>
      <c r="BC2201" s="173"/>
    </row>
    <row r="2202" spans="2:55" s="134" customFormat="1" x14ac:dyDescent="0.2">
      <c r="B2202" s="145"/>
      <c r="D2202" s="145"/>
      <c r="Z2202" s="177"/>
      <c r="AA2202" s="178"/>
      <c r="AB2202" s="139"/>
      <c r="AC2202" s="173"/>
      <c r="AD2202" s="177"/>
      <c r="AE2202" s="177"/>
      <c r="AF2202" s="139"/>
      <c r="AG2202" s="139"/>
      <c r="AH2202" s="177"/>
      <c r="AI2202" s="178"/>
      <c r="AJ2202" s="139"/>
      <c r="AK2202" s="173"/>
      <c r="AL2202" s="177"/>
      <c r="AM2202" s="178"/>
      <c r="AN2202" s="173"/>
      <c r="AO2202" s="173"/>
      <c r="AP2202" s="173"/>
      <c r="AQ2202" s="178"/>
      <c r="AR2202" s="173"/>
      <c r="AS2202" s="173"/>
      <c r="AT2202" s="140"/>
      <c r="AX2202" s="140"/>
      <c r="BB2202" s="173"/>
      <c r="BC2202" s="173"/>
    </row>
    <row r="2203" spans="2:55" s="134" customFormat="1" x14ac:dyDescent="0.2">
      <c r="B2203" s="145"/>
      <c r="D2203" s="145"/>
      <c r="Z2203" s="177"/>
      <c r="AA2203" s="178"/>
      <c r="AB2203" s="139"/>
      <c r="AC2203" s="173"/>
      <c r="AD2203" s="177"/>
      <c r="AE2203" s="177"/>
      <c r="AF2203" s="139"/>
      <c r="AG2203" s="139"/>
      <c r="AH2203" s="177"/>
      <c r="AI2203" s="178"/>
      <c r="AJ2203" s="139"/>
      <c r="AK2203" s="173"/>
      <c r="AL2203" s="177"/>
      <c r="AM2203" s="178"/>
      <c r="AN2203" s="173"/>
      <c r="AO2203" s="173"/>
      <c r="AP2203" s="173"/>
      <c r="AQ2203" s="178"/>
      <c r="AR2203" s="173"/>
      <c r="AS2203" s="173"/>
      <c r="AT2203" s="140"/>
      <c r="AX2203" s="140"/>
      <c r="BB2203" s="173"/>
      <c r="BC2203" s="173"/>
    </row>
    <row r="2204" spans="2:55" s="134" customFormat="1" x14ac:dyDescent="0.2">
      <c r="B2204" s="145"/>
      <c r="D2204" s="145"/>
      <c r="Z2204" s="177"/>
      <c r="AA2204" s="178"/>
      <c r="AB2204" s="139"/>
      <c r="AC2204" s="173"/>
      <c r="AD2204" s="177"/>
      <c r="AE2204" s="177"/>
      <c r="AF2204" s="139"/>
      <c r="AG2204" s="139"/>
      <c r="AH2204" s="177"/>
      <c r="AI2204" s="178"/>
      <c r="AJ2204" s="139"/>
      <c r="AK2204" s="173"/>
      <c r="AL2204" s="177"/>
      <c r="AM2204" s="178"/>
      <c r="AN2204" s="173"/>
      <c r="AO2204" s="173"/>
      <c r="AP2204" s="173"/>
      <c r="AQ2204" s="178"/>
      <c r="AR2204" s="173"/>
      <c r="AS2204" s="173"/>
      <c r="AT2204" s="140"/>
      <c r="AX2204" s="140"/>
      <c r="BB2204" s="173"/>
      <c r="BC2204" s="173"/>
    </row>
    <row r="2205" spans="2:55" s="134" customFormat="1" x14ac:dyDescent="0.2">
      <c r="B2205" s="145"/>
      <c r="D2205" s="145"/>
      <c r="Z2205" s="177"/>
      <c r="AA2205" s="178"/>
      <c r="AB2205" s="139"/>
      <c r="AC2205" s="173"/>
      <c r="AD2205" s="177"/>
      <c r="AE2205" s="177"/>
      <c r="AF2205" s="139"/>
      <c r="AG2205" s="139"/>
      <c r="AH2205" s="177"/>
      <c r="AI2205" s="178"/>
      <c r="AJ2205" s="139"/>
      <c r="AK2205" s="173"/>
      <c r="AL2205" s="177"/>
      <c r="AM2205" s="178"/>
      <c r="AN2205" s="173"/>
      <c r="AO2205" s="173"/>
      <c r="AP2205" s="173"/>
      <c r="AQ2205" s="178"/>
      <c r="AR2205" s="173"/>
      <c r="AS2205" s="173"/>
      <c r="AT2205" s="140"/>
      <c r="AX2205" s="140"/>
      <c r="BB2205" s="173"/>
      <c r="BC2205" s="173"/>
    </row>
    <row r="2206" spans="2:55" s="134" customFormat="1" x14ac:dyDescent="0.2">
      <c r="B2206" s="145"/>
      <c r="D2206" s="145"/>
      <c r="Z2206" s="177"/>
      <c r="AA2206" s="178"/>
      <c r="AB2206" s="139"/>
      <c r="AC2206" s="173"/>
      <c r="AD2206" s="177"/>
      <c r="AE2206" s="177"/>
      <c r="AF2206" s="139"/>
      <c r="AG2206" s="139"/>
      <c r="AH2206" s="177"/>
      <c r="AI2206" s="178"/>
      <c r="AJ2206" s="139"/>
      <c r="AK2206" s="173"/>
      <c r="AL2206" s="177"/>
      <c r="AM2206" s="178"/>
      <c r="AN2206" s="173"/>
      <c r="AO2206" s="173"/>
      <c r="AP2206" s="173"/>
      <c r="AQ2206" s="178"/>
      <c r="AR2206" s="173"/>
      <c r="AS2206" s="173"/>
      <c r="AT2206" s="140"/>
      <c r="AX2206" s="140"/>
      <c r="BB2206" s="173"/>
      <c r="BC2206" s="173"/>
    </row>
    <row r="2207" spans="2:55" s="134" customFormat="1" x14ac:dyDescent="0.2">
      <c r="B2207" s="145"/>
      <c r="D2207" s="145"/>
      <c r="Z2207" s="177"/>
      <c r="AA2207" s="178"/>
      <c r="AB2207" s="139"/>
      <c r="AC2207" s="173"/>
      <c r="AD2207" s="177"/>
      <c r="AE2207" s="177"/>
      <c r="AF2207" s="139"/>
      <c r="AG2207" s="139"/>
      <c r="AH2207" s="177"/>
      <c r="AI2207" s="178"/>
      <c r="AJ2207" s="139"/>
      <c r="AK2207" s="173"/>
      <c r="AL2207" s="177"/>
      <c r="AM2207" s="178"/>
      <c r="AN2207" s="173"/>
      <c r="AO2207" s="173"/>
      <c r="AP2207" s="173"/>
      <c r="AQ2207" s="178"/>
      <c r="AR2207" s="173"/>
      <c r="AS2207" s="173"/>
      <c r="AT2207" s="140"/>
      <c r="AX2207" s="140"/>
      <c r="BB2207" s="173"/>
      <c r="BC2207" s="173"/>
    </row>
    <row r="2208" spans="2:55" s="134" customFormat="1" x14ac:dyDescent="0.2">
      <c r="B2208" s="145"/>
      <c r="D2208" s="145"/>
      <c r="Z2208" s="177"/>
      <c r="AA2208" s="178"/>
      <c r="AB2208" s="139"/>
      <c r="AC2208" s="173"/>
      <c r="AD2208" s="177"/>
      <c r="AE2208" s="177"/>
      <c r="AF2208" s="139"/>
      <c r="AG2208" s="139"/>
      <c r="AH2208" s="177"/>
      <c r="AI2208" s="178"/>
      <c r="AJ2208" s="139"/>
      <c r="AK2208" s="173"/>
      <c r="AL2208" s="177"/>
      <c r="AM2208" s="178"/>
      <c r="AN2208" s="173"/>
      <c r="AO2208" s="173"/>
      <c r="AP2208" s="173"/>
      <c r="AQ2208" s="178"/>
      <c r="AR2208" s="173"/>
      <c r="AS2208" s="173"/>
      <c r="AT2208" s="140"/>
      <c r="AX2208" s="140"/>
      <c r="BB2208" s="173"/>
      <c r="BC2208" s="173"/>
    </row>
    <row r="2209" spans="2:55" s="134" customFormat="1" x14ac:dyDescent="0.2">
      <c r="B2209" s="145"/>
      <c r="D2209" s="145"/>
      <c r="Z2209" s="177"/>
      <c r="AA2209" s="178"/>
      <c r="AB2209" s="139"/>
      <c r="AC2209" s="173"/>
      <c r="AD2209" s="177"/>
      <c r="AE2209" s="177"/>
      <c r="AF2209" s="139"/>
      <c r="AG2209" s="139"/>
      <c r="AH2209" s="177"/>
      <c r="AI2209" s="178"/>
      <c r="AJ2209" s="139"/>
      <c r="AK2209" s="173"/>
      <c r="AL2209" s="177"/>
      <c r="AM2209" s="178"/>
      <c r="AN2209" s="173"/>
      <c r="AO2209" s="173"/>
      <c r="AP2209" s="173"/>
      <c r="AQ2209" s="178"/>
      <c r="AR2209" s="173"/>
      <c r="AS2209" s="173"/>
      <c r="AT2209" s="140"/>
      <c r="AX2209" s="140"/>
      <c r="BB2209" s="173"/>
      <c r="BC2209" s="173"/>
    </row>
    <row r="2210" spans="2:55" s="134" customFormat="1" x14ac:dyDescent="0.2">
      <c r="B2210" s="145"/>
      <c r="D2210" s="145"/>
      <c r="Z2210" s="177"/>
      <c r="AA2210" s="178"/>
      <c r="AB2210" s="139"/>
      <c r="AC2210" s="173"/>
      <c r="AD2210" s="177"/>
      <c r="AE2210" s="177"/>
      <c r="AF2210" s="139"/>
      <c r="AG2210" s="139"/>
      <c r="AH2210" s="177"/>
      <c r="AI2210" s="178"/>
      <c r="AJ2210" s="139"/>
      <c r="AK2210" s="173"/>
      <c r="AL2210" s="177"/>
      <c r="AM2210" s="178"/>
      <c r="AN2210" s="173"/>
      <c r="AO2210" s="173"/>
      <c r="AP2210" s="173"/>
      <c r="AQ2210" s="178"/>
      <c r="AR2210" s="173"/>
      <c r="AS2210" s="173"/>
      <c r="AT2210" s="140"/>
      <c r="AX2210" s="140"/>
      <c r="BB2210" s="173"/>
      <c r="BC2210" s="173"/>
    </row>
    <row r="2211" spans="2:55" s="134" customFormat="1" x14ac:dyDescent="0.2">
      <c r="B2211" s="145"/>
      <c r="D2211" s="145"/>
      <c r="Z2211" s="177"/>
      <c r="AA2211" s="178"/>
      <c r="AB2211" s="139"/>
      <c r="AC2211" s="173"/>
      <c r="AD2211" s="177"/>
      <c r="AE2211" s="177"/>
      <c r="AF2211" s="139"/>
      <c r="AG2211" s="139"/>
      <c r="AH2211" s="177"/>
      <c r="AI2211" s="178"/>
      <c r="AJ2211" s="139"/>
      <c r="AK2211" s="173"/>
      <c r="AL2211" s="177"/>
      <c r="AM2211" s="178"/>
      <c r="AN2211" s="173"/>
      <c r="AO2211" s="173"/>
      <c r="AP2211" s="173"/>
      <c r="AQ2211" s="178"/>
      <c r="AR2211" s="173"/>
      <c r="AS2211" s="173"/>
      <c r="AT2211" s="140"/>
      <c r="AX2211" s="140"/>
      <c r="BB2211" s="173"/>
      <c r="BC2211" s="173"/>
    </row>
    <row r="2212" spans="2:55" s="134" customFormat="1" x14ac:dyDescent="0.2">
      <c r="B2212" s="145"/>
      <c r="D2212" s="145"/>
      <c r="Z2212" s="177"/>
      <c r="AA2212" s="178"/>
      <c r="AB2212" s="139"/>
      <c r="AC2212" s="173"/>
      <c r="AD2212" s="177"/>
      <c r="AE2212" s="177"/>
      <c r="AF2212" s="139"/>
      <c r="AG2212" s="139"/>
      <c r="AH2212" s="177"/>
      <c r="AI2212" s="178"/>
      <c r="AJ2212" s="139"/>
      <c r="AK2212" s="173"/>
      <c r="AL2212" s="177"/>
      <c r="AM2212" s="178"/>
      <c r="AN2212" s="173"/>
      <c r="AO2212" s="173"/>
      <c r="AP2212" s="173"/>
      <c r="AQ2212" s="178"/>
      <c r="AR2212" s="173"/>
      <c r="AS2212" s="173"/>
      <c r="AT2212" s="140"/>
      <c r="AX2212" s="140"/>
      <c r="BB2212" s="173"/>
      <c r="BC2212" s="173"/>
    </row>
    <row r="2213" spans="2:55" s="134" customFormat="1" x14ac:dyDescent="0.2">
      <c r="B2213" s="145"/>
      <c r="D2213" s="145"/>
      <c r="Z2213" s="177"/>
      <c r="AA2213" s="178"/>
      <c r="AB2213" s="139"/>
      <c r="AC2213" s="173"/>
      <c r="AD2213" s="177"/>
      <c r="AE2213" s="177"/>
      <c r="AF2213" s="139"/>
      <c r="AG2213" s="139"/>
      <c r="AH2213" s="177"/>
      <c r="AI2213" s="178"/>
      <c r="AJ2213" s="139"/>
      <c r="AK2213" s="173"/>
      <c r="AL2213" s="177"/>
      <c r="AM2213" s="178"/>
      <c r="AN2213" s="173"/>
      <c r="AO2213" s="173"/>
      <c r="AP2213" s="173"/>
      <c r="AQ2213" s="178"/>
      <c r="AR2213" s="173"/>
      <c r="AS2213" s="173"/>
      <c r="AT2213" s="140"/>
      <c r="AX2213" s="140"/>
      <c r="BB2213" s="173"/>
      <c r="BC2213" s="173"/>
    </row>
    <row r="2214" spans="2:55" s="134" customFormat="1" x14ac:dyDescent="0.2">
      <c r="B2214" s="145"/>
      <c r="D2214" s="145"/>
      <c r="Z2214" s="177"/>
      <c r="AA2214" s="178"/>
      <c r="AB2214" s="139"/>
      <c r="AC2214" s="173"/>
      <c r="AD2214" s="177"/>
      <c r="AE2214" s="177"/>
      <c r="AF2214" s="139"/>
      <c r="AG2214" s="139"/>
      <c r="AH2214" s="177"/>
      <c r="AI2214" s="178"/>
      <c r="AJ2214" s="139"/>
      <c r="AK2214" s="173"/>
      <c r="AL2214" s="177"/>
      <c r="AM2214" s="178"/>
      <c r="AN2214" s="173"/>
      <c r="AO2214" s="173"/>
      <c r="AP2214" s="173"/>
      <c r="AQ2214" s="178"/>
      <c r="AR2214" s="173"/>
      <c r="AS2214" s="173"/>
      <c r="AT2214" s="140"/>
      <c r="AX2214" s="140"/>
      <c r="BB2214" s="173"/>
      <c r="BC2214" s="173"/>
    </row>
    <row r="2215" spans="2:55" s="134" customFormat="1" x14ac:dyDescent="0.2">
      <c r="B2215" s="145"/>
      <c r="D2215" s="145"/>
      <c r="Z2215" s="177"/>
      <c r="AA2215" s="178"/>
      <c r="AB2215" s="139"/>
      <c r="AC2215" s="173"/>
      <c r="AD2215" s="177"/>
      <c r="AE2215" s="177"/>
      <c r="AF2215" s="139"/>
      <c r="AG2215" s="139"/>
      <c r="AH2215" s="177"/>
      <c r="AI2215" s="178"/>
      <c r="AJ2215" s="139"/>
      <c r="AK2215" s="173"/>
      <c r="AL2215" s="177"/>
      <c r="AM2215" s="178"/>
      <c r="AN2215" s="173"/>
      <c r="AO2215" s="173"/>
      <c r="AP2215" s="173"/>
      <c r="AQ2215" s="178"/>
      <c r="AR2215" s="173"/>
      <c r="AS2215" s="173"/>
      <c r="AT2215" s="140"/>
      <c r="AX2215" s="140"/>
      <c r="BB2215" s="173"/>
      <c r="BC2215" s="173"/>
    </row>
    <row r="2216" spans="2:55" s="134" customFormat="1" x14ac:dyDescent="0.2">
      <c r="B2216" s="145"/>
      <c r="D2216" s="145"/>
      <c r="Z2216" s="177"/>
      <c r="AA2216" s="178"/>
      <c r="AB2216" s="139"/>
      <c r="AC2216" s="173"/>
      <c r="AD2216" s="177"/>
      <c r="AE2216" s="177"/>
      <c r="AF2216" s="139"/>
      <c r="AG2216" s="139"/>
      <c r="AH2216" s="177"/>
      <c r="AI2216" s="178"/>
      <c r="AJ2216" s="139"/>
      <c r="AK2216" s="173"/>
      <c r="AL2216" s="177"/>
      <c r="AM2216" s="178"/>
      <c r="AN2216" s="173"/>
      <c r="AO2216" s="173"/>
      <c r="AP2216" s="173"/>
      <c r="AQ2216" s="178"/>
      <c r="AR2216" s="173"/>
      <c r="AS2216" s="173"/>
      <c r="AT2216" s="140"/>
      <c r="AX2216" s="140"/>
      <c r="BB2216" s="173"/>
      <c r="BC2216" s="173"/>
    </row>
    <row r="2217" spans="2:55" s="134" customFormat="1" x14ac:dyDescent="0.2">
      <c r="B2217" s="145"/>
      <c r="D2217" s="145"/>
      <c r="Z2217" s="177"/>
      <c r="AA2217" s="178"/>
      <c r="AB2217" s="139"/>
      <c r="AC2217" s="173"/>
      <c r="AD2217" s="177"/>
      <c r="AE2217" s="177"/>
      <c r="AF2217" s="139"/>
      <c r="AG2217" s="139"/>
      <c r="AH2217" s="177"/>
      <c r="AI2217" s="178"/>
      <c r="AJ2217" s="139"/>
      <c r="AK2217" s="173"/>
      <c r="AL2217" s="177"/>
      <c r="AM2217" s="178"/>
      <c r="AN2217" s="173"/>
      <c r="AO2217" s="173"/>
      <c r="AP2217" s="173"/>
      <c r="AQ2217" s="178"/>
      <c r="AR2217" s="173"/>
      <c r="AS2217" s="173"/>
      <c r="AT2217" s="140"/>
      <c r="AX2217" s="140"/>
      <c r="BB2217" s="173"/>
      <c r="BC2217" s="173"/>
    </row>
    <row r="2218" spans="2:55" s="134" customFormat="1" x14ac:dyDescent="0.2">
      <c r="B2218" s="145"/>
      <c r="D2218" s="145"/>
      <c r="Z2218" s="177"/>
      <c r="AA2218" s="178"/>
      <c r="AB2218" s="139"/>
      <c r="AC2218" s="173"/>
      <c r="AD2218" s="177"/>
      <c r="AE2218" s="177"/>
      <c r="AF2218" s="139"/>
      <c r="AG2218" s="139"/>
      <c r="AH2218" s="177"/>
      <c r="AI2218" s="178"/>
      <c r="AJ2218" s="139"/>
      <c r="AK2218" s="173"/>
      <c r="AL2218" s="177"/>
      <c r="AM2218" s="178"/>
      <c r="AN2218" s="173"/>
      <c r="AO2218" s="173"/>
      <c r="AP2218" s="173"/>
      <c r="AQ2218" s="178"/>
      <c r="AR2218" s="173"/>
      <c r="AS2218" s="173"/>
      <c r="AT2218" s="140"/>
      <c r="AX2218" s="140"/>
      <c r="BB2218" s="173"/>
      <c r="BC2218" s="173"/>
    </row>
    <row r="2219" spans="2:55" s="134" customFormat="1" x14ac:dyDescent="0.2">
      <c r="B2219" s="145"/>
      <c r="D2219" s="145"/>
      <c r="Z2219" s="177"/>
      <c r="AA2219" s="178"/>
      <c r="AB2219" s="139"/>
      <c r="AC2219" s="173"/>
      <c r="AD2219" s="177"/>
      <c r="AE2219" s="177"/>
      <c r="AF2219" s="139"/>
      <c r="AG2219" s="139"/>
      <c r="AH2219" s="177"/>
      <c r="AI2219" s="178"/>
      <c r="AJ2219" s="139"/>
      <c r="AK2219" s="173"/>
      <c r="AL2219" s="177"/>
      <c r="AM2219" s="178"/>
      <c r="AN2219" s="173"/>
      <c r="AO2219" s="173"/>
      <c r="AP2219" s="173"/>
      <c r="AQ2219" s="178"/>
      <c r="AR2219" s="173"/>
      <c r="AS2219" s="173"/>
      <c r="AT2219" s="140"/>
      <c r="AX2219" s="140"/>
      <c r="BB2219" s="173"/>
      <c r="BC2219" s="173"/>
    </row>
    <row r="2220" spans="2:55" s="134" customFormat="1" x14ac:dyDescent="0.2">
      <c r="B2220" s="145"/>
      <c r="D2220" s="145"/>
      <c r="Z2220" s="177"/>
      <c r="AA2220" s="178"/>
      <c r="AB2220" s="139"/>
      <c r="AC2220" s="173"/>
      <c r="AD2220" s="177"/>
      <c r="AE2220" s="177"/>
      <c r="AF2220" s="139"/>
      <c r="AG2220" s="139"/>
      <c r="AH2220" s="177"/>
      <c r="AI2220" s="178"/>
      <c r="AJ2220" s="139"/>
      <c r="AK2220" s="173"/>
      <c r="AL2220" s="177"/>
      <c r="AM2220" s="178"/>
      <c r="AN2220" s="173"/>
      <c r="AO2220" s="173"/>
      <c r="AP2220" s="173"/>
      <c r="AQ2220" s="178"/>
      <c r="AR2220" s="173"/>
      <c r="AS2220" s="173"/>
      <c r="AT2220" s="140"/>
      <c r="AX2220" s="140"/>
      <c r="BB2220" s="173"/>
      <c r="BC2220" s="173"/>
    </row>
    <row r="2221" spans="2:55" s="134" customFormat="1" x14ac:dyDescent="0.2">
      <c r="B2221" s="145"/>
      <c r="D2221" s="145"/>
      <c r="Z2221" s="177"/>
      <c r="AA2221" s="178"/>
      <c r="AB2221" s="139"/>
      <c r="AC2221" s="173"/>
      <c r="AD2221" s="177"/>
      <c r="AE2221" s="177"/>
      <c r="AF2221" s="139"/>
      <c r="AG2221" s="139"/>
      <c r="AH2221" s="177"/>
      <c r="AI2221" s="178"/>
      <c r="AJ2221" s="139"/>
      <c r="AK2221" s="173"/>
      <c r="AL2221" s="177"/>
      <c r="AM2221" s="178"/>
      <c r="AN2221" s="173"/>
      <c r="AO2221" s="173"/>
      <c r="AP2221" s="173"/>
      <c r="AQ2221" s="178"/>
      <c r="AR2221" s="173"/>
      <c r="AS2221" s="173"/>
      <c r="AT2221" s="140"/>
      <c r="AX2221" s="140"/>
      <c r="BB2221" s="173"/>
      <c r="BC2221" s="173"/>
    </row>
    <row r="2222" spans="2:55" s="134" customFormat="1" x14ac:dyDescent="0.2">
      <c r="B2222" s="145"/>
      <c r="D2222" s="145"/>
      <c r="Z2222" s="177"/>
      <c r="AA2222" s="178"/>
      <c r="AB2222" s="139"/>
      <c r="AC2222" s="173"/>
      <c r="AD2222" s="177"/>
      <c r="AE2222" s="177"/>
      <c r="AF2222" s="139"/>
      <c r="AG2222" s="139"/>
      <c r="AH2222" s="177"/>
      <c r="AI2222" s="178"/>
      <c r="AJ2222" s="139"/>
      <c r="AK2222" s="173"/>
      <c r="AL2222" s="177"/>
      <c r="AM2222" s="178"/>
      <c r="AN2222" s="173"/>
      <c r="AO2222" s="173"/>
      <c r="AP2222" s="173"/>
      <c r="AQ2222" s="178"/>
      <c r="AR2222" s="173"/>
      <c r="AS2222" s="173"/>
      <c r="AT2222" s="140"/>
      <c r="AX2222" s="140"/>
      <c r="BB2222" s="173"/>
      <c r="BC2222" s="173"/>
    </row>
    <row r="2223" spans="2:55" s="134" customFormat="1" x14ac:dyDescent="0.2">
      <c r="B2223" s="145"/>
      <c r="D2223" s="145"/>
      <c r="Z2223" s="177"/>
      <c r="AA2223" s="178"/>
      <c r="AB2223" s="139"/>
      <c r="AC2223" s="173"/>
      <c r="AD2223" s="177"/>
      <c r="AE2223" s="177"/>
      <c r="AF2223" s="139"/>
      <c r="AG2223" s="139"/>
      <c r="AH2223" s="177"/>
      <c r="AI2223" s="178"/>
      <c r="AJ2223" s="139"/>
      <c r="AK2223" s="173"/>
      <c r="AL2223" s="177"/>
      <c r="AM2223" s="178"/>
      <c r="AN2223" s="173"/>
      <c r="AO2223" s="173"/>
      <c r="AP2223" s="173"/>
      <c r="AQ2223" s="178"/>
      <c r="AR2223" s="173"/>
      <c r="AS2223" s="173"/>
      <c r="AT2223" s="140"/>
      <c r="AX2223" s="140"/>
      <c r="BB2223" s="173"/>
      <c r="BC2223" s="173"/>
    </row>
    <row r="2224" spans="2:55" s="134" customFormat="1" x14ac:dyDescent="0.2">
      <c r="B2224" s="145"/>
      <c r="D2224" s="145"/>
      <c r="Z2224" s="177"/>
      <c r="AA2224" s="178"/>
      <c r="AB2224" s="139"/>
      <c r="AC2224" s="173"/>
      <c r="AD2224" s="177"/>
      <c r="AE2224" s="177"/>
      <c r="AF2224" s="139"/>
      <c r="AG2224" s="139"/>
      <c r="AH2224" s="177"/>
      <c r="AI2224" s="178"/>
      <c r="AJ2224" s="139"/>
      <c r="AK2224" s="173"/>
      <c r="AL2224" s="177"/>
      <c r="AM2224" s="178"/>
      <c r="AN2224" s="173"/>
      <c r="AO2224" s="173"/>
      <c r="AP2224" s="173"/>
      <c r="AQ2224" s="178"/>
      <c r="AR2224" s="173"/>
      <c r="AS2224" s="173"/>
      <c r="AT2224" s="140"/>
      <c r="AX2224" s="140"/>
      <c r="BB2224" s="173"/>
      <c r="BC2224" s="173"/>
    </row>
    <row r="2225" spans="2:55" s="134" customFormat="1" x14ac:dyDescent="0.2">
      <c r="B2225" s="145"/>
      <c r="D2225" s="145"/>
      <c r="Z2225" s="177"/>
      <c r="AA2225" s="178"/>
      <c r="AB2225" s="139"/>
      <c r="AC2225" s="173"/>
      <c r="AD2225" s="177"/>
      <c r="AE2225" s="177"/>
      <c r="AF2225" s="139"/>
      <c r="AG2225" s="139"/>
      <c r="AH2225" s="177"/>
      <c r="AI2225" s="178"/>
      <c r="AJ2225" s="139"/>
      <c r="AK2225" s="173"/>
      <c r="AL2225" s="177"/>
      <c r="AM2225" s="178"/>
      <c r="AN2225" s="173"/>
      <c r="AO2225" s="173"/>
      <c r="AP2225" s="173"/>
      <c r="AQ2225" s="178"/>
      <c r="AR2225" s="173"/>
      <c r="AS2225" s="173"/>
      <c r="AT2225" s="140"/>
      <c r="AX2225" s="140"/>
      <c r="BB2225" s="173"/>
      <c r="BC2225" s="173"/>
    </row>
    <row r="2226" spans="2:55" s="134" customFormat="1" x14ac:dyDescent="0.2">
      <c r="B2226" s="145"/>
      <c r="D2226" s="145"/>
      <c r="Z2226" s="177"/>
      <c r="AA2226" s="178"/>
      <c r="AB2226" s="139"/>
      <c r="AC2226" s="173"/>
      <c r="AD2226" s="177"/>
      <c r="AE2226" s="177"/>
      <c r="AF2226" s="139"/>
      <c r="AG2226" s="139"/>
      <c r="AH2226" s="177"/>
      <c r="AI2226" s="178"/>
      <c r="AJ2226" s="139"/>
      <c r="AK2226" s="173"/>
      <c r="AL2226" s="177"/>
      <c r="AM2226" s="178"/>
      <c r="AN2226" s="173"/>
      <c r="AO2226" s="173"/>
      <c r="AP2226" s="173"/>
      <c r="AQ2226" s="178"/>
      <c r="AR2226" s="173"/>
      <c r="AS2226" s="173"/>
      <c r="AT2226" s="140"/>
      <c r="AX2226" s="140"/>
      <c r="BB2226" s="173"/>
      <c r="BC2226" s="173"/>
    </row>
    <row r="2227" spans="2:55" s="134" customFormat="1" x14ac:dyDescent="0.2">
      <c r="B2227" s="145"/>
      <c r="D2227" s="145"/>
      <c r="Z2227" s="177"/>
      <c r="AA2227" s="178"/>
      <c r="AB2227" s="139"/>
      <c r="AC2227" s="173"/>
      <c r="AD2227" s="177"/>
      <c r="AE2227" s="177"/>
      <c r="AF2227" s="139"/>
      <c r="AG2227" s="139"/>
      <c r="AH2227" s="177"/>
      <c r="AI2227" s="178"/>
      <c r="AJ2227" s="139"/>
      <c r="AK2227" s="173"/>
      <c r="AL2227" s="177"/>
      <c r="AM2227" s="178"/>
      <c r="AN2227" s="173"/>
      <c r="AO2227" s="173"/>
      <c r="AP2227" s="173"/>
      <c r="AQ2227" s="178"/>
      <c r="AR2227" s="173"/>
      <c r="AS2227" s="173"/>
      <c r="AT2227" s="140"/>
      <c r="AX2227" s="140"/>
      <c r="BB2227" s="173"/>
      <c r="BC2227" s="173"/>
    </row>
    <row r="2228" spans="2:55" s="134" customFormat="1" x14ac:dyDescent="0.2">
      <c r="B2228" s="145"/>
      <c r="D2228" s="145"/>
      <c r="Z2228" s="177"/>
      <c r="AA2228" s="178"/>
      <c r="AB2228" s="139"/>
      <c r="AC2228" s="173"/>
      <c r="AD2228" s="177"/>
      <c r="AE2228" s="177"/>
      <c r="AF2228" s="139"/>
      <c r="AG2228" s="139"/>
      <c r="AH2228" s="177"/>
      <c r="AI2228" s="178"/>
      <c r="AJ2228" s="139"/>
      <c r="AK2228" s="173"/>
      <c r="AL2228" s="177"/>
      <c r="AM2228" s="178"/>
      <c r="AN2228" s="173"/>
      <c r="AO2228" s="173"/>
      <c r="AP2228" s="173"/>
      <c r="AQ2228" s="178"/>
      <c r="AR2228" s="173"/>
      <c r="AS2228" s="173"/>
      <c r="AT2228" s="140"/>
      <c r="AX2228" s="140"/>
      <c r="BB2228" s="173"/>
      <c r="BC2228" s="173"/>
    </row>
    <row r="2229" spans="2:55" s="134" customFormat="1" x14ac:dyDescent="0.2">
      <c r="B2229" s="145"/>
      <c r="D2229" s="145"/>
      <c r="Z2229" s="177"/>
      <c r="AA2229" s="178"/>
      <c r="AB2229" s="139"/>
      <c r="AC2229" s="173"/>
      <c r="AD2229" s="177"/>
      <c r="AE2229" s="177"/>
      <c r="AF2229" s="139"/>
      <c r="AG2229" s="139"/>
      <c r="AH2229" s="177"/>
      <c r="AI2229" s="178"/>
      <c r="AJ2229" s="139"/>
      <c r="AK2229" s="173"/>
      <c r="AL2229" s="177"/>
      <c r="AM2229" s="178"/>
      <c r="AN2229" s="173"/>
      <c r="AO2229" s="173"/>
      <c r="AP2229" s="173"/>
      <c r="AQ2229" s="178"/>
      <c r="AR2229" s="173"/>
      <c r="AS2229" s="173"/>
      <c r="AT2229" s="140"/>
      <c r="AX2229" s="140"/>
      <c r="BB2229" s="173"/>
      <c r="BC2229" s="173"/>
    </row>
    <row r="2230" spans="2:55" s="134" customFormat="1" x14ac:dyDescent="0.2">
      <c r="B2230" s="145"/>
      <c r="D2230" s="145"/>
      <c r="Z2230" s="177"/>
      <c r="AA2230" s="178"/>
      <c r="AB2230" s="139"/>
      <c r="AC2230" s="173"/>
      <c r="AD2230" s="177"/>
      <c r="AE2230" s="177"/>
      <c r="AF2230" s="139"/>
      <c r="AG2230" s="139"/>
      <c r="AH2230" s="177"/>
      <c r="AI2230" s="178"/>
      <c r="AJ2230" s="139"/>
      <c r="AK2230" s="173"/>
      <c r="AL2230" s="177"/>
      <c r="AM2230" s="178"/>
      <c r="AN2230" s="173"/>
      <c r="AO2230" s="173"/>
      <c r="AP2230" s="173"/>
      <c r="AQ2230" s="178"/>
      <c r="AR2230" s="173"/>
      <c r="AS2230" s="173"/>
      <c r="AT2230" s="140"/>
      <c r="AX2230" s="140"/>
      <c r="BB2230" s="173"/>
      <c r="BC2230" s="173"/>
    </row>
    <row r="2231" spans="2:55" s="134" customFormat="1" x14ac:dyDescent="0.2">
      <c r="B2231" s="145"/>
      <c r="D2231" s="145"/>
      <c r="Z2231" s="177"/>
      <c r="AA2231" s="178"/>
      <c r="AB2231" s="139"/>
      <c r="AC2231" s="173"/>
      <c r="AD2231" s="177"/>
      <c r="AE2231" s="177"/>
      <c r="AF2231" s="139"/>
      <c r="AG2231" s="139"/>
      <c r="AH2231" s="177"/>
      <c r="AI2231" s="178"/>
      <c r="AJ2231" s="139"/>
      <c r="AK2231" s="173"/>
      <c r="AL2231" s="177"/>
      <c r="AM2231" s="178"/>
      <c r="AN2231" s="173"/>
      <c r="AO2231" s="173"/>
      <c r="AP2231" s="173"/>
      <c r="AQ2231" s="178"/>
      <c r="AR2231" s="173"/>
      <c r="AS2231" s="173"/>
      <c r="AT2231" s="140"/>
      <c r="AX2231" s="140"/>
      <c r="BB2231" s="173"/>
      <c r="BC2231" s="173"/>
    </row>
    <row r="2232" spans="2:55" s="134" customFormat="1" x14ac:dyDescent="0.2">
      <c r="B2232" s="145"/>
      <c r="D2232" s="145"/>
      <c r="Z2232" s="177"/>
      <c r="AA2232" s="178"/>
      <c r="AB2232" s="139"/>
      <c r="AC2232" s="173"/>
      <c r="AD2232" s="177"/>
      <c r="AE2232" s="177"/>
      <c r="AF2232" s="139"/>
      <c r="AG2232" s="139"/>
      <c r="AH2232" s="177"/>
      <c r="AI2232" s="178"/>
      <c r="AJ2232" s="139"/>
      <c r="AK2232" s="173"/>
      <c r="AL2232" s="177"/>
      <c r="AM2232" s="178"/>
      <c r="AN2232" s="173"/>
      <c r="AO2232" s="173"/>
      <c r="AP2232" s="173"/>
      <c r="AQ2232" s="178"/>
      <c r="AR2232" s="173"/>
      <c r="AS2232" s="173"/>
      <c r="AT2232" s="140"/>
      <c r="AX2232" s="140"/>
      <c r="BB2232" s="173"/>
      <c r="BC2232" s="173"/>
    </row>
    <row r="2233" spans="2:55" s="134" customFormat="1" x14ac:dyDescent="0.2">
      <c r="B2233" s="145"/>
      <c r="D2233" s="145"/>
      <c r="Z2233" s="177"/>
      <c r="AA2233" s="178"/>
      <c r="AB2233" s="139"/>
      <c r="AC2233" s="173"/>
      <c r="AD2233" s="177"/>
      <c r="AE2233" s="177"/>
      <c r="AF2233" s="139"/>
      <c r="AG2233" s="139"/>
      <c r="AH2233" s="177"/>
      <c r="AI2233" s="178"/>
      <c r="AJ2233" s="139"/>
      <c r="AK2233" s="173"/>
      <c r="AL2233" s="177"/>
      <c r="AM2233" s="178"/>
      <c r="AN2233" s="173"/>
      <c r="AO2233" s="173"/>
      <c r="AP2233" s="173"/>
      <c r="AQ2233" s="178"/>
      <c r="AR2233" s="173"/>
      <c r="AS2233" s="173"/>
      <c r="AT2233" s="140"/>
      <c r="AX2233" s="140"/>
      <c r="BB2233" s="173"/>
      <c r="BC2233" s="173"/>
    </row>
    <row r="2234" spans="2:55" s="134" customFormat="1" x14ac:dyDescent="0.2">
      <c r="B2234" s="145"/>
      <c r="D2234" s="145"/>
      <c r="Z2234" s="177"/>
      <c r="AA2234" s="178"/>
      <c r="AB2234" s="139"/>
      <c r="AC2234" s="173"/>
      <c r="AD2234" s="177"/>
      <c r="AE2234" s="177"/>
      <c r="AF2234" s="139"/>
      <c r="AG2234" s="139"/>
      <c r="AH2234" s="177"/>
      <c r="AI2234" s="178"/>
      <c r="AJ2234" s="139"/>
      <c r="AK2234" s="173"/>
      <c r="AL2234" s="177"/>
      <c r="AM2234" s="178"/>
      <c r="AN2234" s="173"/>
      <c r="AO2234" s="173"/>
      <c r="AP2234" s="173"/>
      <c r="AQ2234" s="178"/>
      <c r="AR2234" s="173"/>
      <c r="AS2234" s="173"/>
      <c r="AT2234" s="140"/>
      <c r="AX2234" s="140"/>
      <c r="BB2234" s="173"/>
      <c r="BC2234" s="173"/>
    </row>
    <row r="2235" spans="2:55" s="134" customFormat="1" x14ac:dyDescent="0.2">
      <c r="B2235" s="145"/>
      <c r="D2235" s="145"/>
      <c r="Z2235" s="177"/>
      <c r="AA2235" s="178"/>
      <c r="AB2235" s="139"/>
      <c r="AC2235" s="173"/>
      <c r="AD2235" s="177"/>
      <c r="AE2235" s="177"/>
      <c r="AF2235" s="139"/>
      <c r="AG2235" s="139"/>
      <c r="AH2235" s="177"/>
      <c r="AI2235" s="178"/>
      <c r="AJ2235" s="139"/>
      <c r="AK2235" s="173"/>
      <c r="AL2235" s="177"/>
      <c r="AM2235" s="178"/>
      <c r="AN2235" s="173"/>
      <c r="AO2235" s="173"/>
      <c r="AP2235" s="173"/>
      <c r="AQ2235" s="178"/>
      <c r="AR2235" s="173"/>
      <c r="AS2235" s="173"/>
      <c r="AT2235" s="140"/>
      <c r="AX2235" s="140"/>
      <c r="BB2235" s="173"/>
      <c r="BC2235" s="173"/>
    </row>
    <row r="2236" spans="2:55" s="134" customFormat="1" x14ac:dyDescent="0.2">
      <c r="B2236" s="145"/>
      <c r="D2236" s="145"/>
      <c r="Z2236" s="177"/>
      <c r="AA2236" s="178"/>
      <c r="AB2236" s="139"/>
      <c r="AC2236" s="173"/>
      <c r="AD2236" s="177"/>
      <c r="AE2236" s="177"/>
      <c r="AF2236" s="139"/>
      <c r="AG2236" s="139"/>
      <c r="AH2236" s="177"/>
      <c r="AI2236" s="178"/>
      <c r="AJ2236" s="139"/>
      <c r="AK2236" s="173"/>
      <c r="AL2236" s="177"/>
      <c r="AM2236" s="178"/>
      <c r="AN2236" s="173"/>
      <c r="AO2236" s="173"/>
      <c r="AP2236" s="173"/>
      <c r="AQ2236" s="178"/>
      <c r="AR2236" s="173"/>
      <c r="AS2236" s="173"/>
      <c r="AT2236" s="140"/>
      <c r="AX2236" s="140"/>
      <c r="BB2236" s="173"/>
      <c r="BC2236" s="173"/>
    </row>
    <row r="2237" spans="2:55" s="134" customFormat="1" x14ac:dyDescent="0.2">
      <c r="B2237" s="145"/>
      <c r="D2237" s="145"/>
      <c r="Z2237" s="177"/>
      <c r="AA2237" s="178"/>
      <c r="AB2237" s="139"/>
      <c r="AC2237" s="173"/>
      <c r="AD2237" s="177"/>
      <c r="AE2237" s="177"/>
      <c r="AF2237" s="139"/>
      <c r="AG2237" s="139"/>
      <c r="AH2237" s="177"/>
      <c r="AI2237" s="178"/>
      <c r="AJ2237" s="139"/>
      <c r="AK2237" s="173"/>
      <c r="AL2237" s="177"/>
      <c r="AM2237" s="178"/>
      <c r="AN2237" s="173"/>
      <c r="AO2237" s="173"/>
      <c r="AP2237" s="173"/>
      <c r="AQ2237" s="178"/>
      <c r="AR2237" s="173"/>
      <c r="AS2237" s="173"/>
      <c r="AT2237" s="140"/>
      <c r="AX2237" s="140"/>
      <c r="BB2237" s="173"/>
      <c r="BC2237" s="173"/>
    </row>
    <row r="2238" spans="2:55" s="134" customFormat="1" x14ac:dyDescent="0.2">
      <c r="B2238" s="145"/>
      <c r="D2238" s="145"/>
      <c r="Z2238" s="177"/>
      <c r="AA2238" s="178"/>
      <c r="AB2238" s="139"/>
      <c r="AC2238" s="173"/>
      <c r="AD2238" s="177"/>
      <c r="AE2238" s="177"/>
      <c r="AF2238" s="139"/>
      <c r="AG2238" s="139"/>
      <c r="AH2238" s="177"/>
      <c r="AI2238" s="178"/>
      <c r="AJ2238" s="139"/>
      <c r="AK2238" s="173"/>
      <c r="AL2238" s="177"/>
      <c r="AM2238" s="178"/>
      <c r="AN2238" s="173"/>
      <c r="AO2238" s="173"/>
      <c r="AP2238" s="173"/>
      <c r="AQ2238" s="178"/>
      <c r="AR2238" s="173"/>
      <c r="AS2238" s="173"/>
      <c r="AT2238" s="140"/>
      <c r="AX2238" s="140"/>
      <c r="BB2238" s="173"/>
      <c r="BC2238" s="173"/>
    </row>
    <row r="2239" spans="2:55" s="134" customFormat="1" x14ac:dyDescent="0.2">
      <c r="B2239" s="145"/>
      <c r="D2239" s="145"/>
      <c r="Z2239" s="177"/>
      <c r="AA2239" s="178"/>
      <c r="AB2239" s="139"/>
      <c r="AC2239" s="173"/>
      <c r="AD2239" s="177"/>
      <c r="AE2239" s="177"/>
      <c r="AF2239" s="139"/>
      <c r="AG2239" s="139"/>
      <c r="AH2239" s="177"/>
      <c r="AI2239" s="178"/>
      <c r="AJ2239" s="139"/>
      <c r="AK2239" s="173"/>
      <c r="AL2239" s="177"/>
      <c r="AM2239" s="178"/>
      <c r="AN2239" s="173"/>
      <c r="AO2239" s="173"/>
      <c r="AP2239" s="173"/>
      <c r="AQ2239" s="178"/>
      <c r="AR2239" s="173"/>
      <c r="AS2239" s="173"/>
      <c r="AT2239" s="140"/>
      <c r="AX2239" s="140"/>
      <c r="BB2239" s="173"/>
      <c r="BC2239" s="173"/>
    </row>
    <row r="2240" spans="2:55" s="134" customFormat="1" x14ac:dyDescent="0.2">
      <c r="B2240" s="145"/>
      <c r="D2240" s="145"/>
      <c r="Z2240" s="177"/>
      <c r="AA2240" s="178"/>
      <c r="AB2240" s="139"/>
      <c r="AC2240" s="173"/>
      <c r="AD2240" s="177"/>
      <c r="AE2240" s="177"/>
      <c r="AF2240" s="139"/>
      <c r="AG2240" s="139"/>
      <c r="AH2240" s="177"/>
      <c r="AI2240" s="178"/>
      <c r="AJ2240" s="139"/>
      <c r="AK2240" s="173"/>
      <c r="AL2240" s="177"/>
      <c r="AM2240" s="178"/>
      <c r="AN2240" s="173"/>
      <c r="AO2240" s="173"/>
      <c r="AP2240" s="173"/>
      <c r="AQ2240" s="178"/>
      <c r="AR2240" s="173"/>
      <c r="AS2240" s="173"/>
      <c r="AT2240" s="140"/>
      <c r="AX2240" s="140"/>
      <c r="BB2240" s="173"/>
      <c r="BC2240" s="173"/>
    </row>
    <row r="2241" spans="2:55" s="134" customFormat="1" x14ac:dyDescent="0.2">
      <c r="B2241" s="145"/>
      <c r="D2241" s="145"/>
      <c r="Z2241" s="177"/>
      <c r="AA2241" s="178"/>
      <c r="AB2241" s="139"/>
      <c r="AC2241" s="173"/>
      <c r="AD2241" s="177"/>
      <c r="AE2241" s="177"/>
      <c r="AF2241" s="139"/>
      <c r="AG2241" s="139"/>
      <c r="AH2241" s="177"/>
      <c r="AI2241" s="178"/>
      <c r="AJ2241" s="139"/>
      <c r="AK2241" s="173"/>
      <c r="AL2241" s="177"/>
      <c r="AM2241" s="178"/>
      <c r="AN2241" s="173"/>
      <c r="AO2241" s="173"/>
      <c r="AP2241" s="173"/>
      <c r="AQ2241" s="178"/>
      <c r="AR2241" s="173"/>
      <c r="AS2241" s="173"/>
      <c r="AT2241" s="140"/>
      <c r="AX2241" s="140"/>
      <c r="BB2241" s="173"/>
      <c r="BC2241" s="173"/>
    </row>
    <row r="2242" spans="2:55" s="134" customFormat="1" x14ac:dyDescent="0.2">
      <c r="B2242" s="145"/>
      <c r="D2242" s="145"/>
      <c r="Z2242" s="177"/>
      <c r="AA2242" s="178"/>
      <c r="AB2242" s="139"/>
      <c r="AC2242" s="173"/>
      <c r="AD2242" s="177"/>
      <c r="AE2242" s="177"/>
      <c r="AF2242" s="139"/>
      <c r="AG2242" s="139"/>
      <c r="AH2242" s="177"/>
      <c r="AI2242" s="178"/>
      <c r="AJ2242" s="139"/>
      <c r="AK2242" s="173"/>
      <c r="AL2242" s="177"/>
      <c r="AM2242" s="178"/>
      <c r="AN2242" s="173"/>
      <c r="AO2242" s="173"/>
      <c r="AP2242" s="173"/>
      <c r="AQ2242" s="178"/>
      <c r="AR2242" s="173"/>
      <c r="AS2242" s="173"/>
      <c r="AT2242" s="140"/>
      <c r="AX2242" s="140"/>
      <c r="BB2242" s="173"/>
      <c r="BC2242" s="173"/>
    </row>
    <row r="2243" spans="2:55" s="134" customFormat="1" x14ac:dyDescent="0.2">
      <c r="B2243" s="145"/>
      <c r="D2243" s="145"/>
      <c r="Z2243" s="177"/>
      <c r="AA2243" s="178"/>
      <c r="AB2243" s="139"/>
      <c r="AC2243" s="173"/>
      <c r="AD2243" s="177"/>
      <c r="AE2243" s="177"/>
      <c r="AF2243" s="139"/>
      <c r="AG2243" s="139"/>
      <c r="AH2243" s="177"/>
      <c r="AI2243" s="178"/>
      <c r="AJ2243" s="139"/>
      <c r="AK2243" s="173"/>
      <c r="AL2243" s="177"/>
      <c r="AM2243" s="178"/>
      <c r="AN2243" s="173"/>
      <c r="AO2243" s="173"/>
      <c r="AP2243" s="173"/>
      <c r="AQ2243" s="178"/>
      <c r="AR2243" s="173"/>
      <c r="AS2243" s="173"/>
      <c r="AT2243" s="140"/>
      <c r="AX2243" s="140"/>
      <c r="BB2243" s="173"/>
      <c r="BC2243" s="173"/>
    </row>
    <row r="2244" spans="2:55" s="134" customFormat="1" x14ac:dyDescent="0.2">
      <c r="B2244" s="145"/>
      <c r="D2244" s="145"/>
      <c r="Z2244" s="177"/>
      <c r="AA2244" s="178"/>
      <c r="AB2244" s="139"/>
      <c r="AC2244" s="173"/>
      <c r="AD2244" s="177"/>
      <c r="AE2244" s="177"/>
      <c r="AF2244" s="139"/>
      <c r="AG2244" s="139"/>
      <c r="AH2244" s="177"/>
      <c r="AI2244" s="178"/>
      <c r="AJ2244" s="139"/>
      <c r="AK2244" s="173"/>
      <c r="AL2244" s="177"/>
      <c r="AM2244" s="178"/>
      <c r="AN2244" s="173"/>
      <c r="AO2244" s="173"/>
      <c r="AP2244" s="173"/>
      <c r="AQ2244" s="178"/>
      <c r="AR2244" s="173"/>
      <c r="AS2244" s="173"/>
      <c r="AT2244" s="140"/>
      <c r="AX2244" s="140"/>
      <c r="BB2244" s="173"/>
      <c r="BC2244" s="173"/>
    </row>
    <row r="2245" spans="2:55" s="134" customFormat="1" x14ac:dyDescent="0.2">
      <c r="B2245" s="145"/>
      <c r="D2245" s="145"/>
      <c r="Z2245" s="177"/>
      <c r="AA2245" s="178"/>
      <c r="AB2245" s="139"/>
      <c r="AC2245" s="173"/>
      <c r="AD2245" s="177"/>
      <c r="AE2245" s="177"/>
      <c r="AF2245" s="139"/>
      <c r="AG2245" s="139"/>
      <c r="AH2245" s="177"/>
      <c r="AI2245" s="178"/>
      <c r="AJ2245" s="139"/>
      <c r="AK2245" s="173"/>
      <c r="AL2245" s="177"/>
      <c r="AM2245" s="178"/>
      <c r="AN2245" s="173"/>
      <c r="AO2245" s="173"/>
      <c r="AP2245" s="173"/>
      <c r="AQ2245" s="178"/>
      <c r="AR2245" s="173"/>
      <c r="AS2245" s="173"/>
      <c r="AT2245" s="140"/>
      <c r="AX2245" s="140"/>
      <c r="BB2245" s="173"/>
      <c r="BC2245" s="173"/>
    </row>
    <row r="2246" spans="2:55" s="134" customFormat="1" x14ac:dyDescent="0.2">
      <c r="B2246" s="145"/>
      <c r="D2246" s="145"/>
      <c r="Z2246" s="177"/>
      <c r="AA2246" s="178"/>
      <c r="AB2246" s="139"/>
      <c r="AC2246" s="173"/>
      <c r="AD2246" s="177"/>
      <c r="AE2246" s="177"/>
      <c r="AF2246" s="139"/>
      <c r="AG2246" s="139"/>
      <c r="AH2246" s="177"/>
      <c r="AI2246" s="178"/>
      <c r="AJ2246" s="139"/>
      <c r="AK2246" s="173"/>
      <c r="AL2246" s="177"/>
      <c r="AM2246" s="178"/>
      <c r="AN2246" s="173"/>
      <c r="AO2246" s="173"/>
      <c r="AP2246" s="173"/>
      <c r="AQ2246" s="178"/>
      <c r="AR2246" s="173"/>
      <c r="AS2246" s="173"/>
      <c r="AT2246" s="140"/>
      <c r="AX2246" s="140"/>
      <c r="BB2246" s="173"/>
      <c r="BC2246" s="173"/>
    </row>
    <row r="2247" spans="2:55" s="134" customFormat="1" x14ac:dyDescent="0.2">
      <c r="B2247" s="145"/>
      <c r="D2247" s="145"/>
      <c r="Z2247" s="177"/>
      <c r="AA2247" s="178"/>
      <c r="AB2247" s="139"/>
      <c r="AC2247" s="173"/>
      <c r="AD2247" s="177"/>
      <c r="AE2247" s="177"/>
      <c r="AF2247" s="139"/>
      <c r="AG2247" s="139"/>
      <c r="AH2247" s="177"/>
      <c r="AI2247" s="178"/>
      <c r="AJ2247" s="139"/>
      <c r="AK2247" s="173"/>
      <c r="AL2247" s="177"/>
      <c r="AM2247" s="178"/>
      <c r="AN2247" s="173"/>
      <c r="AO2247" s="173"/>
      <c r="AP2247" s="173"/>
      <c r="AQ2247" s="178"/>
      <c r="AR2247" s="173"/>
      <c r="AS2247" s="173"/>
      <c r="AT2247" s="140"/>
      <c r="AX2247" s="140"/>
      <c r="BB2247" s="173"/>
      <c r="BC2247" s="173"/>
    </row>
    <row r="2248" spans="2:55" s="134" customFormat="1" x14ac:dyDescent="0.2">
      <c r="B2248" s="145"/>
      <c r="D2248" s="145"/>
      <c r="Z2248" s="177"/>
      <c r="AA2248" s="178"/>
      <c r="AB2248" s="139"/>
      <c r="AC2248" s="173"/>
      <c r="AD2248" s="177"/>
      <c r="AE2248" s="177"/>
      <c r="AF2248" s="139"/>
      <c r="AG2248" s="139"/>
      <c r="AH2248" s="177"/>
      <c r="AI2248" s="178"/>
      <c r="AJ2248" s="139"/>
      <c r="AK2248" s="173"/>
      <c r="AL2248" s="177"/>
      <c r="AM2248" s="178"/>
      <c r="AN2248" s="173"/>
      <c r="AO2248" s="173"/>
      <c r="AP2248" s="173"/>
      <c r="AQ2248" s="178"/>
      <c r="AR2248" s="173"/>
      <c r="AS2248" s="173"/>
      <c r="AT2248" s="140"/>
      <c r="AX2248" s="140"/>
      <c r="BB2248" s="173"/>
      <c r="BC2248" s="173"/>
    </row>
    <row r="2249" spans="2:55" s="134" customFormat="1" x14ac:dyDescent="0.2">
      <c r="B2249" s="145"/>
      <c r="D2249" s="145"/>
      <c r="Z2249" s="177"/>
      <c r="AA2249" s="178"/>
      <c r="AB2249" s="139"/>
      <c r="AC2249" s="173"/>
      <c r="AD2249" s="177"/>
      <c r="AE2249" s="177"/>
      <c r="AF2249" s="139"/>
      <c r="AG2249" s="139"/>
      <c r="AH2249" s="177"/>
      <c r="AI2249" s="178"/>
      <c r="AJ2249" s="139"/>
      <c r="AK2249" s="173"/>
      <c r="AL2249" s="177"/>
      <c r="AM2249" s="178"/>
      <c r="AN2249" s="173"/>
      <c r="AO2249" s="173"/>
      <c r="AP2249" s="173"/>
      <c r="AQ2249" s="178"/>
      <c r="AR2249" s="173"/>
      <c r="AS2249" s="173"/>
      <c r="AT2249" s="140"/>
      <c r="AX2249" s="140"/>
      <c r="BB2249" s="173"/>
      <c r="BC2249" s="173"/>
    </row>
    <row r="2250" spans="2:55" s="134" customFormat="1" x14ac:dyDescent="0.2">
      <c r="B2250" s="145"/>
      <c r="D2250" s="145"/>
      <c r="Z2250" s="177"/>
      <c r="AA2250" s="178"/>
      <c r="AB2250" s="139"/>
      <c r="AC2250" s="173"/>
      <c r="AD2250" s="177"/>
      <c r="AE2250" s="177"/>
      <c r="AF2250" s="139"/>
      <c r="AG2250" s="139"/>
      <c r="AH2250" s="177"/>
      <c r="AI2250" s="178"/>
      <c r="AJ2250" s="139"/>
      <c r="AK2250" s="173"/>
      <c r="AL2250" s="177"/>
      <c r="AM2250" s="178"/>
      <c r="AN2250" s="173"/>
      <c r="AO2250" s="173"/>
      <c r="AP2250" s="173"/>
      <c r="AQ2250" s="178"/>
      <c r="AR2250" s="173"/>
      <c r="AS2250" s="173"/>
      <c r="AT2250" s="140"/>
      <c r="AX2250" s="140"/>
      <c r="BB2250" s="173"/>
      <c r="BC2250" s="173"/>
    </row>
    <row r="2251" spans="2:55" s="134" customFormat="1" x14ac:dyDescent="0.2">
      <c r="B2251" s="145"/>
      <c r="D2251" s="145"/>
      <c r="Z2251" s="177"/>
      <c r="AA2251" s="178"/>
      <c r="AB2251" s="139"/>
      <c r="AC2251" s="173"/>
      <c r="AD2251" s="177"/>
      <c r="AE2251" s="177"/>
      <c r="AF2251" s="139"/>
      <c r="AG2251" s="139"/>
      <c r="AH2251" s="177"/>
      <c r="AI2251" s="178"/>
      <c r="AJ2251" s="139"/>
      <c r="AK2251" s="173"/>
      <c r="AL2251" s="177"/>
      <c r="AM2251" s="178"/>
      <c r="AN2251" s="173"/>
      <c r="AO2251" s="173"/>
      <c r="AP2251" s="173"/>
      <c r="AQ2251" s="178"/>
      <c r="AR2251" s="173"/>
      <c r="AS2251" s="173"/>
      <c r="AT2251" s="140"/>
      <c r="AX2251" s="140"/>
      <c r="BB2251" s="173"/>
      <c r="BC2251" s="173"/>
    </row>
    <row r="2252" spans="2:55" s="134" customFormat="1" x14ac:dyDescent="0.2">
      <c r="B2252" s="145"/>
      <c r="D2252" s="145"/>
      <c r="Z2252" s="177"/>
      <c r="AA2252" s="178"/>
      <c r="AB2252" s="139"/>
      <c r="AC2252" s="173"/>
      <c r="AD2252" s="177"/>
      <c r="AE2252" s="177"/>
      <c r="AF2252" s="139"/>
      <c r="AG2252" s="139"/>
      <c r="AH2252" s="177"/>
      <c r="AI2252" s="178"/>
      <c r="AJ2252" s="139"/>
      <c r="AK2252" s="173"/>
      <c r="AL2252" s="177"/>
      <c r="AM2252" s="178"/>
      <c r="AN2252" s="173"/>
      <c r="AO2252" s="173"/>
      <c r="AP2252" s="173"/>
      <c r="AQ2252" s="178"/>
      <c r="AR2252" s="173"/>
      <c r="AS2252" s="173"/>
      <c r="AT2252" s="140"/>
      <c r="AX2252" s="140"/>
      <c r="BB2252" s="173"/>
      <c r="BC2252" s="173"/>
    </row>
    <row r="2253" spans="2:55" s="134" customFormat="1" x14ac:dyDescent="0.2">
      <c r="B2253" s="145"/>
      <c r="D2253" s="145"/>
      <c r="Z2253" s="177"/>
      <c r="AA2253" s="178"/>
      <c r="AB2253" s="139"/>
      <c r="AC2253" s="173"/>
      <c r="AD2253" s="177"/>
      <c r="AE2253" s="177"/>
      <c r="AF2253" s="139"/>
      <c r="AG2253" s="139"/>
      <c r="AH2253" s="177"/>
      <c r="AI2253" s="178"/>
      <c r="AJ2253" s="139"/>
      <c r="AK2253" s="173"/>
      <c r="AL2253" s="177"/>
      <c r="AM2253" s="178"/>
      <c r="AN2253" s="173"/>
      <c r="AO2253" s="173"/>
      <c r="AP2253" s="173"/>
      <c r="AQ2253" s="178"/>
      <c r="AR2253" s="173"/>
      <c r="AS2253" s="173"/>
      <c r="AT2253" s="140"/>
      <c r="AX2253" s="140"/>
      <c r="BB2253" s="173"/>
      <c r="BC2253" s="173"/>
    </row>
    <row r="2254" spans="2:55" s="134" customFormat="1" x14ac:dyDescent="0.2">
      <c r="B2254" s="145"/>
      <c r="D2254" s="145"/>
      <c r="Z2254" s="177"/>
      <c r="AA2254" s="178"/>
      <c r="AB2254" s="139"/>
      <c r="AC2254" s="173"/>
      <c r="AD2254" s="177"/>
      <c r="AE2254" s="177"/>
      <c r="AF2254" s="139"/>
      <c r="AG2254" s="139"/>
      <c r="AH2254" s="177"/>
      <c r="AI2254" s="178"/>
      <c r="AJ2254" s="139"/>
      <c r="AK2254" s="173"/>
      <c r="AL2254" s="177"/>
      <c r="AM2254" s="178"/>
      <c r="AN2254" s="173"/>
      <c r="AO2254" s="173"/>
      <c r="AP2254" s="173"/>
      <c r="AQ2254" s="178"/>
      <c r="AR2254" s="173"/>
      <c r="AS2254" s="173"/>
      <c r="AT2254" s="140"/>
      <c r="AX2254" s="140"/>
      <c r="BB2254" s="173"/>
      <c r="BC2254" s="173"/>
    </row>
    <row r="2255" spans="2:55" s="134" customFormat="1" x14ac:dyDescent="0.2">
      <c r="B2255" s="145"/>
      <c r="D2255" s="145"/>
      <c r="Z2255" s="177"/>
      <c r="AA2255" s="178"/>
      <c r="AB2255" s="139"/>
      <c r="AC2255" s="173"/>
      <c r="AD2255" s="177"/>
      <c r="AE2255" s="177"/>
      <c r="AF2255" s="139"/>
      <c r="AG2255" s="139"/>
      <c r="AH2255" s="177"/>
      <c r="AI2255" s="178"/>
      <c r="AJ2255" s="139"/>
      <c r="AK2255" s="173"/>
      <c r="AL2255" s="177"/>
      <c r="AM2255" s="178"/>
      <c r="AN2255" s="173"/>
      <c r="AO2255" s="173"/>
      <c r="AP2255" s="173"/>
      <c r="AQ2255" s="178"/>
      <c r="AR2255" s="173"/>
      <c r="AS2255" s="173"/>
      <c r="AT2255" s="140"/>
      <c r="AX2255" s="140"/>
      <c r="BB2255" s="173"/>
      <c r="BC2255" s="173"/>
    </row>
    <row r="2256" spans="2:55" s="134" customFormat="1" x14ac:dyDescent="0.2">
      <c r="B2256" s="145"/>
      <c r="D2256" s="145"/>
      <c r="Z2256" s="177"/>
      <c r="AA2256" s="178"/>
      <c r="AB2256" s="139"/>
      <c r="AC2256" s="173"/>
      <c r="AD2256" s="177"/>
      <c r="AE2256" s="177"/>
      <c r="AF2256" s="139"/>
      <c r="AG2256" s="139"/>
      <c r="AH2256" s="177"/>
      <c r="AI2256" s="178"/>
      <c r="AJ2256" s="139"/>
      <c r="AK2256" s="173"/>
      <c r="AL2256" s="177"/>
      <c r="AM2256" s="178"/>
      <c r="AN2256" s="173"/>
      <c r="AO2256" s="173"/>
      <c r="AP2256" s="173"/>
      <c r="AQ2256" s="178"/>
      <c r="AR2256" s="173"/>
      <c r="AS2256" s="173"/>
      <c r="AT2256" s="140"/>
      <c r="AX2256" s="140"/>
      <c r="BB2256" s="173"/>
      <c r="BC2256" s="173"/>
    </row>
    <row r="2257" spans="2:55" s="134" customFormat="1" x14ac:dyDescent="0.2">
      <c r="B2257" s="145"/>
      <c r="D2257" s="145"/>
      <c r="Z2257" s="177"/>
      <c r="AA2257" s="178"/>
      <c r="AB2257" s="139"/>
      <c r="AC2257" s="173"/>
      <c r="AD2257" s="177"/>
      <c r="AE2257" s="177"/>
      <c r="AF2257" s="139"/>
      <c r="AG2257" s="139"/>
      <c r="AH2257" s="177"/>
      <c r="AI2257" s="178"/>
      <c r="AJ2257" s="139"/>
      <c r="AK2257" s="173"/>
      <c r="AL2257" s="177"/>
      <c r="AM2257" s="178"/>
      <c r="AN2257" s="173"/>
      <c r="AO2257" s="173"/>
      <c r="AP2257" s="173"/>
      <c r="AQ2257" s="178"/>
      <c r="AR2257" s="173"/>
      <c r="AS2257" s="173"/>
      <c r="AT2257" s="140"/>
      <c r="AX2257" s="140"/>
      <c r="BB2257" s="173"/>
      <c r="BC2257" s="173"/>
    </row>
    <row r="2258" spans="2:55" s="134" customFormat="1" x14ac:dyDescent="0.2">
      <c r="B2258" s="145"/>
      <c r="D2258" s="145"/>
      <c r="Z2258" s="177"/>
      <c r="AA2258" s="178"/>
      <c r="AB2258" s="139"/>
      <c r="AC2258" s="173"/>
      <c r="AD2258" s="177"/>
      <c r="AE2258" s="177"/>
      <c r="AF2258" s="139"/>
      <c r="AG2258" s="139"/>
      <c r="AH2258" s="177"/>
      <c r="AI2258" s="178"/>
      <c r="AJ2258" s="139"/>
      <c r="AK2258" s="173"/>
      <c r="AL2258" s="177"/>
      <c r="AM2258" s="178"/>
      <c r="AN2258" s="173"/>
      <c r="AO2258" s="173"/>
      <c r="AP2258" s="173"/>
      <c r="AQ2258" s="178"/>
      <c r="AR2258" s="173"/>
      <c r="AS2258" s="173"/>
      <c r="AT2258" s="140"/>
      <c r="AX2258" s="140"/>
      <c r="BB2258" s="173"/>
      <c r="BC2258" s="173"/>
    </row>
    <row r="2259" spans="2:55" s="134" customFormat="1" x14ac:dyDescent="0.2">
      <c r="B2259" s="145"/>
      <c r="D2259" s="145"/>
      <c r="Z2259" s="177"/>
      <c r="AA2259" s="178"/>
      <c r="AB2259" s="139"/>
      <c r="AC2259" s="173"/>
      <c r="AD2259" s="177"/>
      <c r="AE2259" s="177"/>
      <c r="AF2259" s="139"/>
      <c r="AG2259" s="139"/>
      <c r="AH2259" s="177"/>
      <c r="AI2259" s="178"/>
      <c r="AJ2259" s="139"/>
      <c r="AK2259" s="173"/>
      <c r="AL2259" s="177"/>
      <c r="AM2259" s="178"/>
      <c r="AN2259" s="173"/>
      <c r="AO2259" s="173"/>
      <c r="AP2259" s="173"/>
      <c r="AQ2259" s="178"/>
      <c r="AR2259" s="173"/>
      <c r="AS2259" s="173"/>
      <c r="AT2259" s="140"/>
      <c r="AX2259" s="140"/>
      <c r="BB2259" s="173"/>
      <c r="BC2259" s="173"/>
    </row>
    <row r="2260" spans="2:55" s="134" customFormat="1" x14ac:dyDescent="0.2">
      <c r="B2260" s="145"/>
      <c r="D2260" s="145"/>
      <c r="Z2260" s="177"/>
      <c r="AA2260" s="178"/>
      <c r="AB2260" s="139"/>
      <c r="AC2260" s="173"/>
      <c r="AD2260" s="177"/>
      <c r="AE2260" s="177"/>
      <c r="AF2260" s="139"/>
      <c r="AG2260" s="139"/>
      <c r="AH2260" s="177"/>
      <c r="AI2260" s="178"/>
      <c r="AJ2260" s="139"/>
      <c r="AK2260" s="173"/>
      <c r="AL2260" s="177"/>
      <c r="AM2260" s="178"/>
      <c r="AN2260" s="173"/>
      <c r="AO2260" s="173"/>
      <c r="AP2260" s="173"/>
      <c r="AQ2260" s="178"/>
      <c r="AR2260" s="173"/>
      <c r="AS2260" s="173"/>
      <c r="AT2260" s="140"/>
      <c r="AX2260" s="140"/>
      <c r="BB2260" s="173"/>
      <c r="BC2260" s="173"/>
    </row>
    <row r="2261" spans="2:55" s="134" customFormat="1" x14ac:dyDescent="0.2">
      <c r="B2261" s="145"/>
      <c r="D2261" s="145"/>
      <c r="Z2261" s="177"/>
      <c r="AA2261" s="178"/>
      <c r="AB2261" s="139"/>
      <c r="AC2261" s="173"/>
      <c r="AD2261" s="177"/>
      <c r="AE2261" s="177"/>
      <c r="AF2261" s="139"/>
      <c r="AG2261" s="139"/>
      <c r="AH2261" s="177"/>
      <c r="AI2261" s="178"/>
      <c r="AJ2261" s="139"/>
      <c r="AK2261" s="173"/>
      <c r="AL2261" s="177"/>
      <c r="AM2261" s="178"/>
      <c r="AN2261" s="173"/>
      <c r="AO2261" s="173"/>
      <c r="AP2261" s="173"/>
      <c r="AQ2261" s="178"/>
      <c r="AR2261" s="173"/>
      <c r="AS2261" s="173"/>
      <c r="AT2261" s="140"/>
      <c r="AX2261" s="140"/>
      <c r="BB2261" s="173"/>
      <c r="BC2261" s="173"/>
    </row>
    <row r="2262" spans="2:55" s="134" customFormat="1" x14ac:dyDescent="0.2">
      <c r="B2262" s="145"/>
      <c r="D2262" s="145"/>
      <c r="Z2262" s="177"/>
      <c r="AA2262" s="178"/>
      <c r="AB2262" s="139"/>
      <c r="AC2262" s="173"/>
      <c r="AD2262" s="177"/>
      <c r="AE2262" s="177"/>
      <c r="AF2262" s="139"/>
      <c r="AG2262" s="139"/>
      <c r="AH2262" s="177"/>
      <c r="AI2262" s="178"/>
      <c r="AJ2262" s="139"/>
      <c r="AK2262" s="173"/>
      <c r="AL2262" s="177"/>
      <c r="AM2262" s="178"/>
      <c r="AN2262" s="173"/>
      <c r="AO2262" s="173"/>
      <c r="AP2262" s="173"/>
      <c r="AQ2262" s="178"/>
      <c r="AR2262" s="173"/>
      <c r="AS2262" s="173"/>
      <c r="AT2262" s="140"/>
      <c r="AX2262" s="140"/>
      <c r="BB2262" s="173"/>
      <c r="BC2262" s="173"/>
    </row>
    <row r="2263" spans="2:55" s="134" customFormat="1" x14ac:dyDescent="0.2">
      <c r="B2263" s="145"/>
      <c r="D2263" s="145"/>
      <c r="Z2263" s="177"/>
      <c r="AA2263" s="178"/>
      <c r="AB2263" s="139"/>
      <c r="AC2263" s="173"/>
      <c r="AD2263" s="177"/>
      <c r="AE2263" s="177"/>
      <c r="AF2263" s="139"/>
      <c r="AG2263" s="139"/>
      <c r="AH2263" s="177"/>
      <c r="AI2263" s="178"/>
      <c r="AJ2263" s="139"/>
      <c r="AK2263" s="173"/>
      <c r="AL2263" s="177"/>
      <c r="AM2263" s="178"/>
      <c r="AN2263" s="173"/>
      <c r="AO2263" s="173"/>
      <c r="AP2263" s="173"/>
      <c r="AQ2263" s="178"/>
      <c r="AR2263" s="173"/>
      <c r="AS2263" s="173"/>
      <c r="AT2263" s="140"/>
      <c r="AX2263" s="140"/>
      <c r="BB2263" s="173"/>
      <c r="BC2263" s="173"/>
    </row>
    <row r="2264" spans="2:55" s="134" customFormat="1" x14ac:dyDescent="0.2">
      <c r="B2264" s="145"/>
      <c r="D2264" s="145"/>
      <c r="Z2264" s="177"/>
      <c r="AA2264" s="178"/>
      <c r="AB2264" s="139"/>
      <c r="AC2264" s="173"/>
      <c r="AD2264" s="177"/>
      <c r="AE2264" s="177"/>
      <c r="AF2264" s="139"/>
      <c r="AG2264" s="139"/>
      <c r="AH2264" s="177"/>
      <c r="AI2264" s="178"/>
      <c r="AJ2264" s="139"/>
      <c r="AK2264" s="173"/>
      <c r="AL2264" s="177"/>
      <c r="AM2264" s="178"/>
      <c r="AN2264" s="173"/>
      <c r="AO2264" s="173"/>
      <c r="AP2264" s="173"/>
      <c r="AQ2264" s="178"/>
      <c r="AR2264" s="173"/>
      <c r="AS2264" s="173"/>
      <c r="AT2264" s="140"/>
      <c r="AX2264" s="140"/>
      <c r="BB2264" s="173"/>
      <c r="BC2264" s="173"/>
    </row>
    <row r="2265" spans="2:55" s="134" customFormat="1" x14ac:dyDescent="0.2">
      <c r="B2265" s="145"/>
      <c r="D2265" s="145"/>
      <c r="Z2265" s="177"/>
      <c r="AA2265" s="178"/>
      <c r="AB2265" s="139"/>
      <c r="AC2265" s="173"/>
      <c r="AD2265" s="177"/>
      <c r="AE2265" s="177"/>
      <c r="AF2265" s="139"/>
      <c r="AG2265" s="139"/>
      <c r="AH2265" s="177"/>
      <c r="AI2265" s="178"/>
      <c r="AJ2265" s="139"/>
      <c r="AK2265" s="173"/>
      <c r="AL2265" s="177"/>
      <c r="AM2265" s="178"/>
      <c r="AN2265" s="173"/>
      <c r="AO2265" s="173"/>
      <c r="AP2265" s="173"/>
      <c r="AQ2265" s="178"/>
      <c r="AR2265" s="173"/>
      <c r="AS2265" s="173"/>
      <c r="AT2265" s="140"/>
      <c r="AX2265" s="140"/>
      <c r="BB2265" s="173"/>
      <c r="BC2265" s="173"/>
    </row>
    <row r="2266" spans="2:55" s="134" customFormat="1" x14ac:dyDescent="0.2">
      <c r="B2266" s="145"/>
      <c r="D2266" s="145"/>
      <c r="Z2266" s="177"/>
      <c r="AA2266" s="178"/>
      <c r="AB2266" s="139"/>
      <c r="AC2266" s="173"/>
      <c r="AD2266" s="177"/>
      <c r="AE2266" s="177"/>
      <c r="AF2266" s="139"/>
      <c r="AG2266" s="139"/>
      <c r="AH2266" s="177"/>
      <c r="AI2266" s="178"/>
      <c r="AJ2266" s="139"/>
      <c r="AK2266" s="173"/>
      <c r="AL2266" s="177"/>
      <c r="AM2266" s="178"/>
      <c r="AN2266" s="173"/>
      <c r="AO2266" s="173"/>
      <c r="AP2266" s="173"/>
      <c r="AQ2266" s="178"/>
      <c r="AR2266" s="173"/>
      <c r="AS2266" s="173"/>
      <c r="AT2266" s="140"/>
      <c r="AX2266" s="140"/>
      <c r="BB2266" s="173"/>
      <c r="BC2266" s="173"/>
    </row>
    <row r="2267" spans="2:55" s="134" customFormat="1" x14ac:dyDescent="0.2">
      <c r="B2267" s="145"/>
      <c r="D2267" s="145"/>
      <c r="Z2267" s="177"/>
      <c r="AA2267" s="178"/>
      <c r="AB2267" s="139"/>
      <c r="AC2267" s="173"/>
      <c r="AD2267" s="177"/>
      <c r="AE2267" s="177"/>
      <c r="AF2267" s="139"/>
      <c r="AG2267" s="139"/>
      <c r="AH2267" s="177"/>
      <c r="AI2267" s="178"/>
      <c r="AJ2267" s="139"/>
      <c r="AK2267" s="173"/>
      <c r="AL2267" s="177"/>
      <c r="AM2267" s="178"/>
      <c r="AN2267" s="173"/>
      <c r="AO2267" s="173"/>
      <c r="AP2267" s="173"/>
      <c r="AQ2267" s="178"/>
      <c r="AR2267" s="173"/>
      <c r="AS2267" s="173"/>
      <c r="AT2267" s="140"/>
      <c r="AX2267" s="140"/>
      <c r="BB2267" s="173"/>
      <c r="BC2267" s="173"/>
    </row>
    <row r="2268" spans="2:55" s="134" customFormat="1" x14ac:dyDescent="0.2">
      <c r="B2268" s="145"/>
      <c r="D2268" s="145"/>
      <c r="Z2268" s="177"/>
      <c r="AA2268" s="178"/>
      <c r="AB2268" s="139"/>
      <c r="AC2268" s="173"/>
      <c r="AD2268" s="177"/>
      <c r="AE2268" s="177"/>
      <c r="AF2268" s="139"/>
      <c r="AG2268" s="139"/>
      <c r="AH2268" s="177"/>
      <c r="AI2268" s="178"/>
      <c r="AJ2268" s="139"/>
      <c r="AK2268" s="173"/>
      <c r="AL2268" s="177"/>
      <c r="AM2268" s="178"/>
      <c r="AN2268" s="173"/>
      <c r="AO2268" s="173"/>
      <c r="AP2268" s="173"/>
      <c r="AQ2268" s="178"/>
      <c r="AR2268" s="173"/>
      <c r="AS2268" s="173"/>
      <c r="AT2268" s="140"/>
      <c r="AX2268" s="140"/>
      <c r="BB2268" s="173"/>
      <c r="BC2268" s="173"/>
    </row>
    <row r="2269" spans="2:55" s="134" customFormat="1" x14ac:dyDescent="0.2">
      <c r="B2269" s="145"/>
      <c r="D2269" s="145"/>
      <c r="Z2269" s="177"/>
      <c r="AA2269" s="178"/>
      <c r="AB2269" s="139"/>
      <c r="AC2269" s="173"/>
      <c r="AD2269" s="177"/>
      <c r="AE2269" s="177"/>
      <c r="AF2269" s="139"/>
      <c r="AG2269" s="139"/>
      <c r="AH2269" s="177"/>
      <c r="AI2269" s="178"/>
      <c r="AJ2269" s="139"/>
      <c r="AK2269" s="173"/>
      <c r="AL2269" s="177"/>
      <c r="AM2269" s="178"/>
      <c r="AN2269" s="173"/>
      <c r="AO2269" s="173"/>
      <c r="AP2269" s="173"/>
      <c r="AQ2269" s="178"/>
      <c r="AR2269" s="173"/>
      <c r="AS2269" s="173"/>
      <c r="AT2269" s="140"/>
      <c r="AX2269" s="140"/>
      <c r="BB2269" s="173"/>
      <c r="BC2269" s="173"/>
    </row>
    <row r="2270" spans="2:55" s="134" customFormat="1" x14ac:dyDescent="0.2">
      <c r="B2270" s="145"/>
      <c r="D2270" s="145"/>
      <c r="Z2270" s="177"/>
      <c r="AA2270" s="178"/>
      <c r="AB2270" s="139"/>
      <c r="AC2270" s="173"/>
      <c r="AD2270" s="177"/>
      <c r="AE2270" s="177"/>
      <c r="AF2270" s="139"/>
      <c r="AG2270" s="139"/>
      <c r="AH2270" s="177"/>
      <c r="AI2270" s="178"/>
      <c r="AJ2270" s="139"/>
      <c r="AK2270" s="173"/>
      <c r="AL2270" s="177"/>
      <c r="AM2270" s="178"/>
      <c r="AN2270" s="173"/>
      <c r="AO2270" s="173"/>
      <c r="AP2270" s="173"/>
      <c r="AQ2270" s="178"/>
      <c r="AR2270" s="173"/>
      <c r="AS2270" s="173"/>
      <c r="AT2270" s="140"/>
      <c r="AX2270" s="140"/>
      <c r="BB2270" s="173"/>
      <c r="BC2270" s="173"/>
    </row>
    <row r="2271" spans="2:55" s="134" customFormat="1" x14ac:dyDescent="0.2">
      <c r="B2271" s="145"/>
      <c r="D2271" s="145"/>
      <c r="Z2271" s="177"/>
      <c r="AA2271" s="178"/>
      <c r="AB2271" s="139"/>
      <c r="AC2271" s="173"/>
      <c r="AD2271" s="177"/>
      <c r="AE2271" s="177"/>
      <c r="AF2271" s="139"/>
      <c r="AG2271" s="139"/>
      <c r="AH2271" s="177"/>
      <c r="AI2271" s="178"/>
      <c r="AJ2271" s="139"/>
      <c r="AK2271" s="173"/>
      <c r="AL2271" s="177"/>
      <c r="AM2271" s="178"/>
      <c r="AN2271" s="173"/>
      <c r="AO2271" s="173"/>
      <c r="AP2271" s="173"/>
      <c r="AQ2271" s="178"/>
      <c r="AR2271" s="173"/>
      <c r="AS2271" s="173"/>
      <c r="AT2271" s="140"/>
      <c r="AX2271" s="140"/>
      <c r="BB2271" s="173"/>
      <c r="BC2271" s="173"/>
    </row>
    <row r="2272" spans="2:55" s="134" customFormat="1" x14ac:dyDescent="0.2">
      <c r="B2272" s="145"/>
      <c r="D2272" s="145"/>
      <c r="Z2272" s="177"/>
      <c r="AA2272" s="178"/>
      <c r="AB2272" s="139"/>
      <c r="AC2272" s="173"/>
      <c r="AD2272" s="177"/>
      <c r="AE2272" s="177"/>
      <c r="AF2272" s="139"/>
      <c r="AG2272" s="139"/>
      <c r="AH2272" s="177"/>
      <c r="AI2272" s="178"/>
      <c r="AJ2272" s="139"/>
      <c r="AK2272" s="173"/>
      <c r="AL2272" s="177"/>
      <c r="AM2272" s="178"/>
      <c r="AN2272" s="173"/>
      <c r="AO2272" s="173"/>
      <c r="AP2272" s="173"/>
      <c r="AQ2272" s="178"/>
      <c r="AR2272" s="173"/>
      <c r="AS2272" s="173"/>
      <c r="AT2272" s="140"/>
      <c r="AX2272" s="140"/>
      <c r="BB2272" s="173"/>
      <c r="BC2272" s="173"/>
    </row>
    <row r="2273" spans="2:55" s="134" customFormat="1" x14ac:dyDescent="0.2">
      <c r="B2273" s="145"/>
      <c r="D2273" s="145"/>
      <c r="Z2273" s="177"/>
      <c r="AA2273" s="178"/>
      <c r="AB2273" s="139"/>
      <c r="AC2273" s="173"/>
      <c r="AD2273" s="177"/>
      <c r="AE2273" s="177"/>
      <c r="AF2273" s="139"/>
      <c r="AG2273" s="139"/>
      <c r="AH2273" s="177"/>
      <c r="AI2273" s="178"/>
      <c r="AJ2273" s="139"/>
      <c r="AK2273" s="173"/>
      <c r="AL2273" s="177"/>
      <c r="AM2273" s="178"/>
      <c r="AN2273" s="173"/>
      <c r="AO2273" s="173"/>
      <c r="AP2273" s="173"/>
      <c r="AQ2273" s="178"/>
      <c r="AR2273" s="173"/>
      <c r="AS2273" s="173"/>
      <c r="AT2273" s="140"/>
      <c r="AX2273" s="140"/>
      <c r="BB2273" s="173"/>
      <c r="BC2273" s="173"/>
    </row>
    <row r="2274" spans="2:55" s="134" customFormat="1" x14ac:dyDescent="0.2">
      <c r="B2274" s="145"/>
      <c r="D2274" s="145"/>
      <c r="Z2274" s="177"/>
      <c r="AA2274" s="178"/>
      <c r="AB2274" s="139"/>
      <c r="AC2274" s="173"/>
      <c r="AD2274" s="177"/>
      <c r="AE2274" s="177"/>
      <c r="AF2274" s="139"/>
      <c r="AG2274" s="139"/>
      <c r="AH2274" s="177"/>
      <c r="AI2274" s="178"/>
      <c r="AJ2274" s="139"/>
      <c r="AK2274" s="173"/>
      <c r="AL2274" s="177"/>
      <c r="AM2274" s="178"/>
      <c r="AN2274" s="173"/>
      <c r="AO2274" s="173"/>
      <c r="AP2274" s="173"/>
      <c r="AQ2274" s="178"/>
      <c r="AR2274" s="173"/>
      <c r="AS2274" s="173"/>
      <c r="AT2274" s="140"/>
      <c r="AX2274" s="140"/>
      <c r="BB2274" s="173"/>
      <c r="BC2274" s="173"/>
    </row>
    <row r="2275" spans="2:55" s="134" customFormat="1" x14ac:dyDescent="0.2">
      <c r="B2275" s="145"/>
      <c r="D2275" s="145"/>
      <c r="Z2275" s="177"/>
      <c r="AA2275" s="178"/>
      <c r="AB2275" s="139"/>
      <c r="AC2275" s="173"/>
      <c r="AD2275" s="177"/>
      <c r="AE2275" s="177"/>
      <c r="AF2275" s="139"/>
      <c r="AG2275" s="139"/>
      <c r="AH2275" s="177"/>
      <c r="AI2275" s="178"/>
      <c r="AJ2275" s="139"/>
      <c r="AK2275" s="173"/>
      <c r="AL2275" s="177"/>
      <c r="AM2275" s="178"/>
      <c r="AN2275" s="173"/>
      <c r="AO2275" s="173"/>
      <c r="AP2275" s="173"/>
      <c r="AQ2275" s="178"/>
      <c r="AR2275" s="173"/>
      <c r="AS2275" s="173"/>
      <c r="AT2275" s="140"/>
      <c r="AX2275" s="140"/>
      <c r="BB2275" s="173"/>
      <c r="BC2275" s="173"/>
    </row>
    <row r="2276" spans="2:55" s="134" customFormat="1" x14ac:dyDescent="0.2">
      <c r="B2276" s="145"/>
      <c r="D2276" s="145"/>
      <c r="Z2276" s="177"/>
      <c r="AA2276" s="178"/>
      <c r="AB2276" s="139"/>
      <c r="AC2276" s="173"/>
      <c r="AD2276" s="177"/>
      <c r="AE2276" s="177"/>
      <c r="AF2276" s="139"/>
      <c r="AG2276" s="139"/>
      <c r="AH2276" s="177"/>
      <c r="AI2276" s="178"/>
      <c r="AJ2276" s="139"/>
      <c r="AK2276" s="173"/>
      <c r="AL2276" s="177"/>
      <c r="AM2276" s="178"/>
      <c r="AN2276" s="173"/>
      <c r="AO2276" s="173"/>
      <c r="AP2276" s="173"/>
      <c r="AQ2276" s="178"/>
      <c r="AR2276" s="173"/>
      <c r="AS2276" s="173"/>
      <c r="AT2276" s="140"/>
      <c r="AX2276" s="140"/>
      <c r="BB2276" s="173"/>
      <c r="BC2276" s="173"/>
    </row>
    <row r="2277" spans="2:55" s="134" customFormat="1" x14ac:dyDescent="0.2">
      <c r="B2277" s="145"/>
      <c r="D2277" s="145"/>
      <c r="Z2277" s="177"/>
      <c r="AA2277" s="178"/>
      <c r="AB2277" s="139"/>
      <c r="AC2277" s="173"/>
      <c r="AD2277" s="177"/>
      <c r="AE2277" s="177"/>
      <c r="AF2277" s="139"/>
      <c r="AG2277" s="139"/>
      <c r="AH2277" s="177"/>
      <c r="AI2277" s="178"/>
      <c r="AJ2277" s="139"/>
      <c r="AK2277" s="173"/>
      <c r="AL2277" s="177"/>
      <c r="AM2277" s="178"/>
      <c r="AN2277" s="173"/>
      <c r="AO2277" s="173"/>
      <c r="AP2277" s="173"/>
      <c r="AQ2277" s="178"/>
      <c r="AR2277" s="173"/>
      <c r="AS2277" s="173"/>
      <c r="AT2277" s="140"/>
      <c r="AX2277" s="140"/>
      <c r="BB2277" s="173"/>
      <c r="BC2277" s="173"/>
    </row>
    <row r="2278" spans="2:55" s="134" customFormat="1" x14ac:dyDescent="0.2">
      <c r="B2278" s="145"/>
      <c r="D2278" s="145"/>
      <c r="Z2278" s="177"/>
      <c r="AA2278" s="178"/>
      <c r="AB2278" s="139"/>
      <c r="AC2278" s="173"/>
      <c r="AD2278" s="177"/>
      <c r="AE2278" s="177"/>
      <c r="AF2278" s="139"/>
      <c r="AG2278" s="139"/>
      <c r="AH2278" s="177"/>
      <c r="AI2278" s="178"/>
      <c r="AJ2278" s="139"/>
      <c r="AK2278" s="173"/>
      <c r="AL2278" s="177"/>
      <c r="AM2278" s="178"/>
      <c r="AN2278" s="173"/>
      <c r="AO2278" s="173"/>
      <c r="AP2278" s="173"/>
      <c r="AQ2278" s="178"/>
      <c r="AR2278" s="173"/>
      <c r="AS2278" s="173"/>
      <c r="AT2278" s="140"/>
      <c r="AX2278" s="140"/>
      <c r="BB2278" s="173"/>
      <c r="BC2278" s="173"/>
    </row>
    <row r="2279" spans="2:55" s="134" customFormat="1" x14ac:dyDescent="0.2">
      <c r="B2279" s="145"/>
      <c r="D2279" s="145"/>
      <c r="Z2279" s="177"/>
      <c r="AA2279" s="178"/>
      <c r="AB2279" s="139"/>
      <c r="AC2279" s="173"/>
      <c r="AD2279" s="177"/>
      <c r="AE2279" s="177"/>
      <c r="AF2279" s="139"/>
      <c r="AG2279" s="139"/>
      <c r="AH2279" s="177"/>
      <c r="AI2279" s="178"/>
      <c r="AJ2279" s="139"/>
      <c r="AK2279" s="173"/>
      <c r="AL2279" s="177"/>
      <c r="AM2279" s="178"/>
      <c r="AN2279" s="173"/>
      <c r="AO2279" s="173"/>
      <c r="AP2279" s="173"/>
      <c r="AQ2279" s="178"/>
      <c r="AR2279" s="173"/>
      <c r="AS2279" s="173"/>
      <c r="AT2279" s="140"/>
      <c r="AX2279" s="140"/>
      <c r="BB2279" s="173"/>
      <c r="BC2279" s="173"/>
    </row>
    <row r="2280" spans="2:55" s="134" customFormat="1" x14ac:dyDescent="0.2">
      <c r="B2280" s="145"/>
      <c r="D2280" s="145"/>
      <c r="Z2280" s="177"/>
      <c r="AA2280" s="178"/>
      <c r="AB2280" s="139"/>
      <c r="AC2280" s="173"/>
      <c r="AD2280" s="177"/>
      <c r="AE2280" s="177"/>
      <c r="AF2280" s="139"/>
      <c r="AG2280" s="139"/>
      <c r="AH2280" s="177"/>
      <c r="AI2280" s="178"/>
      <c r="AJ2280" s="139"/>
      <c r="AK2280" s="173"/>
      <c r="AL2280" s="177"/>
      <c r="AM2280" s="178"/>
      <c r="AN2280" s="173"/>
      <c r="AO2280" s="173"/>
      <c r="AP2280" s="173"/>
      <c r="AQ2280" s="178"/>
      <c r="AR2280" s="173"/>
      <c r="AS2280" s="173"/>
      <c r="AT2280" s="140"/>
      <c r="AX2280" s="140"/>
      <c r="BB2280" s="173"/>
      <c r="BC2280" s="173"/>
    </row>
    <row r="2281" spans="2:55" s="134" customFormat="1" x14ac:dyDescent="0.2">
      <c r="B2281" s="145"/>
      <c r="D2281" s="145"/>
      <c r="Z2281" s="177"/>
      <c r="AA2281" s="178"/>
      <c r="AB2281" s="139"/>
      <c r="AC2281" s="173"/>
      <c r="AD2281" s="177"/>
      <c r="AE2281" s="177"/>
      <c r="AF2281" s="139"/>
      <c r="AG2281" s="139"/>
      <c r="AH2281" s="177"/>
      <c r="AI2281" s="178"/>
      <c r="AJ2281" s="139"/>
      <c r="AK2281" s="173"/>
      <c r="AL2281" s="177"/>
      <c r="AM2281" s="178"/>
      <c r="AN2281" s="173"/>
      <c r="AO2281" s="173"/>
      <c r="AP2281" s="173"/>
      <c r="AQ2281" s="178"/>
      <c r="AR2281" s="173"/>
      <c r="AS2281" s="173"/>
      <c r="AT2281" s="140"/>
      <c r="AX2281" s="140"/>
      <c r="BB2281" s="173"/>
      <c r="BC2281" s="173"/>
    </row>
    <row r="2282" spans="2:55" s="134" customFormat="1" x14ac:dyDescent="0.2">
      <c r="B2282" s="145"/>
      <c r="D2282" s="145"/>
      <c r="Z2282" s="177"/>
      <c r="AA2282" s="178"/>
      <c r="AB2282" s="139"/>
      <c r="AC2282" s="173"/>
      <c r="AD2282" s="177"/>
      <c r="AE2282" s="177"/>
      <c r="AF2282" s="139"/>
      <c r="AG2282" s="139"/>
      <c r="AH2282" s="177"/>
      <c r="AI2282" s="178"/>
      <c r="AJ2282" s="139"/>
      <c r="AK2282" s="173"/>
      <c r="AL2282" s="177"/>
      <c r="AM2282" s="178"/>
      <c r="AN2282" s="173"/>
      <c r="AO2282" s="173"/>
      <c r="AP2282" s="173"/>
      <c r="AQ2282" s="178"/>
      <c r="AR2282" s="173"/>
      <c r="AS2282" s="173"/>
      <c r="AT2282" s="140"/>
      <c r="AX2282" s="140"/>
      <c r="BB2282" s="173"/>
      <c r="BC2282" s="173"/>
    </row>
    <row r="2283" spans="2:55" s="134" customFormat="1" x14ac:dyDescent="0.2">
      <c r="B2283" s="145"/>
      <c r="D2283" s="145"/>
      <c r="Z2283" s="177"/>
      <c r="AA2283" s="178"/>
      <c r="AB2283" s="139"/>
      <c r="AC2283" s="173"/>
      <c r="AD2283" s="177"/>
      <c r="AE2283" s="177"/>
      <c r="AF2283" s="139"/>
      <c r="AG2283" s="139"/>
      <c r="AH2283" s="177"/>
      <c r="AI2283" s="178"/>
      <c r="AJ2283" s="139"/>
      <c r="AK2283" s="173"/>
      <c r="AL2283" s="177"/>
      <c r="AM2283" s="178"/>
      <c r="AN2283" s="173"/>
      <c r="AO2283" s="173"/>
      <c r="AP2283" s="173"/>
      <c r="AQ2283" s="178"/>
      <c r="AR2283" s="173"/>
      <c r="AS2283" s="173"/>
      <c r="AT2283" s="140"/>
      <c r="AX2283" s="140"/>
      <c r="BB2283" s="173"/>
      <c r="BC2283" s="173"/>
    </row>
    <row r="2284" spans="2:55" s="134" customFormat="1" x14ac:dyDescent="0.2">
      <c r="B2284" s="145"/>
      <c r="D2284" s="145"/>
      <c r="Z2284" s="177"/>
      <c r="AA2284" s="178"/>
      <c r="AB2284" s="139"/>
      <c r="AC2284" s="173"/>
      <c r="AD2284" s="177"/>
      <c r="AE2284" s="177"/>
      <c r="AF2284" s="139"/>
      <c r="AG2284" s="139"/>
      <c r="AH2284" s="177"/>
      <c r="AI2284" s="178"/>
      <c r="AJ2284" s="139"/>
      <c r="AK2284" s="173"/>
      <c r="AL2284" s="177"/>
      <c r="AM2284" s="178"/>
      <c r="AN2284" s="173"/>
      <c r="AO2284" s="173"/>
      <c r="AP2284" s="173"/>
      <c r="AQ2284" s="178"/>
      <c r="AR2284" s="173"/>
      <c r="AS2284" s="173"/>
      <c r="AT2284" s="140"/>
      <c r="AX2284" s="140"/>
      <c r="BB2284" s="173"/>
      <c r="BC2284" s="173"/>
    </row>
    <row r="2285" spans="2:55" s="134" customFormat="1" x14ac:dyDescent="0.2">
      <c r="B2285" s="145"/>
      <c r="D2285" s="145"/>
      <c r="Z2285" s="177"/>
      <c r="AA2285" s="178"/>
      <c r="AB2285" s="139"/>
      <c r="AC2285" s="173"/>
      <c r="AD2285" s="177"/>
      <c r="AE2285" s="177"/>
      <c r="AF2285" s="139"/>
      <c r="AG2285" s="139"/>
      <c r="AH2285" s="177"/>
      <c r="AI2285" s="178"/>
      <c r="AJ2285" s="139"/>
      <c r="AK2285" s="173"/>
      <c r="AL2285" s="177"/>
      <c r="AM2285" s="178"/>
      <c r="AN2285" s="173"/>
      <c r="AO2285" s="173"/>
      <c r="AP2285" s="173"/>
      <c r="AQ2285" s="178"/>
      <c r="AR2285" s="173"/>
      <c r="AS2285" s="173"/>
      <c r="AT2285" s="140"/>
      <c r="AX2285" s="140"/>
      <c r="BB2285" s="173"/>
      <c r="BC2285" s="173"/>
    </row>
    <row r="2286" spans="2:55" s="134" customFormat="1" x14ac:dyDescent="0.2">
      <c r="B2286" s="145"/>
      <c r="D2286" s="145"/>
      <c r="Z2286" s="177"/>
      <c r="AA2286" s="178"/>
      <c r="AB2286" s="139"/>
      <c r="AC2286" s="173"/>
      <c r="AD2286" s="177"/>
      <c r="AE2286" s="177"/>
      <c r="AF2286" s="139"/>
      <c r="AG2286" s="139"/>
      <c r="AH2286" s="177"/>
      <c r="AI2286" s="178"/>
      <c r="AJ2286" s="139"/>
      <c r="AK2286" s="173"/>
      <c r="AL2286" s="177"/>
      <c r="AM2286" s="178"/>
      <c r="AN2286" s="173"/>
      <c r="AO2286" s="173"/>
      <c r="AP2286" s="173"/>
      <c r="AQ2286" s="178"/>
      <c r="AR2286" s="173"/>
      <c r="AS2286" s="173"/>
      <c r="AT2286" s="140"/>
      <c r="AX2286" s="140"/>
      <c r="BB2286" s="173"/>
      <c r="BC2286" s="173"/>
    </row>
    <row r="2287" spans="2:55" s="134" customFormat="1" x14ac:dyDescent="0.2">
      <c r="B2287" s="145"/>
      <c r="D2287" s="145"/>
      <c r="Z2287" s="177"/>
      <c r="AA2287" s="178"/>
      <c r="AB2287" s="139"/>
      <c r="AC2287" s="173"/>
      <c r="AD2287" s="177"/>
      <c r="AE2287" s="177"/>
      <c r="AF2287" s="139"/>
      <c r="AG2287" s="139"/>
      <c r="AH2287" s="177"/>
      <c r="AI2287" s="178"/>
      <c r="AJ2287" s="139"/>
      <c r="AK2287" s="173"/>
      <c r="AL2287" s="177"/>
      <c r="AM2287" s="178"/>
      <c r="AN2287" s="173"/>
      <c r="AO2287" s="173"/>
      <c r="AP2287" s="173"/>
      <c r="AQ2287" s="178"/>
      <c r="AR2287" s="173"/>
      <c r="AS2287" s="173"/>
      <c r="AT2287" s="140"/>
      <c r="AX2287" s="140"/>
      <c r="BB2287" s="173"/>
      <c r="BC2287" s="173"/>
    </row>
    <row r="2288" spans="2:55" s="134" customFormat="1" x14ac:dyDescent="0.2">
      <c r="B2288" s="145"/>
      <c r="D2288" s="145"/>
      <c r="Z2288" s="177"/>
      <c r="AA2288" s="178"/>
      <c r="AB2288" s="139"/>
      <c r="AC2288" s="173"/>
      <c r="AD2288" s="177"/>
      <c r="AE2288" s="177"/>
      <c r="AF2288" s="139"/>
      <c r="AG2288" s="139"/>
      <c r="AH2288" s="177"/>
      <c r="AI2288" s="178"/>
      <c r="AJ2288" s="139"/>
      <c r="AK2288" s="173"/>
      <c r="AL2288" s="177"/>
      <c r="AM2288" s="178"/>
      <c r="AN2288" s="173"/>
      <c r="AO2288" s="173"/>
      <c r="AP2288" s="173"/>
      <c r="AQ2288" s="178"/>
      <c r="AR2288" s="173"/>
      <c r="AS2288" s="173"/>
      <c r="AT2288" s="140"/>
      <c r="AX2288" s="140"/>
      <c r="BB2288" s="173"/>
      <c r="BC2288" s="173"/>
    </row>
    <row r="2289" spans="2:55" s="134" customFormat="1" x14ac:dyDescent="0.2">
      <c r="B2289" s="145"/>
      <c r="D2289" s="145"/>
      <c r="Z2289" s="177"/>
      <c r="AA2289" s="178"/>
      <c r="AB2289" s="139"/>
      <c r="AC2289" s="173"/>
      <c r="AD2289" s="177"/>
      <c r="AE2289" s="177"/>
      <c r="AF2289" s="139"/>
      <c r="AG2289" s="139"/>
      <c r="AH2289" s="177"/>
      <c r="AI2289" s="178"/>
      <c r="AJ2289" s="139"/>
      <c r="AK2289" s="173"/>
      <c r="AL2289" s="177"/>
      <c r="AM2289" s="178"/>
      <c r="AN2289" s="173"/>
      <c r="AO2289" s="173"/>
      <c r="AP2289" s="173"/>
      <c r="AQ2289" s="178"/>
      <c r="AR2289" s="173"/>
      <c r="AS2289" s="173"/>
      <c r="AT2289" s="140"/>
      <c r="AX2289" s="140"/>
      <c r="BB2289" s="173"/>
      <c r="BC2289" s="173"/>
    </row>
    <row r="2290" spans="2:55" s="134" customFormat="1" x14ac:dyDescent="0.2">
      <c r="B2290" s="145"/>
      <c r="D2290" s="145"/>
      <c r="Z2290" s="177"/>
      <c r="AA2290" s="178"/>
      <c r="AB2290" s="139"/>
      <c r="AC2290" s="173"/>
      <c r="AD2290" s="177"/>
      <c r="AE2290" s="177"/>
      <c r="AF2290" s="139"/>
      <c r="AG2290" s="139"/>
      <c r="AH2290" s="177"/>
      <c r="AI2290" s="178"/>
      <c r="AJ2290" s="139"/>
      <c r="AK2290" s="173"/>
      <c r="AL2290" s="177"/>
      <c r="AM2290" s="178"/>
      <c r="AN2290" s="173"/>
      <c r="AO2290" s="173"/>
      <c r="AP2290" s="173"/>
      <c r="AQ2290" s="178"/>
      <c r="AR2290" s="173"/>
      <c r="AS2290" s="173"/>
      <c r="AT2290" s="140"/>
      <c r="AX2290" s="140"/>
      <c r="BB2290" s="173"/>
      <c r="BC2290" s="173"/>
    </row>
    <row r="2291" spans="2:55" s="134" customFormat="1" x14ac:dyDescent="0.2">
      <c r="B2291" s="145"/>
      <c r="D2291" s="145"/>
      <c r="Z2291" s="177"/>
      <c r="AA2291" s="178"/>
      <c r="AB2291" s="139"/>
      <c r="AC2291" s="173"/>
      <c r="AD2291" s="177"/>
      <c r="AE2291" s="177"/>
      <c r="AF2291" s="139"/>
      <c r="AG2291" s="139"/>
      <c r="AH2291" s="177"/>
      <c r="AI2291" s="178"/>
      <c r="AJ2291" s="139"/>
      <c r="AK2291" s="173"/>
      <c r="AL2291" s="177"/>
      <c r="AM2291" s="178"/>
      <c r="AN2291" s="173"/>
      <c r="AO2291" s="173"/>
      <c r="AP2291" s="173"/>
      <c r="AQ2291" s="178"/>
      <c r="AR2291" s="173"/>
      <c r="AS2291" s="173"/>
      <c r="AT2291" s="140"/>
      <c r="AX2291" s="140"/>
      <c r="BB2291" s="173"/>
      <c r="BC2291" s="173"/>
    </row>
    <row r="2292" spans="2:55" s="134" customFormat="1" x14ac:dyDescent="0.2">
      <c r="B2292" s="145"/>
      <c r="D2292" s="145"/>
      <c r="Z2292" s="177"/>
      <c r="AA2292" s="178"/>
      <c r="AB2292" s="139"/>
      <c r="AC2292" s="173"/>
      <c r="AD2292" s="177"/>
      <c r="AE2292" s="177"/>
      <c r="AF2292" s="139"/>
      <c r="AG2292" s="139"/>
      <c r="AH2292" s="177"/>
      <c r="AI2292" s="178"/>
      <c r="AJ2292" s="139"/>
      <c r="AK2292" s="173"/>
      <c r="AL2292" s="177"/>
      <c r="AM2292" s="178"/>
      <c r="AN2292" s="173"/>
      <c r="AO2292" s="173"/>
      <c r="AP2292" s="173"/>
      <c r="AQ2292" s="178"/>
      <c r="AR2292" s="173"/>
      <c r="AS2292" s="173"/>
      <c r="AT2292" s="140"/>
      <c r="AX2292" s="140"/>
      <c r="BB2292" s="173"/>
      <c r="BC2292" s="173"/>
    </row>
    <row r="2293" spans="2:55" s="134" customFormat="1" x14ac:dyDescent="0.2">
      <c r="B2293" s="145"/>
      <c r="D2293" s="145"/>
      <c r="Z2293" s="177"/>
      <c r="AA2293" s="178"/>
      <c r="AB2293" s="139"/>
      <c r="AC2293" s="173"/>
      <c r="AD2293" s="177"/>
      <c r="AE2293" s="177"/>
      <c r="AF2293" s="139"/>
      <c r="AG2293" s="139"/>
      <c r="AH2293" s="177"/>
      <c r="AI2293" s="178"/>
      <c r="AJ2293" s="139"/>
      <c r="AK2293" s="173"/>
      <c r="AL2293" s="177"/>
      <c r="AM2293" s="178"/>
      <c r="AN2293" s="173"/>
      <c r="AO2293" s="173"/>
      <c r="AP2293" s="173"/>
      <c r="AQ2293" s="178"/>
      <c r="AR2293" s="173"/>
      <c r="AS2293" s="173"/>
      <c r="AT2293" s="140"/>
      <c r="AX2293" s="140"/>
      <c r="BB2293" s="173"/>
      <c r="BC2293" s="173"/>
    </row>
    <row r="2294" spans="2:55" s="134" customFormat="1" x14ac:dyDescent="0.2">
      <c r="B2294" s="145"/>
      <c r="D2294" s="145"/>
      <c r="Z2294" s="177"/>
      <c r="AA2294" s="178"/>
      <c r="AB2294" s="139"/>
      <c r="AC2294" s="173"/>
      <c r="AD2294" s="177"/>
      <c r="AE2294" s="177"/>
      <c r="AF2294" s="139"/>
      <c r="AG2294" s="139"/>
      <c r="AH2294" s="177"/>
      <c r="AI2294" s="178"/>
      <c r="AJ2294" s="139"/>
      <c r="AK2294" s="173"/>
      <c r="AL2294" s="177"/>
      <c r="AM2294" s="178"/>
      <c r="AN2294" s="173"/>
      <c r="AO2294" s="173"/>
      <c r="AP2294" s="173"/>
      <c r="AQ2294" s="178"/>
      <c r="AR2294" s="173"/>
      <c r="AS2294" s="173"/>
      <c r="AT2294" s="140"/>
      <c r="AX2294" s="140"/>
      <c r="BB2294" s="173"/>
      <c r="BC2294" s="173"/>
    </row>
    <row r="2295" spans="2:55" s="134" customFormat="1" x14ac:dyDescent="0.2">
      <c r="B2295" s="145"/>
      <c r="D2295" s="145"/>
      <c r="Z2295" s="177"/>
      <c r="AA2295" s="178"/>
      <c r="AB2295" s="139"/>
      <c r="AC2295" s="173"/>
      <c r="AD2295" s="177"/>
      <c r="AE2295" s="177"/>
      <c r="AF2295" s="139"/>
      <c r="AG2295" s="139"/>
      <c r="AH2295" s="177"/>
      <c r="AI2295" s="178"/>
      <c r="AJ2295" s="139"/>
      <c r="AK2295" s="173"/>
      <c r="AL2295" s="177"/>
      <c r="AM2295" s="178"/>
      <c r="AN2295" s="173"/>
      <c r="AO2295" s="173"/>
      <c r="AP2295" s="173"/>
      <c r="AQ2295" s="178"/>
      <c r="AR2295" s="173"/>
      <c r="AS2295" s="173"/>
      <c r="AT2295" s="140"/>
      <c r="AX2295" s="140"/>
      <c r="BB2295" s="173"/>
      <c r="BC2295" s="173"/>
    </row>
    <row r="2296" spans="2:55" s="134" customFormat="1" x14ac:dyDescent="0.2">
      <c r="B2296" s="145"/>
      <c r="D2296" s="145"/>
      <c r="Z2296" s="177"/>
      <c r="AA2296" s="178"/>
      <c r="AB2296" s="139"/>
      <c r="AC2296" s="173"/>
      <c r="AD2296" s="177"/>
      <c r="AE2296" s="177"/>
      <c r="AF2296" s="139"/>
      <c r="AG2296" s="139"/>
      <c r="AH2296" s="177"/>
      <c r="AI2296" s="178"/>
      <c r="AJ2296" s="139"/>
      <c r="AK2296" s="173"/>
      <c r="AL2296" s="177"/>
      <c r="AM2296" s="178"/>
      <c r="AN2296" s="173"/>
      <c r="AO2296" s="173"/>
      <c r="AP2296" s="173"/>
      <c r="AQ2296" s="178"/>
      <c r="AR2296" s="173"/>
      <c r="AS2296" s="173"/>
      <c r="AT2296" s="140"/>
      <c r="AX2296" s="140"/>
      <c r="BB2296" s="173"/>
      <c r="BC2296" s="173"/>
    </row>
    <row r="2297" spans="2:55" s="134" customFormat="1" x14ac:dyDescent="0.2">
      <c r="B2297" s="145"/>
      <c r="D2297" s="145"/>
      <c r="Z2297" s="177"/>
      <c r="AA2297" s="178"/>
      <c r="AB2297" s="139"/>
      <c r="AC2297" s="173"/>
      <c r="AD2297" s="177"/>
      <c r="AE2297" s="177"/>
      <c r="AF2297" s="139"/>
      <c r="AG2297" s="139"/>
      <c r="AH2297" s="177"/>
      <c r="AI2297" s="178"/>
      <c r="AJ2297" s="139"/>
      <c r="AK2297" s="173"/>
      <c r="AL2297" s="177"/>
      <c r="AM2297" s="178"/>
      <c r="AN2297" s="173"/>
      <c r="AO2297" s="173"/>
      <c r="AP2297" s="173"/>
      <c r="AQ2297" s="178"/>
      <c r="AR2297" s="173"/>
      <c r="AS2297" s="173"/>
      <c r="AT2297" s="140"/>
      <c r="AX2297" s="140"/>
      <c r="BB2297" s="173"/>
      <c r="BC2297" s="173"/>
    </row>
    <row r="2298" spans="2:55" s="134" customFormat="1" x14ac:dyDescent="0.2">
      <c r="B2298" s="145"/>
      <c r="D2298" s="145"/>
      <c r="Z2298" s="177"/>
      <c r="AA2298" s="178"/>
      <c r="AB2298" s="139"/>
      <c r="AC2298" s="173"/>
      <c r="AD2298" s="177"/>
      <c r="AE2298" s="177"/>
      <c r="AF2298" s="139"/>
      <c r="AG2298" s="139"/>
      <c r="AH2298" s="177"/>
      <c r="AI2298" s="178"/>
      <c r="AJ2298" s="139"/>
      <c r="AK2298" s="173"/>
      <c r="AL2298" s="177"/>
      <c r="AM2298" s="178"/>
      <c r="AN2298" s="173"/>
      <c r="AO2298" s="173"/>
      <c r="AP2298" s="173"/>
      <c r="AQ2298" s="178"/>
      <c r="AR2298" s="173"/>
      <c r="AS2298" s="173"/>
      <c r="AT2298" s="140"/>
      <c r="AX2298" s="140"/>
      <c r="BB2298" s="173"/>
      <c r="BC2298" s="173"/>
    </row>
    <row r="2299" spans="2:55" s="134" customFormat="1" x14ac:dyDescent="0.2">
      <c r="B2299" s="145"/>
      <c r="D2299" s="145"/>
      <c r="Z2299" s="177"/>
      <c r="AA2299" s="178"/>
      <c r="AB2299" s="139"/>
      <c r="AC2299" s="173"/>
      <c r="AD2299" s="177"/>
      <c r="AE2299" s="177"/>
      <c r="AF2299" s="139"/>
      <c r="AG2299" s="139"/>
      <c r="AH2299" s="177"/>
      <c r="AI2299" s="178"/>
      <c r="AJ2299" s="139"/>
      <c r="AK2299" s="173"/>
      <c r="AL2299" s="177"/>
      <c r="AM2299" s="178"/>
      <c r="AN2299" s="173"/>
      <c r="AO2299" s="173"/>
      <c r="AP2299" s="173"/>
      <c r="AQ2299" s="178"/>
      <c r="AR2299" s="173"/>
      <c r="AS2299" s="173"/>
      <c r="AT2299" s="140"/>
      <c r="AX2299" s="140"/>
      <c r="BB2299" s="173"/>
      <c r="BC2299" s="173"/>
    </row>
    <row r="2300" spans="2:55" s="134" customFormat="1" x14ac:dyDescent="0.2">
      <c r="B2300" s="145"/>
      <c r="D2300" s="145"/>
      <c r="Z2300" s="177"/>
      <c r="AA2300" s="178"/>
      <c r="AB2300" s="139"/>
      <c r="AC2300" s="173"/>
      <c r="AD2300" s="177"/>
      <c r="AE2300" s="177"/>
      <c r="AF2300" s="139"/>
      <c r="AG2300" s="139"/>
      <c r="AH2300" s="177"/>
      <c r="AI2300" s="178"/>
      <c r="AJ2300" s="139"/>
      <c r="AK2300" s="173"/>
      <c r="AL2300" s="177"/>
      <c r="AM2300" s="178"/>
      <c r="AN2300" s="173"/>
      <c r="AO2300" s="173"/>
      <c r="AP2300" s="173"/>
      <c r="AQ2300" s="178"/>
      <c r="AR2300" s="173"/>
      <c r="AS2300" s="173"/>
      <c r="AT2300" s="140"/>
      <c r="AX2300" s="140"/>
      <c r="BB2300" s="173"/>
      <c r="BC2300" s="173"/>
    </row>
    <row r="2301" spans="2:55" s="134" customFormat="1" x14ac:dyDescent="0.2">
      <c r="B2301" s="145"/>
      <c r="D2301" s="145"/>
      <c r="Z2301" s="177"/>
      <c r="AA2301" s="178"/>
      <c r="AB2301" s="139"/>
      <c r="AC2301" s="173"/>
      <c r="AD2301" s="177"/>
      <c r="AE2301" s="177"/>
      <c r="AF2301" s="139"/>
      <c r="AG2301" s="139"/>
      <c r="AH2301" s="177"/>
      <c r="AI2301" s="178"/>
      <c r="AJ2301" s="139"/>
      <c r="AK2301" s="173"/>
      <c r="AL2301" s="177"/>
      <c r="AM2301" s="178"/>
      <c r="AN2301" s="173"/>
      <c r="AO2301" s="173"/>
      <c r="AP2301" s="173"/>
      <c r="AQ2301" s="178"/>
      <c r="AR2301" s="173"/>
      <c r="AS2301" s="173"/>
      <c r="AT2301" s="140"/>
      <c r="AX2301" s="140"/>
      <c r="BB2301" s="173"/>
      <c r="BC2301" s="173"/>
    </row>
    <row r="2302" spans="2:55" s="134" customFormat="1" x14ac:dyDescent="0.2">
      <c r="B2302" s="145"/>
      <c r="D2302" s="145"/>
      <c r="Z2302" s="177"/>
      <c r="AA2302" s="178"/>
      <c r="AB2302" s="139"/>
      <c r="AC2302" s="173"/>
      <c r="AD2302" s="177"/>
      <c r="AE2302" s="177"/>
      <c r="AF2302" s="139"/>
      <c r="AG2302" s="139"/>
      <c r="AH2302" s="177"/>
      <c r="AI2302" s="178"/>
      <c r="AJ2302" s="139"/>
      <c r="AK2302" s="173"/>
      <c r="AL2302" s="177"/>
      <c r="AM2302" s="178"/>
      <c r="AN2302" s="173"/>
      <c r="AO2302" s="173"/>
      <c r="AP2302" s="173"/>
      <c r="AQ2302" s="178"/>
      <c r="AR2302" s="173"/>
      <c r="AS2302" s="173"/>
      <c r="AT2302" s="140"/>
      <c r="AX2302" s="140"/>
      <c r="BB2302" s="173"/>
      <c r="BC2302" s="173"/>
    </row>
    <row r="2303" spans="2:55" s="134" customFormat="1" x14ac:dyDescent="0.2">
      <c r="B2303" s="145"/>
      <c r="D2303" s="145"/>
      <c r="Z2303" s="177"/>
      <c r="AA2303" s="178"/>
      <c r="AB2303" s="139"/>
      <c r="AC2303" s="173"/>
      <c r="AD2303" s="177"/>
      <c r="AE2303" s="177"/>
      <c r="AF2303" s="139"/>
      <c r="AG2303" s="139"/>
      <c r="AH2303" s="177"/>
      <c r="AI2303" s="178"/>
      <c r="AJ2303" s="139"/>
      <c r="AK2303" s="173"/>
      <c r="AL2303" s="177"/>
      <c r="AM2303" s="178"/>
      <c r="AN2303" s="173"/>
      <c r="AO2303" s="173"/>
      <c r="AP2303" s="173"/>
      <c r="AQ2303" s="178"/>
      <c r="AR2303" s="173"/>
      <c r="AS2303" s="173"/>
      <c r="AT2303" s="140"/>
      <c r="AX2303" s="140"/>
      <c r="BB2303" s="173"/>
      <c r="BC2303" s="173"/>
    </row>
    <row r="2304" spans="2:55" s="134" customFormat="1" x14ac:dyDescent="0.2">
      <c r="B2304" s="145"/>
      <c r="D2304" s="145"/>
      <c r="Z2304" s="177"/>
      <c r="AA2304" s="178"/>
      <c r="AB2304" s="139"/>
      <c r="AC2304" s="173"/>
      <c r="AD2304" s="177"/>
      <c r="AE2304" s="177"/>
      <c r="AF2304" s="139"/>
      <c r="AG2304" s="139"/>
      <c r="AH2304" s="177"/>
      <c r="AI2304" s="178"/>
      <c r="AJ2304" s="139"/>
      <c r="AK2304" s="173"/>
      <c r="AL2304" s="177"/>
      <c r="AM2304" s="178"/>
      <c r="AN2304" s="173"/>
      <c r="AO2304" s="173"/>
      <c r="AP2304" s="173"/>
      <c r="AQ2304" s="178"/>
      <c r="AR2304" s="173"/>
      <c r="AS2304" s="173"/>
      <c r="AT2304" s="140"/>
      <c r="AX2304" s="140"/>
      <c r="BB2304" s="173"/>
      <c r="BC2304" s="173"/>
    </row>
    <row r="2305" spans="2:55" s="134" customFormat="1" x14ac:dyDescent="0.2">
      <c r="B2305" s="145"/>
      <c r="D2305" s="145"/>
      <c r="Z2305" s="177"/>
      <c r="AA2305" s="178"/>
      <c r="AB2305" s="139"/>
      <c r="AC2305" s="173"/>
      <c r="AD2305" s="177"/>
      <c r="AE2305" s="177"/>
      <c r="AF2305" s="139"/>
      <c r="AG2305" s="139"/>
      <c r="AH2305" s="177"/>
      <c r="AI2305" s="178"/>
      <c r="AJ2305" s="139"/>
      <c r="AK2305" s="173"/>
      <c r="AL2305" s="177"/>
      <c r="AM2305" s="178"/>
      <c r="AN2305" s="173"/>
      <c r="AO2305" s="173"/>
      <c r="AP2305" s="173"/>
      <c r="AQ2305" s="178"/>
      <c r="AR2305" s="173"/>
      <c r="AS2305" s="173"/>
      <c r="AT2305" s="140"/>
      <c r="AX2305" s="140"/>
      <c r="BB2305" s="173"/>
      <c r="BC2305" s="173"/>
    </row>
    <row r="2306" spans="2:55" s="134" customFormat="1" x14ac:dyDescent="0.2">
      <c r="B2306" s="145"/>
      <c r="D2306" s="145"/>
      <c r="Z2306" s="177"/>
      <c r="AA2306" s="178"/>
      <c r="AB2306" s="139"/>
      <c r="AC2306" s="173"/>
      <c r="AD2306" s="177"/>
      <c r="AE2306" s="177"/>
      <c r="AF2306" s="139"/>
      <c r="AG2306" s="139"/>
      <c r="AH2306" s="177"/>
      <c r="AI2306" s="178"/>
      <c r="AJ2306" s="139"/>
      <c r="AK2306" s="173"/>
      <c r="AL2306" s="177"/>
      <c r="AM2306" s="178"/>
      <c r="AN2306" s="173"/>
      <c r="AO2306" s="173"/>
      <c r="AP2306" s="173"/>
      <c r="AQ2306" s="178"/>
      <c r="AR2306" s="173"/>
      <c r="AS2306" s="173"/>
      <c r="AT2306" s="140"/>
      <c r="AX2306" s="140"/>
      <c r="BB2306" s="173"/>
      <c r="BC2306" s="173"/>
    </row>
    <row r="2307" spans="2:55" s="134" customFormat="1" x14ac:dyDescent="0.2">
      <c r="B2307" s="145"/>
      <c r="D2307" s="145"/>
      <c r="Z2307" s="177"/>
      <c r="AA2307" s="178"/>
      <c r="AB2307" s="139"/>
      <c r="AC2307" s="173"/>
      <c r="AD2307" s="177"/>
      <c r="AE2307" s="177"/>
      <c r="AF2307" s="139"/>
      <c r="AG2307" s="139"/>
      <c r="AH2307" s="177"/>
      <c r="AI2307" s="178"/>
      <c r="AJ2307" s="139"/>
      <c r="AK2307" s="173"/>
      <c r="AL2307" s="177"/>
      <c r="AM2307" s="178"/>
      <c r="AN2307" s="173"/>
      <c r="AO2307" s="173"/>
      <c r="AP2307" s="173"/>
      <c r="AQ2307" s="178"/>
      <c r="AR2307" s="173"/>
      <c r="AS2307" s="173"/>
      <c r="AT2307" s="140"/>
      <c r="AX2307" s="140"/>
      <c r="BB2307" s="173"/>
      <c r="BC2307" s="173"/>
    </row>
    <row r="2308" spans="2:55" s="134" customFormat="1" x14ac:dyDescent="0.2">
      <c r="B2308" s="145"/>
      <c r="D2308" s="145"/>
      <c r="Z2308" s="177"/>
      <c r="AA2308" s="178"/>
      <c r="AB2308" s="139"/>
      <c r="AC2308" s="173"/>
      <c r="AD2308" s="177"/>
      <c r="AE2308" s="177"/>
      <c r="AF2308" s="139"/>
      <c r="AG2308" s="139"/>
      <c r="AH2308" s="177"/>
      <c r="AI2308" s="178"/>
      <c r="AJ2308" s="139"/>
      <c r="AK2308" s="173"/>
      <c r="AL2308" s="177"/>
      <c r="AM2308" s="178"/>
      <c r="AN2308" s="173"/>
      <c r="AO2308" s="173"/>
      <c r="AP2308" s="173"/>
      <c r="AQ2308" s="178"/>
      <c r="AR2308" s="173"/>
      <c r="AS2308" s="173"/>
      <c r="AT2308" s="140"/>
      <c r="AX2308" s="140"/>
      <c r="BB2308" s="173"/>
      <c r="BC2308" s="173"/>
    </row>
    <row r="2309" spans="2:55" s="134" customFormat="1" x14ac:dyDescent="0.2">
      <c r="B2309" s="145"/>
      <c r="D2309" s="145"/>
      <c r="Z2309" s="177"/>
      <c r="AA2309" s="178"/>
      <c r="AB2309" s="139"/>
      <c r="AC2309" s="173"/>
      <c r="AD2309" s="177"/>
      <c r="AE2309" s="177"/>
      <c r="AF2309" s="139"/>
      <c r="AG2309" s="139"/>
      <c r="AH2309" s="177"/>
      <c r="AI2309" s="178"/>
      <c r="AJ2309" s="139"/>
      <c r="AK2309" s="173"/>
      <c r="AL2309" s="177"/>
      <c r="AM2309" s="178"/>
      <c r="AN2309" s="173"/>
      <c r="AO2309" s="173"/>
      <c r="AP2309" s="173"/>
      <c r="AQ2309" s="178"/>
      <c r="AR2309" s="173"/>
      <c r="AS2309" s="173"/>
      <c r="AT2309" s="140"/>
      <c r="AX2309" s="140"/>
      <c r="BB2309" s="173"/>
      <c r="BC2309" s="173"/>
    </row>
    <row r="2310" spans="2:55" s="134" customFormat="1" x14ac:dyDescent="0.2">
      <c r="B2310" s="145"/>
      <c r="D2310" s="145"/>
      <c r="Z2310" s="177"/>
      <c r="AA2310" s="178"/>
      <c r="AB2310" s="139"/>
      <c r="AC2310" s="173"/>
      <c r="AD2310" s="177"/>
      <c r="AE2310" s="177"/>
      <c r="AF2310" s="139"/>
      <c r="AG2310" s="139"/>
      <c r="AH2310" s="177"/>
      <c r="AI2310" s="178"/>
      <c r="AJ2310" s="139"/>
      <c r="AK2310" s="173"/>
      <c r="AL2310" s="177"/>
      <c r="AM2310" s="178"/>
      <c r="AN2310" s="173"/>
      <c r="AO2310" s="173"/>
      <c r="AP2310" s="173"/>
      <c r="AQ2310" s="178"/>
      <c r="AR2310" s="173"/>
      <c r="AS2310" s="173"/>
      <c r="AT2310" s="140"/>
      <c r="AX2310" s="140"/>
      <c r="BB2310" s="173"/>
      <c r="BC2310" s="173"/>
    </row>
    <row r="2311" spans="2:55" s="134" customFormat="1" x14ac:dyDescent="0.2">
      <c r="B2311" s="145"/>
      <c r="D2311" s="145"/>
      <c r="Z2311" s="177"/>
      <c r="AA2311" s="178"/>
      <c r="AB2311" s="139"/>
      <c r="AC2311" s="173"/>
      <c r="AD2311" s="177"/>
      <c r="AE2311" s="177"/>
      <c r="AF2311" s="139"/>
      <c r="AG2311" s="139"/>
      <c r="AH2311" s="177"/>
      <c r="AI2311" s="178"/>
      <c r="AJ2311" s="139"/>
      <c r="AK2311" s="173"/>
      <c r="AL2311" s="177"/>
      <c r="AM2311" s="178"/>
      <c r="AN2311" s="173"/>
      <c r="AO2311" s="173"/>
      <c r="AP2311" s="173"/>
      <c r="AQ2311" s="178"/>
      <c r="AR2311" s="173"/>
      <c r="AS2311" s="173"/>
      <c r="AT2311" s="140"/>
      <c r="AX2311" s="140"/>
      <c r="BB2311" s="173"/>
      <c r="BC2311" s="173"/>
    </row>
    <row r="2312" spans="2:55" s="134" customFormat="1" x14ac:dyDescent="0.2">
      <c r="B2312" s="145"/>
      <c r="D2312" s="145"/>
      <c r="Z2312" s="177"/>
      <c r="AA2312" s="178"/>
      <c r="AB2312" s="139"/>
      <c r="AC2312" s="173"/>
      <c r="AD2312" s="177"/>
      <c r="AE2312" s="177"/>
      <c r="AF2312" s="139"/>
      <c r="AG2312" s="139"/>
      <c r="AH2312" s="177"/>
      <c r="AI2312" s="178"/>
      <c r="AJ2312" s="139"/>
      <c r="AK2312" s="173"/>
      <c r="AL2312" s="177"/>
      <c r="AM2312" s="178"/>
      <c r="AN2312" s="173"/>
      <c r="AO2312" s="173"/>
      <c r="AP2312" s="173"/>
      <c r="AQ2312" s="178"/>
      <c r="AR2312" s="173"/>
      <c r="AS2312" s="173"/>
      <c r="AT2312" s="140"/>
      <c r="AX2312" s="140"/>
      <c r="BB2312" s="173"/>
      <c r="BC2312" s="173"/>
    </row>
    <row r="2313" spans="2:55" s="134" customFormat="1" x14ac:dyDescent="0.2">
      <c r="B2313" s="145"/>
      <c r="D2313" s="145"/>
      <c r="Z2313" s="177"/>
      <c r="AA2313" s="178"/>
      <c r="AB2313" s="139"/>
      <c r="AC2313" s="173"/>
      <c r="AD2313" s="177"/>
      <c r="AE2313" s="177"/>
      <c r="AF2313" s="139"/>
      <c r="AG2313" s="139"/>
      <c r="AH2313" s="177"/>
      <c r="AI2313" s="178"/>
      <c r="AJ2313" s="139"/>
      <c r="AK2313" s="173"/>
      <c r="AL2313" s="177"/>
      <c r="AM2313" s="178"/>
      <c r="AN2313" s="173"/>
      <c r="AO2313" s="173"/>
      <c r="AP2313" s="173"/>
      <c r="AQ2313" s="178"/>
      <c r="AR2313" s="173"/>
      <c r="AS2313" s="173"/>
      <c r="AT2313" s="140"/>
      <c r="AX2313" s="140"/>
      <c r="BB2313" s="173"/>
      <c r="BC2313" s="173"/>
    </row>
    <row r="2314" spans="2:55" s="134" customFormat="1" x14ac:dyDescent="0.2">
      <c r="B2314" s="145"/>
      <c r="D2314" s="145"/>
      <c r="Z2314" s="177"/>
      <c r="AA2314" s="178"/>
      <c r="AB2314" s="139"/>
      <c r="AC2314" s="173"/>
      <c r="AD2314" s="177"/>
      <c r="AE2314" s="177"/>
      <c r="AF2314" s="139"/>
      <c r="AG2314" s="139"/>
      <c r="AH2314" s="177"/>
      <c r="AI2314" s="178"/>
      <c r="AJ2314" s="139"/>
      <c r="AK2314" s="173"/>
      <c r="AL2314" s="177"/>
      <c r="AM2314" s="178"/>
      <c r="AN2314" s="173"/>
      <c r="AO2314" s="173"/>
      <c r="AP2314" s="173"/>
      <c r="AQ2314" s="178"/>
      <c r="AR2314" s="173"/>
      <c r="AS2314" s="173"/>
      <c r="AT2314" s="140"/>
      <c r="AX2314" s="140"/>
      <c r="BB2314" s="173"/>
      <c r="BC2314" s="173"/>
    </row>
    <row r="2315" spans="2:55" s="134" customFormat="1" x14ac:dyDescent="0.2">
      <c r="B2315" s="145"/>
      <c r="D2315" s="145"/>
      <c r="Z2315" s="177"/>
      <c r="AA2315" s="178"/>
      <c r="AB2315" s="139"/>
      <c r="AC2315" s="173"/>
      <c r="AD2315" s="177"/>
      <c r="AE2315" s="177"/>
      <c r="AF2315" s="139"/>
      <c r="AG2315" s="139"/>
      <c r="AH2315" s="177"/>
      <c r="AI2315" s="178"/>
      <c r="AJ2315" s="139"/>
      <c r="AK2315" s="173"/>
      <c r="AL2315" s="177"/>
      <c r="AM2315" s="178"/>
      <c r="AN2315" s="173"/>
      <c r="AO2315" s="173"/>
      <c r="AP2315" s="173"/>
      <c r="AQ2315" s="178"/>
      <c r="AR2315" s="173"/>
      <c r="AS2315" s="173"/>
      <c r="AT2315" s="140"/>
      <c r="AX2315" s="140"/>
      <c r="BB2315" s="173"/>
      <c r="BC2315" s="173"/>
    </row>
    <row r="2316" spans="2:55" s="134" customFormat="1" x14ac:dyDescent="0.2">
      <c r="B2316" s="145"/>
      <c r="D2316" s="145"/>
      <c r="Z2316" s="177"/>
      <c r="AA2316" s="178"/>
      <c r="AB2316" s="139"/>
      <c r="AC2316" s="173"/>
      <c r="AD2316" s="177"/>
      <c r="AE2316" s="177"/>
      <c r="AF2316" s="139"/>
      <c r="AG2316" s="139"/>
      <c r="AH2316" s="177"/>
      <c r="AI2316" s="178"/>
      <c r="AJ2316" s="139"/>
      <c r="AK2316" s="173"/>
      <c r="AL2316" s="177"/>
      <c r="AM2316" s="178"/>
      <c r="AN2316" s="173"/>
      <c r="AO2316" s="173"/>
      <c r="AP2316" s="173"/>
      <c r="AQ2316" s="178"/>
      <c r="AR2316" s="173"/>
      <c r="AS2316" s="173"/>
      <c r="AT2316" s="140"/>
      <c r="AX2316" s="140"/>
      <c r="BB2316" s="173"/>
      <c r="BC2316" s="173"/>
    </row>
    <row r="2317" spans="2:55" s="134" customFormat="1" x14ac:dyDescent="0.2">
      <c r="B2317" s="145"/>
      <c r="D2317" s="145"/>
      <c r="Z2317" s="177"/>
      <c r="AA2317" s="178"/>
      <c r="AB2317" s="139"/>
      <c r="AC2317" s="173"/>
      <c r="AD2317" s="177"/>
      <c r="AE2317" s="177"/>
      <c r="AF2317" s="139"/>
      <c r="AG2317" s="139"/>
      <c r="AH2317" s="177"/>
      <c r="AI2317" s="178"/>
      <c r="AJ2317" s="139"/>
      <c r="AK2317" s="173"/>
      <c r="AL2317" s="177"/>
      <c r="AM2317" s="178"/>
      <c r="AN2317" s="173"/>
      <c r="AO2317" s="173"/>
      <c r="AP2317" s="173"/>
      <c r="AQ2317" s="178"/>
      <c r="AR2317" s="173"/>
      <c r="AS2317" s="173"/>
      <c r="AT2317" s="140"/>
      <c r="AX2317" s="140"/>
      <c r="BB2317" s="173"/>
      <c r="BC2317" s="173"/>
    </row>
    <row r="2318" spans="2:55" s="134" customFormat="1" x14ac:dyDescent="0.2">
      <c r="B2318" s="145"/>
      <c r="D2318" s="145"/>
      <c r="Z2318" s="177"/>
      <c r="AA2318" s="178"/>
      <c r="AB2318" s="139"/>
      <c r="AC2318" s="173"/>
      <c r="AD2318" s="177"/>
      <c r="AE2318" s="177"/>
      <c r="AF2318" s="139"/>
      <c r="AG2318" s="139"/>
      <c r="AH2318" s="177"/>
      <c r="AI2318" s="178"/>
      <c r="AJ2318" s="139"/>
      <c r="AK2318" s="173"/>
      <c r="AL2318" s="177"/>
      <c r="AM2318" s="178"/>
      <c r="AN2318" s="173"/>
      <c r="AO2318" s="173"/>
      <c r="AP2318" s="173"/>
      <c r="AQ2318" s="178"/>
      <c r="AR2318" s="173"/>
      <c r="AS2318" s="173"/>
      <c r="AT2318" s="140"/>
      <c r="AX2318" s="140"/>
      <c r="BB2318" s="173"/>
      <c r="BC2318" s="173"/>
    </row>
    <row r="2319" spans="2:55" s="134" customFormat="1" x14ac:dyDescent="0.2">
      <c r="B2319" s="145"/>
      <c r="D2319" s="145"/>
      <c r="Z2319" s="177"/>
      <c r="AA2319" s="178"/>
      <c r="AB2319" s="139"/>
      <c r="AC2319" s="173"/>
      <c r="AD2319" s="177"/>
      <c r="AE2319" s="177"/>
      <c r="AF2319" s="139"/>
      <c r="AG2319" s="139"/>
      <c r="AH2319" s="177"/>
      <c r="AI2319" s="178"/>
      <c r="AJ2319" s="139"/>
      <c r="AK2319" s="173"/>
      <c r="AL2319" s="177"/>
      <c r="AM2319" s="178"/>
      <c r="AN2319" s="173"/>
      <c r="AO2319" s="173"/>
      <c r="AP2319" s="173"/>
      <c r="AQ2319" s="178"/>
      <c r="AR2319" s="173"/>
      <c r="AS2319" s="173"/>
      <c r="AT2319" s="140"/>
      <c r="AX2319" s="140"/>
      <c r="BB2319" s="173"/>
      <c r="BC2319" s="173"/>
    </row>
    <row r="2320" spans="2:55" s="134" customFormat="1" x14ac:dyDescent="0.2">
      <c r="B2320" s="145"/>
      <c r="D2320" s="145"/>
      <c r="Z2320" s="177"/>
      <c r="AA2320" s="178"/>
      <c r="AB2320" s="139"/>
      <c r="AC2320" s="173"/>
      <c r="AD2320" s="177"/>
      <c r="AE2320" s="177"/>
      <c r="AF2320" s="139"/>
      <c r="AG2320" s="139"/>
      <c r="AH2320" s="177"/>
      <c r="AI2320" s="178"/>
      <c r="AJ2320" s="139"/>
      <c r="AK2320" s="173"/>
      <c r="AL2320" s="177"/>
      <c r="AM2320" s="178"/>
      <c r="AN2320" s="173"/>
      <c r="AO2320" s="173"/>
      <c r="AP2320" s="173"/>
      <c r="AQ2320" s="178"/>
      <c r="AR2320" s="173"/>
      <c r="AS2320" s="173"/>
      <c r="AT2320" s="140"/>
      <c r="AX2320" s="140"/>
      <c r="BB2320" s="173"/>
      <c r="BC2320" s="173"/>
    </row>
    <row r="2321" spans="2:55" s="134" customFormat="1" x14ac:dyDescent="0.2">
      <c r="B2321" s="145"/>
      <c r="D2321" s="145"/>
      <c r="Z2321" s="177"/>
      <c r="AA2321" s="178"/>
      <c r="AB2321" s="139"/>
      <c r="AC2321" s="173"/>
      <c r="AD2321" s="177"/>
      <c r="AE2321" s="177"/>
      <c r="AF2321" s="139"/>
      <c r="AG2321" s="139"/>
      <c r="AH2321" s="177"/>
      <c r="AI2321" s="178"/>
      <c r="AJ2321" s="139"/>
      <c r="AK2321" s="173"/>
      <c r="AL2321" s="177"/>
      <c r="AM2321" s="178"/>
      <c r="AN2321" s="173"/>
      <c r="AO2321" s="173"/>
      <c r="AP2321" s="173"/>
      <c r="AQ2321" s="178"/>
      <c r="AR2321" s="173"/>
      <c r="AS2321" s="173"/>
      <c r="AT2321" s="140"/>
      <c r="AX2321" s="140"/>
      <c r="BB2321" s="173"/>
      <c r="BC2321" s="173"/>
    </row>
    <row r="2322" spans="2:55" s="134" customFormat="1" x14ac:dyDescent="0.2">
      <c r="B2322" s="145"/>
      <c r="D2322" s="145"/>
      <c r="Z2322" s="177"/>
      <c r="AA2322" s="178"/>
      <c r="AB2322" s="139"/>
      <c r="AC2322" s="173"/>
      <c r="AD2322" s="177"/>
      <c r="AE2322" s="177"/>
      <c r="AF2322" s="139"/>
      <c r="AG2322" s="139"/>
      <c r="AH2322" s="177"/>
      <c r="AI2322" s="178"/>
      <c r="AJ2322" s="139"/>
      <c r="AK2322" s="173"/>
      <c r="AL2322" s="177"/>
      <c r="AM2322" s="178"/>
      <c r="AN2322" s="173"/>
      <c r="AO2322" s="173"/>
      <c r="AP2322" s="173"/>
      <c r="AQ2322" s="178"/>
      <c r="AR2322" s="173"/>
      <c r="AS2322" s="173"/>
      <c r="AT2322" s="140"/>
      <c r="AX2322" s="140"/>
      <c r="BB2322" s="173"/>
      <c r="BC2322" s="173"/>
    </row>
    <row r="2323" spans="2:55" s="134" customFormat="1" x14ac:dyDescent="0.2">
      <c r="B2323" s="145"/>
      <c r="D2323" s="145"/>
      <c r="Z2323" s="177"/>
      <c r="AA2323" s="178"/>
      <c r="AB2323" s="139"/>
      <c r="AC2323" s="173"/>
      <c r="AD2323" s="177"/>
      <c r="AE2323" s="177"/>
      <c r="AF2323" s="139"/>
      <c r="AG2323" s="139"/>
      <c r="AH2323" s="177"/>
      <c r="AI2323" s="178"/>
      <c r="AJ2323" s="139"/>
      <c r="AK2323" s="173"/>
      <c r="AL2323" s="177"/>
      <c r="AM2323" s="178"/>
      <c r="AN2323" s="173"/>
      <c r="AO2323" s="173"/>
      <c r="AP2323" s="173"/>
      <c r="AQ2323" s="178"/>
      <c r="AR2323" s="173"/>
      <c r="AS2323" s="173"/>
      <c r="AT2323" s="140"/>
      <c r="AX2323" s="140"/>
      <c r="BB2323" s="173"/>
      <c r="BC2323" s="173"/>
    </row>
    <row r="2324" spans="2:55" s="134" customFormat="1" x14ac:dyDescent="0.2">
      <c r="B2324" s="145"/>
      <c r="D2324" s="145"/>
      <c r="Z2324" s="177"/>
      <c r="AA2324" s="178"/>
      <c r="AB2324" s="139"/>
      <c r="AC2324" s="173"/>
      <c r="AD2324" s="177"/>
      <c r="AE2324" s="177"/>
      <c r="AF2324" s="139"/>
      <c r="AG2324" s="139"/>
      <c r="AH2324" s="177"/>
      <c r="AI2324" s="178"/>
      <c r="AJ2324" s="139"/>
      <c r="AK2324" s="173"/>
      <c r="AL2324" s="177"/>
      <c r="AM2324" s="178"/>
      <c r="AN2324" s="173"/>
      <c r="AO2324" s="173"/>
      <c r="AP2324" s="173"/>
      <c r="AQ2324" s="178"/>
      <c r="AR2324" s="173"/>
      <c r="AS2324" s="173"/>
      <c r="AT2324" s="140"/>
      <c r="AX2324" s="140"/>
      <c r="BB2324" s="173"/>
      <c r="BC2324" s="173"/>
    </row>
    <row r="2325" spans="2:55" s="134" customFormat="1" x14ac:dyDescent="0.2">
      <c r="B2325" s="145"/>
      <c r="D2325" s="145"/>
      <c r="Z2325" s="177"/>
      <c r="AA2325" s="178"/>
      <c r="AB2325" s="139"/>
      <c r="AC2325" s="173"/>
      <c r="AD2325" s="177"/>
      <c r="AE2325" s="177"/>
      <c r="AF2325" s="139"/>
      <c r="AG2325" s="139"/>
      <c r="AH2325" s="177"/>
      <c r="AI2325" s="178"/>
      <c r="AJ2325" s="139"/>
      <c r="AK2325" s="173"/>
      <c r="AL2325" s="177"/>
      <c r="AM2325" s="178"/>
      <c r="AN2325" s="173"/>
      <c r="AO2325" s="173"/>
      <c r="AP2325" s="173"/>
      <c r="AQ2325" s="178"/>
      <c r="AR2325" s="173"/>
      <c r="AS2325" s="173"/>
      <c r="AT2325" s="140"/>
      <c r="AX2325" s="140"/>
      <c r="BB2325" s="173"/>
      <c r="BC2325" s="173"/>
    </row>
    <row r="2326" spans="2:55" s="134" customFormat="1" x14ac:dyDescent="0.2">
      <c r="B2326" s="145"/>
      <c r="D2326" s="145"/>
      <c r="Z2326" s="177"/>
      <c r="AA2326" s="178"/>
      <c r="AB2326" s="139"/>
      <c r="AC2326" s="173"/>
      <c r="AD2326" s="177"/>
      <c r="AE2326" s="177"/>
      <c r="AF2326" s="139"/>
      <c r="AG2326" s="139"/>
      <c r="AH2326" s="177"/>
      <c r="AI2326" s="178"/>
      <c r="AJ2326" s="139"/>
      <c r="AK2326" s="173"/>
      <c r="AL2326" s="177"/>
      <c r="AM2326" s="178"/>
      <c r="AN2326" s="173"/>
      <c r="AO2326" s="173"/>
      <c r="AP2326" s="173"/>
      <c r="AQ2326" s="178"/>
      <c r="AR2326" s="173"/>
      <c r="AS2326" s="173"/>
      <c r="AT2326" s="140"/>
      <c r="AX2326" s="140"/>
      <c r="BB2326" s="173"/>
      <c r="BC2326" s="173"/>
    </row>
    <row r="2327" spans="2:55" s="134" customFormat="1" x14ac:dyDescent="0.2">
      <c r="B2327" s="145"/>
      <c r="D2327" s="145"/>
      <c r="Z2327" s="177"/>
      <c r="AA2327" s="178"/>
      <c r="AB2327" s="139"/>
      <c r="AC2327" s="173"/>
      <c r="AD2327" s="177"/>
      <c r="AE2327" s="177"/>
      <c r="AF2327" s="139"/>
      <c r="AG2327" s="139"/>
      <c r="AH2327" s="177"/>
      <c r="AI2327" s="178"/>
      <c r="AJ2327" s="139"/>
      <c r="AK2327" s="173"/>
      <c r="AL2327" s="177"/>
      <c r="AM2327" s="178"/>
      <c r="AN2327" s="173"/>
      <c r="AO2327" s="173"/>
      <c r="AP2327" s="173"/>
      <c r="AQ2327" s="178"/>
      <c r="AR2327" s="173"/>
      <c r="AS2327" s="173"/>
      <c r="AT2327" s="140"/>
      <c r="AX2327" s="140"/>
      <c r="BB2327" s="173"/>
      <c r="BC2327" s="173"/>
    </row>
    <row r="2328" spans="2:55" s="134" customFormat="1" x14ac:dyDescent="0.2">
      <c r="B2328" s="145"/>
      <c r="D2328" s="145"/>
      <c r="Z2328" s="177"/>
      <c r="AA2328" s="178"/>
      <c r="AB2328" s="139"/>
      <c r="AC2328" s="173"/>
      <c r="AD2328" s="177"/>
      <c r="AE2328" s="177"/>
      <c r="AF2328" s="139"/>
      <c r="AG2328" s="139"/>
      <c r="AH2328" s="177"/>
      <c r="AI2328" s="178"/>
      <c r="AJ2328" s="139"/>
      <c r="AK2328" s="173"/>
      <c r="AL2328" s="177"/>
      <c r="AM2328" s="178"/>
      <c r="AN2328" s="173"/>
      <c r="AO2328" s="173"/>
      <c r="AP2328" s="173"/>
      <c r="AQ2328" s="178"/>
      <c r="AR2328" s="173"/>
      <c r="AS2328" s="173"/>
      <c r="AT2328" s="140"/>
      <c r="AX2328" s="140"/>
      <c r="BB2328" s="173"/>
      <c r="BC2328" s="173"/>
    </row>
    <row r="2329" spans="2:55" s="134" customFormat="1" x14ac:dyDescent="0.2">
      <c r="B2329" s="145"/>
      <c r="D2329" s="145"/>
      <c r="Z2329" s="177"/>
      <c r="AA2329" s="178"/>
      <c r="AB2329" s="139"/>
      <c r="AC2329" s="173"/>
      <c r="AD2329" s="177"/>
      <c r="AE2329" s="177"/>
      <c r="AF2329" s="139"/>
      <c r="AG2329" s="139"/>
      <c r="AH2329" s="177"/>
      <c r="AI2329" s="178"/>
      <c r="AJ2329" s="139"/>
      <c r="AK2329" s="173"/>
      <c r="AL2329" s="177"/>
      <c r="AM2329" s="178"/>
      <c r="AN2329" s="173"/>
      <c r="AO2329" s="173"/>
      <c r="AP2329" s="173"/>
      <c r="AQ2329" s="178"/>
      <c r="AR2329" s="173"/>
      <c r="AS2329" s="173"/>
      <c r="AT2329" s="140"/>
      <c r="AX2329" s="140"/>
      <c r="BB2329" s="173"/>
      <c r="BC2329" s="173"/>
    </row>
    <row r="2330" spans="2:55" s="134" customFormat="1" x14ac:dyDescent="0.2">
      <c r="B2330" s="145"/>
      <c r="D2330" s="145"/>
      <c r="Z2330" s="177"/>
      <c r="AA2330" s="178"/>
      <c r="AB2330" s="139"/>
      <c r="AC2330" s="173"/>
      <c r="AD2330" s="177"/>
      <c r="AE2330" s="177"/>
      <c r="AF2330" s="139"/>
      <c r="AG2330" s="139"/>
      <c r="AH2330" s="177"/>
      <c r="AI2330" s="178"/>
      <c r="AJ2330" s="139"/>
      <c r="AK2330" s="173"/>
      <c r="AL2330" s="177"/>
      <c r="AM2330" s="178"/>
      <c r="AN2330" s="173"/>
      <c r="AO2330" s="173"/>
      <c r="AP2330" s="173"/>
      <c r="AQ2330" s="178"/>
      <c r="AR2330" s="173"/>
      <c r="AS2330" s="173"/>
      <c r="AT2330" s="140"/>
      <c r="AX2330" s="140"/>
      <c r="BB2330" s="173"/>
      <c r="BC2330" s="173"/>
    </row>
    <row r="2331" spans="2:55" s="134" customFormat="1" x14ac:dyDescent="0.2">
      <c r="B2331" s="145"/>
      <c r="D2331" s="145"/>
      <c r="Z2331" s="177"/>
      <c r="AA2331" s="178"/>
      <c r="AB2331" s="139"/>
      <c r="AC2331" s="173"/>
      <c r="AD2331" s="177"/>
      <c r="AE2331" s="177"/>
      <c r="AF2331" s="139"/>
      <c r="AG2331" s="139"/>
      <c r="AH2331" s="177"/>
      <c r="AI2331" s="178"/>
      <c r="AJ2331" s="139"/>
      <c r="AK2331" s="173"/>
      <c r="AL2331" s="177"/>
      <c r="AM2331" s="178"/>
      <c r="AN2331" s="173"/>
      <c r="AO2331" s="173"/>
      <c r="AP2331" s="173"/>
      <c r="AQ2331" s="178"/>
      <c r="AR2331" s="173"/>
      <c r="AS2331" s="173"/>
      <c r="AT2331" s="140"/>
      <c r="AX2331" s="140"/>
      <c r="BB2331" s="173"/>
      <c r="BC2331" s="173"/>
    </row>
    <row r="2332" spans="2:55" s="134" customFormat="1" x14ac:dyDescent="0.2">
      <c r="B2332" s="145"/>
      <c r="D2332" s="145"/>
      <c r="Z2332" s="177"/>
      <c r="AA2332" s="178"/>
      <c r="AB2332" s="139"/>
      <c r="AC2332" s="173"/>
      <c r="AD2332" s="177"/>
      <c r="AE2332" s="177"/>
      <c r="AF2332" s="139"/>
      <c r="AG2332" s="139"/>
      <c r="AH2332" s="177"/>
      <c r="AI2332" s="178"/>
      <c r="AJ2332" s="139"/>
      <c r="AK2332" s="173"/>
      <c r="AL2332" s="177"/>
      <c r="AM2332" s="178"/>
      <c r="AN2332" s="173"/>
      <c r="AO2332" s="173"/>
      <c r="AP2332" s="173"/>
      <c r="AQ2332" s="178"/>
      <c r="AR2332" s="173"/>
      <c r="AS2332" s="173"/>
      <c r="AT2332" s="140"/>
      <c r="AX2332" s="140"/>
      <c r="BB2332" s="173"/>
      <c r="BC2332" s="173"/>
    </row>
    <row r="2333" spans="2:55" s="134" customFormat="1" x14ac:dyDescent="0.2">
      <c r="B2333" s="145"/>
      <c r="D2333" s="145"/>
      <c r="Z2333" s="177"/>
      <c r="AA2333" s="178"/>
      <c r="AB2333" s="139"/>
      <c r="AC2333" s="173"/>
      <c r="AD2333" s="177"/>
      <c r="AE2333" s="177"/>
      <c r="AF2333" s="139"/>
      <c r="AG2333" s="139"/>
      <c r="AH2333" s="177"/>
      <c r="AI2333" s="178"/>
      <c r="AJ2333" s="139"/>
      <c r="AK2333" s="173"/>
      <c r="AL2333" s="177"/>
      <c r="AM2333" s="178"/>
      <c r="AN2333" s="173"/>
      <c r="AO2333" s="173"/>
      <c r="AP2333" s="173"/>
      <c r="AQ2333" s="178"/>
      <c r="AR2333" s="173"/>
      <c r="AS2333" s="173"/>
      <c r="AT2333" s="140"/>
      <c r="AX2333" s="140"/>
      <c r="BB2333" s="173"/>
      <c r="BC2333" s="173"/>
    </row>
    <row r="2334" spans="2:55" s="134" customFormat="1" x14ac:dyDescent="0.2">
      <c r="B2334" s="145"/>
      <c r="D2334" s="145"/>
      <c r="Z2334" s="177"/>
      <c r="AA2334" s="178"/>
      <c r="AB2334" s="139"/>
      <c r="AC2334" s="173"/>
      <c r="AD2334" s="177"/>
      <c r="AE2334" s="177"/>
      <c r="AF2334" s="139"/>
      <c r="AG2334" s="139"/>
      <c r="AH2334" s="177"/>
      <c r="AI2334" s="178"/>
      <c r="AJ2334" s="139"/>
      <c r="AK2334" s="173"/>
      <c r="AL2334" s="177"/>
      <c r="AM2334" s="178"/>
      <c r="AN2334" s="173"/>
      <c r="AO2334" s="173"/>
      <c r="AP2334" s="173"/>
      <c r="AQ2334" s="178"/>
      <c r="AR2334" s="173"/>
      <c r="AS2334" s="173"/>
      <c r="AT2334" s="140"/>
      <c r="AX2334" s="140"/>
      <c r="BB2334" s="173"/>
      <c r="BC2334" s="173"/>
    </row>
    <row r="2335" spans="2:55" s="134" customFormat="1" x14ac:dyDescent="0.2">
      <c r="B2335" s="145"/>
      <c r="D2335" s="145"/>
      <c r="Z2335" s="177"/>
      <c r="AA2335" s="178"/>
      <c r="AB2335" s="139"/>
      <c r="AC2335" s="173"/>
      <c r="AD2335" s="177"/>
      <c r="AE2335" s="177"/>
      <c r="AF2335" s="139"/>
      <c r="AG2335" s="139"/>
      <c r="AH2335" s="177"/>
      <c r="AI2335" s="178"/>
      <c r="AJ2335" s="139"/>
      <c r="AK2335" s="173"/>
      <c r="AL2335" s="177"/>
      <c r="AM2335" s="178"/>
      <c r="AN2335" s="173"/>
      <c r="AO2335" s="173"/>
      <c r="AP2335" s="173"/>
      <c r="AQ2335" s="178"/>
      <c r="AR2335" s="173"/>
      <c r="AS2335" s="173"/>
      <c r="AT2335" s="140"/>
      <c r="AX2335" s="140"/>
      <c r="BB2335" s="173"/>
      <c r="BC2335" s="173"/>
    </row>
    <row r="2336" spans="2:55" s="134" customFormat="1" x14ac:dyDescent="0.2">
      <c r="B2336" s="145"/>
      <c r="D2336" s="145"/>
      <c r="Z2336" s="177"/>
      <c r="AA2336" s="178"/>
      <c r="AB2336" s="139"/>
      <c r="AC2336" s="173"/>
      <c r="AD2336" s="177"/>
      <c r="AE2336" s="177"/>
      <c r="AF2336" s="139"/>
      <c r="AG2336" s="139"/>
      <c r="AH2336" s="177"/>
      <c r="AI2336" s="178"/>
      <c r="AJ2336" s="139"/>
      <c r="AK2336" s="173"/>
      <c r="AL2336" s="177"/>
      <c r="AM2336" s="178"/>
      <c r="AN2336" s="173"/>
      <c r="AO2336" s="173"/>
      <c r="AP2336" s="173"/>
      <c r="AQ2336" s="178"/>
      <c r="AR2336" s="173"/>
      <c r="AS2336" s="173"/>
      <c r="AT2336" s="140"/>
      <c r="AX2336" s="140"/>
      <c r="BB2336" s="173"/>
      <c r="BC2336" s="173"/>
    </row>
    <row r="2337" spans="2:55" s="134" customFormat="1" x14ac:dyDescent="0.2">
      <c r="B2337" s="145"/>
      <c r="D2337" s="145"/>
      <c r="Z2337" s="177"/>
      <c r="AA2337" s="178"/>
      <c r="AB2337" s="139"/>
      <c r="AC2337" s="173"/>
      <c r="AD2337" s="177"/>
      <c r="AE2337" s="177"/>
      <c r="AF2337" s="139"/>
      <c r="AG2337" s="139"/>
      <c r="AH2337" s="177"/>
      <c r="AI2337" s="178"/>
      <c r="AJ2337" s="139"/>
      <c r="AK2337" s="173"/>
      <c r="AL2337" s="177"/>
      <c r="AM2337" s="178"/>
      <c r="AN2337" s="173"/>
      <c r="AO2337" s="173"/>
      <c r="AP2337" s="173"/>
      <c r="AQ2337" s="178"/>
      <c r="AR2337" s="173"/>
      <c r="AS2337" s="173"/>
      <c r="AT2337" s="140"/>
      <c r="AX2337" s="140"/>
      <c r="BB2337" s="173"/>
      <c r="BC2337" s="173"/>
    </row>
    <row r="2338" spans="2:55" s="134" customFormat="1" x14ac:dyDescent="0.2">
      <c r="B2338" s="145"/>
      <c r="D2338" s="145"/>
      <c r="Z2338" s="177"/>
      <c r="AA2338" s="178"/>
      <c r="AB2338" s="139"/>
      <c r="AC2338" s="173"/>
      <c r="AD2338" s="177"/>
      <c r="AE2338" s="177"/>
      <c r="AF2338" s="139"/>
      <c r="AG2338" s="139"/>
      <c r="AH2338" s="177"/>
      <c r="AI2338" s="178"/>
      <c r="AJ2338" s="139"/>
      <c r="AK2338" s="173"/>
      <c r="AL2338" s="177"/>
      <c r="AM2338" s="178"/>
      <c r="AN2338" s="173"/>
      <c r="AO2338" s="173"/>
      <c r="AP2338" s="173"/>
      <c r="AQ2338" s="178"/>
      <c r="AR2338" s="173"/>
      <c r="AS2338" s="173"/>
      <c r="AT2338" s="140"/>
      <c r="AX2338" s="140"/>
      <c r="BB2338" s="173"/>
      <c r="BC2338" s="173"/>
    </row>
    <row r="2339" spans="2:55" s="134" customFormat="1" x14ac:dyDescent="0.2">
      <c r="B2339" s="145"/>
      <c r="D2339" s="145"/>
      <c r="Z2339" s="177"/>
      <c r="AA2339" s="178"/>
      <c r="AB2339" s="139"/>
      <c r="AC2339" s="173"/>
      <c r="AD2339" s="177"/>
      <c r="AE2339" s="177"/>
      <c r="AF2339" s="139"/>
      <c r="AG2339" s="139"/>
      <c r="AH2339" s="177"/>
      <c r="AI2339" s="178"/>
      <c r="AJ2339" s="139"/>
      <c r="AK2339" s="173"/>
      <c r="AL2339" s="177"/>
      <c r="AM2339" s="178"/>
      <c r="AN2339" s="173"/>
      <c r="AO2339" s="173"/>
      <c r="AP2339" s="173"/>
      <c r="AQ2339" s="178"/>
      <c r="AR2339" s="173"/>
      <c r="AS2339" s="173"/>
      <c r="AT2339" s="140"/>
      <c r="AX2339" s="140"/>
      <c r="BB2339" s="173"/>
      <c r="BC2339" s="173"/>
    </row>
    <row r="2340" spans="2:55" s="134" customFormat="1" x14ac:dyDescent="0.2">
      <c r="B2340" s="145"/>
      <c r="D2340" s="145"/>
      <c r="Z2340" s="177"/>
      <c r="AA2340" s="178"/>
      <c r="AB2340" s="139"/>
      <c r="AC2340" s="173"/>
      <c r="AD2340" s="177"/>
      <c r="AE2340" s="177"/>
      <c r="AF2340" s="139"/>
      <c r="AG2340" s="139"/>
      <c r="AH2340" s="177"/>
      <c r="AI2340" s="178"/>
      <c r="AJ2340" s="139"/>
      <c r="AK2340" s="173"/>
      <c r="AL2340" s="177"/>
      <c r="AM2340" s="178"/>
      <c r="AN2340" s="173"/>
      <c r="AO2340" s="173"/>
      <c r="AP2340" s="173"/>
      <c r="AQ2340" s="178"/>
      <c r="AR2340" s="173"/>
      <c r="AS2340" s="173"/>
      <c r="AT2340" s="140"/>
      <c r="AX2340" s="140"/>
      <c r="BB2340" s="173"/>
      <c r="BC2340" s="173"/>
    </row>
    <row r="2341" spans="2:55" s="134" customFormat="1" x14ac:dyDescent="0.2">
      <c r="B2341" s="145"/>
      <c r="D2341" s="145"/>
      <c r="Z2341" s="177"/>
      <c r="AA2341" s="178"/>
      <c r="AB2341" s="139"/>
      <c r="AC2341" s="173"/>
      <c r="AD2341" s="177"/>
      <c r="AE2341" s="177"/>
      <c r="AF2341" s="139"/>
      <c r="AG2341" s="139"/>
      <c r="AH2341" s="177"/>
      <c r="AI2341" s="178"/>
      <c r="AJ2341" s="139"/>
      <c r="AK2341" s="173"/>
      <c r="AL2341" s="177"/>
      <c r="AM2341" s="178"/>
      <c r="AN2341" s="173"/>
      <c r="AO2341" s="173"/>
      <c r="AP2341" s="173"/>
      <c r="AQ2341" s="178"/>
      <c r="AR2341" s="173"/>
      <c r="AS2341" s="173"/>
      <c r="AT2341" s="140"/>
      <c r="AX2341" s="140"/>
      <c r="BB2341" s="173"/>
      <c r="BC2341" s="173"/>
    </row>
    <row r="2342" spans="2:55" s="134" customFormat="1" x14ac:dyDescent="0.2">
      <c r="B2342" s="145"/>
      <c r="D2342" s="145"/>
      <c r="Z2342" s="177"/>
      <c r="AA2342" s="178"/>
      <c r="AB2342" s="139"/>
      <c r="AC2342" s="173"/>
      <c r="AD2342" s="177"/>
      <c r="AE2342" s="177"/>
      <c r="AF2342" s="139"/>
      <c r="AG2342" s="139"/>
      <c r="AH2342" s="177"/>
      <c r="AI2342" s="178"/>
      <c r="AJ2342" s="139"/>
      <c r="AK2342" s="173"/>
      <c r="AL2342" s="177"/>
      <c r="AM2342" s="178"/>
      <c r="AN2342" s="173"/>
      <c r="AO2342" s="173"/>
      <c r="AP2342" s="173"/>
      <c r="AQ2342" s="178"/>
      <c r="AR2342" s="173"/>
      <c r="AS2342" s="173"/>
      <c r="AT2342" s="140"/>
      <c r="AX2342" s="140"/>
      <c r="BB2342" s="173"/>
      <c r="BC2342" s="173"/>
    </row>
    <row r="2343" spans="2:55" s="134" customFormat="1" x14ac:dyDescent="0.2">
      <c r="B2343" s="145"/>
      <c r="D2343" s="145"/>
      <c r="Z2343" s="177"/>
      <c r="AA2343" s="178"/>
      <c r="AB2343" s="139"/>
      <c r="AC2343" s="173"/>
      <c r="AD2343" s="177"/>
      <c r="AE2343" s="177"/>
      <c r="AF2343" s="139"/>
      <c r="AG2343" s="139"/>
      <c r="AH2343" s="177"/>
      <c r="AI2343" s="178"/>
      <c r="AJ2343" s="139"/>
      <c r="AK2343" s="173"/>
      <c r="AL2343" s="177"/>
      <c r="AM2343" s="178"/>
      <c r="AN2343" s="173"/>
      <c r="AO2343" s="173"/>
      <c r="AP2343" s="173"/>
      <c r="AQ2343" s="178"/>
      <c r="AR2343" s="173"/>
      <c r="AS2343" s="173"/>
      <c r="AT2343" s="140"/>
      <c r="AX2343" s="140"/>
      <c r="BB2343" s="173"/>
      <c r="BC2343" s="173"/>
    </row>
    <row r="2344" spans="2:55" s="134" customFormat="1" x14ac:dyDescent="0.2">
      <c r="B2344" s="145"/>
      <c r="D2344" s="145"/>
      <c r="Z2344" s="177"/>
      <c r="AA2344" s="178"/>
      <c r="AB2344" s="139"/>
      <c r="AC2344" s="173"/>
      <c r="AD2344" s="177"/>
      <c r="AE2344" s="177"/>
      <c r="AF2344" s="139"/>
      <c r="AG2344" s="139"/>
      <c r="AH2344" s="177"/>
      <c r="AI2344" s="178"/>
      <c r="AJ2344" s="139"/>
      <c r="AK2344" s="173"/>
      <c r="AL2344" s="177"/>
      <c r="AM2344" s="178"/>
      <c r="AN2344" s="173"/>
      <c r="AO2344" s="173"/>
      <c r="AP2344" s="173"/>
      <c r="AQ2344" s="178"/>
      <c r="AR2344" s="173"/>
      <c r="AS2344" s="173"/>
      <c r="AT2344" s="140"/>
      <c r="AX2344" s="140"/>
      <c r="BB2344" s="173"/>
      <c r="BC2344" s="173"/>
    </row>
    <row r="2345" spans="2:55" s="134" customFormat="1" x14ac:dyDescent="0.2">
      <c r="B2345" s="145"/>
      <c r="D2345" s="145"/>
      <c r="Z2345" s="177"/>
      <c r="AA2345" s="178"/>
      <c r="AB2345" s="139"/>
      <c r="AC2345" s="173"/>
      <c r="AD2345" s="177"/>
      <c r="AE2345" s="177"/>
      <c r="AF2345" s="139"/>
      <c r="AG2345" s="139"/>
      <c r="AH2345" s="177"/>
      <c r="AI2345" s="178"/>
      <c r="AJ2345" s="139"/>
      <c r="AK2345" s="173"/>
      <c r="AL2345" s="177"/>
      <c r="AM2345" s="178"/>
      <c r="AN2345" s="173"/>
      <c r="AO2345" s="173"/>
      <c r="AP2345" s="173"/>
      <c r="AQ2345" s="178"/>
      <c r="AR2345" s="173"/>
      <c r="AS2345" s="173"/>
      <c r="AT2345" s="140"/>
      <c r="AX2345" s="140"/>
      <c r="BB2345" s="173"/>
      <c r="BC2345" s="173"/>
    </row>
    <row r="2346" spans="2:55" s="134" customFormat="1" x14ac:dyDescent="0.2">
      <c r="B2346" s="145"/>
      <c r="D2346" s="145"/>
      <c r="Z2346" s="177"/>
      <c r="AA2346" s="178"/>
      <c r="AB2346" s="139"/>
      <c r="AC2346" s="173"/>
      <c r="AD2346" s="177"/>
      <c r="AE2346" s="177"/>
      <c r="AF2346" s="139"/>
      <c r="AG2346" s="139"/>
      <c r="AH2346" s="177"/>
      <c r="AI2346" s="178"/>
      <c r="AJ2346" s="139"/>
      <c r="AK2346" s="173"/>
      <c r="AL2346" s="177"/>
      <c r="AM2346" s="178"/>
      <c r="AN2346" s="173"/>
      <c r="AO2346" s="173"/>
      <c r="AP2346" s="173"/>
      <c r="AQ2346" s="178"/>
      <c r="AR2346" s="173"/>
      <c r="AS2346" s="173"/>
      <c r="AT2346" s="140"/>
      <c r="AX2346" s="140"/>
      <c r="BB2346" s="173"/>
      <c r="BC2346" s="173"/>
    </row>
    <row r="2347" spans="2:55" s="134" customFormat="1" x14ac:dyDescent="0.2">
      <c r="B2347" s="145"/>
      <c r="D2347" s="145"/>
      <c r="Z2347" s="177"/>
      <c r="AA2347" s="178"/>
      <c r="AB2347" s="139"/>
      <c r="AC2347" s="173"/>
      <c r="AD2347" s="177"/>
      <c r="AE2347" s="177"/>
      <c r="AF2347" s="139"/>
      <c r="AG2347" s="139"/>
      <c r="AH2347" s="177"/>
      <c r="AI2347" s="178"/>
      <c r="AJ2347" s="139"/>
      <c r="AK2347" s="173"/>
      <c r="AL2347" s="177"/>
      <c r="AM2347" s="178"/>
      <c r="AN2347" s="173"/>
      <c r="AO2347" s="173"/>
      <c r="AP2347" s="173"/>
      <c r="AQ2347" s="178"/>
      <c r="AR2347" s="173"/>
      <c r="AS2347" s="173"/>
      <c r="AT2347" s="140"/>
      <c r="AX2347" s="140"/>
      <c r="BB2347" s="173"/>
      <c r="BC2347" s="173"/>
    </row>
    <row r="2348" spans="2:55" s="134" customFormat="1" x14ac:dyDescent="0.2">
      <c r="B2348" s="145"/>
      <c r="D2348" s="145"/>
      <c r="Z2348" s="177"/>
      <c r="AA2348" s="178"/>
      <c r="AB2348" s="139"/>
      <c r="AC2348" s="173"/>
      <c r="AD2348" s="177"/>
      <c r="AE2348" s="177"/>
      <c r="AF2348" s="139"/>
      <c r="AG2348" s="139"/>
      <c r="AH2348" s="177"/>
      <c r="AI2348" s="178"/>
      <c r="AJ2348" s="139"/>
      <c r="AK2348" s="173"/>
      <c r="AL2348" s="177"/>
      <c r="AM2348" s="178"/>
      <c r="AN2348" s="173"/>
      <c r="AO2348" s="173"/>
      <c r="AP2348" s="173"/>
      <c r="AQ2348" s="178"/>
      <c r="AR2348" s="173"/>
      <c r="AS2348" s="173"/>
      <c r="AT2348" s="140"/>
      <c r="AX2348" s="140"/>
      <c r="BB2348" s="173"/>
      <c r="BC2348" s="173"/>
    </row>
    <row r="2349" spans="2:55" s="134" customFormat="1" x14ac:dyDescent="0.2">
      <c r="B2349" s="145"/>
      <c r="D2349" s="145"/>
      <c r="Z2349" s="177"/>
      <c r="AA2349" s="178"/>
      <c r="AB2349" s="139"/>
      <c r="AC2349" s="173"/>
      <c r="AD2349" s="177"/>
      <c r="AE2349" s="177"/>
      <c r="AF2349" s="139"/>
      <c r="AG2349" s="139"/>
      <c r="AH2349" s="177"/>
      <c r="AI2349" s="178"/>
      <c r="AJ2349" s="139"/>
      <c r="AK2349" s="173"/>
      <c r="AL2349" s="177"/>
      <c r="AM2349" s="178"/>
      <c r="AN2349" s="173"/>
      <c r="AO2349" s="173"/>
      <c r="AP2349" s="173"/>
      <c r="AQ2349" s="178"/>
      <c r="AR2349" s="173"/>
      <c r="AS2349" s="173"/>
      <c r="AT2349" s="140"/>
      <c r="AX2349" s="140"/>
      <c r="BB2349" s="173"/>
      <c r="BC2349" s="173"/>
    </row>
    <row r="2350" spans="2:55" s="134" customFormat="1" x14ac:dyDescent="0.2">
      <c r="B2350" s="145"/>
      <c r="D2350" s="145"/>
      <c r="Z2350" s="177"/>
      <c r="AA2350" s="178"/>
      <c r="AB2350" s="139"/>
      <c r="AC2350" s="173"/>
      <c r="AD2350" s="177"/>
      <c r="AE2350" s="177"/>
      <c r="AF2350" s="139"/>
      <c r="AG2350" s="139"/>
      <c r="AH2350" s="177"/>
      <c r="AI2350" s="178"/>
      <c r="AJ2350" s="139"/>
      <c r="AK2350" s="173"/>
      <c r="AL2350" s="177"/>
      <c r="AM2350" s="178"/>
      <c r="AN2350" s="173"/>
      <c r="AO2350" s="173"/>
      <c r="AP2350" s="173"/>
      <c r="AQ2350" s="178"/>
      <c r="AR2350" s="173"/>
      <c r="AS2350" s="173"/>
      <c r="AT2350" s="140"/>
      <c r="AX2350" s="140"/>
      <c r="BB2350" s="173"/>
      <c r="BC2350" s="173"/>
    </row>
    <row r="2351" spans="2:55" s="134" customFormat="1" x14ac:dyDescent="0.2">
      <c r="B2351" s="145"/>
      <c r="D2351" s="145"/>
      <c r="Z2351" s="177"/>
      <c r="AA2351" s="178"/>
      <c r="AB2351" s="139"/>
      <c r="AC2351" s="173"/>
      <c r="AD2351" s="177"/>
      <c r="AE2351" s="177"/>
      <c r="AF2351" s="139"/>
      <c r="AG2351" s="139"/>
      <c r="AH2351" s="177"/>
      <c r="AI2351" s="178"/>
      <c r="AJ2351" s="139"/>
      <c r="AK2351" s="173"/>
      <c r="AL2351" s="177"/>
      <c r="AM2351" s="178"/>
      <c r="AN2351" s="173"/>
      <c r="AO2351" s="173"/>
      <c r="AP2351" s="173"/>
      <c r="AQ2351" s="178"/>
      <c r="AR2351" s="173"/>
      <c r="AS2351" s="173"/>
      <c r="AT2351" s="140"/>
      <c r="AX2351" s="140"/>
      <c r="BB2351" s="173"/>
      <c r="BC2351" s="173"/>
    </row>
    <row r="2352" spans="2:55" s="134" customFormat="1" x14ac:dyDescent="0.2">
      <c r="B2352" s="145"/>
      <c r="D2352" s="145"/>
      <c r="Z2352" s="177"/>
      <c r="AA2352" s="178"/>
      <c r="AB2352" s="139"/>
      <c r="AC2352" s="173"/>
      <c r="AD2352" s="177"/>
      <c r="AE2352" s="177"/>
      <c r="AF2352" s="139"/>
      <c r="AG2352" s="139"/>
      <c r="AH2352" s="177"/>
      <c r="AI2352" s="178"/>
      <c r="AJ2352" s="139"/>
      <c r="AK2352" s="173"/>
      <c r="AL2352" s="177"/>
      <c r="AM2352" s="178"/>
      <c r="AN2352" s="173"/>
      <c r="AO2352" s="173"/>
      <c r="AP2352" s="173"/>
      <c r="AQ2352" s="178"/>
      <c r="AR2352" s="173"/>
      <c r="AS2352" s="173"/>
      <c r="AT2352" s="140"/>
      <c r="AX2352" s="140"/>
      <c r="BB2352" s="173"/>
      <c r="BC2352" s="173"/>
    </row>
    <row r="2353" spans="2:55" s="134" customFormat="1" x14ac:dyDescent="0.2">
      <c r="B2353" s="145"/>
      <c r="D2353" s="145"/>
      <c r="Z2353" s="177"/>
      <c r="AA2353" s="178"/>
      <c r="AB2353" s="139"/>
      <c r="AC2353" s="173"/>
      <c r="AD2353" s="177"/>
      <c r="AE2353" s="177"/>
      <c r="AF2353" s="139"/>
      <c r="AG2353" s="139"/>
      <c r="AH2353" s="177"/>
      <c r="AI2353" s="178"/>
      <c r="AJ2353" s="139"/>
      <c r="AK2353" s="173"/>
      <c r="AL2353" s="177"/>
      <c r="AM2353" s="178"/>
      <c r="AN2353" s="173"/>
      <c r="AO2353" s="173"/>
      <c r="AP2353" s="173"/>
      <c r="AQ2353" s="178"/>
      <c r="AR2353" s="173"/>
      <c r="AS2353" s="173"/>
      <c r="AT2353" s="140"/>
      <c r="AX2353" s="140"/>
      <c r="BB2353" s="173"/>
      <c r="BC2353" s="173"/>
    </row>
    <row r="2354" spans="2:55" s="134" customFormat="1" x14ac:dyDescent="0.2">
      <c r="B2354" s="145"/>
      <c r="D2354" s="145"/>
      <c r="Z2354" s="177"/>
      <c r="AA2354" s="178"/>
      <c r="AB2354" s="139"/>
      <c r="AC2354" s="173"/>
      <c r="AD2354" s="177"/>
      <c r="AE2354" s="177"/>
      <c r="AF2354" s="139"/>
      <c r="AG2354" s="139"/>
      <c r="AH2354" s="177"/>
      <c r="AI2354" s="178"/>
      <c r="AJ2354" s="139"/>
      <c r="AK2354" s="173"/>
      <c r="AL2354" s="177"/>
      <c r="AM2354" s="178"/>
      <c r="AN2354" s="173"/>
      <c r="AO2354" s="173"/>
      <c r="AP2354" s="173"/>
      <c r="AQ2354" s="178"/>
      <c r="AR2354" s="173"/>
      <c r="AS2354" s="173"/>
      <c r="AT2354" s="140"/>
      <c r="AX2354" s="140"/>
      <c r="BB2354" s="173"/>
      <c r="BC2354" s="173"/>
    </row>
    <row r="2355" spans="2:55" s="134" customFormat="1" x14ac:dyDescent="0.2">
      <c r="B2355" s="145"/>
      <c r="D2355" s="145"/>
      <c r="Z2355" s="177"/>
      <c r="AA2355" s="178"/>
      <c r="AB2355" s="139"/>
      <c r="AC2355" s="173"/>
      <c r="AD2355" s="177"/>
      <c r="AE2355" s="177"/>
      <c r="AF2355" s="139"/>
      <c r="AG2355" s="139"/>
      <c r="AH2355" s="177"/>
      <c r="AI2355" s="178"/>
      <c r="AJ2355" s="139"/>
      <c r="AK2355" s="173"/>
      <c r="AL2355" s="177"/>
      <c r="AM2355" s="178"/>
      <c r="AN2355" s="173"/>
      <c r="AO2355" s="173"/>
      <c r="AP2355" s="173"/>
      <c r="AQ2355" s="178"/>
      <c r="AR2355" s="173"/>
      <c r="AS2355" s="173"/>
      <c r="AT2355" s="140"/>
      <c r="AX2355" s="140"/>
      <c r="BB2355" s="173"/>
      <c r="BC2355" s="173"/>
    </row>
    <row r="2356" spans="2:55" s="134" customFormat="1" x14ac:dyDescent="0.2">
      <c r="B2356" s="145"/>
      <c r="D2356" s="145"/>
      <c r="Z2356" s="177"/>
      <c r="AA2356" s="178"/>
      <c r="AB2356" s="139"/>
      <c r="AC2356" s="173"/>
      <c r="AD2356" s="177"/>
      <c r="AE2356" s="177"/>
      <c r="AF2356" s="139"/>
      <c r="AG2356" s="139"/>
      <c r="AH2356" s="177"/>
      <c r="AI2356" s="178"/>
      <c r="AJ2356" s="139"/>
      <c r="AK2356" s="173"/>
      <c r="AL2356" s="177"/>
      <c r="AM2356" s="178"/>
      <c r="AN2356" s="173"/>
      <c r="AO2356" s="173"/>
      <c r="AP2356" s="173"/>
      <c r="AQ2356" s="178"/>
      <c r="AR2356" s="173"/>
      <c r="AS2356" s="173"/>
      <c r="AT2356" s="140"/>
      <c r="AX2356" s="140"/>
      <c r="BB2356" s="173"/>
      <c r="BC2356" s="173"/>
    </row>
    <row r="2357" spans="2:55" s="134" customFormat="1" x14ac:dyDescent="0.2">
      <c r="B2357" s="145"/>
      <c r="D2357" s="145"/>
      <c r="Z2357" s="177"/>
      <c r="AA2357" s="178"/>
      <c r="AB2357" s="139"/>
      <c r="AC2357" s="173"/>
      <c r="AD2357" s="177"/>
      <c r="AE2357" s="177"/>
      <c r="AF2357" s="139"/>
      <c r="AG2357" s="139"/>
      <c r="AH2357" s="177"/>
      <c r="AI2357" s="178"/>
      <c r="AJ2357" s="139"/>
      <c r="AK2357" s="173"/>
      <c r="AL2357" s="177"/>
      <c r="AM2357" s="178"/>
      <c r="AN2357" s="173"/>
      <c r="AO2357" s="173"/>
      <c r="AP2357" s="173"/>
      <c r="AQ2357" s="178"/>
      <c r="AR2357" s="173"/>
      <c r="AS2357" s="173"/>
      <c r="AT2357" s="140"/>
      <c r="AX2357" s="140"/>
      <c r="BB2357" s="173"/>
      <c r="BC2357" s="173"/>
    </row>
    <row r="2358" spans="2:55" s="134" customFormat="1" x14ac:dyDescent="0.2">
      <c r="B2358" s="145"/>
      <c r="D2358" s="145"/>
      <c r="Z2358" s="177"/>
      <c r="AA2358" s="178"/>
      <c r="AB2358" s="139"/>
      <c r="AC2358" s="173"/>
      <c r="AD2358" s="177"/>
      <c r="AE2358" s="177"/>
      <c r="AF2358" s="139"/>
      <c r="AG2358" s="139"/>
      <c r="AH2358" s="177"/>
      <c r="AI2358" s="178"/>
      <c r="AJ2358" s="139"/>
      <c r="AK2358" s="173"/>
      <c r="AL2358" s="177"/>
      <c r="AM2358" s="178"/>
      <c r="AN2358" s="173"/>
      <c r="AO2358" s="173"/>
      <c r="AP2358" s="173"/>
      <c r="AQ2358" s="178"/>
      <c r="AR2358" s="173"/>
      <c r="AS2358" s="173"/>
      <c r="AT2358" s="140"/>
      <c r="AX2358" s="140"/>
      <c r="BB2358" s="173"/>
      <c r="BC2358" s="173"/>
    </row>
    <row r="2359" spans="2:55" s="134" customFormat="1" x14ac:dyDescent="0.2">
      <c r="B2359" s="145"/>
      <c r="D2359" s="145"/>
      <c r="Z2359" s="177"/>
      <c r="AA2359" s="178"/>
      <c r="AB2359" s="139"/>
      <c r="AC2359" s="173"/>
      <c r="AD2359" s="177"/>
      <c r="AE2359" s="177"/>
      <c r="AF2359" s="139"/>
      <c r="AG2359" s="139"/>
      <c r="AH2359" s="177"/>
      <c r="AI2359" s="178"/>
      <c r="AJ2359" s="139"/>
      <c r="AK2359" s="173"/>
      <c r="AL2359" s="177"/>
      <c r="AM2359" s="178"/>
      <c r="AN2359" s="173"/>
      <c r="AO2359" s="173"/>
      <c r="AP2359" s="173"/>
      <c r="AQ2359" s="178"/>
      <c r="AR2359" s="173"/>
      <c r="AS2359" s="173"/>
      <c r="AT2359" s="140"/>
      <c r="AX2359" s="140"/>
      <c r="BB2359" s="173"/>
      <c r="BC2359" s="173"/>
    </row>
    <row r="2360" spans="2:55" s="134" customFormat="1" x14ac:dyDescent="0.2">
      <c r="B2360" s="145"/>
      <c r="D2360" s="145"/>
      <c r="Z2360" s="177"/>
      <c r="AA2360" s="178"/>
      <c r="AB2360" s="139"/>
      <c r="AC2360" s="173"/>
      <c r="AD2360" s="177"/>
      <c r="AE2360" s="177"/>
      <c r="AF2360" s="139"/>
      <c r="AG2360" s="139"/>
      <c r="AH2360" s="177"/>
      <c r="AI2360" s="178"/>
      <c r="AJ2360" s="139"/>
      <c r="AK2360" s="173"/>
      <c r="AL2360" s="177"/>
      <c r="AM2360" s="178"/>
      <c r="AN2360" s="173"/>
      <c r="AO2360" s="173"/>
      <c r="AP2360" s="173"/>
      <c r="AQ2360" s="178"/>
      <c r="AR2360" s="173"/>
      <c r="AS2360" s="173"/>
      <c r="AT2360" s="140"/>
      <c r="AX2360" s="140"/>
      <c r="BB2360" s="173"/>
      <c r="BC2360" s="173"/>
    </row>
    <row r="2361" spans="2:55" s="134" customFormat="1" x14ac:dyDescent="0.2">
      <c r="B2361" s="145"/>
      <c r="D2361" s="145"/>
      <c r="Z2361" s="177"/>
      <c r="AA2361" s="178"/>
      <c r="AB2361" s="139"/>
      <c r="AC2361" s="173"/>
      <c r="AD2361" s="177"/>
      <c r="AE2361" s="177"/>
      <c r="AF2361" s="139"/>
      <c r="AG2361" s="139"/>
      <c r="AH2361" s="177"/>
      <c r="AI2361" s="178"/>
      <c r="AJ2361" s="139"/>
      <c r="AK2361" s="173"/>
      <c r="AL2361" s="177"/>
      <c r="AM2361" s="178"/>
      <c r="AN2361" s="173"/>
      <c r="AO2361" s="173"/>
      <c r="AP2361" s="173"/>
      <c r="AQ2361" s="178"/>
      <c r="AR2361" s="173"/>
      <c r="AS2361" s="173"/>
      <c r="AT2361" s="140"/>
      <c r="AX2361" s="140"/>
      <c r="BB2361" s="173"/>
      <c r="BC2361" s="173"/>
    </row>
    <row r="2362" spans="2:55" s="134" customFormat="1" x14ac:dyDescent="0.2">
      <c r="B2362" s="145"/>
      <c r="D2362" s="145"/>
      <c r="Z2362" s="177"/>
      <c r="AA2362" s="178"/>
      <c r="AB2362" s="139"/>
      <c r="AC2362" s="173"/>
      <c r="AD2362" s="177"/>
      <c r="AE2362" s="177"/>
      <c r="AF2362" s="139"/>
      <c r="AG2362" s="139"/>
      <c r="AH2362" s="177"/>
      <c r="AI2362" s="178"/>
      <c r="AJ2362" s="139"/>
      <c r="AK2362" s="173"/>
      <c r="AL2362" s="177"/>
      <c r="AM2362" s="178"/>
      <c r="AN2362" s="173"/>
      <c r="AO2362" s="173"/>
      <c r="AP2362" s="173"/>
      <c r="AQ2362" s="178"/>
      <c r="AR2362" s="173"/>
      <c r="AS2362" s="173"/>
      <c r="AT2362" s="140"/>
      <c r="AX2362" s="140"/>
      <c r="BB2362" s="173"/>
      <c r="BC2362" s="173"/>
    </row>
    <row r="2363" spans="2:55" s="134" customFormat="1" x14ac:dyDescent="0.2">
      <c r="B2363" s="145"/>
      <c r="D2363" s="145"/>
      <c r="Z2363" s="177"/>
      <c r="AA2363" s="178"/>
      <c r="AB2363" s="139"/>
      <c r="AC2363" s="173"/>
      <c r="AD2363" s="177"/>
      <c r="AE2363" s="177"/>
      <c r="AF2363" s="139"/>
      <c r="AG2363" s="139"/>
      <c r="AH2363" s="177"/>
      <c r="AI2363" s="178"/>
      <c r="AJ2363" s="139"/>
      <c r="AK2363" s="173"/>
      <c r="AL2363" s="177"/>
      <c r="AM2363" s="178"/>
      <c r="AN2363" s="173"/>
      <c r="AO2363" s="173"/>
      <c r="AP2363" s="173"/>
      <c r="AQ2363" s="178"/>
      <c r="AR2363" s="173"/>
      <c r="AS2363" s="173"/>
      <c r="AT2363" s="140"/>
      <c r="AX2363" s="140"/>
      <c r="BB2363" s="173"/>
      <c r="BC2363" s="173"/>
    </row>
    <row r="2364" spans="2:55" s="134" customFormat="1" x14ac:dyDescent="0.2">
      <c r="B2364" s="145"/>
      <c r="D2364" s="145"/>
      <c r="Z2364" s="177"/>
      <c r="AA2364" s="178"/>
      <c r="AB2364" s="139"/>
      <c r="AC2364" s="173"/>
      <c r="AD2364" s="177"/>
      <c r="AE2364" s="177"/>
      <c r="AF2364" s="139"/>
      <c r="AG2364" s="139"/>
      <c r="AH2364" s="177"/>
      <c r="AI2364" s="178"/>
      <c r="AJ2364" s="139"/>
      <c r="AK2364" s="173"/>
      <c r="AL2364" s="177"/>
      <c r="AM2364" s="178"/>
      <c r="AN2364" s="173"/>
      <c r="AO2364" s="173"/>
      <c r="AP2364" s="173"/>
      <c r="AQ2364" s="178"/>
      <c r="AR2364" s="173"/>
      <c r="AS2364" s="173"/>
      <c r="AT2364" s="140"/>
      <c r="AX2364" s="140"/>
      <c r="BB2364" s="173"/>
      <c r="BC2364" s="173"/>
    </row>
    <row r="2365" spans="2:55" s="134" customFormat="1" x14ac:dyDescent="0.2">
      <c r="B2365" s="145"/>
      <c r="D2365" s="145"/>
      <c r="Z2365" s="177"/>
      <c r="AA2365" s="178"/>
      <c r="AB2365" s="139"/>
      <c r="AC2365" s="173"/>
      <c r="AD2365" s="177"/>
      <c r="AE2365" s="177"/>
      <c r="AF2365" s="139"/>
      <c r="AG2365" s="139"/>
      <c r="AH2365" s="177"/>
      <c r="AI2365" s="178"/>
      <c r="AJ2365" s="139"/>
      <c r="AK2365" s="173"/>
      <c r="AL2365" s="177"/>
      <c r="AM2365" s="178"/>
      <c r="AN2365" s="173"/>
      <c r="AO2365" s="173"/>
      <c r="AP2365" s="173"/>
      <c r="AQ2365" s="178"/>
      <c r="AR2365" s="173"/>
      <c r="AS2365" s="173"/>
      <c r="AT2365" s="140"/>
      <c r="AX2365" s="140"/>
      <c r="BB2365" s="173"/>
      <c r="BC2365" s="173"/>
    </row>
    <row r="2366" spans="2:55" s="134" customFormat="1" x14ac:dyDescent="0.2">
      <c r="B2366" s="145"/>
      <c r="D2366" s="145"/>
      <c r="Z2366" s="177"/>
      <c r="AA2366" s="178"/>
      <c r="AB2366" s="139"/>
      <c r="AC2366" s="173"/>
      <c r="AD2366" s="177"/>
      <c r="AE2366" s="177"/>
      <c r="AF2366" s="139"/>
      <c r="AG2366" s="139"/>
      <c r="AH2366" s="177"/>
      <c r="AI2366" s="178"/>
      <c r="AJ2366" s="139"/>
      <c r="AK2366" s="173"/>
      <c r="AL2366" s="177"/>
      <c r="AM2366" s="178"/>
      <c r="AN2366" s="173"/>
      <c r="AO2366" s="173"/>
      <c r="AP2366" s="173"/>
      <c r="AQ2366" s="178"/>
      <c r="AR2366" s="173"/>
      <c r="AS2366" s="173"/>
      <c r="AT2366" s="140"/>
      <c r="AX2366" s="140"/>
      <c r="BB2366" s="173"/>
      <c r="BC2366" s="173"/>
    </row>
    <row r="2367" spans="2:55" s="134" customFormat="1" x14ac:dyDescent="0.2">
      <c r="B2367" s="145"/>
      <c r="D2367" s="145"/>
      <c r="Z2367" s="177"/>
      <c r="AA2367" s="178"/>
      <c r="AB2367" s="139"/>
      <c r="AC2367" s="173"/>
      <c r="AD2367" s="177"/>
      <c r="AE2367" s="177"/>
      <c r="AF2367" s="139"/>
      <c r="AG2367" s="139"/>
      <c r="AH2367" s="177"/>
      <c r="AI2367" s="178"/>
      <c r="AJ2367" s="139"/>
      <c r="AK2367" s="173"/>
      <c r="AL2367" s="177"/>
      <c r="AM2367" s="178"/>
      <c r="AN2367" s="173"/>
      <c r="AO2367" s="173"/>
      <c r="AP2367" s="173"/>
      <c r="AQ2367" s="178"/>
      <c r="AR2367" s="173"/>
      <c r="AS2367" s="173"/>
      <c r="AT2367" s="140"/>
      <c r="AX2367" s="140"/>
      <c r="BB2367" s="173"/>
      <c r="BC2367" s="173"/>
    </row>
    <row r="2368" spans="2:55" s="134" customFormat="1" x14ac:dyDescent="0.2">
      <c r="B2368" s="145"/>
      <c r="D2368" s="145"/>
      <c r="Z2368" s="177"/>
      <c r="AA2368" s="178"/>
      <c r="AB2368" s="139"/>
      <c r="AC2368" s="173"/>
      <c r="AD2368" s="177"/>
      <c r="AE2368" s="177"/>
      <c r="AF2368" s="139"/>
      <c r="AG2368" s="139"/>
      <c r="AH2368" s="177"/>
      <c r="AI2368" s="178"/>
      <c r="AJ2368" s="139"/>
      <c r="AK2368" s="173"/>
      <c r="AL2368" s="177"/>
      <c r="AM2368" s="178"/>
      <c r="AN2368" s="173"/>
      <c r="AO2368" s="173"/>
      <c r="AP2368" s="173"/>
      <c r="AQ2368" s="178"/>
      <c r="AR2368" s="173"/>
      <c r="AS2368" s="173"/>
      <c r="AT2368" s="140"/>
      <c r="AX2368" s="140"/>
      <c r="BB2368" s="173"/>
      <c r="BC2368" s="173"/>
    </row>
    <row r="2369" spans="2:55" s="134" customFormat="1" x14ac:dyDescent="0.2">
      <c r="B2369" s="145"/>
      <c r="D2369" s="145"/>
      <c r="Z2369" s="177"/>
      <c r="AA2369" s="178"/>
      <c r="AB2369" s="139"/>
      <c r="AC2369" s="173"/>
      <c r="AD2369" s="177"/>
      <c r="AE2369" s="177"/>
      <c r="AF2369" s="139"/>
      <c r="AG2369" s="139"/>
      <c r="AH2369" s="177"/>
      <c r="AI2369" s="178"/>
      <c r="AJ2369" s="139"/>
      <c r="AK2369" s="173"/>
      <c r="AL2369" s="177"/>
      <c r="AM2369" s="178"/>
      <c r="AN2369" s="173"/>
      <c r="AO2369" s="173"/>
      <c r="AP2369" s="173"/>
      <c r="AQ2369" s="178"/>
      <c r="AR2369" s="173"/>
      <c r="AS2369" s="173"/>
      <c r="AT2369" s="140"/>
      <c r="AX2369" s="140"/>
      <c r="BB2369" s="173"/>
      <c r="BC2369" s="173"/>
    </row>
    <row r="2370" spans="2:55" s="134" customFormat="1" x14ac:dyDescent="0.2">
      <c r="B2370" s="145"/>
      <c r="D2370" s="145"/>
      <c r="Z2370" s="177"/>
      <c r="AA2370" s="178"/>
      <c r="AB2370" s="139"/>
      <c r="AC2370" s="173"/>
      <c r="AD2370" s="177"/>
      <c r="AE2370" s="177"/>
      <c r="AF2370" s="139"/>
      <c r="AG2370" s="139"/>
      <c r="AH2370" s="177"/>
      <c r="AI2370" s="178"/>
      <c r="AJ2370" s="139"/>
      <c r="AK2370" s="173"/>
      <c r="AL2370" s="177"/>
      <c r="AM2370" s="178"/>
      <c r="AN2370" s="173"/>
      <c r="AO2370" s="173"/>
      <c r="AP2370" s="173"/>
      <c r="AQ2370" s="178"/>
      <c r="AR2370" s="173"/>
      <c r="AS2370" s="173"/>
      <c r="AT2370" s="140"/>
      <c r="AX2370" s="140"/>
      <c r="BB2370" s="173"/>
      <c r="BC2370" s="173"/>
    </row>
    <row r="2371" spans="2:55" s="134" customFormat="1" x14ac:dyDescent="0.2">
      <c r="B2371" s="145"/>
      <c r="D2371" s="145"/>
      <c r="Z2371" s="177"/>
      <c r="AA2371" s="178"/>
      <c r="AB2371" s="139"/>
      <c r="AC2371" s="173"/>
      <c r="AD2371" s="177"/>
      <c r="AE2371" s="177"/>
      <c r="AF2371" s="139"/>
      <c r="AG2371" s="139"/>
      <c r="AH2371" s="177"/>
      <c r="AI2371" s="178"/>
      <c r="AJ2371" s="139"/>
      <c r="AK2371" s="173"/>
      <c r="AL2371" s="177"/>
      <c r="AM2371" s="178"/>
      <c r="AN2371" s="173"/>
      <c r="AO2371" s="173"/>
      <c r="AP2371" s="173"/>
      <c r="AQ2371" s="178"/>
      <c r="AR2371" s="173"/>
      <c r="AS2371" s="173"/>
      <c r="AT2371" s="140"/>
      <c r="AX2371" s="140"/>
      <c r="BB2371" s="173"/>
      <c r="BC2371" s="173"/>
    </row>
    <row r="2372" spans="2:55" s="134" customFormat="1" x14ac:dyDescent="0.2">
      <c r="B2372" s="145"/>
      <c r="D2372" s="145"/>
      <c r="Z2372" s="177"/>
      <c r="AA2372" s="178"/>
      <c r="AB2372" s="139"/>
      <c r="AC2372" s="173"/>
      <c r="AD2372" s="177"/>
      <c r="AE2372" s="177"/>
      <c r="AF2372" s="139"/>
      <c r="AG2372" s="139"/>
      <c r="AH2372" s="177"/>
      <c r="AI2372" s="178"/>
      <c r="AJ2372" s="139"/>
      <c r="AK2372" s="173"/>
      <c r="AL2372" s="177"/>
      <c r="AM2372" s="178"/>
      <c r="AN2372" s="173"/>
      <c r="AO2372" s="173"/>
      <c r="AP2372" s="173"/>
      <c r="AQ2372" s="178"/>
      <c r="AR2372" s="173"/>
      <c r="AS2372" s="173"/>
      <c r="AT2372" s="140"/>
      <c r="AX2372" s="140"/>
      <c r="BB2372" s="173"/>
      <c r="BC2372" s="173"/>
    </row>
    <row r="2373" spans="2:55" s="134" customFormat="1" x14ac:dyDescent="0.2">
      <c r="B2373" s="145"/>
      <c r="D2373" s="145"/>
      <c r="Z2373" s="177"/>
      <c r="AA2373" s="178"/>
      <c r="AB2373" s="139"/>
      <c r="AC2373" s="173"/>
      <c r="AD2373" s="177"/>
      <c r="AE2373" s="177"/>
      <c r="AF2373" s="139"/>
      <c r="AG2373" s="139"/>
      <c r="AH2373" s="177"/>
      <c r="AI2373" s="178"/>
      <c r="AJ2373" s="139"/>
      <c r="AK2373" s="173"/>
      <c r="AL2373" s="177"/>
      <c r="AM2373" s="178"/>
      <c r="AN2373" s="173"/>
      <c r="AO2373" s="173"/>
      <c r="AP2373" s="173"/>
      <c r="AQ2373" s="178"/>
      <c r="AR2373" s="173"/>
      <c r="AS2373" s="173"/>
      <c r="AT2373" s="140"/>
      <c r="AX2373" s="140"/>
      <c r="BB2373" s="173"/>
      <c r="BC2373" s="173"/>
    </row>
    <row r="2374" spans="2:55" s="134" customFormat="1" x14ac:dyDescent="0.2">
      <c r="B2374" s="145"/>
      <c r="D2374" s="145"/>
      <c r="Z2374" s="177"/>
      <c r="AA2374" s="178"/>
      <c r="AB2374" s="139"/>
      <c r="AC2374" s="173"/>
      <c r="AD2374" s="177"/>
      <c r="AE2374" s="177"/>
      <c r="AF2374" s="139"/>
      <c r="AG2374" s="139"/>
      <c r="AH2374" s="177"/>
      <c r="AI2374" s="178"/>
      <c r="AJ2374" s="139"/>
      <c r="AK2374" s="173"/>
      <c r="AL2374" s="177"/>
      <c r="AM2374" s="178"/>
      <c r="AN2374" s="173"/>
      <c r="AO2374" s="173"/>
      <c r="AP2374" s="173"/>
      <c r="AQ2374" s="178"/>
      <c r="AR2374" s="173"/>
      <c r="AS2374" s="173"/>
      <c r="AT2374" s="140"/>
      <c r="AX2374" s="140"/>
      <c r="BB2374" s="173"/>
      <c r="BC2374" s="173"/>
    </row>
    <row r="2375" spans="2:55" s="134" customFormat="1" x14ac:dyDescent="0.2">
      <c r="B2375" s="145"/>
      <c r="D2375" s="145"/>
      <c r="Z2375" s="177"/>
      <c r="AA2375" s="178"/>
      <c r="AB2375" s="139"/>
      <c r="AC2375" s="173"/>
      <c r="AD2375" s="177"/>
      <c r="AE2375" s="177"/>
      <c r="AF2375" s="139"/>
      <c r="AG2375" s="139"/>
      <c r="AH2375" s="177"/>
      <c r="AI2375" s="178"/>
      <c r="AJ2375" s="139"/>
      <c r="AK2375" s="173"/>
      <c r="AL2375" s="177"/>
      <c r="AM2375" s="178"/>
      <c r="AN2375" s="173"/>
      <c r="AO2375" s="173"/>
      <c r="AP2375" s="173"/>
      <c r="AQ2375" s="178"/>
      <c r="AR2375" s="173"/>
      <c r="AS2375" s="173"/>
      <c r="AT2375" s="140"/>
      <c r="AX2375" s="140"/>
      <c r="BB2375" s="173"/>
      <c r="BC2375" s="173"/>
    </row>
    <row r="2376" spans="2:55" s="134" customFormat="1" x14ac:dyDescent="0.2">
      <c r="B2376" s="145"/>
      <c r="D2376" s="145"/>
      <c r="Z2376" s="177"/>
      <c r="AA2376" s="178"/>
      <c r="AB2376" s="139"/>
      <c r="AC2376" s="173"/>
      <c r="AD2376" s="177"/>
      <c r="AE2376" s="177"/>
      <c r="AF2376" s="139"/>
      <c r="AG2376" s="139"/>
      <c r="AH2376" s="177"/>
      <c r="AI2376" s="178"/>
      <c r="AJ2376" s="139"/>
      <c r="AK2376" s="173"/>
      <c r="AL2376" s="177"/>
      <c r="AM2376" s="178"/>
      <c r="AN2376" s="173"/>
      <c r="AO2376" s="173"/>
      <c r="AP2376" s="173"/>
      <c r="AQ2376" s="178"/>
      <c r="AR2376" s="173"/>
      <c r="AS2376" s="173"/>
      <c r="AT2376" s="140"/>
      <c r="AX2376" s="140"/>
      <c r="BB2376" s="173"/>
      <c r="BC2376" s="173"/>
    </row>
    <row r="2377" spans="2:55" s="134" customFormat="1" x14ac:dyDescent="0.2">
      <c r="B2377" s="145"/>
      <c r="D2377" s="145"/>
      <c r="Z2377" s="177"/>
      <c r="AA2377" s="178"/>
      <c r="AB2377" s="139"/>
      <c r="AC2377" s="173"/>
      <c r="AD2377" s="177"/>
      <c r="AE2377" s="177"/>
      <c r="AF2377" s="139"/>
      <c r="AG2377" s="139"/>
      <c r="AH2377" s="177"/>
      <c r="AI2377" s="178"/>
      <c r="AJ2377" s="139"/>
      <c r="AK2377" s="173"/>
      <c r="AL2377" s="177"/>
      <c r="AM2377" s="178"/>
      <c r="AN2377" s="173"/>
      <c r="AO2377" s="173"/>
      <c r="AP2377" s="173"/>
      <c r="AQ2377" s="178"/>
      <c r="AR2377" s="173"/>
      <c r="AS2377" s="173"/>
      <c r="AT2377" s="140"/>
      <c r="AX2377" s="140"/>
      <c r="BB2377" s="173"/>
      <c r="BC2377" s="173"/>
    </row>
    <row r="2378" spans="2:55" s="134" customFormat="1" x14ac:dyDescent="0.2">
      <c r="B2378" s="145"/>
      <c r="D2378" s="145"/>
      <c r="Z2378" s="177"/>
      <c r="AA2378" s="178"/>
      <c r="AB2378" s="139"/>
      <c r="AC2378" s="173"/>
      <c r="AD2378" s="177"/>
      <c r="AE2378" s="177"/>
      <c r="AF2378" s="139"/>
      <c r="AG2378" s="139"/>
      <c r="AH2378" s="177"/>
      <c r="AI2378" s="178"/>
      <c r="AJ2378" s="139"/>
      <c r="AK2378" s="173"/>
      <c r="AL2378" s="177"/>
      <c r="AM2378" s="178"/>
      <c r="AN2378" s="173"/>
      <c r="AO2378" s="173"/>
      <c r="AP2378" s="173"/>
      <c r="AQ2378" s="178"/>
      <c r="AR2378" s="173"/>
      <c r="AS2378" s="173"/>
      <c r="AT2378" s="140"/>
      <c r="AX2378" s="140"/>
      <c r="BB2378" s="173"/>
      <c r="BC2378" s="173"/>
    </row>
    <row r="2379" spans="2:55" s="134" customFormat="1" x14ac:dyDescent="0.2">
      <c r="B2379" s="145"/>
      <c r="D2379" s="145"/>
      <c r="Z2379" s="177"/>
      <c r="AA2379" s="178"/>
      <c r="AB2379" s="139"/>
      <c r="AC2379" s="173"/>
      <c r="AD2379" s="177"/>
      <c r="AE2379" s="177"/>
      <c r="AF2379" s="139"/>
      <c r="AG2379" s="139"/>
      <c r="AH2379" s="177"/>
      <c r="AI2379" s="178"/>
      <c r="AJ2379" s="139"/>
      <c r="AK2379" s="173"/>
      <c r="AL2379" s="177"/>
      <c r="AM2379" s="178"/>
      <c r="AN2379" s="173"/>
      <c r="AO2379" s="173"/>
      <c r="AP2379" s="173"/>
      <c r="AQ2379" s="178"/>
      <c r="AR2379" s="173"/>
      <c r="AS2379" s="173"/>
      <c r="AT2379" s="140"/>
      <c r="AX2379" s="140"/>
      <c r="BB2379" s="173"/>
      <c r="BC2379" s="173"/>
    </row>
    <row r="2380" spans="2:55" s="134" customFormat="1" x14ac:dyDescent="0.2">
      <c r="B2380" s="145"/>
      <c r="D2380" s="145"/>
      <c r="Z2380" s="177"/>
      <c r="AA2380" s="178"/>
      <c r="AB2380" s="139"/>
      <c r="AC2380" s="173"/>
      <c r="AD2380" s="177"/>
      <c r="AE2380" s="177"/>
      <c r="AF2380" s="139"/>
      <c r="AG2380" s="139"/>
      <c r="AH2380" s="177"/>
      <c r="AI2380" s="178"/>
      <c r="AJ2380" s="139"/>
      <c r="AK2380" s="173"/>
      <c r="AL2380" s="177"/>
      <c r="AM2380" s="178"/>
      <c r="AN2380" s="173"/>
      <c r="AO2380" s="173"/>
      <c r="AP2380" s="173"/>
      <c r="AQ2380" s="178"/>
      <c r="AR2380" s="173"/>
      <c r="AS2380" s="173"/>
      <c r="AT2380" s="140"/>
      <c r="AX2380" s="140"/>
      <c r="BB2380" s="173"/>
      <c r="BC2380" s="173"/>
    </row>
    <row r="2381" spans="2:55" s="134" customFormat="1" x14ac:dyDescent="0.2">
      <c r="B2381" s="145"/>
      <c r="D2381" s="145"/>
      <c r="Z2381" s="177"/>
      <c r="AA2381" s="178"/>
      <c r="AB2381" s="139"/>
      <c r="AC2381" s="173"/>
      <c r="AD2381" s="177"/>
      <c r="AE2381" s="177"/>
      <c r="AF2381" s="139"/>
      <c r="AG2381" s="139"/>
      <c r="AH2381" s="177"/>
      <c r="AI2381" s="178"/>
      <c r="AJ2381" s="139"/>
      <c r="AK2381" s="173"/>
      <c r="AL2381" s="177"/>
      <c r="AM2381" s="178"/>
      <c r="AN2381" s="173"/>
      <c r="AO2381" s="173"/>
      <c r="AP2381" s="173"/>
      <c r="AQ2381" s="178"/>
      <c r="AR2381" s="173"/>
      <c r="AS2381" s="173"/>
      <c r="AT2381" s="140"/>
      <c r="AX2381" s="140"/>
      <c r="BB2381" s="173"/>
      <c r="BC2381" s="173"/>
    </row>
    <row r="2382" spans="2:55" s="134" customFormat="1" x14ac:dyDescent="0.2">
      <c r="B2382" s="145"/>
      <c r="D2382" s="145"/>
      <c r="Z2382" s="177"/>
      <c r="AA2382" s="178"/>
      <c r="AB2382" s="139"/>
      <c r="AC2382" s="173"/>
      <c r="AD2382" s="177"/>
      <c r="AE2382" s="177"/>
      <c r="AF2382" s="139"/>
      <c r="AG2382" s="139"/>
      <c r="AH2382" s="177"/>
      <c r="AI2382" s="178"/>
      <c r="AJ2382" s="139"/>
      <c r="AK2382" s="173"/>
      <c r="AL2382" s="177"/>
      <c r="AM2382" s="178"/>
      <c r="AN2382" s="173"/>
      <c r="AO2382" s="173"/>
      <c r="AP2382" s="173"/>
      <c r="AQ2382" s="178"/>
      <c r="AR2382" s="173"/>
      <c r="AS2382" s="173"/>
      <c r="AT2382" s="140"/>
      <c r="AX2382" s="140"/>
      <c r="BB2382" s="173"/>
      <c r="BC2382" s="173"/>
    </row>
    <row r="2383" spans="2:55" s="134" customFormat="1" x14ac:dyDescent="0.2">
      <c r="B2383" s="145"/>
      <c r="D2383" s="145"/>
      <c r="Z2383" s="177"/>
      <c r="AA2383" s="178"/>
      <c r="AB2383" s="139"/>
      <c r="AC2383" s="173"/>
      <c r="AD2383" s="177"/>
      <c r="AE2383" s="177"/>
      <c r="AF2383" s="139"/>
      <c r="AG2383" s="139"/>
      <c r="AH2383" s="177"/>
      <c r="AI2383" s="178"/>
      <c r="AJ2383" s="139"/>
      <c r="AK2383" s="173"/>
      <c r="AL2383" s="177"/>
      <c r="AM2383" s="178"/>
      <c r="AN2383" s="173"/>
      <c r="AO2383" s="173"/>
      <c r="AP2383" s="173"/>
      <c r="AQ2383" s="178"/>
      <c r="AR2383" s="173"/>
      <c r="AS2383" s="173"/>
      <c r="AT2383" s="140"/>
      <c r="AX2383" s="140"/>
      <c r="BB2383" s="173"/>
      <c r="BC2383" s="173"/>
    </row>
    <row r="2384" spans="2:55" s="134" customFormat="1" x14ac:dyDescent="0.2">
      <c r="B2384" s="145"/>
      <c r="D2384" s="145"/>
      <c r="Z2384" s="177"/>
      <c r="AA2384" s="178"/>
      <c r="AB2384" s="139"/>
      <c r="AC2384" s="173"/>
      <c r="AD2384" s="177"/>
      <c r="AE2384" s="177"/>
      <c r="AF2384" s="139"/>
      <c r="AG2384" s="139"/>
      <c r="AH2384" s="177"/>
      <c r="AI2384" s="178"/>
      <c r="AJ2384" s="139"/>
      <c r="AK2384" s="173"/>
      <c r="AL2384" s="177"/>
      <c r="AM2384" s="178"/>
      <c r="AN2384" s="173"/>
      <c r="AO2384" s="173"/>
      <c r="AP2384" s="173"/>
      <c r="AQ2384" s="178"/>
      <c r="AR2384" s="173"/>
      <c r="AS2384" s="173"/>
      <c r="AT2384" s="140"/>
      <c r="AX2384" s="140"/>
      <c r="BB2384" s="173"/>
      <c r="BC2384" s="173"/>
    </row>
    <row r="2385" spans="2:55" s="134" customFormat="1" x14ac:dyDescent="0.2">
      <c r="B2385" s="145"/>
      <c r="D2385" s="145"/>
      <c r="Z2385" s="177"/>
      <c r="AA2385" s="178"/>
      <c r="AB2385" s="139"/>
      <c r="AC2385" s="173"/>
      <c r="AD2385" s="177"/>
      <c r="AE2385" s="177"/>
      <c r="AF2385" s="139"/>
      <c r="AG2385" s="139"/>
      <c r="AH2385" s="177"/>
      <c r="AI2385" s="178"/>
      <c r="AJ2385" s="139"/>
      <c r="AK2385" s="173"/>
      <c r="AL2385" s="177"/>
      <c r="AM2385" s="178"/>
      <c r="AN2385" s="173"/>
      <c r="AO2385" s="173"/>
      <c r="AP2385" s="173"/>
      <c r="AQ2385" s="178"/>
      <c r="AR2385" s="173"/>
      <c r="AS2385" s="173"/>
      <c r="AT2385" s="140"/>
      <c r="AX2385" s="140"/>
      <c r="BB2385" s="173"/>
      <c r="BC2385" s="173"/>
    </row>
    <row r="2386" spans="2:55" s="134" customFormat="1" x14ac:dyDescent="0.2">
      <c r="B2386" s="145"/>
      <c r="D2386" s="145"/>
      <c r="Z2386" s="177"/>
      <c r="AA2386" s="178"/>
      <c r="AB2386" s="139"/>
      <c r="AC2386" s="173"/>
      <c r="AD2386" s="177"/>
      <c r="AE2386" s="177"/>
      <c r="AF2386" s="139"/>
      <c r="AG2386" s="139"/>
      <c r="AH2386" s="177"/>
      <c r="AI2386" s="178"/>
      <c r="AJ2386" s="139"/>
      <c r="AK2386" s="173"/>
      <c r="AL2386" s="177"/>
      <c r="AM2386" s="178"/>
      <c r="AN2386" s="173"/>
      <c r="AO2386" s="173"/>
      <c r="AP2386" s="173"/>
      <c r="AQ2386" s="178"/>
      <c r="AR2386" s="173"/>
      <c r="AS2386" s="173"/>
      <c r="AT2386" s="140"/>
      <c r="AX2386" s="140"/>
      <c r="BB2386" s="173"/>
      <c r="BC2386" s="173"/>
    </row>
    <row r="2387" spans="2:55" s="134" customFormat="1" x14ac:dyDescent="0.2">
      <c r="B2387" s="145"/>
      <c r="D2387" s="145"/>
      <c r="Z2387" s="177"/>
      <c r="AA2387" s="178"/>
      <c r="AB2387" s="139"/>
      <c r="AC2387" s="173"/>
      <c r="AD2387" s="177"/>
      <c r="AE2387" s="177"/>
      <c r="AF2387" s="139"/>
      <c r="AG2387" s="139"/>
      <c r="AH2387" s="177"/>
      <c r="AI2387" s="178"/>
      <c r="AJ2387" s="139"/>
      <c r="AK2387" s="173"/>
      <c r="AL2387" s="177"/>
      <c r="AM2387" s="178"/>
      <c r="AN2387" s="173"/>
      <c r="AO2387" s="173"/>
      <c r="AP2387" s="173"/>
      <c r="AQ2387" s="178"/>
      <c r="AR2387" s="173"/>
      <c r="AS2387" s="173"/>
      <c r="AT2387" s="140"/>
      <c r="AX2387" s="140"/>
      <c r="BB2387" s="173"/>
      <c r="BC2387" s="173"/>
    </row>
    <row r="2388" spans="2:55" s="134" customFormat="1" x14ac:dyDescent="0.2">
      <c r="B2388" s="145"/>
      <c r="D2388" s="145"/>
      <c r="Z2388" s="177"/>
      <c r="AA2388" s="178"/>
      <c r="AB2388" s="139"/>
      <c r="AC2388" s="173"/>
      <c r="AD2388" s="177"/>
      <c r="AE2388" s="177"/>
      <c r="AF2388" s="139"/>
      <c r="AG2388" s="139"/>
      <c r="AH2388" s="177"/>
      <c r="AI2388" s="178"/>
      <c r="AJ2388" s="139"/>
      <c r="AK2388" s="173"/>
      <c r="AL2388" s="177"/>
      <c r="AM2388" s="178"/>
      <c r="AN2388" s="173"/>
      <c r="AO2388" s="173"/>
      <c r="AP2388" s="173"/>
      <c r="AQ2388" s="178"/>
      <c r="AR2388" s="173"/>
      <c r="AS2388" s="173"/>
      <c r="AT2388" s="140"/>
      <c r="AX2388" s="140"/>
      <c r="BB2388" s="173"/>
      <c r="BC2388" s="173"/>
    </row>
    <row r="2389" spans="2:55" s="134" customFormat="1" x14ac:dyDescent="0.2">
      <c r="B2389" s="145"/>
      <c r="D2389" s="145"/>
      <c r="Z2389" s="177"/>
      <c r="AA2389" s="178"/>
      <c r="AB2389" s="139"/>
      <c r="AC2389" s="173"/>
      <c r="AD2389" s="177"/>
      <c r="AE2389" s="177"/>
      <c r="AF2389" s="139"/>
      <c r="AG2389" s="139"/>
      <c r="AH2389" s="177"/>
      <c r="AI2389" s="178"/>
      <c r="AJ2389" s="139"/>
      <c r="AK2389" s="173"/>
      <c r="AL2389" s="177"/>
      <c r="AM2389" s="178"/>
      <c r="AN2389" s="173"/>
      <c r="AO2389" s="173"/>
      <c r="AP2389" s="173"/>
      <c r="AQ2389" s="178"/>
      <c r="AR2389" s="173"/>
      <c r="AS2389" s="173"/>
      <c r="AT2389" s="140"/>
      <c r="AX2389" s="140"/>
      <c r="BB2389" s="173"/>
      <c r="BC2389" s="173"/>
    </row>
    <row r="2390" spans="2:55" s="134" customFormat="1" x14ac:dyDescent="0.2">
      <c r="B2390" s="145"/>
      <c r="D2390" s="145"/>
      <c r="Z2390" s="177"/>
      <c r="AA2390" s="178"/>
      <c r="AB2390" s="139"/>
      <c r="AC2390" s="173"/>
      <c r="AD2390" s="177"/>
      <c r="AE2390" s="177"/>
      <c r="AF2390" s="139"/>
      <c r="AG2390" s="139"/>
      <c r="AH2390" s="177"/>
      <c r="AI2390" s="178"/>
      <c r="AJ2390" s="139"/>
      <c r="AK2390" s="173"/>
      <c r="AL2390" s="177"/>
      <c r="AM2390" s="178"/>
      <c r="AN2390" s="173"/>
      <c r="AO2390" s="173"/>
      <c r="AP2390" s="173"/>
      <c r="AQ2390" s="178"/>
      <c r="AR2390" s="173"/>
      <c r="AS2390" s="173"/>
      <c r="AT2390" s="140"/>
      <c r="AX2390" s="140"/>
      <c r="BB2390" s="173"/>
      <c r="BC2390" s="173"/>
    </row>
    <row r="2391" spans="2:55" s="134" customFormat="1" x14ac:dyDescent="0.2">
      <c r="B2391" s="145"/>
      <c r="D2391" s="145"/>
      <c r="Z2391" s="177"/>
      <c r="AA2391" s="178"/>
      <c r="AB2391" s="139"/>
      <c r="AC2391" s="173"/>
      <c r="AD2391" s="177"/>
      <c r="AE2391" s="177"/>
      <c r="AF2391" s="139"/>
      <c r="AG2391" s="139"/>
      <c r="AH2391" s="177"/>
      <c r="AI2391" s="178"/>
      <c r="AJ2391" s="139"/>
      <c r="AK2391" s="173"/>
      <c r="AL2391" s="177"/>
      <c r="AM2391" s="178"/>
      <c r="AN2391" s="173"/>
      <c r="AO2391" s="173"/>
      <c r="AP2391" s="173"/>
      <c r="AQ2391" s="178"/>
      <c r="AR2391" s="173"/>
      <c r="AS2391" s="173"/>
      <c r="AT2391" s="140"/>
      <c r="AX2391" s="140"/>
      <c r="BB2391" s="173"/>
      <c r="BC2391" s="173"/>
    </row>
    <row r="2392" spans="2:55" s="134" customFormat="1" x14ac:dyDescent="0.2">
      <c r="B2392" s="145"/>
      <c r="D2392" s="145"/>
      <c r="Z2392" s="177"/>
      <c r="AA2392" s="178"/>
      <c r="AB2392" s="139"/>
      <c r="AC2392" s="173"/>
      <c r="AD2392" s="177"/>
      <c r="AE2392" s="177"/>
      <c r="AF2392" s="139"/>
      <c r="AG2392" s="139"/>
      <c r="AH2392" s="177"/>
      <c r="AI2392" s="178"/>
      <c r="AJ2392" s="139"/>
      <c r="AK2392" s="173"/>
      <c r="AL2392" s="177"/>
      <c r="AM2392" s="178"/>
      <c r="AN2392" s="173"/>
      <c r="AO2392" s="173"/>
      <c r="AP2392" s="173"/>
      <c r="AQ2392" s="178"/>
      <c r="AR2392" s="173"/>
      <c r="AS2392" s="173"/>
      <c r="AT2392" s="140"/>
      <c r="AX2392" s="140"/>
      <c r="BB2392" s="173"/>
      <c r="BC2392" s="173"/>
    </row>
    <row r="2393" spans="2:55" s="134" customFormat="1" x14ac:dyDescent="0.2">
      <c r="B2393" s="145"/>
      <c r="D2393" s="145"/>
      <c r="Z2393" s="177"/>
      <c r="AA2393" s="178"/>
      <c r="AB2393" s="139"/>
      <c r="AC2393" s="173"/>
      <c r="AD2393" s="177"/>
      <c r="AE2393" s="177"/>
      <c r="AF2393" s="139"/>
      <c r="AG2393" s="139"/>
      <c r="AH2393" s="177"/>
      <c r="AI2393" s="178"/>
      <c r="AJ2393" s="139"/>
      <c r="AK2393" s="173"/>
      <c r="AL2393" s="177"/>
      <c r="AM2393" s="178"/>
      <c r="AN2393" s="173"/>
      <c r="AO2393" s="173"/>
      <c r="AP2393" s="173"/>
      <c r="AQ2393" s="178"/>
      <c r="AR2393" s="173"/>
      <c r="AS2393" s="173"/>
      <c r="AT2393" s="140"/>
      <c r="AX2393" s="140"/>
      <c r="BB2393" s="173"/>
      <c r="BC2393" s="173"/>
    </row>
    <row r="2394" spans="2:55" s="134" customFormat="1" x14ac:dyDescent="0.2">
      <c r="B2394" s="145"/>
      <c r="D2394" s="145"/>
      <c r="Z2394" s="177"/>
      <c r="AA2394" s="178"/>
      <c r="AB2394" s="139"/>
      <c r="AC2394" s="173"/>
      <c r="AD2394" s="177"/>
      <c r="AE2394" s="177"/>
      <c r="AF2394" s="139"/>
      <c r="AG2394" s="139"/>
      <c r="AH2394" s="177"/>
      <c r="AI2394" s="178"/>
      <c r="AJ2394" s="139"/>
      <c r="AK2394" s="173"/>
      <c r="AL2394" s="177"/>
      <c r="AM2394" s="178"/>
      <c r="AN2394" s="173"/>
      <c r="AO2394" s="173"/>
      <c r="AP2394" s="173"/>
      <c r="AQ2394" s="178"/>
      <c r="AR2394" s="173"/>
      <c r="AS2394" s="173"/>
      <c r="AT2394" s="140"/>
      <c r="AX2394" s="140"/>
      <c r="BB2394" s="173"/>
      <c r="BC2394" s="173"/>
    </row>
    <row r="2395" spans="2:55" s="134" customFormat="1" x14ac:dyDescent="0.2">
      <c r="B2395" s="145"/>
      <c r="D2395" s="145"/>
      <c r="Z2395" s="177"/>
      <c r="AA2395" s="178"/>
      <c r="AB2395" s="139"/>
      <c r="AC2395" s="173"/>
      <c r="AD2395" s="177"/>
      <c r="AE2395" s="177"/>
      <c r="AF2395" s="139"/>
      <c r="AG2395" s="139"/>
      <c r="AH2395" s="177"/>
      <c r="AI2395" s="178"/>
      <c r="AJ2395" s="139"/>
      <c r="AK2395" s="173"/>
      <c r="AL2395" s="177"/>
      <c r="AM2395" s="178"/>
      <c r="AN2395" s="173"/>
      <c r="AO2395" s="173"/>
      <c r="AP2395" s="173"/>
      <c r="AQ2395" s="178"/>
      <c r="AR2395" s="173"/>
      <c r="AS2395" s="173"/>
      <c r="AT2395" s="140"/>
      <c r="AX2395" s="140"/>
      <c r="BB2395" s="173"/>
      <c r="BC2395" s="173"/>
    </row>
    <row r="2396" spans="2:55" s="134" customFormat="1" x14ac:dyDescent="0.2">
      <c r="B2396" s="145"/>
      <c r="D2396" s="145"/>
      <c r="Z2396" s="177"/>
      <c r="AA2396" s="178"/>
      <c r="AB2396" s="139"/>
      <c r="AC2396" s="173"/>
      <c r="AD2396" s="177"/>
      <c r="AE2396" s="177"/>
      <c r="AF2396" s="139"/>
      <c r="AG2396" s="139"/>
      <c r="AH2396" s="177"/>
      <c r="AI2396" s="178"/>
      <c r="AJ2396" s="139"/>
      <c r="AK2396" s="173"/>
      <c r="AL2396" s="177"/>
      <c r="AM2396" s="178"/>
      <c r="AN2396" s="173"/>
      <c r="AO2396" s="173"/>
      <c r="AP2396" s="173"/>
      <c r="AQ2396" s="178"/>
      <c r="AR2396" s="173"/>
      <c r="AS2396" s="173"/>
      <c r="AT2396" s="140"/>
      <c r="AX2396" s="140"/>
      <c r="BB2396" s="173"/>
      <c r="BC2396" s="173"/>
    </row>
    <row r="2397" spans="2:55" s="134" customFormat="1" x14ac:dyDescent="0.2">
      <c r="B2397" s="145"/>
      <c r="D2397" s="145"/>
      <c r="Z2397" s="177"/>
      <c r="AA2397" s="178"/>
      <c r="AB2397" s="139"/>
      <c r="AC2397" s="173"/>
      <c r="AD2397" s="177"/>
      <c r="AE2397" s="177"/>
      <c r="AF2397" s="139"/>
      <c r="AG2397" s="139"/>
      <c r="AH2397" s="177"/>
      <c r="AI2397" s="178"/>
      <c r="AJ2397" s="139"/>
      <c r="AK2397" s="173"/>
      <c r="AL2397" s="177"/>
      <c r="AM2397" s="178"/>
      <c r="AN2397" s="173"/>
      <c r="AO2397" s="173"/>
      <c r="AP2397" s="173"/>
      <c r="AQ2397" s="178"/>
      <c r="AR2397" s="173"/>
      <c r="AS2397" s="173"/>
      <c r="AT2397" s="140"/>
      <c r="AX2397" s="140"/>
      <c r="BB2397" s="173"/>
      <c r="BC2397" s="173"/>
    </row>
    <row r="2398" spans="2:55" s="134" customFormat="1" x14ac:dyDescent="0.2">
      <c r="B2398" s="145"/>
      <c r="D2398" s="145"/>
      <c r="Z2398" s="177"/>
      <c r="AA2398" s="178"/>
      <c r="AB2398" s="139"/>
      <c r="AC2398" s="173"/>
      <c r="AD2398" s="177"/>
      <c r="AE2398" s="177"/>
      <c r="AF2398" s="139"/>
      <c r="AG2398" s="139"/>
      <c r="AH2398" s="177"/>
      <c r="AI2398" s="178"/>
      <c r="AJ2398" s="139"/>
      <c r="AK2398" s="173"/>
      <c r="AL2398" s="177"/>
      <c r="AM2398" s="178"/>
      <c r="AN2398" s="173"/>
      <c r="AO2398" s="173"/>
      <c r="AP2398" s="173"/>
      <c r="AQ2398" s="178"/>
      <c r="AR2398" s="173"/>
      <c r="AS2398" s="173"/>
      <c r="AT2398" s="140"/>
      <c r="AX2398" s="140"/>
      <c r="BB2398" s="173"/>
      <c r="BC2398" s="173"/>
    </row>
    <row r="2399" spans="2:55" s="134" customFormat="1" x14ac:dyDescent="0.2">
      <c r="B2399" s="145"/>
      <c r="D2399" s="145"/>
      <c r="Z2399" s="177"/>
      <c r="AA2399" s="178"/>
      <c r="AB2399" s="139"/>
      <c r="AC2399" s="173"/>
      <c r="AD2399" s="177"/>
      <c r="AE2399" s="177"/>
      <c r="AF2399" s="139"/>
      <c r="AG2399" s="139"/>
      <c r="AH2399" s="177"/>
      <c r="AI2399" s="178"/>
      <c r="AJ2399" s="139"/>
      <c r="AK2399" s="173"/>
      <c r="AL2399" s="177"/>
      <c r="AM2399" s="178"/>
      <c r="AN2399" s="173"/>
      <c r="AO2399" s="173"/>
      <c r="AP2399" s="173"/>
      <c r="AQ2399" s="178"/>
      <c r="AR2399" s="173"/>
      <c r="AS2399" s="173"/>
      <c r="AT2399" s="140"/>
      <c r="AX2399" s="140"/>
      <c r="BB2399" s="173"/>
      <c r="BC2399" s="173"/>
    </row>
    <row r="2400" spans="2:55" s="134" customFormat="1" x14ac:dyDescent="0.2">
      <c r="B2400" s="145"/>
      <c r="D2400" s="145"/>
      <c r="Z2400" s="177"/>
      <c r="AA2400" s="178"/>
      <c r="AB2400" s="139"/>
      <c r="AC2400" s="173"/>
      <c r="AD2400" s="177"/>
      <c r="AE2400" s="177"/>
      <c r="AF2400" s="139"/>
      <c r="AG2400" s="139"/>
      <c r="AH2400" s="177"/>
      <c r="AI2400" s="178"/>
      <c r="AJ2400" s="139"/>
      <c r="AK2400" s="173"/>
      <c r="AL2400" s="177"/>
      <c r="AM2400" s="178"/>
      <c r="AN2400" s="173"/>
      <c r="AO2400" s="173"/>
      <c r="AP2400" s="173"/>
      <c r="AQ2400" s="178"/>
      <c r="AR2400" s="173"/>
      <c r="AS2400" s="173"/>
      <c r="AT2400" s="140"/>
      <c r="AX2400" s="140"/>
      <c r="BB2400" s="173"/>
      <c r="BC2400" s="173"/>
    </row>
    <row r="2401" spans="2:55" s="134" customFormat="1" x14ac:dyDescent="0.2">
      <c r="B2401" s="145"/>
      <c r="D2401" s="145"/>
      <c r="Z2401" s="177"/>
      <c r="AA2401" s="178"/>
      <c r="AB2401" s="139"/>
      <c r="AC2401" s="173"/>
      <c r="AD2401" s="177"/>
      <c r="AE2401" s="177"/>
      <c r="AF2401" s="139"/>
      <c r="AG2401" s="139"/>
      <c r="AH2401" s="177"/>
      <c r="AI2401" s="178"/>
      <c r="AJ2401" s="139"/>
      <c r="AK2401" s="173"/>
      <c r="AL2401" s="177"/>
      <c r="AM2401" s="178"/>
      <c r="AN2401" s="173"/>
      <c r="AO2401" s="173"/>
      <c r="AP2401" s="173"/>
      <c r="AQ2401" s="178"/>
      <c r="AR2401" s="173"/>
      <c r="AS2401" s="173"/>
      <c r="AT2401" s="140"/>
      <c r="AX2401" s="140"/>
      <c r="BB2401" s="173"/>
      <c r="BC2401" s="173"/>
    </row>
    <row r="2402" spans="2:55" s="134" customFormat="1" x14ac:dyDescent="0.2">
      <c r="B2402" s="145"/>
      <c r="D2402" s="145"/>
      <c r="Z2402" s="177"/>
      <c r="AA2402" s="178"/>
      <c r="AB2402" s="139"/>
      <c r="AC2402" s="173"/>
      <c r="AD2402" s="177"/>
      <c r="AE2402" s="177"/>
      <c r="AF2402" s="139"/>
      <c r="AG2402" s="139"/>
      <c r="AH2402" s="177"/>
      <c r="AI2402" s="178"/>
      <c r="AJ2402" s="139"/>
      <c r="AK2402" s="173"/>
      <c r="AL2402" s="177"/>
      <c r="AM2402" s="178"/>
      <c r="AN2402" s="173"/>
      <c r="AO2402" s="173"/>
      <c r="AP2402" s="173"/>
      <c r="AQ2402" s="178"/>
      <c r="AR2402" s="173"/>
      <c r="AS2402" s="173"/>
      <c r="AT2402" s="140"/>
      <c r="AX2402" s="140"/>
      <c r="BB2402" s="173"/>
      <c r="BC2402" s="173"/>
    </row>
    <row r="2403" spans="2:55" s="134" customFormat="1" x14ac:dyDescent="0.2">
      <c r="B2403" s="145"/>
      <c r="D2403" s="145"/>
      <c r="Z2403" s="177"/>
      <c r="AA2403" s="178"/>
      <c r="AB2403" s="139"/>
      <c r="AC2403" s="173"/>
      <c r="AD2403" s="177"/>
      <c r="AE2403" s="177"/>
      <c r="AF2403" s="139"/>
      <c r="AG2403" s="139"/>
      <c r="AH2403" s="177"/>
      <c r="AI2403" s="178"/>
      <c r="AJ2403" s="139"/>
      <c r="AK2403" s="173"/>
      <c r="AL2403" s="177"/>
      <c r="AM2403" s="178"/>
      <c r="AN2403" s="173"/>
      <c r="AO2403" s="173"/>
      <c r="AP2403" s="173"/>
      <c r="AQ2403" s="178"/>
      <c r="AR2403" s="173"/>
      <c r="AS2403" s="173"/>
      <c r="AT2403" s="140"/>
      <c r="AX2403" s="140"/>
      <c r="BB2403" s="173"/>
      <c r="BC2403" s="173"/>
    </row>
    <row r="2404" spans="2:55" s="134" customFormat="1" x14ac:dyDescent="0.2">
      <c r="B2404" s="145"/>
      <c r="D2404" s="145"/>
      <c r="Z2404" s="177"/>
      <c r="AA2404" s="178"/>
      <c r="AB2404" s="139"/>
      <c r="AC2404" s="173"/>
      <c r="AD2404" s="177"/>
      <c r="AE2404" s="177"/>
      <c r="AF2404" s="139"/>
      <c r="AG2404" s="139"/>
      <c r="AH2404" s="177"/>
      <c r="AI2404" s="178"/>
      <c r="AJ2404" s="139"/>
      <c r="AK2404" s="173"/>
      <c r="AL2404" s="177"/>
      <c r="AM2404" s="178"/>
      <c r="AN2404" s="173"/>
      <c r="AO2404" s="173"/>
      <c r="AP2404" s="173"/>
      <c r="AQ2404" s="178"/>
      <c r="AR2404" s="173"/>
      <c r="AS2404" s="173"/>
      <c r="AT2404" s="140"/>
      <c r="AX2404" s="140"/>
      <c r="BB2404" s="173"/>
      <c r="BC2404" s="173"/>
    </row>
    <row r="2405" spans="2:55" s="134" customFormat="1" x14ac:dyDescent="0.2">
      <c r="B2405" s="145"/>
      <c r="D2405" s="145"/>
      <c r="Z2405" s="177"/>
      <c r="AA2405" s="178"/>
      <c r="AB2405" s="139"/>
      <c r="AC2405" s="173"/>
      <c r="AD2405" s="177"/>
      <c r="AE2405" s="177"/>
      <c r="AF2405" s="139"/>
      <c r="AG2405" s="139"/>
      <c r="AH2405" s="177"/>
      <c r="AI2405" s="178"/>
      <c r="AJ2405" s="139"/>
      <c r="AK2405" s="173"/>
      <c r="AL2405" s="177"/>
      <c r="AM2405" s="178"/>
      <c r="AN2405" s="173"/>
      <c r="AO2405" s="173"/>
      <c r="AP2405" s="173"/>
      <c r="AQ2405" s="178"/>
      <c r="AR2405" s="173"/>
      <c r="AS2405" s="173"/>
      <c r="AT2405" s="140"/>
      <c r="AX2405" s="140"/>
      <c r="BB2405" s="173"/>
      <c r="BC2405" s="173"/>
    </row>
    <row r="2406" spans="2:55" s="134" customFormat="1" x14ac:dyDescent="0.2">
      <c r="B2406" s="145"/>
      <c r="D2406" s="145"/>
      <c r="Z2406" s="177"/>
      <c r="AA2406" s="178"/>
      <c r="AB2406" s="139"/>
      <c r="AC2406" s="173"/>
      <c r="AD2406" s="177"/>
      <c r="AE2406" s="177"/>
      <c r="AF2406" s="139"/>
      <c r="AG2406" s="139"/>
      <c r="AH2406" s="177"/>
      <c r="AI2406" s="178"/>
      <c r="AJ2406" s="139"/>
      <c r="AK2406" s="173"/>
      <c r="AL2406" s="177"/>
      <c r="AM2406" s="178"/>
      <c r="AN2406" s="173"/>
      <c r="AO2406" s="173"/>
      <c r="AP2406" s="173"/>
      <c r="AQ2406" s="178"/>
      <c r="AR2406" s="173"/>
      <c r="AS2406" s="173"/>
      <c r="AT2406" s="140"/>
      <c r="AX2406" s="140"/>
      <c r="BB2406" s="173"/>
      <c r="BC2406" s="173"/>
    </row>
    <row r="2407" spans="2:55" s="134" customFormat="1" x14ac:dyDescent="0.2">
      <c r="B2407" s="145"/>
      <c r="D2407" s="145"/>
      <c r="Z2407" s="177"/>
      <c r="AA2407" s="178"/>
      <c r="AB2407" s="139"/>
      <c r="AC2407" s="173"/>
      <c r="AD2407" s="177"/>
      <c r="AE2407" s="177"/>
      <c r="AF2407" s="139"/>
      <c r="AG2407" s="139"/>
      <c r="AH2407" s="177"/>
      <c r="AI2407" s="178"/>
      <c r="AJ2407" s="139"/>
      <c r="AK2407" s="173"/>
      <c r="AL2407" s="177"/>
      <c r="AM2407" s="178"/>
      <c r="AN2407" s="173"/>
      <c r="AO2407" s="173"/>
      <c r="AP2407" s="173"/>
      <c r="AQ2407" s="178"/>
      <c r="AR2407" s="173"/>
      <c r="AS2407" s="173"/>
      <c r="AT2407" s="140"/>
      <c r="AX2407" s="140"/>
      <c r="BB2407" s="173"/>
      <c r="BC2407" s="173"/>
    </row>
    <row r="2408" spans="2:55" s="134" customFormat="1" x14ac:dyDescent="0.2">
      <c r="B2408" s="145"/>
      <c r="D2408" s="145"/>
      <c r="Z2408" s="177"/>
      <c r="AA2408" s="178"/>
      <c r="AB2408" s="139"/>
      <c r="AC2408" s="173"/>
      <c r="AD2408" s="177"/>
      <c r="AE2408" s="177"/>
      <c r="AF2408" s="139"/>
      <c r="AG2408" s="139"/>
      <c r="AH2408" s="177"/>
      <c r="AI2408" s="178"/>
      <c r="AJ2408" s="139"/>
      <c r="AK2408" s="173"/>
      <c r="AL2408" s="177"/>
      <c r="AM2408" s="178"/>
      <c r="AN2408" s="173"/>
      <c r="AO2408" s="173"/>
      <c r="AP2408" s="173"/>
      <c r="AQ2408" s="178"/>
      <c r="AR2408" s="173"/>
      <c r="AS2408" s="173"/>
      <c r="AT2408" s="140"/>
      <c r="AX2408" s="140"/>
      <c r="BB2408" s="173"/>
      <c r="BC2408" s="173"/>
    </row>
    <row r="2409" spans="2:55" s="134" customFormat="1" x14ac:dyDescent="0.2">
      <c r="B2409" s="145"/>
      <c r="D2409" s="145"/>
      <c r="Z2409" s="177"/>
      <c r="AA2409" s="178"/>
      <c r="AB2409" s="139"/>
      <c r="AC2409" s="173"/>
      <c r="AD2409" s="177"/>
      <c r="AE2409" s="177"/>
      <c r="AF2409" s="139"/>
      <c r="AG2409" s="139"/>
      <c r="AH2409" s="177"/>
      <c r="AI2409" s="178"/>
      <c r="AJ2409" s="139"/>
      <c r="AK2409" s="173"/>
      <c r="AL2409" s="177"/>
      <c r="AM2409" s="178"/>
      <c r="AN2409" s="173"/>
      <c r="AO2409" s="173"/>
      <c r="AP2409" s="173"/>
      <c r="AQ2409" s="178"/>
      <c r="AR2409" s="173"/>
      <c r="AS2409" s="173"/>
      <c r="AT2409" s="140"/>
      <c r="AX2409" s="140"/>
      <c r="BB2409" s="173"/>
      <c r="BC2409" s="173"/>
    </row>
    <row r="2410" spans="2:55" s="134" customFormat="1" x14ac:dyDescent="0.2">
      <c r="B2410" s="145"/>
      <c r="D2410" s="145"/>
      <c r="Z2410" s="177"/>
      <c r="AA2410" s="178"/>
      <c r="AB2410" s="139"/>
      <c r="AC2410" s="173"/>
      <c r="AD2410" s="177"/>
      <c r="AE2410" s="177"/>
      <c r="AF2410" s="139"/>
      <c r="AG2410" s="139"/>
      <c r="AH2410" s="177"/>
      <c r="AI2410" s="178"/>
      <c r="AJ2410" s="139"/>
      <c r="AK2410" s="173"/>
      <c r="AL2410" s="177"/>
      <c r="AM2410" s="178"/>
      <c r="AN2410" s="173"/>
      <c r="AO2410" s="173"/>
      <c r="AP2410" s="173"/>
      <c r="AQ2410" s="178"/>
      <c r="AR2410" s="173"/>
      <c r="AS2410" s="173"/>
      <c r="AT2410" s="140"/>
      <c r="AX2410" s="140"/>
      <c r="BB2410" s="173"/>
      <c r="BC2410" s="173"/>
    </row>
    <row r="2411" spans="2:55" s="134" customFormat="1" x14ac:dyDescent="0.2">
      <c r="B2411" s="145"/>
      <c r="D2411" s="145"/>
      <c r="Z2411" s="177"/>
      <c r="AA2411" s="178"/>
      <c r="AB2411" s="139"/>
      <c r="AC2411" s="173"/>
      <c r="AD2411" s="177"/>
      <c r="AE2411" s="177"/>
      <c r="AF2411" s="139"/>
      <c r="AG2411" s="139"/>
      <c r="AH2411" s="177"/>
      <c r="AI2411" s="178"/>
      <c r="AJ2411" s="139"/>
      <c r="AK2411" s="173"/>
      <c r="AL2411" s="177"/>
      <c r="AM2411" s="178"/>
      <c r="AN2411" s="173"/>
      <c r="AO2411" s="173"/>
      <c r="AP2411" s="173"/>
      <c r="AQ2411" s="178"/>
      <c r="AR2411" s="173"/>
      <c r="AS2411" s="173"/>
      <c r="AT2411" s="140"/>
      <c r="AX2411" s="140"/>
      <c r="BB2411" s="173"/>
      <c r="BC2411" s="173"/>
    </row>
    <row r="2412" spans="2:55" s="134" customFormat="1" x14ac:dyDescent="0.2">
      <c r="B2412" s="145"/>
      <c r="D2412" s="145"/>
      <c r="Z2412" s="177"/>
      <c r="AA2412" s="178"/>
      <c r="AB2412" s="139"/>
      <c r="AC2412" s="173"/>
      <c r="AD2412" s="177"/>
      <c r="AE2412" s="177"/>
      <c r="AF2412" s="139"/>
      <c r="AG2412" s="139"/>
      <c r="AH2412" s="177"/>
      <c r="AI2412" s="178"/>
      <c r="AJ2412" s="139"/>
      <c r="AK2412" s="173"/>
      <c r="AL2412" s="177"/>
      <c r="AM2412" s="178"/>
      <c r="AN2412" s="173"/>
      <c r="AO2412" s="173"/>
      <c r="AP2412" s="173"/>
      <c r="AQ2412" s="178"/>
      <c r="AR2412" s="173"/>
      <c r="AS2412" s="173"/>
      <c r="AT2412" s="140"/>
      <c r="AX2412" s="140"/>
      <c r="BB2412" s="173"/>
      <c r="BC2412" s="173"/>
    </row>
    <row r="2413" spans="2:55" s="134" customFormat="1" x14ac:dyDescent="0.2">
      <c r="B2413" s="145"/>
      <c r="D2413" s="145"/>
      <c r="Z2413" s="177"/>
      <c r="AA2413" s="178"/>
      <c r="AB2413" s="139"/>
      <c r="AC2413" s="173"/>
      <c r="AD2413" s="177"/>
      <c r="AE2413" s="177"/>
      <c r="AF2413" s="139"/>
      <c r="AG2413" s="139"/>
      <c r="AH2413" s="177"/>
      <c r="AI2413" s="178"/>
      <c r="AJ2413" s="139"/>
      <c r="AK2413" s="173"/>
      <c r="AL2413" s="177"/>
      <c r="AM2413" s="178"/>
      <c r="AN2413" s="173"/>
      <c r="AO2413" s="173"/>
      <c r="AP2413" s="173"/>
      <c r="AQ2413" s="178"/>
      <c r="AR2413" s="173"/>
      <c r="AS2413" s="173"/>
      <c r="AT2413" s="140"/>
      <c r="AX2413" s="140"/>
      <c r="BB2413" s="173"/>
      <c r="BC2413" s="173"/>
    </row>
    <row r="2414" spans="2:55" s="134" customFormat="1" x14ac:dyDescent="0.2">
      <c r="B2414" s="145"/>
      <c r="D2414" s="145"/>
      <c r="Z2414" s="177"/>
      <c r="AA2414" s="178"/>
      <c r="AB2414" s="139"/>
      <c r="AC2414" s="173"/>
      <c r="AD2414" s="177"/>
      <c r="AE2414" s="177"/>
      <c r="AF2414" s="139"/>
      <c r="AG2414" s="139"/>
      <c r="AH2414" s="177"/>
      <c r="AI2414" s="178"/>
      <c r="AJ2414" s="139"/>
      <c r="AK2414" s="173"/>
      <c r="AL2414" s="177"/>
      <c r="AM2414" s="178"/>
      <c r="AN2414" s="173"/>
      <c r="AO2414" s="173"/>
      <c r="AP2414" s="173"/>
      <c r="AQ2414" s="178"/>
      <c r="AR2414" s="173"/>
      <c r="AS2414" s="173"/>
      <c r="AT2414" s="140"/>
      <c r="AX2414" s="140"/>
      <c r="BB2414" s="173"/>
      <c r="BC2414" s="173"/>
    </row>
    <row r="2415" spans="2:55" s="134" customFormat="1" x14ac:dyDescent="0.2">
      <c r="B2415" s="145"/>
      <c r="D2415" s="145"/>
      <c r="Z2415" s="177"/>
      <c r="AA2415" s="178"/>
      <c r="AB2415" s="139"/>
      <c r="AC2415" s="173"/>
      <c r="AD2415" s="177"/>
      <c r="AE2415" s="177"/>
      <c r="AF2415" s="139"/>
      <c r="AG2415" s="139"/>
      <c r="AH2415" s="177"/>
      <c r="AI2415" s="178"/>
      <c r="AJ2415" s="139"/>
      <c r="AK2415" s="173"/>
      <c r="AL2415" s="177"/>
      <c r="AM2415" s="178"/>
      <c r="AN2415" s="173"/>
      <c r="AO2415" s="173"/>
      <c r="AP2415" s="173"/>
      <c r="AQ2415" s="178"/>
      <c r="AR2415" s="173"/>
      <c r="AS2415" s="173"/>
      <c r="AT2415" s="140"/>
      <c r="AX2415" s="140"/>
      <c r="BB2415" s="173"/>
      <c r="BC2415" s="173"/>
    </row>
    <row r="2416" spans="2:55" s="134" customFormat="1" x14ac:dyDescent="0.2">
      <c r="B2416" s="145"/>
      <c r="D2416" s="145"/>
      <c r="Z2416" s="177"/>
      <c r="AA2416" s="178"/>
      <c r="AB2416" s="139"/>
      <c r="AC2416" s="173"/>
      <c r="AD2416" s="177"/>
      <c r="AE2416" s="177"/>
      <c r="AF2416" s="139"/>
      <c r="AG2416" s="139"/>
      <c r="AH2416" s="177"/>
      <c r="AI2416" s="178"/>
      <c r="AJ2416" s="139"/>
      <c r="AK2416" s="173"/>
      <c r="AL2416" s="177"/>
      <c r="AM2416" s="178"/>
      <c r="AN2416" s="173"/>
      <c r="AO2416" s="173"/>
      <c r="AP2416" s="173"/>
      <c r="AQ2416" s="178"/>
      <c r="AR2416" s="173"/>
      <c r="AS2416" s="173"/>
      <c r="AT2416" s="140"/>
      <c r="AX2416" s="140"/>
      <c r="BB2416" s="173"/>
      <c r="BC2416" s="173"/>
    </row>
    <row r="2417" spans="2:55" s="134" customFormat="1" x14ac:dyDescent="0.2">
      <c r="B2417" s="145"/>
      <c r="D2417" s="145"/>
      <c r="Z2417" s="177"/>
      <c r="AA2417" s="178"/>
      <c r="AB2417" s="139"/>
      <c r="AC2417" s="173"/>
      <c r="AD2417" s="177"/>
      <c r="AE2417" s="177"/>
      <c r="AF2417" s="139"/>
      <c r="AG2417" s="139"/>
      <c r="AH2417" s="177"/>
      <c r="AI2417" s="178"/>
      <c r="AJ2417" s="139"/>
      <c r="AK2417" s="173"/>
      <c r="AL2417" s="177"/>
      <c r="AM2417" s="178"/>
      <c r="AN2417" s="173"/>
      <c r="AO2417" s="173"/>
      <c r="AP2417" s="173"/>
      <c r="AQ2417" s="178"/>
      <c r="AR2417" s="173"/>
      <c r="AS2417" s="173"/>
      <c r="AT2417" s="140"/>
      <c r="AX2417" s="140"/>
      <c r="BB2417" s="173"/>
      <c r="BC2417" s="173"/>
    </row>
    <row r="2418" spans="2:55" s="134" customFormat="1" x14ac:dyDescent="0.2">
      <c r="B2418" s="145"/>
      <c r="D2418" s="145"/>
      <c r="Z2418" s="177"/>
      <c r="AA2418" s="178"/>
      <c r="AB2418" s="139"/>
      <c r="AC2418" s="173"/>
      <c r="AD2418" s="177"/>
      <c r="AE2418" s="177"/>
      <c r="AF2418" s="139"/>
      <c r="AG2418" s="139"/>
      <c r="AH2418" s="177"/>
      <c r="AI2418" s="178"/>
      <c r="AJ2418" s="139"/>
      <c r="AK2418" s="173"/>
      <c r="AL2418" s="177"/>
      <c r="AM2418" s="178"/>
      <c r="AN2418" s="173"/>
      <c r="AO2418" s="173"/>
      <c r="AP2418" s="173"/>
      <c r="AQ2418" s="178"/>
      <c r="AR2418" s="173"/>
      <c r="AS2418" s="173"/>
      <c r="AT2418" s="140"/>
      <c r="AX2418" s="140"/>
      <c r="BB2418" s="173"/>
      <c r="BC2418" s="173"/>
    </row>
    <row r="2419" spans="2:55" s="134" customFormat="1" x14ac:dyDescent="0.2">
      <c r="B2419" s="145"/>
      <c r="D2419" s="145"/>
      <c r="Z2419" s="177"/>
      <c r="AA2419" s="178"/>
      <c r="AB2419" s="139"/>
      <c r="AC2419" s="173"/>
      <c r="AD2419" s="177"/>
      <c r="AE2419" s="177"/>
      <c r="AF2419" s="139"/>
      <c r="AG2419" s="139"/>
      <c r="AH2419" s="177"/>
      <c r="AI2419" s="178"/>
      <c r="AJ2419" s="139"/>
      <c r="AK2419" s="173"/>
      <c r="AL2419" s="177"/>
      <c r="AM2419" s="178"/>
      <c r="AN2419" s="173"/>
      <c r="AO2419" s="173"/>
      <c r="AP2419" s="173"/>
      <c r="AQ2419" s="178"/>
      <c r="AR2419" s="173"/>
      <c r="AS2419" s="173"/>
      <c r="AT2419" s="140"/>
      <c r="AX2419" s="140"/>
      <c r="BB2419" s="173"/>
      <c r="BC2419" s="173"/>
    </row>
    <row r="2420" spans="2:55" s="134" customFormat="1" x14ac:dyDescent="0.2">
      <c r="B2420" s="145"/>
      <c r="D2420" s="145"/>
      <c r="Z2420" s="177"/>
      <c r="AA2420" s="178"/>
      <c r="AB2420" s="139"/>
      <c r="AC2420" s="173"/>
      <c r="AD2420" s="177"/>
      <c r="AE2420" s="177"/>
      <c r="AF2420" s="139"/>
      <c r="AG2420" s="139"/>
      <c r="AH2420" s="177"/>
      <c r="AI2420" s="178"/>
      <c r="AJ2420" s="139"/>
      <c r="AK2420" s="173"/>
      <c r="AL2420" s="177"/>
      <c r="AM2420" s="178"/>
      <c r="AN2420" s="173"/>
      <c r="AO2420" s="173"/>
      <c r="AP2420" s="173"/>
      <c r="AQ2420" s="178"/>
      <c r="AR2420" s="173"/>
      <c r="AS2420" s="173"/>
      <c r="AT2420" s="140"/>
      <c r="AX2420" s="140"/>
      <c r="BB2420" s="173"/>
      <c r="BC2420" s="173"/>
    </row>
    <row r="2421" spans="2:55" s="134" customFormat="1" x14ac:dyDescent="0.2">
      <c r="B2421" s="145"/>
      <c r="D2421" s="145"/>
      <c r="Z2421" s="177"/>
      <c r="AA2421" s="178"/>
      <c r="AB2421" s="139"/>
      <c r="AC2421" s="173"/>
      <c r="AD2421" s="177"/>
      <c r="AE2421" s="177"/>
      <c r="AF2421" s="139"/>
      <c r="AG2421" s="139"/>
      <c r="AH2421" s="177"/>
      <c r="AI2421" s="178"/>
      <c r="AJ2421" s="139"/>
      <c r="AK2421" s="173"/>
      <c r="AL2421" s="177"/>
      <c r="AM2421" s="178"/>
      <c r="AN2421" s="173"/>
      <c r="AO2421" s="173"/>
      <c r="AP2421" s="173"/>
      <c r="AQ2421" s="178"/>
      <c r="AR2421" s="173"/>
      <c r="AS2421" s="173"/>
      <c r="AT2421" s="140"/>
      <c r="AX2421" s="140"/>
      <c r="BB2421" s="173"/>
      <c r="BC2421" s="173"/>
    </row>
    <row r="2422" spans="2:55" s="134" customFormat="1" x14ac:dyDescent="0.2">
      <c r="B2422" s="145"/>
      <c r="D2422" s="145"/>
      <c r="Z2422" s="177"/>
      <c r="AA2422" s="178"/>
      <c r="AB2422" s="139"/>
      <c r="AC2422" s="173"/>
      <c r="AD2422" s="177"/>
      <c r="AE2422" s="177"/>
      <c r="AF2422" s="139"/>
      <c r="AG2422" s="139"/>
      <c r="AH2422" s="177"/>
      <c r="AI2422" s="178"/>
      <c r="AJ2422" s="139"/>
      <c r="AK2422" s="173"/>
      <c r="AL2422" s="177"/>
      <c r="AM2422" s="178"/>
      <c r="AN2422" s="173"/>
      <c r="AO2422" s="173"/>
      <c r="AP2422" s="173"/>
      <c r="AQ2422" s="178"/>
      <c r="AR2422" s="173"/>
      <c r="AS2422" s="173"/>
      <c r="AT2422" s="140"/>
      <c r="AX2422" s="140"/>
      <c r="BB2422" s="173"/>
      <c r="BC2422" s="173"/>
    </row>
    <row r="2423" spans="2:55" s="134" customFormat="1" x14ac:dyDescent="0.2">
      <c r="B2423" s="145"/>
      <c r="D2423" s="145"/>
      <c r="Z2423" s="177"/>
      <c r="AA2423" s="178"/>
      <c r="AB2423" s="139"/>
      <c r="AC2423" s="173"/>
      <c r="AD2423" s="177"/>
      <c r="AE2423" s="177"/>
      <c r="AF2423" s="139"/>
      <c r="AG2423" s="139"/>
      <c r="AH2423" s="177"/>
      <c r="AI2423" s="178"/>
      <c r="AJ2423" s="139"/>
      <c r="AK2423" s="173"/>
      <c r="AL2423" s="177"/>
      <c r="AM2423" s="178"/>
      <c r="AN2423" s="173"/>
      <c r="AO2423" s="173"/>
      <c r="AP2423" s="173"/>
      <c r="AQ2423" s="178"/>
      <c r="AR2423" s="173"/>
      <c r="AS2423" s="173"/>
      <c r="AT2423" s="140"/>
      <c r="AX2423" s="140"/>
      <c r="BB2423" s="173"/>
      <c r="BC2423" s="173"/>
    </row>
    <row r="2424" spans="2:55" s="134" customFormat="1" x14ac:dyDescent="0.2">
      <c r="B2424" s="145"/>
      <c r="D2424" s="145"/>
      <c r="Z2424" s="177"/>
      <c r="AA2424" s="178"/>
      <c r="AB2424" s="139"/>
      <c r="AC2424" s="173"/>
      <c r="AD2424" s="177"/>
      <c r="AE2424" s="177"/>
      <c r="AF2424" s="139"/>
      <c r="AG2424" s="139"/>
      <c r="AH2424" s="177"/>
      <c r="AI2424" s="178"/>
      <c r="AJ2424" s="139"/>
      <c r="AK2424" s="173"/>
      <c r="AL2424" s="177"/>
      <c r="AM2424" s="178"/>
      <c r="AN2424" s="173"/>
      <c r="AO2424" s="173"/>
      <c r="AP2424" s="173"/>
      <c r="AQ2424" s="178"/>
      <c r="AR2424" s="173"/>
      <c r="AS2424" s="173"/>
      <c r="AT2424" s="140"/>
      <c r="AX2424" s="140"/>
      <c r="BB2424" s="173"/>
      <c r="BC2424" s="173"/>
    </row>
    <row r="2425" spans="2:55" s="134" customFormat="1" x14ac:dyDescent="0.2">
      <c r="B2425" s="145"/>
      <c r="D2425" s="145"/>
      <c r="Z2425" s="177"/>
      <c r="AA2425" s="178"/>
      <c r="AB2425" s="139"/>
      <c r="AC2425" s="173"/>
      <c r="AD2425" s="177"/>
      <c r="AE2425" s="177"/>
      <c r="AF2425" s="139"/>
      <c r="AG2425" s="139"/>
      <c r="AH2425" s="177"/>
      <c r="AI2425" s="178"/>
      <c r="AJ2425" s="139"/>
      <c r="AK2425" s="173"/>
      <c r="AL2425" s="177"/>
      <c r="AM2425" s="178"/>
      <c r="AN2425" s="173"/>
      <c r="AO2425" s="173"/>
      <c r="AP2425" s="173"/>
      <c r="AQ2425" s="178"/>
      <c r="AR2425" s="173"/>
      <c r="AS2425" s="173"/>
      <c r="AT2425" s="140"/>
      <c r="AX2425" s="140"/>
      <c r="BB2425" s="173"/>
      <c r="BC2425" s="173"/>
    </row>
    <row r="2426" spans="2:55" s="134" customFormat="1" x14ac:dyDescent="0.2">
      <c r="B2426" s="145"/>
      <c r="D2426" s="145"/>
      <c r="Z2426" s="177"/>
      <c r="AA2426" s="178"/>
      <c r="AB2426" s="139"/>
      <c r="AC2426" s="173"/>
      <c r="AD2426" s="177"/>
      <c r="AE2426" s="177"/>
      <c r="AF2426" s="139"/>
      <c r="AG2426" s="139"/>
      <c r="AH2426" s="177"/>
      <c r="AI2426" s="178"/>
      <c r="AJ2426" s="139"/>
      <c r="AK2426" s="173"/>
      <c r="AL2426" s="177"/>
      <c r="AM2426" s="178"/>
      <c r="AN2426" s="173"/>
      <c r="AO2426" s="173"/>
      <c r="AP2426" s="173"/>
      <c r="AQ2426" s="178"/>
      <c r="AR2426" s="173"/>
      <c r="AS2426" s="173"/>
      <c r="AT2426" s="140"/>
      <c r="AX2426" s="140"/>
      <c r="BB2426" s="173"/>
      <c r="BC2426" s="173"/>
    </row>
    <row r="2427" spans="2:55" s="134" customFormat="1" x14ac:dyDescent="0.2">
      <c r="B2427" s="145"/>
      <c r="D2427" s="145"/>
      <c r="Z2427" s="177"/>
      <c r="AA2427" s="178"/>
      <c r="AB2427" s="139"/>
      <c r="AC2427" s="173"/>
      <c r="AD2427" s="177"/>
      <c r="AE2427" s="177"/>
      <c r="AF2427" s="139"/>
      <c r="AG2427" s="139"/>
      <c r="AH2427" s="177"/>
      <c r="AI2427" s="178"/>
      <c r="AJ2427" s="139"/>
      <c r="AK2427" s="173"/>
      <c r="AL2427" s="177"/>
      <c r="AM2427" s="178"/>
      <c r="AN2427" s="173"/>
      <c r="AO2427" s="173"/>
      <c r="AP2427" s="173"/>
      <c r="AQ2427" s="178"/>
      <c r="AR2427" s="173"/>
      <c r="AS2427" s="173"/>
      <c r="AT2427" s="140"/>
      <c r="AX2427" s="140"/>
      <c r="BB2427" s="173"/>
      <c r="BC2427" s="173"/>
    </row>
    <row r="2428" spans="2:55" s="134" customFormat="1" x14ac:dyDescent="0.2">
      <c r="B2428" s="145"/>
      <c r="D2428" s="145"/>
      <c r="Z2428" s="177"/>
      <c r="AA2428" s="178"/>
      <c r="AB2428" s="139"/>
      <c r="AC2428" s="173"/>
      <c r="AD2428" s="177"/>
      <c r="AE2428" s="177"/>
      <c r="AF2428" s="139"/>
      <c r="AG2428" s="139"/>
      <c r="AH2428" s="177"/>
      <c r="AI2428" s="178"/>
      <c r="AJ2428" s="139"/>
      <c r="AK2428" s="173"/>
      <c r="AL2428" s="177"/>
      <c r="AM2428" s="178"/>
      <c r="AN2428" s="173"/>
      <c r="AO2428" s="173"/>
      <c r="AP2428" s="173"/>
      <c r="AQ2428" s="178"/>
      <c r="AR2428" s="173"/>
      <c r="AS2428" s="173"/>
      <c r="AT2428" s="140"/>
      <c r="AX2428" s="140"/>
      <c r="BB2428" s="173"/>
      <c r="BC2428" s="173"/>
    </row>
    <row r="2429" spans="2:55" s="134" customFormat="1" x14ac:dyDescent="0.2">
      <c r="B2429" s="145"/>
      <c r="D2429" s="145"/>
      <c r="Z2429" s="177"/>
      <c r="AA2429" s="178"/>
      <c r="AB2429" s="139"/>
      <c r="AC2429" s="173"/>
      <c r="AD2429" s="177"/>
      <c r="AE2429" s="177"/>
      <c r="AF2429" s="139"/>
      <c r="AG2429" s="139"/>
      <c r="AH2429" s="177"/>
      <c r="AI2429" s="178"/>
      <c r="AJ2429" s="139"/>
      <c r="AK2429" s="173"/>
      <c r="AL2429" s="177"/>
      <c r="AM2429" s="178"/>
      <c r="AN2429" s="173"/>
      <c r="AO2429" s="173"/>
      <c r="AP2429" s="173"/>
      <c r="AQ2429" s="178"/>
      <c r="AR2429" s="173"/>
      <c r="AS2429" s="173"/>
      <c r="AT2429" s="140"/>
      <c r="AX2429" s="140"/>
      <c r="BB2429" s="173"/>
      <c r="BC2429" s="173"/>
    </row>
    <row r="2430" spans="2:55" s="134" customFormat="1" x14ac:dyDescent="0.2">
      <c r="B2430" s="145"/>
      <c r="D2430" s="145"/>
      <c r="Z2430" s="177"/>
      <c r="AA2430" s="178"/>
      <c r="AB2430" s="139"/>
      <c r="AC2430" s="173"/>
      <c r="AD2430" s="177"/>
      <c r="AE2430" s="177"/>
      <c r="AF2430" s="139"/>
      <c r="AG2430" s="139"/>
      <c r="AH2430" s="177"/>
      <c r="AI2430" s="178"/>
      <c r="AJ2430" s="139"/>
      <c r="AK2430" s="173"/>
      <c r="AL2430" s="177"/>
      <c r="AM2430" s="178"/>
      <c r="AN2430" s="173"/>
      <c r="AO2430" s="173"/>
      <c r="AP2430" s="173"/>
      <c r="AQ2430" s="178"/>
      <c r="AR2430" s="173"/>
      <c r="AS2430" s="173"/>
      <c r="AT2430" s="140"/>
      <c r="AX2430" s="140"/>
      <c r="BB2430" s="173"/>
      <c r="BC2430" s="173"/>
    </row>
    <row r="2431" spans="2:55" s="134" customFormat="1" x14ac:dyDescent="0.2">
      <c r="B2431" s="145"/>
      <c r="D2431" s="145"/>
      <c r="Z2431" s="177"/>
      <c r="AA2431" s="178"/>
      <c r="AB2431" s="139"/>
      <c r="AC2431" s="173"/>
      <c r="AD2431" s="177"/>
      <c r="AE2431" s="177"/>
      <c r="AF2431" s="139"/>
      <c r="AG2431" s="139"/>
      <c r="AH2431" s="177"/>
      <c r="AI2431" s="178"/>
      <c r="AJ2431" s="139"/>
      <c r="AK2431" s="173"/>
      <c r="AL2431" s="177"/>
      <c r="AM2431" s="178"/>
      <c r="AN2431" s="173"/>
      <c r="AO2431" s="173"/>
      <c r="AP2431" s="173"/>
      <c r="AQ2431" s="178"/>
      <c r="AR2431" s="173"/>
      <c r="AS2431" s="173"/>
      <c r="AT2431" s="140"/>
      <c r="AX2431" s="140"/>
      <c r="BB2431" s="173"/>
      <c r="BC2431" s="173"/>
    </row>
    <row r="2432" spans="2:55" s="134" customFormat="1" x14ac:dyDescent="0.2">
      <c r="B2432" s="145"/>
      <c r="D2432" s="145"/>
      <c r="Z2432" s="177"/>
      <c r="AA2432" s="178"/>
      <c r="AB2432" s="139"/>
      <c r="AC2432" s="173"/>
      <c r="AD2432" s="177"/>
      <c r="AE2432" s="177"/>
      <c r="AF2432" s="139"/>
      <c r="AG2432" s="139"/>
      <c r="AH2432" s="177"/>
      <c r="AI2432" s="178"/>
      <c r="AJ2432" s="139"/>
      <c r="AK2432" s="173"/>
      <c r="AL2432" s="177"/>
      <c r="AM2432" s="178"/>
      <c r="AN2432" s="173"/>
      <c r="AO2432" s="173"/>
      <c r="AP2432" s="173"/>
      <c r="AQ2432" s="178"/>
      <c r="AR2432" s="173"/>
      <c r="AS2432" s="173"/>
      <c r="AT2432" s="140"/>
      <c r="AX2432" s="140"/>
      <c r="BB2432" s="173"/>
      <c r="BC2432" s="173"/>
    </row>
    <row r="2433" spans="2:55" s="134" customFormat="1" x14ac:dyDescent="0.2">
      <c r="B2433" s="145"/>
      <c r="D2433" s="145"/>
      <c r="Z2433" s="177"/>
      <c r="AA2433" s="178"/>
      <c r="AB2433" s="139"/>
      <c r="AC2433" s="173"/>
      <c r="AD2433" s="177"/>
      <c r="AE2433" s="177"/>
      <c r="AF2433" s="139"/>
      <c r="AG2433" s="139"/>
      <c r="AH2433" s="177"/>
      <c r="AI2433" s="178"/>
      <c r="AJ2433" s="139"/>
      <c r="AK2433" s="173"/>
      <c r="AL2433" s="177"/>
      <c r="AM2433" s="178"/>
      <c r="AN2433" s="173"/>
      <c r="AO2433" s="173"/>
      <c r="AP2433" s="173"/>
      <c r="AQ2433" s="178"/>
      <c r="AR2433" s="173"/>
      <c r="AS2433" s="173"/>
      <c r="AT2433" s="140"/>
      <c r="AX2433" s="140"/>
      <c r="BB2433" s="173"/>
      <c r="BC2433" s="173"/>
    </row>
    <row r="2434" spans="2:55" s="134" customFormat="1" x14ac:dyDescent="0.2">
      <c r="B2434" s="145"/>
      <c r="D2434" s="145"/>
      <c r="Z2434" s="177"/>
      <c r="AA2434" s="178"/>
      <c r="AB2434" s="139"/>
      <c r="AC2434" s="173"/>
      <c r="AD2434" s="177"/>
      <c r="AE2434" s="177"/>
      <c r="AF2434" s="139"/>
      <c r="AG2434" s="139"/>
      <c r="AH2434" s="177"/>
      <c r="AI2434" s="178"/>
      <c r="AJ2434" s="139"/>
      <c r="AK2434" s="173"/>
      <c r="AL2434" s="177"/>
      <c r="AM2434" s="178"/>
      <c r="AN2434" s="173"/>
      <c r="AO2434" s="173"/>
      <c r="AP2434" s="173"/>
      <c r="AQ2434" s="178"/>
      <c r="AR2434" s="173"/>
      <c r="AS2434" s="173"/>
      <c r="AT2434" s="140"/>
      <c r="AX2434" s="140"/>
      <c r="BB2434" s="173"/>
      <c r="BC2434" s="173"/>
    </row>
    <row r="2435" spans="2:55" s="134" customFormat="1" x14ac:dyDescent="0.2">
      <c r="B2435" s="145"/>
      <c r="D2435" s="145"/>
      <c r="Z2435" s="177"/>
      <c r="AA2435" s="178"/>
      <c r="AB2435" s="139"/>
      <c r="AC2435" s="173"/>
      <c r="AD2435" s="177"/>
      <c r="AE2435" s="177"/>
      <c r="AF2435" s="139"/>
      <c r="AG2435" s="139"/>
      <c r="AH2435" s="177"/>
      <c r="AI2435" s="178"/>
      <c r="AJ2435" s="139"/>
      <c r="AK2435" s="173"/>
      <c r="AL2435" s="177"/>
      <c r="AM2435" s="178"/>
      <c r="AN2435" s="173"/>
      <c r="AO2435" s="173"/>
      <c r="AP2435" s="173"/>
      <c r="AQ2435" s="178"/>
      <c r="AR2435" s="173"/>
      <c r="AS2435" s="173"/>
      <c r="AT2435" s="140"/>
      <c r="AX2435" s="140"/>
      <c r="BB2435" s="173"/>
      <c r="BC2435" s="173"/>
    </row>
    <row r="2436" spans="2:55" s="134" customFormat="1" x14ac:dyDescent="0.2">
      <c r="B2436" s="145"/>
      <c r="D2436" s="145"/>
      <c r="Z2436" s="177"/>
      <c r="AA2436" s="178"/>
      <c r="AB2436" s="139"/>
      <c r="AC2436" s="173"/>
      <c r="AD2436" s="177"/>
      <c r="AE2436" s="177"/>
      <c r="AF2436" s="139"/>
      <c r="AG2436" s="139"/>
      <c r="AH2436" s="177"/>
      <c r="AI2436" s="178"/>
      <c r="AJ2436" s="139"/>
      <c r="AK2436" s="173"/>
      <c r="AL2436" s="177"/>
      <c r="AM2436" s="178"/>
      <c r="AN2436" s="173"/>
      <c r="AO2436" s="173"/>
      <c r="AP2436" s="173"/>
      <c r="AQ2436" s="178"/>
      <c r="AR2436" s="173"/>
      <c r="AS2436" s="173"/>
      <c r="AT2436" s="140"/>
      <c r="AX2436" s="140"/>
      <c r="BB2436" s="173"/>
      <c r="BC2436" s="173"/>
    </row>
    <row r="2437" spans="2:55" s="134" customFormat="1" x14ac:dyDescent="0.2">
      <c r="B2437" s="145"/>
      <c r="D2437" s="145"/>
      <c r="Z2437" s="177"/>
      <c r="AA2437" s="178"/>
      <c r="AB2437" s="139"/>
      <c r="AC2437" s="173"/>
      <c r="AD2437" s="177"/>
      <c r="AE2437" s="177"/>
      <c r="AF2437" s="139"/>
      <c r="AG2437" s="139"/>
      <c r="AH2437" s="177"/>
      <c r="AI2437" s="178"/>
      <c r="AJ2437" s="139"/>
      <c r="AK2437" s="173"/>
      <c r="AL2437" s="177"/>
      <c r="AM2437" s="178"/>
      <c r="AN2437" s="173"/>
      <c r="AO2437" s="173"/>
      <c r="AP2437" s="173"/>
      <c r="AQ2437" s="178"/>
      <c r="AR2437" s="173"/>
      <c r="AS2437" s="173"/>
      <c r="AT2437" s="140"/>
      <c r="AX2437" s="140"/>
      <c r="BB2437" s="173"/>
      <c r="BC2437" s="173"/>
    </row>
    <row r="2438" spans="2:55" s="134" customFormat="1" x14ac:dyDescent="0.2">
      <c r="B2438" s="145"/>
      <c r="D2438" s="145"/>
      <c r="Z2438" s="177"/>
      <c r="AA2438" s="178"/>
      <c r="AB2438" s="139"/>
      <c r="AC2438" s="173"/>
      <c r="AD2438" s="177"/>
      <c r="AE2438" s="177"/>
      <c r="AF2438" s="139"/>
      <c r="AG2438" s="139"/>
      <c r="AH2438" s="177"/>
      <c r="AI2438" s="178"/>
      <c r="AJ2438" s="139"/>
      <c r="AK2438" s="173"/>
      <c r="AL2438" s="177"/>
      <c r="AM2438" s="178"/>
      <c r="AN2438" s="173"/>
      <c r="AO2438" s="173"/>
      <c r="AP2438" s="173"/>
      <c r="AQ2438" s="178"/>
      <c r="AR2438" s="173"/>
      <c r="AS2438" s="173"/>
      <c r="AT2438" s="140"/>
      <c r="AX2438" s="140"/>
      <c r="BB2438" s="173"/>
      <c r="BC2438" s="173"/>
    </row>
    <row r="2439" spans="2:55" s="134" customFormat="1" x14ac:dyDescent="0.2">
      <c r="B2439" s="145"/>
      <c r="D2439" s="145"/>
      <c r="Z2439" s="177"/>
      <c r="AA2439" s="178"/>
      <c r="AB2439" s="139"/>
      <c r="AC2439" s="173"/>
      <c r="AD2439" s="177"/>
      <c r="AE2439" s="177"/>
      <c r="AF2439" s="139"/>
      <c r="AG2439" s="139"/>
      <c r="AH2439" s="177"/>
      <c r="AI2439" s="178"/>
      <c r="AJ2439" s="139"/>
      <c r="AK2439" s="173"/>
      <c r="AL2439" s="177"/>
      <c r="AM2439" s="178"/>
      <c r="AN2439" s="173"/>
      <c r="AO2439" s="173"/>
      <c r="AP2439" s="173"/>
      <c r="AQ2439" s="178"/>
      <c r="AR2439" s="173"/>
      <c r="AS2439" s="173"/>
      <c r="AT2439" s="140"/>
      <c r="AX2439" s="140"/>
      <c r="BB2439" s="173"/>
      <c r="BC2439" s="173"/>
    </row>
    <row r="2440" spans="2:55" s="134" customFormat="1" x14ac:dyDescent="0.2">
      <c r="B2440" s="145"/>
      <c r="D2440" s="145"/>
      <c r="Z2440" s="177"/>
      <c r="AA2440" s="178"/>
      <c r="AB2440" s="139"/>
      <c r="AC2440" s="173"/>
      <c r="AD2440" s="177"/>
      <c r="AE2440" s="177"/>
      <c r="AF2440" s="139"/>
      <c r="AG2440" s="139"/>
      <c r="AH2440" s="177"/>
      <c r="AI2440" s="178"/>
      <c r="AJ2440" s="139"/>
      <c r="AK2440" s="173"/>
      <c r="AL2440" s="177"/>
      <c r="AM2440" s="178"/>
      <c r="AN2440" s="173"/>
      <c r="AO2440" s="173"/>
      <c r="AP2440" s="173"/>
      <c r="AQ2440" s="178"/>
      <c r="AR2440" s="173"/>
      <c r="AS2440" s="173"/>
      <c r="AT2440" s="140"/>
      <c r="AX2440" s="140"/>
      <c r="BB2440" s="173"/>
      <c r="BC2440" s="173"/>
    </row>
    <row r="2441" spans="2:55" s="134" customFormat="1" x14ac:dyDescent="0.2">
      <c r="B2441" s="145"/>
      <c r="D2441" s="145"/>
      <c r="Z2441" s="177"/>
      <c r="AA2441" s="178"/>
      <c r="AB2441" s="139"/>
      <c r="AC2441" s="173"/>
      <c r="AD2441" s="177"/>
      <c r="AE2441" s="177"/>
      <c r="AF2441" s="139"/>
      <c r="AG2441" s="139"/>
      <c r="AH2441" s="177"/>
      <c r="AI2441" s="178"/>
      <c r="AJ2441" s="139"/>
      <c r="AK2441" s="173"/>
      <c r="AL2441" s="177"/>
      <c r="AM2441" s="178"/>
      <c r="AN2441" s="173"/>
      <c r="AO2441" s="173"/>
      <c r="AP2441" s="173"/>
      <c r="AQ2441" s="178"/>
      <c r="AR2441" s="173"/>
      <c r="AS2441" s="173"/>
      <c r="AT2441" s="140"/>
      <c r="AX2441" s="140"/>
      <c r="BB2441" s="173"/>
      <c r="BC2441" s="173"/>
    </row>
    <row r="2442" spans="2:55" s="134" customFormat="1" x14ac:dyDescent="0.2">
      <c r="B2442" s="145"/>
      <c r="D2442" s="145"/>
      <c r="Z2442" s="177"/>
      <c r="AA2442" s="178"/>
      <c r="AB2442" s="139"/>
      <c r="AC2442" s="173"/>
      <c r="AD2442" s="177"/>
      <c r="AE2442" s="177"/>
      <c r="AF2442" s="139"/>
      <c r="AG2442" s="139"/>
      <c r="AH2442" s="177"/>
      <c r="AI2442" s="178"/>
      <c r="AJ2442" s="139"/>
      <c r="AK2442" s="173"/>
      <c r="AL2442" s="177"/>
      <c r="AM2442" s="178"/>
      <c r="AN2442" s="173"/>
      <c r="AO2442" s="173"/>
      <c r="AP2442" s="173"/>
      <c r="AQ2442" s="178"/>
      <c r="AR2442" s="173"/>
      <c r="AS2442" s="173"/>
      <c r="AT2442" s="140"/>
      <c r="AX2442" s="140"/>
      <c r="BB2442" s="173"/>
      <c r="BC2442" s="173"/>
    </row>
    <row r="2443" spans="2:55" s="134" customFormat="1" x14ac:dyDescent="0.2">
      <c r="B2443" s="145"/>
      <c r="D2443" s="145"/>
      <c r="Z2443" s="177"/>
      <c r="AA2443" s="178"/>
      <c r="AB2443" s="139"/>
      <c r="AC2443" s="173"/>
      <c r="AD2443" s="177"/>
      <c r="AE2443" s="177"/>
      <c r="AF2443" s="139"/>
      <c r="AG2443" s="139"/>
      <c r="AH2443" s="177"/>
      <c r="AI2443" s="178"/>
      <c r="AJ2443" s="139"/>
      <c r="AK2443" s="173"/>
      <c r="AL2443" s="177"/>
      <c r="AM2443" s="178"/>
      <c r="AN2443" s="173"/>
      <c r="AO2443" s="173"/>
      <c r="AP2443" s="173"/>
      <c r="AQ2443" s="178"/>
      <c r="AR2443" s="173"/>
      <c r="AS2443" s="173"/>
      <c r="AT2443" s="140"/>
      <c r="AX2443" s="140"/>
      <c r="BB2443" s="173"/>
      <c r="BC2443" s="173"/>
    </row>
    <row r="2444" spans="2:55" s="134" customFormat="1" x14ac:dyDescent="0.2">
      <c r="B2444" s="145"/>
      <c r="D2444" s="145"/>
      <c r="Z2444" s="177"/>
      <c r="AA2444" s="178"/>
      <c r="AB2444" s="139"/>
      <c r="AC2444" s="173"/>
      <c r="AD2444" s="177"/>
      <c r="AE2444" s="177"/>
      <c r="AF2444" s="139"/>
      <c r="AG2444" s="139"/>
      <c r="AH2444" s="177"/>
      <c r="AI2444" s="178"/>
      <c r="AJ2444" s="139"/>
      <c r="AK2444" s="173"/>
      <c r="AL2444" s="177"/>
      <c r="AM2444" s="178"/>
      <c r="AN2444" s="173"/>
      <c r="AO2444" s="173"/>
      <c r="AP2444" s="173"/>
      <c r="AQ2444" s="178"/>
      <c r="AR2444" s="173"/>
      <c r="AS2444" s="173"/>
      <c r="AT2444" s="140"/>
      <c r="AX2444" s="140"/>
      <c r="BB2444" s="173"/>
      <c r="BC2444" s="173"/>
    </row>
    <row r="2445" spans="2:55" s="134" customFormat="1" x14ac:dyDescent="0.2">
      <c r="B2445" s="145"/>
      <c r="D2445" s="145"/>
      <c r="Z2445" s="177"/>
      <c r="AA2445" s="178"/>
      <c r="AB2445" s="139"/>
      <c r="AC2445" s="173"/>
      <c r="AD2445" s="177"/>
      <c r="AE2445" s="177"/>
      <c r="AF2445" s="139"/>
      <c r="AG2445" s="139"/>
      <c r="AH2445" s="177"/>
      <c r="AI2445" s="178"/>
      <c r="AJ2445" s="139"/>
      <c r="AK2445" s="173"/>
      <c r="AL2445" s="177"/>
      <c r="AM2445" s="178"/>
      <c r="AN2445" s="173"/>
      <c r="AO2445" s="173"/>
      <c r="AP2445" s="173"/>
      <c r="AQ2445" s="178"/>
      <c r="AR2445" s="173"/>
      <c r="AS2445" s="173"/>
      <c r="AT2445" s="140"/>
      <c r="AX2445" s="140"/>
      <c r="BB2445" s="173"/>
      <c r="BC2445" s="173"/>
    </row>
    <row r="2446" spans="2:55" s="134" customFormat="1" x14ac:dyDescent="0.2">
      <c r="B2446" s="145"/>
      <c r="D2446" s="145"/>
      <c r="Z2446" s="177"/>
      <c r="AA2446" s="178"/>
      <c r="AB2446" s="139"/>
      <c r="AC2446" s="173"/>
      <c r="AD2446" s="177"/>
      <c r="AE2446" s="177"/>
      <c r="AF2446" s="139"/>
      <c r="AG2446" s="139"/>
      <c r="AH2446" s="177"/>
      <c r="AI2446" s="178"/>
      <c r="AJ2446" s="139"/>
      <c r="AK2446" s="173"/>
      <c r="AL2446" s="177"/>
      <c r="AM2446" s="178"/>
      <c r="AN2446" s="173"/>
      <c r="AO2446" s="173"/>
      <c r="AP2446" s="173"/>
      <c r="AQ2446" s="178"/>
      <c r="AR2446" s="173"/>
      <c r="AS2446" s="173"/>
      <c r="AT2446" s="140"/>
      <c r="AX2446" s="140"/>
      <c r="BB2446" s="173"/>
      <c r="BC2446" s="173"/>
    </row>
    <row r="2447" spans="2:55" s="134" customFormat="1" x14ac:dyDescent="0.2">
      <c r="B2447" s="145"/>
      <c r="D2447" s="145"/>
      <c r="Z2447" s="177"/>
      <c r="AA2447" s="178"/>
      <c r="AB2447" s="139"/>
      <c r="AC2447" s="173"/>
      <c r="AD2447" s="177"/>
      <c r="AE2447" s="177"/>
      <c r="AF2447" s="139"/>
      <c r="AG2447" s="139"/>
      <c r="AH2447" s="177"/>
      <c r="AI2447" s="178"/>
      <c r="AJ2447" s="139"/>
      <c r="AK2447" s="173"/>
      <c r="AL2447" s="177"/>
      <c r="AM2447" s="178"/>
      <c r="AN2447" s="173"/>
      <c r="AO2447" s="173"/>
      <c r="AP2447" s="173"/>
      <c r="AQ2447" s="178"/>
      <c r="AR2447" s="173"/>
      <c r="AS2447" s="173"/>
      <c r="AT2447" s="140"/>
      <c r="AX2447" s="140"/>
      <c r="BB2447" s="173"/>
      <c r="BC2447" s="173"/>
    </row>
    <row r="2448" spans="2:55" s="134" customFormat="1" x14ac:dyDescent="0.2">
      <c r="B2448" s="145"/>
      <c r="D2448" s="145"/>
      <c r="Z2448" s="177"/>
      <c r="AA2448" s="178"/>
      <c r="AB2448" s="139"/>
      <c r="AC2448" s="173"/>
      <c r="AD2448" s="177"/>
      <c r="AE2448" s="177"/>
      <c r="AF2448" s="139"/>
      <c r="AG2448" s="139"/>
      <c r="AH2448" s="177"/>
      <c r="AI2448" s="178"/>
      <c r="AJ2448" s="139"/>
      <c r="AK2448" s="173"/>
      <c r="AL2448" s="177"/>
      <c r="AM2448" s="178"/>
      <c r="AN2448" s="173"/>
      <c r="AO2448" s="173"/>
      <c r="AP2448" s="173"/>
      <c r="AQ2448" s="178"/>
      <c r="AR2448" s="173"/>
      <c r="AS2448" s="173"/>
      <c r="AT2448" s="140"/>
      <c r="AX2448" s="140"/>
      <c r="BB2448" s="173"/>
      <c r="BC2448" s="173"/>
    </row>
    <row r="2449" spans="2:55" s="134" customFormat="1" x14ac:dyDescent="0.2">
      <c r="B2449" s="145"/>
      <c r="D2449" s="145"/>
      <c r="Z2449" s="177"/>
      <c r="AA2449" s="178"/>
      <c r="AB2449" s="139"/>
      <c r="AC2449" s="173"/>
      <c r="AD2449" s="177"/>
      <c r="AE2449" s="177"/>
      <c r="AF2449" s="139"/>
      <c r="AG2449" s="139"/>
      <c r="AH2449" s="177"/>
      <c r="AI2449" s="178"/>
      <c r="AJ2449" s="139"/>
      <c r="AK2449" s="173"/>
      <c r="AL2449" s="177"/>
      <c r="AM2449" s="178"/>
      <c r="AN2449" s="173"/>
      <c r="AO2449" s="173"/>
      <c r="AP2449" s="173"/>
      <c r="AQ2449" s="178"/>
      <c r="AR2449" s="173"/>
      <c r="AS2449" s="173"/>
      <c r="AT2449" s="140"/>
      <c r="AX2449" s="140"/>
      <c r="BB2449" s="173"/>
      <c r="BC2449" s="173"/>
    </row>
    <row r="2450" spans="2:55" s="134" customFormat="1" x14ac:dyDescent="0.2">
      <c r="B2450" s="145"/>
      <c r="D2450" s="145"/>
      <c r="Z2450" s="177"/>
      <c r="AA2450" s="178"/>
      <c r="AB2450" s="139"/>
      <c r="AC2450" s="173"/>
      <c r="AD2450" s="177"/>
      <c r="AE2450" s="177"/>
      <c r="AF2450" s="139"/>
      <c r="AG2450" s="139"/>
      <c r="AH2450" s="177"/>
      <c r="AI2450" s="178"/>
      <c r="AJ2450" s="139"/>
      <c r="AK2450" s="173"/>
      <c r="AL2450" s="177"/>
      <c r="AM2450" s="178"/>
      <c r="AN2450" s="173"/>
      <c r="AO2450" s="173"/>
      <c r="AP2450" s="173"/>
      <c r="AQ2450" s="178"/>
      <c r="AR2450" s="173"/>
      <c r="AS2450" s="173"/>
      <c r="AT2450" s="140"/>
      <c r="AX2450" s="140"/>
      <c r="BB2450" s="173"/>
      <c r="BC2450" s="173"/>
    </row>
    <row r="2451" spans="2:55" s="134" customFormat="1" x14ac:dyDescent="0.2">
      <c r="B2451" s="145"/>
      <c r="D2451" s="145"/>
      <c r="Z2451" s="177"/>
      <c r="AA2451" s="178"/>
      <c r="AB2451" s="139"/>
      <c r="AC2451" s="173"/>
      <c r="AD2451" s="177"/>
      <c r="AE2451" s="177"/>
      <c r="AF2451" s="139"/>
      <c r="AG2451" s="139"/>
      <c r="AH2451" s="177"/>
      <c r="AI2451" s="178"/>
      <c r="AJ2451" s="139"/>
      <c r="AK2451" s="173"/>
      <c r="AL2451" s="177"/>
      <c r="AM2451" s="178"/>
      <c r="AN2451" s="173"/>
      <c r="AO2451" s="173"/>
      <c r="AP2451" s="173"/>
      <c r="AQ2451" s="178"/>
      <c r="AR2451" s="173"/>
      <c r="AS2451" s="173"/>
      <c r="AT2451" s="140"/>
      <c r="AX2451" s="140"/>
      <c r="BB2451" s="173"/>
      <c r="BC2451" s="173"/>
    </row>
    <row r="2452" spans="2:55" s="134" customFormat="1" x14ac:dyDescent="0.2">
      <c r="B2452" s="145"/>
      <c r="D2452" s="145"/>
      <c r="Z2452" s="177"/>
      <c r="AA2452" s="178"/>
      <c r="AB2452" s="139"/>
      <c r="AC2452" s="173"/>
      <c r="AD2452" s="177"/>
      <c r="AE2452" s="177"/>
      <c r="AF2452" s="139"/>
      <c r="AG2452" s="139"/>
      <c r="AH2452" s="177"/>
      <c r="AI2452" s="178"/>
      <c r="AJ2452" s="139"/>
      <c r="AK2452" s="173"/>
      <c r="AL2452" s="177"/>
      <c r="AM2452" s="178"/>
      <c r="AN2452" s="173"/>
      <c r="AO2452" s="173"/>
      <c r="AP2452" s="173"/>
      <c r="AQ2452" s="178"/>
      <c r="AR2452" s="173"/>
      <c r="AS2452" s="173"/>
      <c r="AT2452" s="140"/>
      <c r="AX2452" s="140"/>
      <c r="BB2452" s="173"/>
      <c r="BC2452" s="173"/>
    </row>
    <row r="2453" spans="2:55" s="134" customFormat="1" x14ac:dyDescent="0.2">
      <c r="B2453" s="145"/>
      <c r="D2453" s="145"/>
      <c r="Z2453" s="177"/>
      <c r="AA2453" s="178"/>
      <c r="AB2453" s="139"/>
      <c r="AC2453" s="173"/>
      <c r="AD2453" s="177"/>
      <c r="AE2453" s="177"/>
      <c r="AF2453" s="139"/>
      <c r="AG2453" s="139"/>
      <c r="AH2453" s="177"/>
      <c r="AI2453" s="178"/>
      <c r="AJ2453" s="139"/>
      <c r="AK2453" s="173"/>
      <c r="AL2453" s="177"/>
      <c r="AM2453" s="178"/>
      <c r="AN2453" s="173"/>
      <c r="AO2453" s="173"/>
      <c r="AP2453" s="173"/>
      <c r="AQ2453" s="178"/>
      <c r="AR2453" s="173"/>
      <c r="AS2453" s="173"/>
      <c r="AT2453" s="140"/>
      <c r="AX2453" s="140"/>
      <c r="BB2453" s="173"/>
      <c r="BC2453" s="173"/>
    </row>
    <row r="2454" spans="2:55" s="134" customFormat="1" x14ac:dyDescent="0.2">
      <c r="B2454" s="145"/>
      <c r="D2454" s="145"/>
      <c r="Z2454" s="177"/>
      <c r="AA2454" s="178"/>
      <c r="AB2454" s="139"/>
      <c r="AC2454" s="173"/>
      <c r="AD2454" s="177"/>
      <c r="AE2454" s="177"/>
      <c r="AF2454" s="139"/>
      <c r="AG2454" s="139"/>
      <c r="AH2454" s="177"/>
      <c r="AI2454" s="178"/>
      <c r="AJ2454" s="139"/>
      <c r="AK2454" s="173"/>
      <c r="AL2454" s="177"/>
      <c r="AM2454" s="178"/>
      <c r="AN2454" s="173"/>
      <c r="AO2454" s="173"/>
      <c r="AP2454" s="173"/>
      <c r="AQ2454" s="178"/>
      <c r="AR2454" s="173"/>
      <c r="AS2454" s="173"/>
      <c r="AT2454" s="140"/>
      <c r="AX2454" s="140"/>
      <c r="BB2454" s="173"/>
      <c r="BC2454" s="173"/>
    </row>
    <row r="2455" spans="2:55" s="134" customFormat="1" x14ac:dyDescent="0.2">
      <c r="B2455" s="145"/>
      <c r="D2455" s="145"/>
      <c r="Z2455" s="177"/>
      <c r="AA2455" s="178"/>
      <c r="AB2455" s="139"/>
      <c r="AC2455" s="173"/>
      <c r="AD2455" s="177"/>
      <c r="AE2455" s="177"/>
      <c r="AF2455" s="139"/>
      <c r="AG2455" s="139"/>
      <c r="AH2455" s="177"/>
      <c r="AI2455" s="178"/>
      <c r="AJ2455" s="139"/>
      <c r="AK2455" s="173"/>
      <c r="AL2455" s="177"/>
      <c r="AM2455" s="178"/>
      <c r="AN2455" s="173"/>
      <c r="AO2455" s="173"/>
      <c r="AP2455" s="173"/>
      <c r="AQ2455" s="178"/>
      <c r="AR2455" s="173"/>
      <c r="AS2455" s="173"/>
      <c r="AT2455" s="140"/>
      <c r="AX2455" s="140"/>
      <c r="BB2455" s="173"/>
      <c r="BC2455" s="173"/>
    </row>
    <row r="2456" spans="2:55" s="134" customFormat="1" x14ac:dyDescent="0.2">
      <c r="B2456" s="145"/>
      <c r="D2456" s="145"/>
      <c r="Z2456" s="177"/>
      <c r="AA2456" s="178"/>
      <c r="AB2456" s="139"/>
      <c r="AC2456" s="173"/>
      <c r="AD2456" s="177"/>
      <c r="AE2456" s="177"/>
      <c r="AF2456" s="139"/>
      <c r="AG2456" s="139"/>
      <c r="AH2456" s="177"/>
      <c r="AI2456" s="178"/>
      <c r="AJ2456" s="139"/>
      <c r="AK2456" s="173"/>
      <c r="AL2456" s="177"/>
      <c r="AM2456" s="178"/>
      <c r="AN2456" s="173"/>
      <c r="AO2456" s="173"/>
      <c r="AP2456" s="173"/>
      <c r="AQ2456" s="178"/>
      <c r="AR2456" s="173"/>
      <c r="AS2456" s="173"/>
      <c r="AT2456" s="140"/>
      <c r="AX2456" s="140"/>
      <c r="BB2456" s="173"/>
      <c r="BC2456" s="173"/>
    </row>
    <row r="2457" spans="2:55" s="134" customFormat="1" x14ac:dyDescent="0.2">
      <c r="B2457" s="145"/>
      <c r="D2457" s="145"/>
      <c r="Z2457" s="177"/>
      <c r="AA2457" s="178"/>
      <c r="AB2457" s="139"/>
      <c r="AC2457" s="173"/>
      <c r="AD2457" s="177"/>
      <c r="AE2457" s="177"/>
      <c r="AF2457" s="139"/>
      <c r="AG2457" s="139"/>
      <c r="AH2457" s="177"/>
      <c r="AI2457" s="178"/>
      <c r="AJ2457" s="139"/>
      <c r="AK2457" s="173"/>
      <c r="AL2457" s="177"/>
      <c r="AM2457" s="178"/>
      <c r="AN2457" s="173"/>
      <c r="AO2457" s="173"/>
      <c r="AP2457" s="173"/>
      <c r="AQ2457" s="178"/>
      <c r="AR2457" s="173"/>
      <c r="AS2457" s="173"/>
      <c r="AT2457" s="140"/>
      <c r="AX2457" s="140"/>
      <c r="BB2457" s="173"/>
      <c r="BC2457" s="173"/>
    </row>
    <row r="2458" spans="2:55" s="134" customFormat="1" x14ac:dyDescent="0.2">
      <c r="B2458" s="145"/>
      <c r="D2458" s="145"/>
      <c r="Z2458" s="177"/>
      <c r="AA2458" s="178"/>
      <c r="AB2458" s="139"/>
      <c r="AC2458" s="173"/>
      <c r="AD2458" s="177"/>
      <c r="AE2458" s="177"/>
      <c r="AF2458" s="139"/>
      <c r="AG2458" s="139"/>
      <c r="AH2458" s="177"/>
      <c r="AI2458" s="178"/>
      <c r="AJ2458" s="139"/>
      <c r="AK2458" s="173"/>
      <c r="AL2458" s="177"/>
      <c r="AM2458" s="178"/>
      <c r="AN2458" s="173"/>
      <c r="AO2458" s="173"/>
      <c r="AP2458" s="173"/>
      <c r="AQ2458" s="178"/>
      <c r="AR2458" s="173"/>
      <c r="AS2458" s="173"/>
      <c r="AT2458" s="140"/>
      <c r="AX2458" s="140"/>
      <c r="BB2458" s="173"/>
      <c r="BC2458" s="173"/>
    </row>
    <row r="2459" spans="2:55" s="134" customFormat="1" x14ac:dyDescent="0.2">
      <c r="B2459" s="145"/>
      <c r="D2459" s="145"/>
      <c r="Z2459" s="177"/>
      <c r="AA2459" s="178"/>
      <c r="AB2459" s="139"/>
      <c r="AC2459" s="173"/>
      <c r="AD2459" s="177"/>
      <c r="AE2459" s="177"/>
      <c r="AF2459" s="139"/>
      <c r="AG2459" s="139"/>
      <c r="AH2459" s="177"/>
      <c r="AI2459" s="178"/>
      <c r="AJ2459" s="139"/>
      <c r="AK2459" s="173"/>
      <c r="AL2459" s="177"/>
      <c r="AM2459" s="178"/>
      <c r="AN2459" s="173"/>
      <c r="AO2459" s="173"/>
      <c r="AP2459" s="173"/>
      <c r="AQ2459" s="178"/>
      <c r="AR2459" s="173"/>
      <c r="AS2459" s="173"/>
      <c r="AT2459" s="140"/>
      <c r="AX2459" s="140"/>
      <c r="BB2459" s="173"/>
      <c r="BC2459" s="173"/>
    </row>
    <row r="2460" spans="2:55" s="134" customFormat="1" x14ac:dyDescent="0.2">
      <c r="B2460" s="145"/>
      <c r="D2460" s="145"/>
      <c r="Z2460" s="177"/>
      <c r="AA2460" s="178"/>
      <c r="AB2460" s="139"/>
      <c r="AC2460" s="173"/>
      <c r="AD2460" s="177"/>
      <c r="AE2460" s="177"/>
      <c r="AF2460" s="139"/>
      <c r="AG2460" s="139"/>
      <c r="AH2460" s="177"/>
      <c r="AI2460" s="178"/>
      <c r="AJ2460" s="139"/>
      <c r="AK2460" s="173"/>
      <c r="AL2460" s="177"/>
      <c r="AM2460" s="178"/>
      <c r="AN2460" s="173"/>
      <c r="AO2460" s="173"/>
      <c r="AP2460" s="173"/>
      <c r="AQ2460" s="178"/>
      <c r="AR2460" s="173"/>
      <c r="AS2460" s="173"/>
      <c r="AT2460" s="140"/>
      <c r="AX2460" s="140"/>
      <c r="BB2460" s="173"/>
      <c r="BC2460" s="173"/>
    </row>
    <row r="2461" spans="2:55" s="134" customFormat="1" x14ac:dyDescent="0.2">
      <c r="B2461" s="145"/>
      <c r="D2461" s="145"/>
      <c r="Z2461" s="177"/>
      <c r="AA2461" s="178"/>
      <c r="AB2461" s="139"/>
      <c r="AC2461" s="173"/>
      <c r="AD2461" s="177"/>
      <c r="AE2461" s="177"/>
      <c r="AF2461" s="139"/>
      <c r="AG2461" s="139"/>
      <c r="AH2461" s="177"/>
      <c r="AI2461" s="178"/>
      <c r="AJ2461" s="139"/>
      <c r="AK2461" s="173"/>
      <c r="AL2461" s="177"/>
      <c r="AM2461" s="178"/>
      <c r="AN2461" s="173"/>
      <c r="AO2461" s="173"/>
      <c r="AP2461" s="173"/>
      <c r="AQ2461" s="178"/>
      <c r="AR2461" s="173"/>
      <c r="AS2461" s="173"/>
      <c r="AT2461" s="140"/>
      <c r="AX2461" s="140"/>
      <c r="BB2461" s="173"/>
      <c r="BC2461" s="173"/>
    </row>
    <row r="2462" spans="2:55" s="134" customFormat="1" x14ac:dyDescent="0.2">
      <c r="B2462" s="145"/>
      <c r="D2462" s="145"/>
      <c r="Z2462" s="177"/>
      <c r="AA2462" s="178"/>
      <c r="AB2462" s="139"/>
      <c r="AC2462" s="173"/>
      <c r="AD2462" s="177"/>
      <c r="AE2462" s="177"/>
      <c r="AF2462" s="139"/>
      <c r="AG2462" s="139"/>
      <c r="AH2462" s="177"/>
      <c r="AI2462" s="178"/>
      <c r="AJ2462" s="139"/>
      <c r="AK2462" s="173"/>
      <c r="AL2462" s="177"/>
      <c r="AM2462" s="178"/>
      <c r="AN2462" s="173"/>
      <c r="AO2462" s="173"/>
      <c r="AP2462" s="173"/>
      <c r="AQ2462" s="178"/>
      <c r="AR2462" s="173"/>
      <c r="AS2462" s="173"/>
      <c r="AT2462" s="140"/>
      <c r="AX2462" s="140"/>
      <c r="BB2462" s="173"/>
      <c r="BC2462" s="173"/>
    </row>
    <row r="2463" spans="2:55" s="134" customFormat="1" x14ac:dyDescent="0.2">
      <c r="B2463" s="145"/>
      <c r="D2463" s="145"/>
      <c r="Z2463" s="177"/>
      <c r="AA2463" s="178"/>
      <c r="AB2463" s="139"/>
      <c r="AC2463" s="173"/>
      <c r="AD2463" s="177"/>
      <c r="AE2463" s="177"/>
      <c r="AF2463" s="139"/>
      <c r="AG2463" s="139"/>
      <c r="AH2463" s="177"/>
      <c r="AI2463" s="178"/>
      <c r="AJ2463" s="139"/>
      <c r="AK2463" s="173"/>
      <c r="AL2463" s="177"/>
      <c r="AM2463" s="178"/>
      <c r="AN2463" s="173"/>
      <c r="AO2463" s="173"/>
      <c r="AP2463" s="173"/>
      <c r="AQ2463" s="178"/>
      <c r="AR2463" s="173"/>
      <c r="AS2463" s="173"/>
      <c r="AT2463" s="140"/>
      <c r="AX2463" s="140"/>
      <c r="BB2463" s="173"/>
      <c r="BC2463" s="173"/>
    </row>
    <row r="2464" spans="2:55" s="134" customFormat="1" x14ac:dyDescent="0.2">
      <c r="B2464" s="145"/>
      <c r="D2464" s="145"/>
      <c r="Z2464" s="177"/>
      <c r="AA2464" s="178"/>
      <c r="AB2464" s="139"/>
      <c r="AC2464" s="173"/>
      <c r="AD2464" s="177"/>
      <c r="AE2464" s="177"/>
      <c r="AF2464" s="139"/>
      <c r="AG2464" s="139"/>
      <c r="AH2464" s="177"/>
      <c r="AI2464" s="178"/>
      <c r="AJ2464" s="139"/>
      <c r="AK2464" s="173"/>
      <c r="AL2464" s="177"/>
      <c r="AM2464" s="178"/>
      <c r="AN2464" s="173"/>
      <c r="AO2464" s="173"/>
      <c r="AP2464" s="173"/>
      <c r="AQ2464" s="178"/>
      <c r="AR2464" s="173"/>
      <c r="AS2464" s="173"/>
      <c r="AT2464" s="140"/>
      <c r="AX2464" s="140"/>
      <c r="BB2464" s="173"/>
      <c r="BC2464" s="173"/>
    </row>
    <row r="2465" spans="2:55" s="134" customFormat="1" x14ac:dyDescent="0.2">
      <c r="B2465" s="145"/>
      <c r="D2465" s="145"/>
      <c r="Z2465" s="177"/>
      <c r="AA2465" s="178"/>
      <c r="AB2465" s="139"/>
      <c r="AC2465" s="173"/>
      <c r="AD2465" s="177"/>
      <c r="AE2465" s="177"/>
      <c r="AF2465" s="139"/>
      <c r="AG2465" s="139"/>
      <c r="AH2465" s="177"/>
      <c r="AI2465" s="178"/>
      <c r="AJ2465" s="139"/>
      <c r="AK2465" s="173"/>
      <c r="AL2465" s="177"/>
      <c r="AM2465" s="178"/>
      <c r="AN2465" s="173"/>
      <c r="AO2465" s="173"/>
      <c r="AP2465" s="173"/>
      <c r="AQ2465" s="178"/>
      <c r="AR2465" s="173"/>
      <c r="AS2465" s="173"/>
      <c r="AT2465" s="140"/>
      <c r="AX2465" s="140"/>
      <c r="BB2465" s="173"/>
      <c r="BC2465" s="173"/>
    </row>
    <row r="2466" spans="2:55" s="134" customFormat="1" x14ac:dyDescent="0.2">
      <c r="B2466" s="145"/>
      <c r="D2466" s="145"/>
      <c r="Z2466" s="177"/>
      <c r="AA2466" s="178"/>
      <c r="AB2466" s="139"/>
      <c r="AC2466" s="173"/>
      <c r="AD2466" s="177"/>
      <c r="AE2466" s="177"/>
      <c r="AF2466" s="139"/>
      <c r="AG2466" s="139"/>
      <c r="AH2466" s="177"/>
      <c r="AI2466" s="178"/>
      <c r="AJ2466" s="139"/>
      <c r="AK2466" s="173"/>
      <c r="AL2466" s="177"/>
      <c r="AM2466" s="178"/>
      <c r="AN2466" s="173"/>
      <c r="AO2466" s="173"/>
      <c r="AP2466" s="173"/>
      <c r="AQ2466" s="178"/>
      <c r="AR2466" s="173"/>
      <c r="AS2466" s="173"/>
      <c r="AT2466" s="140"/>
      <c r="AX2466" s="140"/>
      <c r="BB2466" s="173"/>
      <c r="BC2466" s="173"/>
    </row>
    <row r="2467" spans="2:55" s="134" customFormat="1" x14ac:dyDescent="0.2">
      <c r="B2467" s="145"/>
      <c r="D2467" s="145"/>
      <c r="Z2467" s="177"/>
      <c r="AA2467" s="178"/>
      <c r="AB2467" s="139"/>
      <c r="AC2467" s="173"/>
      <c r="AD2467" s="177"/>
      <c r="AE2467" s="177"/>
      <c r="AF2467" s="139"/>
      <c r="AG2467" s="139"/>
      <c r="AH2467" s="177"/>
      <c r="AI2467" s="178"/>
      <c r="AJ2467" s="139"/>
      <c r="AK2467" s="173"/>
      <c r="AL2467" s="177"/>
      <c r="AM2467" s="178"/>
      <c r="AN2467" s="173"/>
      <c r="AO2467" s="173"/>
      <c r="AP2467" s="173"/>
      <c r="AQ2467" s="178"/>
      <c r="AR2467" s="173"/>
      <c r="AS2467" s="173"/>
      <c r="AT2467" s="140"/>
      <c r="AX2467" s="140"/>
      <c r="BB2467" s="173"/>
      <c r="BC2467" s="173"/>
    </row>
    <row r="2468" spans="2:55" s="134" customFormat="1" x14ac:dyDescent="0.2">
      <c r="B2468" s="145"/>
      <c r="D2468" s="145"/>
      <c r="Z2468" s="177"/>
      <c r="AA2468" s="178"/>
      <c r="AB2468" s="139"/>
      <c r="AC2468" s="173"/>
      <c r="AD2468" s="177"/>
      <c r="AE2468" s="177"/>
      <c r="AF2468" s="139"/>
      <c r="AG2468" s="139"/>
      <c r="AH2468" s="177"/>
      <c r="AI2468" s="178"/>
      <c r="AJ2468" s="139"/>
      <c r="AK2468" s="173"/>
      <c r="AL2468" s="177"/>
      <c r="AM2468" s="178"/>
      <c r="AN2468" s="173"/>
      <c r="AO2468" s="173"/>
      <c r="AP2468" s="173"/>
      <c r="AQ2468" s="178"/>
      <c r="AR2468" s="173"/>
      <c r="AS2468" s="173"/>
      <c r="AT2468" s="140"/>
      <c r="AX2468" s="140"/>
      <c r="BB2468" s="173"/>
      <c r="BC2468" s="173"/>
    </row>
    <row r="2469" spans="2:55" s="134" customFormat="1" x14ac:dyDescent="0.2">
      <c r="B2469" s="145"/>
      <c r="D2469" s="145"/>
      <c r="Z2469" s="177"/>
      <c r="AA2469" s="178"/>
      <c r="AB2469" s="139"/>
      <c r="AC2469" s="173"/>
      <c r="AD2469" s="177"/>
      <c r="AE2469" s="177"/>
      <c r="AF2469" s="139"/>
      <c r="AG2469" s="139"/>
      <c r="AH2469" s="177"/>
      <c r="AI2469" s="178"/>
      <c r="AJ2469" s="139"/>
      <c r="AK2469" s="173"/>
      <c r="AL2469" s="177"/>
      <c r="AM2469" s="178"/>
      <c r="AN2469" s="173"/>
      <c r="AO2469" s="173"/>
      <c r="AP2469" s="173"/>
      <c r="AQ2469" s="178"/>
      <c r="AR2469" s="173"/>
      <c r="AS2469" s="173"/>
      <c r="AT2469" s="140"/>
      <c r="AX2469" s="140"/>
      <c r="BB2469" s="173"/>
      <c r="BC2469" s="173"/>
    </row>
    <row r="2470" spans="2:55" s="134" customFormat="1" x14ac:dyDescent="0.2">
      <c r="B2470" s="145"/>
      <c r="D2470" s="145"/>
      <c r="Z2470" s="177"/>
      <c r="AA2470" s="178"/>
      <c r="AB2470" s="139"/>
      <c r="AC2470" s="173"/>
      <c r="AD2470" s="177"/>
      <c r="AE2470" s="177"/>
      <c r="AF2470" s="139"/>
      <c r="AG2470" s="139"/>
      <c r="AH2470" s="177"/>
      <c r="AI2470" s="178"/>
      <c r="AJ2470" s="139"/>
      <c r="AK2470" s="173"/>
      <c r="AL2470" s="177"/>
      <c r="AM2470" s="178"/>
      <c r="AN2470" s="173"/>
      <c r="AO2470" s="173"/>
      <c r="AP2470" s="173"/>
      <c r="AQ2470" s="178"/>
      <c r="AR2470" s="173"/>
      <c r="AS2470" s="173"/>
      <c r="AT2470" s="140"/>
      <c r="AX2470" s="140"/>
      <c r="BB2470" s="173"/>
      <c r="BC2470" s="173"/>
    </row>
    <row r="2471" spans="2:55" s="134" customFormat="1" x14ac:dyDescent="0.2">
      <c r="B2471" s="145"/>
      <c r="D2471" s="145"/>
      <c r="Z2471" s="177"/>
      <c r="AA2471" s="178"/>
      <c r="AB2471" s="139"/>
      <c r="AC2471" s="173"/>
      <c r="AD2471" s="177"/>
      <c r="AE2471" s="177"/>
      <c r="AF2471" s="139"/>
      <c r="AG2471" s="139"/>
      <c r="AH2471" s="177"/>
      <c r="AI2471" s="178"/>
      <c r="AJ2471" s="139"/>
      <c r="AK2471" s="173"/>
      <c r="AL2471" s="177"/>
      <c r="AM2471" s="178"/>
      <c r="AN2471" s="173"/>
      <c r="AO2471" s="173"/>
      <c r="AP2471" s="173"/>
      <c r="AQ2471" s="178"/>
      <c r="AR2471" s="173"/>
      <c r="AS2471" s="173"/>
      <c r="AT2471" s="140"/>
      <c r="AX2471" s="140"/>
      <c r="BB2471" s="173"/>
      <c r="BC2471" s="173"/>
    </row>
    <row r="2472" spans="2:55" s="134" customFormat="1" x14ac:dyDescent="0.2">
      <c r="B2472" s="145"/>
      <c r="D2472" s="145"/>
      <c r="Z2472" s="177"/>
      <c r="AA2472" s="178"/>
      <c r="AB2472" s="139"/>
      <c r="AC2472" s="173"/>
      <c r="AD2472" s="177"/>
      <c r="AE2472" s="177"/>
      <c r="AF2472" s="139"/>
      <c r="AG2472" s="139"/>
      <c r="AH2472" s="177"/>
      <c r="AI2472" s="178"/>
      <c r="AJ2472" s="139"/>
      <c r="AK2472" s="173"/>
      <c r="AL2472" s="177"/>
      <c r="AM2472" s="178"/>
      <c r="AN2472" s="173"/>
      <c r="AO2472" s="173"/>
      <c r="AP2472" s="173"/>
      <c r="AQ2472" s="178"/>
      <c r="AR2472" s="173"/>
      <c r="AS2472" s="173"/>
      <c r="AT2472" s="140"/>
      <c r="AX2472" s="140"/>
      <c r="BB2472" s="173"/>
      <c r="BC2472" s="173"/>
    </row>
    <row r="2473" spans="2:55" s="134" customFormat="1" x14ac:dyDescent="0.2">
      <c r="B2473" s="145"/>
      <c r="D2473" s="145"/>
      <c r="Z2473" s="177"/>
      <c r="AA2473" s="178"/>
      <c r="AB2473" s="139"/>
      <c r="AC2473" s="173"/>
      <c r="AD2473" s="177"/>
      <c r="AE2473" s="177"/>
      <c r="AF2473" s="139"/>
      <c r="AG2473" s="139"/>
      <c r="AH2473" s="177"/>
      <c r="AI2473" s="178"/>
      <c r="AJ2473" s="139"/>
      <c r="AK2473" s="173"/>
      <c r="AL2473" s="177"/>
      <c r="AM2473" s="178"/>
      <c r="AN2473" s="173"/>
      <c r="AO2473" s="173"/>
      <c r="AP2473" s="173"/>
      <c r="AQ2473" s="178"/>
      <c r="AR2473" s="173"/>
      <c r="AS2473" s="173"/>
      <c r="AT2473" s="140"/>
      <c r="AX2473" s="140"/>
      <c r="BB2473" s="173"/>
      <c r="BC2473" s="173"/>
    </row>
    <row r="2474" spans="2:55" s="134" customFormat="1" x14ac:dyDescent="0.2">
      <c r="B2474" s="145"/>
      <c r="D2474" s="145"/>
      <c r="Z2474" s="177"/>
      <c r="AA2474" s="178"/>
      <c r="AB2474" s="139"/>
      <c r="AC2474" s="173"/>
      <c r="AD2474" s="177"/>
      <c r="AE2474" s="177"/>
      <c r="AF2474" s="139"/>
      <c r="AG2474" s="139"/>
      <c r="AH2474" s="177"/>
      <c r="AI2474" s="178"/>
      <c r="AJ2474" s="139"/>
      <c r="AK2474" s="173"/>
      <c r="AL2474" s="177"/>
      <c r="AM2474" s="178"/>
      <c r="AN2474" s="173"/>
      <c r="AO2474" s="173"/>
      <c r="AP2474" s="173"/>
      <c r="AQ2474" s="178"/>
      <c r="AR2474" s="173"/>
      <c r="AS2474" s="173"/>
      <c r="AT2474" s="140"/>
      <c r="AX2474" s="140"/>
      <c r="BB2474" s="173"/>
      <c r="BC2474" s="173"/>
    </row>
    <row r="2475" spans="2:55" s="134" customFormat="1" x14ac:dyDescent="0.2">
      <c r="B2475" s="145"/>
      <c r="D2475" s="145"/>
      <c r="Z2475" s="177"/>
      <c r="AA2475" s="178"/>
      <c r="AB2475" s="139"/>
      <c r="AC2475" s="173"/>
      <c r="AD2475" s="177"/>
      <c r="AE2475" s="177"/>
      <c r="AF2475" s="139"/>
      <c r="AG2475" s="139"/>
      <c r="AH2475" s="177"/>
      <c r="AI2475" s="178"/>
      <c r="AJ2475" s="139"/>
      <c r="AK2475" s="173"/>
      <c r="AL2475" s="177"/>
      <c r="AM2475" s="178"/>
      <c r="AN2475" s="173"/>
      <c r="AO2475" s="173"/>
      <c r="AP2475" s="173"/>
      <c r="AQ2475" s="178"/>
      <c r="AR2475" s="173"/>
      <c r="AS2475" s="173"/>
      <c r="AT2475" s="140"/>
      <c r="AX2475" s="140"/>
      <c r="BB2475" s="173"/>
      <c r="BC2475" s="173"/>
    </row>
    <row r="2476" spans="2:55" s="134" customFormat="1" x14ac:dyDescent="0.2">
      <c r="B2476" s="145"/>
      <c r="D2476" s="145"/>
      <c r="Z2476" s="177"/>
      <c r="AA2476" s="178"/>
      <c r="AB2476" s="139"/>
      <c r="AC2476" s="173"/>
      <c r="AD2476" s="177"/>
      <c r="AE2476" s="177"/>
      <c r="AF2476" s="139"/>
      <c r="AG2476" s="139"/>
      <c r="AH2476" s="177"/>
      <c r="AI2476" s="178"/>
      <c r="AJ2476" s="139"/>
      <c r="AK2476" s="173"/>
      <c r="AL2476" s="177"/>
      <c r="AM2476" s="178"/>
      <c r="AN2476" s="173"/>
      <c r="AO2476" s="173"/>
      <c r="AP2476" s="173"/>
      <c r="AQ2476" s="178"/>
      <c r="AR2476" s="173"/>
      <c r="AS2476" s="173"/>
      <c r="AT2476" s="140"/>
      <c r="AX2476" s="140"/>
      <c r="BB2476" s="173"/>
      <c r="BC2476" s="173"/>
    </row>
    <row r="2477" spans="2:55" s="134" customFormat="1" x14ac:dyDescent="0.2">
      <c r="B2477" s="145"/>
      <c r="D2477" s="145"/>
      <c r="Z2477" s="177"/>
      <c r="AA2477" s="178"/>
      <c r="AB2477" s="139"/>
      <c r="AC2477" s="173"/>
      <c r="AD2477" s="177"/>
      <c r="AE2477" s="177"/>
      <c r="AF2477" s="139"/>
      <c r="AG2477" s="139"/>
      <c r="AH2477" s="177"/>
      <c r="AI2477" s="178"/>
      <c r="AJ2477" s="139"/>
      <c r="AK2477" s="173"/>
      <c r="AL2477" s="177"/>
      <c r="AM2477" s="178"/>
      <c r="AN2477" s="173"/>
      <c r="AO2477" s="173"/>
      <c r="AP2477" s="173"/>
      <c r="AQ2477" s="178"/>
      <c r="AR2477" s="173"/>
      <c r="AS2477" s="173"/>
      <c r="AT2477" s="140"/>
      <c r="AX2477" s="140"/>
      <c r="BB2477" s="173"/>
      <c r="BC2477" s="173"/>
    </row>
    <row r="2478" spans="2:55" s="134" customFormat="1" x14ac:dyDescent="0.2">
      <c r="B2478" s="145"/>
      <c r="D2478" s="145"/>
      <c r="Z2478" s="177"/>
      <c r="AA2478" s="178"/>
      <c r="AB2478" s="139"/>
      <c r="AC2478" s="173"/>
      <c r="AD2478" s="177"/>
      <c r="AE2478" s="177"/>
      <c r="AF2478" s="139"/>
      <c r="AG2478" s="139"/>
      <c r="AH2478" s="177"/>
      <c r="AI2478" s="178"/>
      <c r="AJ2478" s="139"/>
      <c r="AK2478" s="173"/>
      <c r="AL2478" s="177"/>
      <c r="AM2478" s="178"/>
      <c r="AN2478" s="173"/>
      <c r="AO2478" s="173"/>
      <c r="AP2478" s="173"/>
      <c r="AQ2478" s="178"/>
      <c r="AR2478" s="173"/>
      <c r="AS2478" s="173"/>
      <c r="AT2478" s="140"/>
      <c r="AX2478" s="140"/>
      <c r="BB2478" s="173"/>
      <c r="BC2478" s="173"/>
    </row>
    <row r="2479" spans="2:55" s="134" customFormat="1" x14ac:dyDescent="0.2">
      <c r="B2479" s="145"/>
      <c r="D2479" s="145"/>
      <c r="Z2479" s="177"/>
      <c r="AA2479" s="178"/>
      <c r="AB2479" s="139"/>
      <c r="AC2479" s="173"/>
      <c r="AD2479" s="177"/>
      <c r="AE2479" s="177"/>
      <c r="AF2479" s="139"/>
      <c r="AG2479" s="139"/>
      <c r="AH2479" s="177"/>
      <c r="AI2479" s="178"/>
      <c r="AJ2479" s="139"/>
      <c r="AK2479" s="173"/>
      <c r="AL2479" s="177"/>
      <c r="AM2479" s="178"/>
      <c r="AN2479" s="173"/>
      <c r="AO2479" s="173"/>
      <c r="AP2479" s="173"/>
      <c r="AQ2479" s="178"/>
      <c r="AR2479" s="173"/>
      <c r="AS2479" s="173"/>
      <c r="AT2479" s="140"/>
      <c r="AX2479" s="140"/>
      <c r="BB2479" s="173"/>
      <c r="BC2479" s="173"/>
    </row>
    <row r="2480" spans="2:55" s="134" customFormat="1" x14ac:dyDescent="0.2">
      <c r="B2480" s="145"/>
      <c r="D2480" s="145"/>
      <c r="Z2480" s="177"/>
      <c r="AA2480" s="178"/>
      <c r="AB2480" s="139"/>
      <c r="AC2480" s="173"/>
      <c r="AD2480" s="177"/>
      <c r="AE2480" s="177"/>
      <c r="AF2480" s="139"/>
      <c r="AG2480" s="139"/>
      <c r="AH2480" s="177"/>
      <c r="AI2480" s="178"/>
      <c r="AJ2480" s="139"/>
      <c r="AK2480" s="173"/>
      <c r="AL2480" s="177"/>
      <c r="AM2480" s="178"/>
      <c r="AN2480" s="173"/>
      <c r="AO2480" s="173"/>
      <c r="AP2480" s="173"/>
      <c r="AQ2480" s="178"/>
      <c r="AR2480" s="173"/>
      <c r="AS2480" s="173"/>
      <c r="AT2480" s="140"/>
      <c r="AX2480" s="140"/>
      <c r="BB2480" s="173"/>
      <c r="BC2480" s="173"/>
    </row>
    <row r="2481" spans="2:55" s="134" customFormat="1" x14ac:dyDescent="0.2">
      <c r="B2481" s="145"/>
      <c r="D2481" s="145"/>
      <c r="Z2481" s="177"/>
      <c r="AA2481" s="178"/>
      <c r="AB2481" s="139"/>
      <c r="AC2481" s="173"/>
      <c r="AD2481" s="177"/>
      <c r="AE2481" s="177"/>
      <c r="AF2481" s="139"/>
      <c r="AG2481" s="139"/>
      <c r="AH2481" s="177"/>
      <c r="AI2481" s="178"/>
      <c r="AJ2481" s="139"/>
      <c r="AK2481" s="173"/>
      <c r="AL2481" s="177"/>
      <c r="AM2481" s="178"/>
      <c r="AN2481" s="173"/>
      <c r="AO2481" s="173"/>
      <c r="AP2481" s="173"/>
      <c r="AQ2481" s="178"/>
      <c r="AR2481" s="173"/>
      <c r="AS2481" s="173"/>
      <c r="AT2481" s="140"/>
      <c r="AX2481" s="140"/>
      <c r="BB2481" s="173"/>
      <c r="BC2481" s="173"/>
    </row>
    <row r="2482" spans="2:55" s="134" customFormat="1" x14ac:dyDescent="0.2">
      <c r="B2482" s="145"/>
      <c r="D2482" s="145"/>
      <c r="Z2482" s="177"/>
      <c r="AA2482" s="178"/>
      <c r="AB2482" s="139"/>
      <c r="AC2482" s="173"/>
      <c r="AD2482" s="177"/>
      <c r="AE2482" s="177"/>
      <c r="AF2482" s="139"/>
      <c r="AG2482" s="139"/>
      <c r="AH2482" s="177"/>
      <c r="AI2482" s="178"/>
      <c r="AJ2482" s="139"/>
      <c r="AK2482" s="173"/>
      <c r="AL2482" s="177"/>
      <c r="AM2482" s="178"/>
      <c r="AN2482" s="173"/>
      <c r="AO2482" s="173"/>
      <c r="AP2482" s="173"/>
      <c r="AQ2482" s="178"/>
      <c r="AR2482" s="173"/>
      <c r="AS2482" s="173"/>
      <c r="AT2482" s="140"/>
      <c r="AX2482" s="140"/>
      <c r="BB2482" s="173"/>
      <c r="BC2482" s="173"/>
    </row>
    <row r="2483" spans="2:55" s="134" customFormat="1" x14ac:dyDescent="0.2">
      <c r="B2483" s="145"/>
      <c r="D2483" s="145"/>
      <c r="Z2483" s="177"/>
      <c r="AA2483" s="178"/>
      <c r="AB2483" s="139"/>
      <c r="AC2483" s="173"/>
      <c r="AD2483" s="177"/>
      <c r="AE2483" s="177"/>
      <c r="AF2483" s="139"/>
      <c r="AG2483" s="139"/>
      <c r="AH2483" s="177"/>
      <c r="AI2483" s="178"/>
      <c r="AJ2483" s="139"/>
      <c r="AK2483" s="173"/>
      <c r="AL2483" s="177"/>
      <c r="AM2483" s="178"/>
      <c r="AN2483" s="173"/>
      <c r="AO2483" s="173"/>
      <c r="AP2483" s="173"/>
      <c r="AQ2483" s="178"/>
      <c r="AR2483" s="173"/>
      <c r="AS2483" s="173"/>
      <c r="AT2483" s="140"/>
      <c r="AX2483" s="140"/>
      <c r="BB2483" s="173"/>
      <c r="BC2483" s="173"/>
    </row>
    <row r="2484" spans="2:55" s="134" customFormat="1" x14ac:dyDescent="0.2">
      <c r="B2484" s="145"/>
      <c r="D2484" s="145"/>
      <c r="Z2484" s="177"/>
      <c r="AA2484" s="178"/>
      <c r="AB2484" s="139"/>
      <c r="AC2484" s="173"/>
      <c r="AD2484" s="177"/>
      <c r="AE2484" s="177"/>
      <c r="AF2484" s="139"/>
      <c r="AG2484" s="139"/>
      <c r="AH2484" s="177"/>
      <c r="AI2484" s="178"/>
      <c r="AJ2484" s="139"/>
      <c r="AK2484" s="173"/>
      <c r="AL2484" s="177"/>
      <c r="AM2484" s="178"/>
      <c r="AN2484" s="173"/>
      <c r="AO2484" s="173"/>
      <c r="AP2484" s="173"/>
      <c r="AQ2484" s="178"/>
      <c r="AR2484" s="173"/>
      <c r="AS2484" s="173"/>
      <c r="AT2484" s="140"/>
      <c r="AX2484" s="140"/>
      <c r="BB2484" s="173"/>
      <c r="BC2484" s="173"/>
    </row>
    <row r="2485" spans="2:55" s="134" customFormat="1" x14ac:dyDescent="0.2">
      <c r="B2485" s="145"/>
      <c r="D2485" s="145"/>
      <c r="Z2485" s="177"/>
      <c r="AA2485" s="178"/>
      <c r="AB2485" s="139"/>
      <c r="AC2485" s="173"/>
      <c r="AD2485" s="177"/>
      <c r="AE2485" s="177"/>
      <c r="AF2485" s="139"/>
      <c r="AG2485" s="139"/>
      <c r="AH2485" s="177"/>
      <c r="AI2485" s="178"/>
      <c r="AJ2485" s="139"/>
      <c r="AK2485" s="173"/>
      <c r="AL2485" s="177"/>
      <c r="AM2485" s="178"/>
      <c r="AN2485" s="173"/>
      <c r="AO2485" s="173"/>
      <c r="AP2485" s="173"/>
      <c r="AQ2485" s="178"/>
      <c r="AR2485" s="173"/>
      <c r="AS2485" s="173"/>
      <c r="AT2485" s="140"/>
      <c r="AX2485" s="140"/>
      <c r="BB2485" s="173"/>
      <c r="BC2485" s="173"/>
    </row>
    <row r="2486" spans="2:55" s="134" customFormat="1" x14ac:dyDescent="0.2">
      <c r="B2486" s="145"/>
      <c r="D2486" s="145"/>
      <c r="Z2486" s="177"/>
      <c r="AA2486" s="178"/>
      <c r="AB2486" s="139"/>
      <c r="AC2486" s="173"/>
      <c r="AD2486" s="177"/>
      <c r="AE2486" s="177"/>
      <c r="AF2486" s="139"/>
      <c r="AG2486" s="139"/>
      <c r="AH2486" s="177"/>
      <c r="AI2486" s="178"/>
      <c r="AJ2486" s="139"/>
      <c r="AK2486" s="173"/>
      <c r="AL2486" s="177"/>
      <c r="AM2486" s="178"/>
      <c r="AN2486" s="173"/>
      <c r="AO2486" s="173"/>
      <c r="AP2486" s="173"/>
      <c r="AQ2486" s="178"/>
      <c r="AR2486" s="173"/>
      <c r="AS2486" s="173"/>
      <c r="AT2486" s="140"/>
      <c r="AX2486" s="140"/>
      <c r="BB2486" s="173"/>
      <c r="BC2486" s="173"/>
    </row>
    <row r="2487" spans="2:55" s="134" customFormat="1" x14ac:dyDescent="0.2">
      <c r="B2487" s="145"/>
      <c r="D2487" s="145"/>
      <c r="Z2487" s="177"/>
      <c r="AA2487" s="178"/>
      <c r="AB2487" s="139"/>
      <c r="AC2487" s="173"/>
      <c r="AD2487" s="177"/>
      <c r="AE2487" s="177"/>
      <c r="AF2487" s="139"/>
      <c r="AG2487" s="139"/>
      <c r="AH2487" s="177"/>
      <c r="AI2487" s="178"/>
      <c r="AJ2487" s="139"/>
      <c r="AK2487" s="173"/>
      <c r="AL2487" s="177"/>
      <c r="AM2487" s="178"/>
      <c r="AN2487" s="173"/>
      <c r="AO2487" s="173"/>
      <c r="AP2487" s="173"/>
      <c r="AQ2487" s="178"/>
      <c r="AR2487" s="173"/>
      <c r="AS2487" s="173"/>
      <c r="AT2487" s="140"/>
      <c r="AX2487" s="140"/>
      <c r="BB2487" s="173"/>
      <c r="BC2487" s="173"/>
    </row>
    <row r="2488" spans="2:55" s="134" customFormat="1" x14ac:dyDescent="0.2">
      <c r="B2488" s="145"/>
      <c r="D2488" s="145"/>
      <c r="Z2488" s="177"/>
      <c r="AA2488" s="178"/>
      <c r="AB2488" s="139"/>
      <c r="AC2488" s="173"/>
      <c r="AD2488" s="177"/>
      <c r="AE2488" s="177"/>
      <c r="AF2488" s="139"/>
      <c r="AG2488" s="139"/>
      <c r="AH2488" s="177"/>
      <c r="AI2488" s="178"/>
      <c r="AJ2488" s="139"/>
      <c r="AK2488" s="173"/>
      <c r="AL2488" s="177"/>
      <c r="AM2488" s="178"/>
      <c r="AN2488" s="173"/>
      <c r="AO2488" s="173"/>
      <c r="AP2488" s="173"/>
      <c r="AQ2488" s="178"/>
      <c r="AR2488" s="173"/>
      <c r="AS2488" s="173"/>
      <c r="AT2488" s="140"/>
      <c r="AX2488" s="140"/>
      <c r="BB2488" s="173"/>
      <c r="BC2488" s="173"/>
    </row>
    <row r="2489" spans="2:55" s="134" customFormat="1" x14ac:dyDescent="0.2">
      <c r="B2489" s="145"/>
      <c r="D2489" s="145"/>
      <c r="Z2489" s="177"/>
      <c r="AA2489" s="178"/>
      <c r="AB2489" s="139"/>
      <c r="AC2489" s="173"/>
      <c r="AD2489" s="177"/>
      <c r="AE2489" s="177"/>
      <c r="AF2489" s="139"/>
      <c r="AG2489" s="139"/>
      <c r="AH2489" s="177"/>
      <c r="AI2489" s="178"/>
      <c r="AJ2489" s="139"/>
      <c r="AK2489" s="173"/>
      <c r="AL2489" s="177"/>
      <c r="AM2489" s="178"/>
      <c r="AN2489" s="173"/>
      <c r="AO2489" s="173"/>
      <c r="AP2489" s="173"/>
      <c r="AQ2489" s="178"/>
      <c r="AR2489" s="173"/>
      <c r="AS2489" s="173"/>
      <c r="AT2489" s="140"/>
      <c r="AX2489" s="140"/>
      <c r="BB2489" s="173"/>
      <c r="BC2489" s="173"/>
    </row>
    <row r="2490" spans="2:55" s="134" customFormat="1" x14ac:dyDescent="0.2">
      <c r="B2490" s="145"/>
      <c r="D2490" s="145"/>
      <c r="Z2490" s="177"/>
      <c r="AA2490" s="178"/>
      <c r="AB2490" s="139"/>
      <c r="AC2490" s="173"/>
      <c r="AD2490" s="177"/>
      <c r="AE2490" s="177"/>
      <c r="AF2490" s="139"/>
      <c r="AG2490" s="139"/>
      <c r="AH2490" s="177"/>
      <c r="AI2490" s="178"/>
      <c r="AJ2490" s="139"/>
      <c r="AK2490" s="173"/>
      <c r="AL2490" s="177"/>
      <c r="AM2490" s="178"/>
      <c r="AN2490" s="173"/>
      <c r="AO2490" s="173"/>
      <c r="AP2490" s="173"/>
      <c r="AQ2490" s="178"/>
      <c r="AR2490" s="173"/>
      <c r="AS2490" s="173"/>
      <c r="AT2490" s="140"/>
      <c r="AX2490" s="140"/>
      <c r="BB2490" s="173"/>
      <c r="BC2490" s="173"/>
    </row>
    <row r="2491" spans="2:55" s="134" customFormat="1" x14ac:dyDescent="0.2">
      <c r="B2491" s="145"/>
      <c r="D2491" s="145"/>
      <c r="Z2491" s="177"/>
      <c r="AA2491" s="178"/>
      <c r="AB2491" s="139"/>
      <c r="AC2491" s="173"/>
      <c r="AD2491" s="177"/>
      <c r="AE2491" s="177"/>
      <c r="AF2491" s="139"/>
      <c r="AG2491" s="139"/>
      <c r="AH2491" s="177"/>
      <c r="AI2491" s="178"/>
      <c r="AJ2491" s="139"/>
      <c r="AK2491" s="173"/>
      <c r="AL2491" s="177"/>
      <c r="AM2491" s="178"/>
      <c r="AN2491" s="173"/>
      <c r="AO2491" s="173"/>
      <c r="AP2491" s="173"/>
      <c r="AQ2491" s="178"/>
      <c r="AR2491" s="173"/>
      <c r="AS2491" s="173"/>
      <c r="AT2491" s="140"/>
      <c r="AX2491" s="140"/>
      <c r="BB2491" s="173"/>
      <c r="BC2491" s="173"/>
    </row>
    <row r="2492" spans="2:55" s="134" customFormat="1" x14ac:dyDescent="0.2">
      <c r="B2492" s="145"/>
      <c r="D2492" s="145"/>
      <c r="Z2492" s="177"/>
      <c r="AA2492" s="178"/>
      <c r="AB2492" s="139"/>
      <c r="AC2492" s="173"/>
      <c r="AD2492" s="177"/>
      <c r="AE2492" s="177"/>
      <c r="AF2492" s="139"/>
      <c r="AG2492" s="139"/>
      <c r="AH2492" s="177"/>
      <c r="AI2492" s="178"/>
      <c r="AJ2492" s="139"/>
      <c r="AK2492" s="173"/>
      <c r="AL2492" s="177"/>
      <c r="AM2492" s="178"/>
      <c r="AN2492" s="173"/>
      <c r="AO2492" s="173"/>
      <c r="AP2492" s="173"/>
      <c r="AQ2492" s="178"/>
      <c r="AR2492" s="173"/>
      <c r="AS2492" s="173"/>
      <c r="AT2492" s="140"/>
      <c r="AX2492" s="140"/>
      <c r="BB2492" s="173"/>
      <c r="BC2492" s="173"/>
    </row>
    <row r="2493" spans="2:55" s="134" customFormat="1" x14ac:dyDescent="0.2">
      <c r="B2493" s="145"/>
      <c r="D2493" s="145"/>
      <c r="Z2493" s="177"/>
      <c r="AA2493" s="178"/>
      <c r="AB2493" s="139"/>
      <c r="AC2493" s="173"/>
      <c r="AD2493" s="177"/>
      <c r="AE2493" s="177"/>
      <c r="AF2493" s="139"/>
      <c r="AG2493" s="139"/>
      <c r="AH2493" s="177"/>
      <c r="AI2493" s="178"/>
      <c r="AJ2493" s="139"/>
      <c r="AK2493" s="173"/>
      <c r="AL2493" s="177"/>
      <c r="AM2493" s="178"/>
      <c r="AN2493" s="173"/>
      <c r="AO2493" s="173"/>
      <c r="AP2493" s="173"/>
      <c r="AQ2493" s="178"/>
      <c r="AR2493" s="173"/>
      <c r="AS2493" s="173"/>
      <c r="AT2493" s="140"/>
      <c r="AX2493" s="140"/>
      <c r="BB2493" s="173"/>
      <c r="BC2493" s="173"/>
    </row>
    <row r="2494" spans="2:55" s="134" customFormat="1" x14ac:dyDescent="0.2">
      <c r="B2494" s="145"/>
      <c r="D2494" s="145"/>
      <c r="Z2494" s="177"/>
      <c r="AA2494" s="178"/>
      <c r="AB2494" s="139"/>
      <c r="AC2494" s="173"/>
      <c r="AD2494" s="177"/>
      <c r="AE2494" s="177"/>
      <c r="AF2494" s="139"/>
      <c r="AG2494" s="139"/>
      <c r="AH2494" s="177"/>
      <c r="AI2494" s="178"/>
      <c r="AJ2494" s="139"/>
      <c r="AK2494" s="173"/>
      <c r="AL2494" s="177"/>
      <c r="AM2494" s="178"/>
      <c r="AN2494" s="173"/>
      <c r="AO2494" s="173"/>
      <c r="AP2494" s="173"/>
      <c r="AQ2494" s="178"/>
      <c r="AR2494" s="173"/>
      <c r="AS2494" s="173"/>
      <c r="AT2494" s="140"/>
      <c r="AX2494" s="140"/>
      <c r="BB2494" s="173"/>
      <c r="BC2494" s="173"/>
    </row>
    <row r="2495" spans="2:55" s="134" customFormat="1" x14ac:dyDescent="0.2">
      <c r="B2495" s="145"/>
      <c r="D2495" s="145"/>
      <c r="Z2495" s="177"/>
      <c r="AA2495" s="178"/>
      <c r="AB2495" s="139"/>
      <c r="AC2495" s="173"/>
      <c r="AD2495" s="177"/>
      <c r="AE2495" s="177"/>
      <c r="AF2495" s="139"/>
      <c r="AG2495" s="139"/>
      <c r="AH2495" s="177"/>
      <c r="AI2495" s="178"/>
      <c r="AJ2495" s="139"/>
      <c r="AK2495" s="173"/>
      <c r="AL2495" s="177"/>
      <c r="AM2495" s="178"/>
      <c r="AN2495" s="173"/>
      <c r="AO2495" s="173"/>
      <c r="AP2495" s="173"/>
      <c r="AQ2495" s="178"/>
      <c r="AR2495" s="173"/>
      <c r="AS2495" s="173"/>
      <c r="AT2495" s="140"/>
      <c r="AX2495" s="140"/>
      <c r="BB2495" s="173"/>
      <c r="BC2495" s="173"/>
    </row>
    <row r="2496" spans="2:55" s="134" customFormat="1" x14ac:dyDescent="0.2">
      <c r="B2496" s="145"/>
      <c r="D2496" s="145"/>
      <c r="Z2496" s="177"/>
      <c r="AA2496" s="178"/>
      <c r="AB2496" s="139"/>
      <c r="AC2496" s="173"/>
      <c r="AD2496" s="177"/>
      <c r="AE2496" s="177"/>
      <c r="AF2496" s="139"/>
      <c r="AG2496" s="139"/>
      <c r="AH2496" s="177"/>
      <c r="AI2496" s="178"/>
      <c r="AJ2496" s="139"/>
      <c r="AK2496" s="173"/>
      <c r="AL2496" s="177"/>
      <c r="AM2496" s="178"/>
      <c r="AN2496" s="173"/>
      <c r="AO2496" s="173"/>
      <c r="AP2496" s="173"/>
      <c r="AQ2496" s="178"/>
      <c r="AR2496" s="173"/>
      <c r="AS2496" s="173"/>
      <c r="AT2496" s="140"/>
      <c r="AX2496" s="140"/>
      <c r="BB2496" s="173"/>
      <c r="BC2496" s="173"/>
    </row>
    <row r="2497" spans="2:55" s="134" customFormat="1" x14ac:dyDescent="0.2">
      <c r="B2497" s="145"/>
      <c r="D2497" s="145"/>
      <c r="Z2497" s="177"/>
      <c r="AA2497" s="178"/>
      <c r="AB2497" s="139"/>
      <c r="AC2497" s="173"/>
      <c r="AD2497" s="177"/>
      <c r="AE2497" s="177"/>
      <c r="AF2497" s="139"/>
      <c r="AG2497" s="139"/>
      <c r="AH2497" s="177"/>
      <c r="AI2497" s="178"/>
      <c r="AJ2497" s="139"/>
      <c r="AK2497" s="173"/>
      <c r="AL2497" s="177"/>
      <c r="AM2497" s="178"/>
      <c r="AN2497" s="173"/>
      <c r="AO2497" s="173"/>
      <c r="AP2497" s="173"/>
      <c r="AQ2497" s="178"/>
      <c r="AR2497" s="173"/>
      <c r="AS2497" s="173"/>
      <c r="AT2497" s="140"/>
      <c r="AX2497" s="140"/>
      <c r="BB2497" s="173"/>
      <c r="BC2497" s="173"/>
    </row>
    <row r="2498" spans="2:55" s="134" customFormat="1" x14ac:dyDescent="0.2">
      <c r="B2498" s="145"/>
      <c r="D2498" s="145"/>
      <c r="Z2498" s="177"/>
      <c r="AA2498" s="178"/>
      <c r="AB2498" s="139"/>
      <c r="AC2498" s="173"/>
      <c r="AD2498" s="177"/>
      <c r="AE2498" s="177"/>
      <c r="AF2498" s="139"/>
      <c r="AG2498" s="139"/>
      <c r="AH2498" s="177"/>
      <c r="AI2498" s="178"/>
      <c r="AJ2498" s="139"/>
      <c r="AK2498" s="173"/>
      <c r="AL2498" s="177"/>
      <c r="AM2498" s="178"/>
      <c r="AN2498" s="173"/>
      <c r="AO2498" s="173"/>
      <c r="AP2498" s="173"/>
      <c r="AQ2498" s="178"/>
      <c r="AR2498" s="173"/>
      <c r="AS2498" s="173"/>
      <c r="AT2498" s="140"/>
      <c r="AX2498" s="140"/>
      <c r="BB2498" s="173"/>
      <c r="BC2498" s="173"/>
    </row>
    <row r="2499" spans="2:55" s="134" customFormat="1" x14ac:dyDescent="0.2">
      <c r="B2499" s="145"/>
      <c r="D2499" s="145"/>
      <c r="Z2499" s="177"/>
      <c r="AA2499" s="178"/>
      <c r="AB2499" s="139"/>
      <c r="AC2499" s="173"/>
      <c r="AD2499" s="177"/>
      <c r="AE2499" s="177"/>
      <c r="AF2499" s="139"/>
      <c r="AG2499" s="139"/>
      <c r="AH2499" s="177"/>
      <c r="AI2499" s="178"/>
      <c r="AJ2499" s="139"/>
      <c r="AK2499" s="173"/>
      <c r="AL2499" s="177"/>
      <c r="AM2499" s="178"/>
      <c r="AN2499" s="173"/>
      <c r="AO2499" s="173"/>
      <c r="AP2499" s="173"/>
      <c r="AQ2499" s="178"/>
      <c r="AR2499" s="173"/>
      <c r="AS2499" s="173"/>
      <c r="AT2499" s="140"/>
      <c r="AX2499" s="140"/>
      <c r="BB2499" s="173"/>
      <c r="BC2499" s="173"/>
    </row>
    <row r="2500" spans="2:55" s="134" customFormat="1" x14ac:dyDescent="0.2">
      <c r="B2500" s="145"/>
      <c r="D2500" s="145"/>
      <c r="Z2500" s="177"/>
      <c r="AA2500" s="178"/>
      <c r="AB2500" s="139"/>
      <c r="AC2500" s="173"/>
      <c r="AD2500" s="177"/>
      <c r="AE2500" s="177"/>
      <c r="AF2500" s="139"/>
      <c r="AG2500" s="139"/>
      <c r="AH2500" s="177"/>
      <c r="AI2500" s="178"/>
      <c r="AJ2500" s="139"/>
      <c r="AK2500" s="173"/>
      <c r="AL2500" s="177"/>
      <c r="AM2500" s="178"/>
      <c r="AN2500" s="173"/>
      <c r="AO2500" s="173"/>
      <c r="AP2500" s="173"/>
      <c r="AQ2500" s="178"/>
      <c r="AR2500" s="173"/>
      <c r="AS2500" s="173"/>
      <c r="AT2500" s="140"/>
      <c r="AX2500" s="140"/>
      <c r="BB2500" s="173"/>
      <c r="BC2500" s="173"/>
    </row>
    <row r="2501" spans="2:55" s="134" customFormat="1" x14ac:dyDescent="0.2">
      <c r="B2501" s="145"/>
      <c r="D2501" s="145"/>
      <c r="Z2501" s="177"/>
      <c r="AA2501" s="178"/>
      <c r="AB2501" s="139"/>
      <c r="AC2501" s="173"/>
      <c r="AD2501" s="177"/>
      <c r="AE2501" s="177"/>
      <c r="AF2501" s="139"/>
      <c r="AG2501" s="139"/>
      <c r="AH2501" s="177"/>
      <c r="AI2501" s="178"/>
      <c r="AJ2501" s="139"/>
      <c r="AK2501" s="173"/>
      <c r="AL2501" s="177"/>
      <c r="AM2501" s="178"/>
      <c r="AN2501" s="173"/>
      <c r="AO2501" s="173"/>
      <c r="AP2501" s="173"/>
      <c r="AQ2501" s="178"/>
      <c r="AR2501" s="173"/>
      <c r="AS2501" s="173"/>
      <c r="AT2501" s="140"/>
      <c r="AX2501" s="140"/>
      <c r="BB2501" s="173"/>
      <c r="BC2501" s="173"/>
    </row>
    <row r="2502" spans="2:55" s="134" customFormat="1" x14ac:dyDescent="0.2">
      <c r="B2502" s="145"/>
      <c r="D2502" s="145"/>
      <c r="Z2502" s="177"/>
      <c r="AA2502" s="178"/>
      <c r="AB2502" s="139"/>
      <c r="AC2502" s="173"/>
      <c r="AD2502" s="177"/>
      <c r="AE2502" s="177"/>
      <c r="AF2502" s="139"/>
      <c r="AG2502" s="139"/>
      <c r="AH2502" s="177"/>
      <c r="AI2502" s="178"/>
      <c r="AJ2502" s="139"/>
      <c r="AK2502" s="173"/>
      <c r="AL2502" s="177"/>
      <c r="AM2502" s="178"/>
      <c r="AN2502" s="173"/>
      <c r="AO2502" s="173"/>
      <c r="AP2502" s="173"/>
      <c r="AQ2502" s="178"/>
      <c r="AR2502" s="173"/>
      <c r="AS2502" s="173"/>
      <c r="AT2502" s="140"/>
      <c r="AX2502" s="140"/>
      <c r="BB2502" s="173"/>
      <c r="BC2502" s="173"/>
    </row>
    <row r="2503" spans="2:55" s="134" customFormat="1" x14ac:dyDescent="0.2">
      <c r="B2503" s="145"/>
      <c r="D2503" s="145"/>
      <c r="Z2503" s="177"/>
      <c r="AA2503" s="178"/>
      <c r="AB2503" s="139"/>
      <c r="AC2503" s="173"/>
      <c r="AD2503" s="177"/>
      <c r="AE2503" s="177"/>
      <c r="AF2503" s="139"/>
      <c r="AG2503" s="139"/>
      <c r="AH2503" s="177"/>
      <c r="AI2503" s="178"/>
      <c r="AJ2503" s="139"/>
      <c r="AK2503" s="173"/>
      <c r="AL2503" s="177"/>
      <c r="AM2503" s="178"/>
      <c r="AN2503" s="173"/>
      <c r="AO2503" s="173"/>
      <c r="AP2503" s="173"/>
      <c r="AQ2503" s="178"/>
      <c r="AR2503" s="173"/>
      <c r="AS2503" s="173"/>
      <c r="AT2503" s="140"/>
      <c r="AX2503" s="140"/>
      <c r="BB2503" s="173"/>
      <c r="BC2503" s="173"/>
    </row>
    <row r="2504" spans="2:55" s="134" customFormat="1" x14ac:dyDescent="0.2">
      <c r="B2504" s="145"/>
      <c r="D2504" s="145"/>
      <c r="Z2504" s="177"/>
      <c r="AA2504" s="178"/>
      <c r="AB2504" s="139"/>
      <c r="AC2504" s="173"/>
      <c r="AD2504" s="177"/>
      <c r="AE2504" s="177"/>
      <c r="AF2504" s="139"/>
      <c r="AG2504" s="139"/>
      <c r="AH2504" s="177"/>
      <c r="AI2504" s="178"/>
      <c r="AJ2504" s="139"/>
      <c r="AK2504" s="173"/>
      <c r="AL2504" s="177"/>
      <c r="AM2504" s="178"/>
      <c r="AN2504" s="173"/>
      <c r="AO2504" s="173"/>
      <c r="AP2504" s="173"/>
      <c r="AQ2504" s="178"/>
      <c r="AR2504" s="173"/>
      <c r="AS2504" s="173"/>
      <c r="AT2504" s="140"/>
      <c r="AX2504" s="140"/>
      <c r="BB2504" s="173"/>
      <c r="BC2504" s="173"/>
    </row>
    <row r="2505" spans="2:55" s="134" customFormat="1" x14ac:dyDescent="0.2">
      <c r="B2505" s="145"/>
      <c r="D2505" s="145"/>
      <c r="Z2505" s="177"/>
      <c r="AA2505" s="178"/>
      <c r="AB2505" s="139"/>
      <c r="AC2505" s="173"/>
      <c r="AD2505" s="177"/>
      <c r="AE2505" s="177"/>
      <c r="AF2505" s="139"/>
      <c r="AG2505" s="139"/>
      <c r="AH2505" s="177"/>
      <c r="AI2505" s="178"/>
      <c r="AJ2505" s="139"/>
      <c r="AK2505" s="173"/>
      <c r="AL2505" s="177"/>
      <c r="AM2505" s="178"/>
      <c r="AN2505" s="173"/>
      <c r="AO2505" s="173"/>
      <c r="AP2505" s="173"/>
      <c r="AQ2505" s="178"/>
      <c r="AR2505" s="173"/>
      <c r="AS2505" s="173"/>
      <c r="AT2505" s="140"/>
      <c r="AX2505" s="140"/>
      <c r="BB2505" s="173"/>
      <c r="BC2505" s="173"/>
    </row>
    <row r="2506" spans="2:55" s="134" customFormat="1" x14ac:dyDescent="0.2">
      <c r="B2506" s="145"/>
      <c r="D2506" s="145"/>
      <c r="Z2506" s="177"/>
      <c r="AA2506" s="178"/>
      <c r="AB2506" s="139"/>
      <c r="AC2506" s="173"/>
      <c r="AD2506" s="177"/>
      <c r="AE2506" s="177"/>
      <c r="AF2506" s="139"/>
      <c r="AG2506" s="139"/>
      <c r="AH2506" s="177"/>
      <c r="AI2506" s="178"/>
      <c r="AJ2506" s="139"/>
      <c r="AK2506" s="173"/>
      <c r="AL2506" s="177"/>
      <c r="AM2506" s="178"/>
      <c r="AN2506" s="173"/>
      <c r="AO2506" s="173"/>
      <c r="AP2506" s="173"/>
      <c r="AQ2506" s="178"/>
      <c r="AR2506" s="173"/>
      <c r="AS2506" s="173"/>
      <c r="AT2506" s="140"/>
      <c r="AX2506" s="140"/>
      <c r="BB2506" s="173"/>
      <c r="BC2506" s="173"/>
    </row>
    <row r="2507" spans="2:55" s="134" customFormat="1" x14ac:dyDescent="0.2">
      <c r="B2507" s="145"/>
      <c r="D2507" s="145"/>
      <c r="Z2507" s="177"/>
      <c r="AA2507" s="178"/>
      <c r="AB2507" s="139"/>
      <c r="AC2507" s="173"/>
      <c r="AD2507" s="177"/>
      <c r="AE2507" s="177"/>
      <c r="AF2507" s="139"/>
      <c r="AG2507" s="139"/>
      <c r="AH2507" s="177"/>
      <c r="AI2507" s="178"/>
      <c r="AJ2507" s="139"/>
      <c r="AK2507" s="173"/>
      <c r="AL2507" s="177"/>
      <c r="AM2507" s="178"/>
      <c r="AN2507" s="173"/>
      <c r="AO2507" s="173"/>
      <c r="AP2507" s="173"/>
      <c r="AQ2507" s="178"/>
      <c r="AR2507" s="173"/>
      <c r="AS2507" s="173"/>
      <c r="AT2507" s="140"/>
      <c r="AX2507" s="140"/>
      <c r="BB2507" s="173"/>
      <c r="BC2507" s="173"/>
    </row>
    <row r="2508" spans="2:55" s="134" customFormat="1" x14ac:dyDescent="0.2">
      <c r="B2508" s="145"/>
      <c r="D2508" s="145"/>
      <c r="Z2508" s="177"/>
      <c r="AA2508" s="178"/>
      <c r="AB2508" s="139"/>
      <c r="AC2508" s="173"/>
      <c r="AD2508" s="177"/>
      <c r="AE2508" s="177"/>
      <c r="AF2508" s="139"/>
      <c r="AG2508" s="139"/>
      <c r="AH2508" s="177"/>
      <c r="AI2508" s="178"/>
      <c r="AJ2508" s="139"/>
      <c r="AK2508" s="173"/>
      <c r="AL2508" s="177"/>
      <c r="AM2508" s="178"/>
      <c r="AN2508" s="173"/>
      <c r="AO2508" s="173"/>
      <c r="AP2508" s="173"/>
      <c r="AQ2508" s="178"/>
      <c r="AR2508" s="173"/>
      <c r="AS2508" s="173"/>
      <c r="AT2508" s="140"/>
      <c r="AX2508" s="140"/>
      <c r="BB2508" s="173"/>
      <c r="BC2508" s="173"/>
    </row>
    <row r="2509" spans="2:55" s="134" customFormat="1" x14ac:dyDescent="0.2">
      <c r="B2509" s="145"/>
      <c r="D2509" s="145"/>
      <c r="Z2509" s="177"/>
      <c r="AA2509" s="178"/>
      <c r="AB2509" s="139"/>
      <c r="AC2509" s="173"/>
      <c r="AD2509" s="177"/>
      <c r="AE2509" s="177"/>
      <c r="AF2509" s="139"/>
      <c r="AG2509" s="139"/>
      <c r="AH2509" s="177"/>
      <c r="AI2509" s="178"/>
      <c r="AJ2509" s="139"/>
      <c r="AK2509" s="173"/>
      <c r="AL2509" s="177"/>
      <c r="AM2509" s="178"/>
      <c r="AN2509" s="173"/>
      <c r="AO2509" s="173"/>
      <c r="AP2509" s="173"/>
      <c r="AQ2509" s="178"/>
      <c r="AR2509" s="173"/>
      <c r="AS2509" s="173"/>
      <c r="AT2509" s="140"/>
      <c r="AX2509" s="140"/>
      <c r="BB2509" s="173"/>
      <c r="BC2509" s="173"/>
    </row>
    <row r="2510" spans="2:55" s="134" customFormat="1" x14ac:dyDescent="0.2">
      <c r="B2510" s="145"/>
      <c r="D2510" s="145"/>
      <c r="Z2510" s="177"/>
      <c r="AA2510" s="178"/>
      <c r="AB2510" s="139"/>
      <c r="AC2510" s="173"/>
      <c r="AD2510" s="177"/>
      <c r="AE2510" s="177"/>
      <c r="AF2510" s="139"/>
      <c r="AG2510" s="139"/>
      <c r="AH2510" s="177"/>
      <c r="AI2510" s="178"/>
      <c r="AJ2510" s="139"/>
      <c r="AK2510" s="173"/>
      <c r="AL2510" s="177"/>
      <c r="AM2510" s="178"/>
      <c r="AN2510" s="173"/>
      <c r="AO2510" s="173"/>
      <c r="AP2510" s="173"/>
      <c r="AQ2510" s="178"/>
      <c r="AR2510" s="173"/>
      <c r="AS2510" s="173"/>
      <c r="AT2510" s="140"/>
      <c r="AX2510" s="140"/>
      <c r="BB2510" s="173"/>
      <c r="BC2510" s="173"/>
    </row>
    <row r="2511" spans="2:55" s="134" customFormat="1" x14ac:dyDescent="0.2">
      <c r="B2511" s="145"/>
      <c r="D2511" s="145"/>
      <c r="Z2511" s="177"/>
      <c r="AA2511" s="178"/>
      <c r="AB2511" s="139"/>
      <c r="AC2511" s="173"/>
      <c r="AD2511" s="177"/>
      <c r="AE2511" s="177"/>
      <c r="AF2511" s="139"/>
      <c r="AG2511" s="139"/>
      <c r="AH2511" s="177"/>
      <c r="AI2511" s="178"/>
      <c r="AJ2511" s="139"/>
      <c r="AK2511" s="173"/>
      <c r="AL2511" s="177"/>
      <c r="AM2511" s="178"/>
      <c r="AN2511" s="173"/>
      <c r="AO2511" s="173"/>
      <c r="AP2511" s="173"/>
      <c r="AQ2511" s="178"/>
      <c r="AR2511" s="173"/>
      <c r="AS2511" s="173"/>
      <c r="AT2511" s="140"/>
      <c r="AX2511" s="140"/>
      <c r="BB2511" s="173"/>
      <c r="BC2511" s="173"/>
    </row>
    <row r="2512" spans="2:55" s="134" customFormat="1" x14ac:dyDescent="0.2">
      <c r="B2512" s="145"/>
      <c r="D2512" s="145"/>
      <c r="Z2512" s="177"/>
      <c r="AA2512" s="178"/>
      <c r="AB2512" s="139"/>
      <c r="AC2512" s="173"/>
      <c r="AD2512" s="177"/>
      <c r="AE2512" s="177"/>
      <c r="AF2512" s="139"/>
      <c r="AG2512" s="139"/>
      <c r="AH2512" s="177"/>
      <c r="AI2512" s="178"/>
      <c r="AJ2512" s="139"/>
      <c r="AK2512" s="173"/>
      <c r="AL2512" s="177"/>
      <c r="AM2512" s="178"/>
      <c r="AN2512" s="173"/>
      <c r="AO2512" s="173"/>
      <c r="AP2512" s="173"/>
      <c r="AQ2512" s="178"/>
      <c r="AR2512" s="173"/>
      <c r="AS2512" s="173"/>
      <c r="AT2512" s="140"/>
      <c r="AX2512" s="140"/>
      <c r="BB2512" s="173"/>
      <c r="BC2512" s="173"/>
    </row>
    <row r="2513" spans="2:55" s="134" customFormat="1" x14ac:dyDescent="0.2">
      <c r="B2513" s="145"/>
      <c r="D2513" s="145"/>
      <c r="Z2513" s="177"/>
      <c r="AA2513" s="178"/>
      <c r="AB2513" s="139"/>
      <c r="AC2513" s="173"/>
      <c r="AD2513" s="177"/>
      <c r="AE2513" s="177"/>
      <c r="AF2513" s="139"/>
      <c r="AG2513" s="139"/>
      <c r="AH2513" s="177"/>
      <c r="AI2513" s="178"/>
      <c r="AJ2513" s="139"/>
      <c r="AK2513" s="173"/>
      <c r="AL2513" s="177"/>
      <c r="AM2513" s="178"/>
      <c r="AN2513" s="173"/>
      <c r="AO2513" s="173"/>
      <c r="AP2513" s="173"/>
      <c r="AQ2513" s="178"/>
      <c r="AR2513" s="173"/>
      <c r="AS2513" s="173"/>
      <c r="AT2513" s="140"/>
      <c r="AX2513" s="140"/>
      <c r="BB2513" s="173"/>
      <c r="BC2513" s="173"/>
    </row>
    <row r="2514" spans="2:55" s="134" customFormat="1" x14ac:dyDescent="0.2">
      <c r="B2514" s="145"/>
      <c r="D2514" s="145"/>
      <c r="Z2514" s="177"/>
      <c r="AA2514" s="178"/>
      <c r="AB2514" s="139"/>
      <c r="AC2514" s="173"/>
      <c r="AD2514" s="177"/>
      <c r="AE2514" s="177"/>
      <c r="AF2514" s="139"/>
      <c r="AG2514" s="139"/>
      <c r="AH2514" s="177"/>
      <c r="AI2514" s="178"/>
      <c r="AJ2514" s="139"/>
      <c r="AK2514" s="173"/>
      <c r="AL2514" s="177"/>
      <c r="AM2514" s="178"/>
      <c r="AN2514" s="173"/>
      <c r="AO2514" s="173"/>
      <c r="AP2514" s="173"/>
      <c r="AQ2514" s="178"/>
      <c r="AR2514" s="173"/>
      <c r="AS2514" s="173"/>
      <c r="AT2514" s="140"/>
      <c r="AX2514" s="140"/>
      <c r="BB2514" s="173"/>
      <c r="BC2514" s="173"/>
    </row>
    <row r="2515" spans="2:55" s="134" customFormat="1" x14ac:dyDescent="0.2">
      <c r="B2515" s="145"/>
      <c r="D2515" s="145"/>
      <c r="Z2515" s="177"/>
      <c r="AA2515" s="178"/>
      <c r="AB2515" s="139"/>
      <c r="AC2515" s="173"/>
      <c r="AD2515" s="177"/>
      <c r="AE2515" s="177"/>
      <c r="AF2515" s="139"/>
      <c r="AG2515" s="139"/>
      <c r="AH2515" s="177"/>
      <c r="AI2515" s="178"/>
      <c r="AJ2515" s="139"/>
      <c r="AK2515" s="173"/>
      <c r="AL2515" s="177"/>
      <c r="AM2515" s="178"/>
      <c r="AN2515" s="173"/>
      <c r="AO2515" s="173"/>
      <c r="AP2515" s="173"/>
      <c r="AQ2515" s="178"/>
      <c r="AR2515" s="173"/>
      <c r="AS2515" s="173"/>
      <c r="AT2515" s="140"/>
      <c r="AX2515" s="140"/>
      <c r="BB2515" s="173"/>
      <c r="BC2515" s="173"/>
    </row>
    <row r="2516" spans="2:55" s="134" customFormat="1" x14ac:dyDescent="0.2">
      <c r="B2516" s="145"/>
      <c r="D2516" s="145"/>
      <c r="Z2516" s="177"/>
      <c r="AA2516" s="178"/>
      <c r="AB2516" s="139"/>
      <c r="AC2516" s="173"/>
      <c r="AD2516" s="177"/>
      <c r="AE2516" s="177"/>
      <c r="AF2516" s="139"/>
      <c r="AG2516" s="139"/>
      <c r="AH2516" s="177"/>
      <c r="AI2516" s="178"/>
      <c r="AJ2516" s="139"/>
      <c r="AK2516" s="173"/>
      <c r="AL2516" s="177"/>
      <c r="AM2516" s="178"/>
      <c r="AN2516" s="173"/>
      <c r="AO2516" s="173"/>
      <c r="AP2516" s="173"/>
      <c r="AQ2516" s="178"/>
      <c r="AR2516" s="173"/>
      <c r="AS2516" s="173"/>
      <c r="AT2516" s="140"/>
      <c r="AX2516" s="140"/>
      <c r="BB2516" s="173"/>
      <c r="BC2516" s="173"/>
    </row>
    <row r="2517" spans="2:55" s="134" customFormat="1" x14ac:dyDescent="0.2">
      <c r="B2517" s="145"/>
      <c r="D2517" s="145"/>
      <c r="Z2517" s="177"/>
      <c r="AA2517" s="178"/>
      <c r="AB2517" s="139"/>
      <c r="AC2517" s="173"/>
      <c r="AD2517" s="177"/>
      <c r="AE2517" s="177"/>
      <c r="AF2517" s="139"/>
      <c r="AG2517" s="139"/>
      <c r="AH2517" s="177"/>
      <c r="AI2517" s="178"/>
      <c r="AJ2517" s="139"/>
      <c r="AK2517" s="173"/>
      <c r="AL2517" s="177"/>
      <c r="AM2517" s="178"/>
      <c r="AN2517" s="173"/>
      <c r="AO2517" s="173"/>
      <c r="AP2517" s="173"/>
      <c r="AQ2517" s="178"/>
      <c r="AR2517" s="173"/>
      <c r="AS2517" s="173"/>
      <c r="AT2517" s="140"/>
      <c r="AX2517" s="140"/>
      <c r="BB2517" s="173"/>
      <c r="BC2517" s="173"/>
    </row>
    <row r="2518" spans="2:55" s="134" customFormat="1" x14ac:dyDescent="0.2">
      <c r="B2518" s="145"/>
      <c r="D2518" s="145"/>
      <c r="Z2518" s="177"/>
      <c r="AA2518" s="178"/>
      <c r="AB2518" s="139"/>
      <c r="AC2518" s="173"/>
      <c r="AD2518" s="177"/>
      <c r="AE2518" s="177"/>
      <c r="AF2518" s="139"/>
      <c r="AG2518" s="139"/>
      <c r="AH2518" s="177"/>
      <c r="AI2518" s="178"/>
      <c r="AJ2518" s="139"/>
      <c r="AK2518" s="173"/>
      <c r="AL2518" s="177"/>
      <c r="AM2518" s="178"/>
      <c r="AN2518" s="173"/>
      <c r="AO2518" s="173"/>
      <c r="AP2518" s="173"/>
      <c r="AQ2518" s="178"/>
      <c r="AR2518" s="173"/>
      <c r="AS2518" s="173"/>
      <c r="AT2518" s="140"/>
      <c r="AX2518" s="140"/>
      <c r="BB2518" s="173"/>
      <c r="BC2518" s="173"/>
    </row>
    <row r="2519" spans="2:55" s="134" customFormat="1" x14ac:dyDescent="0.2">
      <c r="B2519" s="145"/>
      <c r="D2519" s="145"/>
      <c r="Z2519" s="177"/>
      <c r="AA2519" s="178"/>
      <c r="AB2519" s="139"/>
      <c r="AC2519" s="173"/>
      <c r="AD2519" s="177"/>
      <c r="AE2519" s="177"/>
      <c r="AF2519" s="139"/>
      <c r="AG2519" s="139"/>
      <c r="AH2519" s="177"/>
      <c r="AI2519" s="178"/>
      <c r="AJ2519" s="139"/>
      <c r="AK2519" s="173"/>
      <c r="AL2519" s="177"/>
      <c r="AM2519" s="178"/>
      <c r="AN2519" s="173"/>
      <c r="AO2519" s="173"/>
      <c r="AP2519" s="173"/>
      <c r="AQ2519" s="178"/>
      <c r="AR2519" s="173"/>
      <c r="AS2519" s="173"/>
      <c r="AT2519" s="140"/>
      <c r="AX2519" s="140"/>
      <c r="BB2519" s="173"/>
      <c r="BC2519" s="173"/>
    </row>
    <row r="2520" spans="2:55" s="134" customFormat="1" x14ac:dyDescent="0.2">
      <c r="B2520" s="145"/>
      <c r="D2520" s="145"/>
      <c r="Z2520" s="177"/>
      <c r="AA2520" s="178"/>
      <c r="AB2520" s="139"/>
      <c r="AC2520" s="173"/>
      <c r="AD2520" s="177"/>
      <c r="AE2520" s="177"/>
      <c r="AF2520" s="139"/>
      <c r="AG2520" s="139"/>
      <c r="AH2520" s="177"/>
      <c r="AI2520" s="178"/>
      <c r="AJ2520" s="139"/>
      <c r="AK2520" s="173"/>
      <c r="AL2520" s="177"/>
      <c r="AM2520" s="178"/>
      <c r="AN2520" s="173"/>
      <c r="AO2520" s="173"/>
      <c r="AP2520" s="173"/>
      <c r="AQ2520" s="178"/>
      <c r="AR2520" s="173"/>
      <c r="AS2520" s="173"/>
      <c r="AT2520" s="140"/>
      <c r="AX2520" s="140"/>
      <c r="BB2520" s="173"/>
      <c r="BC2520" s="173"/>
    </row>
    <row r="2521" spans="2:55" s="134" customFormat="1" x14ac:dyDescent="0.2">
      <c r="B2521" s="145"/>
      <c r="D2521" s="145"/>
      <c r="Z2521" s="177"/>
      <c r="AA2521" s="178"/>
      <c r="AB2521" s="139"/>
      <c r="AC2521" s="173"/>
      <c r="AD2521" s="177"/>
      <c r="AE2521" s="177"/>
      <c r="AF2521" s="139"/>
      <c r="AG2521" s="139"/>
      <c r="AH2521" s="177"/>
      <c r="AI2521" s="178"/>
      <c r="AJ2521" s="139"/>
      <c r="AK2521" s="173"/>
      <c r="AL2521" s="177"/>
      <c r="AM2521" s="178"/>
      <c r="AN2521" s="173"/>
      <c r="AO2521" s="173"/>
      <c r="AP2521" s="173"/>
      <c r="AQ2521" s="178"/>
      <c r="AR2521" s="173"/>
      <c r="AS2521" s="173"/>
      <c r="AT2521" s="140"/>
      <c r="AX2521" s="140"/>
      <c r="BB2521" s="173"/>
      <c r="BC2521" s="173"/>
    </row>
    <row r="2522" spans="2:55" s="134" customFormat="1" x14ac:dyDescent="0.2">
      <c r="B2522" s="145"/>
      <c r="D2522" s="145"/>
      <c r="Z2522" s="177"/>
      <c r="AA2522" s="178"/>
      <c r="AB2522" s="139"/>
      <c r="AC2522" s="173"/>
      <c r="AD2522" s="177"/>
      <c r="AE2522" s="177"/>
      <c r="AF2522" s="139"/>
      <c r="AG2522" s="139"/>
      <c r="AH2522" s="177"/>
      <c r="AI2522" s="178"/>
      <c r="AJ2522" s="139"/>
      <c r="AK2522" s="173"/>
      <c r="AL2522" s="177"/>
      <c r="AM2522" s="178"/>
      <c r="AN2522" s="173"/>
      <c r="AO2522" s="173"/>
      <c r="AP2522" s="173"/>
      <c r="AQ2522" s="178"/>
      <c r="AR2522" s="173"/>
      <c r="AS2522" s="173"/>
      <c r="AT2522" s="140"/>
      <c r="AX2522" s="140"/>
      <c r="BB2522" s="173"/>
      <c r="BC2522" s="173"/>
    </row>
    <row r="2523" spans="2:55" s="134" customFormat="1" x14ac:dyDescent="0.2">
      <c r="B2523" s="145"/>
      <c r="D2523" s="145"/>
      <c r="Z2523" s="177"/>
      <c r="AA2523" s="178"/>
      <c r="AB2523" s="139"/>
      <c r="AC2523" s="173"/>
      <c r="AD2523" s="177"/>
      <c r="AE2523" s="177"/>
      <c r="AF2523" s="139"/>
      <c r="AG2523" s="139"/>
      <c r="AH2523" s="177"/>
      <c r="AI2523" s="178"/>
      <c r="AJ2523" s="139"/>
      <c r="AK2523" s="173"/>
      <c r="AL2523" s="177"/>
      <c r="AM2523" s="178"/>
      <c r="AN2523" s="173"/>
      <c r="AO2523" s="173"/>
      <c r="AP2523" s="173"/>
      <c r="AQ2523" s="178"/>
      <c r="AR2523" s="173"/>
      <c r="AS2523" s="173"/>
      <c r="AT2523" s="140"/>
      <c r="AX2523" s="140"/>
      <c r="BB2523" s="173"/>
      <c r="BC2523" s="173"/>
    </row>
    <row r="2524" spans="2:55" s="134" customFormat="1" x14ac:dyDescent="0.2">
      <c r="B2524" s="145"/>
      <c r="D2524" s="145"/>
      <c r="Z2524" s="177"/>
      <c r="AA2524" s="178"/>
      <c r="AB2524" s="139"/>
      <c r="AC2524" s="173"/>
      <c r="AD2524" s="177"/>
      <c r="AE2524" s="177"/>
      <c r="AF2524" s="139"/>
      <c r="AG2524" s="139"/>
      <c r="AH2524" s="177"/>
      <c r="AI2524" s="178"/>
      <c r="AJ2524" s="139"/>
      <c r="AK2524" s="173"/>
      <c r="AL2524" s="177"/>
      <c r="AM2524" s="178"/>
      <c r="AN2524" s="173"/>
      <c r="AO2524" s="173"/>
      <c r="AP2524" s="173"/>
      <c r="AQ2524" s="178"/>
      <c r="AR2524" s="173"/>
      <c r="AS2524" s="173"/>
      <c r="AT2524" s="140"/>
      <c r="AX2524" s="140"/>
      <c r="BB2524" s="173"/>
      <c r="BC2524" s="173"/>
    </row>
    <row r="2525" spans="2:55" s="134" customFormat="1" x14ac:dyDescent="0.2">
      <c r="B2525" s="145"/>
      <c r="D2525" s="145"/>
      <c r="Z2525" s="177"/>
      <c r="AA2525" s="178"/>
      <c r="AB2525" s="139"/>
      <c r="AC2525" s="173"/>
      <c r="AD2525" s="177"/>
      <c r="AE2525" s="177"/>
      <c r="AF2525" s="139"/>
      <c r="AG2525" s="139"/>
      <c r="AH2525" s="177"/>
      <c r="AI2525" s="178"/>
      <c r="AJ2525" s="139"/>
      <c r="AK2525" s="173"/>
      <c r="AL2525" s="177"/>
      <c r="AM2525" s="178"/>
      <c r="AN2525" s="173"/>
      <c r="AO2525" s="173"/>
      <c r="AP2525" s="173"/>
      <c r="AQ2525" s="178"/>
      <c r="AR2525" s="173"/>
      <c r="AS2525" s="173"/>
      <c r="AT2525" s="140"/>
      <c r="AX2525" s="140"/>
      <c r="BB2525" s="173"/>
      <c r="BC2525" s="173"/>
    </row>
    <row r="2526" spans="2:55" s="134" customFormat="1" x14ac:dyDescent="0.2">
      <c r="B2526" s="145"/>
      <c r="D2526" s="145"/>
      <c r="Z2526" s="177"/>
      <c r="AA2526" s="178"/>
      <c r="AB2526" s="139"/>
      <c r="AC2526" s="173"/>
      <c r="AD2526" s="177"/>
      <c r="AE2526" s="177"/>
      <c r="AF2526" s="139"/>
      <c r="AG2526" s="139"/>
      <c r="AH2526" s="177"/>
      <c r="AI2526" s="178"/>
      <c r="AJ2526" s="139"/>
      <c r="AK2526" s="173"/>
      <c r="AL2526" s="177"/>
      <c r="AM2526" s="178"/>
      <c r="AN2526" s="173"/>
      <c r="AO2526" s="173"/>
      <c r="AP2526" s="173"/>
      <c r="AQ2526" s="178"/>
      <c r="AR2526" s="173"/>
      <c r="AS2526" s="173"/>
      <c r="AT2526" s="140"/>
      <c r="AX2526" s="140"/>
      <c r="BB2526" s="173"/>
      <c r="BC2526" s="173"/>
    </row>
    <row r="2527" spans="2:55" s="134" customFormat="1" x14ac:dyDescent="0.2">
      <c r="B2527" s="145"/>
      <c r="D2527" s="145"/>
      <c r="Z2527" s="177"/>
      <c r="AA2527" s="178"/>
      <c r="AB2527" s="139"/>
      <c r="AC2527" s="173"/>
      <c r="AD2527" s="177"/>
      <c r="AE2527" s="177"/>
      <c r="AF2527" s="139"/>
      <c r="AG2527" s="139"/>
      <c r="AH2527" s="177"/>
      <c r="AI2527" s="178"/>
      <c r="AJ2527" s="139"/>
      <c r="AK2527" s="173"/>
      <c r="AL2527" s="177"/>
      <c r="AM2527" s="178"/>
      <c r="AN2527" s="173"/>
      <c r="AO2527" s="173"/>
      <c r="AP2527" s="173"/>
      <c r="AQ2527" s="178"/>
      <c r="AR2527" s="173"/>
      <c r="AS2527" s="173"/>
      <c r="AT2527" s="140"/>
      <c r="AX2527" s="140"/>
      <c r="BB2527" s="173"/>
      <c r="BC2527" s="173"/>
    </row>
    <row r="2528" spans="2:55" s="134" customFormat="1" x14ac:dyDescent="0.2">
      <c r="B2528" s="145"/>
      <c r="D2528" s="145"/>
      <c r="Z2528" s="177"/>
      <c r="AA2528" s="178"/>
      <c r="AB2528" s="139"/>
      <c r="AC2528" s="173"/>
      <c r="AD2528" s="177"/>
      <c r="AE2528" s="177"/>
      <c r="AF2528" s="139"/>
      <c r="AG2528" s="139"/>
      <c r="AH2528" s="177"/>
      <c r="AI2528" s="178"/>
      <c r="AJ2528" s="139"/>
      <c r="AK2528" s="173"/>
      <c r="AL2528" s="177"/>
      <c r="AM2528" s="178"/>
      <c r="AN2528" s="173"/>
      <c r="AO2528" s="173"/>
      <c r="AP2528" s="173"/>
      <c r="AQ2528" s="178"/>
      <c r="AR2528" s="173"/>
      <c r="AS2528" s="173"/>
      <c r="AT2528" s="140"/>
      <c r="AX2528" s="140"/>
      <c r="BB2528" s="173"/>
      <c r="BC2528" s="173"/>
    </row>
    <row r="2529" spans="2:55" s="134" customFormat="1" x14ac:dyDescent="0.2">
      <c r="B2529" s="145"/>
      <c r="D2529" s="145"/>
      <c r="Z2529" s="177"/>
      <c r="AA2529" s="178"/>
      <c r="AB2529" s="139"/>
      <c r="AC2529" s="173"/>
      <c r="AD2529" s="177"/>
      <c r="AE2529" s="177"/>
      <c r="AF2529" s="139"/>
      <c r="AG2529" s="139"/>
      <c r="AH2529" s="177"/>
      <c r="AI2529" s="178"/>
      <c r="AJ2529" s="139"/>
      <c r="AK2529" s="173"/>
      <c r="AL2529" s="177"/>
      <c r="AM2529" s="178"/>
      <c r="AN2529" s="173"/>
      <c r="AO2529" s="173"/>
      <c r="AP2529" s="173"/>
      <c r="AQ2529" s="178"/>
      <c r="AR2529" s="173"/>
      <c r="AS2529" s="173"/>
      <c r="AT2529" s="140"/>
      <c r="AX2529" s="140"/>
      <c r="BB2529" s="173"/>
      <c r="BC2529" s="173"/>
    </row>
    <row r="2530" spans="2:55" s="134" customFormat="1" x14ac:dyDescent="0.2">
      <c r="B2530" s="145"/>
      <c r="D2530" s="145"/>
      <c r="Z2530" s="177"/>
      <c r="AA2530" s="178"/>
      <c r="AB2530" s="139"/>
      <c r="AC2530" s="173"/>
      <c r="AD2530" s="177"/>
      <c r="AE2530" s="177"/>
      <c r="AF2530" s="139"/>
      <c r="AG2530" s="139"/>
      <c r="AH2530" s="177"/>
      <c r="AI2530" s="178"/>
      <c r="AJ2530" s="139"/>
      <c r="AK2530" s="173"/>
      <c r="AL2530" s="177"/>
      <c r="AM2530" s="178"/>
      <c r="AN2530" s="173"/>
      <c r="AO2530" s="173"/>
      <c r="AP2530" s="173"/>
      <c r="AQ2530" s="178"/>
      <c r="AR2530" s="173"/>
      <c r="AS2530" s="173"/>
      <c r="AT2530" s="140"/>
      <c r="AX2530" s="140"/>
      <c r="BB2530" s="173"/>
      <c r="BC2530" s="173"/>
    </row>
    <row r="2531" spans="2:55" s="134" customFormat="1" x14ac:dyDescent="0.2">
      <c r="B2531" s="145"/>
      <c r="D2531" s="145"/>
      <c r="Z2531" s="177"/>
      <c r="AA2531" s="178"/>
      <c r="AB2531" s="139"/>
      <c r="AC2531" s="173"/>
      <c r="AD2531" s="177"/>
      <c r="AE2531" s="177"/>
      <c r="AF2531" s="139"/>
      <c r="AG2531" s="139"/>
      <c r="AH2531" s="177"/>
      <c r="AI2531" s="178"/>
      <c r="AJ2531" s="139"/>
      <c r="AK2531" s="173"/>
      <c r="AL2531" s="177"/>
      <c r="AM2531" s="178"/>
      <c r="AN2531" s="173"/>
      <c r="AO2531" s="173"/>
      <c r="AP2531" s="173"/>
      <c r="AQ2531" s="178"/>
      <c r="AR2531" s="173"/>
      <c r="AS2531" s="173"/>
      <c r="AT2531" s="140"/>
      <c r="AX2531" s="140"/>
      <c r="BB2531" s="173"/>
      <c r="BC2531" s="173"/>
    </row>
    <row r="2532" spans="2:55" s="134" customFormat="1" x14ac:dyDescent="0.2">
      <c r="B2532" s="145"/>
      <c r="D2532" s="145"/>
      <c r="Z2532" s="177"/>
      <c r="AA2532" s="178"/>
      <c r="AB2532" s="139"/>
      <c r="AC2532" s="173"/>
      <c r="AD2532" s="177"/>
      <c r="AE2532" s="177"/>
      <c r="AF2532" s="139"/>
      <c r="AG2532" s="139"/>
      <c r="AH2532" s="177"/>
      <c r="AI2532" s="178"/>
      <c r="AJ2532" s="139"/>
      <c r="AK2532" s="173"/>
      <c r="AL2532" s="177"/>
      <c r="AM2532" s="178"/>
      <c r="AN2532" s="173"/>
      <c r="AO2532" s="173"/>
      <c r="AP2532" s="173"/>
      <c r="AQ2532" s="178"/>
      <c r="AR2532" s="173"/>
      <c r="AS2532" s="173"/>
      <c r="AT2532" s="140"/>
      <c r="AX2532" s="140"/>
      <c r="BB2532" s="173"/>
      <c r="BC2532" s="173"/>
    </row>
    <row r="2533" spans="2:55" s="134" customFormat="1" x14ac:dyDescent="0.2">
      <c r="B2533" s="145"/>
      <c r="D2533" s="145"/>
      <c r="Z2533" s="177"/>
      <c r="AA2533" s="178"/>
      <c r="AB2533" s="139"/>
      <c r="AC2533" s="173"/>
      <c r="AD2533" s="177"/>
      <c r="AE2533" s="177"/>
      <c r="AF2533" s="139"/>
      <c r="AG2533" s="139"/>
      <c r="AH2533" s="177"/>
      <c r="AI2533" s="178"/>
      <c r="AJ2533" s="139"/>
      <c r="AK2533" s="173"/>
      <c r="AL2533" s="177"/>
      <c r="AM2533" s="178"/>
      <c r="AN2533" s="173"/>
      <c r="AO2533" s="173"/>
      <c r="AP2533" s="173"/>
      <c r="AQ2533" s="178"/>
      <c r="AR2533" s="173"/>
      <c r="AS2533" s="173"/>
      <c r="AT2533" s="140"/>
      <c r="AX2533" s="140"/>
      <c r="BB2533" s="173"/>
      <c r="BC2533" s="173"/>
    </row>
    <row r="2534" spans="2:55" s="134" customFormat="1" x14ac:dyDescent="0.2">
      <c r="B2534" s="145"/>
      <c r="D2534" s="145"/>
      <c r="Z2534" s="177"/>
      <c r="AA2534" s="178"/>
      <c r="AB2534" s="139"/>
      <c r="AC2534" s="173"/>
      <c r="AD2534" s="177"/>
      <c r="AE2534" s="177"/>
      <c r="AF2534" s="139"/>
      <c r="AG2534" s="139"/>
      <c r="AH2534" s="177"/>
      <c r="AI2534" s="178"/>
      <c r="AJ2534" s="139"/>
      <c r="AK2534" s="173"/>
      <c r="AL2534" s="177"/>
      <c r="AM2534" s="178"/>
      <c r="AN2534" s="173"/>
      <c r="AO2534" s="173"/>
      <c r="AP2534" s="173"/>
      <c r="AQ2534" s="178"/>
      <c r="AR2534" s="173"/>
      <c r="AS2534" s="173"/>
      <c r="AT2534" s="140"/>
      <c r="AX2534" s="140"/>
      <c r="BB2534" s="173"/>
      <c r="BC2534" s="173"/>
    </row>
    <row r="2535" spans="2:55" s="134" customFormat="1" x14ac:dyDescent="0.2">
      <c r="B2535" s="145"/>
      <c r="D2535" s="145"/>
      <c r="Z2535" s="177"/>
      <c r="AA2535" s="178"/>
      <c r="AB2535" s="139"/>
      <c r="AC2535" s="173"/>
      <c r="AD2535" s="177"/>
      <c r="AE2535" s="177"/>
      <c r="AF2535" s="139"/>
      <c r="AG2535" s="139"/>
      <c r="AH2535" s="177"/>
      <c r="AI2535" s="178"/>
      <c r="AJ2535" s="139"/>
      <c r="AK2535" s="173"/>
      <c r="AL2535" s="177"/>
      <c r="AM2535" s="178"/>
      <c r="AN2535" s="173"/>
      <c r="AO2535" s="173"/>
      <c r="AP2535" s="173"/>
      <c r="AQ2535" s="178"/>
      <c r="AR2535" s="173"/>
      <c r="AS2535" s="173"/>
      <c r="AT2535" s="140"/>
      <c r="AX2535" s="140"/>
      <c r="BB2535" s="173"/>
      <c r="BC2535" s="173"/>
    </row>
    <row r="2536" spans="2:55" s="134" customFormat="1" x14ac:dyDescent="0.2">
      <c r="B2536" s="145"/>
      <c r="D2536" s="145"/>
      <c r="Z2536" s="177"/>
      <c r="AA2536" s="178"/>
      <c r="AB2536" s="139"/>
      <c r="AC2536" s="173"/>
      <c r="AD2536" s="177"/>
      <c r="AE2536" s="177"/>
      <c r="AF2536" s="139"/>
      <c r="AG2536" s="139"/>
      <c r="AH2536" s="177"/>
      <c r="AI2536" s="178"/>
      <c r="AJ2536" s="139"/>
      <c r="AK2536" s="173"/>
      <c r="AL2536" s="177"/>
      <c r="AM2536" s="178"/>
      <c r="AN2536" s="173"/>
      <c r="AO2536" s="173"/>
      <c r="AP2536" s="173"/>
      <c r="AQ2536" s="178"/>
      <c r="AR2536" s="173"/>
      <c r="AS2536" s="173"/>
      <c r="AT2536" s="140"/>
      <c r="AX2536" s="140"/>
      <c r="BB2536" s="173"/>
      <c r="BC2536" s="173"/>
    </row>
    <row r="2537" spans="2:55" s="134" customFormat="1" x14ac:dyDescent="0.2">
      <c r="B2537" s="145"/>
      <c r="D2537" s="145"/>
      <c r="Z2537" s="177"/>
      <c r="AA2537" s="178"/>
      <c r="AB2537" s="139"/>
      <c r="AC2537" s="173"/>
      <c r="AD2537" s="177"/>
      <c r="AE2537" s="177"/>
      <c r="AF2537" s="139"/>
      <c r="AG2537" s="139"/>
      <c r="AH2537" s="177"/>
      <c r="AI2537" s="178"/>
      <c r="AJ2537" s="139"/>
      <c r="AK2537" s="173"/>
      <c r="AL2537" s="177"/>
      <c r="AM2537" s="178"/>
      <c r="AN2537" s="173"/>
      <c r="AO2537" s="173"/>
      <c r="AP2537" s="173"/>
      <c r="AQ2537" s="178"/>
      <c r="AR2537" s="173"/>
      <c r="AS2537" s="173"/>
      <c r="AT2537" s="140"/>
      <c r="AX2537" s="140"/>
      <c r="BB2537" s="173"/>
      <c r="BC2537" s="173"/>
    </row>
    <row r="2538" spans="2:55" s="134" customFormat="1" x14ac:dyDescent="0.2">
      <c r="B2538" s="145"/>
      <c r="D2538" s="145"/>
      <c r="Z2538" s="177"/>
      <c r="AA2538" s="178"/>
      <c r="AB2538" s="139"/>
      <c r="AC2538" s="173"/>
      <c r="AD2538" s="177"/>
      <c r="AE2538" s="177"/>
      <c r="AF2538" s="139"/>
      <c r="AG2538" s="139"/>
      <c r="AH2538" s="177"/>
      <c r="AI2538" s="178"/>
      <c r="AJ2538" s="139"/>
      <c r="AK2538" s="173"/>
      <c r="AL2538" s="177"/>
      <c r="AM2538" s="178"/>
      <c r="AN2538" s="173"/>
      <c r="AO2538" s="173"/>
      <c r="AP2538" s="173"/>
      <c r="AQ2538" s="178"/>
      <c r="AR2538" s="173"/>
      <c r="AS2538" s="173"/>
      <c r="AT2538" s="140"/>
      <c r="AX2538" s="140"/>
      <c r="BB2538" s="173"/>
      <c r="BC2538" s="173"/>
    </row>
    <row r="2539" spans="2:55" s="134" customFormat="1" x14ac:dyDescent="0.2">
      <c r="B2539" s="145"/>
      <c r="D2539" s="145"/>
      <c r="Z2539" s="177"/>
      <c r="AA2539" s="178"/>
      <c r="AB2539" s="139"/>
      <c r="AC2539" s="173"/>
      <c r="AD2539" s="177"/>
      <c r="AE2539" s="177"/>
      <c r="AF2539" s="139"/>
      <c r="AG2539" s="139"/>
      <c r="AH2539" s="177"/>
      <c r="AI2539" s="178"/>
      <c r="AJ2539" s="139"/>
      <c r="AK2539" s="173"/>
      <c r="AL2539" s="177"/>
      <c r="AM2539" s="178"/>
      <c r="AN2539" s="173"/>
      <c r="AO2539" s="173"/>
      <c r="AP2539" s="173"/>
      <c r="AQ2539" s="178"/>
      <c r="AR2539" s="173"/>
      <c r="AS2539" s="173"/>
      <c r="AT2539" s="140"/>
      <c r="AX2539" s="140"/>
      <c r="BB2539" s="173"/>
      <c r="BC2539" s="173"/>
    </row>
    <row r="2540" spans="2:55" s="134" customFormat="1" x14ac:dyDescent="0.2">
      <c r="B2540" s="145"/>
      <c r="D2540" s="145"/>
      <c r="Z2540" s="177"/>
      <c r="AA2540" s="178"/>
      <c r="AB2540" s="139"/>
      <c r="AC2540" s="173"/>
      <c r="AD2540" s="177"/>
      <c r="AE2540" s="177"/>
      <c r="AF2540" s="139"/>
      <c r="AG2540" s="139"/>
      <c r="AH2540" s="177"/>
      <c r="AI2540" s="178"/>
      <c r="AJ2540" s="139"/>
      <c r="AK2540" s="173"/>
      <c r="AL2540" s="177"/>
      <c r="AM2540" s="178"/>
      <c r="AN2540" s="173"/>
      <c r="AO2540" s="173"/>
      <c r="AP2540" s="173"/>
      <c r="AQ2540" s="178"/>
      <c r="AR2540" s="173"/>
      <c r="AS2540" s="173"/>
      <c r="AT2540" s="140"/>
      <c r="AX2540" s="140"/>
      <c r="BB2540" s="173"/>
      <c r="BC2540" s="173"/>
    </row>
    <row r="2541" spans="2:55" s="134" customFormat="1" x14ac:dyDescent="0.2">
      <c r="B2541" s="145"/>
      <c r="D2541" s="145"/>
      <c r="Z2541" s="177"/>
      <c r="AA2541" s="178"/>
      <c r="AB2541" s="139"/>
      <c r="AC2541" s="173"/>
      <c r="AD2541" s="177"/>
      <c r="AE2541" s="177"/>
      <c r="AF2541" s="139"/>
      <c r="AG2541" s="139"/>
      <c r="AH2541" s="177"/>
      <c r="AI2541" s="178"/>
      <c r="AJ2541" s="139"/>
      <c r="AK2541" s="173"/>
      <c r="AL2541" s="177"/>
      <c r="AM2541" s="178"/>
      <c r="AN2541" s="173"/>
      <c r="AO2541" s="173"/>
      <c r="AP2541" s="173"/>
      <c r="AQ2541" s="178"/>
      <c r="AR2541" s="173"/>
      <c r="AS2541" s="173"/>
      <c r="AT2541" s="140"/>
      <c r="AX2541" s="140"/>
      <c r="BB2541" s="173"/>
      <c r="BC2541" s="173"/>
    </row>
    <row r="2542" spans="2:55" s="134" customFormat="1" x14ac:dyDescent="0.2">
      <c r="B2542" s="145"/>
      <c r="D2542" s="145"/>
      <c r="Z2542" s="177"/>
      <c r="AA2542" s="178"/>
      <c r="AB2542" s="139"/>
      <c r="AC2542" s="173"/>
      <c r="AD2542" s="177"/>
      <c r="AE2542" s="177"/>
      <c r="AF2542" s="139"/>
      <c r="AG2542" s="139"/>
      <c r="AH2542" s="177"/>
      <c r="AI2542" s="178"/>
      <c r="AJ2542" s="139"/>
      <c r="AK2542" s="173"/>
      <c r="AL2542" s="177"/>
      <c r="AM2542" s="178"/>
      <c r="AN2542" s="173"/>
      <c r="AO2542" s="173"/>
      <c r="AP2542" s="173"/>
      <c r="AQ2542" s="178"/>
      <c r="AR2542" s="173"/>
      <c r="AS2542" s="173"/>
      <c r="AT2542" s="140"/>
      <c r="AX2542" s="140"/>
      <c r="BB2542" s="173"/>
      <c r="BC2542" s="173"/>
    </row>
    <row r="2543" spans="2:55" s="134" customFormat="1" x14ac:dyDescent="0.2">
      <c r="B2543" s="145"/>
      <c r="D2543" s="145"/>
      <c r="Z2543" s="177"/>
      <c r="AA2543" s="178"/>
      <c r="AB2543" s="139"/>
      <c r="AC2543" s="173"/>
      <c r="AD2543" s="177"/>
      <c r="AE2543" s="177"/>
      <c r="AF2543" s="139"/>
      <c r="AG2543" s="139"/>
      <c r="AH2543" s="177"/>
      <c r="AI2543" s="178"/>
      <c r="AJ2543" s="139"/>
      <c r="AK2543" s="173"/>
      <c r="AL2543" s="177"/>
      <c r="AM2543" s="178"/>
      <c r="AN2543" s="173"/>
      <c r="AO2543" s="173"/>
      <c r="AP2543" s="173"/>
      <c r="AQ2543" s="178"/>
      <c r="AR2543" s="173"/>
      <c r="AS2543" s="173"/>
      <c r="AT2543" s="140"/>
      <c r="AX2543" s="140"/>
      <c r="BB2543" s="173"/>
      <c r="BC2543" s="173"/>
    </row>
    <row r="2544" spans="2:55" s="134" customFormat="1" x14ac:dyDescent="0.2">
      <c r="B2544" s="145"/>
      <c r="D2544" s="145"/>
      <c r="Z2544" s="177"/>
      <c r="AA2544" s="178"/>
      <c r="AB2544" s="139"/>
      <c r="AC2544" s="173"/>
      <c r="AD2544" s="177"/>
      <c r="AE2544" s="177"/>
      <c r="AF2544" s="139"/>
      <c r="AG2544" s="139"/>
      <c r="AH2544" s="177"/>
      <c r="AI2544" s="178"/>
      <c r="AJ2544" s="139"/>
      <c r="AK2544" s="173"/>
      <c r="AL2544" s="177"/>
      <c r="AM2544" s="178"/>
      <c r="AN2544" s="173"/>
      <c r="AO2544" s="173"/>
      <c r="AP2544" s="173"/>
      <c r="AQ2544" s="178"/>
      <c r="AR2544" s="173"/>
      <c r="AS2544" s="173"/>
      <c r="AT2544" s="140"/>
      <c r="AX2544" s="140"/>
      <c r="BB2544" s="173"/>
      <c r="BC2544" s="173"/>
    </row>
    <row r="2545" spans="2:55" s="134" customFormat="1" x14ac:dyDescent="0.2">
      <c r="B2545" s="145"/>
      <c r="D2545" s="145"/>
      <c r="Z2545" s="177"/>
      <c r="AA2545" s="178"/>
      <c r="AB2545" s="139"/>
      <c r="AC2545" s="173"/>
      <c r="AD2545" s="177"/>
      <c r="AE2545" s="177"/>
      <c r="AF2545" s="139"/>
      <c r="AG2545" s="139"/>
      <c r="AH2545" s="177"/>
      <c r="AI2545" s="178"/>
      <c r="AJ2545" s="139"/>
      <c r="AK2545" s="173"/>
      <c r="AL2545" s="177"/>
      <c r="AM2545" s="178"/>
      <c r="AN2545" s="173"/>
      <c r="AO2545" s="173"/>
      <c r="AP2545" s="173"/>
      <c r="AQ2545" s="178"/>
      <c r="AR2545" s="173"/>
      <c r="AS2545" s="173"/>
      <c r="AT2545" s="140"/>
      <c r="AX2545" s="140"/>
      <c r="BB2545" s="173"/>
      <c r="BC2545" s="173"/>
    </row>
    <row r="2546" spans="2:55" s="134" customFormat="1" x14ac:dyDescent="0.2">
      <c r="B2546" s="145"/>
      <c r="D2546" s="145"/>
      <c r="Z2546" s="177"/>
      <c r="AA2546" s="178"/>
      <c r="AB2546" s="139"/>
      <c r="AC2546" s="173"/>
      <c r="AD2546" s="177"/>
      <c r="AE2546" s="177"/>
      <c r="AF2546" s="139"/>
      <c r="AG2546" s="139"/>
      <c r="AH2546" s="177"/>
      <c r="AI2546" s="178"/>
      <c r="AJ2546" s="139"/>
      <c r="AK2546" s="173"/>
      <c r="AL2546" s="177"/>
      <c r="AM2546" s="178"/>
      <c r="AN2546" s="173"/>
      <c r="AO2546" s="173"/>
      <c r="AP2546" s="173"/>
      <c r="AQ2546" s="178"/>
      <c r="AR2546" s="173"/>
      <c r="AS2546" s="173"/>
      <c r="AT2546" s="140"/>
      <c r="AX2546" s="140"/>
      <c r="BB2546" s="173"/>
      <c r="BC2546" s="173"/>
    </row>
    <row r="2547" spans="2:55" s="134" customFormat="1" x14ac:dyDescent="0.2">
      <c r="B2547" s="145"/>
      <c r="D2547" s="145"/>
      <c r="Z2547" s="177"/>
      <c r="AA2547" s="178"/>
      <c r="AB2547" s="139"/>
      <c r="AC2547" s="173"/>
      <c r="AD2547" s="177"/>
      <c r="AE2547" s="177"/>
      <c r="AF2547" s="139"/>
      <c r="AG2547" s="139"/>
      <c r="AH2547" s="177"/>
      <c r="AI2547" s="178"/>
      <c r="AJ2547" s="139"/>
      <c r="AK2547" s="173"/>
      <c r="AL2547" s="177"/>
      <c r="AM2547" s="178"/>
      <c r="AN2547" s="173"/>
      <c r="AO2547" s="173"/>
      <c r="AP2547" s="173"/>
      <c r="AQ2547" s="178"/>
      <c r="AR2547" s="173"/>
      <c r="AS2547" s="173"/>
      <c r="AT2547" s="140"/>
      <c r="AX2547" s="140"/>
      <c r="BB2547" s="173"/>
      <c r="BC2547" s="173"/>
    </row>
    <row r="2548" spans="2:55" s="134" customFormat="1" x14ac:dyDescent="0.2">
      <c r="B2548" s="145"/>
      <c r="D2548" s="145"/>
      <c r="Z2548" s="177"/>
      <c r="AA2548" s="178"/>
      <c r="AB2548" s="139"/>
      <c r="AC2548" s="173"/>
      <c r="AD2548" s="177"/>
      <c r="AE2548" s="177"/>
      <c r="AF2548" s="139"/>
      <c r="AG2548" s="139"/>
      <c r="AH2548" s="177"/>
      <c r="AI2548" s="178"/>
      <c r="AJ2548" s="139"/>
      <c r="AK2548" s="173"/>
      <c r="AL2548" s="177"/>
      <c r="AM2548" s="178"/>
      <c r="AN2548" s="173"/>
      <c r="AO2548" s="173"/>
      <c r="AP2548" s="173"/>
      <c r="AQ2548" s="178"/>
      <c r="AR2548" s="173"/>
      <c r="AS2548" s="173"/>
      <c r="AT2548" s="140"/>
      <c r="AX2548" s="140"/>
      <c r="BB2548" s="173"/>
      <c r="BC2548" s="173"/>
    </row>
    <row r="2549" spans="2:55" s="134" customFormat="1" x14ac:dyDescent="0.2">
      <c r="B2549" s="145"/>
      <c r="D2549" s="145"/>
      <c r="Z2549" s="177"/>
      <c r="AA2549" s="178"/>
      <c r="AB2549" s="139"/>
      <c r="AC2549" s="173"/>
      <c r="AD2549" s="177"/>
      <c r="AE2549" s="177"/>
      <c r="AF2549" s="139"/>
      <c r="AG2549" s="139"/>
      <c r="AH2549" s="177"/>
      <c r="AI2549" s="178"/>
      <c r="AJ2549" s="139"/>
      <c r="AK2549" s="173"/>
      <c r="AL2549" s="177"/>
      <c r="AM2549" s="178"/>
      <c r="AN2549" s="173"/>
      <c r="AO2549" s="173"/>
      <c r="AP2549" s="173"/>
      <c r="AQ2549" s="178"/>
      <c r="AR2549" s="173"/>
      <c r="AS2549" s="173"/>
      <c r="AT2549" s="140"/>
      <c r="AX2549" s="140"/>
      <c r="BB2549" s="173"/>
      <c r="BC2549" s="173"/>
    </row>
    <row r="2550" spans="2:55" s="134" customFormat="1" x14ac:dyDescent="0.2">
      <c r="B2550" s="145"/>
      <c r="D2550" s="145"/>
      <c r="Z2550" s="177"/>
      <c r="AA2550" s="178"/>
      <c r="AB2550" s="139"/>
      <c r="AC2550" s="173"/>
      <c r="AD2550" s="177"/>
      <c r="AE2550" s="177"/>
      <c r="AF2550" s="139"/>
      <c r="AG2550" s="139"/>
      <c r="AH2550" s="177"/>
      <c r="AI2550" s="178"/>
      <c r="AJ2550" s="139"/>
      <c r="AK2550" s="173"/>
      <c r="AL2550" s="177"/>
      <c r="AM2550" s="178"/>
      <c r="AN2550" s="173"/>
      <c r="AO2550" s="173"/>
      <c r="AP2550" s="173"/>
      <c r="AQ2550" s="178"/>
      <c r="AR2550" s="173"/>
      <c r="AS2550" s="173"/>
      <c r="AT2550" s="140"/>
      <c r="AX2550" s="140"/>
      <c r="BB2550" s="173"/>
      <c r="BC2550" s="173"/>
    </row>
    <row r="2551" spans="2:55" s="134" customFormat="1" x14ac:dyDescent="0.2">
      <c r="B2551" s="145"/>
      <c r="D2551" s="145"/>
      <c r="Z2551" s="177"/>
      <c r="AA2551" s="178"/>
      <c r="AB2551" s="139"/>
      <c r="AC2551" s="173"/>
      <c r="AD2551" s="177"/>
      <c r="AE2551" s="177"/>
      <c r="AF2551" s="139"/>
      <c r="AG2551" s="139"/>
      <c r="AH2551" s="177"/>
      <c r="AI2551" s="178"/>
      <c r="AJ2551" s="139"/>
      <c r="AK2551" s="173"/>
      <c r="AL2551" s="177"/>
      <c r="AM2551" s="178"/>
      <c r="AN2551" s="173"/>
      <c r="AO2551" s="173"/>
      <c r="AP2551" s="173"/>
      <c r="AQ2551" s="178"/>
      <c r="AR2551" s="173"/>
      <c r="AS2551" s="173"/>
      <c r="AT2551" s="140"/>
      <c r="AX2551" s="140"/>
      <c r="BB2551" s="173"/>
      <c r="BC2551" s="173"/>
    </row>
    <row r="2552" spans="2:55" s="134" customFormat="1" x14ac:dyDescent="0.2">
      <c r="B2552" s="145"/>
      <c r="D2552" s="145"/>
      <c r="Z2552" s="177"/>
      <c r="AA2552" s="178"/>
      <c r="AB2552" s="139"/>
      <c r="AC2552" s="173"/>
      <c r="AD2552" s="177"/>
      <c r="AE2552" s="177"/>
      <c r="AF2552" s="139"/>
      <c r="AG2552" s="139"/>
      <c r="AH2552" s="177"/>
      <c r="AI2552" s="178"/>
      <c r="AJ2552" s="139"/>
      <c r="AK2552" s="173"/>
      <c r="AL2552" s="177"/>
      <c r="AM2552" s="178"/>
      <c r="AN2552" s="173"/>
      <c r="AO2552" s="173"/>
      <c r="AP2552" s="173"/>
      <c r="AQ2552" s="178"/>
      <c r="AR2552" s="173"/>
      <c r="AS2552" s="173"/>
      <c r="AT2552" s="140"/>
      <c r="AX2552" s="140"/>
      <c r="BB2552" s="173"/>
      <c r="BC2552" s="173"/>
    </row>
    <row r="2553" spans="2:55" s="134" customFormat="1" x14ac:dyDescent="0.2">
      <c r="B2553" s="145"/>
      <c r="D2553" s="145"/>
      <c r="Z2553" s="177"/>
      <c r="AA2553" s="178"/>
      <c r="AB2553" s="139"/>
      <c r="AC2553" s="173"/>
      <c r="AD2553" s="177"/>
      <c r="AE2553" s="177"/>
      <c r="AF2553" s="139"/>
      <c r="AG2553" s="139"/>
      <c r="AH2553" s="177"/>
      <c r="AI2553" s="178"/>
      <c r="AJ2553" s="139"/>
      <c r="AK2553" s="173"/>
      <c r="AL2553" s="177"/>
      <c r="AM2553" s="178"/>
      <c r="AN2553" s="173"/>
      <c r="AO2553" s="173"/>
      <c r="AP2553" s="173"/>
      <c r="AQ2553" s="178"/>
      <c r="AR2553" s="173"/>
      <c r="AS2553" s="173"/>
      <c r="AT2553" s="140"/>
      <c r="AX2553" s="140"/>
      <c r="BB2553" s="173"/>
      <c r="BC2553" s="173"/>
    </row>
    <row r="2554" spans="2:55" s="134" customFormat="1" x14ac:dyDescent="0.2">
      <c r="B2554" s="145"/>
      <c r="D2554" s="145"/>
      <c r="Z2554" s="177"/>
      <c r="AA2554" s="178"/>
      <c r="AB2554" s="139"/>
      <c r="AC2554" s="173"/>
      <c r="AD2554" s="177"/>
      <c r="AE2554" s="177"/>
      <c r="AF2554" s="139"/>
      <c r="AG2554" s="139"/>
      <c r="AH2554" s="177"/>
      <c r="AI2554" s="178"/>
      <c r="AJ2554" s="139"/>
      <c r="AK2554" s="173"/>
      <c r="AL2554" s="177"/>
      <c r="AM2554" s="178"/>
      <c r="AN2554" s="173"/>
      <c r="AO2554" s="173"/>
      <c r="AP2554" s="173"/>
      <c r="AQ2554" s="178"/>
      <c r="AR2554" s="173"/>
      <c r="AS2554" s="173"/>
      <c r="AT2554" s="140"/>
      <c r="AX2554" s="140"/>
      <c r="BB2554" s="173"/>
      <c r="BC2554" s="173"/>
    </row>
    <row r="2555" spans="2:55" s="134" customFormat="1" x14ac:dyDescent="0.2">
      <c r="B2555" s="145"/>
      <c r="D2555" s="145"/>
      <c r="Z2555" s="177"/>
      <c r="AA2555" s="178"/>
      <c r="AB2555" s="139"/>
      <c r="AC2555" s="173"/>
      <c r="AD2555" s="177"/>
      <c r="AE2555" s="177"/>
      <c r="AF2555" s="139"/>
      <c r="AG2555" s="139"/>
      <c r="AH2555" s="177"/>
      <c r="AI2555" s="178"/>
      <c r="AJ2555" s="139"/>
      <c r="AK2555" s="173"/>
      <c r="AL2555" s="177"/>
      <c r="AM2555" s="178"/>
      <c r="AN2555" s="173"/>
      <c r="AO2555" s="173"/>
      <c r="AP2555" s="173"/>
      <c r="AQ2555" s="178"/>
      <c r="AR2555" s="173"/>
      <c r="AS2555" s="173"/>
      <c r="AT2555" s="140"/>
      <c r="AX2555" s="140"/>
      <c r="BB2555" s="173"/>
      <c r="BC2555" s="173"/>
    </row>
    <row r="2556" spans="2:55" s="134" customFormat="1" x14ac:dyDescent="0.2">
      <c r="B2556" s="145"/>
      <c r="D2556" s="145"/>
      <c r="Z2556" s="177"/>
      <c r="AA2556" s="178"/>
      <c r="AB2556" s="139"/>
      <c r="AC2556" s="173"/>
      <c r="AD2556" s="177"/>
      <c r="AE2556" s="177"/>
      <c r="AF2556" s="139"/>
      <c r="AG2556" s="139"/>
      <c r="AH2556" s="177"/>
      <c r="AI2556" s="178"/>
      <c r="AJ2556" s="139"/>
      <c r="AK2556" s="173"/>
      <c r="AL2556" s="177"/>
      <c r="AM2556" s="178"/>
      <c r="AN2556" s="173"/>
      <c r="AO2556" s="173"/>
      <c r="AP2556" s="173"/>
      <c r="AQ2556" s="178"/>
      <c r="AR2556" s="173"/>
      <c r="AS2556" s="173"/>
      <c r="AT2556" s="140"/>
      <c r="AX2556" s="140"/>
      <c r="BB2556" s="173"/>
      <c r="BC2556" s="173"/>
    </row>
    <row r="2557" spans="2:55" s="134" customFormat="1" x14ac:dyDescent="0.2">
      <c r="B2557" s="145"/>
      <c r="D2557" s="145"/>
      <c r="Z2557" s="177"/>
      <c r="AA2557" s="178"/>
      <c r="AB2557" s="139"/>
      <c r="AC2557" s="173"/>
      <c r="AD2557" s="177"/>
      <c r="AE2557" s="177"/>
      <c r="AF2557" s="139"/>
      <c r="AG2557" s="139"/>
      <c r="AH2557" s="177"/>
      <c r="AI2557" s="178"/>
      <c r="AJ2557" s="139"/>
      <c r="AK2557" s="173"/>
      <c r="AL2557" s="177"/>
      <c r="AM2557" s="178"/>
      <c r="AN2557" s="173"/>
      <c r="AO2557" s="173"/>
      <c r="AP2557" s="173"/>
      <c r="AQ2557" s="178"/>
      <c r="AR2557" s="173"/>
      <c r="AS2557" s="173"/>
      <c r="AT2557" s="140"/>
      <c r="AX2557" s="140"/>
      <c r="BB2557" s="173"/>
      <c r="BC2557" s="173"/>
    </row>
    <row r="2558" spans="2:55" s="134" customFormat="1" x14ac:dyDescent="0.2">
      <c r="B2558" s="145"/>
      <c r="D2558" s="145"/>
      <c r="Z2558" s="177"/>
      <c r="AA2558" s="178"/>
      <c r="AB2558" s="139"/>
      <c r="AC2558" s="173"/>
      <c r="AD2558" s="177"/>
      <c r="AE2558" s="177"/>
      <c r="AF2558" s="139"/>
      <c r="AG2558" s="139"/>
      <c r="AH2558" s="177"/>
      <c r="AI2558" s="178"/>
      <c r="AJ2558" s="139"/>
      <c r="AK2558" s="173"/>
      <c r="AL2558" s="177"/>
      <c r="AM2558" s="178"/>
      <c r="AN2558" s="173"/>
      <c r="AO2558" s="173"/>
      <c r="AP2558" s="173"/>
      <c r="AQ2558" s="178"/>
      <c r="AR2558" s="173"/>
      <c r="AS2558" s="173"/>
      <c r="AT2558" s="140"/>
      <c r="AX2558" s="140"/>
      <c r="BB2558" s="173"/>
      <c r="BC2558" s="173"/>
    </row>
    <row r="2559" spans="2:55" s="134" customFormat="1" x14ac:dyDescent="0.2">
      <c r="B2559" s="145"/>
      <c r="D2559" s="145"/>
      <c r="Z2559" s="177"/>
      <c r="AA2559" s="178"/>
      <c r="AB2559" s="139"/>
      <c r="AC2559" s="173"/>
      <c r="AD2559" s="177"/>
      <c r="AE2559" s="177"/>
      <c r="AF2559" s="139"/>
      <c r="AG2559" s="139"/>
      <c r="AH2559" s="177"/>
      <c r="AI2559" s="178"/>
      <c r="AJ2559" s="139"/>
      <c r="AK2559" s="173"/>
      <c r="AL2559" s="177"/>
      <c r="AM2559" s="178"/>
      <c r="AN2559" s="173"/>
      <c r="AO2559" s="173"/>
      <c r="AP2559" s="173"/>
      <c r="AQ2559" s="178"/>
      <c r="AR2559" s="173"/>
      <c r="AS2559" s="173"/>
      <c r="AT2559" s="140"/>
      <c r="AX2559" s="140"/>
      <c r="BB2559" s="173"/>
      <c r="BC2559" s="173"/>
    </row>
    <row r="2560" spans="2:55" s="134" customFormat="1" x14ac:dyDescent="0.2">
      <c r="B2560" s="145"/>
      <c r="D2560" s="145"/>
      <c r="Z2560" s="177"/>
      <c r="AA2560" s="178"/>
      <c r="AB2560" s="139"/>
      <c r="AC2560" s="173"/>
      <c r="AD2560" s="177"/>
      <c r="AE2560" s="177"/>
      <c r="AF2560" s="139"/>
      <c r="AG2560" s="139"/>
      <c r="AH2560" s="177"/>
      <c r="AI2560" s="178"/>
      <c r="AJ2560" s="139"/>
      <c r="AK2560" s="173"/>
      <c r="AL2560" s="177"/>
      <c r="AM2560" s="178"/>
      <c r="AN2560" s="173"/>
      <c r="AO2560" s="173"/>
      <c r="AP2560" s="173"/>
      <c r="AQ2560" s="178"/>
      <c r="AR2560" s="173"/>
      <c r="AS2560" s="173"/>
      <c r="AT2560" s="140"/>
      <c r="AX2560" s="140"/>
      <c r="BB2560" s="173"/>
      <c r="BC2560" s="173"/>
    </row>
    <row r="2561" spans="2:55" s="134" customFormat="1" x14ac:dyDescent="0.2">
      <c r="B2561" s="145"/>
      <c r="D2561" s="145"/>
      <c r="Z2561" s="177"/>
      <c r="AA2561" s="178"/>
      <c r="AB2561" s="139"/>
      <c r="AC2561" s="173"/>
      <c r="AD2561" s="177"/>
      <c r="AE2561" s="177"/>
      <c r="AF2561" s="139"/>
      <c r="AG2561" s="139"/>
      <c r="AH2561" s="177"/>
      <c r="AI2561" s="178"/>
      <c r="AJ2561" s="139"/>
      <c r="AK2561" s="173"/>
      <c r="AL2561" s="177"/>
      <c r="AM2561" s="178"/>
      <c r="AN2561" s="173"/>
      <c r="AO2561" s="173"/>
      <c r="AP2561" s="173"/>
      <c r="AQ2561" s="178"/>
      <c r="AR2561" s="173"/>
      <c r="AS2561" s="173"/>
      <c r="AT2561" s="140"/>
      <c r="AX2561" s="140"/>
      <c r="BB2561" s="173"/>
      <c r="BC2561" s="173"/>
    </row>
    <row r="2562" spans="2:55" s="134" customFormat="1" x14ac:dyDescent="0.2">
      <c r="B2562" s="145"/>
      <c r="D2562" s="145"/>
      <c r="Z2562" s="177"/>
      <c r="AA2562" s="178"/>
      <c r="AB2562" s="139"/>
      <c r="AC2562" s="173"/>
      <c r="AD2562" s="177"/>
      <c r="AE2562" s="177"/>
      <c r="AF2562" s="139"/>
      <c r="AG2562" s="139"/>
      <c r="AH2562" s="177"/>
      <c r="AI2562" s="178"/>
      <c r="AJ2562" s="139"/>
      <c r="AK2562" s="173"/>
      <c r="AL2562" s="177"/>
      <c r="AM2562" s="178"/>
      <c r="AN2562" s="173"/>
      <c r="AO2562" s="173"/>
      <c r="AP2562" s="173"/>
      <c r="AQ2562" s="178"/>
      <c r="AR2562" s="173"/>
      <c r="AS2562" s="173"/>
      <c r="AT2562" s="140"/>
      <c r="AX2562" s="140"/>
      <c r="BB2562" s="173"/>
      <c r="BC2562" s="173"/>
    </row>
    <row r="2563" spans="2:55" s="134" customFormat="1" x14ac:dyDescent="0.2">
      <c r="B2563" s="145"/>
      <c r="D2563" s="145"/>
      <c r="Z2563" s="177"/>
      <c r="AA2563" s="178"/>
      <c r="AB2563" s="139"/>
      <c r="AC2563" s="173"/>
      <c r="AD2563" s="177"/>
      <c r="AE2563" s="177"/>
      <c r="AF2563" s="139"/>
      <c r="AG2563" s="139"/>
      <c r="AH2563" s="177"/>
      <c r="AI2563" s="178"/>
      <c r="AJ2563" s="139"/>
      <c r="AK2563" s="173"/>
      <c r="AL2563" s="177"/>
      <c r="AM2563" s="178"/>
      <c r="AN2563" s="173"/>
      <c r="AO2563" s="173"/>
      <c r="AP2563" s="173"/>
      <c r="AQ2563" s="178"/>
      <c r="AR2563" s="173"/>
      <c r="AS2563" s="173"/>
      <c r="AT2563" s="140"/>
      <c r="AX2563" s="140"/>
      <c r="BB2563" s="173"/>
      <c r="BC2563" s="173"/>
    </row>
    <row r="2564" spans="2:55" s="134" customFormat="1" x14ac:dyDescent="0.2">
      <c r="B2564" s="145"/>
      <c r="D2564" s="145"/>
      <c r="Z2564" s="177"/>
      <c r="AA2564" s="178"/>
      <c r="AB2564" s="139"/>
      <c r="AC2564" s="173"/>
      <c r="AD2564" s="177"/>
      <c r="AE2564" s="177"/>
      <c r="AF2564" s="139"/>
      <c r="AG2564" s="139"/>
      <c r="AH2564" s="177"/>
      <c r="AI2564" s="178"/>
      <c r="AJ2564" s="139"/>
      <c r="AK2564" s="173"/>
      <c r="AL2564" s="177"/>
      <c r="AM2564" s="178"/>
      <c r="AN2564" s="173"/>
      <c r="AO2564" s="173"/>
      <c r="AP2564" s="173"/>
      <c r="AQ2564" s="178"/>
      <c r="AR2564" s="173"/>
      <c r="AS2564" s="173"/>
      <c r="AT2564" s="140"/>
      <c r="AX2564" s="140"/>
      <c r="BB2564" s="173"/>
      <c r="BC2564" s="173"/>
    </row>
    <row r="2565" spans="2:55" s="134" customFormat="1" x14ac:dyDescent="0.2">
      <c r="B2565" s="145"/>
      <c r="D2565" s="145"/>
      <c r="Z2565" s="177"/>
      <c r="AA2565" s="178"/>
      <c r="AB2565" s="139"/>
      <c r="AC2565" s="173"/>
      <c r="AD2565" s="177"/>
      <c r="AE2565" s="177"/>
      <c r="AF2565" s="139"/>
      <c r="AG2565" s="139"/>
      <c r="AH2565" s="177"/>
      <c r="AI2565" s="178"/>
      <c r="AJ2565" s="139"/>
      <c r="AK2565" s="173"/>
      <c r="AL2565" s="177"/>
      <c r="AM2565" s="178"/>
      <c r="AN2565" s="173"/>
      <c r="AO2565" s="173"/>
      <c r="AP2565" s="173"/>
      <c r="AQ2565" s="178"/>
      <c r="AR2565" s="173"/>
      <c r="AS2565" s="173"/>
      <c r="AT2565" s="140"/>
      <c r="AX2565" s="140"/>
      <c r="BB2565" s="173"/>
      <c r="BC2565" s="173"/>
    </row>
    <row r="2566" spans="2:55" s="134" customFormat="1" x14ac:dyDescent="0.2">
      <c r="B2566" s="145"/>
      <c r="D2566" s="145"/>
      <c r="Z2566" s="177"/>
      <c r="AA2566" s="178"/>
      <c r="AB2566" s="139"/>
      <c r="AC2566" s="173"/>
      <c r="AD2566" s="177"/>
      <c r="AE2566" s="177"/>
      <c r="AF2566" s="139"/>
      <c r="AG2566" s="139"/>
      <c r="AH2566" s="177"/>
      <c r="AI2566" s="178"/>
      <c r="AJ2566" s="139"/>
      <c r="AK2566" s="173"/>
      <c r="AL2566" s="177"/>
      <c r="AM2566" s="178"/>
      <c r="AN2566" s="173"/>
      <c r="AO2566" s="173"/>
      <c r="AP2566" s="173"/>
      <c r="AQ2566" s="178"/>
      <c r="AR2566" s="173"/>
      <c r="AS2566" s="173"/>
      <c r="AT2566" s="140"/>
      <c r="AX2566" s="140"/>
      <c r="BB2566" s="173"/>
      <c r="BC2566" s="173"/>
    </row>
    <row r="2567" spans="2:55" s="134" customFormat="1" x14ac:dyDescent="0.2">
      <c r="B2567" s="145"/>
      <c r="D2567" s="145"/>
      <c r="Z2567" s="177"/>
      <c r="AA2567" s="178"/>
      <c r="AB2567" s="139"/>
      <c r="AC2567" s="173"/>
      <c r="AD2567" s="177"/>
      <c r="AE2567" s="177"/>
      <c r="AF2567" s="139"/>
      <c r="AG2567" s="139"/>
      <c r="AH2567" s="177"/>
      <c r="AI2567" s="178"/>
      <c r="AJ2567" s="139"/>
      <c r="AK2567" s="173"/>
      <c r="AL2567" s="177"/>
      <c r="AM2567" s="178"/>
      <c r="AN2567" s="173"/>
      <c r="AO2567" s="173"/>
      <c r="AP2567" s="173"/>
      <c r="AQ2567" s="178"/>
      <c r="AR2567" s="173"/>
      <c r="AS2567" s="173"/>
      <c r="AT2567" s="140"/>
      <c r="AX2567" s="140"/>
      <c r="BB2567" s="173"/>
      <c r="BC2567" s="173"/>
    </row>
    <row r="2568" spans="2:55" s="134" customFormat="1" x14ac:dyDescent="0.2">
      <c r="B2568" s="145"/>
      <c r="D2568" s="145"/>
      <c r="Z2568" s="177"/>
      <c r="AA2568" s="178"/>
      <c r="AB2568" s="139"/>
      <c r="AC2568" s="173"/>
      <c r="AD2568" s="177"/>
      <c r="AE2568" s="177"/>
      <c r="AF2568" s="139"/>
      <c r="AG2568" s="139"/>
      <c r="AH2568" s="177"/>
      <c r="AI2568" s="178"/>
      <c r="AJ2568" s="139"/>
      <c r="AK2568" s="173"/>
      <c r="AL2568" s="177"/>
      <c r="AM2568" s="178"/>
      <c r="AN2568" s="173"/>
      <c r="AO2568" s="173"/>
      <c r="AP2568" s="173"/>
      <c r="AQ2568" s="178"/>
      <c r="AR2568" s="173"/>
      <c r="AS2568" s="173"/>
      <c r="AT2568" s="140"/>
      <c r="AX2568" s="140"/>
      <c r="BB2568" s="173"/>
      <c r="BC2568" s="173"/>
    </row>
    <row r="2569" spans="2:55" s="134" customFormat="1" x14ac:dyDescent="0.2">
      <c r="B2569" s="145"/>
      <c r="D2569" s="145"/>
      <c r="Z2569" s="177"/>
      <c r="AA2569" s="178"/>
      <c r="AB2569" s="139"/>
      <c r="AC2569" s="173"/>
      <c r="AD2569" s="177"/>
      <c r="AE2569" s="177"/>
      <c r="AF2569" s="139"/>
      <c r="AG2569" s="139"/>
      <c r="AH2569" s="177"/>
      <c r="AI2569" s="178"/>
      <c r="AJ2569" s="139"/>
      <c r="AK2569" s="173"/>
      <c r="AL2569" s="177"/>
      <c r="AM2569" s="178"/>
      <c r="AN2569" s="173"/>
      <c r="AO2569" s="173"/>
      <c r="AP2569" s="173"/>
      <c r="AQ2569" s="178"/>
      <c r="AR2569" s="173"/>
      <c r="AS2569" s="173"/>
      <c r="AT2569" s="140"/>
      <c r="AX2569" s="140"/>
      <c r="BB2569" s="173"/>
      <c r="BC2569" s="173"/>
    </row>
    <row r="2570" spans="2:55" s="134" customFormat="1" x14ac:dyDescent="0.2">
      <c r="B2570" s="145"/>
      <c r="D2570" s="145"/>
      <c r="Z2570" s="177"/>
      <c r="AA2570" s="178"/>
      <c r="AB2570" s="139"/>
      <c r="AC2570" s="173"/>
      <c r="AD2570" s="177"/>
      <c r="AE2570" s="177"/>
      <c r="AF2570" s="139"/>
      <c r="AG2570" s="139"/>
      <c r="AH2570" s="177"/>
      <c r="AI2570" s="178"/>
      <c r="AJ2570" s="139"/>
      <c r="AK2570" s="173"/>
      <c r="AL2570" s="177"/>
      <c r="AM2570" s="178"/>
      <c r="AN2570" s="173"/>
      <c r="AO2570" s="173"/>
      <c r="AP2570" s="173"/>
      <c r="AQ2570" s="178"/>
      <c r="AR2570" s="173"/>
      <c r="AS2570" s="173"/>
      <c r="AT2570" s="140"/>
      <c r="AX2570" s="140"/>
      <c r="BB2570" s="173"/>
      <c r="BC2570" s="173"/>
    </row>
    <row r="2571" spans="2:55" s="134" customFormat="1" x14ac:dyDescent="0.2">
      <c r="B2571" s="145"/>
      <c r="D2571" s="145"/>
      <c r="Z2571" s="177"/>
      <c r="AA2571" s="178"/>
      <c r="AB2571" s="139"/>
      <c r="AC2571" s="173"/>
      <c r="AD2571" s="177"/>
      <c r="AE2571" s="177"/>
      <c r="AF2571" s="139"/>
      <c r="AG2571" s="139"/>
      <c r="AH2571" s="177"/>
      <c r="AI2571" s="178"/>
      <c r="AJ2571" s="139"/>
      <c r="AK2571" s="173"/>
      <c r="AL2571" s="177"/>
      <c r="AM2571" s="178"/>
      <c r="AN2571" s="173"/>
      <c r="AO2571" s="173"/>
      <c r="AP2571" s="173"/>
      <c r="AQ2571" s="178"/>
      <c r="AR2571" s="173"/>
      <c r="AS2571" s="173"/>
      <c r="AT2571" s="140"/>
      <c r="AX2571" s="140"/>
      <c r="BB2571" s="173"/>
      <c r="BC2571" s="173"/>
    </row>
    <row r="2572" spans="2:55" s="134" customFormat="1" x14ac:dyDescent="0.2">
      <c r="B2572" s="145"/>
      <c r="D2572" s="145"/>
      <c r="Z2572" s="177"/>
      <c r="AA2572" s="178"/>
      <c r="AB2572" s="139"/>
      <c r="AC2572" s="173"/>
      <c r="AD2572" s="177"/>
      <c r="AE2572" s="177"/>
      <c r="AF2572" s="139"/>
      <c r="AG2572" s="139"/>
      <c r="AH2572" s="177"/>
      <c r="AI2572" s="178"/>
      <c r="AJ2572" s="139"/>
      <c r="AK2572" s="173"/>
      <c r="AL2572" s="177"/>
      <c r="AM2572" s="178"/>
      <c r="AN2572" s="173"/>
      <c r="AO2572" s="173"/>
      <c r="AP2572" s="173"/>
      <c r="AQ2572" s="178"/>
      <c r="AR2572" s="173"/>
      <c r="AS2572" s="173"/>
      <c r="AT2572" s="140"/>
      <c r="AX2572" s="140"/>
      <c r="BB2572" s="173"/>
      <c r="BC2572" s="173"/>
    </row>
    <row r="2573" spans="2:55" s="134" customFormat="1" x14ac:dyDescent="0.2">
      <c r="B2573" s="145"/>
      <c r="D2573" s="145"/>
      <c r="Z2573" s="177"/>
      <c r="AA2573" s="178"/>
      <c r="AB2573" s="139"/>
      <c r="AC2573" s="173"/>
      <c r="AD2573" s="177"/>
      <c r="AE2573" s="177"/>
      <c r="AF2573" s="139"/>
      <c r="AG2573" s="139"/>
      <c r="AH2573" s="177"/>
      <c r="AI2573" s="178"/>
      <c r="AJ2573" s="139"/>
      <c r="AK2573" s="173"/>
      <c r="AL2573" s="177"/>
      <c r="AM2573" s="178"/>
      <c r="AN2573" s="173"/>
      <c r="AO2573" s="173"/>
      <c r="AP2573" s="173"/>
      <c r="AQ2573" s="178"/>
      <c r="AR2573" s="173"/>
      <c r="AS2573" s="173"/>
      <c r="AT2573" s="140"/>
      <c r="AX2573" s="140"/>
      <c r="BB2573" s="173"/>
      <c r="BC2573" s="173"/>
    </row>
    <row r="2574" spans="2:55" s="134" customFormat="1" x14ac:dyDescent="0.2">
      <c r="B2574" s="145"/>
      <c r="D2574" s="145"/>
      <c r="Z2574" s="177"/>
      <c r="AA2574" s="178"/>
      <c r="AB2574" s="139"/>
      <c r="AC2574" s="173"/>
      <c r="AD2574" s="177"/>
      <c r="AE2574" s="177"/>
      <c r="AF2574" s="139"/>
      <c r="AG2574" s="139"/>
      <c r="AH2574" s="177"/>
      <c r="AI2574" s="178"/>
      <c r="AJ2574" s="139"/>
      <c r="AK2574" s="173"/>
      <c r="AL2574" s="177"/>
      <c r="AM2574" s="178"/>
      <c r="AN2574" s="173"/>
      <c r="AO2574" s="173"/>
      <c r="AP2574" s="173"/>
      <c r="AQ2574" s="178"/>
      <c r="AR2574" s="173"/>
      <c r="AS2574" s="173"/>
      <c r="AT2574" s="140"/>
      <c r="AX2574" s="140"/>
      <c r="BB2574" s="173"/>
      <c r="BC2574" s="173"/>
    </row>
    <row r="2575" spans="2:55" s="134" customFormat="1" x14ac:dyDescent="0.2">
      <c r="B2575" s="145"/>
      <c r="D2575" s="145"/>
      <c r="Z2575" s="177"/>
      <c r="AA2575" s="178"/>
      <c r="AB2575" s="139"/>
      <c r="AC2575" s="173"/>
      <c r="AD2575" s="177"/>
      <c r="AE2575" s="177"/>
      <c r="AF2575" s="139"/>
      <c r="AG2575" s="139"/>
      <c r="AH2575" s="177"/>
      <c r="AI2575" s="178"/>
      <c r="AJ2575" s="139"/>
      <c r="AK2575" s="173"/>
      <c r="AL2575" s="177"/>
      <c r="AM2575" s="178"/>
      <c r="AN2575" s="173"/>
      <c r="AO2575" s="173"/>
      <c r="AP2575" s="173"/>
      <c r="AQ2575" s="178"/>
      <c r="AR2575" s="173"/>
      <c r="AS2575" s="173"/>
      <c r="AT2575" s="140"/>
      <c r="AX2575" s="140"/>
      <c r="BB2575" s="173"/>
      <c r="BC2575" s="173"/>
    </row>
    <row r="2576" spans="2:55" s="134" customFormat="1" x14ac:dyDescent="0.2">
      <c r="B2576" s="145"/>
      <c r="D2576" s="145"/>
      <c r="Z2576" s="177"/>
      <c r="AA2576" s="178"/>
      <c r="AB2576" s="139"/>
      <c r="AC2576" s="173"/>
      <c r="AD2576" s="177"/>
      <c r="AE2576" s="177"/>
      <c r="AF2576" s="139"/>
      <c r="AG2576" s="139"/>
      <c r="AH2576" s="177"/>
      <c r="AI2576" s="178"/>
      <c r="AJ2576" s="139"/>
      <c r="AK2576" s="173"/>
      <c r="AL2576" s="177"/>
      <c r="AM2576" s="178"/>
      <c r="AN2576" s="173"/>
      <c r="AO2576" s="173"/>
      <c r="AP2576" s="173"/>
      <c r="AQ2576" s="178"/>
      <c r="AR2576" s="173"/>
      <c r="AS2576" s="173"/>
      <c r="AT2576" s="140"/>
      <c r="AX2576" s="140"/>
      <c r="BB2576" s="173"/>
      <c r="BC2576" s="173"/>
    </row>
    <row r="2577" spans="2:55" s="134" customFormat="1" x14ac:dyDescent="0.2">
      <c r="B2577" s="145"/>
      <c r="D2577" s="145"/>
      <c r="Z2577" s="177"/>
      <c r="AA2577" s="178"/>
      <c r="AB2577" s="139"/>
      <c r="AC2577" s="173"/>
      <c r="AD2577" s="177"/>
      <c r="AE2577" s="177"/>
      <c r="AF2577" s="139"/>
      <c r="AG2577" s="139"/>
      <c r="AH2577" s="177"/>
      <c r="AI2577" s="178"/>
      <c r="AJ2577" s="139"/>
      <c r="AK2577" s="173"/>
      <c r="AL2577" s="177"/>
      <c r="AM2577" s="178"/>
      <c r="AN2577" s="173"/>
      <c r="AO2577" s="173"/>
      <c r="AP2577" s="173"/>
      <c r="AQ2577" s="178"/>
      <c r="AR2577" s="173"/>
      <c r="AS2577" s="173"/>
      <c r="AT2577" s="140"/>
      <c r="AX2577" s="140"/>
      <c r="BB2577" s="173"/>
      <c r="BC2577" s="173"/>
    </row>
    <row r="2578" spans="2:55" s="134" customFormat="1" x14ac:dyDescent="0.2">
      <c r="B2578" s="145"/>
      <c r="D2578" s="145"/>
      <c r="Z2578" s="177"/>
      <c r="AA2578" s="178"/>
      <c r="AB2578" s="139"/>
      <c r="AC2578" s="173"/>
      <c r="AD2578" s="177"/>
      <c r="AE2578" s="177"/>
      <c r="AF2578" s="139"/>
      <c r="AG2578" s="139"/>
      <c r="AH2578" s="177"/>
      <c r="AI2578" s="178"/>
      <c r="AJ2578" s="139"/>
      <c r="AK2578" s="173"/>
      <c r="AL2578" s="177"/>
      <c r="AM2578" s="178"/>
      <c r="AN2578" s="173"/>
      <c r="AO2578" s="173"/>
      <c r="AP2578" s="173"/>
      <c r="AQ2578" s="178"/>
      <c r="AR2578" s="173"/>
      <c r="AS2578" s="173"/>
      <c r="AT2578" s="140"/>
      <c r="AX2578" s="140"/>
      <c r="BB2578" s="173"/>
      <c r="BC2578" s="173"/>
    </row>
    <row r="2579" spans="2:55" s="134" customFormat="1" x14ac:dyDescent="0.2">
      <c r="B2579" s="145"/>
      <c r="D2579" s="145"/>
      <c r="Z2579" s="177"/>
      <c r="AA2579" s="178"/>
      <c r="AB2579" s="139"/>
      <c r="AC2579" s="173"/>
      <c r="AD2579" s="177"/>
      <c r="AE2579" s="177"/>
      <c r="AF2579" s="139"/>
      <c r="AG2579" s="139"/>
      <c r="AH2579" s="177"/>
      <c r="AI2579" s="178"/>
      <c r="AJ2579" s="139"/>
      <c r="AK2579" s="173"/>
      <c r="AL2579" s="177"/>
      <c r="AM2579" s="178"/>
      <c r="AN2579" s="173"/>
      <c r="AO2579" s="173"/>
      <c r="AP2579" s="173"/>
      <c r="AQ2579" s="178"/>
      <c r="AR2579" s="173"/>
      <c r="AS2579" s="173"/>
      <c r="AT2579" s="140"/>
      <c r="AX2579" s="140"/>
      <c r="BB2579" s="173"/>
      <c r="BC2579" s="173"/>
    </row>
    <row r="2580" spans="2:55" s="134" customFormat="1" x14ac:dyDescent="0.2">
      <c r="B2580" s="145"/>
      <c r="D2580" s="145"/>
      <c r="Z2580" s="177"/>
      <c r="AA2580" s="178"/>
      <c r="AB2580" s="139"/>
      <c r="AC2580" s="173"/>
      <c r="AD2580" s="177"/>
      <c r="AE2580" s="177"/>
      <c r="AF2580" s="139"/>
      <c r="AG2580" s="139"/>
      <c r="AH2580" s="177"/>
      <c r="AI2580" s="178"/>
      <c r="AJ2580" s="139"/>
      <c r="AK2580" s="173"/>
      <c r="AL2580" s="177"/>
      <c r="AM2580" s="178"/>
      <c r="AN2580" s="173"/>
      <c r="AO2580" s="173"/>
      <c r="AP2580" s="173"/>
      <c r="AQ2580" s="178"/>
      <c r="AR2580" s="173"/>
      <c r="AS2580" s="173"/>
      <c r="AT2580" s="140"/>
      <c r="AX2580" s="140"/>
      <c r="BB2580" s="173"/>
      <c r="BC2580" s="173"/>
    </row>
    <row r="2581" spans="2:55" s="134" customFormat="1" x14ac:dyDescent="0.2">
      <c r="B2581" s="145"/>
      <c r="D2581" s="145"/>
      <c r="Z2581" s="177"/>
      <c r="AA2581" s="178"/>
      <c r="AB2581" s="139"/>
      <c r="AC2581" s="173"/>
      <c r="AD2581" s="177"/>
      <c r="AE2581" s="177"/>
      <c r="AF2581" s="139"/>
      <c r="AG2581" s="139"/>
      <c r="AH2581" s="177"/>
      <c r="AI2581" s="178"/>
      <c r="AJ2581" s="139"/>
      <c r="AK2581" s="173"/>
      <c r="AL2581" s="177"/>
      <c r="AM2581" s="178"/>
      <c r="AN2581" s="173"/>
      <c r="AO2581" s="173"/>
      <c r="AP2581" s="173"/>
      <c r="AQ2581" s="178"/>
      <c r="AR2581" s="173"/>
      <c r="AS2581" s="173"/>
      <c r="AT2581" s="140"/>
      <c r="AX2581" s="140"/>
      <c r="BB2581" s="173"/>
      <c r="BC2581" s="173"/>
    </row>
    <row r="2582" spans="2:55" s="134" customFormat="1" x14ac:dyDescent="0.2">
      <c r="B2582" s="145"/>
      <c r="D2582" s="145"/>
      <c r="Z2582" s="177"/>
      <c r="AA2582" s="178"/>
      <c r="AB2582" s="139"/>
      <c r="AC2582" s="173"/>
      <c r="AD2582" s="177"/>
      <c r="AE2582" s="177"/>
      <c r="AF2582" s="139"/>
      <c r="AG2582" s="139"/>
      <c r="AH2582" s="177"/>
      <c r="AI2582" s="178"/>
      <c r="AJ2582" s="139"/>
      <c r="AK2582" s="173"/>
      <c r="AL2582" s="177"/>
      <c r="AM2582" s="178"/>
      <c r="AN2582" s="173"/>
      <c r="AO2582" s="173"/>
      <c r="AP2582" s="173"/>
      <c r="AQ2582" s="178"/>
      <c r="AR2582" s="173"/>
      <c r="AS2582" s="173"/>
      <c r="AT2582" s="140"/>
      <c r="AX2582" s="140"/>
      <c r="BB2582" s="173"/>
      <c r="BC2582" s="173"/>
    </row>
    <row r="2583" spans="2:55" s="134" customFormat="1" x14ac:dyDescent="0.2">
      <c r="B2583" s="145"/>
      <c r="D2583" s="145"/>
      <c r="Z2583" s="177"/>
      <c r="AA2583" s="178"/>
      <c r="AB2583" s="139"/>
      <c r="AC2583" s="173"/>
      <c r="AD2583" s="177"/>
      <c r="AE2583" s="177"/>
      <c r="AF2583" s="139"/>
      <c r="AG2583" s="139"/>
      <c r="AH2583" s="177"/>
      <c r="AI2583" s="178"/>
      <c r="AJ2583" s="139"/>
      <c r="AK2583" s="173"/>
      <c r="AL2583" s="177"/>
      <c r="AM2583" s="178"/>
      <c r="AN2583" s="173"/>
      <c r="AO2583" s="173"/>
      <c r="AP2583" s="173"/>
      <c r="AQ2583" s="178"/>
      <c r="AR2583" s="173"/>
      <c r="AS2583" s="173"/>
      <c r="AT2583" s="140"/>
      <c r="AX2583" s="140"/>
      <c r="BB2583" s="173"/>
      <c r="BC2583" s="173"/>
    </row>
    <row r="2584" spans="2:55" s="134" customFormat="1" x14ac:dyDescent="0.2">
      <c r="B2584" s="145"/>
      <c r="D2584" s="145"/>
      <c r="Z2584" s="177"/>
      <c r="AA2584" s="178"/>
      <c r="AB2584" s="139"/>
      <c r="AC2584" s="173"/>
      <c r="AD2584" s="177"/>
      <c r="AE2584" s="177"/>
      <c r="AF2584" s="139"/>
      <c r="AG2584" s="139"/>
      <c r="AH2584" s="177"/>
      <c r="AI2584" s="178"/>
      <c r="AJ2584" s="139"/>
      <c r="AK2584" s="173"/>
      <c r="AL2584" s="177"/>
      <c r="AM2584" s="178"/>
      <c r="AN2584" s="173"/>
      <c r="AO2584" s="173"/>
      <c r="AP2584" s="173"/>
      <c r="AQ2584" s="178"/>
      <c r="AR2584" s="173"/>
      <c r="AS2584" s="173"/>
      <c r="AT2584" s="140"/>
      <c r="AX2584" s="140"/>
      <c r="BB2584" s="173"/>
      <c r="BC2584" s="173"/>
    </row>
    <row r="2585" spans="2:55" s="134" customFormat="1" x14ac:dyDescent="0.2">
      <c r="B2585" s="145"/>
      <c r="D2585" s="145"/>
      <c r="Z2585" s="177"/>
      <c r="AA2585" s="178"/>
      <c r="AB2585" s="139"/>
      <c r="AC2585" s="173"/>
      <c r="AD2585" s="177"/>
      <c r="AE2585" s="177"/>
      <c r="AF2585" s="139"/>
      <c r="AG2585" s="139"/>
      <c r="AH2585" s="177"/>
      <c r="AI2585" s="178"/>
      <c r="AJ2585" s="139"/>
      <c r="AK2585" s="173"/>
      <c r="AL2585" s="177"/>
      <c r="AM2585" s="178"/>
      <c r="AN2585" s="173"/>
      <c r="AO2585" s="173"/>
      <c r="AP2585" s="173"/>
      <c r="AQ2585" s="178"/>
      <c r="AR2585" s="173"/>
      <c r="AS2585" s="173"/>
      <c r="AT2585" s="140"/>
      <c r="AX2585" s="140"/>
      <c r="BB2585" s="173"/>
      <c r="BC2585" s="173"/>
    </row>
    <row r="2586" spans="2:55" s="134" customFormat="1" x14ac:dyDescent="0.2">
      <c r="B2586" s="145"/>
      <c r="D2586" s="145"/>
      <c r="Z2586" s="177"/>
      <c r="AA2586" s="178"/>
      <c r="AB2586" s="139"/>
      <c r="AC2586" s="173"/>
      <c r="AD2586" s="177"/>
      <c r="AE2586" s="177"/>
      <c r="AF2586" s="139"/>
      <c r="AG2586" s="139"/>
      <c r="AH2586" s="177"/>
      <c r="AI2586" s="178"/>
      <c r="AJ2586" s="139"/>
      <c r="AK2586" s="173"/>
      <c r="AL2586" s="177"/>
      <c r="AM2586" s="178"/>
      <c r="AN2586" s="173"/>
      <c r="AO2586" s="173"/>
      <c r="AP2586" s="173"/>
      <c r="AQ2586" s="178"/>
      <c r="AR2586" s="173"/>
      <c r="AS2586" s="173"/>
      <c r="AT2586" s="140"/>
      <c r="AX2586" s="140"/>
      <c r="BB2586" s="173"/>
      <c r="BC2586" s="173"/>
    </row>
    <row r="2587" spans="2:55" s="134" customFormat="1" x14ac:dyDescent="0.2">
      <c r="B2587" s="145"/>
      <c r="D2587" s="145"/>
      <c r="Z2587" s="177"/>
      <c r="AA2587" s="178"/>
      <c r="AB2587" s="139"/>
      <c r="AC2587" s="173"/>
      <c r="AD2587" s="177"/>
      <c r="AE2587" s="177"/>
      <c r="AF2587" s="139"/>
      <c r="AG2587" s="139"/>
      <c r="AH2587" s="177"/>
      <c r="AI2587" s="178"/>
      <c r="AJ2587" s="139"/>
      <c r="AK2587" s="173"/>
      <c r="AL2587" s="177"/>
      <c r="AM2587" s="178"/>
      <c r="AN2587" s="173"/>
      <c r="AO2587" s="173"/>
      <c r="AP2587" s="173"/>
      <c r="AQ2587" s="178"/>
      <c r="AR2587" s="173"/>
      <c r="AS2587" s="173"/>
      <c r="AT2587" s="140"/>
      <c r="AX2587" s="140"/>
      <c r="BB2587" s="173"/>
      <c r="BC2587" s="173"/>
    </row>
    <row r="2588" spans="2:55" s="134" customFormat="1" x14ac:dyDescent="0.2">
      <c r="B2588" s="145"/>
      <c r="D2588" s="145"/>
      <c r="Z2588" s="177"/>
      <c r="AA2588" s="178"/>
      <c r="AB2588" s="139"/>
      <c r="AC2588" s="173"/>
      <c r="AD2588" s="177"/>
      <c r="AE2588" s="177"/>
      <c r="AF2588" s="139"/>
      <c r="AG2588" s="139"/>
      <c r="AH2588" s="177"/>
      <c r="AI2588" s="178"/>
      <c r="AJ2588" s="139"/>
      <c r="AK2588" s="173"/>
      <c r="AL2588" s="177"/>
      <c r="AM2588" s="178"/>
      <c r="AN2588" s="173"/>
      <c r="AO2588" s="173"/>
      <c r="AP2588" s="173"/>
      <c r="AQ2588" s="178"/>
      <c r="AR2588" s="173"/>
      <c r="AS2588" s="173"/>
      <c r="AT2588" s="140"/>
      <c r="AX2588" s="140"/>
      <c r="BB2588" s="173"/>
      <c r="BC2588" s="173"/>
    </row>
    <row r="2589" spans="2:55" s="134" customFormat="1" x14ac:dyDescent="0.2">
      <c r="B2589" s="145"/>
      <c r="D2589" s="145"/>
      <c r="Z2589" s="177"/>
      <c r="AA2589" s="178"/>
      <c r="AB2589" s="139"/>
      <c r="AC2589" s="173"/>
      <c r="AD2589" s="177"/>
      <c r="AE2589" s="177"/>
      <c r="AF2589" s="139"/>
      <c r="AG2589" s="139"/>
      <c r="AH2589" s="177"/>
      <c r="AI2589" s="178"/>
      <c r="AJ2589" s="139"/>
      <c r="AK2589" s="173"/>
      <c r="AL2589" s="177"/>
      <c r="AM2589" s="178"/>
      <c r="AN2589" s="173"/>
      <c r="AO2589" s="173"/>
      <c r="AP2589" s="173"/>
      <c r="AQ2589" s="178"/>
      <c r="AR2589" s="173"/>
      <c r="AS2589" s="173"/>
      <c r="AT2589" s="140"/>
      <c r="AX2589" s="140"/>
      <c r="BB2589" s="173"/>
      <c r="BC2589" s="173"/>
    </row>
    <row r="2590" spans="2:55" s="134" customFormat="1" x14ac:dyDescent="0.2">
      <c r="B2590" s="145"/>
      <c r="D2590" s="145"/>
      <c r="Z2590" s="177"/>
      <c r="AA2590" s="178"/>
      <c r="AB2590" s="139"/>
      <c r="AC2590" s="173"/>
      <c r="AD2590" s="177"/>
      <c r="AE2590" s="177"/>
      <c r="AF2590" s="139"/>
      <c r="AG2590" s="139"/>
      <c r="AH2590" s="177"/>
      <c r="AI2590" s="178"/>
      <c r="AJ2590" s="139"/>
      <c r="AK2590" s="173"/>
      <c r="AL2590" s="177"/>
      <c r="AM2590" s="178"/>
      <c r="AN2590" s="173"/>
      <c r="AO2590" s="173"/>
      <c r="AP2590" s="173"/>
      <c r="AQ2590" s="178"/>
      <c r="AR2590" s="173"/>
      <c r="AS2590" s="173"/>
      <c r="AT2590" s="140"/>
      <c r="AX2590" s="140"/>
      <c r="BB2590" s="173"/>
      <c r="BC2590" s="173"/>
    </row>
    <row r="2591" spans="2:55" s="134" customFormat="1" x14ac:dyDescent="0.2">
      <c r="B2591" s="145"/>
      <c r="D2591" s="145"/>
      <c r="Z2591" s="177"/>
      <c r="AA2591" s="178"/>
      <c r="AB2591" s="139"/>
      <c r="AC2591" s="173"/>
      <c r="AD2591" s="177"/>
      <c r="AE2591" s="177"/>
      <c r="AF2591" s="139"/>
      <c r="AG2591" s="139"/>
      <c r="AH2591" s="177"/>
      <c r="AI2591" s="178"/>
      <c r="AJ2591" s="139"/>
      <c r="AK2591" s="173"/>
      <c r="AL2591" s="177"/>
      <c r="AM2591" s="178"/>
      <c r="AN2591" s="173"/>
      <c r="AO2591" s="173"/>
      <c r="AP2591" s="173"/>
      <c r="AQ2591" s="178"/>
      <c r="AR2591" s="173"/>
      <c r="AS2591" s="173"/>
      <c r="AT2591" s="140"/>
      <c r="AX2591" s="140"/>
      <c r="BB2591" s="173"/>
      <c r="BC2591" s="173"/>
    </row>
    <row r="2592" spans="2:55" s="134" customFormat="1" x14ac:dyDescent="0.2">
      <c r="B2592" s="145"/>
      <c r="D2592" s="145"/>
      <c r="Z2592" s="177"/>
      <c r="AA2592" s="178"/>
      <c r="AB2592" s="139"/>
      <c r="AC2592" s="173"/>
      <c r="AD2592" s="177"/>
      <c r="AE2592" s="177"/>
      <c r="AF2592" s="139"/>
      <c r="AG2592" s="139"/>
      <c r="AH2592" s="177"/>
      <c r="AI2592" s="178"/>
      <c r="AJ2592" s="139"/>
      <c r="AK2592" s="173"/>
      <c r="AL2592" s="177"/>
      <c r="AM2592" s="178"/>
      <c r="AN2592" s="173"/>
      <c r="AO2592" s="173"/>
      <c r="AP2592" s="173"/>
      <c r="AQ2592" s="178"/>
      <c r="AR2592" s="173"/>
      <c r="AS2592" s="173"/>
      <c r="AT2592" s="140"/>
      <c r="AX2592" s="140"/>
      <c r="BB2592" s="173"/>
      <c r="BC2592" s="173"/>
    </row>
    <row r="2593" spans="2:55" s="134" customFormat="1" x14ac:dyDescent="0.2">
      <c r="B2593" s="145"/>
      <c r="D2593" s="145"/>
      <c r="Z2593" s="177"/>
      <c r="AA2593" s="178"/>
      <c r="AB2593" s="139"/>
      <c r="AC2593" s="173"/>
      <c r="AD2593" s="177"/>
      <c r="AE2593" s="177"/>
      <c r="AF2593" s="139"/>
      <c r="AG2593" s="139"/>
      <c r="AH2593" s="177"/>
      <c r="AI2593" s="178"/>
      <c r="AJ2593" s="139"/>
      <c r="AK2593" s="173"/>
      <c r="AL2593" s="177"/>
      <c r="AM2593" s="178"/>
      <c r="AN2593" s="173"/>
      <c r="AO2593" s="173"/>
      <c r="AP2593" s="173"/>
      <c r="AQ2593" s="178"/>
      <c r="AR2593" s="173"/>
      <c r="AS2593" s="173"/>
      <c r="AT2593" s="140"/>
      <c r="AX2593" s="140"/>
      <c r="BB2593" s="173"/>
      <c r="BC2593" s="173"/>
    </row>
    <row r="2594" spans="2:55" s="134" customFormat="1" x14ac:dyDescent="0.2">
      <c r="B2594" s="145"/>
      <c r="D2594" s="145"/>
      <c r="Z2594" s="177"/>
      <c r="AA2594" s="178"/>
      <c r="AB2594" s="139"/>
      <c r="AC2594" s="173"/>
      <c r="AD2594" s="177"/>
      <c r="AE2594" s="177"/>
      <c r="AF2594" s="139"/>
      <c r="AG2594" s="139"/>
      <c r="AH2594" s="177"/>
      <c r="AI2594" s="178"/>
      <c r="AJ2594" s="139"/>
      <c r="AK2594" s="173"/>
      <c r="AL2594" s="177"/>
      <c r="AM2594" s="178"/>
      <c r="AN2594" s="173"/>
      <c r="AO2594" s="173"/>
      <c r="AP2594" s="173"/>
      <c r="AQ2594" s="178"/>
      <c r="AR2594" s="173"/>
      <c r="AS2594" s="173"/>
      <c r="AT2594" s="140"/>
      <c r="AX2594" s="140"/>
      <c r="BB2594" s="173"/>
      <c r="BC2594" s="173"/>
    </row>
    <row r="2595" spans="2:55" s="134" customFormat="1" x14ac:dyDescent="0.2">
      <c r="B2595" s="145"/>
      <c r="D2595" s="145"/>
      <c r="Z2595" s="177"/>
      <c r="AA2595" s="178"/>
      <c r="AB2595" s="139"/>
      <c r="AC2595" s="173"/>
      <c r="AD2595" s="177"/>
      <c r="AE2595" s="177"/>
      <c r="AF2595" s="139"/>
      <c r="AG2595" s="139"/>
      <c r="AH2595" s="177"/>
      <c r="AI2595" s="178"/>
      <c r="AJ2595" s="139"/>
      <c r="AK2595" s="173"/>
      <c r="AL2595" s="177"/>
      <c r="AM2595" s="178"/>
      <c r="AN2595" s="173"/>
      <c r="AO2595" s="173"/>
      <c r="AP2595" s="173"/>
      <c r="AQ2595" s="178"/>
      <c r="AR2595" s="173"/>
      <c r="AS2595" s="173"/>
      <c r="AT2595" s="140"/>
      <c r="AX2595" s="140"/>
      <c r="BB2595" s="173"/>
      <c r="BC2595" s="173"/>
    </row>
    <row r="2596" spans="2:55" s="134" customFormat="1" x14ac:dyDescent="0.2">
      <c r="B2596" s="145"/>
      <c r="D2596" s="145"/>
      <c r="Z2596" s="177"/>
      <c r="AA2596" s="178"/>
      <c r="AB2596" s="139"/>
      <c r="AC2596" s="173"/>
      <c r="AD2596" s="177"/>
      <c r="AE2596" s="177"/>
      <c r="AF2596" s="139"/>
      <c r="AG2596" s="139"/>
      <c r="AH2596" s="177"/>
      <c r="AI2596" s="178"/>
      <c r="AJ2596" s="139"/>
      <c r="AK2596" s="173"/>
      <c r="AL2596" s="177"/>
      <c r="AM2596" s="178"/>
      <c r="AN2596" s="173"/>
      <c r="AO2596" s="173"/>
      <c r="AP2596" s="173"/>
      <c r="AQ2596" s="178"/>
      <c r="AR2596" s="173"/>
      <c r="AS2596" s="173"/>
      <c r="AT2596" s="140"/>
      <c r="AX2596" s="140"/>
      <c r="BB2596" s="173"/>
      <c r="BC2596" s="173"/>
    </row>
    <row r="2597" spans="2:55" s="134" customFormat="1" x14ac:dyDescent="0.2">
      <c r="B2597" s="145"/>
      <c r="D2597" s="145"/>
      <c r="Z2597" s="177"/>
      <c r="AA2597" s="178"/>
      <c r="AB2597" s="139"/>
      <c r="AC2597" s="173"/>
      <c r="AD2597" s="177"/>
      <c r="AE2597" s="177"/>
      <c r="AF2597" s="139"/>
      <c r="AG2597" s="139"/>
      <c r="AH2597" s="177"/>
      <c r="AI2597" s="178"/>
      <c r="AJ2597" s="139"/>
      <c r="AK2597" s="173"/>
      <c r="AL2597" s="177"/>
      <c r="AM2597" s="178"/>
      <c r="AN2597" s="173"/>
      <c r="AO2597" s="173"/>
      <c r="AP2597" s="173"/>
      <c r="AQ2597" s="178"/>
      <c r="AR2597" s="173"/>
      <c r="AS2597" s="173"/>
      <c r="AT2597" s="140"/>
      <c r="AX2597" s="140"/>
      <c r="BB2597" s="173"/>
      <c r="BC2597" s="173"/>
    </row>
    <row r="2598" spans="2:55" s="134" customFormat="1" x14ac:dyDescent="0.2">
      <c r="B2598" s="145"/>
      <c r="D2598" s="145"/>
      <c r="Z2598" s="177"/>
      <c r="AA2598" s="178"/>
      <c r="AB2598" s="139"/>
      <c r="AC2598" s="173"/>
      <c r="AD2598" s="177"/>
      <c r="AE2598" s="177"/>
      <c r="AF2598" s="139"/>
      <c r="AG2598" s="139"/>
      <c r="AH2598" s="177"/>
      <c r="AI2598" s="178"/>
      <c r="AJ2598" s="139"/>
      <c r="AK2598" s="173"/>
      <c r="AL2598" s="177"/>
      <c r="AM2598" s="178"/>
      <c r="AN2598" s="173"/>
      <c r="AO2598" s="173"/>
      <c r="AP2598" s="173"/>
      <c r="AQ2598" s="178"/>
      <c r="AR2598" s="173"/>
      <c r="AS2598" s="173"/>
      <c r="AT2598" s="140"/>
      <c r="AX2598" s="140"/>
      <c r="BB2598" s="173"/>
      <c r="BC2598" s="173"/>
    </row>
    <row r="2599" spans="2:55" s="134" customFormat="1" x14ac:dyDescent="0.2">
      <c r="B2599" s="145"/>
      <c r="D2599" s="145"/>
      <c r="Z2599" s="177"/>
      <c r="AA2599" s="178"/>
      <c r="AB2599" s="139"/>
      <c r="AC2599" s="173"/>
      <c r="AD2599" s="177"/>
      <c r="AE2599" s="177"/>
      <c r="AF2599" s="139"/>
      <c r="AG2599" s="139"/>
      <c r="AH2599" s="177"/>
      <c r="AI2599" s="178"/>
      <c r="AJ2599" s="139"/>
      <c r="AK2599" s="173"/>
      <c r="AL2599" s="177"/>
      <c r="AM2599" s="178"/>
      <c r="AN2599" s="173"/>
      <c r="AO2599" s="173"/>
      <c r="AP2599" s="173"/>
      <c r="AQ2599" s="178"/>
      <c r="AR2599" s="173"/>
      <c r="AS2599" s="173"/>
      <c r="AT2599" s="140"/>
      <c r="AX2599" s="140"/>
      <c r="BB2599" s="173"/>
      <c r="BC2599" s="173"/>
    </row>
    <row r="2600" spans="2:55" s="134" customFormat="1" x14ac:dyDescent="0.2">
      <c r="B2600" s="145"/>
      <c r="D2600" s="145"/>
      <c r="Z2600" s="177"/>
      <c r="AA2600" s="178"/>
      <c r="AB2600" s="139"/>
      <c r="AC2600" s="173"/>
      <c r="AD2600" s="177"/>
      <c r="AE2600" s="177"/>
      <c r="AF2600" s="139"/>
      <c r="AG2600" s="139"/>
      <c r="AH2600" s="177"/>
      <c r="AI2600" s="178"/>
      <c r="AJ2600" s="139"/>
      <c r="AK2600" s="173"/>
      <c r="AL2600" s="177"/>
      <c r="AM2600" s="178"/>
      <c r="AN2600" s="173"/>
      <c r="AO2600" s="173"/>
      <c r="AP2600" s="173"/>
      <c r="AQ2600" s="178"/>
      <c r="AR2600" s="173"/>
      <c r="AS2600" s="173"/>
      <c r="AT2600" s="140"/>
      <c r="AX2600" s="140"/>
      <c r="BB2600" s="173"/>
      <c r="BC2600" s="173"/>
    </row>
    <row r="2601" spans="2:55" s="134" customFormat="1" x14ac:dyDescent="0.2">
      <c r="B2601" s="145"/>
      <c r="D2601" s="145"/>
      <c r="Z2601" s="177"/>
      <c r="AA2601" s="178"/>
      <c r="AB2601" s="139"/>
      <c r="AC2601" s="173"/>
      <c r="AD2601" s="177"/>
      <c r="AE2601" s="177"/>
      <c r="AF2601" s="139"/>
      <c r="AG2601" s="139"/>
      <c r="AH2601" s="177"/>
      <c r="AI2601" s="178"/>
      <c r="AJ2601" s="139"/>
      <c r="AK2601" s="173"/>
      <c r="AL2601" s="177"/>
      <c r="AM2601" s="178"/>
      <c r="AN2601" s="173"/>
      <c r="AO2601" s="173"/>
      <c r="AP2601" s="173"/>
      <c r="AQ2601" s="178"/>
      <c r="AR2601" s="173"/>
      <c r="AS2601" s="173"/>
      <c r="AT2601" s="140"/>
      <c r="AX2601" s="140"/>
      <c r="BB2601" s="173"/>
      <c r="BC2601" s="173"/>
    </row>
    <row r="2602" spans="2:55" s="134" customFormat="1" x14ac:dyDescent="0.2">
      <c r="B2602" s="145"/>
      <c r="D2602" s="145"/>
      <c r="Z2602" s="177"/>
      <c r="AA2602" s="178"/>
      <c r="AB2602" s="139"/>
      <c r="AC2602" s="173"/>
      <c r="AD2602" s="177"/>
      <c r="AE2602" s="177"/>
      <c r="AF2602" s="139"/>
      <c r="AG2602" s="139"/>
      <c r="AH2602" s="177"/>
      <c r="AI2602" s="178"/>
      <c r="AJ2602" s="139"/>
      <c r="AK2602" s="173"/>
      <c r="AL2602" s="177"/>
      <c r="AM2602" s="178"/>
      <c r="AN2602" s="173"/>
      <c r="AO2602" s="173"/>
      <c r="AP2602" s="173"/>
      <c r="AQ2602" s="178"/>
      <c r="AR2602" s="173"/>
      <c r="AS2602" s="173"/>
      <c r="AT2602" s="140"/>
      <c r="AX2602" s="140"/>
      <c r="BB2602" s="173"/>
      <c r="BC2602" s="173"/>
    </row>
    <row r="2603" spans="2:55" s="134" customFormat="1" x14ac:dyDescent="0.2">
      <c r="B2603" s="145"/>
      <c r="D2603" s="145"/>
      <c r="Z2603" s="177"/>
      <c r="AA2603" s="178"/>
      <c r="AB2603" s="139"/>
      <c r="AC2603" s="173"/>
      <c r="AD2603" s="177"/>
      <c r="AE2603" s="177"/>
      <c r="AF2603" s="139"/>
      <c r="AG2603" s="139"/>
      <c r="AH2603" s="177"/>
      <c r="AI2603" s="178"/>
      <c r="AJ2603" s="139"/>
      <c r="AK2603" s="173"/>
      <c r="AL2603" s="177"/>
      <c r="AM2603" s="178"/>
      <c r="AN2603" s="173"/>
      <c r="AO2603" s="173"/>
      <c r="AP2603" s="173"/>
      <c r="AQ2603" s="178"/>
      <c r="AR2603" s="173"/>
      <c r="AS2603" s="173"/>
      <c r="AT2603" s="140"/>
      <c r="AX2603" s="140"/>
      <c r="BB2603" s="173"/>
      <c r="BC2603" s="173"/>
    </row>
    <row r="2604" spans="2:55" s="134" customFormat="1" x14ac:dyDescent="0.2">
      <c r="B2604" s="145"/>
      <c r="D2604" s="145"/>
      <c r="Z2604" s="177"/>
      <c r="AA2604" s="178"/>
      <c r="AB2604" s="139"/>
      <c r="AC2604" s="173"/>
      <c r="AD2604" s="177"/>
      <c r="AE2604" s="177"/>
      <c r="AF2604" s="139"/>
      <c r="AG2604" s="139"/>
      <c r="AH2604" s="177"/>
      <c r="AI2604" s="178"/>
      <c r="AJ2604" s="139"/>
      <c r="AK2604" s="173"/>
      <c r="AL2604" s="177"/>
      <c r="AM2604" s="178"/>
      <c r="AN2604" s="173"/>
      <c r="AO2604" s="173"/>
      <c r="AP2604" s="173"/>
      <c r="AQ2604" s="178"/>
      <c r="AR2604" s="173"/>
      <c r="AS2604" s="173"/>
      <c r="AT2604" s="140"/>
      <c r="AX2604" s="140"/>
      <c r="BB2604" s="173"/>
      <c r="BC2604" s="173"/>
    </row>
    <row r="2605" spans="2:55" s="134" customFormat="1" x14ac:dyDescent="0.2">
      <c r="B2605" s="145"/>
      <c r="D2605" s="145"/>
      <c r="Z2605" s="177"/>
      <c r="AA2605" s="178"/>
      <c r="AB2605" s="139"/>
      <c r="AC2605" s="173"/>
      <c r="AD2605" s="177"/>
      <c r="AE2605" s="177"/>
      <c r="AF2605" s="139"/>
      <c r="AG2605" s="139"/>
      <c r="AH2605" s="177"/>
      <c r="AI2605" s="178"/>
      <c r="AJ2605" s="139"/>
      <c r="AK2605" s="173"/>
      <c r="AL2605" s="177"/>
      <c r="AM2605" s="178"/>
      <c r="AN2605" s="173"/>
      <c r="AO2605" s="173"/>
      <c r="AP2605" s="173"/>
      <c r="AQ2605" s="178"/>
      <c r="AR2605" s="173"/>
      <c r="AS2605" s="173"/>
      <c r="AT2605" s="140"/>
      <c r="AX2605" s="140"/>
      <c r="BB2605" s="173"/>
      <c r="BC2605" s="173"/>
    </row>
    <row r="2606" spans="2:55" s="134" customFormat="1" x14ac:dyDescent="0.2">
      <c r="B2606" s="145"/>
      <c r="D2606" s="145"/>
      <c r="Z2606" s="177"/>
      <c r="AA2606" s="178"/>
      <c r="AB2606" s="139"/>
      <c r="AC2606" s="173"/>
      <c r="AD2606" s="177"/>
      <c r="AE2606" s="177"/>
      <c r="AF2606" s="139"/>
      <c r="AG2606" s="139"/>
      <c r="AH2606" s="177"/>
      <c r="AI2606" s="178"/>
      <c r="AJ2606" s="139"/>
      <c r="AK2606" s="173"/>
      <c r="AL2606" s="177"/>
      <c r="AM2606" s="178"/>
      <c r="AN2606" s="173"/>
      <c r="AO2606" s="173"/>
      <c r="AP2606" s="173"/>
      <c r="AQ2606" s="178"/>
      <c r="AR2606" s="173"/>
      <c r="AS2606" s="173"/>
      <c r="AT2606" s="140"/>
      <c r="AX2606" s="140"/>
      <c r="BB2606" s="173"/>
      <c r="BC2606" s="173"/>
    </row>
    <row r="2607" spans="2:55" s="134" customFormat="1" x14ac:dyDescent="0.2">
      <c r="B2607" s="145"/>
      <c r="D2607" s="145"/>
      <c r="Z2607" s="177"/>
      <c r="AA2607" s="178"/>
      <c r="AB2607" s="139"/>
      <c r="AC2607" s="173"/>
      <c r="AD2607" s="177"/>
      <c r="AE2607" s="177"/>
      <c r="AF2607" s="139"/>
      <c r="AG2607" s="139"/>
      <c r="AH2607" s="177"/>
      <c r="AI2607" s="178"/>
      <c r="AJ2607" s="139"/>
      <c r="AK2607" s="173"/>
      <c r="AL2607" s="177"/>
      <c r="AM2607" s="178"/>
      <c r="AN2607" s="173"/>
      <c r="AO2607" s="173"/>
      <c r="AP2607" s="173"/>
      <c r="AQ2607" s="178"/>
      <c r="AR2607" s="173"/>
      <c r="AS2607" s="173"/>
      <c r="AT2607" s="140"/>
      <c r="AX2607" s="140"/>
      <c r="BB2607" s="173"/>
      <c r="BC2607" s="173"/>
    </row>
    <row r="2608" spans="2:55" s="134" customFormat="1" x14ac:dyDescent="0.2">
      <c r="B2608" s="145"/>
      <c r="D2608" s="145"/>
      <c r="Z2608" s="177"/>
      <c r="AA2608" s="178"/>
      <c r="AB2608" s="139"/>
      <c r="AC2608" s="173"/>
      <c r="AD2608" s="177"/>
      <c r="AE2608" s="177"/>
      <c r="AF2608" s="139"/>
      <c r="AG2608" s="139"/>
      <c r="AH2608" s="177"/>
      <c r="AI2608" s="178"/>
      <c r="AJ2608" s="139"/>
      <c r="AK2608" s="173"/>
      <c r="AL2608" s="177"/>
      <c r="AM2608" s="178"/>
      <c r="AN2608" s="173"/>
      <c r="AO2608" s="173"/>
      <c r="AP2608" s="173"/>
      <c r="AQ2608" s="178"/>
      <c r="AR2608" s="173"/>
      <c r="AS2608" s="173"/>
      <c r="AT2608" s="140"/>
      <c r="AX2608" s="140"/>
      <c r="BB2608" s="173"/>
      <c r="BC2608" s="173"/>
    </row>
    <row r="2609" spans="2:55" s="134" customFormat="1" x14ac:dyDescent="0.2">
      <c r="B2609" s="145"/>
      <c r="D2609" s="145"/>
      <c r="Z2609" s="177"/>
      <c r="AA2609" s="178"/>
      <c r="AB2609" s="139"/>
      <c r="AC2609" s="173"/>
      <c r="AD2609" s="177"/>
      <c r="AE2609" s="177"/>
      <c r="AF2609" s="139"/>
      <c r="AG2609" s="139"/>
      <c r="AH2609" s="177"/>
      <c r="AI2609" s="178"/>
      <c r="AJ2609" s="139"/>
      <c r="AK2609" s="173"/>
      <c r="AL2609" s="177"/>
      <c r="AM2609" s="178"/>
      <c r="AN2609" s="173"/>
      <c r="AO2609" s="173"/>
      <c r="AP2609" s="173"/>
      <c r="AQ2609" s="178"/>
      <c r="AR2609" s="173"/>
      <c r="AS2609" s="173"/>
      <c r="AT2609" s="140"/>
      <c r="AX2609" s="140"/>
      <c r="BB2609" s="173"/>
      <c r="BC2609" s="173"/>
    </row>
    <row r="2610" spans="2:55" s="134" customFormat="1" x14ac:dyDescent="0.2">
      <c r="B2610" s="145"/>
      <c r="D2610" s="145"/>
      <c r="Z2610" s="177"/>
      <c r="AA2610" s="178"/>
      <c r="AB2610" s="139"/>
      <c r="AC2610" s="173"/>
      <c r="AD2610" s="177"/>
      <c r="AE2610" s="177"/>
      <c r="AF2610" s="139"/>
      <c r="AG2610" s="139"/>
      <c r="AH2610" s="177"/>
      <c r="AI2610" s="178"/>
      <c r="AJ2610" s="139"/>
      <c r="AK2610" s="173"/>
      <c r="AL2610" s="177"/>
      <c r="AM2610" s="178"/>
      <c r="AN2610" s="173"/>
      <c r="AO2610" s="173"/>
      <c r="AP2610" s="173"/>
      <c r="AQ2610" s="178"/>
      <c r="AR2610" s="173"/>
      <c r="AS2610" s="173"/>
      <c r="AT2610" s="140"/>
      <c r="AX2610" s="140"/>
      <c r="BB2610" s="173"/>
      <c r="BC2610" s="173"/>
    </row>
    <row r="2611" spans="2:55" s="134" customFormat="1" x14ac:dyDescent="0.2">
      <c r="B2611" s="145"/>
      <c r="D2611" s="145"/>
      <c r="Z2611" s="177"/>
      <c r="AA2611" s="178"/>
      <c r="AB2611" s="139"/>
      <c r="AC2611" s="173"/>
      <c r="AD2611" s="177"/>
      <c r="AE2611" s="177"/>
      <c r="AF2611" s="139"/>
      <c r="AG2611" s="139"/>
      <c r="AH2611" s="177"/>
      <c r="AI2611" s="178"/>
      <c r="AJ2611" s="139"/>
      <c r="AK2611" s="173"/>
      <c r="AL2611" s="177"/>
      <c r="AM2611" s="178"/>
      <c r="AN2611" s="173"/>
      <c r="AO2611" s="173"/>
      <c r="AP2611" s="173"/>
      <c r="AQ2611" s="178"/>
      <c r="AR2611" s="173"/>
      <c r="AS2611" s="173"/>
      <c r="AT2611" s="140"/>
      <c r="AX2611" s="140"/>
      <c r="BB2611" s="173"/>
      <c r="BC2611" s="173"/>
    </row>
    <row r="2612" spans="2:55" s="134" customFormat="1" x14ac:dyDescent="0.2">
      <c r="B2612" s="145"/>
      <c r="D2612" s="145"/>
      <c r="Z2612" s="177"/>
      <c r="AA2612" s="178"/>
      <c r="AB2612" s="139"/>
      <c r="AC2612" s="173"/>
      <c r="AD2612" s="177"/>
      <c r="AE2612" s="177"/>
      <c r="AF2612" s="139"/>
      <c r="AG2612" s="139"/>
      <c r="AH2612" s="177"/>
      <c r="AI2612" s="178"/>
      <c r="AJ2612" s="139"/>
      <c r="AK2612" s="173"/>
      <c r="AL2612" s="177"/>
      <c r="AM2612" s="178"/>
      <c r="AN2612" s="173"/>
      <c r="AO2612" s="173"/>
      <c r="AP2612" s="173"/>
      <c r="AQ2612" s="178"/>
      <c r="AR2612" s="173"/>
      <c r="AS2612" s="173"/>
      <c r="AT2612" s="140"/>
      <c r="AX2612" s="140"/>
      <c r="BB2612" s="173"/>
      <c r="BC2612" s="173"/>
    </row>
    <row r="2613" spans="2:55" s="134" customFormat="1" x14ac:dyDescent="0.2">
      <c r="B2613" s="145"/>
      <c r="D2613" s="145"/>
      <c r="Z2613" s="177"/>
      <c r="AA2613" s="178"/>
      <c r="AB2613" s="139"/>
      <c r="AC2613" s="173"/>
      <c r="AD2613" s="177"/>
      <c r="AE2613" s="177"/>
      <c r="AF2613" s="139"/>
      <c r="AG2613" s="139"/>
      <c r="AH2613" s="177"/>
      <c r="AI2613" s="178"/>
      <c r="AJ2613" s="139"/>
      <c r="AK2613" s="173"/>
      <c r="AL2613" s="177"/>
      <c r="AM2613" s="178"/>
      <c r="AN2613" s="173"/>
      <c r="AO2613" s="173"/>
      <c r="AP2613" s="173"/>
      <c r="AQ2613" s="178"/>
      <c r="AR2613" s="173"/>
      <c r="AS2613" s="173"/>
      <c r="AT2613" s="140"/>
      <c r="AX2613" s="140"/>
      <c r="BB2613" s="173"/>
      <c r="BC2613" s="173"/>
    </row>
    <row r="2614" spans="2:55" s="134" customFormat="1" x14ac:dyDescent="0.2">
      <c r="B2614" s="145"/>
      <c r="D2614" s="145"/>
      <c r="Z2614" s="177"/>
      <c r="AA2614" s="178"/>
      <c r="AB2614" s="139"/>
      <c r="AC2614" s="173"/>
      <c r="AD2614" s="177"/>
      <c r="AE2614" s="177"/>
      <c r="AF2614" s="139"/>
      <c r="AG2614" s="139"/>
      <c r="AH2614" s="177"/>
      <c r="AI2614" s="178"/>
      <c r="AJ2614" s="139"/>
      <c r="AK2614" s="173"/>
      <c r="AL2614" s="177"/>
      <c r="AM2614" s="178"/>
      <c r="AN2614" s="173"/>
      <c r="AO2614" s="173"/>
      <c r="AP2614" s="173"/>
      <c r="AQ2614" s="178"/>
      <c r="AR2614" s="173"/>
      <c r="AS2614" s="173"/>
      <c r="AT2614" s="140"/>
      <c r="AX2614" s="140"/>
      <c r="BB2614" s="173"/>
      <c r="BC2614" s="173"/>
    </row>
    <row r="2615" spans="2:55" s="134" customFormat="1" x14ac:dyDescent="0.2">
      <c r="B2615" s="145"/>
      <c r="D2615" s="145"/>
      <c r="Z2615" s="177"/>
      <c r="AA2615" s="178"/>
      <c r="AB2615" s="139"/>
      <c r="AC2615" s="173"/>
      <c r="AD2615" s="177"/>
      <c r="AE2615" s="177"/>
      <c r="AF2615" s="139"/>
      <c r="AG2615" s="139"/>
      <c r="AH2615" s="177"/>
      <c r="AI2615" s="178"/>
      <c r="AJ2615" s="139"/>
      <c r="AK2615" s="173"/>
      <c r="AL2615" s="177"/>
      <c r="AM2615" s="178"/>
      <c r="AN2615" s="173"/>
      <c r="AO2615" s="173"/>
      <c r="AP2615" s="173"/>
      <c r="AQ2615" s="178"/>
      <c r="AR2615" s="173"/>
      <c r="AS2615" s="173"/>
      <c r="AT2615" s="140"/>
      <c r="AX2615" s="140"/>
      <c r="BB2615" s="173"/>
      <c r="BC2615" s="173"/>
    </row>
    <row r="2616" spans="2:55" s="134" customFormat="1" x14ac:dyDescent="0.2">
      <c r="B2616" s="145"/>
      <c r="D2616" s="145"/>
      <c r="Z2616" s="177"/>
      <c r="AA2616" s="178"/>
      <c r="AB2616" s="139"/>
      <c r="AC2616" s="173"/>
      <c r="AD2616" s="177"/>
      <c r="AE2616" s="177"/>
      <c r="AF2616" s="139"/>
      <c r="AG2616" s="139"/>
      <c r="AH2616" s="177"/>
      <c r="AI2616" s="178"/>
      <c r="AJ2616" s="139"/>
      <c r="AK2616" s="173"/>
      <c r="AL2616" s="177"/>
      <c r="AM2616" s="178"/>
      <c r="AN2616" s="173"/>
      <c r="AO2616" s="173"/>
      <c r="AP2616" s="173"/>
      <c r="AQ2616" s="178"/>
      <c r="AR2616" s="173"/>
      <c r="AS2616" s="173"/>
      <c r="AT2616" s="140"/>
      <c r="AX2616" s="140"/>
      <c r="BB2616" s="173"/>
      <c r="BC2616" s="173"/>
    </row>
    <row r="2617" spans="2:55" s="134" customFormat="1" x14ac:dyDescent="0.2">
      <c r="B2617" s="145"/>
      <c r="D2617" s="145"/>
      <c r="Z2617" s="177"/>
      <c r="AA2617" s="178"/>
      <c r="AB2617" s="139"/>
      <c r="AC2617" s="173"/>
      <c r="AD2617" s="177"/>
      <c r="AE2617" s="177"/>
      <c r="AF2617" s="139"/>
      <c r="AG2617" s="139"/>
      <c r="AH2617" s="177"/>
      <c r="AI2617" s="178"/>
      <c r="AJ2617" s="139"/>
      <c r="AK2617" s="173"/>
      <c r="AL2617" s="177"/>
      <c r="AM2617" s="178"/>
      <c r="AN2617" s="173"/>
      <c r="AO2617" s="173"/>
      <c r="AP2617" s="173"/>
      <c r="AQ2617" s="178"/>
      <c r="AR2617" s="173"/>
      <c r="AS2617" s="173"/>
      <c r="AT2617" s="140"/>
      <c r="AX2617" s="140"/>
      <c r="BB2617" s="173"/>
      <c r="BC2617" s="173"/>
    </row>
    <row r="2618" spans="2:55" s="134" customFormat="1" x14ac:dyDescent="0.2">
      <c r="B2618" s="145"/>
      <c r="D2618" s="145"/>
      <c r="Z2618" s="177"/>
      <c r="AA2618" s="178"/>
      <c r="AB2618" s="139"/>
      <c r="AC2618" s="173"/>
      <c r="AD2618" s="177"/>
      <c r="AE2618" s="177"/>
      <c r="AF2618" s="139"/>
      <c r="AG2618" s="139"/>
      <c r="AH2618" s="177"/>
      <c r="AI2618" s="178"/>
      <c r="AJ2618" s="139"/>
      <c r="AK2618" s="173"/>
      <c r="AL2618" s="177"/>
      <c r="AM2618" s="178"/>
      <c r="AN2618" s="173"/>
      <c r="AO2618" s="173"/>
      <c r="AP2618" s="173"/>
      <c r="AQ2618" s="178"/>
      <c r="AR2618" s="173"/>
      <c r="AS2618" s="173"/>
      <c r="AT2618" s="140"/>
      <c r="AX2618" s="140"/>
      <c r="BB2618" s="173"/>
      <c r="BC2618" s="173"/>
    </row>
    <row r="2619" spans="2:55" s="134" customFormat="1" x14ac:dyDescent="0.2">
      <c r="B2619" s="145"/>
      <c r="D2619" s="145"/>
      <c r="Z2619" s="177"/>
      <c r="AA2619" s="178"/>
      <c r="AB2619" s="139"/>
      <c r="AC2619" s="173"/>
      <c r="AD2619" s="177"/>
      <c r="AE2619" s="177"/>
      <c r="AF2619" s="139"/>
      <c r="AG2619" s="139"/>
      <c r="AH2619" s="177"/>
      <c r="AI2619" s="178"/>
      <c r="AJ2619" s="139"/>
      <c r="AK2619" s="173"/>
      <c r="AL2619" s="177"/>
      <c r="AM2619" s="178"/>
      <c r="AN2619" s="173"/>
      <c r="AO2619" s="173"/>
      <c r="AP2619" s="173"/>
      <c r="AQ2619" s="178"/>
      <c r="AR2619" s="173"/>
      <c r="AS2619" s="173"/>
      <c r="AT2619" s="140"/>
      <c r="AX2619" s="140"/>
      <c r="BB2619" s="173"/>
      <c r="BC2619" s="173"/>
    </row>
    <row r="2620" spans="2:55" s="134" customFormat="1" x14ac:dyDescent="0.2">
      <c r="B2620" s="145"/>
      <c r="D2620" s="145"/>
      <c r="Z2620" s="177"/>
      <c r="AA2620" s="178"/>
      <c r="AB2620" s="139"/>
      <c r="AC2620" s="173"/>
      <c r="AD2620" s="177"/>
      <c r="AE2620" s="177"/>
      <c r="AF2620" s="139"/>
      <c r="AG2620" s="139"/>
      <c r="AH2620" s="177"/>
      <c r="AI2620" s="178"/>
      <c r="AJ2620" s="139"/>
      <c r="AK2620" s="173"/>
      <c r="AL2620" s="177"/>
      <c r="AM2620" s="178"/>
      <c r="AN2620" s="173"/>
      <c r="AO2620" s="173"/>
      <c r="AP2620" s="173"/>
      <c r="AQ2620" s="178"/>
      <c r="AR2620" s="173"/>
      <c r="AS2620" s="173"/>
      <c r="AT2620" s="140"/>
      <c r="AX2620" s="140"/>
      <c r="BB2620" s="173"/>
      <c r="BC2620" s="173"/>
    </row>
    <row r="2621" spans="2:55" s="134" customFormat="1" x14ac:dyDescent="0.2">
      <c r="B2621" s="145"/>
      <c r="D2621" s="145"/>
      <c r="Z2621" s="177"/>
      <c r="AA2621" s="178"/>
      <c r="AB2621" s="139"/>
      <c r="AC2621" s="173"/>
      <c r="AD2621" s="177"/>
      <c r="AE2621" s="177"/>
      <c r="AF2621" s="139"/>
      <c r="AG2621" s="139"/>
      <c r="AH2621" s="177"/>
      <c r="AI2621" s="178"/>
      <c r="AJ2621" s="139"/>
      <c r="AK2621" s="173"/>
      <c r="AL2621" s="177"/>
      <c r="AM2621" s="178"/>
      <c r="AN2621" s="173"/>
      <c r="AO2621" s="173"/>
      <c r="AP2621" s="173"/>
      <c r="AQ2621" s="178"/>
      <c r="AR2621" s="173"/>
      <c r="AS2621" s="173"/>
      <c r="AT2621" s="140"/>
      <c r="AX2621" s="140"/>
      <c r="BB2621" s="173"/>
      <c r="BC2621" s="173"/>
    </row>
    <row r="2622" spans="2:55" s="134" customFormat="1" x14ac:dyDescent="0.2">
      <c r="B2622" s="145"/>
      <c r="D2622" s="145"/>
      <c r="Z2622" s="177"/>
      <c r="AA2622" s="178"/>
      <c r="AB2622" s="139"/>
      <c r="AC2622" s="173"/>
      <c r="AD2622" s="177"/>
      <c r="AE2622" s="177"/>
      <c r="AF2622" s="139"/>
      <c r="AG2622" s="139"/>
      <c r="AH2622" s="177"/>
      <c r="AI2622" s="178"/>
      <c r="AJ2622" s="139"/>
      <c r="AK2622" s="173"/>
      <c r="AL2622" s="177"/>
      <c r="AM2622" s="178"/>
      <c r="AN2622" s="173"/>
      <c r="AO2622" s="173"/>
      <c r="AP2622" s="173"/>
      <c r="AQ2622" s="178"/>
      <c r="AR2622" s="173"/>
      <c r="AS2622" s="173"/>
      <c r="AT2622" s="140"/>
      <c r="AX2622" s="140"/>
      <c r="BB2622" s="173"/>
      <c r="BC2622" s="173"/>
    </row>
    <row r="2623" spans="2:55" s="134" customFormat="1" x14ac:dyDescent="0.2">
      <c r="B2623" s="145"/>
      <c r="D2623" s="145"/>
      <c r="Z2623" s="177"/>
      <c r="AA2623" s="178"/>
      <c r="AB2623" s="139"/>
      <c r="AC2623" s="173"/>
      <c r="AD2623" s="177"/>
      <c r="AE2623" s="177"/>
      <c r="AF2623" s="139"/>
      <c r="AG2623" s="139"/>
      <c r="AH2623" s="177"/>
      <c r="AI2623" s="178"/>
      <c r="AJ2623" s="139"/>
      <c r="AK2623" s="173"/>
      <c r="AL2623" s="177"/>
      <c r="AM2623" s="178"/>
      <c r="AN2623" s="173"/>
      <c r="AO2623" s="173"/>
      <c r="AP2623" s="173"/>
      <c r="AQ2623" s="178"/>
      <c r="AR2623" s="173"/>
      <c r="AS2623" s="173"/>
      <c r="AT2623" s="140"/>
      <c r="AX2623" s="140"/>
      <c r="BB2623" s="173"/>
      <c r="BC2623" s="173"/>
    </row>
    <row r="2624" spans="2:55" s="134" customFormat="1" x14ac:dyDescent="0.2">
      <c r="B2624" s="145"/>
      <c r="D2624" s="145"/>
      <c r="Z2624" s="177"/>
      <c r="AA2624" s="178"/>
      <c r="AB2624" s="139"/>
      <c r="AC2624" s="173"/>
      <c r="AD2624" s="177"/>
      <c r="AE2624" s="177"/>
      <c r="AF2624" s="139"/>
      <c r="AG2624" s="139"/>
      <c r="AH2624" s="177"/>
      <c r="AI2624" s="178"/>
      <c r="AJ2624" s="139"/>
      <c r="AK2624" s="173"/>
      <c r="AL2624" s="177"/>
      <c r="AM2624" s="178"/>
      <c r="AN2624" s="173"/>
      <c r="AO2624" s="173"/>
      <c r="AP2624" s="173"/>
      <c r="AQ2624" s="178"/>
      <c r="AR2624" s="173"/>
      <c r="AS2624" s="173"/>
      <c r="AT2624" s="140"/>
      <c r="AX2624" s="140"/>
      <c r="BB2624" s="173"/>
      <c r="BC2624" s="173"/>
    </row>
    <row r="2625" spans="2:55" s="134" customFormat="1" x14ac:dyDescent="0.2">
      <c r="B2625" s="145"/>
      <c r="D2625" s="145"/>
      <c r="Z2625" s="177"/>
      <c r="AA2625" s="178"/>
      <c r="AB2625" s="139"/>
      <c r="AC2625" s="173"/>
      <c r="AD2625" s="177"/>
      <c r="AE2625" s="177"/>
      <c r="AF2625" s="139"/>
      <c r="AG2625" s="139"/>
      <c r="AH2625" s="177"/>
      <c r="AI2625" s="178"/>
      <c r="AJ2625" s="139"/>
      <c r="AK2625" s="173"/>
      <c r="AL2625" s="177"/>
      <c r="AM2625" s="178"/>
      <c r="AN2625" s="173"/>
      <c r="AO2625" s="173"/>
      <c r="AP2625" s="173"/>
      <c r="AQ2625" s="178"/>
      <c r="AR2625" s="173"/>
      <c r="AS2625" s="173"/>
      <c r="AT2625" s="140"/>
      <c r="AX2625" s="140"/>
      <c r="BB2625" s="173"/>
      <c r="BC2625" s="173"/>
    </row>
    <row r="2626" spans="2:55" s="134" customFormat="1" x14ac:dyDescent="0.2">
      <c r="B2626" s="145"/>
      <c r="D2626" s="145"/>
      <c r="Z2626" s="177"/>
      <c r="AA2626" s="178"/>
      <c r="AB2626" s="139"/>
      <c r="AC2626" s="173"/>
      <c r="AD2626" s="177"/>
      <c r="AE2626" s="177"/>
      <c r="AF2626" s="139"/>
      <c r="AG2626" s="139"/>
      <c r="AH2626" s="177"/>
      <c r="AI2626" s="178"/>
      <c r="AJ2626" s="139"/>
      <c r="AK2626" s="173"/>
      <c r="AL2626" s="177"/>
      <c r="AM2626" s="178"/>
      <c r="AN2626" s="173"/>
      <c r="AO2626" s="173"/>
      <c r="AP2626" s="173"/>
      <c r="AQ2626" s="178"/>
      <c r="AR2626" s="173"/>
      <c r="AS2626" s="173"/>
      <c r="AT2626" s="140"/>
      <c r="AX2626" s="140"/>
      <c r="BB2626" s="173"/>
      <c r="BC2626" s="173"/>
    </row>
    <row r="2627" spans="2:55" s="134" customFormat="1" x14ac:dyDescent="0.2">
      <c r="B2627" s="145"/>
      <c r="D2627" s="145"/>
      <c r="Z2627" s="177"/>
      <c r="AA2627" s="178"/>
      <c r="AB2627" s="139"/>
      <c r="AC2627" s="173"/>
      <c r="AD2627" s="177"/>
      <c r="AE2627" s="177"/>
      <c r="AF2627" s="139"/>
      <c r="AG2627" s="139"/>
      <c r="AH2627" s="177"/>
      <c r="AI2627" s="178"/>
      <c r="AJ2627" s="139"/>
      <c r="AK2627" s="173"/>
      <c r="AL2627" s="177"/>
      <c r="AM2627" s="178"/>
      <c r="AN2627" s="173"/>
      <c r="AO2627" s="173"/>
      <c r="AP2627" s="173"/>
      <c r="AQ2627" s="178"/>
      <c r="AR2627" s="173"/>
      <c r="AS2627" s="173"/>
      <c r="AT2627" s="140"/>
      <c r="AX2627" s="140"/>
      <c r="BB2627" s="173"/>
      <c r="BC2627" s="173"/>
    </row>
    <row r="2628" spans="2:55" s="134" customFormat="1" x14ac:dyDescent="0.2">
      <c r="B2628" s="145"/>
      <c r="D2628" s="145"/>
      <c r="Z2628" s="177"/>
      <c r="AA2628" s="178"/>
      <c r="AB2628" s="139"/>
      <c r="AC2628" s="173"/>
      <c r="AD2628" s="177"/>
      <c r="AE2628" s="177"/>
      <c r="AF2628" s="139"/>
      <c r="AG2628" s="139"/>
      <c r="AH2628" s="177"/>
      <c r="AI2628" s="178"/>
      <c r="AJ2628" s="139"/>
      <c r="AK2628" s="173"/>
      <c r="AL2628" s="177"/>
      <c r="AM2628" s="178"/>
      <c r="AN2628" s="173"/>
      <c r="AO2628" s="173"/>
      <c r="AP2628" s="173"/>
      <c r="AQ2628" s="178"/>
      <c r="AR2628" s="173"/>
      <c r="AS2628" s="173"/>
      <c r="AT2628" s="140"/>
      <c r="AX2628" s="140"/>
      <c r="BB2628" s="173"/>
      <c r="BC2628" s="173"/>
    </row>
    <row r="2629" spans="2:55" s="134" customFormat="1" x14ac:dyDescent="0.2">
      <c r="B2629" s="145"/>
      <c r="D2629" s="145"/>
      <c r="Z2629" s="177"/>
      <c r="AA2629" s="178"/>
      <c r="AB2629" s="139"/>
      <c r="AC2629" s="173"/>
      <c r="AD2629" s="177"/>
      <c r="AE2629" s="177"/>
      <c r="AF2629" s="139"/>
      <c r="AG2629" s="139"/>
      <c r="AH2629" s="177"/>
      <c r="AI2629" s="178"/>
      <c r="AJ2629" s="139"/>
      <c r="AK2629" s="173"/>
      <c r="AL2629" s="177"/>
      <c r="AM2629" s="178"/>
      <c r="AN2629" s="173"/>
      <c r="AO2629" s="173"/>
      <c r="AP2629" s="173"/>
      <c r="AQ2629" s="178"/>
      <c r="AR2629" s="173"/>
      <c r="AS2629" s="173"/>
      <c r="AT2629" s="140"/>
      <c r="AX2629" s="140"/>
      <c r="BB2629" s="173"/>
      <c r="BC2629" s="173"/>
    </row>
    <row r="2630" spans="2:55" s="134" customFormat="1" x14ac:dyDescent="0.2">
      <c r="B2630" s="145"/>
      <c r="D2630" s="145"/>
      <c r="Z2630" s="177"/>
      <c r="AA2630" s="178"/>
      <c r="AB2630" s="139"/>
      <c r="AC2630" s="173"/>
      <c r="AD2630" s="177"/>
      <c r="AE2630" s="177"/>
      <c r="AF2630" s="139"/>
      <c r="AG2630" s="139"/>
      <c r="AH2630" s="177"/>
      <c r="AI2630" s="178"/>
      <c r="AJ2630" s="139"/>
      <c r="AK2630" s="173"/>
      <c r="AL2630" s="177"/>
      <c r="AM2630" s="178"/>
      <c r="AN2630" s="173"/>
      <c r="AO2630" s="173"/>
      <c r="AP2630" s="173"/>
      <c r="AQ2630" s="178"/>
      <c r="AR2630" s="173"/>
      <c r="AS2630" s="173"/>
      <c r="AT2630" s="140"/>
      <c r="AX2630" s="140"/>
      <c r="BB2630" s="173"/>
      <c r="BC2630" s="173"/>
    </row>
    <row r="2631" spans="2:55" s="134" customFormat="1" x14ac:dyDescent="0.2">
      <c r="B2631" s="145"/>
      <c r="D2631" s="145"/>
      <c r="Z2631" s="177"/>
      <c r="AA2631" s="178"/>
      <c r="AB2631" s="139"/>
      <c r="AC2631" s="173"/>
      <c r="AD2631" s="177"/>
      <c r="AE2631" s="177"/>
      <c r="AF2631" s="139"/>
      <c r="AG2631" s="139"/>
      <c r="AH2631" s="177"/>
      <c r="AI2631" s="178"/>
      <c r="AJ2631" s="139"/>
      <c r="AK2631" s="173"/>
      <c r="AL2631" s="177"/>
      <c r="AM2631" s="178"/>
      <c r="AN2631" s="173"/>
      <c r="AO2631" s="173"/>
      <c r="AP2631" s="173"/>
      <c r="AQ2631" s="178"/>
      <c r="AR2631" s="173"/>
      <c r="AS2631" s="173"/>
      <c r="AT2631" s="140"/>
      <c r="AX2631" s="140"/>
      <c r="BB2631" s="173"/>
      <c r="BC2631" s="173"/>
    </row>
    <row r="2632" spans="2:55" s="134" customFormat="1" x14ac:dyDescent="0.2">
      <c r="B2632" s="145"/>
      <c r="D2632" s="145"/>
      <c r="Z2632" s="177"/>
      <c r="AA2632" s="178"/>
      <c r="AB2632" s="139"/>
      <c r="AC2632" s="173"/>
      <c r="AD2632" s="177"/>
      <c r="AE2632" s="177"/>
      <c r="AF2632" s="139"/>
      <c r="AG2632" s="139"/>
      <c r="AH2632" s="177"/>
      <c r="AI2632" s="178"/>
      <c r="AJ2632" s="139"/>
      <c r="AK2632" s="173"/>
      <c r="AL2632" s="177"/>
      <c r="AM2632" s="178"/>
      <c r="AN2632" s="173"/>
      <c r="AO2632" s="173"/>
      <c r="AP2632" s="173"/>
      <c r="AQ2632" s="178"/>
      <c r="AR2632" s="173"/>
      <c r="AS2632" s="173"/>
      <c r="AT2632" s="140"/>
      <c r="AX2632" s="140"/>
      <c r="BB2632" s="173"/>
      <c r="BC2632" s="173"/>
    </row>
    <row r="2633" spans="2:55" s="134" customFormat="1" x14ac:dyDescent="0.2">
      <c r="B2633" s="145"/>
      <c r="D2633" s="145"/>
      <c r="Z2633" s="177"/>
      <c r="AA2633" s="178"/>
      <c r="AB2633" s="139"/>
      <c r="AC2633" s="173"/>
      <c r="AD2633" s="177"/>
      <c r="AE2633" s="177"/>
      <c r="AF2633" s="139"/>
      <c r="AG2633" s="139"/>
      <c r="AH2633" s="177"/>
      <c r="AI2633" s="178"/>
      <c r="AJ2633" s="139"/>
      <c r="AK2633" s="173"/>
      <c r="AL2633" s="177"/>
      <c r="AM2633" s="178"/>
      <c r="AN2633" s="173"/>
      <c r="AO2633" s="173"/>
      <c r="AP2633" s="173"/>
      <c r="AQ2633" s="178"/>
      <c r="AR2633" s="173"/>
      <c r="AS2633" s="173"/>
      <c r="AT2633" s="140"/>
      <c r="AX2633" s="140"/>
      <c r="BB2633" s="173"/>
      <c r="BC2633" s="173"/>
    </row>
    <row r="2634" spans="2:55" s="134" customFormat="1" x14ac:dyDescent="0.2">
      <c r="B2634" s="145"/>
      <c r="D2634" s="145"/>
      <c r="Z2634" s="177"/>
      <c r="AA2634" s="178"/>
      <c r="AB2634" s="139"/>
      <c r="AC2634" s="173"/>
      <c r="AD2634" s="177"/>
      <c r="AE2634" s="177"/>
      <c r="AF2634" s="139"/>
      <c r="AG2634" s="139"/>
      <c r="AH2634" s="177"/>
      <c r="AI2634" s="178"/>
      <c r="AJ2634" s="139"/>
      <c r="AK2634" s="173"/>
      <c r="AL2634" s="177"/>
      <c r="AM2634" s="178"/>
      <c r="AN2634" s="173"/>
      <c r="AO2634" s="173"/>
      <c r="AP2634" s="173"/>
      <c r="AQ2634" s="178"/>
      <c r="AR2634" s="173"/>
      <c r="AS2634" s="173"/>
      <c r="AT2634" s="140"/>
      <c r="AX2634" s="140"/>
      <c r="BB2634" s="173"/>
      <c r="BC2634" s="173"/>
    </row>
    <row r="2635" spans="2:55" s="134" customFormat="1" x14ac:dyDescent="0.2">
      <c r="B2635" s="145"/>
      <c r="D2635" s="145"/>
      <c r="Z2635" s="177"/>
      <c r="AA2635" s="178"/>
      <c r="AB2635" s="139"/>
      <c r="AC2635" s="173"/>
      <c r="AD2635" s="177"/>
      <c r="AE2635" s="177"/>
      <c r="AF2635" s="139"/>
      <c r="AG2635" s="139"/>
      <c r="AH2635" s="177"/>
      <c r="AI2635" s="178"/>
      <c r="AJ2635" s="139"/>
      <c r="AK2635" s="173"/>
      <c r="AL2635" s="177"/>
      <c r="AM2635" s="178"/>
      <c r="AN2635" s="173"/>
      <c r="AO2635" s="173"/>
      <c r="AP2635" s="173"/>
      <c r="AQ2635" s="178"/>
      <c r="AR2635" s="173"/>
      <c r="AS2635" s="173"/>
      <c r="AT2635" s="140"/>
      <c r="AX2635" s="140"/>
      <c r="BB2635" s="173"/>
      <c r="BC2635" s="173"/>
    </row>
    <row r="2636" spans="2:55" s="134" customFormat="1" x14ac:dyDescent="0.2">
      <c r="B2636" s="145"/>
      <c r="D2636" s="145"/>
      <c r="Z2636" s="177"/>
      <c r="AA2636" s="178"/>
      <c r="AB2636" s="139"/>
      <c r="AC2636" s="173"/>
      <c r="AD2636" s="177"/>
      <c r="AE2636" s="177"/>
      <c r="AF2636" s="139"/>
      <c r="AG2636" s="139"/>
      <c r="AH2636" s="177"/>
      <c r="AI2636" s="178"/>
      <c r="AJ2636" s="139"/>
      <c r="AK2636" s="173"/>
      <c r="AL2636" s="177"/>
      <c r="AM2636" s="178"/>
      <c r="AN2636" s="173"/>
      <c r="AO2636" s="173"/>
      <c r="AP2636" s="173"/>
      <c r="AQ2636" s="178"/>
      <c r="AR2636" s="173"/>
      <c r="AS2636" s="173"/>
      <c r="AT2636" s="140"/>
      <c r="AX2636" s="140"/>
      <c r="BB2636" s="173"/>
      <c r="BC2636" s="173"/>
    </row>
    <row r="2637" spans="2:55" s="134" customFormat="1" x14ac:dyDescent="0.2">
      <c r="B2637" s="145"/>
      <c r="D2637" s="145"/>
      <c r="Z2637" s="177"/>
      <c r="AA2637" s="178"/>
      <c r="AB2637" s="139"/>
      <c r="AC2637" s="173"/>
      <c r="AD2637" s="177"/>
      <c r="AE2637" s="177"/>
      <c r="AF2637" s="139"/>
      <c r="AG2637" s="139"/>
      <c r="AH2637" s="177"/>
      <c r="AI2637" s="178"/>
      <c r="AJ2637" s="139"/>
      <c r="AK2637" s="173"/>
      <c r="AL2637" s="177"/>
      <c r="AM2637" s="178"/>
      <c r="AN2637" s="173"/>
      <c r="AO2637" s="173"/>
      <c r="AP2637" s="173"/>
      <c r="AQ2637" s="178"/>
      <c r="AR2637" s="173"/>
      <c r="AS2637" s="173"/>
      <c r="AT2637" s="140"/>
      <c r="AX2637" s="140"/>
      <c r="BB2637" s="173"/>
      <c r="BC2637" s="173"/>
    </row>
    <row r="2638" spans="2:55" s="134" customFormat="1" x14ac:dyDescent="0.2">
      <c r="B2638" s="145"/>
      <c r="D2638" s="145"/>
      <c r="Z2638" s="177"/>
      <c r="AA2638" s="178"/>
      <c r="AB2638" s="139"/>
      <c r="AC2638" s="173"/>
      <c r="AD2638" s="177"/>
      <c r="AE2638" s="177"/>
      <c r="AF2638" s="139"/>
      <c r="AG2638" s="139"/>
      <c r="AH2638" s="177"/>
      <c r="AI2638" s="178"/>
      <c r="AJ2638" s="139"/>
      <c r="AK2638" s="173"/>
      <c r="AL2638" s="177"/>
      <c r="AM2638" s="178"/>
      <c r="AN2638" s="173"/>
      <c r="AO2638" s="173"/>
      <c r="AP2638" s="173"/>
      <c r="AQ2638" s="178"/>
      <c r="AR2638" s="173"/>
      <c r="AS2638" s="173"/>
      <c r="AT2638" s="140"/>
      <c r="AX2638" s="140"/>
      <c r="BB2638" s="173"/>
      <c r="BC2638" s="173"/>
    </row>
    <row r="2639" spans="2:55" s="134" customFormat="1" x14ac:dyDescent="0.2">
      <c r="B2639" s="145"/>
      <c r="D2639" s="145"/>
      <c r="Z2639" s="177"/>
      <c r="AA2639" s="178"/>
      <c r="AB2639" s="139"/>
      <c r="AC2639" s="173"/>
      <c r="AD2639" s="177"/>
      <c r="AE2639" s="177"/>
      <c r="AF2639" s="139"/>
      <c r="AG2639" s="139"/>
      <c r="AH2639" s="177"/>
      <c r="AI2639" s="178"/>
      <c r="AJ2639" s="139"/>
      <c r="AK2639" s="173"/>
      <c r="AL2639" s="177"/>
      <c r="AM2639" s="178"/>
      <c r="AN2639" s="173"/>
      <c r="AO2639" s="173"/>
      <c r="AP2639" s="173"/>
      <c r="AQ2639" s="178"/>
      <c r="AR2639" s="173"/>
      <c r="AS2639" s="173"/>
      <c r="AT2639" s="140"/>
      <c r="AX2639" s="140"/>
      <c r="BB2639" s="173"/>
      <c r="BC2639" s="173"/>
    </row>
    <row r="2640" spans="2:55" s="134" customFormat="1" x14ac:dyDescent="0.2">
      <c r="B2640" s="145"/>
      <c r="D2640" s="145"/>
      <c r="Z2640" s="177"/>
      <c r="AA2640" s="178"/>
      <c r="AB2640" s="139"/>
      <c r="AC2640" s="173"/>
      <c r="AD2640" s="177"/>
      <c r="AE2640" s="177"/>
      <c r="AF2640" s="139"/>
      <c r="AG2640" s="139"/>
      <c r="AH2640" s="177"/>
      <c r="AI2640" s="178"/>
      <c r="AJ2640" s="139"/>
      <c r="AK2640" s="173"/>
      <c r="AL2640" s="177"/>
      <c r="AM2640" s="178"/>
      <c r="AN2640" s="173"/>
      <c r="AO2640" s="173"/>
      <c r="AP2640" s="173"/>
      <c r="AQ2640" s="178"/>
      <c r="AR2640" s="173"/>
      <c r="AS2640" s="173"/>
      <c r="AT2640" s="140"/>
      <c r="AX2640" s="140"/>
      <c r="BB2640" s="173"/>
      <c r="BC2640" s="173"/>
    </row>
    <row r="2641" spans="2:55" s="134" customFormat="1" x14ac:dyDescent="0.2">
      <c r="B2641" s="145"/>
      <c r="D2641" s="145"/>
      <c r="Z2641" s="177"/>
      <c r="AA2641" s="178"/>
      <c r="AB2641" s="139"/>
      <c r="AC2641" s="173"/>
      <c r="AD2641" s="177"/>
      <c r="AE2641" s="177"/>
      <c r="AF2641" s="139"/>
      <c r="AG2641" s="139"/>
      <c r="AH2641" s="177"/>
      <c r="AI2641" s="178"/>
      <c r="AJ2641" s="139"/>
      <c r="AK2641" s="173"/>
      <c r="AL2641" s="177"/>
      <c r="AM2641" s="178"/>
      <c r="AN2641" s="173"/>
      <c r="AO2641" s="173"/>
      <c r="AP2641" s="173"/>
      <c r="AQ2641" s="178"/>
      <c r="AR2641" s="173"/>
      <c r="AS2641" s="173"/>
      <c r="AT2641" s="140"/>
      <c r="AX2641" s="140"/>
      <c r="BB2641" s="173"/>
      <c r="BC2641" s="173"/>
    </row>
    <row r="2642" spans="2:55" s="134" customFormat="1" x14ac:dyDescent="0.2">
      <c r="B2642" s="145"/>
      <c r="D2642" s="145"/>
      <c r="Z2642" s="177"/>
      <c r="AA2642" s="178"/>
      <c r="AB2642" s="139"/>
      <c r="AC2642" s="173"/>
      <c r="AD2642" s="177"/>
      <c r="AE2642" s="177"/>
      <c r="AF2642" s="139"/>
      <c r="AG2642" s="139"/>
      <c r="AH2642" s="177"/>
      <c r="AI2642" s="178"/>
      <c r="AJ2642" s="139"/>
      <c r="AK2642" s="173"/>
      <c r="AL2642" s="177"/>
      <c r="AM2642" s="178"/>
      <c r="AN2642" s="173"/>
      <c r="AO2642" s="173"/>
      <c r="AP2642" s="173"/>
      <c r="AQ2642" s="178"/>
      <c r="AR2642" s="173"/>
      <c r="AS2642" s="173"/>
      <c r="AT2642" s="140"/>
      <c r="AX2642" s="140"/>
      <c r="BB2642" s="173"/>
      <c r="BC2642" s="173"/>
    </row>
    <row r="2643" spans="2:55" s="134" customFormat="1" x14ac:dyDescent="0.2">
      <c r="B2643" s="145"/>
      <c r="D2643" s="145"/>
      <c r="Z2643" s="177"/>
      <c r="AA2643" s="178"/>
      <c r="AB2643" s="139"/>
      <c r="AC2643" s="173"/>
      <c r="AD2643" s="177"/>
      <c r="AE2643" s="177"/>
      <c r="AF2643" s="139"/>
      <c r="AG2643" s="139"/>
      <c r="AH2643" s="177"/>
      <c r="AI2643" s="178"/>
      <c r="AJ2643" s="139"/>
      <c r="AK2643" s="173"/>
      <c r="AL2643" s="177"/>
      <c r="AM2643" s="178"/>
      <c r="AN2643" s="173"/>
      <c r="AO2643" s="173"/>
      <c r="AP2643" s="173"/>
      <c r="AQ2643" s="178"/>
      <c r="AR2643" s="173"/>
      <c r="AS2643" s="173"/>
      <c r="AT2643" s="140"/>
      <c r="AX2643" s="140"/>
      <c r="BB2643" s="173"/>
      <c r="BC2643" s="173"/>
    </row>
    <row r="2644" spans="2:55" s="134" customFormat="1" x14ac:dyDescent="0.2">
      <c r="B2644" s="145"/>
      <c r="D2644" s="145"/>
      <c r="Z2644" s="177"/>
      <c r="AA2644" s="178"/>
      <c r="AB2644" s="139"/>
      <c r="AC2644" s="173"/>
      <c r="AD2644" s="177"/>
      <c r="AE2644" s="177"/>
      <c r="AF2644" s="139"/>
      <c r="AG2644" s="139"/>
      <c r="AH2644" s="177"/>
      <c r="AI2644" s="178"/>
      <c r="AJ2644" s="139"/>
      <c r="AK2644" s="173"/>
      <c r="AL2644" s="177"/>
      <c r="AM2644" s="178"/>
      <c r="AN2644" s="173"/>
      <c r="AO2644" s="173"/>
      <c r="AP2644" s="173"/>
      <c r="AQ2644" s="178"/>
      <c r="AR2644" s="173"/>
      <c r="AS2644" s="173"/>
      <c r="AT2644" s="140"/>
      <c r="AX2644" s="140"/>
      <c r="BB2644" s="173"/>
      <c r="BC2644" s="173"/>
    </row>
    <row r="2645" spans="2:55" s="134" customFormat="1" x14ac:dyDescent="0.2">
      <c r="B2645" s="145"/>
      <c r="D2645" s="145"/>
      <c r="Z2645" s="177"/>
      <c r="AA2645" s="178"/>
      <c r="AB2645" s="139"/>
      <c r="AC2645" s="173"/>
      <c r="AD2645" s="177"/>
      <c r="AE2645" s="177"/>
      <c r="AF2645" s="139"/>
      <c r="AG2645" s="139"/>
      <c r="AH2645" s="177"/>
      <c r="AI2645" s="178"/>
      <c r="AJ2645" s="139"/>
      <c r="AK2645" s="173"/>
      <c r="AL2645" s="177"/>
      <c r="AM2645" s="178"/>
      <c r="AN2645" s="173"/>
      <c r="AO2645" s="173"/>
      <c r="AP2645" s="173"/>
      <c r="AQ2645" s="178"/>
      <c r="AR2645" s="173"/>
      <c r="AS2645" s="173"/>
      <c r="AT2645" s="140"/>
      <c r="AX2645" s="140"/>
      <c r="BB2645" s="173"/>
      <c r="BC2645" s="173"/>
    </row>
    <row r="2646" spans="2:55" s="134" customFormat="1" x14ac:dyDescent="0.2">
      <c r="B2646" s="145"/>
      <c r="D2646" s="145"/>
      <c r="Z2646" s="177"/>
      <c r="AA2646" s="178"/>
      <c r="AB2646" s="139"/>
      <c r="AC2646" s="173"/>
      <c r="AD2646" s="177"/>
      <c r="AE2646" s="177"/>
      <c r="AF2646" s="139"/>
      <c r="AG2646" s="139"/>
      <c r="AH2646" s="177"/>
      <c r="AI2646" s="178"/>
      <c r="AJ2646" s="139"/>
      <c r="AK2646" s="173"/>
      <c r="AL2646" s="177"/>
      <c r="AM2646" s="178"/>
      <c r="AN2646" s="173"/>
      <c r="AO2646" s="173"/>
      <c r="AP2646" s="173"/>
      <c r="AQ2646" s="178"/>
      <c r="AR2646" s="173"/>
      <c r="AS2646" s="173"/>
      <c r="AT2646" s="140"/>
      <c r="AX2646" s="140"/>
      <c r="BB2646" s="173"/>
      <c r="BC2646" s="173"/>
    </row>
    <row r="2647" spans="2:55" s="134" customFormat="1" x14ac:dyDescent="0.2">
      <c r="B2647" s="145"/>
      <c r="D2647" s="145"/>
      <c r="Z2647" s="177"/>
      <c r="AA2647" s="178"/>
      <c r="AB2647" s="139"/>
      <c r="AC2647" s="173"/>
      <c r="AD2647" s="177"/>
      <c r="AE2647" s="177"/>
      <c r="AF2647" s="139"/>
      <c r="AG2647" s="139"/>
      <c r="AH2647" s="177"/>
      <c r="AI2647" s="178"/>
      <c r="AJ2647" s="139"/>
      <c r="AK2647" s="173"/>
      <c r="AL2647" s="177"/>
      <c r="AM2647" s="178"/>
      <c r="AN2647" s="173"/>
      <c r="AO2647" s="173"/>
      <c r="AP2647" s="173"/>
      <c r="AQ2647" s="178"/>
      <c r="AR2647" s="173"/>
      <c r="AS2647" s="173"/>
      <c r="AT2647" s="140"/>
      <c r="AX2647" s="140"/>
      <c r="BB2647" s="173"/>
      <c r="BC2647" s="173"/>
    </row>
    <row r="2648" spans="2:55" s="134" customFormat="1" x14ac:dyDescent="0.2">
      <c r="B2648" s="145"/>
      <c r="D2648" s="145"/>
      <c r="Z2648" s="177"/>
      <c r="AA2648" s="178"/>
      <c r="AB2648" s="139"/>
      <c r="AC2648" s="173"/>
      <c r="AD2648" s="177"/>
      <c r="AE2648" s="177"/>
      <c r="AF2648" s="139"/>
      <c r="AG2648" s="139"/>
      <c r="AH2648" s="177"/>
      <c r="AI2648" s="178"/>
      <c r="AJ2648" s="139"/>
      <c r="AK2648" s="173"/>
      <c r="AL2648" s="177"/>
      <c r="AM2648" s="178"/>
      <c r="AN2648" s="173"/>
      <c r="AO2648" s="173"/>
      <c r="AP2648" s="173"/>
      <c r="AQ2648" s="178"/>
      <c r="AR2648" s="173"/>
      <c r="AS2648" s="173"/>
      <c r="AT2648" s="140"/>
      <c r="AX2648" s="140"/>
      <c r="BB2648" s="173"/>
      <c r="BC2648" s="173"/>
    </row>
    <row r="2649" spans="2:55" s="134" customFormat="1" x14ac:dyDescent="0.2">
      <c r="B2649" s="145"/>
      <c r="D2649" s="145"/>
      <c r="Z2649" s="177"/>
      <c r="AA2649" s="178"/>
      <c r="AB2649" s="139"/>
      <c r="AC2649" s="173"/>
      <c r="AD2649" s="177"/>
      <c r="AE2649" s="177"/>
      <c r="AF2649" s="139"/>
      <c r="AG2649" s="139"/>
      <c r="AH2649" s="177"/>
      <c r="AI2649" s="178"/>
      <c r="AJ2649" s="139"/>
      <c r="AK2649" s="173"/>
      <c r="AL2649" s="177"/>
      <c r="AM2649" s="178"/>
      <c r="AN2649" s="173"/>
      <c r="AO2649" s="173"/>
      <c r="AP2649" s="173"/>
      <c r="AQ2649" s="178"/>
      <c r="AR2649" s="173"/>
      <c r="AS2649" s="173"/>
      <c r="AT2649" s="140"/>
      <c r="AX2649" s="140"/>
      <c r="BB2649" s="173"/>
      <c r="BC2649" s="173"/>
    </row>
    <row r="2650" spans="2:55" s="134" customFormat="1" x14ac:dyDescent="0.2">
      <c r="B2650" s="145"/>
      <c r="D2650" s="145"/>
      <c r="Z2650" s="177"/>
      <c r="AA2650" s="178"/>
      <c r="AB2650" s="139"/>
      <c r="AC2650" s="173"/>
      <c r="AD2650" s="177"/>
      <c r="AE2650" s="177"/>
      <c r="AF2650" s="139"/>
      <c r="AG2650" s="139"/>
      <c r="AH2650" s="177"/>
      <c r="AI2650" s="178"/>
      <c r="AJ2650" s="139"/>
      <c r="AK2650" s="173"/>
      <c r="AL2650" s="177"/>
      <c r="AM2650" s="178"/>
      <c r="AN2650" s="173"/>
      <c r="AO2650" s="173"/>
      <c r="AP2650" s="173"/>
      <c r="AQ2650" s="178"/>
      <c r="AR2650" s="173"/>
      <c r="AS2650" s="173"/>
      <c r="AT2650" s="140"/>
      <c r="AX2650" s="140"/>
      <c r="BB2650" s="173"/>
      <c r="BC2650" s="173"/>
    </row>
    <row r="2651" spans="2:55" s="134" customFormat="1" x14ac:dyDescent="0.2">
      <c r="B2651" s="145"/>
      <c r="D2651" s="145"/>
      <c r="Z2651" s="177"/>
      <c r="AA2651" s="178"/>
      <c r="AB2651" s="139"/>
      <c r="AC2651" s="173"/>
      <c r="AD2651" s="177"/>
      <c r="AE2651" s="177"/>
      <c r="AF2651" s="139"/>
      <c r="AG2651" s="139"/>
      <c r="AH2651" s="177"/>
      <c r="AI2651" s="178"/>
      <c r="AJ2651" s="139"/>
      <c r="AK2651" s="173"/>
      <c r="AL2651" s="177"/>
      <c r="AM2651" s="178"/>
      <c r="AN2651" s="173"/>
      <c r="AO2651" s="173"/>
      <c r="AP2651" s="173"/>
      <c r="AQ2651" s="178"/>
      <c r="AR2651" s="173"/>
      <c r="AS2651" s="173"/>
      <c r="AT2651" s="140"/>
      <c r="AX2651" s="140"/>
      <c r="BB2651" s="173"/>
      <c r="BC2651" s="173"/>
    </row>
    <row r="2652" spans="2:55" s="134" customFormat="1" x14ac:dyDescent="0.2">
      <c r="B2652" s="145"/>
      <c r="D2652" s="145"/>
      <c r="Z2652" s="177"/>
      <c r="AA2652" s="178"/>
      <c r="AB2652" s="139"/>
      <c r="AC2652" s="173"/>
      <c r="AD2652" s="177"/>
      <c r="AE2652" s="177"/>
      <c r="AF2652" s="139"/>
      <c r="AG2652" s="139"/>
      <c r="AH2652" s="177"/>
      <c r="AI2652" s="178"/>
      <c r="AJ2652" s="139"/>
      <c r="AK2652" s="173"/>
      <c r="AL2652" s="177"/>
      <c r="AM2652" s="178"/>
      <c r="AN2652" s="173"/>
      <c r="AO2652" s="173"/>
      <c r="AP2652" s="173"/>
      <c r="AQ2652" s="178"/>
      <c r="AR2652" s="173"/>
      <c r="AS2652" s="173"/>
      <c r="AT2652" s="140"/>
      <c r="AX2652" s="140"/>
      <c r="BB2652" s="173"/>
      <c r="BC2652" s="173"/>
    </row>
    <row r="2653" spans="2:55" s="134" customFormat="1" x14ac:dyDescent="0.2">
      <c r="B2653" s="145"/>
      <c r="D2653" s="145"/>
      <c r="Z2653" s="177"/>
      <c r="AA2653" s="178"/>
      <c r="AB2653" s="139"/>
      <c r="AC2653" s="173"/>
      <c r="AD2653" s="177"/>
      <c r="AE2653" s="177"/>
      <c r="AF2653" s="139"/>
      <c r="AG2653" s="139"/>
      <c r="AH2653" s="177"/>
      <c r="AI2653" s="178"/>
      <c r="AJ2653" s="139"/>
      <c r="AK2653" s="173"/>
      <c r="AL2653" s="177"/>
      <c r="AM2653" s="178"/>
      <c r="AN2653" s="173"/>
      <c r="AO2653" s="173"/>
      <c r="AP2653" s="173"/>
      <c r="AQ2653" s="178"/>
      <c r="AR2653" s="173"/>
      <c r="AS2653" s="173"/>
      <c r="AT2653" s="140"/>
      <c r="AX2653" s="140"/>
      <c r="BB2653" s="173"/>
      <c r="BC2653" s="173"/>
    </row>
    <row r="2654" spans="2:55" s="134" customFormat="1" x14ac:dyDescent="0.2">
      <c r="B2654" s="145"/>
      <c r="D2654" s="145"/>
      <c r="Z2654" s="177"/>
      <c r="AA2654" s="178"/>
      <c r="AB2654" s="139"/>
      <c r="AC2654" s="173"/>
      <c r="AD2654" s="177"/>
      <c r="AE2654" s="177"/>
      <c r="AF2654" s="139"/>
      <c r="AG2654" s="139"/>
      <c r="AH2654" s="177"/>
      <c r="AI2654" s="178"/>
      <c r="AJ2654" s="139"/>
      <c r="AK2654" s="173"/>
      <c r="AL2654" s="177"/>
      <c r="AM2654" s="178"/>
      <c r="AN2654" s="173"/>
      <c r="AO2654" s="173"/>
      <c r="AP2654" s="173"/>
      <c r="AQ2654" s="178"/>
      <c r="AR2654" s="173"/>
      <c r="AS2654" s="173"/>
      <c r="AT2654" s="140"/>
      <c r="AX2654" s="140"/>
      <c r="BB2654" s="173"/>
      <c r="BC2654" s="173"/>
    </row>
    <row r="2655" spans="2:55" s="134" customFormat="1" x14ac:dyDescent="0.2">
      <c r="B2655" s="145"/>
      <c r="D2655" s="145"/>
      <c r="Z2655" s="177"/>
      <c r="AA2655" s="178"/>
      <c r="AB2655" s="139"/>
      <c r="AC2655" s="173"/>
      <c r="AD2655" s="177"/>
      <c r="AE2655" s="177"/>
      <c r="AF2655" s="139"/>
      <c r="AG2655" s="139"/>
      <c r="AH2655" s="177"/>
      <c r="AI2655" s="178"/>
      <c r="AJ2655" s="139"/>
      <c r="AK2655" s="173"/>
      <c r="AL2655" s="177"/>
      <c r="AM2655" s="178"/>
      <c r="AN2655" s="173"/>
      <c r="AO2655" s="173"/>
      <c r="AP2655" s="173"/>
      <c r="AQ2655" s="178"/>
      <c r="AR2655" s="173"/>
      <c r="AS2655" s="173"/>
      <c r="AT2655" s="140"/>
      <c r="AX2655" s="140"/>
      <c r="BB2655" s="173"/>
      <c r="BC2655" s="173"/>
    </row>
    <row r="2656" spans="2:55" s="134" customFormat="1" x14ac:dyDescent="0.2">
      <c r="B2656" s="145"/>
      <c r="D2656" s="145"/>
      <c r="Z2656" s="177"/>
      <c r="AA2656" s="178"/>
      <c r="AB2656" s="139"/>
      <c r="AC2656" s="173"/>
      <c r="AD2656" s="177"/>
      <c r="AE2656" s="177"/>
      <c r="AF2656" s="139"/>
      <c r="AG2656" s="139"/>
      <c r="AH2656" s="177"/>
      <c r="AI2656" s="178"/>
      <c r="AJ2656" s="139"/>
      <c r="AK2656" s="173"/>
      <c r="AL2656" s="177"/>
      <c r="AM2656" s="178"/>
      <c r="AN2656" s="173"/>
      <c r="AO2656" s="173"/>
      <c r="AP2656" s="173"/>
      <c r="AQ2656" s="178"/>
      <c r="AR2656" s="173"/>
      <c r="AS2656" s="173"/>
      <c r="AT2656" s="140"/>
      <c r="AX2656" s="140"/>
      <c r="BB2656" s="173"/>
      <c r="BC2656" s="173"/>
    </row>
    <row r="2657" spans="2:55" s="134" customFormat="1" x14ac:dyDescent="0.2">
      <c r="B2657" s="145"/>
      <c r="D2657" s="145"/>
      <c r="Z2657" s="177"/>
      <c r="AA2657" s="178"/>
      <c r="AB2657" s="139"/>
      <c r="AC2657" s="173"/>
      <c r="AD2657" s="177"/>
      <c r="AE2657" s="177"/>
      <c r="AF2657" s="139"/>
      <c r="AG2657" s="139"/>
      <c r="AH2657" s="177"/>
      <c r="AI2657" s="178"/>
      <c r="AJ2657" s="139"/>
      <c r="AK2657" s="173"/>
      <c r="AL2657" s="177"/>
      <c r="AM2657" s="178"/>
      <c r="AN2657" s="173"/>
      <c r="AO2657" s="173"/>
      <c r="AP2657" s="173"/>
      <c r="AQ2657" s="178"/>
      <c r="AR2657" s="173"/>
      <c r="AS2657" s="173"/>
      <c r="AT2657" s="140"/>
      <c r="AX2657" s="140"/>
      <c r="BB2657" s="173"/>
      <c r="BC2657" s="173"/>
    </row>
    <row r="2658" spans="2:55" s="134" customFormat="1" x14ac:dyDescent="0.2">
      <c r="B2658" s="145"/>
      <c r="D2658" s="145"/>
      <c r="Z2658" s="177"/>
      <c r="AA2658" s="178"/>
      <c r="AB2658" s="139"/>
      <c r="AC2658" s="173"/>
      <c r="AD2658" s="177"/>
      <c r="AE2658" s="177"/>
      <c r="AF2658" s="139"/>
      <c r="AG2658" s="139"/>
      <c r="AH2658" s="177"/>
      <c r="AI2658" s="178"/>
      <c r="AJ2658" s="139"/>
      <c r="AK2658" s="173"/>
      <c r="AL2658" s="177"/>
      <c r="AM2658" s="178"/>
      <c r="AN2658" s="173"/>
      <c r="AO2658" s="173"/>
      <c r="AP2658" s="173"/>
      <c r="AQ2658" s="178"/>
      <c r="AR2658" s="173"/>
      <c r="AS2658" s="173"/>
      <c r="AT2658" s="140"/>
      <c r="AX2658" s="140"/>
      <c r="BB2658" s="173"/>
      <c r="BC2658" s="173"/>
    </row>
    <row r="2659" spans="2:55" s="134" customFormat="1" x14ac:dyDescent="0.2">
      <c r="B2659" s="145"/>
      <c r="D2659" s="145"/>
      <c r="Z2659" s="177"/>
      <c r="AA2659" s="178"/>
      <c r="AB2659" s="139"/>
      <c r="AC2659" s="173"/>
      <c r="AD2659" s="177"/>
      <c r="AE2659" s="177"/>
      <c r="AF2659" s="139"/>
      <c r="AG2659" s="139"/>
      <c r="AH2659" s="177"/>
      <c r="AI2659" s="178"/>
      <c r="AJ2659" s="139"/>
      <c r="AK2659" s="173"/>
      <c r="AL2659" s="177"/>
      <c r="AM2659" s="178"/>
      <c r="AN2659" s="173"/>
      <c r="AO2659" s="173"/>
      <c r="AP2659" s="173"/>
      <c r="AQ2659" s="178"/>
      <c r="AR2659" s="173"/>
      <c r="AS2659" s="173"/>
      <c r="AT2659" s="140"/>
      <c r="AX2659" s="140"/>
      <c r="BB2659" s="173"/>
      <c r="BC2659" s="173"/>
    </row>
    <row r="2660" spans="2:55" s="134" customFormat="1" x14ac:dyDescent="0.2">
      <c r="B2660" s="145"/>
      <c r="D2660" s="145"/>
      <c r="Z2660" s="177"/>
      <c r="AA2660" s="178"/>
      <c r="AB2660" s="139"/>
      <c r="AC2660" s="173"/>
      <c r="AD2660" s="177"/>
      <c r="AE2660" s="177"/>
      <c r="AF2660" s="139"/>
      <c r="AG2660" s="139"/>
      <c r="AH2660" s="177"/>
      <c r="AI2660" s="178"/>
      <c r="AJ2660" s="139"/>
      <c r="AK2660" s="173"/>
      <c r="AL2660" s="177"/>
      <c r="AM2660" s="178"/>
      <c r="AN2660" s="173"/>
      <c r="AO2660" s="173"/>
      <c r="AP2660" s="173"/>
      <c r="AQ2660" s="178"/>
      <c r="AR2660" s="173"/>
      <c r="AS2660" s="173"/>
      <c r="AT2660" s="140"/>
      <c r="AX2660" s="140"/>
      <c r="BB2660" s="173"/>
      <c r="BC2660" s="173"/>
    </row>
    <row r="2661" spans="2:55" s="134" customFormat="1" x14ac:dyDescent="0.2">
      <c r="B2661" s="145"/>
      <c r="D2661" s="145"/>
      <c r="Z2661" s="177"/>
      <c r="AA2661" s="178"/>
      <c r="AB2661" s="139"/>
      <c r="AC2661" s="173"/>
      <c r="AD2661" s="177"/>
      <c r="AE2661" s="177"/>
      <c r="AF2661" s="139"/>
      <c r="AG2661" s="139"/>
      <c r="AH2661" s="177"/>
      <c r="AI2661" s="178"/>
      <c r="AJ2661" s="139"/>
      <c r="AK2661" s="173"/>
      <c r="AL2661" s="177"/>
      <c r="AM2661" s="178"/>
      <c r="AN2661" s="173"/>
      <c r="AO2661" s="173"/>
      <c r="AP2661" s="173"/>
      <c r="AQ2661" s="178"/>
      <c r="AR2661" s="173"/>
      <c r="AS2661" s="173"/>
      <c r="AT2661" s="140"/>
      <c r="AX2661" s="140"/>
      <c r="BB2661" s="173"/>
      <c r="BC2661" s="173"/>
    </row>
    <row r="2662" spans="2:55" s="134" customFormat="1" x14ac:dyDescent="0.2">
      <c r="B2662" s="145"/>
      <c r="D2662" s="145"/>
      <c r="Z2662" s="177"/>
      <c r="AA2662" s="178"/>
      <c r="AB2662" s="139"/>
      <c r="AC2662" s="173"/>
      <c r="AD2662" s="177"/>
      <c r="AE2662" s="177"/>
      <c r="AF2662" s="139"/>
      <c r="AG2662" s="139"/>
      <c r="AH2662" s="177"/>
      <c r="AI2662" s="178"/>
      <c r="AJ2662" s="139"/>
      <c r="AK2662" s="173"/>
      <c r="AL2662" s="177"/>
      <c r="AM2662" s="178"/>
      <c r="AN2662" s="173"/>
      <c r="AO2662" s="173"/>
      <c r="AP2662" s="173"/>
      <c r="AQ2662" s="178"/>
      <c r="AR2662" s="173"/>
      <c r="AS2662" s="173"/>
      <c r="AT2662" s="140"/>
      <c r="AX2662" s="140"/>
      <c r="BB2662" s="173"/>
      <c r="BC2662" s="173"/>
    </row>
    <row r="2663" spans="2:55" s="134" customFormat="1" x14ac:dyDescent="0.2">
      <c r="B2663" s="145"/>
      <c r="D2663" s="145"/>
      <c r="Z2663" s="177"/>
      <c r="AA2663" s="178"/>
      <c r="AB2663" s="139"/>
      <c r="AC2663" s="173"/>
      <c r="AD2663" s="177"/>
      <c r="AE2663" s="177"/>
      <c r="AF2663" s="139"/>
      <c r="AG2663" s="139"/>
      <c r="AH2663" s="177"/>
      <c r="AI2663" s="178"/>
      <c r="AJ2663" s="139"/>
      <c r="AK2663" s="173"/>
      <c r="AL2663" s="177"/>
      <c r="AM2663" s="178"/>
      <c r="AN2663" s="173"/>
      <c r="AO2663" s="173"/>
      <c r="AP2663" s="173"/>
      <c r="AQ2663" s="178"/>
      <c r="AR2663" s="173"/>
      <c r="AS2663" s="173"/>
      <c r="AT2663" s="140"/>
      <c r="AX2663" s="140"/>
      <c r="BB2663" s="173"/>
      <c r="BC2663" s="173"/>
    </row>
    <row r="2664" spans="2:55" s="134" customFormat="1" x14ac:dyDescent="0.2">
      <c r="B2664" s="145"/>
      <c r="D2664" s="145"/>
      <c r="Z2664" s="177"/>
      <c r="AA2664" s="178"/>
      <c r="AB2664" s="139"/>
      <c r="AC2664" s="173"/>
      <c r="AD2664" s="177"/>
      <c r="AE2664" s="177"/>
      <c r="AF2664" s="139"/>
      <c r="AG2664" s="139"/>
      <c r="AH2664" s="177"/>
      <c r="AI2664" s="178"/>
      <c r="AJ2664" s="139"/>
      <c r="AK2664" s="173"/>
      <c r="AL2664" s="177"/>
      <c r="AM2664" s="178"/>
      <c r="AN2664" s="173"/>
      <c r="AO2664" s="173"/>
      <c r="AP2664" s="173"/>
      <c r="AQ2664" s="178"/>
      <c r="AR2664" s="173"/>
      <c r="AS2664" s="173"/>
      <c r="AT2664" s="140"/>
      <c r="AX2664" s="140"/>
      <c r="BB2664" s="173"/>
      <c r="BC2664" s="173"/>
    </row>
    <row r="2665" spans="2:55" s="134" customFormat="1" x14ac:dyDescent="0.2">
      <c r="B2665" s="145"/>
      <c r="D2665" s="145"/>
      <c r="Z2665" s="177"/>
      <c r="AA2665" s="178"/>
      <c r="AB2665" s="139"/>
      <c r="AC2665" s="173"/>
      <c r="AD2665" s="177"/>
      <c r="AE2665" s="177"/>
      <c r="AF2665" s="139"/>
      <c r="AG2665" s="139"/>
      <c r="AH2665" s="177"/>
      <c r="AI2665" s="178"/>
      <c r="AJ2665" s="139"/>
      <c r="AK2665" s="173"/>
      <c r="AL2665" s="177"/>
      <c r="AM2665" s="178"/>
      <c r="AN2665" s="173"/>
      <c r="AO2665" s="173"/>
      <c r="AP2665" s="173"/>
      <c r="AQ2665" s="178"/>
      <c r="AR2665" s="173"/>
      <c r="AS2665" s="173"/>
      <c r="AT2665" s="140"/>
      <c r="AX2665" s="140"/>
      <c r="BB2665" s="173"/>
      <c r="BC2665" s="173"/>
    </row>
    <row r="2666" spans="2:55" s="134" customFormat="1" x14ac:dyDescent="0.2">
      <c r="B2666" s="145"/>
      <c r="D2666" s="145"/>
      <c r="Z2666" s="177"/>
      <c r="AA2666" s="178"/>
      <c r="AB2666" s="139"/>
      <c r="AC2666" s="173"/>
      <c r="AD2666" s="177"/>
      <c r="AE2666" s="177"/>
      <c r="AF2666" s="139"/>
      <c r="AG2666" s="139"/>
      <c r="AH2666" s="177"/>
      <c r="AI2666" s="178"/>
      <c r="AJ2666" s="139"/>
      <c r="AK2666" s="173"/>
      <c r="AL2666" s="177"/>
      <c r="AM2666" s="178"/>
      <c r="AN2666" s="173"/>
      <c r="AO2666" s="173"/>
      <c r="AP2666" s="173"/>
      <c r="AQ2666" s="178"/>
      <c r="AR2666" s="173"/>
      <c r="AS2666" s="173"/>
      <c r="AT2666" s="140"/>
      <c r="AX2666" s="140"/>
      <c r="BB2666" s="173"/>
      <c r="BC2666" s="173"/>
    </row>
    <row r="2667" spans="2:55" s="134" customFormat="1" x14ac:dyDescent="0.2">
      <c r="B2667" s="145"/>
      <c r="D2667" s="145"/>
      <c r="Z2667" s="177"/>
      <c r="AA2667" s="178"/>
      <c r="AB2667" s="139"/>
      <c r="AC2667" s="173"/>
      <c r="AD2667" s="177"/>
      <c r="AE2667" s="177"/>
      <c r="AF2667" s="139"/>
      <c r="AG2667" s="139"/>
      <c r="AH2667" s="177"/>
      <c r="AI2667" s="178"/>
      <c r="AJ2667" s="139"/>
      <c r="AK2667" s="173"/>
      <c r="AL2667" s="177"/>
      <c r="AM2667" s="178"/>
      <c r="AN2667" s="173"/>
      <c r="AO2667" s="173"/>
      <c r="AP2667" s="173"/>
      <c r="AQ2667" s="178"/>
      <c r="AR2667" s="173"/>
      <c r="AS2667" s="173"/>
      <c r="AT2667" s="140"/>
      <c r="AX2667" s="140"/>
      <c r="BB2667" s="173"/>
      <c r="BC2667" s="173"/>
    </row>
    <row r="2668" spans="2:55" s="134" customFormat="1" x14ac:dyDescent="0.2">
      <c r="B2668" s="145"/>
      <c r="D2668" s="145"/>
      <c r="Z2668" s="177"/>
      <c r="AA2668" s="178"/>
      <c r="AB2668" s="139"/>
      <c r="AC2668" s="173"/>
      <c r="AD2668" s="177"/>
      <c r="AE2668" s="177"/>
      <c r="AF2668" s="139"/>
      <c r="AG2668" s="139"/>
      <c r="AH2668" s="177"/>
      <c r="AI2668" s="178"/>
      <c r="AJ2668" s="139"/>
      <c r="AK2668" s="173"/>
      <c r="AL2668" s="177"/>
      <c r="AM2668" s="178"/>
      <c r="AN2668" s="173"/>
      <c r="AO2668" s="173"/>
      <c r="AP2668" s="173"/>
      <c r="AQ2668" s="178"/>
      <c r="AR2668" s="173"/>
      <c r="AS2668" s="173"/>
      <c r="AT2668" s="140"/>
      <c r="AX2668" s="140"/>
      <c r="BB2668" s="173"/>
      <c r="BC2668" s="173"/>
    </row>
    <row r="2669" spans="2:55" s="134" customFormat="1" x14ac:dyDescent="0.2">
      <c r="B2669" s="145"/>
      <c r="D2669" s="145"/>
      <c r="Z2669" s="177"/>
      <c r="AA2669" s="178"/>
      <c r="AB2669" s="139"/>
      <c r="AC2669" s="173"/>
      <c r="AD2669" s="177"/>
      <c r="AE2669" s="177"/>
      <c r="AF2669" s="139"/>
      <c r="AG2669" s="139"/>
      <c r="AH2669" s="177"/>
      <c r="AI2669" s="178"/>
      <c r="AJ2669" s="139"/>
      <c r="AK2669" s="173"/>
      <c r="AL2669" s="177"/>
      <c r="AM2669" s="178"/>
      <c r="AN2669" s="173"/>
      <c r="AO2669" s="173"/>
      <c r="AP2669" s="173"/>
      <c r="AQ2669" s="178"/>
      <c r="AR2669" s="173"/>
      <c r="AS2669" s="173"/>
      <c r="AT2669" s="140"/>
      <c r="AX2669" s="140"/>
      <c r="BB2669" s="173"/>
      <c r="BC2669" s="173"/>
    </row>
    <row r="2670" spans="2:55" s="134" customFormat="1" x14ac:dyDescent="0.2">
      <c r="B2670" s="145"/>
      <c r="D2670" s="145"/>
      <c r="Z2670" s="177"/>
      <c r="AA2670" s="178"/>
      <c r="AB2670" s="139"/>
      <c r="AC2670" s="173"/>
      <c r="AD2670" s="177"/>
      <c r="AE2670" s="177"/>
      <c r="AF2670" s="139"/>
      <c r="AG2670" s="139"/>
      <c r="AH2670" s="177"/>
      <c r="AI2670" s="178"/>
      <c r="AJ2670" s="139"/>
      <c r="AK2670" s="173"/>
      <c r="AL2670" s="177"/>
      <c r="AM2670" s="178"/>
      <c r="AN2670" s="173"/>
      <c r="AO2670" s="173"/>
      <c r="AP2670" s="173"/>
      <c r="AQ2670" s="178"/>
      <c r="AR2670" s="173"/>
      <c r="AS2670" s="173"/>
      <c r="AT2670" s="140"/>
      <c r="AX2670" s="140"/>
      <c r="BB2670" s="173"/>
      <c r="BC2670" s="173"/>
    </row>
    <row r="2671" spans="2:55" s="134" customFormat="1" x14ac:dyDescent="0.2">
      <c r="B2671" s="145"/>
      <c r="D2671" s="145"/>
      <c r="Z2671" s="177"/>
      <c r="AA2671" s="178"/>
      <c r="AB2671" s="139"/>
      <c r="AC2671" s="173"/>
      <c r="AD2671" s="177"/>
      <c r="AE2671" s="177"/>
      <c r="AF2671" s="139"/>
      <c r="AG2671" s="139"/>
      <c r="AH2671" s="177"/>
      <c r="AI2671" s="178"/>
      <c r="AJ2671" s="139"/>
      <c r="AK2671" s="173"/>
      <c r="AL2671" s="177"/>
      <c r="AM2671" s="178"/>
      <c r="AN2671" s="173"/>
      <c r="AO2671" s="173"/>
      <c r="AP2671" s="173"/>
      <c r="AQ2671" s="178"/>
      <c r="AR2671" s="173"/>
      <c r="AS2671" s="173"/>
      <c r="AT2671" s="140"/>
      <c r="AX2671" s="140"/>
      <c r="BB2671" s="173"/>
      <c r="BC2671" s="173"/>
    </row>
    <row r="2672" spans="2:55" s="134" customFormat="1" x14ac:dyDescent="0.2">
      <c r="B2672" s="145"/>
      <c r="D2672" s="145"/>
      <c r="Z2672" s="177"/>
      <c r="AA2672" s="178"/>
      <c r="AB2672" s="139"/>
      <c r="AC2672" s="173"/>
      <c r="AD2672" s="177"/>
      <c r="AE2672" s="177"/>
      <c r="AF2672" s="139"/>
      <c r="AG2672" s="139"/>
      <c r="AH2672" s="177"/>
      <c r="AI2672" s="178"/>
      <c r="AJ2672" s="139"/>
      <c r="AK2672" s="173"/>
      <c r="AL2672" s="177"/>
      <c r="AM2672" s="178"/>
      <c r="AN2672" s="173"/>
      <c r="AO2672" s="173"/>
      <c r="AP2672" s="173"/>
      <c r="AQ2672" s="178"/>
      <c r="AR2672" s="173"/>
      <c r="AS2672" s="173"/>
      <c r="AT2672" s="140"/>
      <c r="AX2672" s="140"/>
      <c r="BB2672" s="173"/>
      <c r="BC2672" s="173"/>
    </row>
    <row r="2673" spans="2:55" s="134" customFormat="1" x14ac:dyDescent="0.2">
      <c r="B2673" s="145"/>
      <c r="D2673" s="145"/>
      <c r="Z2673" s="177"/>
      <c r="AA2673" s="178"/>
      <c r="AB2673" s="139"/>
      <c r="AC2673" s="173"/>
      <c r="AD2673" s="177"/>
      <c r="AE2673" s="177"/>
      <c r="AF2673" s="139"/>
      <c r="AG2673" s="139"/>
      <c r="AH2673" s="177"/>
      <c r="AI2673" s="178"/>
      <c r="AJ2673" s="139"/>
      <c r="AK2673" s="173"/>
      <c r="AL2673" s="177"/>
      <c r="AM2673" s="178"/>
      <c r="AN2673" s="173"/>
      <c r="AO2673" s="173"/>
      <c r="AP2673" s="173"/>
      <c r="AQ2673" s="178"/>
      <c r="AR2673" s="173"/>
      <c r="AS2673" s="173"/>
      <c r="AT2673" s="140"/>
      <c r="AX2673" s="140"/>
      <c r="BB2673" s="173"/>
      <c r="BC2673" s="173"/>
    </row>
    <row r="2674" spans="2:55" s="134" customFormat="1" x14ac:dyDescent="0.2">
      <c r="B2674" s="145"/>
      <c r="D2674" s="145"/>
      <c r="Z2674" s="177"/>
      <c r="AA2674" s="178"/>
      <c r="AB2674" s="139"/>
      <c r="AC2674" s="173"/>
      <c r="AD2674" s="177"/>
      <c r="AE2674" s="177"/>
      <c r="AF2674" s="139"/>
      <c r="AG2674" s="139"/>
      <c r="AH2674" s="177"/>
      <c r="AI2674" s="178"/>
      <c r="AJ2674" s="139"/>
      <c r="AK2674" s="173"/>
      <c r="AL2674" s="177"/>
      <c r="AM2674" s="178"/>
      <c r="AN2674" s="173"/>
      <c r="AO2674" s="173"/>
      <c r="AP2674" s="173"/>
      <c r="AQ2674" s="178"/>
      <c r="AR2674" s="173"/>
      <c r="AS2674" s="173"/>
      <c r="AT2674" s="140"/>
      <c r="AX2674" s="140"/>
      <c r="BB2674" s="173"/>
      <c r="BC2674" s="173"/>
    </row>
    <row r="2675" spans="2:55" s="134" customFormat="1" x14ac:dyDescent="0.2">
      <c r="B2675" s="145"/>
      <c r="D2675" s="145"/>
      <c r="Z2675" s="177"/>
      <c r="AA2675" s="178"/>
      <c r="AB2675" s="139"/>
      <c r="AC2675" s="173"/>
      <c r="AD2675" s="177"/>
      <c r="AE2675" s="177"/>
      <c r="AF2675" s="139"/>
      <c r="AG2675" s="139"/>
      <c r="AH2675" s="177"/>
      <c r="AI2675" s="178"/>
      <c r="AJ2675" s="139"/>
      <c r="AK2675" s="173"/>
      <c r="AL2675" s="177"/>
      <c r="AM2675" s="178"/>
      <c r="AN2675" s="173"/>
      <c r="AO2675" s="173"/>
      <c r="AP2675" s="173"/>
      <c r="AQ2675" s="178"/>
      <c r="AR2675" s="173"/>
      <c r="AS2675" s="173"/>
      <c r="AT2675" s="140"/>
      <c r="AX2675" s="140"/>
      <c r="BB2675" s="173"/>
      <c r="BC2675" s="173"/>
    </row>
    <row r="2676" spans="2:55" s="134" customFormat="1" x14ac:dyDescent="0.2">
      <c r="B2676" s="145"/>
      <c r="D2676" s="145"/>
      <c r="Z2676" s="177"/>
      <c r="AA2676" s="178"/>
      <c r="AB2676" s="139"/>
      <c r="AC2676" s="173"/>
      <c r="AD2676" s="177"/>
      <c r="AE2676" s="177"/>
      <c r="AF2676" s="139"/>
      <c r="AG2676" s="139"/>
      <c r="AH2676" s="177"/>
      <c r="AI2676" s="178"/>
      <c r="AJ2676" s="139"/>
      <c r="AK2676" s="173"/>
      <c r="AL2676" s="177"/>
      <c r="AM2676" s="178"/>
      <c r="AN2676" s="173"/>
      <c r="AO2676" s="173"/>
      <c r="AP2676" s="173"/>
      <c r="AQ2676" s="178"/>
      <c r="AR2676" s="173"/>
      <c r="AS2676" s="173"/>
      <c r="AT2676" s="140"/>
      <c r="AX2676" s="140"/>
      <c r="BB2676" s="173"/>
      <c r="BC2676" s="173"/>
    </row>
    <row r="2677" spans="2:55" s="134" customFormat="1" x14ac:dyDescent="0.2">
      <c r="B2677" s="145"/>
      <c r="D2677" s="145"/>
      <c r="Z2677" s="177"/>
      <c r="AA2677" s="178"/>
      <c r="AB2677" s="139"/>
      <c r="AC2677" s="173"/>
      <c r="AD2677" s="177"/>
      <c r="AE2677" s="177"/>
      <c r="AF2677" s="139"/>
      <c r="AG2677" s="139"/>
      <c r="AH2677" s="177"/>
      <c r="AI2677" s="178"/>
      <c r="AJ2677" s="139"/>
      <c r="AK2677" s="173"/>
      <c r="AL2677" s="177"/>
      <c r="AM2677" s="178"/>
      <c r="AN2677" s="173"/>
      <c r="AO2677" s="173"/>
      <c r="AP2677" s="173"/>
      <c r="AQ2677" s="178"/>
      <c r="AR2677" s="173"/>
      <c r="AS2677" s="173"/>
      <c r="AT2677" s="140"/>
      <c r="AX2677" s="140"/>
      <c r="BB2677" s="173"/>
      <c r="BC2677" s="173"/>
    </row>
    <row r="2678" spans="2:55" s="134" customFormat="1" x14ac:dyDescent="0.2">
      <c r="B2678" s="145"/>
      <c r="D2678" s="145"/>
      <c r="Z2678" s="177"/>
      <c r="AA2678" s="178"/>
      <c r="AB2678" s="139"/>
      <c r="AC2678" s="173"/>
      <c r="AD2678" s="177"/>
      <c r="AE2678" s="177"/>
      <c r="AF2678" s="139"/>
      <c r="AG2678" s="139"/>
      <c r="AH2678" s="177"/>
      <c r="AI2678" s="178"/>
      <c r="AJ2678" s="139"/>
      <c r="AK2678" s="173"/>
      <c r="AL2678" s="177"/>
      <c r="AM2678" s="178"/>
      <c r="AN2678" s="173"/>
      <c r="AO2678" s="173"/>
      <c r="AP2678" s="173"/>
      <c r="AQ2678" s="178"/>
      <c r="AR2678" s="173"/>
      <c r="AS2678" s="173"/>
      <c r="AT2678" s="140"/>
      <c r="AX2678" s="140"/>
      <c r="BB2678" s="173"/>
      <c r="BC2678" s="173"/>
    </row>
    <row r="2679" spans="2:55" s="134" customFormat="1" x14ac:dyDescent="0.2">
      <c r="B2679" s="145"/>
      <c r="D2679" s="145"/>
      <c r="Z2679" s="177"/>
      <c r="AA2679" s="178"/>
      <c r="AB2679" s="139"/>
      <c r="AC2679" s="173"/>
      <c r="AD2679" s="177"/>
      <c r="AE2679" s="177"/>
      <c r="AF2679" s="139"/>
      <c r="AG2679" s="139"/>
      <c r="AH2679" s="177"/>
      <c r="AI2679" s="178"/>
      <c r="AJ2679" s="139"/>
      <c r="AK2679" s="173"/>
      <c r="AL2679" s="177"/>
      <c r="AM2679" s="178"/>
      <c r="AN2679" s="173"/>
      <c r="AO2679" s="173"/>
      <c r="AP2679" s="173"/>
      <c r="AQ2679" s="178"/>
      <c r="AR2679" s="173"/>
      <c r="AS2679" s="173"/>
      <c r="AT2679" s="140"/>
      <c r="AX2679" s="140"/>
      <c r="BB2679" s="173"/>
      <c r="BC2679" s="173"/>
    </row>
    <row r="2680" spans="2:55" s="134" customFormat="1" x14ac:dyDescent="0.2">
      <c r="B2680" s="145"/>
      <c r="D2680" s="145"/>
      <c r="Z2680" s="177"/>
      <c r="AA2680" s="178"/>
      <c r="AB2680" s="139"/>
      <c r="AC2680" s="173"/>
      <c r="AD2680" s="177"/>
      <c r="AE2680" s="177"/>
      <c r="AF2680" s="139"/>
      <c r="AG2680" s="139"/>
      <c r="AH2680" s="177"/>
      <c r="AI2680" s="178"/>
      <c r="AJ2680" s="139"/>
      <c r="AK2680" s="173"/>
      <c r="AL2680" s="177"/>
      <c r="AM2680" s="178"/>
      <c r="AN2680" s="173"/>
      <c r="AO2680" s="173"/>
      <c r="AP2680" s="173"/>
      <c r="AQ2680" s="178"/>
      <c r="AR2680" s="173"/>
      <c r="AS2680" s="173"/>
      <c r="AT2680" s="140"/>
      <c r="AX2680" s="140"/>
      <c r="BB2680" s="173"/>
      <c r="BC2680" s="173"/>
    </row>
    <row r="2681" spans="2:55" s="134" customFormat="1" x14ac:dyDescent="0.2">
      <c r="B2681" s="145"/>
      <c r="D2681" s="145"/>
      <c r="Z2681" s="177"/>
      <c r="AA2681" s="178"/>
      <c r="AB2681" s="139"/>
      <c r="AC2681" s="173"/>
      <c r="AD2681" s="177"/>
      <c r="AE2681" s="177"/>
      <c r="AF2681" s="139"/>
      <c r="AG2681" s="139"/>
      <c r="AH2681" s="177"/>
      <c r="AI2681" s="178"/>
      <c r="AJ2681" s="139"/>
      <c r="AK2681" s="173"/>
      <c r="AL2681" s="177"/>
      <c r="AM2681" s="178"/>
      <c r="AN2681" s="173"/>
      <c r="AO2681" s="173"/>
      <c r="AP2681" s="173"/>
      <c r="AQ2681" s="178"/>
      <c r="AR2681" s="173"/>
      <c r="AS2681" s="173"/>
      <c r="AT2681" s="140"/>
      <c r="AX2681" s="140"/>
      <c r="BB2681" s="173"/>
      <c r="BC2681" s="173"/>
    </row>
    <row r="2682" spans="2:55" s="134" customFormat="1" x14ac:dyDescent="0.2">
      <c r="B2682" s="145"/>
      <c r="D2682" s="145"/>
      <c r="Z2682" s="177"/>
      <c r="AA2682" s="178"/>
      <c r="AB2682" s="139"/>
      <c r="AC2682" s="173"/>
      <c r="AD2682" s="177"/>
      <c r="AE2682" s="177"/>
      <c r="AF2682" s="139"/>
      <c r="AG2682" s="139"/>
      <c r="AH2682" s="177"/>
      <c r="AI2682" s="178"/>
      <c r="AJ2682" s="139"/>
      <c r="AK2682" s="173"/>
      <c r="AL2682" s="177"/>
      <c r="AM2682" s="178"/>
      <c r="AN2682" s="173"/>
      <c r="AO2682" s="173"/>
      <c r="AP2682" s="173"/>
      <c r="AQ2682" s="178"/>
      <c r="AR2682" s="173"/>
      <c r="AS2682" s="173"/>
      <c r="AT2682" s="140"/>
      <c r="AX2682" s="140"/>
      <c r="BB2682" s="173"/>
      <c r="BC2682" s="173"/>
    </row>
    <row r="2683" spans="2:55" s="134" customFormat="1" x14ac:dyDescent="0.2">
      <c r="B2683" s="145"/>
      <c r="D2683" s="145"/>
      <c r="Z2683" s="177"/>
      <c r="AA2683" s="178"/>
      <c r="AB2683" s="139"/>
      <c r="AC2683" s="173"/>
      <c r="AD2683" s="177"/>
      <c r="AE2683" s="177"/>
      <c r="AF2683" s="139"/>
      <c r="AG2683" s="139"/>
      <c r="AH2683" s="177"/>
      <c r="AI2683" s="178"/>
      <c r="AJ2683" s="139"/>
      <c r="AK2683" s="173"/>
      <c r="AL2683" s="177"/>
      <c r="AM2683" s="178"/>
      <c r="AN2683" s="173"/>
      <c r="AO2683" s="173"/>
      <c r="AP2683" s="173"/>
      <c r="AQ2683" s="178"/>
      <c r="AR2683" s="173"/>
      <c r="AS2683" s="173"/>
      <c r="AT2683" s="140"/>
      <c r="AX2683" s="140"/>
      <c r="BB2683" s="173"/>
      <c r="BC2683" s="173"/>
    </row>
    <row r="2684" spans="2:55" s="134" customFormat="1" x14ac:dyDescent="0.2">
      <c r="B2684" s="145"/>
      <c r="D2684" s="145"/>
      <c r="Z2684" s="177"/>
      <c r="AA2684" s="178"/>
      <c r="AB2684" s="139"/>
      <c r="AC2684" s="173"/>
      <c r="AD2684" s="177"/>
      <c r="AE2684" s="177"/>
      <c r="AF2684" s="139"/>
      <c r="AG2684" s="139"/>
      <c r="AH2684" s="177"/>
      <c r="AI2684" s="178"/>
      <c r="AJ2684" s="139"/>
      <c r="AK2684" s="173"/>
      <c r="AL2684" s="177"/>
      <c r="AM2684" s="178"/>
      <c r="AN2684" s="173"/>
      <c r="AO2684" s="173"/>
      <c r="AP2684" s="173"/>
      <c r="AQ2684" s="178"/>
      <c r="AR2684" s="173"/>
      <c r="AS2684" s="173"/>
      <c r="AT2684" s="140"/>
      <c r="AX2684" s="140"/>
      <c r="BB2684" s="173"/>
      <c r="BC2684" s="173"/>
    </row>
    <row r="2685" spans="2:55" s="134" customFormat="1" x14ac:dyDescent="0.2">
      <c r="B2685" s="145"/>
      <c r="D2685" s="145"/>
      <c r="Z2685" s="177"/>
      <c r="AA2685" s="178"/>
      <c r="AB2685" s="139"/>
      <c r="AC2685" s="173"/>
      <c r="AD2685" s="177"/>
      <c r="AE2685" s="177"/>
      <c r="AF2685" s="139"/>
      <c r="AG2685" s="139"/>
      <c r="AH2685" s="177"/>
      <c r="AI2685" s="178"/>
      <c r="AJ2685" s="139"/>
      <c r="AK2685" s="173"/>
      <c r="AL2685" s="177"/>
      <c r="AM2685" s="178"/>
      <c r="AN2685" s="173"/>
      <c r="AO2685" s="173"/>
      <c r="AP2685" s="173"/>
      <c r="AQ2685" s="178"/>
      <c r="AR2685" s="173"/>
      <c r="AS2685" s="173"/>
      <c r="AT2685" s="140"/>
      <c r="AX2685" s="140"/>
      <c r="BB2685" s="173"/>
      <c r="BC2685" s="173"/>
    </row>
    <row r="2686" spans="2:55" s="134" customFormat="1" x14ac:dyDescent="0.2">
      <c r="B2686" s="145"/>
      <c r="D2686" s="145"/>
      <c r="Z2686" s="177"/>
      <c r="AA2686" s="178"/>
      <c r="AB2686" s="139"/>
      <c r="AC2686" s="173"/>
      <c r="AD2686" s="177"/>
      <c r="AE2686" s="177"/>
      <c r="AF2686" s="139"/>
      <c r="AG2686" s="139"/>
      <c r="AH2686" s="177"/>
      <c r="AI2686" s="178"/>
      <c r="AJ2686" s="139"/>
      <c r="AK2686" s="173"/>
      <c r="AL2686" s="177"/>
      <c r="AM2686" s="178"/>
      <c r="AN2686" s="173"/>
      <c r="AO2686" s="173"/>
      <c r="AP2686" s="173"/>
      <c r="AQ2686" s="178"/>
      <c r="AR2686" s="173"/>
      <c r="AS2686" s="173"/>
      <c r="AT2686" s="140"/>
      <c r="AX2686" s="140"/>
      <c r="BB2686" s="173"/>
      <c r="BC2686" s="173"/>
    </row>
    <row r="2687" spans="2:55" s="134" customFormat="1" x14ac:dyDescent="0.2">
      <c r="B2687" s="145"/>
      <c r="D2687" s="145"/>
      <c r="Z2687" s="177"/>
      <c r="AA2687" s="178"/>
      <c r="AB2687" s="139"/>
      <c r="AC2687" s="173"/>
      <c r="AD2687" s="177"/>
      <c r="AE2687" s="177"/>
      <c r="AF2687" s="139"/>
      <c r="AG2687" s="139"/>
      <c r="AH2687" s="177"/>
      <c r="AI2687" s="178"/>
      <c r="AJ2687" s="139"/>
      <c r="AK2687" s="173"/>
      <c r="AL2687" s="177"/>
      <c r="AM2687" s="178"/>
      <c r="AN2687" s="173"/>
      <c r="AO2687" s="173"/>
      <c r="AP2687" s="173"/>
      <c r="AQ2687" s="178"/>
      <c r="AR2687" s="173"/>
      <c r="AS2687" s="173"/>
      <c r="AT2687" s="140"/>
      <c r="AX2687" s="140"/>
      <c r="BB2687" s="173"/>
      <c r="BC2687" s="173"/>
    </row>
    <row r="2688" spans="2:55" s="134" customFormat="1" x14ac:dyDescent="0.2">
      <c r="B2688" s="145"/>
      <c r="D2688" s="145"/>
      <c r="Z2688" s="177"/>
      <c r="AA2688" s="178"/>
      <c r="AB2688" s="139"/>
      <c r="AC2688" s="173"/>
      <c r="AD2688" s="177"/>
      <c r="AE2688" s="177"/>
      <c r="AF2688" s="139"/>
      <c r="AG2688" s="139"/>
      <c r="AH2688" s="177"/>
      <c r="AI2688" s="178"/>
      <c r="AJ2688" s="139"/>
      <c r="AK2688" s="173"/>
      <c r="AL2688" s="177"/>
      <c r="AM2688" s="178"/>
      <c r="AN2688" s="173"/>
      <c r="AO2688" s="173"/>
      <c r="AP2688" s="173"/>
      <c r="AQ2688" s="178"/>
      <c r="AR2688" s="173"/>
      <c r="AS2688" s="173"/>
      <c r="AT2688" s="140"/>
      <c r="AX2688" s="140"/>
      <c r="BB2688" s="173"/>
      <c r="BC2688" s="173"/>
    </row>
    <row r="2689" spans="2:55" s="134" customFormat="1" x14ac:dyDescent="0.2">
      <c r="B2689" s="145"/>
      <c r="D2689" s="145"/>
      <c r="Z2689" s="177"/>
      <c r="AA2689" s="178"/>
      <c r="AB2689" s="139"/>
      <c r="AC2689" s="173"/>
      <c r="AD2689" s="177"/>
      <c r="AE2689" s="177"/>
      <c r="AF2689" s="139"/>
      <c r="AG2689" s="139"/>
      <c r="AH2689" s="177"/>
      <c r="AI2689" s="178"/>
      <c r="AJ2689" s="139"/>
      <c r="AK2689" s="173"/>
      <c r="AL2689" s="177"/>
      <c r="AM2689" s="178"/>
      <c r="AN2689" s="173"/>
      <c r="AO2689" s="173"/>
      <c r="AP2689" s="173"/>
      <c r="AQ2689" s="178"/>
      <c r="AR2689" s="173"/>
      <c r="AS2689" s="173"/>
      <c r="AT2689" s="140"/>
      <c r="AX2689" s="140"/>
      <c r="BB2689" s="173"/>
      <c r="BC2689" s="173"/>
    </row>
    <row r="2690" spans="2:55" s="134" customFormat="1" x14ac:dyDescent="0.2">
      <c r="B2690" s="145"/>
      <c r="D2690" s="145"/>
      <c r="Z2690" s="177"/>
      <c r="AA2690" s="178"/>
      <c r="AB2690" s="139"/>
      <c r="AC2690" s="173"/>
      <c r="AD2690" s="177"/>
      <c r="AE2690" s="177"/>
      <c r="AF2690" s="139"/>
      <c r="AG2690" s="139"/>
      <c r="AH2690" s="177"/>
      <c r="AI2690" s="178"/>
      <c r="AJ2690" s="139"/>
      <c r="AK2690" s="173"/>
      <c r="AL2690" s="177"/>
      <c r="AM2690" s="178"/>
      <c r="AN2690" s="173"/>
      <c r="AO2690" s="173"/>
      <c r="AP2690" s="173"/>
      <c r="AQ2690" s="178"/>
      <c r="AR2690" s="173"/>
      <c r="AS2690" s="173"/>
      <c r="AT2690" s="140"/>
      <c r="AX2690" s="140"/>
      <c r="BB2690" s="173"/>
      <c r="BC2690" s="173"/>
    </row>
    <row r="2691" spans="2:55" s="134" customFormat="1" x14ac:dyDescent="0.2">
      <c r="B2691" s="145"/>
      <c r="D2691" s="145"/>
      <c r="Z2691" s="177"/>
      <c r="AA2691" s="178"/>
      <c r="AB2691" s="139"/>
      <c r="AC2691" s="173"/>
      <c r="AD2691" s="177"/>
      <c r="AE2691" s="177"/>
      <c r="AF2691" s="139"/>
      <c r="AG2691" s="139"/>
      <c r="AH2691" s="177"/>
      <c r="AI2691" s="178"/>
      <c r="AJ2691" s="139"/>
      <c r="AK2691" s="173"/>
      <c r="AL2691" s="177"/>
      <c r="AM2691" s="178"/>
      <c r="AN2691" s="173"/>
      <c r="AO2691" s="173"/>
      <c r="AP2691" s="173"/>
      <c r="AQ2691" s="178"/>
      <c r="AR2691" s="173"/>
      <c r="AS2691" s="173"/>
      <c r="AT2691" s="140"/>
      <c r="AX2691" s="140"/>
      <c r="BB2691" s="173"/>
      <c r="BC2691" s="173"/>
    </row>
    <row r="2692" spans="2:55" s="134" customFormat="1" x14ac:dyDescent="0.2">
      <c r="B2692" s="145"/>
      <c r="D2692" s="145"/>
      <c r="Z2692" s="177"/>
      <c r="AA2692" s="178"/>
      <c r="AB2692" s="139"/>
      <c r="AC2692" s="173"/>
      <c r="AD2692" s="177"/>
      <c r="AE2692" s="177"/>
      <c r="AF2692" s="139"/>
      <c r="AG2692" s="139"/>
      <c r="AH2692" s="177"/>
      <c r="AI2692" s="178"/>
      <c r="AJ2692" s="139"/>
      <c r="AK2692" s="173"/>
      <c r="AL2692" s="177"/>
      <c r="AM2692" s="178"/>
      <c r="AN2692" s="173"/>
      <c r="AO2692" s="173"/>
      <c r="AP2692" s="173"/>
      <c r="AQ2692" s="178"/>
      <c r="AR2692" s="173"/>
      <c r="AS2692" s="173"/>
      <c r="AT2692" s="140"/>
      <c r="AX2692" s="140"/>
      <c r="BB2692" s="173"/>
      <c r="BC2692" s="173"/>
    </row>
    <row r="2693" spans="2:55" s="134" customFormat="1" x14ac:dyDescent="0.2">
      <c r="B2693" s="145"/>
      <c r="D2693" s="145"/>
      <c r="Z2693" s="177"/>
      <c r="AA2693" s="178"/>
      <c r="AB2693" s="139"/>
      <c r="AC2693" s="173"/>
      <c r="AD2693" s="177"/>
      <c r="AE2693" s="177"/>
      <c r="AF2693" s="139"/>
      <c r="AG2693" s="139"/>
      <c r="AH2693" s="177"/>
      <c r="AI2693" s="178"/>
      <c r="AJ2693" s="139"/>
      <c r="AK2693" s="173"/>
      <c r="AL2693" s="177"/>
      <c r="AM2693" s="178"/>
      <c r="AN2693" s="173"/>
      <c r="AO2693" s="173"/>
      <c r="AP2693" s="173"/>
      <c r="AQ2693" s="178"/>
      <c r="AR2693" s="173"/>
      <c r="AS2693" s="173"/>
      <c r="AT2693" s="140"/>
      <c r="AX2693" s="140"/>
      <c r="BB2693" s="173"/>
      <c r="BC2693" s="173"/>
    </row>
    <row r="2694" spans="2:55" s="134" customFormat="1" x14ac:dyDescent="0.2">
      <c r="B2694" s="145"/>
      <c r="D2694" s="145"/>
      <c r="Z2694" s="177"/>
      <c r="AA2694" s="178"/>
      <c r="AB2694" s="139"/>
      <c r="AC2694" s="173"/>
      <c r="AD2694" s="177"/>
      <c r="AE2694" s="177"/>
      <c r="AF2694" s="139"/>
      <c r="AG2694" s="139"/>
      <c r="AH2694" s="177"/>
      <c r="AI2694" s="178"/>
      <c r="AJ2694" s="139"/>
      <c r="AK2694" s="173"/>
      <c r="AL2694" s="177"/>
      <c r="AM2694" s="178"/>
      <c r="AN2694" s="173"/>
      <c r="AO2694" s="173"/>
      <c r="AP2694" s="173"/>
      <c r="AQ2694" s="178"/>
      <c r="AR2694" s="173"/>
      <c r="AS2694" s="173"/>
      <c r="AT2694" s="140"/>
      <c r="AX2694" s="140"/>
      <c r="BB2694" s="173"/>
      <c r="BC2694" s="173"/>
    </row>
    <row r="2695" spans="2:55" s="134" customFormat="1" x14ac:dyDescent="0.2">
      <c r="B2695" s="145"/>
      <c r="D2695" s="145"/>
      <c r="Z2695" s="177"/>
      <c r="AA2695" s="178"/>
      <c r="AB2695" s="139"/>
      <c r="AC2695" s="173"/>
      <c r="AD2695" s="177"/>
      <c r="AE2695" s="177"/>
      <c r="AF2695" s="139"/>
      <c r="AG2695" s="139"/>
      <c r="AH2695" s="177"/>
      <c r="AI2695" s="178"/>
      <c r="AJ2695" s="139"/>
      <c r="AK2695" s="173"/>
      <c r="AL2695" s="177"/>
      <c r="AM2695" s="178"/>
      <c r="AN2695" s="173"/>
      <c r="AO2695" s="173"/>
      <c r="AP2695" s="173"/>
      <c r="AQ2695" s="178"/>
      <c r="AR2695" s="173"/>
      <c r="AS2695" s="173"/>
      <c r="AT2695" s="140"/>
      <c r="AX2695" s="140"/>
      <c r="BB2695" s="173"/>
      <c r="BC2695" s="173"/>
    </row>
    <row r="2696" spans="2:55" s="134" customFormat="1" x14ac:dyDescent="0.2">
      <c r="B2696" s="145"/>
      <c r="D2696" s="145"/>
      <c r="Z2696" s="177"/>
      <c r="AA2696" s="178"/>
      <c r="AB2696" s="139"/>
      <c r="AC2696" s="173"/>
      <c r="AD2696" s="177"/>
      <c r="AE2696" s="177"/>
      <c r="AF2696" s="139"/>
      <c r="AG2696" s="139"/>
      <c r="AH2696" s="177"/>
      <c r="AI2696" s="178"/>
      <c r="AJ2696" s="139"/>
      <c r="AK2696" s="173"/>
      <c r="AL2696" s="177"/>
      <c r="AM2696" s="178"/>
      <c r="AN2696" s="173"/>
      <c r="AO2696" s="173"/>
      <c r="AP2696" s="173"/>
      <c r="AQ2696" s="178"/>
      <c r="AR2696" s="173"/>
      <c r="AS2696" s="173"/>
      <c r="AT2696" s="140"/>
      <c r="AX2696" s="140"/>
      <c r="BB2696" s="173"/>
      <c r="BC2696" s="173"/>
    </row>
    <row r="2697" spans="2:55" s="134" customFormat="1" x14ac:dyDescent="0.2">
      <c r="B2697" s="145"/>
      <c r="D2697" s="145"/>
      <c r="Z2697" s="177"/>
      <c r="AA2697" s="178"/>
      <c r="AB2697" s="139"/>
      <c r="AC2697" s="173"/>
      <c r="AD2697" s="177"/>
      <c r="AE2697" s="177"/>
      <c r="AF2697" s="139"/>
      <c r="AG2697" s="139"/>
      <c r="AH2697" s="177"/>
      <c r="AI2697" s="178"/>
      <c r="AJ2697" s="139"/>
      <c r="AK2697" s="173"/>
      <c r="AL2697" s="177"/>
      <c r="AM2697" s="178"/>
      <c r="AN2697" s="173"/>
      <c r="AO2697" s="173"/>
      <c r="AP2697" s="173"/>
      <c r="AQ2697" s="178"/>
      <c r="AR2697" s="173"/>
      <c r="AS2697" s="173"/>
      <c r="AT2697" s="140"/>
      <c r="AX2697" s="140"/>
      <c r="BB2697" s="173"/>
      <c r="BC2697" s="173"/>
    </row>
    <row r="2698" spans="2:55" s="134" customFormat="1" x14ac:dyDescent="0.2">
      <c r="B2698" s="145"/>
      <c r="D2698" s="145"/>
      <c r="Z2698" s="177"/>
      <c r="AA2698" s="178"/>
      <c r="AB2698" s="139"/>
      <c r="AC2698" s="173"/>
      <c r="AD2698" s="177"/>
      <c r="AE2698" s="177"/>
      <c r="AF2698" s="139"/>
      <c r="AG2698" s="139"/>
      <c r="AH2698" s="177"/>
      <c r="AI2698" s="178"/>
      <c r="AJ2698" s="139"/>
      <c r="AK2698" s="173"/>
      <c r="AL2698" s="177"/>
      <c r="AM2698" s="178"/>
      <c r="AN2698" s="173"/>
      <c r="AO2698" s="173"/>
      <c r="AP2698" s="173"/>
      <c r="AQ2698" s="178"/>
      <c r="AR2698" s="173"/>
      <c r="AS2698" s="173"/>
      <c r="AT2698" s="140"/>
      <c r="AX2698" s="140"/>
      <c r="BB2698" s="173"/>
      <c r="BC2698" s="173"/>
    </row>
    <row r="2699" spans="2:55" s="134" customFormat="1" x14ac:dyDescent="0.2">
      <c r="B2699" s="145"/>
      <c r="D2699" s="145"/>
      <c r="Z2699" s="177"/>
      <c r="AA2699" s="178"/>
      <c r="AB2699" s="139"/>
      <c r="AC2699" s="173"/>
      <c r="AD2699" s="177"/>
      <c r="AE2699" s="177"/>
      <c r="AF2699" s="139"/>
      <c r="AG2699" s="139"/>
      <c r="AH2699" s="177"/>
      <c r="AI2699" s="178"/>
      <c r="AJ2699" s="139"/>
      <c r="AK2699" s="173"/>
      <c r="AL2699" s="177"/>
      <c r="AM2699" s="178"/>
      <c r="AN2699" s="173"/>
      <c r="AO2699" s="173"/>
      <c r="AP2699" s="173"/>
      <c r="AQ2699" s="178"/>
      <c r="AR2699" s="173"/>
      <c r="AS2699" s="173"/>
      <c r="AT2699" s="140"/>
      <c r="AX2699" s="140"/>
      <c r="BB2699" s="173"/>
      <c r="BC2699" s="173"/>
    </row>
    <row r="2700" spans="2:55" s="134" customFormat="1" x14ac:dyDescent="0.2">
      <c r="B2700" s="145"/>
      <c r="D2700" s="145"/>
      <c r="Z2700" s="177"/>
      <c r="AA2700" s="178"/>
      <c r="AB2700" s="139"/>
      <c r="AC2700" s="173"/>
      <c r="AD2700" s="177"/>
      <c r="AE2700" s="177"/>
      <c r="AF2700" s="139"/>
      <c r="AG2700" s="139"/>
      <c r="AH2700" s="177"/>
      <c r="AI2700" s="178"/>
      <c r="AJ2700" s="139"/>
      <c r="AK2700" s="173"/>
      <c r="AL2700" s="177"/>
      <c r="AM2700" s="178"/>
      <c r="AN2700" s="173"/>
      <c r="AO2700" s="173"/>
      <c r="AP2700" s="173"/>
      <c r="AQ2700" s="178"/>
      <c r="AR2700" s="173"/>
      <c r="AS2700" s="173"/>
      <c r="AT2700" s="140"/>
      <c r="AX2700" s="140"/>
      <c r="BB2700" s="173"/>
      <c r="BC2700" s="173"/>
    </row>
    <row r="2701" spans="2:55" s="134" customFormat="1" x14ac:dyDescent="0.2">
      <c r="B2701" s="145"/>
      <c r="D2701" s="145"/>
      <c r="Z2701" s="177"/>
      <c r="AA2701" s="178"/>
      <c r="AB2701" s="139"/>
      <c r="AC2701" s="173"/>
      <c r="AD2701" s="177"/>
      <c r="AE2701" s="177"/>
      <c r="AF2701" s="139"/>
      <c r="AG2701" s="139"/>
      <c r="AH2701" s="177"/>
      <c r="AI2701" s="178"/>
      <c r="AJ2701" s="139"/>
      <c r="AK2701" s="173"/>
      <c r="AL2701" s="177"/>
      <c r="AM2701" s="178"/>
      <c r="AN2701" s="173"/>
      <c r="AO2701" s="173"/>
      <c r="AP2701" s="173"/>
      <c r="AQ2701" s="178"/>
      <c r="AR2701" s="173"/>
      <c r="AS2701" s="173"/>
      <c r="AT2701" s="140"/>
      <c r="AX2701" s="140"/>
      <c r="BB2701" s="173"/>
      <c r="BC2701" s="173"/>
    </row>
    <row r="2702" spans="2:55" s="134" customFormat="1" x14ac:dyDescent="0.2">
      <c r="B2702" s="145"/>
      <c r="D2702" s="145"/>
      <c r="Z2702" s="177"/>
      <c r="AA2702" s="178"/>
      <c r="AB2702" s="139"/>
      <c r="AC2702" s="173"/>
      <c r="AD2702" s="177"/>
      <c r="AE2702" s="177"/>
      <c r="AF2702" s="139"/>
      <c r="AG2702" s="139"/>
      <c r="AH2702" s="177"/>
      <c r="AI2702" s="178"/>
      <c r="AJ2702" s="139"/>
      <c r="AK2702" s="173"/>
      <c r="AL2702" s="177"/>
      <c r="AM2702" s="178"/>
      <c r="AN2702" s="173"/>
      <c r="AO2702" s="173"/>
      <c r="AP2702" s="173"/>
      <c r="AQ2702" s="178"/>
      <c r="AR2702" s="173"/>
      <c r="AS2702" s="173"/>
      <c r="AT2702" s="140"/>
      <c r="AX2702" s="140"/>
      <c r="BB2702" s="173"/>
      <c r="BC2702" s="173"/>
    </row>
    <row r="2703" spans="2:55" s="134" customFormat="1" x14ac:dyDescent="0.2">
      <c r="B2703" s="145"/>
      <c r="D2703" s="145"/>
      <c r="Z2703" s="177"/>
      <c r="AA2703" s="178"/>
      <c r="AB2703" s="139"/>
      <c r="AC2703" s="173"/>
      <c r="AD2703" s="177"/>
      <c r="AE2703" s="177"/>
      <c r="AF2703" s="139"/>
      <c r="AG2703" s="139"/>
      <c r="AH2703" s="177"/>
      <c r="AI2703" s="178"/>
      <c r="AJ2703" s="139"/>
      <c r="AK2703" s="173"/>
      <c r="AL2703" s="177"/>
      <c r="AM2703" s="178"/>
      <c r="AN2703" s="173"/>
      <c r="AO2703" s="173"/>
      <c r="AP2703" s="173"/>
      <c r="AQ2703" s="178"/>
      <c r="AR2703" s="173"/>
      <c r="AS2703" s="173"/>
      <c r="AT2703" s="140"/>
      <c r="AX2703" s="140"/>
      <c r="BB2703" s="173"/>
      <c r="BC2703" s="173"/>
    </row>
    <row r="2704" spans="2:55" s="134" customFormat="1" x14ac:dyDescent="0.2">
      <c r="B2704" s="145"/>
      <c r="D2704" s="145"/>
      <c r="Z2704" s="177"/>
      <c r="AA2704" s="178"/>
      <c r="AB2704" s="139"/>
      <c r="AC2704" s="173"/>
      <c r="AD2704" s="177"/>
      <c r="AE2704" s="177"/>
      <c r="AF2704" s="139"/>
      <c r="AG2704" s="139"/>
      <c r="AH2704" s="177"/>
      <c r="AI2704" s="178"/>
      <c r="AJ2704" s="139"/>
      <c r="AK2704" s="173"/>
      <c r="AL2704" s="177"/>
      <c r="AM2704" s="178"/>
      <c r="AN2704" s="173"/>
      <c r="AO2704" s="173"/>
      <c r="AP2704" s="173"/>
      <c r="AQ2704" s="178"/>
      <c r="AR2704" s="173"/>
      <c r="AS2704" s="173"/>
      <c r="AT2704" s="140"/>
      <c r="AX2704" s="140"/>
      <c r="BB2704" s="173"/>
      <c r="BC2704" s="173"/>
    </row>
    <row r="2705" spans="2:55" s="134" customFormat="1" x14ac:dyDescent="0.2">
      <c r="B2705" s="145"/>
      <c r="D2705" s="145"/>
      <c r="Z2705" s="177"/>
      <c r="AA2705" s="178"/>
      <c r="AB2705" s="139"/>
      <c r="AC2705" s="173"/>
      <c r="AD2705" s="177"/>
      <c r="AE2705" s="177"/>
      <c r="AF2705" s="139"/>
      <c r="AG2705" s="139"/>
      <c r="AH2705" s="177"/>
      <c r="AI2705" s="178"/>
      <c r="AJ2705" s="139"/>
      <c r="AK2705" s="173"/>
      <c r="AL2705" s="177"/>
      <c r="AM2705" s="178"/>
      <c r="AN2705" s="173"/>
      <c r="AO2705" s="173"/>
      <c r="AP2705" s="173"/>
      <c r="AQ2705" s="178"/>
      <c r="AR2705" s="173"/>
      <c r="AS2705" s="173"/>
      <c r="AT2705" s="140"/>
      <c r="AX2705" s="140"/>
      <c r="BB2705" s="173"/>
      <c r="BC2705" s="173"/>
    </row>
    <row r="2706" spans="2:55" s="134" customFormat="1" x14ac:dyDescent="0.2">
      <c r="B2706" s="145"/>
      <c r="D2706" s="145"/>
      <c r="Z2706" s="177"/>
      <c r="AA2706" s="178"/>
      <c r="AB2706" s="139"/>
      <c r="AC2706" s="173"/>
      <c r="AD2706" s="177"/>
      <c r="AE2706" s="177"/>
      <c r="AF2706" s="139"/>
      <c r="AG2706" s="139"/>
      <c r="AH2706" s="177"/>
      <c r="AI2706" s="178"/>
      <c r="AJ2706" s="139"/>
      <c r="AK2706" s="173"/>
      <c r="AL2706" s="177"/>
      <c r="AM2706" s="178"/>
      <c r="AN2706" s="173"/>
      <c r="AO2706" s="173"/>
      <c r="AP2706" s="173"/>
      <c r="AQ2706" s="178"/>
      <c r="AR2706" s="173"/>
      <c r="AS2706" s="173"/>
      <c r="AT2706" s="140"/>
      <c r="AX2706" s="140"/>
      <c r="BB2706" s="173"/>
      <c r="BC2706" s="173"/>
    </row>
    <row r="2707" spans="2:55" s="134" customFormat="1" x14ac:dyDescent="0.2">
      <c r="B2707" s="145"/>
      <c r="D2707" s="145"/>
      <c r="Z2707" s="177"/>
      <c r="AA2707" s="178"/>
      <c r="AB2707" s="139"/>
      <c r="AC2707" s="173"/>
      <c r="AD2707" s="177"/>
      <c r="AE2707" s="177"/>
      <c r="AF2707" s="139"/>
      <c r="AG2707" s="139"/>
      <c r="AH2707" s="177"/>
      <c r="AI2707" s="178"/>
      <c r="AJ2707" s="139"/>
      <c r="AK2707" s="173"/>
      <c r="AL2707" s="177"/>
      <c r="AM2707" s="178"/>
      <c r="AN2707" s="173"/>
      <c r="AO2707" s="173"/>
      <c r="AP2707" s="173"/>
      <c r="AQ2707" s="178"/>
      <c r="AR2707" s="173"/>
      <c r="AS2707" s="173"/>
      <c r="AT2707" s="140"/>
      <c r="AX2707" s="140"/>
      <c r="BB2707" s="173"/>
      <c r="BC2707" s="173"/>
    </row>
    <row r="2708" spans="2:55" s="134" customFormat="1" x14ac:dyDescent="0.2">
      <c r="B2708" s="145"/>
      <c r="D2708" s="145"/>
      <c r="Z2708" s="177"/>
      <c r="AA2708" s="178"/>
      <c r="AB2708" s="139"/>
      <c r="AC2708" s="173"/>
      <c r="AD2708" s="177"/>
      <c r="AE2708" s="177"/>
      <c r="AF2708" s="139"/>
      <c r="AG2708" s="139"/>
      <c r="AH2708" s="177"/>
      <c r="AI2708" s="178"/>
      <c r="AJ2708" s="139"/>
      <c r="AK2708" s="173"/>
      <c r="AL2708" s="177"/>
      <c r="AM2708" s="178"/>
      <c r="AN2708" s="173"/>
      <c r="AO2708" s="173"/>
      <c r="AP2708" s="173"/>
      <c r="AQ2708" s="178"/>
      <c r="AR2708" s="173"/>
      <c r="AS2708" s="173"/>
      <c r="AT2708" s="140"/>
      <c r="AX2708" s="140"/>
      <c r="BB2708" s="173"/>
      <c r="BC2708" s="173"/>
    </row>
    <row r="2709" spans="2:55" s="134" customFormat="1" x14ac:dyDescent="0.2">
      <c r="B2709" s="145"/>
      <c r="D2709" s="145"/>
      <c r="Z2709" s="177"/>
      <c r="AA2709" s="178"/>
      <c r="AB2709" s="139"/>
      <c r="AC2709" s="173"/>
      <c r="AD2709" s="177"/>
      <c r="AE2709" s="177"/>
      <c r="AF2709" s="139"/>
      <c r="AG2709" s="139"/>
      <c r="AH2709" s="177"/>
      <c r="AI2709" s="178"/>
      <c r="AJ2709" s="139"/>
      <c r="AK2709" s="173"/>
      <c r="AL2709" s="177"/>
      <c r="AM2709" s="178"/>
      <c r="AN2709" s="173"/>
      <c r="AO2709" s="173"/>
      <c r="AP2709" s="173"/>
      <c r="AQ2709" s="178"/>
      <c r="AR2709" s="173"/>
      <c r="AS2709" s="173"/>
      <c r="AT2709" s="140"/>
      <c r="AX2709" s="140"/>
      <c r="BB2709" s="173"/>
      <c r="BC2709" s="173"/>
    </row>
    <row r="2710" spans="2:55" s="134" customFormat="1" x14ac:dyDescent="0.2">
      <c r="B2710" s="145"/>
      <c r="D2710" s="145"/>
      <c r="Z2710" s="177"/>
      <c r="AA2710" s="178"/>
      <c r="AB2710" s="139"/>
      <c r="AC2710" s="173"/>
      <c r="AD2710" s="177"/>
      <c r="AE2710" s="177"/>
      <c r="AF2710" s="139"/>
      <c r="AG2710" s="139"/>
      <c r="AH2710" s="177"/>
      <c r="AI2710" s="178"/>
      <c r="AJ2710" s="139"/>
      <c r="AK2710" s="173"/>
      <c r="AL2710" s="177"/>
      <c r="AM2710" s="178"/>
      <c r="AN2710" s="173"/>
      <c r="AO2710" s="173"/>
      <c r="AP2710" s="173"/>
      <c r="AQ2710" s="178"/>
      <c r="AR2710" s="173"/>
      <c r="AS2710" s="173"/>
      <c r="AT2710" s="140"/>
      <c r="AX2710" s="140"/>
      <c r="BB2710" s="173"/>
      <c r="BC2710" s="173"/>
    </row>
    <row r="2711" spans="2:55" s="134" customFormat="1" x14ac:dyDescent="0.2">
      <c r="B2711" s="145"/>
      <c r="D2711" s="145"/>
      <c r="Z2711" s="177"/>
      <c r="AA2711" s="178"/>
      <c r="AB2711" s="139"/>
      <c r="AC2711" s="173"/>
      <c r="AD2711" s="177"/>
      <c r="AE2711" s="177"/>
      <c r="AF2711" s="139"/>
      <c r="AG2711" s="139"/>
      <c r="AH2711" s="177"/>
      <c r="AI2711" s="178"/>
      <c r="AJ2711" s="139"/>
      <c r="AK2711" s="173"/>
      <c r="AL2711" s="177"/>
      <c r="AM2711" s="178"/>
      <c r="AN2711" s="173"/>
      <c r="AO2711" s="173"/>
      <c r="AP2711" s="173"/>
      <c r="AQ2711" s="178"/>
      <c r="AR2711" s="173"/>
      <c r="AS2711" s="173"/>
      <c r="AT2711" s="140"/>
      <c r="AX2711" s="140"/>
      <c r="BB2711" s="173"/>
      <c r="BC2711" s="173"/>
    </row>
    <row r="2712" spans="2:55" s="134" customFormat="1" x14ac:dyDescent="0.2">
      <c r="B2712" s="145"/>
      <c r="D2712" s="145"/>
      <c r="Z2712" s="177"/>
      <c r="AA2712" s="178"/>
      <c r="AB2712" s="139"/>
      <c r="AC2712" s="173"/>
      <c r="AD2712" s="177"/>
      <c r="AE2712" s="177"/>
      <c r="AF2712" s="139"/>
      <c r="AG2712" s="139"/>
      <c r="AH2712" s="177"/>
      <c r="AI2712" s="178"/>
      <c r="AJ2712" s="139"/>
      <c r="AK2712" s="173"/>
      <c r="AL2712" s="177"/>
      <c r="AM2712" s="178"/>
      <c r="AN2712" s="173"/>
      <c r="AO2712" s="173"/>
      <c r="AP2712" s="173"/>
      <c r="AQ2712" s="178"/>
      <c r="AR2712" s="173"/>
      <c r="AS2712" s="173"/>
      <c r="AT2712" s="140"/>
      <c r="AX2712" s="140"/>
      <c r="BB2712" s="173"/>
      <c r="BC2712" s="173"/>
    </row>
    <row r="2713" spans="2:55" s="134" customFormat="1" x14ac:dyDescent="0.2">
      <c r="B2713" s="145"/>
      <c r="D2713" s="145"/>
      <c r="Z2713" s="177"/>
      <c r="AA2713" s="178"/>
      <c r="AB2713" s="139"/>
      <c r="AC2713" s="173"/>
      <c r="AD2713" s="177"/>
      <c r="AE2713" s="177"/>
      <c r="AF2713" s="139"/>
      <c r="AG2713" s="139"/>
      <c r="AH2713" s="177"/>
      <c r="AI2713" s="178"/>
      <c r="AJ2713" s="139"/>
      <c r="AK2713" s="173"/>
      <c r="AL2713" s="177"/>
      <c r="AM2713" s="178"/>
      <c r="AN2713" s="173"/>
      <c r="AO2713" s="173"/>
      <c r="AP2713" s="173"/>
      <c r="AQ2713" s="178"/>
      <c r="AR2713" s="173"/>
      <c r="AS2713" s="173"/>
      <c r="AT2713" s="140"/>
      <c r="AX2713" s="140"/>
      <c r="BB2713" s="173"/>
      <c r="BC2713" s="173"/>
    </row>
    <row r="2714" spans="2:55" s="134" customFormat="1" x14ac:dyDescent="0.2">
      <c r="B2714" s="145"/>
      <c r="D2714" s="145"/>
      <c r="Z2714" s="177"/>
      <c r="AA2714" s="178"/>
      <c r="AB2714" s="139"/>
      <c r="AC2714" s="173"/>
      <c r="AD2714" s="177"/>
      <c r="AE2714" s="177"/>
      <c r="AF2714" s="139"/>
      <c r="AG2714" s="139"/>
      <c r="AH2714" s="177"/>
      <c r="AI2714" s="178"/>
      <c r="AJ2714" s="139"/>
      <c r="AK2714" s="173"/>
      <c r="AL2714" s="177"/>
      <c r="AM2714" s="178"/>
      <c r="AN2714" s="173"/>
      <c r="AO2714" s="173"/>
      <c r="AP2714" s="173"/>
      <c r="AQ2714" s="178"/>
      <c r="AR2714" s="173"/>
      <c r="AS2714" s="173"/>
      <c r="AT2714" s="140"/>
      <c r="AX2714" s="140"/>
      <c r="BB2714" s="173"/>
      <c r="BC2714" s="173"/>
    </row>
    <row r="2715" spans="2:55" s="134" customFormat="1" x14ac:dyDescent="0.2">
      <c r="B2715" s="145"/>
      <c r="D2715" s="145"/>
      <c r="Z2715" s="177"/>
      <c r="AA2715" s="178"/>
      <c r="AB2715" s="139"/>
      <c r="AC2715" s="173"/>
      <c r="AD2715" s="177"/>
      <c r="AE2715" s="177"/>
      <c r="AF2715" s="139"/>
      <c r="AG2715" s="139"/>
      <c r="AH2715" s="177"/>
      <c r="AI2715" s="178"/>
      <c r="AJ2715" s="139"/>
      <c r="AK2715" s="173"/>
      <c r="AL2715" s="177"/>
      <c r="AM2715" s="178"/>
      <c r="AN2715" s="173"/>
      <c r="AO2715" s="173"/>
      <c r="AP2715" s="173"/>
      <c r="AQ2715" s="178"/>
      <c r="AR2715" s="173"/>
      <c r="AS2715" s="173"/>
      <c r="AT2715" s="140"/>
      <c r="AX2715" s="140"/>
      <c r="BB2715" s="173"/>
      <c r="BC2715" s="173"/>
    </row>
    <row r="2716" spans="2:55" s="134" customFormat="1" x14ac:dyDescent="0.2">
      <c r="B2716" s="145"/>
      <c r="D2716" s="145"/>
      <c r="Z2716" s="177"/>
      <c r="AA2716" s="178"/>
      <c r="AB2716" s="139"/>
      <c r="AC2716" s="173"/>
      <c r="AD2716" s="177"/>
      <c r="AE2716" s="177"/>
      <c r="AF2716" s="139"/>
      <c r="AG2716" s="139"/>
      <c r="AH2716" s="177"/>
      <c r="AI2716" s="178"/>
      <c r="AJ2716" s="139"/>
      <c r="AK2716" s="173"/>
      <c r="AL2716" s="177"/>
      <c r="AM2716" s="178"/>
      <c r="AN2716" s="173"/>
      <c r="AO2716" s="173"/>
      <c r="AP2716" s="173"/>
      <c r="AQ2716" s="178"/>
      <c r="AR2716" s="173"/>
      <c r="AS2716" s="173"/>
      <c r="AT2716" s="140"/>
      <c r="AX2716" s="140"/>
      <c r="BB2716" s="173"/>
      <c r="BC2716" s="173"/>
    </row>
    <row r="2717" spans="2:55" s="134" customFormat="1" x14ac:dyDescent="0.2">
      <c r="B2717" s="145"/>
      <c r="D2717" s="145"/>
      <c r="Z2717" s="177"/>
      <c r="AA2717" s="178"/>
      <c r="AB2717" s="139"/>
      <c r="AC2717" s="173"/>
      <c r="AD2717" s="177"/>
      <c r="AE2717" s="177"/>
      <c r="AF2717" s="139"/>
      <c r="AG2717" s="139"/>
      <c r="AH2717" s="177"/>
      <c r="AI2717" s="178"/>
      <c r="AJ2717" s="139"/>
      <c r="AK2717" s="173"/>
      <c r="AL2717" s="177"/>
      <c r="AM2717" s="178"/>
      <c r="AN2717" s="173"/>
      <c r="AO2717" s="173"/>
      <c r="AP2717" s="173"/>
      <c r="AQ2717" s="178"/>
      <c r="AR2717" s="173"/>
      <c r="AS2717" s="173"/>
      <c r="AT2717" s="140"/>
      <c r="AX2717" s="140"/>
      <c r="BB2717" s="173"/>
      <c r="BC2717" s="173"/>
    </row>
    <row r="2718" spans="2:55" s="134" customFormat="1" x14ac:dyDescent="0.2">
      <c r="B2718" s="145"/>
      <c r="D2718" s="145"/>
      <c r="Z2718" s="177"/>
      <c r="AA2718" s="178"/>
      <c r="AB2718" s="139"/>
      <c r="AC2718" s="173"/>
      <c r="AD2718" s="177"/>
      <c r="AE2718" s="177"/>
      <c r="AF2718" s="139"/>
      <c r="AG2718" s="139"/>
      <c r="AH2718" s="177"/>
      <c r="AI2718" s="178"/>
      <c r="AJ2718" s="139"/>
      <c r="AK2718" s="173"/>
      <c r="AL2718" s="177"/>
      <c r="AM2718" s="178"/>
      <c r="AN2718" s="173"/>
      <c r="AO2718" s="173"/>
      <c r="AP2718" s="173"/>
      <c r="AQ2718" s="178"/>
      <c r="AR2718" s="173"/>
      <c r="AS2718" s="173"/>
      <c r="AT2718" s="140"/>
      <c r="AX2718" s="140"/>
      <c r="BB2718" s="173"/>
      <c r="BC2718" s="173"/>
    </row>
    <row r="2719" spans="2:55" s="134" customFormat="1" x14ac:dyDescent="0.2">
      <c r="B2719" s="145"/>
      <c r="D2719" s="145"/>
      <c r="Z2719" s="177"/>
      <c r="AA2719" s="178"/>
      <c r="AB2719" s="139"/>
      <c r="AC2719" s="173"/>
      <c r="AD2719" s="177"/>
      <c r="AE2719" s="177"/>
      <c r="AF2719" s="139"/>
      <c r="AG2719" s="139"/>
      <c r="AH2719" s="177"/>
      <c r="AI2719" s="178"/>
      <c r="AJ2719" s="139"/>
      <c r="AK2719" s="173"/>
      <c r="AL2719" s="177"/>
      <c r="AM2719" s="178"/>
      <c r="AN2719" s="173"/>
      <c r="AO2719" s="173"/>
      <c r="AP2719" s="173"/>
      <c r="AQ2719" s="178"/>
      <c r="AR2719" s="173"/>
      <c r="AS2719" s="173"/>
      <c r="AT2719" s="140"/>
      <c r="AX2719" s="140"/>
      <c r="BB2719" s="173"/>
      <c r="BC2719" s="173"/>
    </row>
    <row r="2720" spans="2:55" s="134" customFormat="1" x14ac:dyDescent="0.2">
      <c r="B2720" s="145"/>
      <c r="D2720" s="145"/>
      <c r="Z2720" s="177"/>
      <c r="AA2720" s="178"/>
      <c r="AB2720" s="139"/>
      <c r="AC2720" s="173"/>
      <c r="AD2720" s="177"/>
      <c r="AE2720" s="177"/>
      <c r="AF2720" s="139"/>
      <c r="AG2720" s="139"/>
      <c r="AH2720" s="177"/>
      <c r="AI2720" s="178"/>
      <c r="AJ2720" s="139"/>
      <c r="AK2720" s="173"/>
      <c r="AL2720" s="177"/>
      <c r="AM2720" s="178"/>
      <c r="AN2720" s="173"/>
      <c r="AO2720" s="173"/>
      <c r="AP2720" s="173"/>
      <c r="AQ2720" s="178"/>
      <c r="AR2720" s="173"/>
      <c r="AS2720" s="173"/>
      <c r="AT2720" s="140"/>
      <c r="AX2720" s="140"/>
      <c r="BB2720" s="173"/>
      <c r="BC2720" s="173"/>
    </row>
    <row r="2721" spans="2:55" s="134" customFormat="1" x14ac:dyDescent="0.2">
      <c r="B2721" s="145"/>
      <c r="D2721" s="145"/>
      <c r="Z2721" s="177"/>
      <c r="AA2721" s="178"/>
      <c r="AB2721" s="139"/>
      <c r="AC2721" s="173"/>
      <c r="AD2721" s="177"/>
      <c r="AE2721" s="177"/>
      <c r="AF2721" s="139"/>
      <c r="AG2721" s="139"/>
      <c r="AH2721" s="177"/>
      <c r="AI2721" s="178"/>
      <c r="AJ2721" s="139"/>
      <c r="AK2721" s="173"/>
      <c r="AL2721" s="177"/>
      <c r="AM2721" s="178"/>
      <c r="AN2721" s="173"/>
      <c r="AO2721" s="173"/>
      <c r="AP2721" s="173"/>
      <c r="AQ2721" s="178"/>
      <c r="AR2721" s="173"/>
      <c r="AS2721" s="173"/>
      <c r="AT2721" s="140"/>
      <c r="AX2721" s="140"/>
      <c r="BB2721" s="173"/>
      <c r="BC2721" s="173"/>
    </row>
    <row r="2722" spans="2:55" s="134" customFormat="1" x14ac:dyDescent="0.2">
      <c r="B2722" s="145"/>
      <c r="D2722" s="145"/>
      <c r="Z2722" s="177"/>
      <c r="AA2722" s="178"/>
      <c r="AB2722" s="139"/>
      <c r="AC2722" s="173"/>
      <c r="AD2722" s="177"/>
      <c r="AE2722" s="177"/>
      <c r="AF2722" s="139"/>
      <c r="AG2722" s="139"/>
      <c r="AH2722" s="177"/>
      <c r="AI2722" s="178"/>
      <c r="AJ2722" s="139"/>
      <c r="AK2722" s="173"/>
      <c r="AL2722" s="177"/>
      <c r="AM2722" s="178"/>
      <c r="AN2722" s="173"/>
      <c r="AO2722" s="173"/>
      <c r="AP2722" s="173"/>
      <c r="AQ2722" s="178"/>
      <c r="AR2722" s="173"/>
      <c r="AS2722" s="173"/>
      <c r="AT2722" s="140"/>
      <c r="AX2722" s="140"/>
      <c r="BB2722" s="173"/>
      <c r="BC2722" s="173"/>
    </row>
    <row r="2723" spans="2:55" s="134" customFormat="1" x14ac:dyDescent="0.2">
      <c r="B2723" s="145"/>
      <c r="D2723" s="145"/>
      <c r="Z2723" s="177"/>
      <c r="AA2723" s="178"/>
      <c r="AB2723" s="139"/>
      <c r="AC2723" s="173"/>
      <c r="AD2723" s="177"/>
      <c r="AE2723" s="177"/>
      <c r="AF2723" s="139"/>
      <c r="AG2723" s="139"/>
      <c r="AH2723" s="177"/>
      <c r="AI2723" s="178"/>
      <c r="AJ2723" s="139"/>
      <c r="AK2723" s="173"/>
      <c r="AL2723" s="177"/>
      <c r="AM2723" s="178"/>
      <c r="AN2723" s="173"/>
      <c r="AO2723" s="173"/>
      <c r="AP2723" s="173"/>
      <c r="AQ2723" s="178"/>
      <c r="AR2723" s="173"/>
      <c r="AS2723" s="173"/>
      <c r="AT2723" s="140"/>
      <c r="AX2723" s="140"/>
      <c r="BB2723" s="173"/>
      <c r="BC2723" s="173"/>
    </row>
    <row r="2724" spans="2:55" s="134" customFormat="1" x14ac:dyDescent="0.2">
      <c r="B2724" s="145"/>
      <c r="D2724" s="145"/>
      <c r="Z2724" s="177"/>
      <c r="AA2724" s="178"/>
      <c r="AB2724" s="139"/>
      <c r="AC2724" s="173"/>
      <c r="AD2724" s="177"/>
      <c r="AE2724" s="177"/>
      <c r="AF2724" s="139"/>
      <c r="AG2724" s="139"/>
      <c r="AH2724" s="177"/>
      <c r="AI2724" s="178"/>
      <c r="AJ2724" s="139"/>
      <c r="AK2724" s="173"/>
      <c r="AL2724" s="177"/>
      <c r="AM2724" s="178"/>
      <c r="AN2724" s="173"/>
      <c r="AO2724" s="173"/>
      <c r="AP2724" s="173"/>
      <c r="AQ2724" s="178"/>
      <c r="AR2724" s="173"/>
      <c r="AS2724" s="173"/>
      <c r="AT2724" s="140"/>
      <c r="AX2724" s="140"/>
      <c r="BB2724" s="173"/>
      <c r="BC2724" s="173"/>
    </row>
    <row r="2725" spans="2:55" s="134" customFormat="1" x14ac:dyDescent="0.2">
      <c r="B2725" s="145"/>
      <c r="D2725" s="145"/>
      <c r="Z2725" s="177"/>
      <c r="AA2725" s="178"/>
      <c r="AB2725" s="139"/>
      <c r="AC2725" s="173"/>
      <c r="AD2725" s="177"/>
      <c r="AE2725" s="177"/>
      <c r="AF2725" s="139"/>
      <c r="AG2725" s="139"/>
      <c r="AH2725" s="177"/>
      <c r="AI2725" s="178"/>
      <c r="AJ2725" s="139"/>
      <c r="AK2725" s="173"/>
      <c r="AL2725" s="177"/>
      <c r="AM2725" s="178"/>
      <c r="AN2725" s="173"/>
      <c r="AO2725" s="173"/>
      <c r="AP2725" s="173"/>
      <c r="AQ2725" s="178"/>
      <c r="AR2725" s="173"/>
      <c r="AS2725" s="173"/>
      <c r="AT2725" s="140"/>
      <c r="AX2725" s="140"/>
      <c r="BB2725" s="173"/>
      <c r="BC2725" s="173"/>
    </row>
    <row r="2726" spans="2:55" s="134" customFormat="1" x14ac:dyDescent="0.2">
      <c r="B2726" s="145"/>
      <c r="D2726" s="145"/>
      <c r="Z2726" s="177"/>
      <c r="AA2726" s="178"/>
      <c r="AB2726" s="139"/>
      <c r="AC2726" s="173"/>
      <c r="AD2726" s="177"/>
      <c r="AE2726" s="177"/>
      <c r="AF2726" s="139"/>
      <c r="AG2726" s="139"/>
      <c r="AH2726" s="177"/>
      <c r="AI2726" s="178"/>
      <c r="AJ2726" s="139"/>
      <c r="AK2726" s="173"/>
      <c r="AL2726" s="177"/>
      <c r="AM2726" s="178"/>
      <c r="AN2726" s="173"/>
      <c r="AO2726" s="173"/>
      <c r="AP2726" s="173"/>
      <c r="AQ2726" s="178"/>
      <c r="AR2726" s="173"/>
      <c r="AS2726" s="173"/>
      <c r="AT2726" s="140"/>
      <c r="AX2726" s="140"/>
      <c r="BB2726" s="173"/>
      <c r="BC2726" s="173"/>
    </row>
    <row r="2727" spans="2:55" s="134" customFormat="1" x14ac:dyDescent="0.2">
      <c r="B2727" s="145"/>
      <c r="D2727" s="145"/>
      <c r="Z2727" s="177"/>
      <c r="AA2727" s="178"/>
      <c r="AB2727" s="139"/>
      <c r="AC2727" s="173"/>
      <c r="AD2727" s="177"/>
      <c r="AE2727" s="177"/>
      <c r="AF2727" s="139"/>
      <c r="AG2727" s="139"/>
      <c r="AH2727" s="177"/>
      <c r="AI2727" s="178"/>
      <c r="AJ2727" s="139"/>
      <c r="AK2727" s="173"/>
      <c r="AL2727" s="177"/>
      <c r="AM2727" s="178"/>
      <c r="AN2727" s="173"/>
      <c r="AO2727" s="173"/>
      <c r="AP2727" s="173"/>
      <c r="AQ2727" s="178"/>
      <c r="AR2727" s="173"/>
      <c r="AS2727" s="173"/>
      <c r="AT2727" s="140"/>
      <c r="AX2727" s="140"/>
      <c r="BB2727" s="173"/>
      <c r="BC2727" s="173"/>
    </row>
    <row r="2728" spans="2:55" s="134" customFormat="1" x14ac:dyDescent="0.2">
      <c r="B2728" s="145"/>
      <c r="D2728" s="145"/>
      <c r="Z2728" s="177"/>
      <c r="AA2728" s="178"/>
      <c r="AB2728" s="139"/>
      <c r="AC2728" s="173"/>
      <c r="AD2728" s="177"/>
      <c r="AE2728" s="177"/>
      <c r="AF2728" s="139"/>
      <c r="AG2728" s="139"/>
      <c r="AH2728" s="177"/>
      <c r="AI2728" s="178"/>
      <c r="AJ2728" s="139"/>
      <c r="AK2728" s="173"/>
      <c r="AL2728" s="177"/>
      <c r="AM2728" s="178"/>
      <c r="AN2728" s="173"/>
      <c r="AO2728" s="173"/>
      <c r="AP2728" s="173"/>
      <c r="AQ2728" s="178"/>
      <c r="AR2728" s="173"/>
      <c r="AS2728" s="173"/>
      <c r="AT2728" s="140"/>
      <c r="AX2728" s="140"/>
      <c r="BB2728" s="173"/>
      <c r="BC2728" s="173"/>
    </row>
    <row r="2729" spans="2:55" s="134" customFormat="1" x14ac:dyDescent="0.2">
      <c r="B2729" s="145"/>
      <c r="D2729" s="145"/>
      <c r="Z2729" s="177"/>
      <c r="AA2729" s="178"/>
      <c r="AB2729" s="139"/>
      <c r="AC2729" s="173"/>
      <c r="AD2729" s="177"/>
      <c r="AE2729" s="177"/>
      <c r="AF2729" s="139"/>
      <c r="AG2729" s="139"/>
      <c r="AH2729" s="177"/>
      <c r="AI2729" s="178"/>
      <c r="AJ2729" s="139"/>
      <c r="AK2729" s="173"/>
      <c r="AL2729" s="177"/>
      <c r="AM2729" s="178"/>
      <c r="AN2729" s="173"/>
      <c r="AO2729" s="173"/>
      <c r="AP2729" s="173"/>
      <c r="AQ2729" s="178"/>
      <c r="AR2729" s="173"/>
      <c r="AS2729" s="173"/>
      <c r="AT2729" s="140"/>
      <c r="AX2729" s="140"/>
      <c r="BB2729" s="173"/>
      <c r="BC2729" s="173"/>
    </row>
    <row r="2730" spans="2:55" s="134" customFormat="1" x14ac:dyDescent="0.2">
      <c r="B2730" s="145"/>
      <c r="D2730" s="145"/>
      <c r="Z2730" s="177"/>
      <c r="AA2730" s="178"/>
      <c r="AB2730" s="139"/>
      <c r="AC2730" s="173"/>
      <c r="AD2730" s="177"/>
      <c r="AE2730" s="177"/>
      <c r="AF2730" s="139"/>
      <c r="AG2730" s="139"/>
      <c r="AH2730" s="177"/>
      <c r="AI2730" s="178"/>
      <c r="AJ2730" s="139"/>
      <c r="AK2730" s="173"/>
      <c r="AL2730" s="177"/>
      <c r="AM2730" s="178"/>
      <c r="AN2730" s="173"/>
      <c r="AO2730" s="173"/>
      <c r="AP2730" s="173"/>
      <c r="AQ2730" s="178"/>
      <c r="AR2730" s="173"/>
      <c r="AS2730" s="173"/>
      <c r="AT2730" s="140"/>
      <c r="AX2730" s="140"/>
      <c r="BB2730" s="173"/>
      <c r="BC2730" s="173"/>
    </row>
    <row r="2731" spans="2:55" s="134" customFormat="1" x14ac:dyDescent="0.2">
      <c r="B2731" s="145"/>
      <c r="D2731" s="145"/>
      <c r="Z2731" s="177"/>
      <c r="AA2731" s="178"/>
      <c r="AB2731" s="139"/>
      <c r="AC2731" s="173"/>
      <c r="AD2731" s="177"/>
      <c r="AE2731" s="177"/>
      <c r="AF2731" s="139"/>
      <c r="AG2731" s="139"/>
      <c r="AH2731" s="177"/>
      <c r="AI2731" s="178"/>
      <c r="AJ2731" s="139"/>
      <c r="AK2731" s="173"/>
      <c r="AL2731" s="177"/>
      <c r="AM2731" s="178"/>
      <c r="AN2731" s="173"/>
      <c r="AO2731" s="173"/>
      <c r="AP2731" s="173"/>
      <c r="AQ2731" s="178"/>
      <c r="AR2731" s="173"/>
      <c r="AS2731" s="173"/>
      <c r="AT2731" s="140"/>
      <c r="AX2731" s="140"/>
      <c r="BB2731" s="173"/>
      <c r="BC2731" s="173"/>
    </row>
    <row r="2732" spans="2:55" s="134" customFormat="1" x14ac:dyDescent="0.2">
      <c r="B2732" s="145"/>
      <c r="D2732" s="145"/>
      <c r="Z2732" s="177"/>
      <c r="AA2732" s="178"/>
      <c r="AB2732" s="139"/>
      <c r="AC2732" s="173"/>
      <c r="AD2732" s="177"/>
      <c r="AE2732" s="177"/>
      <c r="AF2732" s="139"/>
      <c r="AG2732" s="139"/>
      <c r="AH2732" s="177"/>
      <c r="AI2732" s="178"/>
      <c r="AJ2732" s="139"/>
      <c r="AK2732" s="173"/>
      <c r="AL2732" s="177"/>
      <c r="AM2732" s="178"/>
      <c r="AN2732" s="173"/>
      <c r="AO2732" s="173"/>
      <c r="AP2732" s="173"/>
      <c r="AQ2732" s="178"/>
      <c r="AR2732" s="173"/>
      <c r="AS2732" s="173"/>
      <c r="AT2732" s="140"/>
      <c r="AX2732" s="140"/>
      <c r="BB2732" s="173"/>
      <c r="BC2732" s="173"/>
    </row>
    <row r="2733" spans="2:55" s="134" customFormat="1" x14ac:dyDescent="0.2">
      <c r="B2733" s="145"/>
      <c r="D2733" s="145"/>
      <c r="Z2733" s="177"/>
      <c r="AA2733" s="178"/>
      <c r="AB2733" s="139"/>
      <c r="AC2733" s="173"/>
      <c r="AD2733" s="177"/>
      <c r="AE2733" s="177"/>
      <c r="AF2733" s="139"/>
      <c r="AG2733" s="139"/>
      <c r="AH2733" s="177"/>
      <c r="AI2733" s="178"/>
      <c r="AJ2733" s="139"/>
      <c r="AK2733" s="173"/>
      <c r="AL2733" s="177"/>
      <c r="AM2733" s="178"/>
      <c r="AN2733" s="173"/>
      <c r="AO2733" s="173"/>
      <c r="AP2733" s="173"/>
      <c r="AQ2733" s="178"/>
      <c r="AR2733" s="173"/>
      <c r="AS2733" s="173"/>
      <c r="AT2733" s="140"/>
      <c r="AX2733" s="140"/>
      <c r="BB2733" s="173"/>
      <c r="BC2733" s="173"/>
    </row>
    <row r="2734" spans="2:55" s="134" customFormat="1" x14ac:dyDescent="0.2">
      <c r="B2734" s="145"/>
      <c r="D2734" s="145"/>
      <c r="Z2734" s="177"/>
      <c r="AA2734" s="178"/>
      <c r="AB2734" s="139"/>
      <c r="AC2734" s="173"/>
      <c r="AD2734" s="177"/>
      <c r="AE2734" s="177"/>
      <c r="AF2734" s="139"/>
      <c r="AG2734" s="139"/>
      <c r="AH2734" s="177"/>
      <c r="AI2734" s="178"/>
      <c r="AJ2734" s="139"/>
      <c r="AK2734" s="173"/>
      <c r="AL2734" s="177"/>
      <c r="AM2734" s="178"/>
      <c r="AN2734" s="173"/>
      <c r="AO2734" s="173"/>
      <c r="AP2734" s="173"/>
      <c r="AQ2734" s="178"/>
      <c r="AR2734" s="173"/>
      <c r="AS2734" s="173"/>
      <c r="AT2734" s="140"/>
      <c r="AX2734" s="140"/>
      <c r="BB2734" s="173"/>
      <c r="BC2734" s="173"/>
    </row>
    <row r="2735" spans="2:55" s="134" customFormat="1" x14ac:dyDescent="0.2">
      <c r="B2735" s="145"/>
      <c r="D2735" s="145"/>
      <c r="Z2735" s="177"/>
      <c r="AA2735" s="178"/>
      <c r="AB2735" s="139"/>
      <c r="AC2735" s="173"/>
      <c r="AD2735" s="177"/>
      <c r="AE2735" s="177"/>
      <c r="AF2735" s="139"/>
      <c r="AG2735" s="139"/>
      <c r="AH2735" s="177"/>
      <c r="AI2735" s="178"/>
      <c r="AJ2735" s="139"/>
      <c r="AK2735" s="173"/>
      <c r="AL2735" s="177"/>
      <c r="AM2735" s="178"/>
      <c r="AN2735" s="173"/>
      <c r="AO2735" s="173"/>
      <c r="AP2735" s="173"/>
      <c r="AQ2735" s="178"/>
      <c r="AR2735" s="173"/>
      <c r="AS2735" s="173"/>
      <c r="AT2735" s="140"/>
      <c r="AX2735" s="140"/>
      <c r="BB2735" s="173"/>
      <c r="BC2735" s="173"/>
    </row>
    <row r="2736" spans="2:55" s="134" customFormat="1" x14ac:dyDescent="0.2">
      <c r="B2736" s="145"/>
      <c r="D2736" s="145"/>
      <c r="Z2736" s="177"/>
      <c r="AA2736" s="178"/>
      <c r="AB2736" s="139"/>
      <c r="AC2736" s="173"/>
      <c r="AD2736" s="177"/>
      <c r="AE2736" s="177"/>
      <c r="AF2736" s="139"/>
      <c r="AG2736" s="139"/>
      <c r="AH2736" s="177"/>
      <c r="AI2736" s="178"/>
      <c r="AJ2736" s="139"/>
      <c r="AK2736" s="173"/>
      <c r="AL2736" s="177"/>
      <c r="AM2736" s="178"/>
      <c r="AN2736" s="173"/>
      <c r="AO2736" s="173"/>
      <c r="AP2736" s="173"/>
      <c r="AQ2736" s="178"/>
      <c r="AR2736" s="173"/>
      <c r="AS2736" s="173"/>
      <c r="AT2736" s="140"/>
      <c r="AX2736" s="140"/>
      <c r="BB2736" s="173"/>
      <c r="BC2736" s="173"/>
    </row>
    <row r="2737" spans="2:55" s="134" customFormat="1" x14ac:dyDescent="0.2">
      <c r="B2737" s="145"/>
      <c r="D2737" s="145"/>
      <c r="Z2737" s="177"/>
      <c r="AA2737" s="178"/>
      <c r="AB2737" s="139"/>
      <c r="AC2737" s="173"/>
      <c r="AD2737" s="177"/>
      <c r="AE2737" s="177"/>
      <c r="AF2737" s="139"/>
      <c r="AG2737" s="139"/>
      <c r="AH2737" s="177"/>
      <c r="AI2737" s="178"/>
      <c r="AJ2737" s="139"/>
      <c r="AK2737" s="173"/>
      <c r="AL2737" s="177"/>
      <c r="AM2737" s="178"/>
      <c r="AN2737" s="173"/>
      <c r="AO2737" s="173"/>
      <c r="AP2737" s="173"/>
      <c r="AQ2737" s="178"/>
      <c r="AR2737" s="173"/>
      <c r="AS2737" s="173"/>
      <c r="AT2737" s="140"/>
      <c r="AX2737" s="140"/>
      <c r="BB2737" s="173"/>
      <c r="BC2737" s="173"/>
    </row>
    <row r="2738" spans="2:55" s="134" customFormat="1" x14ac:dyDescent="0.2">
      <c r="B2738" s="145"/>
      <c r="D2738" s="145"/>
      <c r="Z2738" s="177"/>
      <c r="AA2738" s="178"/>
      <c r="AB2738" s="139"/>
      <c r="AC2738" s="173"/>
      <c r="AD2738" s="177"/>
      <c r="AE2738" s="177"/>
      <c r="AF2738" s="139"/>
      <c r="AG2738" s="139"/>
      <c r="AH2738" s="177"/>
      <c r="AI2738" s="178"/>
      <c r="AJ2738" s="139"/>
      <c r="AK2738" s="173"/>
      <c r="AL2738" s="177"/>
      <c r="AM2738" s="178"/>
      <c r="AN2738" s="173"/>
      <c r="AO2738" s="173"/>
      <c r="AP2738" s="173"/>
      <c r="AQ2738" s="178"/>
      <c r="AR2738" s="173"/>
      <c r="AS2738" s="173"/>
      <c r="AT2738" s="140"/>
      <c r="AX2738" s="140"/>
      <c r="BB2738" s="173"/>
      <c r="BC2738" s="173"/>
    </row>
    <row r="2739" spans="2:55" s="134" customFormat="1" x14ac:dyDescent="0.2">
      <c r="B2739" s="145"/>
      <c r="D2739" s="145"/>
      <c r="Z2739" s="177"/>
      <c r="AA2739" s="178"/>
      <c r="AB2739" s="139"/>
      <c r="AC2739" s="173"/>
      <c r="AD2739" s="177"/>
      <c r="AE2739" s="177"/>
      <c r="AF2739" s="139"/>
      <c r="AG2739" s="139"/>
      <c r="AH2739" s="177"/>
      <c r="AI2739" s="178"/>
      <c r="AJ2739" s="139"/>
      <c r="AK2739" s="173"/>
      <c r="AL2739" s="177"/>
      <c r="AM2739" s="178"/>
      <c r="AN2739" s="173"/>
      <c r="AO2739" s="173"/>
      <c r="AP2739" s="173"/>
      <c r="AQ2739" s="178"/>
      <c r="AR2739" s="173"/>
      <c r="AS2739" s="173"/>
      <c r="AT2739" s="140"/>
      <c r="AX2739" s="140"/>
      <c r="BB2739" s="173"/>
      <c r="BC2739" s="173"/>
    </row>
    <row r="2740" spans="2:55" s="134" customFormat="1" x14ac:dyDescent="0.2">
      <c r="B2740" s="145"/>
      <c r="D2740" s="145"/>
      <c r="Z2740" s="177"/>
      <c r="AA2740" s="178"/>
      <c r="AB2740" s="139"/>
      <c r="AC2740" s="173"/>
      <c r="AD2740" s="177"/>
      <c r="AE2740" s="177"/>
      <c r="AF2740" s="139"/>
      <c r="AG2740" s="139"/>
      <c r="AH2740" s="177"/>
      <c r="AI2740" s="178"/>
      <c r="AJ2740" s="139"/>
      <c r="AK2740" s="173"/>
      <c r="AL2740" s="177"/>
      <c r="AM2740" s="178"/>
      <c r="AN2740" s="173"/>
      <c r="AO2740" s="173"/>
      <c r="AP2740" s="173"/>
      <c r="AQ2740" s="178"/>
      <c r="AR2740" s="173"/>
      <c r="AS2740" s="173"/>
      <c r="AT2740" s="140"/>
      <c r="AX2740" s="140"/>
      <c r="BB2740" s="173"/>
      <c r="BC2740" s="173"/>
    </row>
    <row r="2741" spans="2:55" s="134" customFormat="1" x14ac:dyDescent="0.2">
      <c r="B2741" s="145"/>
      <c r="D2741" s="145"/>
      <c r="Z2741" s="177"/>
      <c r="AA2741" s="178"/>
      <c r="AB2741" s="139"/>
      <c r="AC2741" s="173"/>
      <c r="AD2741" s="177"/>
      <c r="AE2741" s="177"/>
      <c r="AF2741" s="139"/>
      <c r="AG2741" s="139"/>
      <c r="AH2741" s="177"/>
      <c r="AI2741" s="178"/>
      <c r="AJ2741" s="139"/>
      <c r="AK2741" s="173"/>
      <c r="AL2741" s="177"/>
      <c r="AM2741" s="178"/>
      <c r="AN2741" s="173"/>
      <c r="AO2741" s="173"/>
      <c r="AP2741" s="173"/>
      <c r="AQ2741" s="178"/>
      <c r="AR2741" s="173"/>
      <c r="AS2741" s="173"/>
      <c r="AT2741" s="140"/>
      <c r="AX2741" s="140"/>
      <c r="BB2741" s="173"/>
      <c r="BC2741" s="173"/>
    </row>
    <row r="2742" spans="2:55" s="134" customFormat="1" x14ac:dyDescent="0.2">
      <c r="B2742" s="145"/>
      <c r="D2742" s="145"/>
      <c r="Z2742" s="177"/>
      <c r="AA2742" s="178"/>
      <c r="AB2742" s="139"/>
      <c r="AC2742" s="173"/>
      <c r="AD2742" s="177"/>
      <c r="AE2742" s="177"/>
      <c r="AF2742" s="139"/>
      <c r="AG2742" s="139"/>
      <c r="AH2742" s="177"/>
      <c r="AI2742" s="178"/>
      <c r="AJ2742" s="139"/>
      <c r="AK2742" s="173"/>
      <c r="AL2742" s="177"/>
      <c r="AM2742" s="178"/>
      <c r="AN2742" s="173"/>
      <c r="AO2742" s="173"/>
      <c r="AP2742" s="173"/>
      <c r="AQ2742" s="178"/>
      <c r="AR2742" s="173"/>
      <c r="AS2742" s="173"/>
      <c r="AT2742" s="140"/>
      <c r="AX2742" s="140"/>
      <c r="BB2742" s="173"/>
      <c r="BC2742" s="173"/>
    </row>
    <row r="2743" spans="2:55" s="134" customFormat="1" x14ac:dyDescent="0.2">
      <c r="B2743" s="145"/>
      <c r="D2743" s="145"/>
      <c r="Z2743" s="177"/>
      <c r="AA2743" s="178"/>
      <c r="AB2743" s="139"/>
      <c r="AC2743" s="173"/>
      <c r="AD2743" s="177"/>
      <c r="AE2743" s="177"/>
      <c r="AF2743" s="139"/>
      <c r="AG2743" s="139"/>
      <c r="AH2743" s="177"/>
      <c r="AI2743" s="178"/>
      <c r="AJ2743" s="139"/>
      <c r="AK2743" s="173"/>
      <c r="AL2743" s="177"/>
      <c r="AM2743" s="178"/>
      <c r="AN2743" s="173"/>
      <c r="AO2743" s="173"/>
      <c r="AP2743" s="173"/>
      <c r="AQ2743" s="178"/>
      <c r="AR2743" s="173"/>
      <c r="AS2743" s="173"/>
      <c r="AT2743" s="140"/>
      <c r="AX2743" s="140"/>
      <c r="BB2743" s="173"/>
      <c r="BC2743" s="173"/>
    </row>
    <row r="2744" spans="2:55" s="134" customFormat="1" x14ac:dyDescent="0.2">
      <c r="B2744" s="145"/>
      <c r="D2744" s="145"/>
      <c r="Z2744" s="177"/>
      <c r="AA2744" s="178"/>
      <c r="AB2744" s="139"/>
      <c r="AC2744" s="173"/>
      <c r="AD2744" s="177"/>
      <c r="AE2744" s="177"/>
      <c r="AF2744" s="139"/>
      <c r="AG2744" s="139"/>
      <c r="AH2744" s="177"/>
      <c r="AI2744" s="178"/>
      <c r="AJ2744" s="139"/>
      <c r="AK2744" s="173"/>
      <c r="AL2744" s="177"/>
      <c r="AM2744" s="178"/>
      <c r="AN2744" s="173"/>
      <c r="AO2744" s="173"/>
      <c r="AP2744" s="173"/>
      <c r="AQ2744" s="178"/>
      <c r="AR2744" s="173"/>
      <c r="AS2744" s="173"/>
      <c r="AT2744" s="140"/>
      <c r="AX2744" s="140"/>
      <c r="BB2744" s="173"/>
      <c r="BC2744" s="173"/>
    </row>
    <row r="2745" spans="2:55" s="134" customFormat="1" x14ac:dyDescent="0.2">
      <c r="B2745" s="145"/>
      <c r="D2745" s="145"/>
      <c r="Z2745" s="177"/>
      <c r="AA2745" s="178"/>
      <c r="AB2745" s="139"/>
      <c r="AC2745" s="173"/>
      <c r="AD2745" s="177"/>
      <c r="AE2745" s="177"/>
      <c r="AF2745" s="139"/>
      <c r="AG2745" s="139"/>
      <c r="AH2745" s="177"/>
      <c r="AI2745" s="178"/>
      <c r="AJ2745" s="139"/>
      <c r="AK2745" s="173"/>
      <c r="AL2745" s="177"/>
      <c r="AM2745" s="178"/>
      <c r="AN2745" s="173"/>
      <c r="AO2745" s="173"/>
      <c r="AP2745" s="173"/>
      <c r="AQ2745" s="178"/>
      <c r="AR2745" s="173"/>
      <c r="AS2745" s="173"/>
      <c r="AT2745" s="140"/>
      <c r="AX2745" s="140"/>
      <c r="BB2745" s="173"/>
      <c r="BC2745" s="173"/>
    </row>
    <row r="2746" spans="2:55" s="134" customFormat="1" x14ac:dyDescent="0.2">
      <c r="B2746" s="145"/>
      <c r="D2746" s="145"/>
      <c r="Z2746" s="177"/>
      <c r="AA2746" s="178"/>
      <c r="AB2746" s="139"/>
      <c r="AC2746" s="173"/>
      <c r="AD2746" s="177"/>
      <c r="AE2746" s="177"/>
      <c r="AF2746" s="139"/>
      <c r="AG2746" s="139"/>
      <c r="AH2746" s="177"/>
      <c r="AI2746" s="178"/>
      <c r="AJ2746" s="139"/>
      <c r="AK2746" s="173"/>
      <c r="AL2746" s="177"/>
      <c r="AM2746" s="178"/>
      <c r="AN2746" s="173"/>
      <c r="AO2746" s="173"/>
      <c r="AP2746" s="173"/>
      <c r="AQ2746" s="178"/>
      <c r="AR2746" s="173"/>
      <c r="AS2746" s="173"/>
      <c r="AT2746" s="140"/>
      <c r="AX2746" s="140"/>
      <c r="BB2746" s="173"/>
      <c r="BC2746" s="173"/>
    </row>
    <row r="2747" spans="2:55" s="134" customFormat="1" x14ac:dyDescent="0.2">
      <c r="B2747" s="145"/>
      <c r="D2747" s="145"/>
      <c r="Z2747" s="177"/>
      <c r="AA2747" s="178"/>
      <c r="AB2747" s="139"/>
      <c r="AC2747" s="173"/>
      <c r="AD2747" s="177"/>
      <c r="AE2747" s="177"/>
      <c r="AF2747" s="139"/>
      <c r="AG2747" s="139"/>
      <c r="AH2747" s="177"/>
      <c r="AI2747" s="178"/>
      <c r="AJ2747" s="139"/>
      <c r="AK2747" s="173"/>
      <c r="AL2747" s="177"/>
      <c r="AM2747" s="178"/>
      <c r="AN2747" s="173"/>
      <c r="AO2747" s="173"/>
      <c r="AP2747" s="173"/>
      <c r="AQ2747" s="178"/>
      <c r="AR2747" s="173"/>
      <c r="AS2747" s="173"/>
      <c r="AT2747" s="140"/>
      <c r="AX2747" s="140"/>
      <c r="BB2747" s="173"/>
      <c r="BC2747" s="173"/>
    </row>
    <row r="2748" spans="2:55" s="134" customFormat="1" x14ac:dyDescent="0.2">
      <c r="B2748" s="145"/>
      <c r="D2748" s="145"/>
      <c r="Z2748" s="177"/>
      <c r="AA2748" s="178"/>
      <c r="AB2748" s="139"/>
      <c r="AC2748" s="173"/>
      <c r="AD2748" s="177"/>
      <c r="AE2748" s="177"/>
      <c r="AF2748" s="139"/>
      <c r="AG2748" s="139"/>
      <c r="AH2748" s="177"/>
      <c r="AI2748" s="178"/>
      <c r="AJ2748" s="139"/>
      <c r="AK2748" s="173"/>
      <c r="AL2748" s="177"/>
      <c r="AM2748" s="178"/>
      <c r="AN2748" s="173"/>
      <c r="AO2748" s="173"/>
      <c r="AP2748" s="173"/>
      <c r="AQ2748" s="178"/>
      <c r="AR2748" s="173"/>
      <c r="AS2748" s="173"/>
      <c r="AT2748" s="140"/>
      <c r="AX2748" s="140"/>
      <c r="BB2748" s="173"/>
      <c r="BC2748" s="173"/>
    </row>
    <row r="2749" spans="2:55" s="134" customFormat="1" x14ac:dyDescent="0.2">
      <c r="B2749" s="145"/>
      <c r="D2749" s="145"/>
      <c r="Z2749" s="177"/>
      <c r="AA2749" s="178"/>
      <c r="AB2749" s="139"/>
      <c r="AC2749" s="173"/>
      <c r="AD2749" s="177"/>
      <c r="AE2749" s="177"/>
      <c r="AF2749" s="139"/>
      <c r="AG2749" s="139"/>
      <c r="AH2749" s="177"/>
      <c r="AI2749" s="178"/>
      <c r="AJ2749" s="139"/>
      <c r="AK2749" s="173"/>
      <c r="AL2749" s="177"/>
      <c r="AM2749" s="178"/>
      <c r="AN2749" s="173"/>
      <c r="AO2749" s="173"/>
      <c r="AP2749" s="173"/>
      <c r="AQ2749" s="178"/>
      <c r="AR2749" s="173"/>
      <c r="AS2749" s="173"/>
      <c r="AT2749" s="140"/>
      <c r="AX2749" s="140"/>
      <c r="BB2749" s="173"/>
      <c r="BC2749" s="173"/>
    </row>
    <row r="2750" spans="2:55" s="134" customFormat="1" x14ac:dyDescent="0.2">
      <c r="B2750" s="145"/>
      <c r="D2750" s="145"/>
      <c r="Z2750" s="177"/>
      <c r="AA2750" s="178"/>
      <c r="AB2750" s="139"/>
      <c r="AC2750" s="173"/>
      <c r="AD2750" s="177"/>
      <c r="AE2750" s="177"/>
      <c r="AF2750" s="139"/>
      <c r="AG2750" s="139"/>
      <c r="AH2750" s="177"/>
      <c r="AI2750" s="178"/>
      <c r="AJ2750" s="139"/>
      <c r="AK2750" s="173"/>
      <c r="AL2750" s="177"/>
      <c r="AM2750" s="178"/>
      <c r="AN2750" s="173"/>
      <c r="AO2750" s="173"/>
      <c r="AP2750" s="173"/>
      <c r="AQ2750" s="178"/>
      <c r="AR2750" s="173"/>
      <c r="AS2750" s="173"/>
      <c r="AT2750" s="140"/>
      <c r="AX2750" s="140"/>
      <c r="BB2750" s="173"/>
      <c r="BC2750" s="173"/>
    </row>
    <row r="2751" spans="2:55" s="134" customFormat="1" x14ac:dyDescent="0.2">
      <c r="B2751" s="145"/>
      <c r="D2751" s="145"/>
      <c r="Z2751" s="177"/>
      <c r="AA2751" s="178"/>
      <c r="AB2751" s="139"/>
      <c r="AC2751" s="173"/>
      <c r="AD2751" s="177"/>
      <c r="AE2751" s="177"/>
      <c r="AF2751" s="139"/>
      <c r="AG2751" s="139"/>
      <c r="AH2751" s="177"/>
      <c r="AI2751" s="178"/>
      <c r="AJ2751" s="139"/>
      <c r="AK2751" s="173"/>
      <c r="AL2751" s="177"/>
      <c r="AM2751" s="178"/>
      <c r="AN2751" s="173"/>
      <c r="AO2751" s="173"/>
      <c r="AP2751" s="173"/>
      <c r="AQ2751" s="178"/>
      <c r="AR2751" s="173"/>
      <c r="AS2751" s="173"/>
      <c r="AT2751" s="140"/>
      <c r="AX2751" s="140"/>
      <c r="BB2751" s="173"/>
      <c r="BC2751" s="173"/>
    </row>
    <row r="2752" spans="2:55" s="134" customFormat="1" x14ac:dyDescent="0.2">
      <c r="B2752" s="145"/>
      <c r="D2752" s="145"/>
      <c r="Z2752" s="177"/>
      <c r="AA2752" s="178"/>
      <c r="AB2752" s="139"/>
      <c r="AC2752" s="173"/>
      <c r="AD2752" s="177"/>
      <c r="AE2752" s="177"/>
      <c r="AF2752" s="139"/>
      <c r="AG2752" s="139"/>
      <c r="AH2752" s="177"/>
      <c r="AI2752" s="178"/>
      <c r="AJ2752" s="139"/>
      <c r="AK2752" s="173"/>
      <c r="AL2752" s="177"/>
      <c r="AM2752" s="178"/>
      <c r="AN2752" s="173"/>
      <c r="AO2752" s="173"/>
      <c r="AP2752" s="173"/>
      <c r="AQ2752" s="178"/>
      <c r="AR2752" s="173"/>
      <c r="AS2752" s="173"/>
      <c r="AT2752" s="140"/>
      <c r="AX2752" s="140"/>
      <c r="BB2752" s="173"/>
      <c r="BC2752" s="173"/>
    </row>
    <row r="2753" spans="2:55" s="134" customFormat="1" x14ac:dyDescent="0.2">
      <c r="B2753" s="145"/>
      <c r="D2753" s="145"/>
      <c r="Z2753" s="177"/>
      <c r="AA2753" s="178"/>
      <c r="AB2753" s="139"/>
      <c r="AC2753" s="173"/>
      <c r="AD2753" s="177"/>
      <c r="AE2753" s="177"/>
      <c r="AF2753" s="139"/>
      <c r="AG2753" s="139"/>
      <c r="AH2753" s="177"/>
      <c r="AI2753" s="178"/>
      <c r="AJ2753" s="139"/>
      <c r="AK2753" s="173"/>
      <c r="AL2753" s="177"/>
      <c r="AM2753" s="178"/>
      <c r="AN2753" s="173"/>
      <c r="AO2753" s="173"/>
      <c r="AP2753" s="173"/>
      <c r="AQ2753" s="178"/>
      <c r="AR2753" s="173"/>
      <c r="AS2753" s="173"/>
      <c r="AT2753" s="140"/>
      <c r="AX2753" s="140"/>
      <c r="BB2753" s="173"/>
      <c r="BC2753" s="173"/>
    </row>
    <row r="2754" spans="2:55" s="134" customFormat="1" x14ac:dyDescent="0.2">
      <c r="B2754" s="145"/>
      <c r="D2754" s="145"/>
      <c r="Z2754" s="177"/>
      <c r="AA2754" s="178"/>
      <c r="AB2754" s="139"/>
      <c r="AC2754" s="173"/>
      <c r="AD2754" s="177"/>
      <c r="AE2754" s="177"/>
      <c r="AF2754" s="139"/>
      <c r="AG2754" s="139"/>
      <c r="AH2754" s="177"/>
      <c r="AI2754" s="178"/>
      <c r="AJ2754" s="139"/>
      <c r="AK2754" s="173"/>
      <c r="AL2754" s="177"/>
      <c r="AM2754" s="178"/>
      <c r="AN2754" s="173"/>
      <c r="AO2754" s="173"/>
      <c r="AP2754" s="173"/>
      <c r="AQ2754" s="178"/>
      <c r="AR2754" s="173"/>
      <c r="AS2754" s="173"/>
      <c r="AT2754" s="140"/>
      <c r="AX2754" s="140"/>
      <c r="BB2754" s="173"/>
      <c r="BC2754" s="173"/>
    </row>
    <row r="2755" spans="2:55" s="134" customFormat="1" x14ac:dyDescent="0.2">
      <c r="B2755" s="145"/>
      <c r="D2755" s="145"/>
      <c r="Z2755" s="177"/>
      <c r="AA2755" s="178"/>
      <c r="AB2755" s="139"/>
      <c r="AC2755" s="173"/>
      <c r="AD2755" s="177"/>
      <c r="AE2755" s="177"/>
      <c r="AF2755" s="139"/>
      <c r="AG2755" s="139"/>
      <c r="AH2755" s="177"/>
      <c r="AI2755" s="178"/>
      <c r="AJ2755" s="139"/>
      <c r="AK2755" s="173"/>
      <c r="AL2755" s="177"/>
      <c r="AM2755" s="178"/>
      <c r="AN2755" s="173"/>
      <c r="AO2755" s="173"/>
      <c r="AP2755" s="173"/>
      <c r="AQ2755" s="178"/>
      <c r="AR2755" s="173"/>
      <c r="AS2755" s="173"/>
      <c r="AT2755" s="140"/>
      <c r="AX2755" s="140"/>
      <c r="BB2755" s="173"/>
      <c r="BC2755" s="173"/>
    </row>
    <row r="2756" spans="2:55" s="134" customFormat="1" x14ac:dyDescent="0.2">
      <c r="B2756" s="145"/>
      <c r="D2756" s="145"/>
      <c r="Z2756" s="177"/>
      <c r="AA2756" s="178"/>
      <c r="AB2756" s="139"/>
      <c r="AC2756" s="173"/>
      <c r="AD2756" s="177"/>
      <c r="AE2756" s="177"/>
      <c r="AF2756" s="139"/>
      <c r="AG2756" s="139"/>
      <c r="AH2756" s="177"/>
      <c r="AI2756" s="178"/>
      <c r="AJ2756" s="139"/>
      <c r="AK2756" s="173"/>
      <c r="AL2756" s="177"/>
      <c r="AM2756" s="178"/>
      <c r="AN2756" s="173"/>
      <c r="AO2756" s="173"/>
      <c r="AP2756" s="173"/>
      <c r="AQ2756" s="178"/>
      <c r="AR2756" s="173"/>
      <c r="AS2756" s="173"/>
      <c r="AT2756" s="140"/>
      <c r="AX2756" s="140"/>
      <c r="BB2756" s="173"/>
      <c r="BC2756" s="173"/>
    </row>
    <row r="2757" spans="2:55" s="134" customFormat="1" x14ac:dyDescent="0.2">
      <c r="B2757" s="145"/>
      <c r="D2757" s="145"/>
      <c r="Z2757" s="177"/>
      <c r="AA2757" s="178"/>
      <c r="AB2757" s="139"/>
      <c r="AC2757" s="173"/>
      <c r="AD2757" s="177"/>
      <c r="AE2757" s="177"/>
      <c r="AF2757" s="139"/>
      <c r="AG2757" s="139"/>
      <c r="AH2757" s="177"/>
      <c r="AI2757" s="178"/>
      <c r="AJ2757" s="139"/>
      <c r="AK2757" s="173"/>
      <c r="AL2757" s="177"/>
      <c r="AM2757" s="178"/>
      <c r="AN2757" s="173"/>
      <c r="AO2757" s="173"/>
      <c r="AP2757" s="173"/>
      <c r="AQ2757" s="178"/>
      <c r="AR2757" s="173"/>
      <c r="AS2757" s="173"/>
      <c r="AT2757" s="140"/>
      <c r="AX2757" s="140"/>
      <c r="BB2757" s="173"/>
      <c r="BC2757" s="173"/>
    </row>
    <row r="2758" spans="2:55" s="134" customFormat="1" x14ac:dyDescent="0.2">
      <c r="B2758" s="145"/>
      <c r="D2758" s="145"/>
      <c r="Z2758" s="177"/>
      <c r="AA2758" s="178"/>
      <c r="AB2758" s="139"/>
      <c r="AC2758" s="173"/>
      <c r="AD2758" s="177"/>
      <c r="AE2758" s="177"/>
      <c r="AF2758" s="139"/>
      <c r="AG2758" s="139"/>
      <c r="AH2758" s="177"/>
      <c r="AI2758" s="178"/>
      <c r="AJ2758" s="139"/>
      <c r="AK2758" s="173"/>
      <c r="AL2758" s="177"/>
      <c r="AM2758" s="178"/>
      <c r="AN2758" s="173"/>
      <c r="AO2758" s="173"/>
      <c r="AP2758" s="173"/>
      <c r="AQ2758" s="178"/>
      <c r="AR2758" s="173"/>
      <c r="AS2758" s="173"/>
      <c r="AT2758" s="140"/>
      <c r="AX2758" s="140"/>
      <c r="BB2758" s="173"/>
      <c r="BC2758" s="173"/>
    </row>
    <row r="2759" spans="2:55" s="134" customFormat="1" x14ac:dyDescent="0.2">
      <c r="B2759" s="145"/>
      <c r="D2759" s="145"/>
      <c r="Z2759" s="177"/>
      <c r="AA2759" s="178"/>
      <c r="AB2759" s="139"/>
      <c r="AC2759" s="173"/>
      <c r="AD2759" s="177"/>
      <c r="AE2759" s="177"/>
      <c r="AF2759" s="139"/>
      <c r="AG2759" s="139"/>
      <c r="AH2759" s="177"/>
      <c r="AI2759" s="178"/>
      <c r="AJ2759" s="139"/>
      <c r="AK2759" s="173"/>
      <c r="AL2759" s="177"/>
      <c r="AM2759" s="178"/>
      <c r="AN2759" s="173"/>
      <c r="AO2759" s="173"/>
      <c r="AP2759" s="173"/>
      <c r="AQ2759" s="178"/>
      <c r="AR2759" s="173"/>
      <c r="AS2759" s="173"/>
      <c r="AT2759" s="140"/>
      <c r="AX2759" s="140"/>
      <c r="BB2759" s="173"/>
      <c r="BC2759" s="173"/>
    </row>
    <row r="2760" spans="2:55" s="134" customFormat="1" x14ac:dyDescent="0.2">
      <c r="B2760" s="145"/>
      <c r="D2760" s="145"/>
      <c r="Z2760" s="177"/>
      <c r="AA2760" s="178"/>
      <c r="AB2760" s="139"/>
      <c r="AC2760" s="173"/>
      <c r="AD2760" s="177"/>
      <c r="AE2760" s="177"/>
      <c r="AF2760" s="139"/>
      <c r="AG2760" s="139"/>
      <c r="AH2760" s="177"/>
      <c r="AI2760" s="178"/>
      <c r="AJ2760" s="139"/>
      <c r="AK2760" s="173"/>
      <c r="AL2760" s="177"/>
      <c r="AM2760" s="178"/>
      <c r="AN2760" s="173"/>
      <c r="AO2760" s="173"/>
      <c r="AP2760" s="173"/>
      <c r="AQ2760" s="178"/>
      <c r="AR2760" s="173"/>
      <c r="AS2760" s="173"/>
      <c r="AT2760" s="140"/>
      <c r="AX2760" s="140"/>
      <c r="BB2760" s="173"/>
      <c r="BC2760" s="173"/>
    </row>
    <row r="2761" spans="2:55" s="134" customFormat="1" x14ac:dyDescent="0.2">
      <c r="B2761" s="145"/>
      <c r="D2761" s="145"/>
      <c r="Z2761" s="177"/>
      <c r="AA2761" s="178"/>
      <c r="AB2761" s="139"/>
      <c r="AC2761" s="173"/>
      <c r="AD2761" s="177"/>
      <c r="AE2761" s="177"/>
      <c r="AF2761" s="139"/>
      <c r="AG2761" s="139"/>
      <c r="AH2761" s="177"/>
      <c r="AI2761" s="178"/>
      <c r="AJ2761" s="139"/>
      <c r="AK2761" s="173"/>
      <c r="AL2761" s="177"/>
      <c r="AM2761" s="178"/>
      <c r="AN2761" s="173"/>
      <c r="AO2761" s="173"/>
      <c r="AP2761" s="173"/>
      <c r="AQ2761" s="178"/>
      <c r="AR2761" s="173"/>
      <c r="AS2761" s="173"/>
      <c r="AT2761" s="140"/>
      <c r="AX2761" s="140"/>
      <c r="BB2761" s="173"/>
      <c r="BC2761" s="173"/>
    </row>
    <row r="2762" spans="2:55" s="134" customFormat="1" x14ac:dyDescent="0.2">
      <c r="B2762" s="145"/>
      <c r="D2762" s="145"/>
      <c r="Z2762" s="177"/>
      <c r="AA2762" s="178"/>
      <c r="AB2762" s="139"/>
      <c r="AC2762" s="173"/>
      <c r="AD2762" s="177"/>
      <c r="AE2762" s="177"/>
      <c r="AF2762" s="139"/>
      <c r="AG2762" s="139"/>
      <c r="AH2762" s="177"/>
      <c r="AI2762" s="178"/>
      <c r="AJ2762" s="139"/>
      <c r="AK2762" s="173"/>
      <c r="AL2762" s="177"/>
      <c r="AM2762" s="178"/>
      <c r="AN2762" s="173"/>
      <c r="AO2762" s="173"/>
      <c r="AP2762" s="173"/>
      <c r="AQ2762" s="178"/>
      <c r="AR2762" s="173"/>
      <c r="AS2762" s="173"/>
      <c r="AT2762" s="140"/>
      <c r="AX2762" s="140"/>
      <c r="BB2762" s="173"/>
      <c r="BC2762" s="173"/>
    </row>
    <row r="2763" spans="2:55" s="134" customFormat="1" x14ac:dyDescent="0.2">
      <c r="B2763" s="145"/>
      <c r="D2763" s="145"/>
      <c r="Z2763" s="177"/>
      <c r="AA2763" s="178"/>
      <c r="AB2763" s="139"/>
      <c r="AC2763" s="173"/>
      <c r="AD2763" s="177"/>
      <c r="AE2763" s="177"/>
      <c r="AF2763" s="139"/>
      <c r="AG2763" s="139"/>
      <c r="AH2763" s="177"/>
      <c r="AI2763" s="178"/>
      <c r="AJ2763" s="139"/>
      <c r="AK2763" s="173"/>
      <c r="AL2763" s="177"/>
      <c r="AM2763" s="178"/>
      <c r="AN2763" s="173"/>
      <c r="AO2763" s="173"/>
      <c r="AP2763" s="173"/>
      <c r="AQ2763" s="178"/>
      <c r="AR2763" s="173"/>
      <c r="AS2763" s="173"/>
      <c r="AT2763" s="140"/>
      <c r="AX2763" s="140"/>
      <c r="BB2763" s="173"/>
      <c r="BC2763" s="173"/>
    </row>
    <row r="2764" spans="2:55" s="134" customFormat="1" x14ac:dyDescent="0.2">
      <c r="B2764" s="145"/>
      <c r="D2764" s="145"/>
      <c r="Z2764" s="177"/>
      <c r="AA2764" s="178"/>
      <c r="AB2764" s="139"/>
      <c r="AC2764" s="173"/>
      <c r="AD2764" s="177"/>
      <c r="AE2764" s="177"/>
      <c r="AF2764" s="139"/>
      <c r="AG2764" s="139"/>
      <c r="AH2764" s="177"/>
      <c r="AI2764" s="178"/>
      <c r="AJ2764" s="139"/>
      <c r="AK2764" s="173"/>
      <c r="AL2764" s="177"/>
      <c r="AM2764" s="178"/>
      <c r="AN2764" s="173"/>
      <c r="AO2764" s="173"/>
      <c r="AP2764" s="173"/>
      <c r="AQ2764" s="178"/>
      <c r="AR2764" s="173"/>
      <c r="AS2764" s="173"/>
      <c r="AT2764" s="140"/>
      <c r="AX2764" s="140"/>
      <c r="BB2764" s="173"/>
      <c r="BC2764" s="173"/>
    </row>
    <row r="2765" spans="2:55" s="134" customFormat="1" x14ac:dyDescent="0.2">
      <c r="B2765" s="145"/>
      <c r="D2765" s="145"/>
      <c r="Z2765" s="177"/>
      <c r="AA2765" s="178"/>
      <c r="AB2765" s="139"/>
      <c r="AC2765" s="173"/>
      <c r="AD2765" s="177"/>
      <c r="AE2765" s="177"/>
      <c r="AF2765" s="139"/>
      <c r="AG2765" s="139"/>
      <c r="AH2765" s="177"/>
      <c r="AI2765" s="178"/>
      <c r="AJ2765" s="139"/>
      <c r="AK2765" s="173"/>
      <c r="AL2765" s="177"/>
      <c r="AM2765" s="178"/>
      <c r="AN2765" s="173"/>
      <c r="AO2765" s="173"/>
      <c r="AP2765" s="173"/>
      <c r="AQ2765" s="178"/>
      <c r="AR2765" s="173"/>
      <c r="AS2765" s="173"/>
      <c r="AT2765" s="140"/>
      <c r="AX2765" s="140"/>
      <c r="BB2765" s="173"/>
      <c r="BC2765" s="173"/>
    </row>
    <row r="2766" spans="2:55" s="134" customFormat="1" x14ac:dyDescent="0.2">
      <c r="B2766" s="145"/>
      <c r="D2766" s="145"/>
      <c r="Z2766" s="177"/>
      <c r="AA2766" s="178"/>
      <c r="AB2766" s="139"/>
      <c r="AC2766" s="173"/>
      <c r="AD2766" s="177"/>
      <c r="AE2766" s="177"/>
      <c r="AF2766" s="139"/>
      <c r="AG2766" s="139"/>
      <c r="AH2766" s="177"/>
      <c r="AI2766" s="178"/>
      <c r="AJ2766" s="139"/>
      <c r="AK2766" s="173"/>
      <c r="AL2766" s="177"/>
      <c r="AM2766" s="178"/>
      <c r="AN2766" s="173"/>
      <c r="AO2766" s="173"/>
      <c r="AP2766" s="173"/>
      <c r="AQ2766" s="178"/>
      <c r="AR2766" s="173"/>
      <c r="AS2766" s="173"/>
      <c r="AT2766" s="140"/>
      <c r="AX2766" s="140"/>
      <c r="BB2766" s="173"/>
      <c r="BC2766" s="173"/>
    </row>
    <row r="2767" spans="2:55" s="134" customFormat="1" x14ac:dyDescent="0.2">
      <c r="B2767" s="145"/>
      <c r="D2767" s="145"/>
      <c r="Z2767" s="177"/>
      <c r="AA2767" s="178"/>
      <c r="AB2767" s="139"/>
      <c r="AC2767" s="173"/>
      <c r="AD2767" s="177"/>
      <c r="AE2767" s="177"/>
      <c r="AF2767" s="139"/>
      <c r="AG2767" s="139"/>
      <c r="AH2767" s="177"/>
      <c r="AI2767" s="178"/>
      <c r="AJ2767" s="139"/>
      <c r="AK2767" s="173"/>
      <c r="AL2767" s="177"/>
      <c r="AM2767" s="178"/>
      <c r="AN2767" s="173"/>
      <c r="AO2767" s="173"/>
      <c r="AP2767" s="173"/>
      <c r="AQ2767" s="178"/>
      <c r="AR2767" s="173"/>
      <c r="AS2767" s="173"/>
      <c r="AT2767" s="140"/>
      <c r="AX2767" s="140"/>
      <c r="BB2767" s="173"/>
      <c r="BC2767" s="173"/>
    </row>
    <row r="2768" spans="2:55" s="134" customFormat="1" x14ac:dyDescent="0.2">
      <c r="B2768" s="145"/>
      <c r="D2768" s="145"/>
      <c r="Z2768" s="177"/>
      <c r="AA2768" s="178"/>
      <c r="AB2768" s="139"/>
      <c r="AC2768" s="173"/>
      <c r="AD2768" s="177"/>
      <c r="AE2768" s="177"/>
      <c r="AF2768" s="139"/>
      <c r="AG2768" s="139"/>
      <c r="AH2768" s="177"/>
      <c r="AI2768" s="178"/>
      <c r="AJ2768" s="139"/>
      <c r="AK2768" s="173"/>
      <c r="AL2768" s="177"/>
      <c r="AM2768" s="178"/>
      <c r="AN2768" s="173"/>
      <c r="AO2768" s="173"/>
      <c r="AP2768" s="173"/>
      <c r="AQ2768" s="178"/>
      <c r="AR2768" s="173"/>
      <c r="AS2768" s="173"/>
      <c r="AT2768" s="140"/>
      <c r="AX2768" s="140"/>
      <c r="BB2768" s="173"/>
      <c r="BC2768" s="173"/>
    </row>
    <row r="2769" spans="2:55" s="134" customFormat="1" x14ac:dyDescent="0.2">
      <c r="B2769" s="145"/>
      <c r="D2769" s="145"/>
      <c r="Z2769" s="177"/>
      <c r="AA2769" s="178"/>
      <c r="AB2769" s="139"/>
      <c r="AC2769" s="173"/>
      <c r="AD2769" s="177"/>
      <c r="AE2769" s="177"/>
      <c r="AF2769" s="139"/>
      <c r="AG2769" s="139"/>
      <c r="AH2769" s="177"/>
      <c r="AI2769" s="178"/>
      <c r="AJ2769" s="139"/>
      <c r="AK2769" s="173"/>
      <c r="AL2769" s="177"/>
      <c r="AM2769" s="178"/>
      <c r="AN2769" s="173"/>
      <c r="AO2769" s="173"/>
      <c r="AP2769" s="173"/>
      <c r="AQ2769" s="178"/>
      <c r="AR2769" s="173"/>
      <c r="AS2769" s="173"/>
      <c r="AT2769" s="140"/>
      <c r="AX2769" s="140"/>
      <c r="BB2769" s="173"/>
      <c r="BC2769" s="173"/>
    </row>
    <row r="2770" spans="2:55" s="134" customFormat="1" x14ac:dyDescent="0.2">
      <c r="B2770" s="145"/>
      <c r="D2770" s="145"/>
      <c r="Z2770" s="177"/>
      <c r="AA2770" s="178"/>
      <c r="AB2770" s="139"/>
      <c r="AC2770" s="173"/>
      <c r="AD2770" s="177"/>
      <c r="AE2770" s="177"/>
      <c r="AF2770" s="139"/>
      <c r="AG2770" s="139"/>
      <c r="AH2770" s="177"/>
      <c r="AI2770" s="178"/>
      <c r="AJ2770" s="139"/>
      <c r="AK2770" s="173"/>
      <c r="AL2770" s="177"/>
      <c r="AM2770" s="178"/>
      <c r="AN2770" s="173"/>
      <c r="AO2770" s="173"/>
      <c r="AP2770" s="173"/>
      <c r="AQ2770" s="178"/>
      <c r="AR2770" s="173"/>
      <c r="AS2770" s="173"/>
      <c r="AT2770" s="140"/>
      <c r="AX2770" s="140"/>
      <c r="BB2770" s="173"/>
      <c r="BC2770" s="173"/>
    </row>
    <row r="2771" spans="2:55" s="134" customFormat="1" x14ac:dyDescent="0.2">
      <c r="B2771" s="145"/>
      <c r="D2771" s="145"/>
      <c r="Z2771" s="177"/>
      <c r="AA2771" s="178"/>
      <c r="AB2771" s="139"/>
      <c r="AC2771" s="173"/>
      <c r="AD2771" s="177"/>
      <c r="AE2771" s="177"/>
      <c r="AF2771" s="139"/>
      <c r="AG2771" s="139"/>
      <c r="AH2771" s="177"/>
      <c r="AI2771" s="178"/>
      <c r="AJ2771" s="139"/>
      <c r="AK2771" s="173"/>
      <c r="AL2771" s="177"/>
      <c r="AM2771" s="178"/>
      <c r="AN2771" s="173"/>
      <c r="AO2771" s="173"/>
      <c r="AP2771" s="173"/>
      <c r="AQ2771" s="178"/>
      <c r="AR2771" s="173"/>
      <c r="AS2771" s="173"/>
      <c r="AT2771" s="140"/>
      <c r="AX2771" s="140"/>
      <c r="BB2771" s="173"/>
      <c r="BC2771" s="173"/>
    </row>
    <row r="2772" spans="2:55" s="134" customFormat="1" x14ac:dyDescent="0.2">
      <c r="B2772" s="145"/>
      <c r="D2772" s="145"/>
      <c r="Z2772" s="177"/>
      <c r="AA2772" s="178"/>
      <c r="AB2772" s="139"/>
      <c r="AC2772" s="173"/>
      <c r="AD2772" s="177"/>
      <c r="AE2772" s="177"/>
      <c r="AF2772" s="139"/>
      <c r="AG2772" s="139"/>
      <c r="AH2772" s="177"/>
      <c r="AI2772" s="178"/>
      <c r="AJ2772" s="139"/>
      <c r="AK2772" s="173"/>
      <c r="AL2772" s="177"/>
      <c r="AM2772" s="178"/>
      <c r="AN2772" s="173"/>
      <c r="AO2772" s="173"/>
      <c r="AP2772" s="173"/>
      <c r="AQ2772" s="178"/>
      <c r="AR2772" s="173"/>
      <c r="AS2772" s="173"/>
      <c r="AT2772" s="140"/>
      <c r="AX2772" s="140"/>
      <c r="BB2772" s="173"/>
      <c r="BC2772" s="173"/>
    </row>
    <row r="2773" spans="2:55" s="134" customFormat="1" x14ac:dyDescent="0.2">
      <c r="B2773" s="145"/>
      <c r="D2773" s="145"/>
      <c r="Z2773" s="177"/>
      <c r="AA2773" s="178"/>
      <c r="AB2773" s="139"/>
      <c r="AC2773" s="173"/>
      <c r="AD2773" s="177"/>
      <c r="AE2773" s="177"/>
      <c r="AF2773" s="139"/>
      <c r="AG2773" s="139"/>
      <c r="AH2773" s="177"/>
      <c r="AI2773" s="178"/>
      <c r="AJ2773" s="139"/>
      <c r="AK2773" s="173"/>
      <c r="AL2773" s="177"/>
      <c r="AM2773" s="178"/>
      <c r="AN2773" s="173"/>
      <c r="AO2773" s="173"/>
      <c r="AP2773" s="173"/>
      <c r="AQ2773" s="178"/>
      <c r="AR2773" s="173"/>
      <c r="AS2773" s="173"/>
      <c r="AT2773" s="140"/>
      <c r="AX2773" s="140"/>
      <c r="BB2773" s="173"/>
      <c r="BC2773" s="173"/>
    </row>
    <row r="2774" spans="2:55" s="134" customFormat="1" x14ac:dyDescent="0.2">
      <c r="B2774" s="145"/>
      <c r="D2774" s="145"/>
      <c r="Z2774" s="177"/>
      <c r="AA2774" s="178"/>
      <c r="AB2774" s="139"/>
      <c r="AC2774" s="173"/>
      <c r="AD2774" s="177"/>
      <c r="AE2774" s="177"/>
      <c r="AF2774" s="139"/>
      <c r="AG2774" s="139"/>
      <c r="AH2774" s="177"/>
      <c r="AI2774" s="178"/>
      <c r="AJ2774" s="139"/>
      <c r="AK2774" s="173"/>
      <c r="AL2774" s="177"/>
      <c r="AM2774" s="178"/>
      <c r="AN2774" s="173"/>
      <c r="AO2774" s="173"/>
      <c r="AP2774" s="173"/>
      <c r="AQ2774" s="178"/>
      <c r="AR2774" s="173"/>
      <c r="AS2774" s="173"/>
      <c r="AT2774" s="140"/>
      <c r="AX2774" s="140"/>
      <c r="BB2774" s="173"/>
      <c r="BC2774" s="173"/>
    </row>
    <row r="2775" spans="2:55" s="134" customFormat="1" x14ac:dyDescent="0.2">
      <c r="B2775" s="145"/>
      <c r="D2775" s="145"/>
      <c r="Z2775" s="177"/>
      <c r="AA2775" s="178"/>
      <c r="AB2775" s="139"/>
      <c r="AC2775" s="173"/>
      <c r="AD2775" s="177"/>
      <c r="AE2775" s="177"/>
      <c r="AF2775" s="139"/>
      <c r="AG2775" s="139"/>
      <c r="AH2775" s="177"/>
      <c r="AI2775" s="178"/>
      <c r="AJ2775" s="139"/>
      <c r="AK2775" s="173"/>
      <c r="AL2775" s="177"/>
      <c r="AM2775" s="178"/>
      <c r="AN2775" s="173"/>
      <c r="AO2775" s="173"/>
      <c r="AP2775" s="173"/>
      <c r="AQ2775" s="178"/>
      <c r="AR2775" s="173"/>
      <c r="AS2775" s="173"/>
      <c r="AT2775" s="140"/>
      <c r="AX2775" s="140"/>
      <c r="BB2775" s="173"/>
      <c r="BC2775" s="173"/>
    </row>
    <row r="2776" spans="2:55" s="134" customFormat="1" x14ac:dyDescent="0.2">
      <c r="B2776" s="145"/>
      <c r="D2776" s="145"/>
      <c r="Z2776" s="177"/>
      <c r="AA2776" s="178"/>
      <c r="AB2776" s="139"/>
      <c r="AC2776" s="173"/>
      <c r="AD2776" s="177"/>
      <c r="AE2776" s="177"/>
      <c r="AF2776" s="139"/>
      <c r="AG2776" s="139"/>
      <c r="AH2776" s="177"/>
      <c r="AI2776" s="178"/>
      <c r="AJ2776" s="139"/>
      <c r="AK2776" s="173"/>
      <c r="AL2776" s="177"/>
      <c r="AM2776" s="178"/>
      <c r="AN2776" s="173"/>
      <c r="AO2776" s="173"/>
      <c r="AP2776" s="173"/>
      <c r="AQ2776" s="178"/>
      <c r="AR2776" s="173"/>
      <c r="AS2776" s="173"/>
      <c r="AT2776" s="140"/>
      <c r="AX2776" s="140"/>
      <c r="BB2776" s="173"/>
      <c r="BC2776" s="173"/>
    </row>
    <row r="2777" spans="2:55" s="134" customFormat="1" x14ac:dyDescent="0.2">
      <c r="B2777" s="145"/>
      <c r="D2777" s="145"/>
      <c r="Z2777" s="177"/>
      <c r="AA2777" s="178"/>
      <c r="AB2777" s="139"/>
      <c r="AC2777" s="173"/>
      <c r="AD2777" s="177"/>
      <c r="AE2777" s="177"/>
      <c r="AF2777" s="139"/>
      <c r="AG2777" s="139"/>
      <c r="AH2777" s="177"/>
      <c r="AI2777" s="178"/>
      <c r="AJ2777" s="139"/>
      <c r="AK2777" s="173"/>
      <c r="AL2777" s="177"/>
      <c r="AM2777" s="178"/>
      <c r="AN2777" s="173"/>
      <c r="AO2777" s="173"/>
      <c r="AP2777" s="173"/>
      <c r="AQ2777" s="178"/>
      <c r="AR2777" s="173"/>
      <c r="AS2777" s="173"/>
      <c r="AT2777" s="140"/>
      <c r="AX2777" s="140"/>
      <c r="BB2777" s="173"/>
      <c r="BC2777" s="173"/>
    </row>
    <row r="2778" spans="2:55" s="134" customFormat="1" x14ac:dyDescent="0.2">
      <c r="B2778" s="145"/>
      <c r="D2778" s="145"/>
      <c r="Z2778" s="177"/>
      <c r="AA2778" s="178"/>
      <c r="AB2778" s="139"/>
      <c r="AC2778" s="173"/>
      <c r="AD2778" s="177"/>
      <c r="AE2778" s="177"/>
      <c r="AF2778" s="139"/>
      <c r="AG2778" s="139"/>
      <c r="AH2778" s="177"/>
      <c r="AI2778" s="178"/>
      <c r="AJ2778" s="139"/>
      <c r="AK2778" s="173"/>
      <c r="AL2778" s="177"/>
      <c r="AM2778" s="178"/>
      <c r="AN2778" s="173"/>
      <c r="AO2778" s="173"/>
      <c r="AP2778" s="173"/>
      <c r="AQ2778" s="178"/>
      <c r="AR2778" s="173"/>
      <c r="AS2778" s="173"/>
      <c r="AT2778" s="140"/>
      <c r="AX2778" s="140"/>
      <c r="BB2778" s="173"/>
      <c r="BC2778" s="173"/>
    </row>
    <row r="2779" spans="2:55" s="134" customFormat="1" x14ac:dyDescent="0.2">
      <c r="B2779" s="145"/>
      <c r="D2779" s="145"/>
      <c r="Z2779" s="177"/>
      <c r="AA2779" s="178"/>
      <c r="AB2779" s="139"/>
      <c r="AC2779" s="173"/>
      <c r="AD2779" s="177"/>
      <c r="AE2779" s="177"/>
      <c r="AF2779" s="139"/>
      <c r="AG2779" s="139"/>
      <c r="AH2779" s="177"/>
      <c r="AI2779" s="178"/>
      <c r="AJ2779" s="139"/>
      <c r="AK2779" s="173"/>
      <c r="AL2779" s="177"/>
      <c r="AM2779" s="178"/>
      <c r="AN2779" s="173"/>
      <c r="AO2779" s="173"/>
      <c r="AP2779" s="173"/>
      <c r="AQ2779" s="178"/>
      <c r="AR2779" s="173"/>
      <c r="AS2779" s="173"/>
      <c r="AT2779" s="140"/>
      <c r="AX2779" s="140"/>
      <c r="BB2779" s="173"/>
      <c r="BC2779" s="173"/>
    </row>
    <row r="2780" spans="2:55" s="134" customFormat="1" x14ac:dyDescent="0.2">
      <c r="B2780" s="145"/>
      <c r="D2780" s="145"/>
      <c r="Z2780" s="177"/>
      <c r="AA2780" s="178"/>
      <c r="AB2780" s="139"/>
      <c r="AC2780" s="173"/>
      <c r="AD2780" s="177"/>
      <c r="AE2780" s="177"/>
      <c r="AF2780" s="139"/>
      <c r="AG2780" s="139"/>
      <c r="AH2780" s="177"/>
      <c r="AI2780" s="178"/>
      <c r="AJ2780" s="139"/>
      <c r="AK2780" s="173"/>
      <c r="AL2780" s="177"/>
      <c r="AM2780" s="178"/>
      <c r="AN2780" s="173"/>
      <c r="AO2780" s="173"/>
      <c r="AP2780" s="173"/>
      <c r="AQ2780" s="178"/>
      <c r="AR2780" s="173"/>
      <c r="AS2780" s="173"/>
      <c r="AT2780" s="140"/>
      <c r="AX2780" s="140"/>
      <c r="BB2780" s="173"/>
      <c r="BC2780" s="173"/>
    </row>
    <row r="2781" spans="2:55" s="134" customFormat="1" x14ac:dyDescent="0.2">
      <c r="B2781" s="145"/>
      <c r="D2781" s="145"/>
      <c r="Z2781" s="177"/>
      <c r="AA2781" s="178"/>
      <c r="AB2781" s="139"/>
      <c r="AC2781" s="173"/>
      <c r="AD2781" s="177"/>
      <c r="AE2781" s="177"/>
      <c r="AF2781" s="139"/>
      <c r="AG2781" s="139"/>
      <c r="AH2781" s="177"/>
      <c r="AI2781" s="178"/>
      <c r="AJ2781" s="139"/>
      <c r="AK2781" s="173"/>
      <c r="AL2781" s="177"/>
      <c r="AM2781" s="178"/>
      <c r="AN2781" s="173"/>
      <c r="AO2781" s="173"/>
      <c r="AP2781" s="173"/>
      <c r="AQ2781" s="178"/>
      <c r="AR2781" s="173"/>
      <c r="AS2781" s="173"/>
      <c r="AT2781" s="140"/>
      <c r="AX2781" s="140"/>
      <c r="BB2781" s="173"/>
      <c r="BC2781" s="173"/>
    </row>
    <row r="2782" spans="2:55" s="134" customFormat="1" x14ac:dyDescent="0.2">
      <c r="B2782" s="145"/>
      <c r="D2782" s="145"/>
      <c r="Z2782" s="177"/>
      <c r="AA2782" s="178"/>
      <c r="AB2782" s="139"/>
      <c r="AC2782" s="173"/>
      <c r="AD2782" s="177"/>
      <c r="AE2782" s="177"/>
      <c r="AF2782" s="139"/>
      <c r="AG2782" s="139"/>
      <c r="AH2782" s="177"/>
      <c r="AI2782" s="178"/>
      <c r="AJ2782" s="139"/>
      <c r="AK2782" s="173"/>
      <c r="AL2782" s="177"/>
      <c r="AM2782" s="178"/>
      <c r="AN2782" s="173"/>
      <c r="AO2782" s="173"/>
      <c r="AP2782" s="173"/>
      <c r="AQ2782" s="178"/>
      <c r="AR2782" s="173"/>
      <c r="AS2782" s="173"/>
      <c r="AT2782" s="140"/>
      <c r="AX2782" s="140"/>
      <c r="BB2782" s="173"/>
      <c r="BC2782" s="173"/>
    </row>
    <row r="2783" spans="2:55" s="134" customFormat="1" x14ac:dyDescent="0.2">
      <c r="B2783" s="145"/>
      <c r="D2783" s="145"/>
      <c r="Z2783" s="177"/>
      <c r="AA2783" s="178"/>
      <c r="AB2783" s="139"/>
      <c r="AC2783" s="173"/>
      <c r="AD2783" s="177"/>
      <c r="AE2783" s="177"/>
      <c r="AF2783" s="139"/>
      <c r="AG2783" s="139"/>
      <c r="AH2783" s="177"/>
      <c r="AI2783" s="178"/>
      <c r="AJ2783" s="139"/>
      <c r="AK2783" s="173"/>
      <c r="AL2783" s="177"/>
      <c r="AM2783" s="178"/>
      <c r="AN2783" s="173"/>
      <c r="AO2783" s="173"/>
      <c r="AP2783" s="173"/>
      <c r="AQ2783" s="178"/>
      <c r="AR2783" s="173"/>
      <c r="AS2783" s="173"/>
      <c r="AT2783" s="140"/>
      <c r="AX2783" s="140"/>
      <c r="BB2783" s="173"/>
      <c r="BC2783" s="173"/>
    </row>
    <row r="2784" spans="2:55" s="134" customFormat="1" x14ac:dyDescent="0.2">
      <c r="B2784" s="145"/>
      <c r="D2784" s="145"/>
      <c r="Z2784" s="177"/>
      <c r="AA2784" s="178"/>
      <c r="AB2784" s="139"/>
      <c r="AC2784" s="173"/>
      <c r="AD2784" s="177"/>
      <c r="AE2784" s="177"/>
      <c r="AF2784" s="139"/>
      <c r="AG2784" s="139"/>
      <c r="AH2784" s="177"/>
      <c r="AI2784" s="178"/>
      <c r="AJ2784" s="139"/>
      <c r="AK2784" s="173"/>
      <c r="AL2784" s="177"/>
      <c r="AM2784" s="178"/>
      <c r="AN2784" s="173"/>
      <c r="AO2784" s="173"/>
      <c r="AP2784" s="173"/>
      <c r="AQ2784" s="178"/>
      <c r="AR2784" s="173"/>
      <c r="AS2784" s="173"/>
      <c r="AT2784" s="140"/>
      <c r="AX2784" s="140"/>
      <c r="BB2784" s="173"/>
      <c r="BC2784" s="173"/>
    </row>
    <row r="2785" spans="2:55" s="134" customFormat="1" x14ac:dyDescent="0.2">
      <c r="B2785" s="145"/>
      <c r="D2785" s="145"/>
      <c r="Z2785" s="177"/>
      <c r="AA2785" s="178"/>
      <c r="AB2785" s="139"/>
      <c r="AC2785" s="173"/>
      <c r="AD2785" s="177"/>
      <c r="AE2785" s="177"/>
      <c r="AF2785" s="139"/>
      <c r="AG2785" s="139"/>
      <c r="AH2785" s="177"/>
      <c r="AI2785" s="178"/>
      <c r="AJ2785" s="139"/>
      <c r="AK2785" s="173"/>
      <c r="AL2785" s="177"/>
      <c r="AM2785" s="178"/>
      <c r="AN2785" s="173"/>
      <c r="AO2785" s="173"/>
      <c r="AP2785" s="173"/>
      <c r="AQ2785" s="178"/>
      <c r="AR2785" s="173"/>
      <c r="AS2785" s="173"/>
      <c r="AT2785" s="140"/>
      <c r="AX2785" s="140"/>
      <c r="BB2785" s="173"/>
      <c r="BC2785" s="173"/>
    </row>
    <row r="2786" spans="2:55" s="134" customFormat="1" x14ac:dyDescent="0.2">
      <c r="B2786" s="145"/>
      <c r="D2786" s="145"/>
      <c r="Z2786" s="177"/>
      <c r="AA2786" s="178"/>
      <c r="AB2786" s="139"/>
      <c r="AC2786" s="173"/>
      <c r="AD2786" s="177"/>
      <c r="AE2786" s="177"/>
      <c r="AF2786" s="139"/>
      <c r="AG2786" s="139"/>
      <c r="AH2786" s="177"/>
      <c r="AI2786" s="178"/>
      <c r="AJ2786" s="139"/>
      <c r="AK2786" s="173"/>
      <c r="AL2786" s="177"/>
      <c r="AM2786" s="178"/>
      <c r="AN2786" s="173"/>
      <c r="AO2786" s="173"/>
      <c r="AP2786" s="173"/>
      <c r="AQ2786" s="178"/>
      <c r="AR2786" s="173"/>
      <c r="AS2786" s="173"/>
      <c r="AT2786" s="140"/>
      <c r="AX2786" s="140"/>
      <c r="BB2786" s="173"/>
      <c r="BC2786" s="173"/>
    </row>
    <row r="2787" spans="2:55" s="134" customFormat="1" x14ac:dyDescent="0.2">
      <c r="B2787" s="145"/>
      <c r="D2787" s="145"/>
      <c r="Z2787" s="177"/>
      <c r="AA2787" s="178"/>
      <c r="AB2787" s="139"/>
      <c r="AC2787" s="173"/>
      <c r="AD2787" s="177"/>
      <c r="AE2787" s="177"/>
      <c r="AF2787" s="139"/>
      <c r="AG2787" s="139"/>
      <c r="AH2787" s="177"/>
      <c r="AI2787" s="178"/>
      <c r="AJ2787" s="139"/>
      <c r="AK2787" s="173"/>
      <c r="AL2787" s="177"/>
      <c r="AM2787" s="178"/>
      <c r="AN2787" s="173"/>
      <c r="AO2787" s="173"/>
      <c r="AP2787" s="173"/>
      <c r="AQ2787" s="178"/>
      <c r="AR2787" s="173"/>
      <c r="AS2787" s="173"/>
      <c r="AT2787" s="140"/>
      <c r="AX2787" s="140"/>
      <c r="BB2787" s="173"/>
      <c r="BC2787" s="173"/>
    </row>
    <row r="2788" spans="2:55" s="134" customFormat="1" x14ac:dyDescent="0.2">
      <c r="B2788" s="145"/>
      <c r="D2788" s="145"/>
      <c r="Z2788" s="177"/>
      <c r="AA2788" s="178"/>
      <c r="AB2788" s="139"/>
      <c r="AC2788" s="173"/>
      <c r="AD2788" s="177"/>
      <c r="AE2788" s="177"/>
      <c r="AF2788" s="139"/>
      <c r="AG2788" s="139"/>
      <c r="AH2788" s="177"/>
      <c r="AI2788" s="178"/>
      <c r="AJ2788" s="139"/>
      <c r="AK2788" s="173"/>
      <c r="AL2788" s="177"/>
      <c r="AM2788" s="178"/>
      <c r="AN2788" s="173"/>
      <c r="AO2788" s="173"/>
      <c r="AP2788" s="173"/>
      <c r="AQ2788" s="178"/>
      <c r="AR2788" s="173"/>
      <c r="AS2788" s="173"/>
      <c r="AT2788" s="140"/>
      <c r="AX2788" s="140"/>
      <c r="BB2788" s="173"/>
      <c r="BC2788" s="173"/>
    </row>
    <row r="2789" spans="2:55" s="134" customFormat="1" x14ac:dyDescent="0.2">
      <c r="B2789" s="145"/>
      <c r="D2789" s="145"/>
      <c r="Z2789" s="177"/>
      <c r="AA2789" s="178"/>
      <c r="AB2789" s="139"/>
      <c r="AC2789" s="173"/>
      <c r="AD2789" s="177"/>
      <c r="AE2789" s="177"/>
      <c r="AF2789" s="139"/>
      <c r="AG2789" s="139"/>
      <c r="AH2789" s="177"/>
      <c r="AI2789" s="178"/>
      <c r="AJ2789" s="139"/>
      <c r="AK2789" s="173"/>
      <c r="AL2789" s="177"/>
      <c r="AM2789" s="178"/>
      <c r="AN2789" s="173"/>
      <c r="AO2789" s="173"/>
      <c r="AP2789" s="173"/>
      <c r="AQ2789" s="178"/>
      <c r="AR2789" s="173"/>
      <c r="AS2789" s="173"/>
      <c r="AT2789" s="140"/>
      <c r="AX2789" s="140"/>
      <c r="BB2789" s="173"/>
      <c r="BC2789" s="173"/>
    </row>
    <row r="2790" spans="2:55" s="134" customFormat="1" x14ac:dyDescent="0.2">
      <c r="B2790" s="145"/>
      <c r="D2790" s="145"/>
      <c r="Z2790" s="177"/>
      <c r="AA2790" s="178"/>
      <c r="AB2790" s="139"/>
      <c r="AC2790" s="173"/>
      <c r="AD2790" s="177"/>
      <c r="AE2790" s="177"/>
      <c r="AF2790" s="139"/>
      <c r="AG2790" s="139"/>
      <c r="AH2790" s="177"/>
      <c r="AI2790" s="178"/>
      <c r="AJ2790" s="139"/>
      <c r="AK2790" s="173"/>
      <c r="AL2790" s="177"/>
      <c r="AM2790" s="178"/>
      <c r="AN2790" s="173"/>
      <c r="AO2790" s="173"/>
      <c r="AP2790" s="173"/>
      <c r="AQ2790" s="178"/>
      <c r="AR2790" s="173"/>
      <c r="AS2790" s="173"/>
      <c r="AT2790" s="140"/>
      <c r="AX2790" s="140"/>
      <c r="BB2790" s="173"/>
      <c r="BC2790" s="173"/>
    </row>
    <row r="2791" spans="2:55" s="134" customFormat="1" x14ac:dyDescent="0.2">
      <c r="B2791" s="145"/>
      <c r="D2791" s="145"/>
      <c r="Z2791" s="177"/>
      <c r="AA2791" s="178"/>
      <c r="AB2791" s="139"/>
      <c r="AC2791" s="173"/>
      <c r="AD2791" s="177"/>
      <c r="AE2791" s="177"/>
      <c r="AF2791" s="139"/>
      <c r="AG2791" s="139"/>
      <c r="AH2791" s="177"/>
      <c r="AI2791" s="178"/>
      <c r="AJ2791" s="139"/>
      <c r="AK2791" s="173"/>
      <c r="AL2791" s="177"/>
      <c r="AM2791" s="178"/>
      <c r="AN2791" s="173"/>
      <c r="AO2791" s="173"/>
      <c r="AP2791" s="173"/>
      <c r="AQ2791" s="178"/>
      <c r="AR2791" s="173"/>
      <c r="AS2791" s="173"/>
      <c r="AT2791" s="140"/>
      <c r="AX2791" s="140"/>
      <c r="BB2791" s="173"/>
      <c r="BC2791" s="173"/>
    </row>
    <row r="2792" spans="2:55" s="134" customFormat="1" x14ac:dyDescent="0.2">
      <c r="B2792" s="145"/>
      <c r="D2792" s="145"/>
      <c r="Z2792" s="177"/>
      <c r="AA2792" s="178"/>
      <c r="AB2792" s="139"/>
      <c r="AC2792" s="173"/>
      <c r="AD2792" s="177"/>
      <c r="AE2792" s="177"/>
      <c r="AF2792" s="139"/>
      <c r="AG2792" s="139"/>
      <c r="AH2792" s="177"/>
      <c r="AI2792" s="178"/>
      <c r="AJ2792" s="139"/>
      <c r="AK2792" s="173"/>
      <c r="AL2792" s="177"/>
      <c r="AM2792" s="178"/>
      <c r="AN2792" s="173"/>
      <c r="AO2792" s="173"/>
      <c r="AP2792" s="173"/>
      <c r="AQ2792" s="178"/>
      <c r="AR2792" s="173"/>
      <c r="AS2792" s="173"/>
      <c r="AT2792" s="140"/>
      <c r="AX2792" s="140"/>
      <c r="BB2792" s="173"/>
      <c r="BC2792" s="173"/>
    </row>
    <row r="2793" spans="2:55" s="134" customFormat="1" x14ac:dyDescent="0.2">
      <c r="B2793" s="145"/>
      <c r="D2793" s="145"/>
      <c r="Z2793" s="177"/>
      <c r="AA2793" s="178"/>
      <c r="AB2793" s="139"/>
      <c r="AC2793" s="173"/>
      <c r="AD2793" s="177"/>
      <c r="AE2793" s="177"/>
      <c r="AF2793" s="139"/>
      <c r="AG2793" s="139"/>
      <c r="AH2793" s="177"/>
      <c r="AI2793" s="178"/>
      <c r="AJ2793" s="139"/>
      <c r="AK2793" s="173"/>
      <c r="AL2793" s="177"/>
      <c r="AM2793" s="178"/>
      <c r="AN2793" s="173"/>
      <c r="AO2793" s="173"/>
      <c r="AP2793" s="173"/>
      <c r="AQ2793" s="178"/>
      <c r="AR2793" s="173"/>
      <c r="AS2793" s="173"/>
      <c r="AT2793" s="140"/>
      <c r="AX2793" s="140"/>
      <c r="BB2793" s="173"/>
      <c r="BC2793" s="173"/>
    </row>
    <row r="2794" spans="2:55" s="134" customFormat="1" x14ac:dyDescent="0.2">
      <c r="B2794" s="145"/>
      <c r="D2794" s="145"/>
      <c r="Z2794" s="177"/>
      <c r="AA2794" s="178"/>
      <c r="AB2794" s="139"/>
      <c r="AC2794" s="173"/>
      <c r="AD2794" s="177"/>
      <c r="AE2794" s="177"/>
      <c r="AF2794" s="139"/>
      <c r="AG2794" s="139"/>
      <c r="AH2794" s="177"/>
      <c r="AI2794" s="178"/>
      <c r="AJ2794" s="139"/>
      <c r="AK2794" s="173"/>
      <c r="AL2794" s="177"/>
      <c r="AM2794" s="178"/>
      <c r="AN2794" s="173"/>
      <c r="AO2794" s="173"/>
      <c r="AP2794" s="173"/>
      <c r="AQ2794" s="178"/>
      <c r="AR2794" s="173"/>
      <c r="AS2794" s="173"/>
      <c r="AT2794" s="140"/>
      <c r="AX2794" s="140"/>
      <c r="BB2794" s="173"/>
      <c r="BC2794" s="173"/>
    </row>
    <row r="2795" spans="2:55" s="134" customFormat="1" x14ac:dyDescent="0.2">
      <c r="B2795" s="145"/>
      <c r="D2795" s="145"/>
      <c r="Z2795" s="177"/>
      <c r="AA2795" s="178"/>
      <c r="AB2795" s="139"/>
      <c r="AC2795" s="173"/>
      <c r="AD2795" s="177"/>
      <c r="AE2795" s="177"/>
      <c r="AF2795" s="139"/>
      <c r="AG2795" s="139"/>
      <c r="AH2795" s="177"/>
      <c r="AI2795" s="178"/>
      <c r="AJ2795" s="139"/>
      <c r="AK2795" s="173"/>
      <c r="AL2795" s="177"/>
      <c r="AM2795" s="178"/>
      <c r="AN2795" s="173"/>
      <c r="AO2795" s="173"/>
      <c r="AP2795" s="173"/>
      <c r="AQ2795" s="178"/>
      <c r="AR2795" s="173"/>
      <c r="AS2795" s="173"/>
      <c r="AT2795" s="140"/>
      <c r="AX2795" s="140"/>
      <c r="BB2795" s="173"/>
      <c r="BC2795" s="173"/>
    </row>
    <row r="2796" spans="2:55" s="134" customFormat="1" x14ac:dyDescent="0.2">
      <c r="B2796" s="145"/>
      <c r="D2796" s="145"/>
      <c r="Z2796" s="177"/>
      <c r="AA2796" s="178"/>
      <c r="AB2796" s="139"/>
      <c r="AC2796" s="173"/>
      <c r="AD2796" s="177"/>
      <c r="AE2796" s="177"/>
      <c r="AF2796" s="139"/>
      <c r="AG2796" s="139"/>
      <c r="AH2796" s="177"/>
      <c r="AI2796" s="178"/>
      <c r="AJ2796" s="139"/>
      <c r="AK2796" s="173"/>
      <c r="AL2796" s="177"/>
      <c r="AM2796" s="178"/>
      <c r="AN2796" s="173"/>
      <c r="AO2796" s="173"/>
      <c r="AP2796" s="173"/>
      <c r="AQ2796" s="178"/>
      <c r="AR2796" s="173"/>
      <c r="AS2796" s="173"/>
      <c r="AT2796" s="140"/>
      <c r="AX2796" s="140"/>
      <c r="BB2796" s="173"/>
      <c r="BC2796" s="173"/>
    </row>
    <row r="2797" spans="2:55" s="134" customFormat="1" x14ac:dyDescent="0.2">
      <c r="B2797" s="145"/>
      <c r="D2797" s="145"/>
      <c r="Z2797" s="177"/>
      <c r="AA2797" s="178"/>
      <c r="AB2797" s="139"/>
      <c r="AC2797" s="173"/>
      <c r="AD2797" s="177"/>
      <c r="AE2797" s="177"/>
      <c r="AF2797" s="139"/>
      <c r="AG2797" s="139"/>
      <c r="AH2797" s="177"/>
      <c r="AI2797" s="178"/>
      <c r="AJ2797" s="139"/>
      <c r="AK2797" s="173"/>
      <c r="AL2797" s="177"/>
      <c r="AM2797" s="178"/>
      <c r="AN2797" s="173"/>
      <c r="AO2797" s="173"/>
      <c r="AP2797" s="173"/>
      <c r="AQ2797" s="178"/>
      <c r="AR2797" s="173"/>
      <c r="AS2797" s="173"/>
      <c r="AT2797" s="140"/>
      <c r="AX2797" s="140"/>
      <c r="BB2797" s="173"/>
      <c r="BC2797" s="173"/>
    </row>
    <row r="2798" spans="2:55" s="134" customFormat="1" x14ac:dyDescent="0.2">
      <c r="B2798" s="145"/>
      <c r="D2798" s="145"/>
      <c r="Z2798" s="177"/>
      <c r="AA2798" s="178"/>
      <c r="AB2798" s="139"/>
      <c r="AC2798" s="173"/>
      <c r="AD2798" s="177"/>
      <c r="AE2798" s="177"/>
      <c r="AF2798" s="139"/>
      <c r="AG2798" s="139"/>
      <c r="AH2798" s="177"/>
      <c r="AI2798" s="178"/>
      <c r="AJ2798" s="139"/>
      <c r="AK2798" s="173"/>
      <c r="AL2798" s="177"/>
      <c r="AM2798" s="178"/>
      <c r="AN2798" s="173"/>
      <c r="AO2798" s="173"/>
      <c r="AP2798" s="173"/>
      <c r="AQ2798" s="178"/>
      <c r="AR2798" s="173"/>
      <c r="AS2798" s="173"/>
      <c r="AT2798" s="140"/>
      <c r="AX2798" s="140"/>
      <c r="BB2798" s="173"/>
      <c r="BC2798" s="173"/>
    </row>
    <row r="2799" spans="2:55" s="134" customFormat="1" x14ac:dyDescent="0.2">
      <c r="B2799" s="145"/>
      <c r="D2799" s="145"/>
      <c r="Z2799" s="177"/>
      <c r="AA2799" s="178"/>
      <c r="AB2799" s="139"/>
      <c r="AC2799" s="173"/>
      <c r="AD2799" s="177"/>
      <c r="AE2799" s="177"/>
      <c r="AF2799" s="139"/>
      <c r="AG2799" s="139"/>
      <c r="AH2799" s="177"/>
      <c r="AI2799" s="178"/>
      <c r="AJ2799" s="139"/>
      <c r="AK2799" s="173"/>
      <c r="AL2799" s="177"/>
      <c r="AM2799" s="178"/>
      <c r="AN2799" s="173"/>
      <c r="AO2799" s="173"/>
      <c r="AP2799" s="173"/>
      <c r="AQ2799" s="178"/>
      <c r="AR2799" s="173"/>
      <c r="AS2799" s="173"/>
      <c r="AT2799" s="140"/>
      <c r="AX2799" s="140"/>
      <c r="BB2799" s="173"/>
      <c r="BC2799" s="173"/>
    </row>
    <row r="2800" spans="2:55" s="134" customFormat="1" x14ac:dyDescent="0.2">
      <c r="B2800" s="145"/>
      <c r="D2800" s="145"/>
      <c r="Z2800" s="177"/>
      <c r="AA2800" s="178"/>
      <c r="AB2800" s="139"/>
      <c r="AC2800" s="173"/>
      <c r="AD2800" s="177"/>
      <c r="AE2800" s="177"/>
      <c r="AF2800" s="139"/>
      <c r="AG2800" s="139"/>
      <c r="AH2800" s="177"/>
      <c r="AI2800" s="178"/>
      <c r="AJ2800" s="139"/>
      <c r="AK2800" s="173"/>
      <c r="AL2800" s="177"/>
      <c r="AM2800" s="178"/>
      <c r="AN2800" s="173"/>
      <c r="AO2800" s="173"/>
      <c r="AP2800" s="173"/>
      <c r="AQ2800" s="178"/>
      <c r="AR2800" s="173"/>
      <c r="AS2800" s="173"/>
      <c r="AT2800" s="140"/>
      <c r="AX2800" s="140"/>
      <c r="BB2800" s="173"/>
      <c r="BC2800" s="173"/>
    </row>
    <row r="2801" spans="2:55" s="134" customFormat="1" x14ac:dyDescent="0.2">
      <c r="B2801" s="145"/>
      <c r="D2801" s="145"/>
      <c r="Z2801" s="177"/>
      <c r="AA2801" s="178"/>
      <c r="AB2801" s="139"/>
      <c r="AC2801" s="173"/>
      <c r="AD2801" s="177"/>
      <c r="AE2801" s="177"/>
      <c r="AF2801" s="139"/>
      <c r="AG2801" s="139"/>
      <c r="AH2801" s="177"/>
      <c r="AI2801" s="178"/>
      <c r="AJ2801" s="139"/>
      <c r="AK2801" s="173"/>
      <c r="AL2801" s="177"/>
      <c r="AM2801" s="178"/>
      <c r="AN2801" s="173"/>
      <c r="AO2801" s="173"/>
      <c r="AP2801" s="173"/>
      <c r="AQ2801" s="178"/>
      <c r="AR2801" s="173"/>
      <c r="AS2801" s="173"/>
      <c r="AT2801" s="140"/>
      <c r="AX2801" s="140"/>
      <c r="BB2801" s="173"/>
      <c r="BC2801" s="173"/>
    </row>
    <row r="2802" spans="2:55" s="134" customFormat="1" x14ac:dyDescent="0.2">
      <c r="B2802" s="145"/>
      <c r="D2802" s="145"/>
      <c r="Z2802" s="177"/>
      <c r="AA2802" s="178"/>
      <c r="AB2802" s="139"/>
      <c r="AC2802" s="173"/>
      <c r="AD2802" s="177"/>
      <c r="AE2802" s="177"/>
      <c r="AF2802" s="139"/>
      <c r="AG2802" s="139"/>
      <c r="AH2802" s="177"/>
      <c r="AI2802" s="178"/>
      <c r="AJ2802" s="139"/>
      <c r="AK2802" s="173"/>
      <c r="AL2802" s="177"/>
      <c r="AM2802" s="178"/>
      <c r="AN2802" s="173"/>
      <c r="AO2802" s="173"/>
      <c r="AP2802" s="173"/>
      <c r="AQ2802" s="178"/>
      <c r="AR2802" s="173"/>
      <c r="AS2802" s="173"/>
      <c r="AT2802" s="140"/>
      <c r="AX2802" s="140"/>
      <c r="BB2802" s="173"/>
      <c r="BC2802" s="173"/>
    </row>
    <row r="2803" spans="2:55" s="134" customFormat="1" x14ac:dyDescent="0.2">
      <c r="B2803" s="145"/>
      <c r="D2803" s="145"/>
      <c r="Z2803" s="177"/>
      <c r="AA2803" s="178"/>
      <c r="AB2803" s="139"/>
      <c r="AC2803" s="173"/>
      <c r="AD2803" s="177"/>
      <c r="AE2803" s="177"/>
      <c r="AF2803" s="139"/>
      <c r="AG2803" s="139"/>
      <c r="AH2803" s="177"/>
      <c r="AI2803" s="178"/>
      <c r="AJ2803" s="139"/>
      <c r="AK2803" s="173"/>
      <c r="AL2803" s="177"/>
      <c r="AM2803" s="178"/>
      <c r="AN2803" s="173"/>
      <c r="AO2803" s="173"/>
      <c r="AP2803" s="173"/>
      <c r="AQ2803" s="178"/>
      <c r="AR2803" s="173"/>
      <c r="AS2803" s="173"/>
      <c r="AT2803" s="140"/>
      <c r="AX2803" s="140"/>
      <c r="BB2803" s="173"/>
      <c r="BC2803" s="173"/>
    </row>
    <row r="2804" spans="2:55" s="134" customFormat="1" x14ac:dyDescent="0.2">
      <c r="B2804" s="145"/>
      <c r="D2804" s="145"/>
      <c r="Z2804" s="177"/>
      <c r="AA2804" s="178"/>
      <c r="AB2804" s="139"/>
      <c r="AC2804" s="173"/>
      <c r="AD2804" s="177"/>
      <c r="AE2804" s="177"/>
      <c r="AF2804" s="139"/>
      <c r="AG2804" s="139"/>
      <c r="AH2804" s="177"/>
      <c r="AI2804" s="178"/>
      <c r="AJ2804" s="139"/>
      <c r="AK2804" s="173"/>
      <c r="AL2804" s="177"/>
      <c r="AM2804" s="178"/>
      <c r="AN2804" s="173"/>
      <c r="AO2804" s="173"/>
      <c r="AP2804" s="173"/>
      <c r="AQ2804" s="178"/>
      <c r="AR2804" s="173"/>
      <c r="AS2804" s="173"/>
      <c r="AT2804" s="140"/>
      <c r="AX2804" s="140"/>
      <c r="BB2804" s="173"/>
      <c r="BC2804" s="173"/>
    </row>
    <row r="2805" spans="2:55" s="134" customFormat="1" x14ac:dyDescent="0.2">
      <c r="B2805" s="145"/>
      <c r="D2805" s="145"/>
      <c r="Z2805" s="177"/>
      <c r="AA2805" s="178"/>
      <c r="AB2805" s="139"/>
      <c r="AC2805" s="173"/>
      <c r="AD2805" s="177"/>
      <c r="AE2805" s="177"/>
      <c r="AF2805" s="139"/>
      <c r="AG2805" s="139"/>
      <c r="AH2805" s="177"/>
      <c r="AI2805" s="178"/>
      <c r="AJ2805" s="139"/>
      <c r="AK2805" s="173"/>
      <c r="AL2805" s="177"/>
      <c r="AM2805" s="178"/>
      <c r="AN2805" s="173"/>
      <c r="AO2805" s="173"/>
      <c r="AP2805" s="173"/>
      <c r="AQ2805" s="178"/>
      <c r="AR2805" s="173"/>
      <c r="AS2805" s="173"/>
      <c r="AT2805" s="140"/>
      <c r="AX2805" s="140"/>
      <c r="BB2805" s="173"/>
      <c r="BC2805" s="173"/>
    </row>
    <row r="2806" spans="2:55" s="134" customFormat="1" x14ac:dyDescent="0.2">
      <c r="B2806" s="145"/>
      <c r="D2806" s="145"/>
      <c r="Z2806" s="177"/>
      <c r="AA2806" s="178"/>
      <c r="AB2806" s="139"/>
      <c r="AC2806" s="173"/>
      <c r="AD2806" s="177"/>
      <c r="AE2806" s="177"/>
      <c r="AF2806" s="139"/>
      <c r="AG2806" s="139"/>
      <c r="AH2806" s="177"/>
      <c r="AI2806" s="178"/>
      <c r="AJ2806" s="139"/>
      <c r="AK2806" s="173"/>
      <c r="AL2806" s="177"/>
      <c r="AM2806" s="178"/>
      <c r="AN2806" s="173"/>
      <c r="AO2806" s="173"/>
      <c r="AP2806" s="173"/>
      <c r="AQ2806" s="178"/>
      <c r="AR2806" s="173"/>
      <c r="AS2806" s="173"/>
      <c r="AT2806" s="140"/>
      <c r="AX2806" s="140"/>
      <c r="BB2806" s="173"/>
      <c r="BC2806" s="173"/>
    </row>
    <row r="2807" spans="2:55" s="134" customFormat="1" x14ac:dyDescent="0.2">
      <c r="B2807" s="145"/>
      <c r="D2807" s="145"/>
      <c r="Z2807" s="177"/>
      <c r="AA2807" s="178"/>
      <c r="AB2807" s="139"/>
      <c r="AC2807" s="173"/>
      <c r="AD2807" s="177"/>
      <c r="AE2807" s="177"/>
      <c r="AF2807" s="139"/>
      <c r="AG2807" s="139"/>
      <c r="AH2807" s="177"/>
      <c r="AI2807" s="178"/>
      <c r="AJ2807" s="139"/>
      <c r="AK2807" s="173"/>
      <c r="AL2807" s="177"/>
      <c r="AM2807" s="178"/>
      <c r="AN2807" s="173"/>
      <c r="AO2807" s="173"/>
      <c r="AP2807" s="173"/>
      <c r="AQ2807" s="178"/>
      <c r="AR2807" s="173"/>
      <c r="AS2807" s="173"/>
      <c r="AT2807" s="140"/>
      <c r="AX2807" s="140"/>
      <c r="BB2807" s="173"/>
      <c r="BC2807" s="173"/>
    </row>
    <row r="2808" spans="2:55" s="134" customFormat="1" x14ac:dyDescent="0.2">
      <c r="B2808" s="145"/>
      <c r="D2808" s="145"/>
      <c r="Z2808" s="177"/>
      <c r="AA2808" s="178"/>
      <c r="AB2808" s="139"/>
      <c r="AC2808" s="173"/>
      <c r="AD2808" s="177"/>
      <c r="AE2808" s="177"/>
      <c r="AF2808" s="139"/>
      <c r="AG2808" s="139"/>
      <c r="AH2808" s="177"/>
      <c r="AI2808" s="178"/>
      <c r="AJ2808" s="139"/>
      <c r="AK2808" s="173"/>
      <c r="AL2808" s="177"/>
      <c r="AM2808" s="178"/>
      <c r="AN2808" s="173"/>
      <c r="AO2808" s="173"/>
      <c r="AP2808" s="173"/>
      <c r="AQ2808" s="178"/>
      <c r="AR2808" s="173"/>
      <c r="AS2808" s="173"/>
      <c r="AT2808" s="140"/>
      <c r="AX2808" s="140"/>
      <c r="BB2808" s="173"/>
      <c r="BC2808" s="173"/>
    </row>
    <row r="2809" spans="2:55" s="134" customFormat="1" x14ac:dyDescent="0.2">
      <c r="B2809" s="145"/>
      <c r="D2809" s="145"/>
      <c r="Z2809" s="177"/>
      <c r="AA2809" s="178"/>
      <c r="AB2809" s="139"/>
      <c r="AC2809" s="173"/>
      <c r="AD2809" s="177"/>
      <c r="AE2809" s="177"/>
      <c r="AF2809" s="139"/>
      <c r="AG2809" s="139"/>
      <c r="AH2809" s="177"/>
      <c r="AI2809" s="178"/>
      <c r="AJ2809" s="139"/>
      <c r="AK2809" s="173"/>
      <c r="AL2809" s="177"/>
      <c r="AM2809" s="178"/>
      <c r="AN2809" s="173"/>
      <c r="AO2809" s="173"/>
      <c r="AP2809" s="173"/>
      <c r="AQ2809" s="178"/>
      <c r="AR2809" s="173"/>
      <c r="AS2809" s="173"/>
      <c r="AT2809" s="140"/>
      <c r="AX2809" s="140"/>
      <c r="BB2809" s="173"/>
      <c r="BC2809" s="173"/>
    </row>
    <row r="2810" spans="2:55" s="134" customFormat="1" x14ac:dyDescent="0.2">
      <c r="B2810" s="145"/>
      <c r="D2810" s="145"/>
      <c r="Z2810" s="177"/>
      <c r="AA2810" s="178"/>
      <c r="AB2810" s="139"/>
      <c r="AC2810" s="173"/>
      <c r="AD2810" s="177"/>
      <c r="AE2810" s="177"/>
      <c r="AF2810" s="139"/>
      <c r="AG2810" s="139"/>
      <c r="AH2810" s="177"/>
      <c r="AI2810" s="178"/>
      <c r="AJ2810" s="139"/>
      <c r="AK2810" s="173"/>
      <c r="AL2810" s="177"/>
      <c r="AM2810" s="178"/>
      <c r="AN2810" s="173"/>
      <c r="AO2810" s="173"/>
      <c r="AP2810" s="173"/>
      <c r="AQ2810" s="178"/>
      <c r="AR2810" s="173"/>
      <c r="AS2810" s="173"/>
      <c r="AT2810" s="140"/>
      <c r="AX2810" s="140"/>
      <c r="BB2810" s="173"/>
      <c r="BC2810" s="173"/>
    </row>
    <row r="2811" spans="2:55" s="134" customFormat="1" x14ac:dyDescent="0.2">
      <c r="B2811" s="145"/>
      <c r="D2811" s="145"/>
      <c r="Z2811" s="177"/>
      <c r="AA2811" s="178"/>
      <c r="AB2811" s="139"/>
      <c r="AC2811" s="173"/>
      <c r="AD2811" s="177"/>
      <c r="AE2811" s="177"/>
      <c r="AF2811" s="139"/>
      <c r="AG2811" s="139"/>
      <c r="AH2811" s="177"/>
      <c r="AI2811" s="178"/>
      <c r="AJ2811" s="139"/>
      <c r="AK2811" s="173"/>
      <c r="AL2811" s="177"/>
      <c r="AM2811" s="178"/>
      <c r="AN2811" s="173"/>
      <c r="AO2811" s="173"/>
      <c r="AP2811" s="173"/>
      <c r="AQ2811" s="178"/>
      <c r="AR2811" s="173"/>
      <c r="AS2811" s="173"/>
      <c r="AT2811" s="140"/>
      <c r="AX2811" s="140"/>
      <c r="BB2811" s="173"/>
      <c r="BC2811" s="173"/>
    </row>
    <row r="2812" spans="2:55" s="134" customFormat="1" x14ac:dyDescent="0.2">
      <c r="B2812" s="145"/>
      <c r="D2812" s="145"/>
      <c r="Z2812" s="177"/>
      <c r="AA2812" s="178"/>
      <c r="AB2812" s="139"/>
      <c r="AC2812" s="173"/>
      <c r="AD2812" s="177"/>
      <c r="AE2812" s="177"/>
      <c r="AF2812" s="139"/>
      <c r="AG2812" s="139"/>
      <c r="AH2812" s="177"/>
      <c r="AI2812" s="178"/>
      <c r="AJ2812" s="139"/>
      <c r="AK2812" s="173"/>
      <c r="AL2812" s="177"/>
      <c r="AM2812" s="178"/>
      <c r="AN2812" s="173"/>
      <c r="AO2812" s="173"/>
      <c r="AP2812" s="173"/>
      <c r="AQ2812" s="178"/>
      <c r="AR2812" s="173"/>
      <c r="AS2812" s="173"/>
      <c r="AT2812" s="140"/>
      <c r="AX2812" s="140"/>
      <c r="BB2812" s="173"/>
      <c r="BC2812" s="173"/>
    </row>
    <row r="2813" spans="2:55" s="134" customFormat="1" x14ac:dyDescent="0.2">
      <c r="B2813" s="145"/>
      <c r="D2813" s="145"/>
      <c r="Z2813" s="177"/>
      <c r="AA2813" s="178"/>
      <c r="AB2813" s="139"/>
      <c r="AC2813" s="173"/>
      <c r="AD2813" s="177"/>
      <c r="AE2813" s="177"/>
      <c r="AF2813" s="139"/>
      <c r="AG2813" s="139"/>
      <c r="AH2813" s="177"/>
      <c r="AI2813" s="178"/>
      <c r="AJ2813" s="139"/>
      <c r="AK2813" s="173"/>
      <c r="AL2813" s="177"/>
      <c r="AM2813" s="178"/>
      <c r="AN2813" s="173"/>
      <c r="AO2813" s="173"/>
      <c r="AP2813" s="173"/>
      <c r="AQ2813" s="178"/>
      <c r="AR2813" s="173"/>
      <c r="AS2813" s="173"/>
      <c r="AT2813" s="140"/>
      <c r="AX2813" s="140"/>
      <c r="BB2813" s="173"/>
      <c r="BC2813" s="173"/>
    </row>
    <row r="2814" spans="2:55" s="134" customFormat="1" x14ac:dyDescent="0.2">
      <c r="B2814" s="145"/>
      <c r="D2814" s="145"/>
      <c r="Z2814" s="177"/>
      <c r="AA2814" s="178"/>
      <c r="AB2814" s="139"/>
      <c r="AC2814" s="173"/>
      <c r="AD2814" s="177"/>
      <c r="AE2814" s="177"/>
      <c r="AF2814" s="139"/>
      <c r="AG2814" s="139"/>
      <c r="AH2814" s="177"/>
      <c r="AI2814" s="178"/>
      <c r="AJ2814" s="139"/>
      <c r="AK2814" s="173"/>
      <c r="AL2814" s="177"/>
      <c r="AM2814" s="178"/>
      <c r="AN2814" s="173"/>
      <c r="AO2814" s="173"/>
      <c r="AP2814" s="173"/>
      <c r="AQ2814" s="178"/>
      <c r="AR2814" s="173"/>
      <c r="AS2814" s="173"/>
      <c r="AT2814" s="140"/>
      <c r="AX2814" s="140"/>
      <c r="BB2814" s="173"/>
      <c r="BC2814" s="173"/>
    </row>
    <row r="2815" spans="2:55" s="134" customFormat="1" x14ac:dyDescent="0.2">
      <c r="B2815" s="145"/>
      <c r="D2815" s="145"/>
      <c r="Z2815" s="177"/>
      <c r="AA2815" s="178"/>
      <c r="AB2815" s="139"/>
      <c r="AC2815" s="173"/>
      <c r="AD2815" s="177"/>
      <c r="AE2815" s="177"/>
      <c r="AF2815" s="139"/>
      <c r="AG2815" s="139"/>
      <c r="AH2815" s="177"/>
      <c r="AI2815" s="178"/>
      <c r="AJ2815" s="139"/>
      <c r="AK2815" s="173"/>
      <c r="AL2815" s="177"/>
      <c r="AM2815" s="178"/>
      <c r="AN2815" s="173"/>
      <c r="AO2815" s="173"/>
      <c r="AP2815" s="173"/>
      <c r="AQ2815" s="178"/>
      <c r="AR2815" s="173"/>
      <c r="AS2815" s="173"/>
      <c r="AT2815" s="140"/>
      <c r="AX2815" s="140"/>
      <c r="BB2815" s="173"/>
      <c r="BC2815" s="173"/>
    </row>
    <row r="2816" spans="2:55" s="134" customFormat="1" x14ac:dyDescent="0.2">
      <c r="B2816" s="145"/>
      <c r="D2816" s="145"/>
      <c r="Z2816" s="177"/>
      <c r="AA2816" s="178"/>
      <c r="AB2816" s="139"/>
      <c r="AC2816" s="173"/>
      <c r="AD2816" s="177"/>
      <c r="AE2816" s="177"/>
      <c r="AF2816" s="139"/>
      <c r="AG2816" s="139"/>
      <c r="AH2816" s="177"/>
      <c r="AI2816" s="178"/>
      <c r="AJ2816" s="139"/>
      <c r="AK2816" s="173"/>
      <c r="AL2816" s="177"/>
      <c r="AM2816" s="178"/>
      <c r="AN2816" s="173"/>
      <c r="AO2816" s="173"/>
      <c r="AP2816" s="173"/>
      <c r="AQ2816" s="178"/>
      <c r="AR2816" s="173"/>
      <c r="AS2816" s="173"/>
      <c r="AT2816" s="140"/>
      <c r="AX2816" s="140"/>
      <c r="BB2816" s="173"/>
      <c r="BC2816" s="173"/>
    </row>
    <row r="2817" spans="2:55" s="134" customFormat="1" x14ac:dyDescent="0.2">
      <c r="B2817" s="145"/>
      <c r="D2817" s="145"/>
      <c r="Z2817" s="177"/>
      <c r="AA2817" s="178"/>
      <c r="AB2817" s="139"/>
      <c r="AC2817" s="173"/>
      <c r="AD2817" s="177"/>
      <c r="AE2817" s="177"/>
      <c r="AF2817" s="139"/>
      <c r="AG2817" s="139"/>
      <c r="AH2817" s="177"/>
      <c r="AI2817" s="178"/>
      <c r="AJ2817" s="139"/>
      <c r="AK2817" s="173"/>
      <c r="AL2817" s="177"/>
      <c r="AM2817" s="178"/>
      <c r="AN2817" s="173"/>
      <c r="AO2817" s="173"/>
      <c r="AP2817" s="173"/>
      <c r="AQ2817" s="178"/>
      <c r="AR2817" s="173"/>
      <c r="AS2817" s="173"/>
      <c r="AT2817" s="140"/>
      <c r="AX2817" s="140"/>
      <c r="BB2817" s="173"/>
      <c r="BC2817" s="173"/>
    </row>
    <row r="2818" spans="2:55" s="134" customFormat="1" x14ac:dyDescent="0.2">
      <c r="B2818" s="145"/>
      <c r="D2818" s="145"/>
      <c r="Z2818" s="177"/>
      <c r="AA2818" s="178"/>
      <c r="AB2818" s="139"/>
      <c r="AC2818" s="173"/>
      <c r="AD2818" s="177"/>
      <c r="AE2818" s="177"/>
      <c r="AF2818" s="139"/>
      <c r="AG2818" s="139"/>
      <c r="AH2818" s="177"/>
      <c r="AI2818" s="178"/>
      <c r="AJ2818" s="139"/>
      <c r="AK2818" s="173"/>
      <c r="AL2818" s="177"/>
      <c r="AM2818" s="178"/>
      <c r="AN2818" s="173"/>
      <c r="AO2818" s="173"/>
      <c r="AP2818" s="173"/>
      <c r="AQ2818" s="178"/>
      <c r="AR2818" s="173"/>
      <c r="AS2818" s="173"/>
      <c r="AT2818" s="140"/>
      <c r="AX2818" s="140"/>
      <c r="BB2818" s="173"/>
      <c r="BC2818" s="173"/>
    </row>
    <row r="2819" spans="2:55" s="134" customFormat="1" x14ac:dyDescent="0.2">
      <c r="B2819" s="145"/>
      <c r="D2819" s="145"/>
      <c r="Z2819" s="177"/>
      <c r="AA2819" s="178"/>
      <c r="AB2819" s="139"/>
      <c r="AC2819" s="173"/>
      <c r="AD2819" s="177"/>
      <c r="AE2819" s="177"/>
      <c r="AF2819" s="139"/>
      <c r="AG2819" s="139"/>
      <c r="AH2819" s="177"/>
      <c r="AI2819" s="178"/>
      <c r="AJ2819" s="139"/>
      <c r="AK2819" s="173"/>
      <c r="AL2819" s="177"/>
      <c r="AM2819" s="178"/>
      <c r="AN2819" s="173"/>
      <c r="AO2819" s="173"/>
      <c r="AP2819" s="173"/>
      <c r="AQ2819" s="178"/>
      <c r="AR2819" s="173"/>
      <c r="AS2819" s="173"/>
      <c r="AT2819" s="140"/>
      <c r="AX2819" s="140"/>
      <c r="BB2819" s="173"/>
      <c r="BC2819" s="173"/>
    </row>
    <row r="2820" spans="2:55" s="134" customFormat="1" x14ac:dyDescent="0.2">
      <c r="B2820" s="145"/>
      <c r="D2820" s="145"/>
      <c r="Z2820" s="177"/>
      <c r="AA2820" s="178"/>
      <c r="AB2820" s="139"/>
      <c r="AC2820" s="173"/>
      <c r="AD2820" s="177"/>
      <c r="AE2820" s="177"/>
      <c r="AF2820" s="139"/>
      <c r="AG2820" s="139"/>
      <c r="AH2820" s="177"/>
      <c r="AI2820" s="178"/>
      <c r="AJ2820" s="139"/>
      <c r="AK2820" s="173"/>
      <c r="AL2820" s="177"/>
      <c r="AM2820" s="178"/>
      <c r="AN2820" s="173"/>
      <c r="AO2820" s="173"/>
      <c r="AP2820" s="173"/>
      <c r="AQ2820" s="178"/>
      <c r="AR2820" s="173"/>
      <c r="AS2820" s="173"/>
      <c r="AT2820" s="140"/>
      <c r="AX2820" s="140"/>
      <c r="BB2820" s="173"/>
      <c r="BC2820" s="173"/>
    </row>
    <row r="2821" spans="2:55" s="134" customFormat="1" x14ac:dyDescent="0.2">
      <c r="B2821" s="145"/>
      <c r="D2821" s="145"/>
      <c r="Z2821" s="177"/>
      <c r="AA2821" s="178"/>
      <c r="AB2821" s="139"/>
      <c r="AC2821" s="173"/>
      <c r="AD2821" s="177"/>
      <c r="AE2821" s="177"/>
      <c r="AF2821" s="139"/>
      <c r="AG2821" s="139"/>
      <c r="AH2821" s="177"/>
      <c r="AI2821" s="178"/>
      <c r="AJ2821" s="139"/>
      <c r="AK2821" s="173"/>
      <c r="AL2821" s="177"/>
      <c r="AM2821" s="178"/>
      <c r="AN2821" s="173"/>
      <c r="AO2821" s="173"/>
      <c r="AP2821" s="173"/>
      <c r="AQ2821" s="178"/>
      <c r="AR2821" s="173"/>
      <c r="AS2821" s="173"/>
      <c r="AT2821" s="140"/>
      <c r="AX2821" s="140"/>
      <c r="BB2821" s="173"/>
      <c r="BC2821" s="173"/>
    </row>
    <row r="2822" spans="2:55" s="134" customFormat="1" x14ac:dyDescent="0.2">
      <c r="B2822" s="145"/>
      <c r="D2822" s="145"/>
      <c r="Z2822" s="177"/>
      <c r="AA2822" s="178"/>
      <c r="AB2822" s="139"/>
      <c r="AC2822" s="173"/>
      <c r="AD2822" s="177"/>
      <c r="AE2822" s="177"/>
      <c r="AF2822" s="139"/>
      <c r="AG2822" s="139"/>
      <c r="AH2822" s="177"/>
      <c r="AI2822" s="178"/>
      <c r="AJ2822" s="139"/>
      <c r="AK2822" s="173"/>
      <c r="AL2822" s="177"/>
      <c r="AM2822" s="178"/>
      <c r="AN2822" s="173"/>
      <c r="AO2822" s="173"/>
      <c r="AP2822" s="173"/>
      <c r="AQ2822" s="178"/>
      <c r="AR2822" s="173"/>
      <c r="AS2822" s="173"/>
      <c r="AT2822" s="140"/>
      <c r="AX2822" s="140"/>
      <c r="BB2822" s="173"/>
      <c r="BC2822" s="173"/>
    </row>
    <row r="2823" spans="2:55" s="134" customFormat="1" x14ac:dyDescent="0.2">
      <c r="B2823" s="145"/>
      <c r="D2823" s="145"/>
      <c r="Z2823" s="177"/>
      <c r="AA2823" s="178"/>
      <c r="AB2823" s="139"/>
      <c r="AC2823" s="173"/>
      <c r="AD2823" s="177"/>
      <c r="AE2823" s="177"/>
      <c r="AF2823" s="139"/>
      <c r="AG2823" s="139"/>
      <c r="AH2823" s="177"/>
      <c r="AI2823" s="178"/>
      <c r="AJ2823" s="139"/>
      <c r="AK2823" s="173"/>
      <c r="AL2823" s="177"/>
      <c r="AM2823" s="178"/>
      <c r="AN2823" s="173"/>
      <c r="AO2823" s="173"/>
      <c r="AP2823" s="173"/>
      <c r="AQ2823" s="178"/>
      <c r="AR2823" s="173"/>
      <c r="AS2823" s="173"/>
      <c r="AT2823" s="140"/>
      <c r="AX2823" s="140"/>
      <c r="BB2823" s="173"/>
      <c r="BC2823" s="173"/>
    </row>
    <row r="2824" spans="2:55" s="134" customFormat="1" x14ac:dyDescent="0.2">
      <c r="B2824" s="145"/>
      <c r="D2824" s="145"/>
      <c r="Z2824" s="177"/>
      <c r="AA2824" s="178"/>
      <c r="AB2824" s="139"/>
      <c r="AC2824" s="173"/>
      <c r="AD2824" s="177"/>
      <c r="AE2824" s="177"/>
      <c r="AF2824" s="139"/>
      <c r="AG2824" s="139"/>
      <c r="AH2824" s="177"/>
      <c r="AI2824" s="178"/>
      <c r="AJ2824" s="139"/>
      <c r="AK2824" s="173"/>
      <c r="AL2824" s="177"/>
      <c r="AM2824" s="178"/>
      <c r="AN2824" s="173"/>
      <c r="AO2824" s="173"/>
      <c r="AP2824" s="173"/>
      <c r="AQ2824" s="178"/>
      <c r="AR2824" s="173"/>
      <c r="AS2824" s="173"/>
      <c r="AT2824" s="140"/>
      <c r="AX2824" s="140"/>
      <c r="BB2824" s="173"/>
      <c r="BC2824" s="173"/>
    </row>
    <row r="2825" spans="2:55" s="134" customFormat="1" x14ac:dyDescent="0.2">
      <c r="B2825" s="145"/>
      <c r="D2825" s="145"/>
      <c r="Z2825" s="177"/>
      <c r="AA2825" s="178"/>
      <c r="AB2825" s="139"/>
      <c r="AC2825" s="173"/>
      <c r="AD2825" s="177"/>
      <c r="AE2825" s="177"/>
      <c r="AF2825" s="139"/>
      <c r="AG2825" s="139"/>
      <c r="AH2825" s="177"/>
      <c r="AI2825" s="178"/>
      <c r="AJ2825" s="139"/>
      <c r="AK2825" s="173"/>
      <c r="AL2825" s="177"/>
      <c r="AM2825" s="178"/>
      <c r="AN2825" s="173"/>
      <c r="AO2825" s="173"/>
      <c r="AP2825" s="173"/>
      <c r="AQ2825" s="178"/>
      <c r="AR2825" s="173"/>
      <c r="AS2825" s="173"/>
      <c r="AT2825" s="140"/>
      <c r="AX2825" s="140"/>
      <c r="BB2825" s="173"/>
      <c r="BC2825" s="173"/>
    </row>
    <row r="2826" spans="2:55" s="134" customFormat="1" x14ac:dyDescent="0.2">
      <c r="B2826" s="145"/>
      <c r="D2826" s="145"/>
      <c r="Z2826" s="177"/>
      <c r="AA2826" s="178"/>
      <c r="AB2826" s="139"/>
      <c r="AC2826" s="173"/>
      <c r="AD2826" s="177"/>
      <c r="AE2826" s="177"/>
      <c r="AF2826" s="139"/>
      <c r="AG2826" s="139"/>
      <c r="AH2826" s="177"/>
      <c r="AI2826" s="178"/>
      <c r="AJ2826" s="139"/>
      <c r="AK2826" s="173"/>
      <c r="AL2826" s="177"/>
      <c r="AM2826" s="178"/>
      <c r="AN2826" s="173"/>
      <c r="AO2826" s="173"/>
      <c r="AP2826" s="173"/>
      <c r="AQ2826" s="178"/>
      <c r="AR2826" s="173"/>
      <c r="AS2826" s="173"/>
      <c r="AT2826" s="140"/>
      <c r="AX2826" s="140"/>
      <c r="BB2826" s="173"/>
      <c r="BC2826" s="173"/>
    </row>
    <row r="2827" spans="2:55" s="134" customFormat="1" x14ac:dyDescent="0.2">
      <c r="B2827" s="145"/>
      <c r="D2827" s="145"/>
      <c r="Z2827" s="177"/>
      <c r="AA2827" s="178"/>
      <c r="AB2827" s="139"/>
      <c r="AC2827" s="173"/>
      <c r="AD2827" s="177"/>
      <c r="AE2827" s="177"/>
      <c r="AF2827" s="139"/>
      <c r="AG2827" s="139"/>
      <c r="AH2827" s="177"/>
      <c r="AI2827" s="178"/>
      <c r="AJ2827" s="139"/>
      <c r="AK2827" s="173"/>
      <c r="AL2827" s="177"/>
      <c r="AM2827" s="178"/>
      <c r="AN2827" s="173"/>
      <c r="AO2827" s="173"/>
      <c r="AP2827" s="173"/>
      <c r="AQ2827" s="178"/>
      <c r="AR2827" s="173"/>
      <c r="AS2827" s="173"/>
      <c r="AT2827" s="140"/>
      <c r="AX2827" s="140"/>
      <c r="BB2827" s="173"/>
      <c r="BC2827" s="173"/>
    </row>
    <row r="2828" spans="2:55" s="134" customFormat="1" x14ac:dyDescent="0.2">
      <c r="B2828" s="145"/>
      <c r="D2828" s="145"/>
      <c r="Z2828" s="177"/>
      <c r="AA2828" s="178"/>
      <c r="AB2828" s="139"/>
      <c r="AC2828" s="173"/>
      <c r="AD2828" s="177"/>
      <c r="AE2828" s="177"/>
      <c r="AF2828" s="139"/>
      <c r="AG2828" s="139"/>
      <c r="AH2828" s="177"/>
      <c r="AI2828" s="178"/>
      <c r="AJ2828" s="139"/>
      <c r="AK2828" s="173"/>
      <c r="AL2828" s="177"/>
      <c r="AM2828" s="178"/>
      <c r="AN2828" s="173"/>
      <c r="AO2828" s="173"/>
      <c r="AP2828" s="173"/>
      <c r="AQ2828" s="178"/>
      <c r="AR2828" s="173"/>
      <c r="AS2828" s="173"/>
      <c r="AT2828" s="140"/>
      <c r="AX2828" s="140"/>
      <c r="BB2828" s="173"/>
      <c r="BC2828" s="173"/>
    </row>
    <row r="2829" spans="2:55" s="134" customFormat="1" x14ac:dyDescent="0.2">
      <c r="B2829" s="145"/>
      <c r="D2829" s="145"/>
      <c r="Z2829" s="177"/>
      <c r="AA2829" s="178"/>
      <c r="AB2829" s="139"/>
      <c r="AC2829" s="173"/>
      <c r="AD2829" s="177"/>
      <c r="AE2829" s="177"/>
      <c r="AF2829" s="139"/>
      <c r="AG2829" s="139"/>
      <c r="AH2829" s="177"/>
      <c r="AI2829" s="178"/>
      <c r="AJ2829" s="139"/>
      <c r="AK2829" s="173"/>
      <c r="AL2829" s="177"/>
      <c r="AM2829" s="178"/>
      <c r="AN2829" s="173"/>
      <c r="AO2829" s="173"/>
      <c r="AP2829" s="173"/>
      <c r="AQ2829" s="178"/>
      <c r="AR2829" s="173"/>
      <c r="AS2829" s="173"/>
      <c r="AT2829" s="140"/>
      <c r="AX2829" s="140"/>
      <c r="BB2829" s="173"/>
      <c r="BC2829" s="173"/>
    </row>
    <row r="2830" spans="2:55" s="134" customFormat="1" x14ac:dyDescent="0.2">
      <c r="B2830" s="145"/>
      <c r="D2830" s="145"/>
      <c r="Z2830" s="177"/>
      <c r="AA2830" s="178"/>
      <c r="AB2830" s="139"/>
      <c r="AC2830" s="173"/>
      <c r="AD2830" s="177"/>
      <c r="AE2830" s="177"/>
      <c r="AF2830" s="139"/>
      <c r="AG2830" s="139"/>
      <c r="AH2830" s="177"/>
      <c r="AI2830" s="178"/>
      <c r="AJ2830" s="139"/>
      <c r="AK2830" s="173"/>
      <c r="AL2830" s="177"/>
      <c r="AM2830" s="178"/>
      <c r="AN2830" s="173"/>
      <c r="AO2830" s="173"/>
      <c r="AP2830" s="173"/>
      <c r="AQ2830" s="178"/>
      <c r="AR2830" s="173"/>
      <c r="AS2830" s="173"/>
      <c r="AT2830" s="140"/>
      <c r="AX2830" s="140"/>
      <c r="BB2830" s="173"/>
      <c r="BC2830" s="173"/>
    </row>
    <row r="2831" spans="2:55" s="134" customFormat="1" x14ac:dyDescent="0.2">
      <c r="B2831" s="145"/>
      <c r="D2831" s="145"/>
      <c r="Z2831" s="177"/>
      <c r="AA2831" s="178"/>
      <c r="AB2831" s="139"/>
      <c r="AC2831" s="173"/>
      <c r="AD2831" s="177"/>
      <c r="AE2831" s="177"/>
      <c r="AF2831" s="139"/>
      <c r="AG2831" s="139"/>
      <c r="AH2831" s="177"/>
      <c r="AI2831" s="178"/>
      <c r="AJ2831" s="139"/>
      <c r="AK2831" s="173"/>
      <c r="AL2831" s="177"/>
      <c r="AM2831" s="178"/>
      <c r="AN2831" s="173"/>
      <c r="AO2831" s="173"/>
      <c r="AP2831" s="173"/>
      <c r="AQ2831" s="178"/>
      <c r="AR2831" s="173"/>
      <c r="AS2831" s="173"/>
      <c r="AT2831" s="140"/>
      <c r="AX2831" s="140"/>
      <c r="BB2831" s="173"/>
      <c r="BC2831" s="173"/>
    </row>
    <row r="2832" spans="2:55" s="134" customFormat="1" x14ac:dyDescent="0.2">
      <c r="B2832" s="145"/>
      <c r="D2832" s="145"/>
      <c r="Z2832" s="177"/>
      <c r="AA2832" s="178"/>
      <c r="AB2832" s="139"/>
      <c r="AC2832" s="173"/>
      <c r="AD2832" s="177"/>
      <c r="AE2832" s="177"/>
      <c r="AF2832" s="139"/>
      <c r="AG2832" s="139"/>
      <c r="AH2832" s="177"/>
      <c r="AI2832" s="178"/>
      <c r="AJ2832" s="139"/>
      <c r="AK2832" s="173"/>
      <c r="AL2832" s="177"/>
      <c r="AM2832" s="178"/>
      <c r="AN2832" s="173"/>
      <c r="AO2832" s="173"/>
      <c r="AP2832" s="173"/>
      <c r="AQ2832" s="178"/>
      <c r="AR2832" s="173"/>
      <c r="AS2832" s="173"/>
      <c r="AT2832" s="140"/>
      <c r="AX2832" s="140"/>
      <c r="BB2832" s="173"/>
      <c r="BC2832" s="173"/>
    </row>
    <row r="2833" spans="2:55" s="134" customFormat="1" x14ac:dyDescent="0.2">
      <c r="B2833" s="145"/>
      <c r="D2833" s="145"/>
      <c r="Z2833" s="177"/>
      <c r="AA2833" s="178"/>
      <c r="AB2833" s="139"/>
      <c r="AC2833" s="173"/>
      <c r="AD2833" s="177"/>
      <c r="AE2833" s="177"/>
      <c r="AF2833" s="139"/>
      <c r="AG2833" s="139"/>
      <c r="AH2833" s="177"/>
      <c r="AI2833" s="178"/>
      <c r="AJ2833" s="139"/>
      <c r="AK2833" s="173"/>
      <c r="AL2833" s="177"/>
      <c r="AM2833" s="178"/>
      <c r="AN2833" s="173"/>
      <c r="AO2833" s="173"/>
      <c r="AP2833" s="173"/>
      <c r="AQ2833" s="178"/>
      <c r="AR2833" s="173"/>
      <c r="AS2833" s="173"/>
      <c r="AT2833" s="140"/>
      <c r="AX2833" s="140"/>
      <c r="BB2833" s="173"/>
      <c r="BC2833" s="173"/>
    </row>
    <row r="2834" spans="2:55" s="134" customFormat="1" x14ac:dyDescent="0.2">
      <c r="B2834" s="145"/>
      <c r="D2834" s="145"/>
      <c r="Z2834" s="177"/>
      <c r="AA2834" s="178"/>
      <c r="AB2834" s="139"/>
      <c r="AC2834" s="173"/>
      <c r="AD2834" s="177"/>
      <c r="AE2834" s="177"/>
      <c r="AF2834" s="139"/>
      <c r="AG2834" s="139"/>
      <c r="AH2834" s="177"/>
      <c r="AI2834" s="178"/>
      <c r="AJ2834" s="139"/>
      <c r="AK2834" s="173"/>
      <c r="AL2834" s="177"/>
      <c r="AM2834" s="178"/>
      <c r="AN2834" s="173"/>
      <c r="AO2834" s="173"/>
      <c r="AP2834" s="173"/>
      <c r="AQ2834" s="178"/>
      <c r="AR2834" s="173"/>
      <c r="AS2834" s="173"/>
      <c r="AT2834" s="140"/>
      <c r="AX2834" s="140"/>
      <c r="BB2834" s="173"/>
      <c r="BC2834" s="173"/>
    </row>
    <row r="2835" spans="2:55" s="134" customFormat="1" x14ac:dyDescent="0.2">
      <c r="B2835" s="145"/>
      <c r="D2835" s="145"/>
      <c r="Z2835" s="177"/>
      <c r="AA2835" s="178"/>
      <c r="AB2835" s="139"/>
      <c r="AC2835" s="173"/>
      <c r="AD2835" s="177"/>
      <c r="AE2835" s="177"/>
      <c r="AF2835" s="139"/>
      <c r="AG2835" s="139"/>
      <c r="AH2835" s="177"/>
      <c r="AI2835" s="178"/>
      <c r="AJ2835" s="139"/>
      <c r="AK2835" s="173"/>
      <c r="AL2835" s="177"/>
      <c r="AM2835" s="178"/>
      <c r="AN2835" s="173"/>
      <c r="AO2835" s="173"/>
      <c r="AP2835" s="173"/>
      <c r="AQ2835" s="178"/>
      <c r="AR2835" s="173"/>
      <c r="AS2835" s="173"/>
      <c r="AT2835" s="140"/>
      <c r="AX2835" s="140"/>
      <c r="BB2835" s="173"/>
      <c r="BC2835" s="173"/>
    </row>
    <row r="2836" spans="2:55" s="134" customFormat="1" x14ac:dyDescent="0.2">
      <c r="B2836" s="145"/>
      <c r="D2836" s="145"/>
      <c r="Z2836" s="177"/>
      <c r="AA2836" s="178"/>
      <c r="AB2836" s="139"/>
      <c r="AC2836" s="173"/>
      <c r="AD2836" s="177"/>
      <c r="AE2836" s="177"/>
      <c r="AF2836" s="139"/>
      <c r="AG2836" s="139"/>
      <c r="AH2836" s="177"/>
      <c r="AI2836" s="178"/>
      <c r="AJ2836" s="139"/>
      <c r="AK2836" s="173"/>
      <c r="AL2836" s="177"/>
      <c r="AM2836" s="178"/>
      <c r="AN2836" s="173"/>
      <c r="AO2836" s="173"/>
      <c r="AP2836" s="173"/>
      <c r="AQ2836" s="178"/>
      <c r="AR2836" s="173"/>
      <c r="AS2836" s="173"/>
      <c r="AT2836" s="140"/>
      <c r="AX2836" s="140"/>
      <c r="BB2836" s="173"/>
      <c r="BC2836" s="173"/>
    </row>
    <row r="2837" spans="2:55" s="134" customFormat="1" x14ac:dyDescent="0.2">
      <c r="B2837" s="145"/>
      <c r="D2837" s="145"/>
      <c r="Z2837" s="177"/>
      <c r="AA2837" s="178"/>
      <c r="AB2837" s="139"/>
      <c r="AC2837" s="173"/>
      <c r="AD2837" s="177"/>
      <c r="AE2837" s="177"/>
      <c r="AF2837" s="139"/>
      <c r="AG2837" s="139"/>
      <c r="AH2837" s="177"/>
      <c r="AI2837" s="178"/>
      <c r="AJ2837" s="139"/>
      <c r="AK2837" s="173"/>
      <c r="AL2837" s="177"/>
      <c r="AM2837" s="178"/>
      <c r="AN2837" s="173"/>
      <c r="AO2837" s="173"/>
      <c r="AP2837" s="173"/>
      <c r="AQ2837" s="178"/>
      <c r="AR2837" s="173"/>
      <c r="AS2837" s="173"/>
      <c r="AT2837" s="140"/>
      <c r="AX2837" s="140"/>
      <c r="BB2837" s="173"/>
      <c r="BC2837" s="173"/>
    </row>
    <row r="2838" spans="2:55" s="134" customFormat="1" x14ac:dyDescent="0.2">
      <c r="B2838" s="145"/>
      <c r="D2838" s="145"/>
      <c r="Z2838" s="177"/>
      <c r="AA2838" s="178"/>
      <c r="AB2838" s="139"/>
      <c r="AC2838" s="173"/>
      <c r="AD2838" s="177"/>
      <c r="AE2838" s="177"/>
      <c r="AF2838" s="139"/>
      <c r="AG2838" s="139"/>
      <c r="AH2838" s="177"/>
      <c r="AI2838" s="178"/>
      <c r="AJ2838" s="139"/>
      <c r="AK2838" s="173"/>
      <c r="AL2838" s="177"/>
      <c r="AM2838" s="178"/>
      <c r="AN2838" s="173"/>
      <c r="AO2838" s="173"/>
      <c r="AP2838" s="173"/>
      <c r="AQ2838" s="178"/>
      <c r="AR2838" s="173"/>
      <c r="AS2838" s="173"/>
      <c r="AT2838" s="140"/>
      <c r="AX2838" s="140"/>
      <c r="BB2838" s="173"/>
      <c r="BC2838" s="173"/>
    </row>
    <row r="2839" spans="2:55" s="134" customFormat="1" x14ac:dyDescent="0.2">
      <c r="B2839" s="145"/>
      <c r="D2839" s="145"/>
      <c r="Z2839" s="177"/>
      <c r="AA2839" s="178"/>
      <c r="AB2839" s="139"/>
      <c r="AC2839" s="173"/>
      <c r="AD2839" s="177"/>
      <c r="AE2839" s="177"/>
      <c r="AF2839" s="139"/>
      <c r="AG2839" s="139"/>
      <c r="AH2839" s="177"/>
      <c r="AI2839" s="178"/>
      <c r="AJ2839" s="139"/>
      <c r="AK2839" s="173"/>
      <c r="AL2839" s="177"/>
      <c r="AM2839" s="178"/>
      <c r="AN2839" s="173"/>
      <c r="AO2839" s="173"/>
      <c r="AP2839" s="173"/>
      <c r="AQ2839" s="178"/>
      <c r="AR2839" s="173"/>
      <c r="AS2839" s="173"/>
      <c r="AT2839" s="140"/>
      <c r="AX2839" s="140"/>
      <c r="BB2839" s="173"/>
      <c r="BC2839" s="173"/>
    </row>
    <row r="2840" spans="2:55" s="134" customFormat="1" x14ac:dyDescent="0.2">
      <c r="B2840" s="145"/>
      <c r="D2840" s="145"/>
      <c r="Z2840" s="177"/>
      <c r="AA2840" s="178"/>
      <c r="AB2840" s="139"/>
      <c r="AC2840" s="173"/>
      <c r="AD2840" s="177"/>
      <c r="AE2840" s="177"/>
      <c r="AF2840" s="139"/>
      <c r="AG2840" s="139"/>
      <c r="AH2840" s="177"/>
      <c r="AI2840" s="178"/>
      <c r="AJ2840" s="139"/>
      <c r="AK2840" s="173"/>
      <c r="AL2840" s="177"/>
      <c r="AM2840" s="178"/>
      <c r="AN2840" s="173"/>
      <c r="AO2840" s="173"/>
      <c r="AP2840" s="173"/>
      <c r="AQ2840" s="178"/>
      <c r="AR2840" s="173"/>
      <c r="AS2840" s="173"/>
      <c r="AT2840" s="140"/>
      <c r="AX2840" s="140"/>
      <c r="BB2840" s="173"/>
      <c r="BC2840" s="173"/>
    </row>
    <row r="2841" spans="2:55" s="134" customFormat="1" x14ac:dyDescent="0.2">
      <c r="B2841" s="145"/>
      <c r="D2841" s="145"/>
      <c r="Z2841" s="177"/>
      <c r="AA2841" s="178"/>
      <c r="AB2841" s="139"/>
      <c r="AC2841" s="173"/>
      <c r="AD2841" s="177"/>
      <c r="AE2841" s="177"/>
      <c r="AF2841" s="139"/>
      <c r="AG2841" s="139"/>
      <c r="AH2841" s="177"/>
      <c r="AI2841" s="178"/>
      <c r="AJ2841" s="139"/>
      <c r="AK2841" s="173"/>
      <c r="AL2841" s="177"/>
      <c r="AM2841" s="178"/>
      <c r="AN2841" s="173"/>
      <c r="AO2841" s="173"/>
      <c r="AP2841" s="173"/>
      <c r="AQ2841" s="178"/>
      <c r="AR2841" s="173"/>
      <c r="AS2841" s="173"/>
      <c r="AT2841" s="140"/>
      <c r="AX2841" s="140"/>
      <c r="BB2841" s="173"/>
      <c r="BC2841" s="173"/>
    </row>
    <row r="2842" spans="2:55" s="134" customFormat="1" x14ac:dyDescent="0.2">
      <c r="B2842" s="145"/>
      <c r="D2842" s="145"/>
      <c r="Z2842" s="177"/>
      <c r="AA2842" s="178"/>
      <c r="AB2842" s="139"/>
      <c r="AC2842" s="173"/>
      <c r="AD2842" s="177"/>
      <c r="AE2842" s="177"/>
      <c r="AF2842" s="139"/>
      <c r="AG2842" s="139"/>
      <c r="AH2842" s="177"/>
      <c r="AI2842" s="178"/>
      <c r="AJ2842" s="139"/>
      <c r="AK2842" s="173"/>
      <c r="AL2842" s="177"/>
      <c r="AM2842" s="178"/>
      <c r="AN2842" s="173"/>
      <c r="AO2842" s="173"/>
      <c r="AP2842" s="173"/>
      <c r="AQ2842" s="178"/>
      <c r="AR2842" s="173"/>
      <c r="AS2842" s="173"/>
      <c r="AT2842" s="140"/>
      <c r="AX2842" s="140"/>
      <c r="BB2842" s="173"/>
      <c r="BC2842" s="173"/>
    </row>
    <row r="2843" spans="2:55" s="134" customFormat="1" x14ac:dyDescent="0.2">
      <c r="B2843" s="145"/>
      <c r="D2843" s="145"/>
      <c r="Z2843" s="177"/>
      <c r="AA2843" s="178"/>
      <c r="AB2843" s="139"/>
      <c r="AC2843" s="173"/>
      <c r="AD2843" s="177"/>
      <c r="AE2843" s="177"/>
      <c r="AF2843" s="139"/>
      <c r="AG2843" s="139"/>
      <c r="AH2843" s="177"/>
      <c r="AI2843" s="178"/>
      <c r="AJ2843" s="139"/>
      <c r="AK2843" s="173"/>
      <c r="AL2843" s="177"/>
      <c r="AM2843" s="178"/>
      <c r="AN2843" s="173"/>
      <c r="AO2843" s="173"/>
      <c r="AP2843" s="173"/>
      <c r="AQ2843" s="178"/>
      <c r="AR2843" s="173"/>
      <c r="AS2843" s="173"/>
      <c r="AT2843" s="140"/>
      <c r="AX2843" s="140"/>
      <c r="BB2843" s="173"/>
      <c r="BC2843" s="173"/>
    </row>
    <row r="2844" spans="2:55" s="134" customFormat="1" x14ac:dyDescent="0.2">
      <c r="B2844" s="145"/>
      <c r="D2844" s="145"/>
      <c r="Z2844" s="177"/>
      <c r="AA2844" s="178"/>
      <c r="AB2844" s="139"/>
      <c r="AC2844" s="173"/>
      <c r="AD2844" s="177"/>
      <c r="AE2844" s="177"/>
      <c r="AF2844" s="139"/>
      <c r="AG2844" s="139"/>
      <c r="AH2844" s="177"/>
      <c r="AI2844" s="178"/>
      <c r="AJ2844" s="139"/>
      <c r="AK2844" s="173"/>
      <c r="AL2844" s="177"/>
      <c r="AM2844" s="178"/>
      <c r="AN2844" s="173"/>
      <c r="AO2844" s="173"/>
      <c r="AP2844" s="173"/>
      <c r="AQ2844" s="178"/>
      <c r="AR2844" s="173"/>
      <c r="AS2844" s="173"/>
      <c r="AT2844" s="140"/>
      <c r="AX2844" s="140"/>
      <c r="BB2844" s="173"/>
      <c r="BC2844" s="173"/>
    </row>
    <row r="2845" spans="2:55" s="134" customFormat="1" x14ac:dyDescent="0.2">
      <c r="B2845" s="145"/>
      <c r="D2845" s="145"/>
      <c r="Z2845" s="177"/>
      <c r="AA2845" s="178"/>
      <c r="AB2845" s="139"/>
      <c r="AC2845" s="173"/>
      <c r="AD2845" s="177"/>
      <c r="AE2845" s="177"/>
      <c r="AF2845" s="139"/>
      <c r="AG2845" s="139"/>
      <c r="AH2845" s="177"/>
      <c r="AI2845" s="178"/>
      <c r="AJ2845" s="139"/>
      <c r="AK2845" s="173"/>
      <c r="AL2845" s="177"/>
      <c r="AM2845" s="178"/>
      <c r="AN2845" s="173"/>
      <c r="AO2845" s="173"/>
      <c r="AP2845" s="173"/>
      <c r="AQ2845" s="178"/>
      <c r="AR2845" s="173"/>
      <c r="AS2845" s="173"/>
      <c r="AT2845" s="140"/>
      <c r="AX2845" s="140"/>
      <c r="BB2845" s="173"/>
      <c r="BC2845" s="173"/>
    </row>
    <row r="2846" spans="2:55" s="134" customFormat="1" x14ac:dyDescent="0.2">
      <c r="B2846" s="145"/>
      <c r="D2846" s="145"/>
      <c r="Z2846" s="177"/>
      <c r="AA2846" s="178"/>
      <c r="AB2846" s="139"/>
      <c r="AC2846" s="173"/>
      <c r="AD2846" s="177"/>
      <c r="AE2846" s="177"/>
      <c r="AF2846" s="139"/>
      <c r="AG2846" s="139"/>
      <c r="AH2846" s="177"/>
      <c r="AI2846" s="178"/>
      <c r="AJ2846" s="139"/>
      <c r="AK2846" s="173"/>
      <c r="AL2846" s="177"/>
      <c r="AM2846" s="178"/>
      <c r="AN2846" s="173"/>
      <c r="AO2846" s="173"/>
      <c r="AP2846" s="173"/>
      <c r="AQ2846" s="178"/>
      <c r="AR2846" s="173"/>
      <c r="AS2846" s="173"/>
      <c r="AT2846" s="140"/>
      <c r="AX2846" s="140"/>
      <c r="BB2846" s="173"/>
      <c r="BC2846" s="173"/>
    </row>
    <row r="2847" spans="2:55" s="134" customFormat="1" x14ac:dyDescent="0.2">
      <c r="B2847" s="145"/>
      <c r="D2847" s="145"/>
      <c r="Z2847" s="177"/>
      <c r="AA2847" s="178"/>
      <c r="AB2847" s="139"/>
      <c r="AC2847" s="173"/>
      <c r="AD2847" s="177"/>
      <c r="AE2847" s="177"/>
      <c r="AF2847" s="139"/>
      <c r="AG2847" s="139"/>
      <c r="AH2847" s="177"/>
      <c r="AI2847" s="178"/>
      <c r="AJ2847" s="139"/>
      <c r="AK2847" s="173"/>
      <c r="AL2847" s="177"/>
      <c r="AM2847" s="178"/>
      <c r="AN2847" s="173"/>
      <c r="AO2847" s="173"/>
      <c r="AP2847" s="173"/>
      <c r="AQ2847" s="178"/>
      <c r="AR2847" s="173"/>
      <c r="AS2847" s="173"/>
      <c r="AT2847" s="140"/>
      <c r="AX2847" s="140"/>
      <c r="BB2847" s="173"/>
      <c r="BC2847" s="173"/>
    </row>
    <row r="2848" spans="2:55" s="134" customFormat="1" x14ac:dyDescent="0.2">
      <c r="B2848" s="145"/>
      <c r="D2848" s="145"/>
      <c r="Z2848" s="177"/>
      <c r="AA2848" s="178"/>
      <c r="AB2848" s="139"/>
      <c r="AC2848" s="173"/>
      <c r="AD2848" s="177"/>
      <c r="AE2848" s="177"/>
      <c r="AF2848" s="139"/>
      <c r="AG2848" s="139"/>
      <c r="AH2848" s="177"/>
      <c r="AI2848" s="178"/>
      <c r="AJ2848" s="139"/>
      <c r="AK2848" s="173"/>
      <c r="AL2848" s="177"/>
      <c r="AM2848" s="178"/>
      <c r="AN2848" s="173"/>
      <c r="AO2848" s="173"/>
      <c r="AP2848" s="173"/>
      <c r="AQ2848" s="178"/>
      <c r="AR2848" s="173"/>
      <c r="AS2848" s="173"/>
      <c r="AT2848" s="140"/>
      <c r="AX2848" s="140"/>
      <c r="BB2848" s="173"/>
      <c r="BC2848" s="173"/>
    </row>
    <row r="2849" spans="2:55" s="134" customFormat="1" x14ac:dyDescent="0.2">
      <c r="B2849" s="145"/>
      <c r="D2849" s="145"/>
      <c r="Z2849" s="177"/>
      <c r="AA2849" s="178"/>
      <c r="AB2849" s="139"/>
      <c r="AC2849" s="173"/>
      <c r="AD2849" s="177"/>
      <c r="AE2849" s="177"/>
      <c r="AF2849" s="139"/>
      <c r="AG2849" s="139"/>
      <c r="AH2849" s="177"/>
      <c r="AI2849" s="178"/>
      <c r="AJ2849" s="139"/>
      <c r="AK2849" s="173"/>
      <c r="AL2849" s="177"/>
      <c r="AM2849" s="178"/>
      <c r="AN2849" s="173"/>
      <c r="AO2849" s="173"/>
      <c r="AP2849" s="173"/>
      <c r="AQ2849" s="178"/>
      <c r="AR2849" s="173"/>
      <c r="AS2849" s="173"/>
      <c r="AT2849" s="140"/>
      <c r="AX2849" s="140"/>
      <c r="BB2849" s="173"/>
      <c r="BC2849" s="173"/>
    </row>
    <row r="2850" spans="2:55" s="134" customFormat="1" x14ac:dyDescent="0.2">
      <c r="B2850" s="145"/>
      <c r="D2850" s="145"/>
      <c r="Z2850" s="177"/>
      <c r="AA2850" s="178"/>
      <c r="AB2850" s="139"/>
      <c r="AC2850" s="173"/>
      <c r="AD2850" s="177"/>
      <c r="AE2850" s="177"/>
      <c r="AF2850" s="139"/>
      <c r="AG2850" s="139"/>
      <c r="AH2850" s="177"/>
      <c r="AI2850" s="178"/>
      <c r="AJ2850" s="139"/>
      <c r="AK2850" s="173"/>
      <c r="AL2850" s="177"/>
      <c r="AM2850" s="178"/>
      <c r="AN2850" s="173"/>
      <c r="AO2850" s="173"/>
      <c r="AP2850" s="173"/>
      <c r="AQ2850" s="178"/>
      <c r="AR2850" s="173"/>
      <c r="AS2850" s="173"/>
      <c r="AT2850" s="140"/>
      <c r="AX2850" s="140"/>
      <c r="BB2850" s="173"/>
      <c r="BC2850" s="173"/>
    </row>
    <row r="2851" spans="2:55" s="134" customFormat="1" x14ac:dyDescent="0.2">
      <c r="B2851" s="145"/>
      <c r="D2851" s="145"/>
      <c r="Z2851" s="177"/>
      <c r="AA2851" s="178"/>
      <c r="AB2851" s="139"/>
      <c r="AC2851" s="173"/>
      <c r="AD2851" s="177"/>
      <c r="AE2851" s="177"/>
      <c r="AF2851" s="139"/>
      <c r="AG2851" s="139"/>
      <c r="AH2851" s="177"/>
      <c r="AI2851" s="178"/>
      <c r="AJ2851" s="139"/>
      <c r="AK2851" s="173"/>
      <c r="AL2851" s="177"/>
      <c r="AM2851" s="178"/>
      <c r="AN2851" s="173"/>
      <c r="AO2851" s="173"/>
      <c r="AP2851" s="173"/>
      <c r="AQ2851" s="178"/>
      <c r="AR2851" s="173"/>
      <c r="AS2851" s="173"/>
      <c r="AT2851" s="140"/>
      <c r="AX2851" s="140"/>
      <c r="BB2851" s="173"/>
      <c r="BC2851" s="173"/>
    </row>
    <row r="2852" spans="2:55" s="134" customFormat="1" x14ac:dyDescent="0.2">
      <c r="B2852" s="145"/>
      <c r="D2852" s="145"/>
      <c r="Z2852" s="177"/>
      <c r="AA2852" s="178"/>
      <c r="AB2852" s="139"/>
      <c r="AC2852" s="173"/>
      <c r="AD2852" s="177"/>
      <c r="AE2852" s="177"/>
      <c r="AF2852" s="139"/>
      <c r="AG2852" s="139"/>
      <c r="AH2852" s="177"/>
      <c r="AI2852" s="178"/>
      <c r="AJ2852" s="139"/>
      <c r="AK2852" s="173"/>
      <c r="AL2852" s="177"/>
      <c r="AM2852" s="178"/>
      <c r="AN2852" s="173"/>
      <c r="AO2852" s="173"/>
      <c r="AP2852" s="173"/>
      <c r="AQ2852" s="178"/>
      <c r="AR2852" s="173"/>
      <c r="AS2852" s="173"/>
      <c r="AT2852" s="140"/>
      <c r="AX2852" s="140"/>
      <c r="BB2852" s="173"/>
      <c r="BC2852" s="173"/>
    </row>
    <row r="2853" spans="2:55" s="134" customFormat="1" x14ac:dyDescent="0.2">
      <c r="B2853" s="145"/>
      <c r="D2853" s="145"/>
      <c r="Z2853" s="177"/>
      <c r="AA2853" s="178"/>
      <c r="AB2853" s="139"/>
      <c r="AC2853" s="173"/>
      <c r="AD2853" s="177"/>
      <c r="AE2853" s="177"/>
      <c r="AF2853" s="139"/>
      <c r="AG2853" s="139"/>
      <c r="AH2853" s="177"/>
      <c r="AI2853" s="178"/>
      <c r="AJ2853" s="139"/>
      <c r="AK2853" s="173"/>
      <c r="AL2853" s="177"/>
      <c r="AM2853" s="178"/>
      <c r="AN2853" s="173"/>
      <c r="AO2853" s="173"/>
      <c r="AP2853" s="173"/>
      <c r="AQ2853" s="178"/>
      <c r="AR2853" s="173"/>
      <c r="AS2853" s="173"/>
      <c r="AT2853" s="140"/>
      <c r="AX2853" s="140"/>
      <c r="BB2853" s="173"/>
      <c r="BC2853" s="173"/>
    </row>
    <row r="2854" spans="2:55" s="134" customFormat="1" x14ac:dyDescent="0.2">
      <c r="B2854" s="145"/>
      <c r="D2854" s="145"/>
      <c r="Z2854" s="177"/>
      <c r="AA2854" s="178"/>
      <c r="AB2854" s="139"/>
      <c r="AC2854" s="173"/>
      <c r="AD2854" s="177"/>
      <c r="AE2854" s="177"/>
      <c r="AF2854" s="139"/>
      <c r="AG2854" s="139"/>
      <c r="AH2854" s="177"/>
      <c r="AI2854" s="178"/>
      <c r="AJ2854" s="139"/>
      <c r="AK2854" s="173"/>
      <c r="AL2854" s="177"/>
      <c r="AM2854" s="178"/>
      <c r="AN2854" s="173"/>
      <c r="AO2854" s="173"/>
      <c r="AP2854" s="173"/>
      <c r="AQ2854" s="178"/>
      <c r="AR2854" s="173"/>
      <c r="AS2854" s="173"/>
      <c r="AT2854" s="140"/>
      <c r="AX2854" s="140"/>
      <c r="BB2854" s="173"/>
      <c r="BC2854" s="173"/>
    </row>
    <row r="2855" spans="2:55" s="134" customFormat="1" x14ac:dyDescent="0.2">
      <c r="B2855" s="145"/>
      <c r="D2855" s="145"/>
      <c r="Z2855" s="177"/>
      <c r="AA2855" s="178"/>
      <c r="AB2855" s="139"/>
      <c r="AC2855" s="173"/>
      <c r="AD2855" s="177"/>
      <c r="AE2855" s="177"/>
      <c r="AF2855" s="139"/>
      <c r="AG2855" s="139"/>
      <c r="AH2855" s="177"/>
      <c r="AI2855" s="178"/>
      <c r="AJ2855" s="139"/>
      <c r="AK2855" s="173"/>
      <c r="AL2855" s="177"/>
      <c r="AM2855" s="178"/>
      <c r="AN2855" s="173"/>
      <c r="AO2855" s="173"/>
      <c r="AP2855" s="173"/>
      <c r="AQ2855" s="178"/>
      <c r="AR2855" s="173"/>
      <c r="AS2855" s="173"/>
      <c r="AT2855" s="140"/>
      <c r="AX2855" s="140"/>
      <c r="BB2855" s="173"/>
      <c r="BC2855" s="173"/>
    </row>
    <row r="2856" spans="2:55" s="134" customFormat="1" x14ac:dyDescent="0.2">
      <c r="B2856" s="145"/>
      <c r="D2856" s="145"/>
      <c r="Z2856" s="177"/>
      <c r="AA2856" s="178"/>
      <c r="AB2856" s="139"/>
      <c r="AC2856" s="173"/>
      <c r="AD2856" s="177"/>
      <c r="AE2856" s="177"/>
      <c r="AF2856" s="139"/>
      <c r="AG2856" s="139"/>
      <c r="AH2856" s="177"/>
      <c r="AI2856" s="178"/>
      <c r="AJ2856" s="139"/>
      <c r="AK2856" s="173"/>
      <c r="AL2856" s="177"/>
      <c r="AM2856" s="178"/>
      <c r="AN2856" s="173"/>
      <c r="AO2856" s="173"/>
      <c r="AP2856" s="173"/>
      <c r="AQ2856" s="178"/>
      <c r="AR2856" s="173"/>
      <c r="AS2856" s="173"/>
      <c r="AT2856" s="140"/>
      <c r="AX2856" s="140"/>
      <c r="BB2856" s="173"/>
      <c r="BC2856" s="173"/>
    </row>
    <row r="2857" spans="2:55" s="134" customFormat="1" x14ac:dyDescent="0.2">
      <c r="B2857" s="145"/>
      <c r="D2857" s="145"/>
      <c r="Z2857" s="177"/>
      <c r="AA2857" s="178"/>
      <c r="AB2857" s="139"/>
      <c r="AC2857" s="173"/>
      <c r="AD2857" s="177"/>
      <c r="AE2857" s="177"/>
      <c r="AF2857" s="139"/>
      <c r="AG2857" s="139"/>
      <c r="AH2857" s="177"/>
      <c r="AI2857" s="178"/>
      <c r="AJ2857" s="139"/>
      <c r="AK2857" s="173"/>
      <c r="AL2857" s="177"/>
      <c r="AM2857" s="178"/>
      <c r="AN2857" s="173"/>
      <c r="AO2857" s="173"/>
      <c r="AP2857" s="173"/>
      <c r="AQ2857" s="178"/>
      <c r="AR2857" s="173"/>
      <c r="AS2857" s="173"/>
      <c r="AT2857" s="140"/>
      <c r="AX2857" s="140"/>
      <c r="BB2857" s="173"/>
      <c r="BC2857" s="173"/>
    </row>
    <row r="2858" spans="2:55" s="134" customFormat="1" x14ac:dyDescent="0.2">
      <c r="B2858" s="145"/>
      <c r="D2858" s="145"/>
      <c r="Z2858" s="177"/>
      <c r="AA2858" s="178"/>
      <c r="AB2858" s="139"/>
      <c r="AC2858" s="173"/>
      <c r="AD2858" s="177"/>
      <c r="AE2858" s="177"/>
      <c r="AF2858" s="139"/>
      <c r="AG2858" s="139"/>
      <c r="AH2858" s="177"/>
      <c r="AI2858" s="178"/>
      <c r="AJ2858" s="139"/>
      <c r="AK2858" s="173"/>
      <c r="AL2858" s="177"/>
      <c r="AM2858" s="178"/>
      <c r="AN2858" s="173"/>
      <c r="AO2858" s="173"/>
      <c r="AP2858" s="173"/>
      <c r="AQ2858" s="178"/>
      <c r="AR2858" s="173"/>
      <c r="AS2858" s="173"/>
      <c r="AT2858" s="140"/>
      <c r="AX2858" s="140"/>
      <c r="BB2858" s="173"/>
      <c r="BC2858" s="173"/>
    </row>
    <row r="2859" spans="2:55" s="134" customFormat="1" x14ac:dyDescent="0.2">
      <c r="B2859" s="145"/>
      <c r="D2859" s="145"/>
      <c r="Z2859" s="177"/>
      <c r="AA2859" s="178"/>
      <c r="AB2859" s="139"/>
      <c r="AC2859" s="173"/>
      <c r="AD2859" s="177"/>
      <c r="AE2859" s="177"/>
      <c r="AF2859" s="139"/>
      <c r="AG2859" s="139"/>
      <c r="AH2859" s="177"/>
      <c r="AI2859" s="178"/>
      <c r="AJ2859" s="139"/>
      <c r="AK2859" s="173"/>
      <c r="AL2859" s="177"/>
      <c r="AM2859" s="178"/>
      <c r="AN2859" s="173"/>
      <c r="AO2859" s="173"/>
      <c r="AP2859" s="173"/>
      <c r="AQ2859" s="178"/>
      <c r="AR2859" s="173"/>
      <c r="AS2859" s="173"/>
      <c r="AT2859" s="140"/>
      <c r="AX2859" s="140"/>
      <c r="BB2859" s="173"/>
      <c r="BC2859" s="173"/>
    </row>
    <row r="2860" spans="2:55" s="134" customFormat="1" x14ac:dyDescent="0.2">
      <c r="B2860" s="145"/>
      <c r="D2860" s="145"/>
      <c r="Z2860" s="177"/>
      <c r="AA2860" s="178"/>
      <c r="AB2860" s="139"/>
      <c r="AC2860" s="173"/>
      <c r="AD2860" s="177"/>
      <c r="AE2860" s="177"/>
      <c r="AF2860" s="139"/>
      <c r="AG2860" s="139"/>
      <c r="AH2860" s="177"/>
      <c r="AI2860" s="178"/>
      <c r="AJ2860" s="139"/>
      <c r="AK2860" s="173"/>
      <c r="AL2860" s="177"/>
      <c r="AM2860" s="178"/>
      <c r="AN2860" s="173"/>
      <c r="AO2860" s="173"/>
      <c r="AP2860" s="173"/>
      <c r="AQ2860" s="178"/>
      <c r="AR2860" s="173"/>
      <c r="AS2860" s="173"/>
      <c r="AT2860" s="140"/>
      <c r="AX2860" s="140"/>
      <c r="BB2860" s="173"/>
      <c r="BC2860" s="173"/>
    </row>
    <row r="2861" spans="2:55" s="134" customFormat="1" x14ac:dyDescent="0.2">
      <c r="B2861" s="145"/>
      <c r="D2861" s="145"/>
      <c r="Z2861" s="177"/>
      <c r="AA2861" s="178"/>
      <c r="AB2861" s="139"/>
      <c r="AC2861" s="173"/>
      <c r="AD2861" s="177"/>
      <c r="AE2861" s="177"/>
      <c r="AF2861" s="139"/>
      <c r="AG2861" s="139"/>
      <c r="AH2861" s="177"/>
      <c r="AI2861" s="178"/>
      <c r="AJ2861" s="139"/>
      <c r="AK2861" s="173"/>
      <c r="AL2861" s="177"/>
      <c r="AM2861" s="178"/>
      <c r="AN2861" s="173"/>
      <c r="AO2861" s="173"/>
      <c r="AP2861" s="173"/>
      <c r="AQ2861" s="178"/>
      <c r="AR2861" s="173"/>
      <c r="AS2861" s="173"/>
      <c r="AT2861" s="140"/>
      <c r="AX2861" s="140"/>
      <c r="BB2861" s="173"/>
      <c r="BC2861" s="173"/>
    </row>
    <row r="2862" spans="2:55" s="134" customFormat="1" x14ac:dyDescent="0.2">
      <c r="B2862" s="145"/>
      <c r="D2862" s="145"/>
      <c r="Z2862" s="177"/>
      <c r="AA2862" s="178"/>
      <c r="AB2862" s="139"/>
      <c r="AC2862" s="173"/>
      <c r="AD2862" s="177"/>
      <c r="AE2862" s="177"/>
      <c r="AF2862" s="139"/>
      <c r="AG2862" s="139"/>
      <c r="AH2862" s="177"/>
      <c r="AI2862" s="178"/>
      <c r="AJ2862" s="139"/>
      <c r="AK2862" s="173"/>
      <c r="AL2862" s="177"/>
      <c r="AM2862" s="178"/>
      <c r="AN2862" s="173"/>
      <c r="AO2862" s="173"/>
      <c r="AP2862" s="173"/>
      <c r="AQ2862" s="178"/>
      <c r="AR2862" s="173"/>
      <c r="AS2862" s="173"/>
      <c r="AT2862" s="140"/>
      <c r="AX2862" s="140"/>
      <c r="BB2862" s="173"/>
      <c r="BC2862" s="173"/>
    </row>
    <row r="2863" spans="2:55" s="134" customFormat="1" x14ac:dyDescent="0.2">
      <c r="B2863" s="145"/>
      <c r="D2863" s="145"/>
      <c r="Z2863" s="177"/>
      <c r="AA2863" s="178"/>
      <c r="AB2863" s="139"/>
      <c r="AC2863" s="173"/>
      <c r="AD2863" s="177"/>
      <c r="AE2863" s="177"/>
      <c r="AF2863" s="139"/>
      <c r="AG2863" s="139"/>
      <c r="AH2863" s="177"/>
      <c r="AI2863" s="178"/>
      <c r="AJ2863" s="139"/>
      <c r="AK2863" s="173"/>
      <c r="AL2863" s="177"/>
      <c r="AM2863" s="178"/>
      <c r="AN2863" s="173"/>
      <c r="AO2863" s="173"/>
      <c r="AP2863" s="173"/>
      <c r="AQ2863" s="178"/>
      <c r="AR2863" s="173"/>
      <c r="AS2863" s="173"/>
      <c r="AT2863" s="140"/>
      <c r="AX2863" s="140"/>
      <c r="BB2863" s="173"/>
      <c r="BC2863" s="173"/>
    </row>
    <row r="2864" spans="2:55" s="134" customFormat="1" x14ac:dyDescent="0.2">
      <c r="B2864" s="145"/>
      <c r="D2864" s="145"/>
      <c r="Z2864" s="177"/>
      <c r="AA2864" s="178"/>
      <c r="AB2864" s="139"/>
      <c r="AC2864" s="173"/>
      <c r="AD2864" s="177"/>
      <c r="AE2864" s="177"/>
      <c r="AF2864" s="139"/>
      <c r="AG2864" s="139"/>
      <c r="AH2864" s="177"/>
      <c r="AI2864" s="178"/>
      <c r="AJ2864" s="139"/>
      <c r="AK2864" s="173"/>
      <c r="AL2864" s="177"/>
      <c r="AM2864" s="178"/>
      <c r="AN2864" s="173"/>
      <c r="AO2864" s="173"/>
      <c r="AP2864" s="173"/>
      <c r="AQ2864" s="178"/>
      <c r="AR2864" s="173"/>
      <c r="AS2864" s="173"/>
      <c r="AT2864" s="140"/>
      <c r="AX2864" s="140"/>
      <c r="BB2864" s="173"/>
      <c r="BC2864" s="173"/>
    </row>
    <row r="2865" spans="2:55" s="134" customFormat="1" x14ac:dyDescent="0.2">
      <c r="B2865" s="145"/>
      <c r="D2865" s="145"/>
      <c r="Z2865" s="177"/>
      <c r="AA2865" s="178"/>
      <c r="AB2865" s="139"/>
      <c r="AC2865" s="173"/>
      <c r="AD2865" s="177"/>
      <c r="AE2865" s="177"/>
      <c r="AF2865" s="139"/>
      <c r="AG2865" s="139"/>
      <c r="AH2865" s="177"/>
      <c r="AI2865" s="178"/>
      <c r="AJ2865" s="139"/>
      <c r="AK2865" s="173"/>
      <c r="AL2865" s="177"/>
      <c r="AM2865" s="178"/>
      <c r="AN2865" s="173"/>
      <c r="AO2865" s="173"/>
      <c r="AP2865" s="173"/>
      <c r="AQ2865" s="178"/>
      <c r="AR2865" s="173"/>
      <c r="AS2865" s="173"/>
      <c r="AT2865" s="140"/>
      <c r="AX2865" s="140"/>
      <c r="BB2865" s="173"/>
      <c r="BC2865" s="173"/>
    </row>
    <row r="2866" spans="2:55" s="134" customFormat="1" x14ac:dyDescent="0.2">
      <c r="B2866" s="145"/>
      <c r="D2866" s="145"/>
      <c r="Z2866" s="177"/>
      <c r="AA2866" s="178"/>
      <c r="AB2866" s="139"/>
      <c r="AC2866" s="173"/>
      <c r="AD2866" s="177"/>
      <c r="AE2866" s="177"/>
      <c r="AF2866" s="139"/>
      <c r="AG2866" s="139"/>
      <c r="AH2866" s="177"/>
      <c r="AI2866" s="178"/>
      <c r="AJ2866" s="139"/>
      <c r="AK2866" s="173"/>
      <c r="AL2866" s="177"/>
      <c r="AM2866" s="178"/>
      <c r="AN2866" s="173"/>
      <c r="AO2866" s="173"/>
      <c r="AP2866" s="173"/>
      <c r="AQ2866" s="178"/>
      <c r="AR2866" s="173"/>
      <c r="AS2866" s="173"/>
      <c r="AT2866" s="140"/>
      <c r="AX2866" s="140"/>
      <c r="BB2866" s="173"/>
      <c r="BC2866" s="173"/>
    </row>
    <row r="2867" spans="2:55" s="134" customFormat="1" x14ac:dyDescent="0.2">
      <c r="B2867" s="145"/>
      <c r="D2867" s="145"/>
      <c r="Z2867" s="177"/>
      <c r="AA2867" s="178"/>
      <c r="AB2867" s="139"/>
      <c r="AC2867" s="173"/>
      <c r="AD2867" s="177"/>
      <c r="AE2867" s="177"/>
      <c r="AF2867" s="139"/>
      <c r="AG2867" s="139"/>
      <c r="AH2867" s="177"/>
      <c r="AI2867" s="178"/>
      <c r="AJ2867" s="139"/>
      <c r="AK2867" s="173"/>
      <c r="AL2867" s="177"/>
      <c r="AM2867" s="178"/>
      <c r="AN2867" s="173"/>
      <c r="AO2867" s="173"/>
      <c r="AP2867" s="173"/>
      <c r="AQ2867" s="178"/>
      <c r="AR2867" s="173"/>
      <c r="AS2867" s="173"/>
      <c r="AT2867" s="140"/>
      <c r="AX2867" s="140"/>
      <c r="BB2867" s="173"/>
      <c r="BC2867" s="173"/>
    </row>
    <row r="2868" spans="2:55" s="134" customFormat="1" x14ac:dyDescent="0.2">
      <c r="B2868" s="145"/>
      <c r="D2868" s="145"/>
      <c r="Z2868" s="177"/>
      <c r="AA2868" s="178"/>
      <c r="AB2868" s="139"/>
      <c r="AC2868" s="173"/>
      <c r="AD2868" s="177"/>
      <c r="AE2868" s="177"/>
      <c r="AF2868" s="139"/>
      <c r="AG2868" s="139"/>
      <c r="AH2868" s="177"/>
      <c r="AI2868" s="178"/>
      <c r="AJ2868" s="139"/>
      <c r="AK2868" s="173"/>
      <c r="AL2868" s="177"/>
      <c r="AM2868" s="178"/>
      <c r="AN2868" s="173"/>
      <c r="AO2868" s="173"/>
      <c r="AP2868" s="173"/>
      <c r="AQ2868" s="178"/>
      <c r="AR2868" s="173"/>
      <c r="AS2868" s="173"/>
      <c r="AT2868" s="140"/>
      <c r="AX2868" s="140"/>
      <c r="BB2868" s="173"/>
      <c r="BC2868" s="173"/>
    </row>
    <row r="2869" spans="2:55" s="134" customFormat="1" x14ac:dyDescent="0.2">
      <c r="B2869" s="145"/>
      <c r="D2869" s="145"/>
      <c r="Z2869" s="177"/>
      <c r="AA2869" s="178"/>
      <c r="AB2869" s="139"/>
      <c r="AC2869" s="173"/>
      <c r="AD2869" s="177"/>
      <c r="AE2869" s="177"/>
      <c r="AF2869" s="139"/>
      <c r="AG2869" s="139"/>
      <c r="AH2869" s="177"/>
      <c r="AI2869" s="178"/>
      <c r="AJ2869" s="139"/>
      <c r="AK2869" s="173"/>
      <c r="AL2869" s="177"/>
      <c r="AM2869" s="178"/>
      <c r="AN2869" s="173"/>
      <c r="AO2869" s="173"/>
      <c r="AP2869" s="173"/>
      <c r="AQ2869" s="178"/>
      <c r="AR2869" s="173"/>
      <c r="AS2869" s="173"/>
      <c r="AT2869" s="140"/>
      <c r="AX2869" s="140"/>
      <c r="BB2869" s="173"/>
      <c r="BC2869" s="173"/>
    </row>
    <row r="2870" spans="2:55" s="134" customFormat="1" x14ac:dyDescent="0.2">
      <c r="B2870" s="145"/>
      <c r="D2870" s="145"/>
      <c r="Z2870" s="177"/>
      <c r="AA2870" s="178"/>
      <c r="AB2870" s="139"/>
      <c r="AC2870" s="173"/>
      <c r="AD2870" s="177"/>
      <c r="AE2870" s="177"/>
      <c r="AF2870" s="139"/>
      <c r="AG2870" s="139"/>
      <c r="AH2870" s="177"/>
      <c r="AI2870" s="178"/>
      <c r="AJ2870" s="139"/>
      <c r="AK2870" s="173"/>
      <c r="AL2870" s="177"/>
      <c r="AM2870" s="178"/>
      <c r="AN2870" s="173"/>
      <c r="AO2870" s="173"/>
      <c r="AP2870" s="173"/>
      <c r="AQ2870" s="178"/>
      <c r="AR2870" s="173"/>
      <c r="AS2870" s="173"/>
      <c r="AT2870" s="140"/>
      <c r="AX2870" s="140"/>
      <c r="BB2870" s="173"/>
      <c r="BC2870" s="173"/>
    </row>
    <row r="2871" spans="2:55" s="134" customFormat="1" x14ac:dyDescent="0.2">
      <c r="B2871" s="145"/>
      <c r="D2871" s="145"/>
      <c r="Z2871" s="177"/>
      <c r="AA2871" s="178"/>
      <c r="AB2871" s="139"/>
      <c r="AC2871" s="173"/>
      <c r="AD2871" s="177"/>
      <c r="AE2871" s="177"/>
      <c r="AF2871" s="139"/>
      <c r="AG2871" s="139"/>
      <c r="AH2871" s="177"/>
      <c r="AI2871" s="178"/>
      <c r="AJ2871" s="139"/>
      <c r="AK2871" s="173"/>
      <c r="AL2871" s="177"/>
      <c r="AM2871" s="178"/>
      <c r="AN2871" s="173"/>
      <c r="AO2871" s="173"/>
      <c r="AP2871" s="173"/>
      <c r="AQ2871" s="178"/>
      <c r="AR2871" s="173"/>
      <c r="AS2871" s="173"/>
      <c r="AT2871" s="140"/>
      <c r="AX2871" s="140"/>
      <c r="BB2871" s="173"/>
      <c r="BC2871" s="173"/>
    </row>
    <row r="2872" spans="2:55" s="134" customFormat="1" x14ac:dyDescent="0.2">
      <c r="B2872" s="145"/>
      <c r="D2872" s="145"/>
      <c r="Z2872" s="177"/>
      <c r="AA2872" s="178"/>
      <c r="AB2872" s="139"/>
      <c r="AC2872" s="173"/>
      <c r="AD2872" s="177"/>
      <c r="AE2872" s="177"/>
      <c r="AF2872" s="139"/>
      <c r="AG2872" s="139"/>
      <c r="AH2872" s="177"/>
      <c r="AI2872" s="178"/>
      <c r="AJ2872" s="139"/>
      <c r="AK2872" s="173"/>
      <c r="AL2872" s="177"/>
      <c r="AM2872" s="178"/>
      <c r="AN2872" s="173"/>
      <c r="AO2872" s="173"/>
      <c r="AP2872" s="173"/>
      <c r="AQ2872" s="178"/>
      <c r="AR2872" s="173"/>
      <c r="AS2872" s="173"/>
      <c r="AT2872" s="140"/>
      <c r="AX2872" s="140"/>
      <c r="BB2872" s="173"/>
      <c r="BC2872" s="173"/>
    </row>
    <row r="2873" spans="2:55" s="134" customFormat="1" x14ac:dyDescent="0.2">
      <c r="B2873" s="145"/>
      <c r="D2873" s="145"/>
      <c r="Z2873" s="177"/>
      <c r="AA2873" s="178"/>
      <c r="AB2873" s="139"/>
      <c r="AC2873" s="173"/>
      <c r="AD2873" s="177"/>
      <c r="AE2873" s="177"/>
      <c r="AF2873" s="139"/>
      <c r="AG2873" s="139"/>
      <c r="AH2873" s="177"/>
      <c r="AI2873" s="178"/>
      <c r="AJ2873" s="139"/>
      <c r="AK2873" s="173"/>
      <c r="AL2873" s="177"/>
      <c r="AM2873" s="178"/>
      <c r="AN2873" s="173"/>
      <c r="AO2873" s="173"/>
      <c r="AP2873" s="173"/>
      <c r="AQ2873" s="178"/>
      <c r="AR2873" s="173"/>
      <c r="AS2873" s="173"/>
      <c r="AT2873" s="140"/>
      <c r="AX2873" s="140"/>
      <c r="BB2873" s="173"/>
      <c r="BC2873" s="173"/>
    </row>
    <row r="2874" spans="2:55" s="134" customFormat="1" x14ac:dyDescent="0.2">
      <c r="B2874" s="145"/>
      <c r="D2874" s="145"/>
      <c r="Z2874" s="177"/>
      <c r="AA2874" s="178"/>
      <c r="AB2874" s="139"/>
      <c r="AC2874" s="173"/>
      <c r="AD2874" s="177"/>
      <c r="AE2874" s="177"/>
      <c r="AF2874" s="139"/>
      <c r="AG2874" s="139"/>
      <c r="AH2874" s="177"/>
      <c r="AI2874" s="178"/>
      <c r="AJ2874" s="139"/>
      <c r="AK2874" s="173"/>
      <c r="AL2874" s="177"/>
      <c r="AM2874" s="178"/>
      <c r="AN2874" s="173"/>
      <c r="AO2874" s="173"/>
      <c r="AP2874" s="173"/>
      <c r="AQ2874" s="178"/>
      <c r="AR2874" s="173"/>
      <c r="AS2874" s="173"/>
      <c r="AT2874" s="140"/>
      <c r="AX2874" s="140"/>
      <c r="BB2874" s="173"/>
      <c r="BC2874" s="173"/>
    </row>
    <row r="2875" spans="2:55" s="134" customFormat="1" x14ac:dyDescent="0.2">
      <c r="B2875" s="145"/>
      <c r="D2875" s="145"/>
      <c r="Z2875" s="177"/>
      <c r="AA2875" s="178"/>
      <c r="AB2875" s="139"/>
      <c r="AC2875" s="173"/>
      <c r="AD2875" s="177"/>
      <c r="AE2875" s="177"/>
      <c r="AF2875" s="139"/>
      <c r="AG2875" s="139"/>
      <c r="AH2875" s="177"/>
      <c r="AI2875" s="178"/>
      <c r="AJ2875" s="139"/>
      <c r="AK2875" s="173"/>
      <c r="AL2875" s="177"/>
      <c r="AM2875" s="178"/>
      <c r="AN2875" s="173"/>
      <c r="AO2875" s="173"/>
      <c r="AP2875" s="173"/>
      <c r="AQ2875" s="178"/>
      <c r="AR2875" s="173"/>
      <c r="AS2875" s="173"/>
      <c r="AT2875" s="140"/>
      <c r="AX2875" s="140"/>
      <c r="BB2875" s="173"/>
      <c r="BC2875" s="173"/>
    </row>
    <row r="2876" spans="2:55" s="134" customFormat="1" x14ac:dyDescent="0.2">
      <c r="B2876" s="145"/>
      <c r="D2876" s="145"/>
      <c r="Z2876" s="177"/>
      <c r="AA2876" s="178"/>
      <c r="AB2876" s="139"/>
      <c r="AC2876" s="173"/>
      <c r="AD2876" s="177"/>
      <c r="AE2876" s="177"/>
      <c r="AF2876" s="139"/>
      <c r="AG2876" s="139"/>
      <c r="AH2876" s="177"/>
      <c r="AI2876" s="178"/>
      <c r="AJ2876" s="139"/>
      <c r="AK2876" s="173"/>
      <c r="AL2876" s="177"/>
      <c r="AM2876" s="178"/>
      <c r="AN2876" s="173"/>
      <c r="AO2876" s="173"/>
      <c r="AP2876" s="173"/>
      <c r="AQ2876" s="178"/>
      <c r="AR2876" s="173"/>
      <c r="AS2876" s="173"/>
      <c r="AT2876" s="140"/>
      <c r="AX2876" s="140"/>
      <c r="BB2876" s="173"/>
      <c r="BC2876" s="173"/>
    </row>
    <row r="2877" spans="2:55" s="134" customFormat="1" x14ac:dyDescent="0.2">
      <c r="B2877" s="145"/>
      <c r="D2877" s="145"/>
      <c r="Z2877" s="177"/>
      <c r="AA2877" s="178"/>
      <c r="AB2877" s="139"/>
      <c r="AC2877" s="173"/>
      <c r="AD2877" s="177"/>
      <c r="AE2877" s="177"/>
      <c r="AF2877" s="139"/>
      <c r="AG2877" s="139"/>
      <c r="AH2877" s="177"/>
      <c r="AI2877" s="178"/>
      <c r="AJ2877" s="139"/>
      <c r="AK2877" s="173"/>
      <c r="AL2877" s="177"/>
      <c r="AM2877" s="178"/>
      <c r="AN2877" s="173"/>
      <c r="AO2877" s="173"/>
      <c r="AP2877" s="173"/>
      <c r="AQ2877" s="178"/>
      <c r="AR2877" s="173"/>
      <c r="AS2877" s="173"/>
      <c r="AT2877" s="140"/>
      <c r="AX2877" s="140"/>
      <c r="BB2877" s="173"/>
      <c r="BC2877" s="173"/>
    </row>
    <row r="2878" spans="2:55" s="134" customFormat="1" x14ac:dyDescent="0.2">
      <c r="B2878" s="145"/>
      <c r="D2878" s="145"/>
      <c r="Z2878" s="177"/>
      <c r="AA2878" s="178"/>
      <c r="AB2878" s="139"/>
      <c r="AC2878" s="173"/>
      <c r="AD2878" s="177"/>
      <c r="AE2878" s="177"/>
      <c r="AF2878" s="139"/>
      <c r="AG2878" s="139"/>
      <c r="AH2878" s="177"/>
      <c r="AI2878" s="178"/>
      <c r="AJ2878" s="139"/>
      <c r="AK2878" s="173"/>
      <c r="AL2878" s="177"/>
      <c r="AM2878" s="178"/>
      <c r="AN2878" s="173"/>
      <c r="AO2878" s="173"/>
      <c r="AP2878" s="173"/>
      <c r="AQ2878" s="178"/>
      <c r="AR2878" s="173"/>
      <c r="AS2878" s="173"/>
      <c r="AT2878" s="140"/>
      <c r="AX2878" s="140"/>
      <c r="BB2878" s="173"/>
      <c r="BC2878" s="173"/>
    </row>
    <row r="2879" spans="2:55" s="134" customFormat="1" x14ac:dyDescent="0.2">
      <c r="B2879" s="145"/>
      <c r="D2879" s="145"/>
      <c r="Z2879" s="177"/>
      <c r="AA2879" s="178"/>
      <c r="AB2879" s="139"/>
      <c r="AC2879" s="173"/>
      <c r="AD2879" s="177"/>
      <c r="AE2879" s="177"/>
      <c r="AF2879" s="139"/>
      <c r="AG2879" s="139"/>
      <c r="AH2879" s="177"/>
      <c r="AI2879" s="178"/>
      <c r="AJ2879" s="139"/>
      <c r="AK2879" s="173"/>
      <c r="AL2879" s="177"/>
      <c r="AM2879" s="178"/>
      <c r="AN2879" s="173"/>
      <c r="AO2879" s="173"/>
      <c r="AP2879" s="173"/>
      <c r="AQ2879" s="178"/>
      <c r="AR2879" s="173"/>
      <c r="AS2879" s="173"/>
      <c r="AT2879" s="140"/>
      <c r="AX2879" s="140"/>
      <c r="BB2879" s="173"/>
      <c r="BC2879" s="173"/>
    </row>
    <row r="2880" spans="2:55" s="134" customFormat="1" x14ac:dyDescent="0.2">
      <c r="B2880" s="145"/>
      <c r="D2880" s="145"/>
      <c r="Z2880" s="177"/>
      <c r="AA2880" s="178"/>
      <c r="AB2880" s="139"/>
      <c r="AC2880" s="173"/>
      <c r="AD2880" s="177"/>
      <c r="AE2880" s="177"/>
      <c r="AF2880" s="139"/>
      <c r="AG2880" s="139"/>
      <c r="AH2880" s="177"/>
      <c r="AI2880" s="178"/>
      <c r="AJ2880" s="139"/>
      <c r="AK2880" s="173"/>
      <c r="AL2880" s="177"/>
      <c r="AM2880" s="178"/>
      <c r="AN2880" s="173"/>
      <c r="AO2880" s="173"/>
      <c r="AP2880" s="173"/>
      <c r="AQ2880" s="178"/>
      <c r="AR2880" s="173"/>
      <c r="AS2880" s="173"/>
      <c r="AT2880" s="140"/>
      <c r="AX2880" s="140"/>
      <c r="BB2880" s="173"/>
      <c r="BC2880" s="173"/>
    </row>
    <row r="2881" spans="2:55" s="134" customFormat="1" x14ac:dyDescent="0.2">
      <c r="B2881" s="145"/>
      <c r="D2881" s="145"/>
      <c r="Z2881" s="177"/>
      <c r="AA2881" s="178"/>
      <c r="AB2881" s="139"/>
      <c r="AC2881" s="173"/>
      <c r="AD2881" s="177"/>
      <c r="AE2881" s="177"/>
      <c r="AF2881" s="139"/>
      <c r="AG2881" s="139"/>
      <c r="AH2881" s="177"/>
      <c r="AI2881" s="178"/>
      <c r="AJ2881" s="139"/>
      <c r="AK2881" s="173"/>
      <c r="AL2881" s="177"/>
      <c r="AM2881" s="178"/>
      <c r="AN2881" s="173"/>
      <c r="AO2881" s="173"/>
      <c r="AP2881" s="173"/>
      <c r="AQ2881" s="178"/>
      <c r="AR2881" s="173"/>
      <c r="AS2881" s="173"/>
      <c r="AT2881" s="140"/>
      <c r="AX2881" s="140"/>
      <c r="BB2881" s="173"/>
      <c r="BC2881" s="173"/>
    </row>
    <row r="2882" spans="2:55" s="134" customFormat="1" x14ac:dyDescent="0.2">
      <c r="B2882" s="145"/>
      <c r="D2882" s="145"/>
      <c r="Z2882" s="177"/>
      <c r="AA2882" s="178"/>
      <c r="AB2882" s="139"/>
      <c r="AC2882" s="173"/>
      <c r="AD2882" s="177"/>
      <c r="AE2882" s="177"/>
      <c r="AF2882" s="139"/>
      <c r="AG2882" s="139"/>
      <c r="AH2882" s="177"/>
      <c r="AI2882" s="178"/>
      <c r="AJ2882" s="139"/>
      <c r="AK2882" s="173"/>
      <c r="AL2882" s="177"/>
      <c r="AM2882" s="178"/>
      <c r="AN2882" s="173"/>
      <c r="AO2882" s="173"/>
      <c r="AP2882" s="173"/>
      <c r="AQ2882" s="178"/>
      <c r="AR2882" s="173"/>
      <c r="AS2882" s="173"/>
      <c r="AT2882" s="140"/>
      <c r="AX2882" s="140"/>
      <c r="BB2882" s="173"/>
      <c r="BC2882" s="173"/>
    </row>
    <row r="2883" spans="2:55" s="134" customFormat="1" x14ac:dyDescent="0.2">
      <c r="B2883" s="145"/>
      <c r="D2883" s="145"/>
      <c r="Z2883" s="177"/>
      <c r="AA2883" s="178"/>
      <c r="AB2883" s="139"/>
      <c r="AC2883" s="173"/>
      <c r="AD2883" s="177"/>
      <c r="AE2883" s="177"/>
      <c r="AF2883" s="139"/>
      <c r="AG2883" s="139"/>
      <c r="AH2883" s="177"/>
      <c r="AI2883" s="178"/>
      <c r="AJ2883" s="139"/>
      <c r="AK2883" s="173"/>
      <c r="AL2883" s="177"/>
      <c r="AM2883" s="178"/>
      <c r="AN2883" s="173"/>
      <c r="AO2883" s="173"/>
      <c r="AP2883" s="173"/>
      <c r="AQ2883" s="178"/>
      <c r="AR2883" s="173"/>
      <c r="AS2883" s="173"/>
      <c r="AT2883" s="140"/>
      <c r="AX2883" s="140"/>
      <c r="BB2883" s="173"/>
      <c r="BC2883" s="173"/>
    </row>
    <row r="2884" spans="2:55" s="134" customFormat="1" x14ac:dyDescent="0.2">
      <c r="B2884" s="145"/>
      <c r="D2884" s="145"/>
      <c r="Z2884" s="177"/>
      <c r="AA2884" s="178"/>
      <c r="AB2884" s="139"/>
      <c r="AC2884" s="173"/>
      <c r="AD2884" s="177"/>
      <c r="AE2884" s="177"/>
      <c r="AF2884" s="139"/>
      <c r="AG2884" s="139"/>
      <c r="AH2884" s="177"/>
      <c r="AI2884" s="178"/>
      <c r="AJ2884" s="139"/>
      <c r="AK2884" s="173"/>
      <c r="AL2884" s="177"/>
      <c r="AM2884" s="178"/>
      <c r="AN2884" s="173"/>
      <c r="AO2884" s="173"/>
      <c r="AP2884" s="173"/>
      <c r="AQ2884" s="178"/>
      <c r="AR2884" s="173"/>
      <c r="AS2884" s="173"/>
      <c r="AT2884" s="140"/>
      <c r="AX2884" s="140"/>
      <c r="BB2884" s="173"/>
      <c r="BC2884" s="173"/>
    </row>
    <row r="2885" spans="2:55" s="134" customFormat="1" x14ac:dyDescent="0.2">
      <c r="B2885" s="145"/>
      <c r="D2885" s="145"/>
      <c r="Z2885" s="177"/>
      <c r="AA2885" s="178"/>
      <c r="AB2885" s="139"/>
      <c r="AC2885" s="173"/>
      <c r="AD2885" s="177"/>
      <c r="AE2885" s="177"/>
      <c r="AF2885" s="139"/>
      <c r="AG2885" s="139"/>
      <c r="AH2885" s="177"/>
      <c r="AI2885" s="178"/>
      <c r="AJ2885" s="139"/>
      <c r="AK2885" s="173"/>
      <c r="AL2885" s="177"/>
      <c r="AM2885" s="178"/>
      <c r="AN2885" s="173"/>
      <c r="AO2885" s="173"/>
      <c r="AP2885" s="173"/>
      <c r="AQ2885" s="178"/>
      <c r="AR2885" s="173"/>
      <c r="AS2885" s="173"/>
      <c r="AT2885" s="140"/>
      <c r="AX2885" s="140"/>
      <c r="BB2885" s="173"/>
      <c r="BC2885" s="173"/>
    </row>
    <row r="2886" spans="2:55" s="134" customFormat="1" x14ac:dyDescent="0.2">
      <c r="B2886" s="145"/>
      <c r="D2886" s="145"/>
      <c r="Z2886" s="177"/>
      <c r="AA2886" s="178"/>
      <c r="AB2886" s="139"/>
      <c r="AC2886" s="173"/>
      <c r="AD2886" s="177"/>
      <c r="AE2886" s="177"/>
      <c r="AF2886" s="139"/>
      <c r="AG2886" s="139"/>
      <c r="AH2886" s="177"/>
      <c r="AI2886" s="178"/>
      <c r="AJ2886" s="139"/>
      <c r="AK2886" s="173"/>
      <c r="AL2886" s="177"/>
      <c r="AM2886" s="178"/>
      <c r="AN2886" s="173"/>
      <c r="AO2886" s="173"/>
      <c r="AP2886" s="173"/>
      <c r="AQ2886" s="178"/>
      <c r="AR2886" s="173"/>
      <c r="AS2886" s="173"/>
      <c r="AT2886" s="140"/>
      <c r="AX2886" s="140"/>
      <c r="BB2886" s="173"/>
      <c r="BC2886" s="173"/>
    </row>
    <row r="2887" spans="2:55" s="134" customFormat="1" x14ac:dyDescent="0.2">
      <c r="B2887" s="145"/>
      <c r="D2887" s="145"/>
      <c r="Z2887" s="177"/>
      <c r="AA2887" s="178"/>
      <c r="AB2887" s="139"/>
      <c r="AC2887" s="173"/>
      <c r="AD2887" s="177"/>
      <c r="AE2887" s="177"/>
      <c r="AF2887" s="139"/>
      <c r="AG2887" s="139"/>
      <c r="AH2887" s="177"/>
      <c r="AI2887" s="178"/>
      <c r="AJ2887" s="139"/>
      <c r="AK2887" s="173"/>
      <c r="AL2887" s="177"/>
      <c r="AM2887" s="178"/>
      <c r="AN2887" s="173"/>
      <c r="AO2887" s="173"/>
      <c r="AP2887" s="173"/>
      <c r="AQ2887" s="178"/>
      <c r="AR2887" s="173"/>
      <c r="AS2887" s="173"/>
      <c r="AT2887" s="140"/>
      <c r="AX2887" s="140"/>
      <c r="BB2887" s="173"/>
      <c r="BC2887" s="173"/>
    </row>
    <row r="2888" spans="2:55" s="134" customFormat="1" x14ac:dyDescent="0.2">
      <c r="B2888" s="145"/>
      <c r="D2888" s="145"/>
      <c r="Z2888" s="177"/>
      <c r="AA2888" s="178"/>
      <c r="AB2888" s="139"/>
      <c r="AC2888" s="173"/>
      <c r="AD2888" s="177"/>
      <c r="AE2888" s="177"/>
      <c r="AF2888" s="139"/>
      <c r="AG2888" s="139"/>
      <c r="AH2888" s="177"/>
      <c r="AI2888" s="178"/>
      <c r="AJ2888" s="139"/>
      <c r="AK2888" s="173"/>
      <c r="AL2888" s="177"/>
      <c r="AM2888" s="178"/>
      <c r="AN2888" s="173"/>
      <c r="AO2888" s="173"/>
      <c r="AP2888" s="173"/>
      <c r="AQ2888" s="178"/>
      <c r="AR2888" s="173"/>
      <c r="AS2888" s="173"/>
      <c r="AT2888" s="140"/>
      <c r="AX2888" s="140"/>
      <c r="BB2888" s="173"/>
      <c r="BC2888" s="173"/>
    </row>
    <row r="2889" spans="2:55" s="134" customFormat="1" x14ac:dyDescent="0.2">
      <c r="B2889" s="145"/>
      <c r="D2889" s="145"/>
      <c r="Z2889" s="177"/>
      <c r="AA2889" s="178"/>
      <c r="AB2889" s="139"/>
      <c r="AC2889" s="173"/>
      <c r="AD2889" s="177"/>
      <c r="AE2889" s="177"/>
      <c r="AF2889" s="139"/>
      <c r="AG2889" s="139"/>
      <c r="AH2889" s="177"/>
      <c r="AI2889" s="178"/>
      <c r="AJ2889" s="139"/>
      <c r="AK2889" s="173"/>
      <c r="AL2889" s="177"/>
      <c r="AM2889" s="178"/>
      <c r="AN2889" s="173"/>
      <c r="AO2889" s="173"/>
      <c r="AP2889" s="173"/>
      <c r="AQ2889" s="178"/>
      <c r="AR2889" s="173"/>
      <c r="AS2889" s="173"/>
      <c r="AT2889" s="140"/>
      <c r="AX2889" s="140"/>
      <c r="BB2889" s="173"/>
      <c r="BC2889" s="173"/>
    </row>
    <row r="2890" spans="2:55" s="134" customFormat="1" x14ac:dyDescent="0.2">
      <c r="B2890" s="145"/>
      <c r="D2890" s="145"/>
      <c r="Z2890" s="177"/>
      <c r="AA2890" s="178"/>
      <c r="AB2890" s="139"/>
      <c r="AC2890" s="173"/>
      <c r="AD2890" s="177"/>
      <c r="AE2890" s="177"/>
      <c r="AF2890" s="139"/>
      <c r="AG2890" s="139"/>
      <c r="AH2890" s="177"/>
      <c r="AI2890" s="178"/>
      <c r="AJ2890" s="139"/>
      <c r="AK2890" s="173"/>
      <c r="AL2890" s="177"/>
      <c r="AM2890" s="178"/>
      <c r="AN2890" s="173"/>
      <c r="AO2890" s="173"/>
      <c r="AP2890" s="173"/>
      <c r="AQ2890" s="178"/>
      <c r="AR2890" s="173"/>
      <c r="AS2890" s="173"/>
      <c r="AT2890" s="140"/>
      <c r="AX2890" s="140"/>
      <c r="BB2890" s="173"/>
      <c r="BC2890" s="173"/>
    </row>
    <row r="2891" spans="2:55" s="134" customFormat="1" x14ac:dyDescent="0.2">
      <c r="B2891" s="145"/>
      <c r="D2891" s="145"/>
      <c r="Z2891" s="177"/>
      <c r="AA2891" s="178"/>
      <c r="AB2891" s="139"/>
      <c r="AC2891" s="173"/>
      <c r="AD2891" s="177"/>
      <c r="AE2891" s="177"/>
      <c r="AF2891" s="139"/>
      <c r="AG2891" s="139"/>
      <c r="AH2891" s="177"/>
      <c r="AI2891" s="178"/>
      <c r="AJ2891" s="139"/>
      <c r="AK2891" s="173"/>
      <c r="AL2891" s="177"/>
      <c r="AM2891" s="178"/>
      <c r="AN2891" s="173"/>
      <c r="AO2891" s="173"/>
      <c r="AP2891" s="173"/>
      <c r="AQ2891" s="178"/>
      <c r="AR2891" s="173"/>
      <c r="AS2891" s="173"/>
      <c r="AT2891" s="140"/>
      <c r="AX2891" s="140"/>
      <c r="BB2891" s="173"/>
      <c r="BC2891" s="173"/>
    </row>
    <row r="2892" spans="2:55" s="134" customFormat="1" x14ac:dyDescent="0.2">
      <c r="B2892" s="145"/>
      <c r="D2892" s="145"/>
      <c r="Z2892" s="177"/>
      <c r="AA2892" s="178"/>
      <c r="AB2892" s="139"/>
      <c r="AC2892" s="173"/>
      <c r="AD2892" s="177"/>
      <c r="AE2892" s="177"/>
      <c r="AF2892" s="139"/>
      <c r="AG2892" s="139"/>
      <c r="AH2892" s="177"/>
      <c r="AI2892" s="178"/>
      <c r="AJ2892" s="139"/>
      <c r="AK2892" s="173"/>
      <c r="AL2892" s="177"/>
      <c r="AM2892" s="178"/>
      <c r="AN2892" s="173"/>
      <c r="AO2892" s="173"/>
      <c r="AP2892" s="173"/>
      <c r="AQ2892" s="178"/>
      <c r="AR2892" s="173"/>
      <c r="AS2892" s="173"/>
      <c r="AT2892" s="140"/>
      <c r="AX2892" s="140"/>
      <c r="BB2892" s="173"/>
      <c r="BC2892" s="173"/>
    </row>
    <row r="2893" spans="2:55" s="134" customFormat="1" x14ac:dyDescent="0.2">
      <c r="B2893" s="145"/>
      <c r="D2893" s="145"/>
      <c r="Z2893" s="177"/>
      <c r="AA2893" s="178"/>
      <c r="AB2893" s="139"/>
      <c r="AC2893" s="173"/>
      <c r="AD2893" s="177"/>
      <c r="AE2893" s="177"/>
      <c r="AF2893" s="139"/>
      <c r="AG2893" s="139"/>
      <c r="AH2893" s="177"/>
      <c r="AI2893" s="178"/>
      <c r="AJ2893" s="139"/>
      <c r="AK2893" s="173"/>
      <c r="AL2893" s="177"/>
      <c r="AM2893" s="178"/>
      <c r="AN2893" s="173"/>
      <c r="AO2893" s="173"/>
      <c r="AP2893" s="173"/>
      <c r="AQ2893" s="178"/>
      <c r="AR2893" s="173"/>
      <c r="AS2893" s="173"/>
      <c r="AT2893" s="140"/>
      <c r="AX2893" s="140"/>
      <c r="BB2893" s="173"/>
      <c r="BC2893" s="173"/>
    </row>
    <row r="2894" spans="2:55" s="134" customFormat="1" x14ac:dyDescent="0.2">
      <c r="B2894" s="145"/>
      <c r="D2894" s="145"/>
      <c r="Z2894" s="177"/>
      <c r="AA2894" s="178"/>
      <c r="AB2894" s="139"/>
      <c r="AC2894" s="173"/>
      <c r="AD2894" s="177"/>
      <c r="AE2894" s="177"/>
      <c r="AF2894" s="139"/>
      <c r="AG2894" s="139"/>
      <c r="AH2894" s="177"/>
      <c r="AI2894" s="178"/>
      <c r="AJ2894" s="139"/>
      <c r="AK2894" s="173"/>
      <c r="AL2894" s="177"/>
      <c r="AM2894" s="178"/>
      <c r="AN2894" s="173"/>
      <c r="AO2894" s="173"/>
      <c r="AP2894" s="173"/>
      <c r="AQ2894" s="178"/>
      <c r="AR2894" s="173"/>
      <c r="AS2894" s="173"/>
      <c r="AT2894" s="140"/>
      <c r="AX2894" s="140"/>
      <c r="BB2894" s="173"/>
      <c r="BC2894" s="173"/>
    </row>
    <row r="2895" spans="2:55" s="134" customFormat="1" x14ac:dyDescent="0.2">
      <c r="B2895" s="145"/>
      <c r="D2895" s="145"/>
      <c r="Z2895" s="177"/>
      <c r="AA2895" s="178"/>
      <c r="AB2895" s="139"/>
      <c r="AC2895" s="173"/>
      <c r="AD2895" s="177"/>
      <c r="AE2895" s="177"/>
      <c r="AF2895" s="139"/>
      <c r="AG2895" s="139"/>
      <c r="AH2895" s="177"/>
      <c r="AI2895" s="178"/>
      <c r="AJ2895" s="139"/>
      <c r="AK2895" s="173"/>
      <c r="AL2895" s="177"/>
      <c r="AM2895" s="178"/>
      <c r="AN2895" s="173"/>
      <c r="AO2895" s="173"/>
      <c r="AP2895" s="173"/>
      <c r="AQ2895" s="178"/>
      <c r="AR2895" s="173"/>
      <c r="AS2895" s="173"/>
      <c r="AT2895" s="140"/>
      <c r="AX2895" s="140"/>
      <c r="BB2895" s="173"/>
      <c r="BC2895" s="173"/>
    </row>
    <row r="2896" spans="2:55" s="134" customFormat="1" x14ac:dyDescent="0.2">
      <c r="B2896" s="145"/>
      <c r="D2896" s="145"/>
      <c r="Z2896" s="177"/>
      <c r="AA2896" s="178"/>
      <c r="AB2896" s="139"/>
      <c r="AC2896" s="173"/>
      <c r="AD2896" s="177"/>
      <c r="AE2896" s="177"/>
      <c r="AF2896" s="139"/>
      <c r="AG2896" s="139"/>
      <c r="AH2896" s="177"/>
      <c r="AI2896" s="178"/>
      <c r="AJ2896" s="139"/>
      <c r="AK2896" s="173"/>
      <c r="AL2896" s="177"/>
      <c r="AM2896" s="178"/>
      <c r="AN2896" s="173"/>
      <c r="AO2896" s="173"/>
      <c r="AP2896" s="173"/>
      <c r="AQ2896" s="178"/>
      <c r="AR2896" s="173"/>
      <c r="AS2896" s="173"/>
      <c r="AT2896" s="140"/>
      <c r="AX2896" s="140"/>
      <c r="BB2896" s="173"/>
      <c r="BC2896" s="173"/>
    </row>
    <row r="2897" spans="2:55" s="134" customFormat="1" x14ac:dyDescent="0.2">
      <c r="B2897" s="145"/>
      <c r="D2897" s="145"/>
      <c r="Z2897" s="177"/>
      <c r="AA2897" s="178"/>
      <c r="AB2897" s="139"/>
      <c r="AC2897" s="173"/>
      <c r="AD2897" s="177"/>
      <c r="AE2897" s="177"/>
      <c r="AF2897" s="139"/>
      <c r="AG2897" s="139"/>
      <c r="AH2897" s="177"/>
      <c r="AI2897" s="178"/>
      <c r="AJ2897" s="139"/>
      <c r="AK2897" s="173"/>
      <c r="AL2897" s="177"/>
      <c r="AM2897" s="178"/>
      <c r="AN2897" s="173"/>
      <c r="AO2897" s="173"/>
      <c r="AP2897" s="173"/>
      <c r="AQ2897" s="178"/>
      <c r="AR2897" s="173"/>
      <c r="AS2897" s="173"/>
      <c r="AT2897" s="140"/>
      <c r="AX2897" s="140"/>
      <c r="BB2897" s="173"/>
      <c r="BC2897" s="173"/>
    </row>
    <row r="2898" spans="2:55" s="134" customFormat="1" x14ac:dyDescent="0.2">
      <c r="B2898" s="145"/>
      <c r="D2898" s="145"/>
      <c r="Z2898" s="177"/>
      <c r="AA2898" s="178"/>
      <c r="AB2898" s="139"/>
      <c r="AC2898" s="173"/>
      <c r="AD2898" s="177"/>
      <c r="AE2898" s="177"/>
      <c r="AF2898" s="139"/>
      <c r="AG2898" s="139"/>
      <c r="AH2898" s="177"/>
      <c r="AI2898" s="178"/>
      <c r="AJ2898" s="139"/>
      <c r="AK2898" s="173"/>
      <c r="AL2898" s="177"/>
      <c r="AM2898" s="178"/>
      <c r="AN2898" s="173"/>
      <c r="AO2898" s="173"/>
      <c r="AP2898" s="173"/>
      <c r="AQ2898" s="178"/>
      <c r="AR2898" s="173"/>
      <c r="AS2898" s="173"/>
      <c r="AT2898" s="140"/>
      <c r="AX2898" s="140"/>
      <c r="BB2898" s="173"/>
      <c r="BC2898" s="173"/>
    </row>
    <row r="2899" spans="2:55" s="134" customFormat="1" x14ac:dyDescent="0.2">
      <c r="B2899" s="145"/>
      <c r="D2899" s="145"/>
      <c r="Z2899" s="177"/>
      <c r="AA2899" s="178"/>
      <c r="AB2899" s="139"/>
      <c r="AC2899" s="173"/>
      <c r="AD2899" s="177"/>
      <c r="AE2899" s="177"/>
      <c r="AF2899" s="139"/>
      <c r="AG2899" s="139"/>
      <c r="AH2899" s="177"/>
      <c r="AI2899" s="178"/>
      <c r="AJ2899" s="139"/>
      <c r="AK2899" s="173"/>
      <c r="AL2899" s="177"/>
      <c r="AM2899" s="178"/>
      <c r="AN2899" s="173"/>
      <c r="AO2899" s="173"/>
      <c r="AP2899" s="173"/>
      <c r="AQ2899" s="178"/>
      <c r="AR2899" s="173"/>
      <c r="AS2899" s="173"/>
      <c r="AT2899" s="140"/>
      <c r="AX2899" s="140"/>
      <c r="BB2899" s="173"/>
      <c r="BC2899" s="173"/>
    </row>
    <row r="2900" spans="2:55" s="134" customFormat="1" x14ac:dyDescent="0.2">
      <c r="B2900" s="145"/>
      <c r="D2900" s="145"/>
      <c r="Z2900" s="177"/>
      <c r="AA2900" s="178"/>
      <c r="AB2900" s="139"/>
      <c r="AC2900" s="173"/>
      <c r="AD2900" s="177"/>
      <c r="AE2900" s="177"/>
      <c r="AF2900" s="139"/>
      <c r="AG2900" s="139"/>
      <c r="AH2900" s="177"/>
      <c r="AI2900" s="178"/>
      <c r="AJ2900" s="139"/>
      <c r="AK2900" s="173"/>
      <c r="AL2900" s="177"/>
      <c r="AM2900" s="178"/>
      <c r="AN2900" s="173"/>
      <c r="AO2900" s="173"/>
      <c r="AP2900" s="173"/>
      <c r="AQ2900" s="178"/>
      <c r="AR2900" s="173"/>
      <c r="AS2900" s="173"/>
      <c r="AT2900" s="140"/>
      <c r="AX2900" s="140"/>
      <c r="BB2900" s="173"/>
      <c r="BC2900" s="173"/>
    </row>
    <row r="2901" spans="2:55" s="134" customFormat="1" x14ac:dyDescent="0.2">
      <c r="B2901" s="145"/>
      <c r="D2901" s="145"/>
      <c r="Z2901" s="177"/>
      <c r="AA2901" s="178"/>
      <c r="AB2901" s="139"/>
      <c r="AC2901" s="173"/>
      <c r="AD2901" s="177"/>
      <c r="AE2901" s="177"/>
      <c r="AF2901" s="139"/>
      <c r="AG2901" s="139"/>
      <c r="AH2901" s="177"/>
      <c r="AI2901" s="178"/>
      <c r="AJ2901" s="139"/>
      <c r="AK2901" s="173"/>
      <c r="AL2901" s="177"/>
      <c r="AM2901" s="178"/>
      <c r="AN2901" s="173"/>
      <c r="AO2901" s="173"/>
      <c r="AP2901" s="173"/>
      <c r="AQ2901" s="178"/>
      <c r="AR2901" s="173"/>
      <c r="AS2901" s="173"/>
      <c r="AT2901" s="140"/>
      <c r="AX2901" s="140"/>
      <c r="BB2901" s="173"/>
      <c r="BC2901" s="173"/>
    </row>
    <row r="2902" spans="2:55" s="134" customFormat="1" x14ac:dyDescent="0.2">
      <c r="B2902" s="145"/>
      <c r="D2902" s="145"/>
      <c r="Z2902" s="177"/>
      <c r="AA2902" s="178"/>
      <c r="AB2902" s="139"/>
      <c r="AC2902" s="173"/>
      <c r="AD2902" s="177"/>
      <c r="AE2902" s="177"/>
      <c r="AF2902" s="139"/>
      <c r="AG2902" s="139"/>
      <c r="AH2902" s="177"/>
      <c r="AI2902" s="178"/>
      <c r="AJ2902" s="139"/>
      <c r="AK2902" s="173"/>
      <c r="AL2902" s="177"/>
      <c r="AM2902" s="178"/>
      <c r="AN2902" s="173"/>
      <c r="AO2902" s="173"/>
      <c r="AP2902" s="173"/>
      <c r="AQ2902" s="178"/>
      <c r="AR2902" s="173"/>
      <c r="AS2902" s="173"/>
      <c r="AT2902" s="140"/>
      <c r="AX2902" s="140"/>
      <c r="BB2902" s="173"/>
      <c r="BC2902" s="173"/>
    </row>
    <row r="2903" spans="2:55" s="134" customFormat="1" x14ac:dyDescent="0.2">
      <c r="B2903" s="145"/>
      <c r="D2903" s="145"/>
      <c r="Z2903" s="177"/>
      <c r="AA2903" s="178"/>
      <c r="AB2903" s="139"/>
      <c r="AC2903" s="173"/>
      <c r="AD2903" s="177"/>
      <c r="AE2903" s="177"/>
      <c r="AF2903" s="139"/>
      <c r="AG2903" s="139"/>
      <c r="AH2903" s="177"/>
      <c r="AI2903" s="178"/>
      <c r="AJ2903" s="139"/>
      <c r="AK2903" s="173"/>
      <c r="AL2903" s="177"/>
      <c r="AM2903" s="178"/>
      <c r="AN2903" s="173"/>
      <c r="AO2903" s="173"/>
      <c r="AP2903" s="173"/>
      <c r="AQ2903" s="178"/>
      <c r="AR2903" s="173"/>
      <c r="AS2903" s="173"/>
      <c r="AT2903" s="140"/>
      <c r="AX2903" s="140"/>
      <c r="BB2903" s="173"/>
      <c r="BC2903" s="173"/>
    </row>
    <row r="2904" spans="2:55" s="134" customFormat="1" x14ac:dyDescent="0.2">
      <c r="B2904" s="145"/>
      <c r="D2904" s="145"/>
      <c r="Z2904" s="177"/>
      <c r="AA2904" s="178"/>
      <c r="AB2904" s="139"/>
      <c r="AC2904" s="173"/>
      <c r="AD2904" s="177"/>
      <c r="AE2904" s="177"/>
      <c r="AF2904" s="139"/>
      <c r="AG2904" s="139"/>
      <c r="AH2904" s="177"/>
      <c r="AI2904" s="178"/>
      <c r="AJ2904" s="139"/>
      <c r="AK2904" s="173"/>
      <c r="AL2904" s="177"/>
      <c r="AM2904" s="178"/>
      <c r="AN2904" s="173"/>
      <c r="AO2904" s="173"/>
      <c r="AP2904" s="173"/>
      <c r="AQ2904" s="178"/>
      <c r="AR2904" s="173"/>
      <c r="AS2904" s="173"/>
      <c r="AT2904" s="140"/>
      <c r="AX2904" s="140"/>
      <c r="BB2904" s="173"/>
      <c r="BC2904" s="173"/>
    </row>
    <row r="2905" spans="2:55" s="134" customFormat="1" x14ac:dyDescent="0.2">
      <c r="B2905" s="145"/>
      <c r="D2905" s="145"/>
      <c r="Z2905" s="177"/>
      <c r="AA2905" s="178"/>
      <c r="AB2905" s="139"/>
      <c r="AC2905" s="173"/>
      <c r="AD2905" s="177"/>
      <c r="AE2905" s="177"/>
      <c r="AF2905" s="139"/>
      <c r="AG2905" s="139"/>
      <c r="AH2905" s="177"/>
      <c r="AI2905" s="178"/>
      <c r="AJ2905" s="139"/>
      <c r="AK2905" s="173"/>
      <c r="AL2905" s="177"/>
      <c r="AM2905" s="178"/>
      <c r="AN2905" s="173"/>
      <c r="AO2905" s="173"/>
      <c r="AP2905" s="173"/>
      <c r="AQ2905" s="178"/>
      <c r="AR2905" s="173"/>
      <c r="AS2905" s="173"/>
      <c r="AT2905" s="140"/>
      <c r="AX2905" s="140"/>
      <c r="BB2905" s="173"/>
      <c r="BC2905" s="173"/>
    </row>
    <row r="2906" spans="2:55" s="134" customFormat="1" x14ac:dyDescent="0.2">
      <c r="B2906" s="145"/>
      <c r="D2906" s="145"/>
      <c r="Z2906" s="177"/>
      <c r="AA2906" s="178"/>
      <c r="AB2906" s="139"/>
      <c r="AC2906" s="173"/>
      <c r="AD2906" s="177"/>
      <c r="AE2906" s="177"/>
      <c r="AF2906" s="139"/>
      <c r="AG2906" s="139"/>
      <c r="AH2906" s="177"/>
      <c r="AI2906" s="178"/>
      <c r="AJ2906" s="139"/>
      <c r="AK2906" s="173"/>
      <c r="AL2906" s="177"/>
      <c r="AM2906" s="178"/>
      <c r="AN2906" s="173"/>
      <c r="AO2906" s="173"/>
      <c r="AP2906" s="173"/>
      <c r="AQ2906" s="178"/>
      <c r="AR2906" s="173"/>
      <c r="AS2906" s="173"/>
      <c r="AT2906" s="140"/>
      <c r="AX2906" s="140"/>
      <c r="BB2906" s="173"/>
      <c r="BC2906" s="173"/>
    </row>
    <row r="2907" spans="2:55" s="134" customFormat="1" x14ac:dyDescent="0.2">
      <c r="B2907" s="145"/>
      <c r="D2907" s="145"/>
      <c r="Z2907" s="177"/>
      <c r="AA2907" s="178"/>
      <c r="AB2907" s="139"/>
      <c r="AC2907" s="173"/>
      <c r="AD2907" s="177"/>
      <c r="AE2907" s="177"/>
      <c r="AF2907" s="139"/>
      <c r="AG2907" s="139"/>
      <c r="AH2907" s="177"/>
      <c r="AI2907" s="178"/>
      <c r="AJ2907" s="139"/>
      <c r="AK2907" s="173"/>
      <c r="AL2907" s="177"/>
      <c r="AM2907" s="178"/>
      <c r="AN2907" s="173"/>
      <c r="AO2907" s="173"/>
      <c r="AP2907" s="173"/>
      <c r="AQ2907" s="178"/>
      <c r="AR2907" s="173"/>
      <c r="AS2907" s="173"/>
      <c r="AT2907" s="140"/>
      <c r="AX2907" s="140"/>
      <c r="BB2907" s="173"/>
      <c r="BC2907" s="173"/>
    </row>
    <row r="2908" spans="2:55" s="134" customFormat="1" x14ac:dyDescent="0.2">
      <c r="B2908" s="145"/>
      <c r="D2908" s="145"/>
      <c r="Z2908" s="177"/>
      <c r="AA2908" s="178"/>
      <c r="AB2908" s="139"/>
      <c r="AC2908" s="173"/>
      <c r="AD2908" s="177"/>
      <c r="AE2908" s="177"/>
      <c r="AF2908" s="139"/>
      <c r="AG2908" s="139"/>
      <c r="AH2908" s="177"/>
      <c r="AI2908" s="178"/>
      <c r="AJ2908" s="139"/>
      <c r="AK2908" s="173"/>
      <c r="AL2908" s="177"/>
      <c r="AM2908" s="178"/>
      <c r="AN2908" s="173"/>
      <c r="AO2908" s="173"/>
      <c r="AP2908" s="173"/>
      <c r="AQ2908" s="178"/>
      <c r="AR2908" s="173"/>
      <c r="AS2908" s="173"/>
      <c r="AT2908" s="140"/>
      <c r="AX2908" s="140"/>
      <c r="BB2908" s="173"/>
      <c r="BC2908" s="173"/>
    </row>
    <row r="2909" spans="2:55" s="134" customFormat="1" x14ac:dyDescent="0.2">
      <c r="B2909" s="145"/>
      <c r="D2909" s="145"/>
      <c r="Z2909" s="177"/>
      <c r="AA2909" s="178"/>
      <c r="AB2909" s="139"/>
      <c r="AC2909" s="173"/>
      <c r="AD2909" s="177"/>
      <c r="AE2909" s="177"/>
      <c r="AF2909" s="139"/>
      <c r="AG2909" s="139"/>
      <c r="AH2909" s="177"/>
      <c r="AI2909" s="178"/>
      <c r="AJ2909" s="139"/>
      <c r="AK2909" s="173"/>
      <c r="AL2909" s="177"/>
      <c r="AM2909" s="178"/>
      <c r="AN2909" s="173"/>
      <c r="AO2909" s="173"/>
      <c r="AP2909" s="173"/>
      <c r="AQ2909" s="178"/>
      <c r="AR2909" s="173"/>
      <c r="AS2909" s="173"/>
      <c r="AT2909" s="140"/>
      <c r="AX2909" s="140"/>
      <c r="BB2909" s="173"/>
      <c r="BC2909" s="173"/>
    </row>
    <row r="2910" spans="2:55" s="134" customFormat="1" x14ac:dyDescent="0.2">
      <c r="B2910" s="145"/>
      <c r="D2910" s="145"/>
      <c r="Z2910" s="177"/>
      <c r="AA2910" s="178"/>
      <c r="AB2910" s="139"/>
      <c r="AC2910" s="173"/>
      <c r="AD2910" s="177"/>
      <c r="AE2910" s="177"/>
      <c r="AF2910" s="139"/>
      <c r="AG2910" s="139"/>
      <c r="AH2910" s="177"/>
      <c r="AI2910" s="178"/>
      <c r="AJ2910" s="139"/>
      <c r="AK2910" s="173"/>
      <c r="AL2910" s="177"/>
      <c r="AM2910" s="178"/>
      <c r="AN2910" s="173"/>
      <c r="AO2910" s="173"/>
      <c r="AP2910" s="173"/>
      <c r="AQ2910" s="178"/>
      <c r="AR2910" s="173"/>
      <c r="AS2910" s="173"/>
      <c r="AT2910" s="140"/>
      <c r="AX2910" s="140"/>
      <c r="BB2910" s="173"/>
      <c r="BC2910" s="173"/>
    </row>
    <row r="2911" spans="2:55" s="134" customFormat="1" x14ac:dyDescent="0.2">
      <c r="B2911" s="145"/>
      <c r="D2911" s="145"/>
      <c r="Z2911" s="177"/>
      <c r="AA2911" s="178"/>
      <c r="AB2911" s="139"/>
      <c r="AC2911" s="173"/>
      <c r="AD2911" s="177"/>
      <c r="AE2911" s="177"/>
      <c r="AF2911" s="139"/>
      <c r="AG2911" s="139"/>
      <c r="AH2911" s="177"/>
      <c r="AI2911" s="178"/>
      <c r="AJ2911" s="139"/>
      <c r="AK2911" s="173"/>
      <c r="AL2911" s="177"/>
      <c r="AM2911" s="178"/>
      <c r="AN2911" s="173"/>
      <c r="AO2911" s="173"/>
      <c r="AP2911" s="173"/>
      <c r="AQ2911" s="178"/>
      <c r="AR2911" s="173"/>
      <c r="AS2911" s="173"/>
      <c r="AT2911" s="140"/>
      <c r="AX2911" s="140"/>
      <c r="BB2911" s="173"/>
      <c r="BC2911" s="173"/>
    </row>
    <row r="2912" spans="2:55" s="134" customFormat="1" x14ac:dyDescent="0.2">
      <c r="B2912" s="145"/>
      <c r="D2912" s="145"/>
      <c r="Z2912" s="177"/>
      <c r="AA2912" s="178"/>
      <c r="AB2912" s="139"/>
      <c r="AC2912" s="173"/>
      <c r="AD2912" s="177"/>
      <c r="AE2912" s="177"/>
      <c r="AF2912" s="139"/>
      <c r="AG2912" s="139"/>
      <c r="AH2912" s="177"/>
      <c r="AI2912" s="178"/>
      <c r="AJ2912" s="139"/>
      <c r="AK2912" s="173"/>
      <c r="AL2912" s="177"/>
      <c r="AM2912" s="178"/>
      <c r="AN2912" s="173"/>
      <c r="AO2912" s="173"/>
      <c r="AP2912" s="173"/>
      <c r="AQ2912" s="178"/>
      <c r="AR2912" s="173"/>
      <c r="AS2912" s="173"/>
      <c r="AT2912" s="140"/>
      <c r="AX2912" s="140"/>
      <c r="BB2912" s="173"/>
      <c r="BC2912" s="173"/>
    </row>
    <row r="2913" spans="2:55" s="134" customFormat="1" x14ac:dyDescent="0.2">
      <c r="B2913" s="145"/>
      <c r="D2913" s="145"/>
      <c r="Z2913" s="177"/>
      <c r="AA2913" s="178"/>
      <c r="AB2913" s="139"/>
      <c r="AC2913" s="173"/>
      <c r="AD2913" s="177"/>
      <c r="AE2913" s="177"/>
      <c r="AF2913" s="139"/>
      <c r="AG2913" s="139"/>
      <c r="AH2913" s="177"/>
      <c r="AI2913" s="178"/>
      <c r="AJ2913" s="139"/>
      <c r="AK2913" s="173"/>
      <c r="AL2913" s="177"/>
      <c r="AM2913" s="178"/>
      <c r="AN2913" s="173"/>
      <c r="AO2913" s="173"/>
      <c r="AP2913" s="173"/>
      <c r="AQ2913" s="178"/>
      <c r="AR2913" s="173"/>
      <c r="AS2913" s="173"/>
      <c r="AT2913" s="140"/>
      <c r="AX2913" s="140"/>
      <c r="BB2913" s="173"/>
      <c r="BC2913" s="173"/>
    </row>
    <row r="2914" spans="2:55" s="134" customFormat="1" x14ac:dyDescent="0.2">
      <c r="B2914" s="145"/>
      <c r="D2914" s="145"/>
      <c r="Z2914" s="177"/>
      <c r="AA2914" s="178"/>
      <c r="AB2914" s="139"/>
      <c r="AC2914" s="173"/>
      <c r="AD2914" s="177"/>
      <c r="AE2914" s="177"/>
      <c r="AF2914" s="139"/>
      <c r="AG2914" s="139"/>
      <c r="AH2914" s="177"/>
      <c r="AI2914" s="178"/>
      <c r="AJ2914" s="139"/>
      <c r="AK2914" s="173"/>
      <c r="AL2914" s="177"/>
      <c r="AM2914" s="178"/>
      <c r="AN2914" s="173"/>
      <c r="AO2914" s="173"/>
      <c r="AP2914" s="173"/>
      <c r="AQ2914" s="178"/>
      <c r="AR2914" s="173"/>
      <c r="AS2914" s="173"/>
      <c r="AT2914" s="140"/>
      <c r="AX2914" s="140"/>
      <c r="BB2914" s="173"/>
      <c r="BC2914" s="173"/>
    </row>
    <row r="2915" spans="2:55" s="134" customFormat="1" x14ac:dyDescent="0.2">
      <c r="B2915" s="145"/>
      <c r="D2915" s="145"/>
      <c r="Z2915" s="177"/>
      <c r="AA2915" s="178"/>
      <c r="AB2915" s="139"/>
      <c r="AC2915" s="173"/>
      <c r="AD2915" s="177"/>
      <c r="AE2915" s="177"/>
      <c r="AF2915" s="139"/>
      <c r="AG2915" s="139"/>
      <c r="AH2915" s="177"/>
      <c r="AI2915" s="178"/>
      <c r="AJ2915" s="139"/>
      <c r="AK2915" s="173"/>
      <c r="AL2915" s="177"/>
      <c r="AM2915" s="178"/>
      <c r="AN2915" s="173"/>
      <c r="AO2915" s="173"/>
      <c r="AP2915" s="173"/>
      <c r="AQ2915" s="178"/>
      <c r="AR2915" s="173"/>
      <c r="AS2915" s="173"/>
      <c r="AT2915" s="140"/>
      <c r="AX2915" s="140"/>
      <c r="BB2915" s="173"/>
      <c r="BC2915" s="173"/>
    </row>
    <row r="2916" spans="2:55" s="134" customFormat="1" x14ac:dyDescent="0.2">
      <c r="B2916" s="145"/>
      <c r="D2916" s="145"/>
      <c r="Z2916" s="177"/>
      <c r="AA2916" s="178"/>
      <c r="AB2916" s="139"/>
      <c r="AC2916" s="173"/>
      <c r="AD2916" s="177"/>
      <c r="AE2916" s="177"/>
      <c r="AF2916" s="139"/>
      <c r="AG2916" s="139"/>
      <c r="AH2916" s="177"/>
      <c r="AI2916" s="178"/>
      <c r="AJ2916" s="139"/>
      <c r="AK2916" s="173"/>
      <c r="AL2916" s="177"/>
      <c r="AM2916" s="178"/>
      <c r="AN2916" s="173"/>
      <c r="AO2916" s="173"/>
      <c r="AP2916" s="173"/>
      <c r="AQ2916" s="178"/>
      <c r="AR2916" s="173"/>
      <c r="AS2916" s="173"/>
      <c r="AT2916" s="140"/>
      <c r="AX2916" s="140"/>
      <c r="BB2916" s="173"/>
      <c r="BC2916" s="173"/>
    </row>
    <row r="2917" spans="2:55" s="134" customFormat="1" x14ac:dyDescent="0.2">
      <c r="B2917" s="145"/>
      <c r="D2917" s="145"/>
      <c r="Z2917" s="177"/>
      <c r="AA2917" s="178"/>
      <c r="AB2917" s="139"/>
      <c r="AC2917" s="173"/>
      <c r="AD2917" s="177"/>
      <c r="AE2917" s="177"/>
      <c r="AF2917" s="139"/>
      <c r="AG2917" s="139"/>
      <c r="AH2917" s="177"/>
      <c r="AI2917" s="178"/>
      <c r="AJ2917" s="139"/>
      <c r="AK2917" s="173"/>
      <c r="AL2917" s="177"/>
      <c r="AM2917" s="178"/>
      <c r="AN2917" s="173"/>
      <c r="AO2917" s="173"/>
      <c r="AP2917" s="173"/>
      <c r="AQ2917" s="178"/>
      <c r="AR2917" s="173"/>
      <c r="AS2917" s="173"/>
      <c r="AT2917" s="140"/>
      <c r="AX2917" s="140"/>
      <c r="BB2917" s="173"/>
      <c r="BC2917" s="173"/>
    </row>
    <row r="2918" spans="2:55" s="134" customFormat="1" x14ac:dyDescent="0.2">
      <c r="B2918" s="145"/>
      <c r="D2918" s="145"/>
      <c r="Z2918" s="177"/>
      <c r="AA2918" s="178"/>
      <c r="AB2918" s="139"/>
      <c r="AC2918" s="173"/>
      <c r="AD2918" s="177"/>
      <c r="AE2918" s="177"/>
      <c r="AF2918" s="139"/>
      <c r="AG2918" s="139"/>
      <c r="AH2918" s="177"/>
      <c r="AI2918" s="178"/>
      <c r="AJ2918" s="139"/>
      <c r="AK2918" s="173"/>
      <c r="AL2918" s="177"/>
      <c r="AM2918" s="178"/>
      <c r="AN2918" s="173"/>
      <c r="AO2918" s="173"/>
      <c r="AP2918" s="173"/>
      <c r="AQ2918" s="178"/>
      <c r="AR2918" s="173"/>
      <c r="AS2918" s="173"/>
      <c r="AT2918" s="140"/>
      <c r="AX2918" s="140"/>
      <c r="BB2918" s="173"/>
      <c r="BC2918" s="173"/>
    </row>
    <row r="2919" spans="2:55" s="134" customFormat="1" x14ac:dyDescent="0.2">
      <c r="B2919" s="145"/>
      <c r="D2919" s="145"/>
      <c r="Z2919" s="177"/>
      <c r="AA2919" s="178"/>
      <c r="AB2919" s="139"/>
      <c r="AC2919" s="173"/>
      <c r="AD2919" s="177"/>
      <c r="AE2919" s="177"/>
      <c r="AF2919" s="139"/>
      <c r="AG2919" s="139"/>
      <c r="AH2919" s="177"/>
      <c r="AI2919" s="178"/>
      <c r="AJ2919" s="139"/>
      <c r="AK2919" s="173"/>
      <c r="AL2919" s="177"/>
      <c r="AM2919" s="178"/>
      <c r="AN2919" s="173"/>
      <c r="AO2919" s="173"/>
      <c r="AP2919" s="173"/>
      <c r="AQ2919" s="178"/>
      <c r="AR2919" s="173"/>
      <c r="AS2919" s="173"/>
      <c r="AT2919" s="140"/>
      <c r="AX2919" s="140"/>
      <c r="BB2919" s="173"/>
      <c r="BC2919" s="173"/>
    </row>
    <row r="2920" spans="2:55" s="134" customFormat="1" x14ac:dyDescent="0.2">
      <c r="B2920" s="145"/>
      <c r="D2920" s="145"/>
      <c r="Z2920" s="177"/>
      <c r="AA2920" s="178"/>
      <c r="AB2920" s="139"/>
      <c r="AC2920" s="173"/>
      <c r="AD2920" s="177"/>
      <c r="AE2920" s="177"/>
      <c r="AF2920" s="139"/>
      <c r="AG2920" s="139"/>
      <c r="AH2920" s="177"/>
      <c r="AI2920" s="178"/>
      <c r="AJ2920" s="139"/>
      <c r="AK2920" s="173"/>
      <c r="AL2920" s="177"/>
      <c r="AM2920" s="178"/>
      <c r="AN2920" s="173"/>
      <c r="AO2920" s="173"/>
      <c r="AP2920" s="173"/>
      <c r="AQ2920" s="178"/>
      <c r="AR2920" s="173"/>
      <c r="AS2920" s="173"/>
      <c r="AT2920" s="140"/>
      <c r="AX2920" s="140"/>
      <c r="BB2920" s="173"/>
      <c r="BC2920" s="173"/>
    </row>
    <row r="2921" spans="2:55" s="134" customFormat="1" x14ac:dyDescent="0.2">
      <c r="B2921" s="145"/>
      <c r="D2921" s="145"/>
      <c r="Z2921" s="177"/>
      <c r="AA2921" s="178"/>
      <c r="AB2921" s="139"/>
      <c r="AC2921" s="173"/>
      <c r="AD2921" s="177"/>
      <c r="AE2921" s="177"/>
      <c r="AF2921" s="139"/>
      <c r="AG2921" s="139"/>
      <c r="AH2921" s="177"/>
      <c r="AI2921" s="178"/>
      <c r="AJ2921" s="139"/>
      <c r="AK2921" s="173"/>
      <c r="AL2921" s="177"/>
      <c r="AM2921" s="178"/>
      <c r="AN2921" s="173"/>
      <c r="AO2921" s="173"/>
      <c r="AP2921" s="173"/>
      <c r="AQ2921" s="178"/>
      <c r="AR2921" s="173"/>
      <c r="AS2921" s="173"/>
      <c r="AT2921" s="140"/>
      <c r="AX2921" s="140"/>
      <c r="BB2921" s="173"/>
      <c r="BC2921" s="173"/>
    </row>
    <row r="2922" spans="2:55" s="134" customFormat="1" x14ac:dyDescent="0.2">
      <c r="B2922" s="145"/>
      <c r="D2922" s="145"/>
      <c r="Z2922" s="177"/>
      <c r="AA2922" s="178"/>
      <c r="AB2922" s="139"/>
      <c r="AC2922" s="173"/>
      <c r="AD2922" s="177"/>
      <c r="AE2922" s="177"/>
      <c r="AF2922" s="139"/>
      <c r="AG2922" s="139"/>
      <c r="AH2922" s="177"/>
      <c r="AI2922" s="178"/>
      <c r="AJ2922" s="139"/>
      <c r="AK2922" s="173"/>
      <c r="AL2922" s="177"/>
      <c r="AM2922" s="178"/>
      <c r="AN2922" s="173"/>
      <c r="AO2922" s="173"/>
      <c r="AP2922" s="173"/>
      <c r="AQ2922" s="178"/>
      <c r="AR2922" s="173"/>
      <c r="AS2922" s="173"/>
      <c r="AT2922" s="140"/>
      <c r="AX2922" s="140"/>
      <c r="BB2922" s="173"/>
      <c r="BC2922" s="173"/>
    </row>
    <row r="2923" spans="2:55" s="134" customFormat="1" x14ac:dyDescent="0.2">
      <c r="B2923" s="145"/>
      <c r="D2923" s="145"/>
      <c r="Z2923" s="177"/>
      <c r="AA2923" s="178"/>
      <c r="AB2923" s="139"/>
      <c r="AC2923" s="173"/>
      <c r="AD2923" s="177"/>
      <c r="AE2923" s="177"/>
      <c r="AF2923" s="139"/>
      <c r="AG2923" s="139"/>
      <c r="AH2923" s="177"/>
      <c r="AI2923" s="178"/>
      <c r="AJ2923" s="139"/>
      <c r="AK2923" s="173"/>
      <c r="AL2923" s="177"/>
      <c r="AM2923" s="178"/>
      <c r="AN2923" s="173"/>
      <c r="AO2923" s="173"/>
      <c r="AP2923" s="173"/>
      <c r="AQ2923" s="178"/>
      <c r="AR2923" s="173"/>
      <c r="AS2923" s="173"/>
      <c r="AT2923" s="140"/>
      <c r="AX2923" s="140"/>
      <c r="BB2923" s="173"/>
      <c r="BC2923" s="173"/>
    </row>
    <row r="2924" spans="2:55" s="134" customFormat="1" x14ac:dyDescent="0.2">
      <c r="B2924" s="145"/>
      <c r="D2924" s="145"/>
      <c r="Z2924" s="177"/>
      <c r="AA2924" s="178"/>
      <c r="AB2924" s="139"/>
      <c r="AC2924" s="173"/>
      <c r="AD2924" s="177"/>
      <c r="AE2924" s="177"/>
      <c r="AF2924" s="139"/>
      <c r="AG2924" s="139"/>
      <c r="AH2924" s="177"/>
      <c r="AI2924" s="178"/>
      <c r="AJ2924" s="139"/>
      <c r="AK2924" s="173"/>
      <c r="AL2924" s="177"/>
      <c r="AM2924" s="178"/>
      <c r="AN2924" s="173"/>
      <c r="AO2924" s="173"/>
      <c r="AP2924" s="173"/>
      <c r="AQ2924" s="178"/>
      <c r="AR2924" s="173"/>
      <c r="AS2924" s="173"/>
      <c r="AT2924" s="140"/>
      <c r="AX2924" s="140"/>
      <c r="BB2924" s="173"/>
      <c r="BC2924" s="173"/>
    </row>
    <row r="2925" spans="2:55" s="134" customFormat="1" x14ac:dyDescent="0.2">
      <c r="B2925" s="145"/>
      <c r="D2925" s="145"/>
      <c r="Z2925" s="177"/>
      <c r="AA2925" s="178"/>
      <c r="AB2925" s="139"/>
      <c r="AC2925" s="173"/>
      <c r="AD2925" s="177"/>
      <c r="AE2925" s="177"/>
      <c r="AF2925" s="139"/>
      <c r="AG2925" s="139"/>
      <c r="AH2925" s="177"/>
      <c r="AI2925" s="178"/>
      <c r="AJ2925" s="139"/>
      <c r="AK2925" s="173"/>
      <c r="AL2925" s="177"/>
      <c r="AM2925" s="178"/>
      <c r="AN2925" s="173"/>
      <c r="AO2925" s="173"/>
      <c r="AP2925" s="173"/>
      <c r="AQ2925" s="178"/>
      <c r="AR2925" s="173"/>
      <c r="AS2925" s="173"/>
      <c r="AT2925" s="140"/>
      <c r="AX2925" s="140"/>
      <c r="BB2925" s="173"/>
      <c r="BC2925" s="173"/>
    </row>
    <row r="2926" spans="2:55" s="134" customFormat="1" x14ac:dyDescent="0.2">
      <c r="B2926" s="145"/>
      <c r="D2926" s="145"/>
      <c r="Z2926" s="177"/>
      <c r="AA2926" s="178"/>
      <c r="AB2926" s="139"/>
      <c r="AC2926" s="173"/>
      <c r="AD2926" s="177"/>
      <c r="AE2926" s="177"/>
      <c r="AF2926" s="139"/>
      <c r="AG2926" s="139"/>
      <c r="AH2926" s="177"/>
      <c r="AI2926" s="178"/>
      <c r="AJ2926" s="139"/>
      <c r="AK2926" s="173"/>
      <c r="AL2926" s="177"/>
      <c r="AM2926" s="178"/>
      <c r="AN2926" s="173"/>
      <c r="AO2926" s="173"/>
      <c r="AP2926" s="173"/>
      <c r="AQ2926" s="178"/>
      <c r="AR2926" s="173"/>
      <c r="AS2926" s="173"/>
      <c r="AT2926" s="140"/>
      <c r="AX2926" s="140"/>
      <c r="BB2926" s="173"/>
      <c r="BC2926" s="173"/>
    </row>
    <row r="2927" spans="2:55" s="134" customFormat="1" x14ac:dyDescent="0.2">
      <c r="B2927" s="145"/>
      <c r="D2927" s="145"/>
      <c r="Z2927" s="177"/>
      <c r="AA2927" s="178"/>
      <c r="AB2927" s="139"/>
      <c r="AC2927" s="173"/>
      <c r="AD2927" s="177"/>
      <c r="AE2927" s="177"/>
      <c r="AF2927" s="139"/>
      <c r="AG2927" s="139"/>
      <c r="AH2927" s="177"/>
      <c r="AI2927" s="178"/>
      <c r="AJ2927" s="139"/>
      <c r="AK2927" s="173"/>
      <c r="AL2927" s="177"/>
      <c r="AM2927" s="178"/>
      <c r="AN2927" s="173"/>
      <c r="AO2927" s="173"/>
      <c r="AP2927" s="173"/>
      <c r="AQ2927" s="178"/>
      <c r="AR2927" s="173"/>
      <c r="AS2927" s="173"/>
      <c r="AT2927" s="140"/>
      <c r="AX2927" s="140"/>
      <c r="BB2927" s="173"/>
      <c r="BC2927" s="173"/>
    </row>
    <row r="2928" spans="2:55" s="134" customFormat="1" x14ac:dyDescent="0.2">
      <c r="B2928" s="145"/>
      <c r="D2928" s="145"/>
      <c r="Z2928" s="177"/>
      <c r="AA2928" s="178"/>
      <c r="AB2928" s="139"/>
      <c r="AC2928" s="173"/>
      <c r="AD2928" s="177"/>
      <c r="AE2928" s="177"/>
      <c r="AF2928" s="139"/>
      <c r="AG2928" s="139"/>
      <c r="AH2928" s="177"/>
      <c r="AI2928" s="178"/>
      <c r="AJ2928" s="139"/>
      <c r="AK2928" s="173"/>
      <c r="AL2928" s="177"/>
      <c r="AM2928" s="178"/>
      <c r="AN2928" s="173"/>
      <c r="AO2928" s="173"/>
      <c r="AP2928" s="173"/>
      <c r="AQ2928" s="178"/>
      <c r="AR2928" s="173"/>
      <c r="AS2928" s="173"/>
      <c r="AT2928" s="140"/>
      <c r="AX2928" s="140"/>
      <c r="BB2928" s="173"/>
      <c r="BC2928" s="173"/>
    </row>
    <row r="2929" spans="2:55" s="134" customFormat="1" x14ac:dyDescent="0.2">
      <c r="B2929" s="145"/>
      <c r="D2929" s="145"/>
      <c r="Z2929" s="177"/>
      <c r="AA2929" s="178"/>
      <c r="AB2929" s="139"/>
      <c r="AC2929" s="173"/>
      <c r="AD2929" s="177"/>
      <c r="AE2929" s="177"/>
      <c r="AF2929" s="139"/>
      <c r="AG2929" s="139"/>
      <c r="AH2929" s="177"/>
      <c r="AI2929" s="178"/>
      <c r="AJ2929" s="139"/>
      <c r="AK2929" s="173"/>
      <c r="AL2929" s="177"/>
      <c r="AM2929" s="178"/>
      <c r="AN2929" s="173"/>
      <c r="AO2929" s="173"/>
      <c r="AP2929" s="173"/>
      <c r="AQ2929" s="178"/>
      <c r="AR2929" s="173"/>
      <c r="AS2929" s="173"/>
      <c r="AT2929" s="140"/>
      <c r="AX2929" s="140"/>
      <c r="BB2929" s="173"/>
      <c r="BC2929" s="173"/>
    </row>
    <row r="2930" spans="2:55" s="134" customFormat="1" x14ac:dyDescent="0.2">
      <c r="B2930" s="145"/>
      <c r="D2930" s="145"/>
      <c r="Z2930" s="177"/>
      <c r="AA2930" s="178"/>
      <c r="AB2930" s="139"/>
      <c r="AC2930" s="173"/>
      <c r="AD2930" s="177"/>
      <c r="AE2930" s="177"/>
      <c r="AF2930" s="139"/>
      <c r="AG2930" s="139"/>
      <c r="AH2930" s="177"/>
      <c r="AI2930" s="178"/>
      <c r="AJ2930" s="139"/>
      <c r="AK2930" s="173"/>
      <c r="AL2930" s="177"/>
      <c r="AM2930" s="178"/>
      <c r="AN2930" s="173"/>
      <c r="AO2930" s="173"/>
      <c r="AP2930" s="173"/>
      <c r="AQ2930" s="178"/>
      <c r="AR2930" s="173"/>
      <c r="AS2930" s="173"/>
      <c r="AT2930" s="140"/>
      <c r="AX2930" s="140"/>
      <c r="BB2930" s="173"/>
      <c r="BC2930" s="173"/>
    </row>
    <row r="2931" spans="2:55" s="134" customFormat="1" x14ac:dyDescent="0.2">
      <c r="B2931" s="145"/>
      <c r="D2931" s="145"/>
      <c r="Z2931" s="177"/>
      <c r="AA2931" s="178"/>
      <c r="AB2931" s="139"/>
      <c r="AC2931" s="173"/>
      <c r="AD2931" s="177"/>
      <c r="AE2931" s="177"/>
      <c r="AF2931" s="139"/>
      <c r="AG2931" s="139"/>
      <c r="AH2931" s="177"/>
      <c r="AI2931" s="178"/>
      <c r="AJ2931" s="139"/>
      <c r="AK2931" s="173"/>
      <c r="AL2931" s="177"/>
      <c r="AM2931" s="178"/>
      <c r="AN2931" s="173"/>
      <c r="AO2931" s="173"/>
      <c r="AP2931" s="173"/>
      <c r="AQ2931" s="178"/>
      <c r="AR2931" s="173"/>
      <c r="AS2931" s="173"/>
      <c r="AT2931" s="140"/>
      <c r="AX2931" s="140"/>
      <c r="BB2931" s="173"/>
      <c r="BC2931" s="173"/>
    </row>
    <row r="2932" spans="2:55" s="134" customFormat="1" x14ac:dyDescent="0.2">
      <c r="B2932" s="145"/>
      <c r="D2932" s="145"/>
      <c r="Z2932" s="177"/>
      <c r="AA2932" s="178"/>
      <c r="AB2932" s="139"/>
      <c r="AC2932" s="173"/>
      <c r="AD2932" s="177"/>
      <c r="AE2932" s="177"/>
      <c r="AF2932" s="139"/>
      <c r="AG2932" s="139"/>
      <c r="AH2932" s="177"/>
      <c r="AI2932" s="178"/>
      <c r="AJ2932" s="139"/>
      <c r="AK2932" s="173"/>
      <c r="AL2932" s="177"/>
      <c r="AM2932" s="178"/>
      <c r="AN2932" s="173"/>
      <c r="AO2932" s="173"/>
      <c r="AP2932" s="173"/>
      <c r="AQ2932" s="178"/>
      <c r="AR2932" s="173"/>
      <c r="AS2932" s="173"/>
      <c r="AT2932" s="140"/>
      <c r="AX2932" s="140"/>
      <c r="BB2932" s="173"/>
      <c r="BC2932" s="173"/>
    </row>
    <row r="2933" spans="2:55" s="134" customFormat="1" x14ac:dyDescent="0.2">
      <c r="B2933" s="145"/>
      <c r="D2933" s="145"/>
      <c r="Z2933" s="177"/>
      <c r="AA2933" s="178"/>
      <c r="AB2933" s="139"/>
      <c r="AC2933" s="173"/>
      <c r="AD2933" s="177"/>
      <c r="AE2933" s="177"/>
      <c r="AF2933" s="139"/>
      <c r="AG2933" s="139"/>
      <c r="AH2933" s="177"/>
      <c r="AI2933" s="178"/>
      <c r="AJ2933" s="139"/>
      <c r="AK2933" s="173"/>
      <c r="AL2933" s="177"/>
      <c r="AM2933" s="178"/>
      <c r="AN2933" s="173"/>
      <c r="AO2933" s="173"/>
      <c r="AP2933" s="173"/>
      <c r="AQ2933" s="178"/>
      <c r="AR2933" s="173"/>
      <c r="AS2933" s="173"/>
      <c r="AT2933" s="140"/>
      <c r="AX2933" s="140"/>
      <c r="BB2933" s="173"/>
      <c r="BC2933" s="173"/>
    </row>
    <row r="2934" spans="2:55" s="134" customFormat="1" x14ac:dyDescent="0.2">
      <c r="B2934" s="145"/>
      <c r="D2934" s="145"/>
      <c r="Z2934" s="177"/>
      <c r="AA2934" s="178"/>
      <c r="AB2934" s="139"/>
      <c r="AC2934" s="173"/>
      <c r="AD2934" s="177"/>
      <c r="AE2934" s="177"/>
      <c r="AF2934" s="139"/>
      <c r="AG2934" s="139"/>
      <c r="AH2934" s="177"/>
      <c r="AI2934" s="178"/>
      <c r="AJ2934" s="139"/>
      <c r="AK2934" s="173"/>
      <c r="AL2934" s="177"/>
      <c r="AM2934" s="178"/>
      <c r="AN2934" s="173"/>
      <c r="AO2934" s="173"/>
      <c r="AP2934" s="173"/>
      <c r="AQ2934" s="178"/>
      <c r="AR2934" s="173"/>
      <c r="AS2934" s="173"/>
      <c r="AT2934" s="140"/>
      <c r="AX2934" s="140"/>
      <c r="BB2934" s="173"/>
      <c r="BC2934" s="173"/>
    </row>
    <row r="2935" spans="2:55" s="134" customFormat="1" x14ac:dyDescent="0.2">
      <c r="B2935" s="145"/>
      <c r="D2935" s="145"/>
      <c r="Z2935" s="177"/>
      <c r="AA2935" s="178"/>
      <c r="AB2935" s="139"/>
      <c r="AC2935" s="173"/>
      <c r="AD2935" s="177"/>
      <c r="AE2935" s="177"/>
      <c r="AF2935" s="139"/>
      <c r="AG2935" s="139"/>
      <c r="AH2935" s="177"/>
      <c r="AI2935" s="178"/>
      <c r="AJ2935" s="139"/>
      <c r="AK2935" s="173"/>
      <c r="AL2935" s="177"/>
      <c r="AM2935" s="178"/>
      <c r="AN2935" s="173"/>
      <c r="AO2935" s="173"/>
      <c r="AP2935" s="173"/>
      <c r="AQ2935" s="178"/>
      <c r="AR2935" s="173"/>
      <c r="AS2935" s="173"/>
      <c r="AT2935" s="140"/>
      <c r="AX2935" s="140"/>
      <c r="BB2935" s="173"/>
      <c r="BC2935" s="173"/>
    </row>
    <row r="2936" spans="2:55" s="134" customFormat="1" x14ac:dyDescent="0.2">
      <c r="B2936" s="145"/>
      <c r="D2936" s="145"/>
      <c r="Z2936" s="177"/>
      <c r="AA2936" s="178"/>
      <c r="AB2936" s="139"/>
      <c r="AC2936" s="173"/>
      <c r="AD2936" s="177"/>
      <c r="AE2936" s="177"/>
      <c r="AF2936" s="139"/>
      <c r="AG2936" s="139"/>
      <c r="AH2936" s="177"/>
      <c r="AI2936" s="178"/>
      <c r="AJ2936" s="139"/>
      <c r="AK2936" s="173"/>
      <c r="AL2936" s="177"/>
      <c r="AM2936" s="178"/>
      <c r="AN2936" s="173"/>
      <c r="AO2936" s="173"/>
      <c r="AP2936" s="173"/>
      <c r="AQ2936" s="178"/>
      <c r="AR2936" s="173"/>
      <c r="AS2936" s="173"/>
      <c r="AT2936" s="140"/>
      <c r="AX2936" s="140"/>
      <c r="BB2936" s="173"/>
      <c r="BC2936" s="173"/>
    </row>
    <row r="2937" spans="2:55" s="134" customFormat="1" x14ac:dyDescent="0.2">
      <c r="B2937" s="145"/>
      <c r="D2937" s="145"/>
      <c r="Z2937" s="177"/>
      <c r="AA2937" s="178"/>
      <c r="AB2937" s="139"/>
      <c r="AC2937" s="173"/>
      <c r="AD2937" s="177"/>
      <c r="AE2937" s="177"/>
      <c r="AF2937" s="139"/>
      <c r="AG2937" s="139"/>
      <c r="AH2937" s="177"/>
      <c r="AI2937" s="178"/>
      <c r="AJ2937" s="139"/>
      <c r="AK2937" s="173"/>
      <c r="AL2937" s="177"/>
      <c r="AM2937" s="178"/>
      <c r="AN2937" s="173"/>
      <c r="AO2937" s="173"/>
      <c r="AP2937" s="173"/>
      <c r="AQ2937" s="178"/>
      <c r="AR2937" s="173"/>
      <c r="AS2937" s="173"/>
      <c r="AT2937" s="140"/>
      <c r="AX2937" s="140"/>
      <c r="BB2937" s="173"/>
      <c r="BC2937" s="173"/>
    </row>
    <row r="2938" spans="2:55" s="134" customFormat="1" x14ac:dyDescent="0.2">
      <c r="B2938" s="145"/>
      <c r="D2938" s="145"/>
      <c r="Z2938" s="177"/>
      <c r="AA2938" s="178"/>
      <c r="AB2938" s="139"/>
      <c r="AC2938" s="173"/>
      <c r="AD2938" s="177"/>
      <c r="AE2938" s="177"/>
      <c r="AF2938" s="139"/>
      <c r="AG2938" s="139"/>
      <c r="AH2938" s="177"/>
      <c r="AI2938" s="178"/>
      <c r="AJ2938" s="139"/>
      <c r="AK2938" s="173"/>
      <c r="AL2938" s="177"/>
      <c r="AM2938" s="178"/>
      <c r="AN2938" s="173"/>
      <c r="AO2938" s="173"/>
      <c r="AP2938" s="173"/>
      <c r="AQ2938" s="178"/>
      <c r="AR2938" s="173"/>
      <c r="AS2938" s="173"/>
      <c r="AT2938" s="140"/>
      <c r="AX2938" s="140"/>
      <c r="BB2938" s="173"/>
      <c r="BC2938" s="173"/>
    </row>
    <row r="2939" spans="2:55" s="134" customFormat="1" x14ac:dyDescent="0.2">
      <c r="B2939" s="145"/>
      <c r="D2939" s="145"/>
      <c r="Z2939" s="177"/>
      <c r="AA2939" s="178"/>
      <c r="AB2939" s="139"/>
      <c r="AC2939" s="173"/>
      <c r="AD2939" s="177"/>
      <c r="AE2939" s="177"/>
      <c r="AF2939" s="139"/>
      <c r="AG2939" s="139"/>
      <c r="AH2939" s="177"/>
      <c r="AI2939" s="178"/>
      <c r="AJ2939" s="139"/>
      <c r="AK2939" s="173"/>
      <c r="AL2939" s="177"/>
      <c r="AM2939" s="178"/>
      <c r="AN2939" s="173"/>
      <c r="AO2939" s="173"/>
      <c r="AP2939" s="173"/>
      <c r="AQ2939" s="178"/>
      <c r="AR2939" s="173"/>
      <c r="AS2939" s="173"/>
      <c r="AT2939" s="140"/>
      <c r="AX2939" s="140"/>
      <c r="BB2939" s="173"/>
      <c r="BC2939" s="173"/>
    </row>
    <row r="2940" spans="2:55" s="134" customFormat="1" x14ac:dyDescent="0.2">
      <c r="B2940" s="145"/>
      <c r="D2940" s="145"/>
      <c r="Z2940" s="177"/>
      <c r="AA2940" s="178"/>
      <c r="AB2940" s="139"/>
      <c r="AC2940" s="173"/>
      <c r="AD2940" s="177"/>
      <c r="AE2940" s="177"/>
      <c r="AF2940" s="139"/>
      <c r="AG2940" s="139"/>
      <c r="AH2940" s="177"/>
      <c r="AI2940" s="178"/>
      <c r="AJ2940" s="139"/>
      <c r="AK2940" s="173"/>
      <c r="AL2940" s="177"/>
      <c r="AM2940" s="178"/>
      <c r="AN2940" s="173"/>
      <c r="AO2940" s="173"/>
      <c r="AP2940" s="173"/>
      <c r="AQ2940" s="178"/>
      <c r="AR2940" s="173"/>
      <c r="AS2940" s="173"/>
      <c r="AT2940" s="140"/>
      <c r="AX2940" s="140"/>
      <c r="BB2940" s="173"/>
      <c r="BC2940" s="173"/>
    </row>
    <row r="2941" spans="2:55" s="134" customFormat="1" x14ac:dyDescent="0.2">
      <c r="B2941" s="145"/>
      <c r="D2941" s="145"/>
      <c r="Z2941" s="177"/>
      <c r="AA2941" s="178"/>
      <c r="AB2941" s="139"/>
      <c r="AC2941" s="173"/>
      <c r="AD2941" s="177"/>
      <c r="AE2941" s="177"/>
      <c r="AF2941" s="139"/>
      <c r="AG2941" s="139"/>
      <c r="AH2941" s="177"/>
      <c r="AI2941" s="178"/>
      <c r="AJ2941" s="139"/>
      <c r="AK2941" s="173"/>
      <c r="AL2941" s="177"/>
      <c r="AM2941" s="178"/>
      <c r="AN2941" s="173"/>
      <c r="AO2941" s="173"/>
      <c r="AP2941" s="173"/>
      <c r="AQ2941" s="178"/>
      <c r="AR2941" s="173"/>
      <c r="AS2941" s="173"/>
      <c r="AT2941" s="140"/>
      <c r="AX2941" s="140"/>
      <c r="BB2941" s="173"/>
      <c r="BC2941" s="173"/>
    </row>
    <row r="2942" spans="2:55" s="134" customFormat="1" x14ac:dyDescent="0.2">
      <c r="B2942" s="145"/>
      <c r="D2942" s="145"/>
      <c r="Z2942" s="177"/>
      <c r="AA2942" s="178"/>
      <c r="AB2942" s="139"/>
      <c r="AC2942" s="173"/>
      <c r="AD2942" s="177"/>
      <c r="AE2942" s="177"/>
      <c r="AF2942" s="139"/>
      <c r="AG2942" s="139"/>
      <c r="AH2942" s="177"/>
      <c r="AI2942" s="178"/>
      <c r="AJ2942" s="139"/>
      <c r="AK2942" s="173"/>
      <c r="AL2942" s="177"/>
      <c r="AM2942" s="178"/>
      <c r="AN2942" s="173"/>
      <c r="AO2942" s="173"/>
      <c r="AP2942" s="173"/>
      <c r="AQ2942" s="178"/>
      <c r="AR2942" s="173"/>
      <c r="AS2942" s="173"/>
      <c r="AT2942" s="140"/>
      <c r="AX2942" s="140"/>
      <c r="BB2942" s="173"/>
      <c r="BC2942" s="173"/>
    </row>
    <row r="2943" spans="2:55" s="134" customFormat="1" x14ac:dyDescent="0.2">
      <c r="B2943" s="145"/>
      <c r="D2943" s="145"/>
      <c r="Z2943" s="177"/>
      <c r="AA2943" s="178"/>
      <c r="AB2943" s="139"/>
      <c r="AC2943" s="173"/>
      <c r="AD2943" s="177"/>
      <c r="AE2943" s="177"/>
      <c r="AF2943" s="139"/>
      <c r="AG2943" s="139"/>
      <c r="AH2943" s="177"/>
      <c r="AI2943" s="178"/>
      <c r="AJ2943" s="139"/>
      <c r="AK2943" s="173"/>
      <c r="AL2943" s="177"/>
      <c r="AM2943" s="178"/>
      <c r="AN2943" s="173"/>
      <c r="AO2943" s="173"/>
      <c r="AP2943" s="173"/>
      <c r="AQ2943" s="178"/>
      <c r="AR2943" s="173"/>
      <c r="AS2943" s="173"/>
      <c r="AT2943" s="140"/>
      <c r="AX2943" s="140"/>
      <c r="BB2943" s="173"/>
      <c r="BC2943" s="173"/>
    </row>
    <row r="2944" spans="2:55" s="134" customFormat="1" x14ac:dyDescent="0.2">
      <c r="B2944" s="145"/>
      <c r="D2944" s="145"/>
      <c r="Z2944" s="177"/>
      <c r="AA2944" s="178"/>
      <c r="AB2944" s="139"/>
      <c r="AC2944" s="173"/>
      <c r="AD2944" s="177"/>
      <c r="AE2944" s="177"/>
      <c r="AF2944" s="139"/>
      <c r="AG2944" s="139"/>
      <c r="AH2944" s="177"/>
      <c r="AI2944" s="178"/>
      <c r="AJ2944" s="139"/>
      <c r="AK2944" s="173"/>
      <c r="AL2944" s="177"/>
      <c r="AM2944" s="178"/>
      <c r="AN2944" s="173"/>
      <c r="AO2944" s="173"/>
      <c r="AP2944" s="173"/>
      <c r="AQ2944" s="178"/>
      <c r="AR2944" s="173"/>
      <c r="AS2944" s="173"/>
      <c r="AT2944" s="140"/>
      <c r="AX2944" s="140"/>
      <c r="BB2944" s="173"/>
      <c r="BC2944" s="173"/>
    </row>
    <row r="2945" spans="2:55" s="134" customFormat="1" x14ac:dyDescent="0.2">
      <c r="B2945" s="145"/>
      <c r="D2945" s="145"/>
      <c r="Z2945" s="177"/>
      <c r="AA2945" s="178"/>
      <c r="AB2945" s="139"/>
      <c r="AC2945" s="173"/>
      <c r="AD2945" s="177"/>
      <c r="AE2945" s="177"/>
      <c r="AF2945" s="139"/>
      <c r="AG2945" s="139"/>
      <c r="AH2945" s="177"/>
      <c r="AI2945" s="178"/>
      <c r="AJ2945" s="139"/>
      <c r="AK2945" s="173"/>
      <c r="AL2945" s="177"/>
      <c r="AM2945" s="178"/>
      <c r="AN2945" s="173"/>
      <c r="AO2945" s="173"/>
      <c r="AP2945" s="173"/>
      <c r="AQ2945" s="178"/>
      <c r="AR2945" s="173"/>
      <c r="AS2945" s="173"/>
      <c r="AT2945" s="140"/>
      <c r="AX2945" s="140"/>
      <c r="BB2945" s="173"/>
      <c r="BC2945" s="173"/>
    </row>
    <row r="2946" spans="2:55" s="134" customFormat="1" x14ac:dyDescent="0.2">
      <c r="B2946" s="145"/>
      <c r="D2946" s="145"/>
      <c r="Z2946" s="177"/>
      <c r="AA2946" s="178"/>
      <c r="AB2946" s="139"/>
      <c r="AC2946" s="173"/>
      <c r="AD2946" s="177"/>
      <c r="AE2946" s="177"/>
      <c r="AF2946" s="139"/>
      <c r="AG2946" s="139"/>
      <c r="AH2946" s="177"/>
      <c r="AI2946" s="178"/>
      <c r="AJ2946" s="139"/>
      <c r="AK2946" s="173"/>
      <c r="AL2946" s="177"/>
      <c r="AM2946" s="178"/>
      <c r="AN2946" s="173"/>
      <c r="AO2946" s="173"/>
      <c r="AP2946" s="173"/>
      <c r="AQ2946" s="178"/>
      <c r="AR2946" s="173"/>
      <c r="AS2946" s="173"/>
      <c r="AT2946" s="140"/>
      <c r="AX2946" s="140"/>
      <c r="BB2946" s="173"/>
      <c r="BC2946" s="173"/>
    </row>
    <row r="2947" spans="2:55" s="134" customFormat="1" x14ac:dyDescent="0.2">
      <c r="B2947" s="145"/>
      <c r="D2947" s="145"/>
      <c r="Z2947" s="177"/>
      <c r="AA2947" s="178"/>
      <c r="AB2947" s="139"/>
      <c r="AC2947" s="173"/>
      <c r="AD2947" s="177"/>
      <c r="AE2947" s="177"/>
      <c r="AF2947" s="139"/>
      <c r="AG2947" s="139"/>
      <c r="AH2947" s="177"/>
      <c r="AI2947" s="178"/>
      <c r="AJ2947" s="139"/>
      <c r="AK2947" s="173"/>
      <c r="AL2947" s="177"/>
      <c r="AM2947" s="178"/>
      <c r="AN2947" s="173"/>
      <c r="AO2947" s="173"/>
      <c r="AP2947" s="173"/>
      <c r="AQ2947" s="178"/>
      <c r="AR2947" s="173"/>
      <c r="AS2947" s="173"/>
      <c r="AT2947" s="140"/>
      <c r="AX2947" s="140"/>
      <c r="BB2947" s="173"/>
      <c r="BC2947" s="173"/>
    </row>
    <row r="2948" spans="2:55" s="134" customFormat="1" x14ac:dyDescent="0.2">
      <c r="B2948" s="145"/>
      <c r="D2948" s="145"/>
      <c r="Z2948" s="177"/>
      <c r="AA2948" s="178"/>
      <c r="AB2948" s="139"/>
      <c r="AC2948" s="173"/>
      <c r="AD2948" s="177"/>
      <c r="AE2948" s="177"/>
      <c r="AF2948" s="139"/>
      <c r="AG2948" s="139"/>
      <c r="AH2948" s="177"/>
      <c r="AI2948" s="178"/>
      <c r="AJ2948" s="139"/>
      <c r="AK2948" s="173"/>
      <c r="AL2948" s="177"/>
      <c r="AM2948" s="178"/>
      <c r="AN2948" s="173"/>
      <c r="AO2948" s="173"/>
      <c r="AP2948" s="173"/>
      <c r="AQ2948" s="178"/>
      <c r="AR2948" s="173"/>
      <c r="AS2948" s="173"/>
      <c r="AT2948" s="140"/>
      <c r="AX2948" s="140"/>
      <c r="BB2948" s="173"/>
      <c r="BC2948" s="173"/>
    </row>
    <row r="2949" spans="2:55" s="134" customFormat="1" x14ac:dyDescent="0.2">
      <c r="B2949" s="145"/>
      <c r="D2949" s="145"/>
      <c r="Z2949" s="177"/>
      <c r="AA2949" s="178"/>
      <c r="AB2949" s="139"/>
      <c r="AC2949" s="173"/>
      <c r="AD2949" s="177"/>
      <c r="AE2949" s="177"/>
      <c r="AF2949" s="139"/>
      <c r="AG2949" s="139"/>
      <c r="AH2949" s="177"/>
      <c r="AI2949" s="178"/>
      <c r="AJ2949" s="139"/>
      <c r="AK2949" s="173"/>
      <c r="AL2949" s="177"/>
      <c r="AM2949" s="178"/>
      <c r="AN2949" s="173"/>
      <c r="AO2949" s="173"/>
      <c r="AP2949" s="173"/>
      <c r="AQ2949" s="178"/>
      <c r="AR2949" s="173"/>
      <c r="AS2949" s="173"/>
      <c r="AT2949" s="140"/>
      <c r="AX2949" s="140"/>
      <c r="BB2949" s="173"/>
      <c r="BC2949" s="173"/>
    </row>
    <row r="2950" spans="2:55" s="134" customFormat="1" x14ac:dyDescent="0.2">
      <c r="B2950" s="145"/>
      <c r="D2950" s="145"/>
      <c r="Z2950" s="177"/>
      <c r="AA2950" s="178"/>
      <c r="AB2950" s="139"/>
      <c r="AC2950" s="173"/>
      <c r="AD2950" s="177"/>
      <c r="AE2950" s="177"/>
      <c r="AF2950" s="139"/>
      <c r="AG2950" s="139"/>
      <c r="AH2950" s="177"/>
      <c r="AI2950" s="178"/>
      <c r="AJ2950" s="139"/>
      <c r="AK2950" s="173"/>
      <c r="AL2950" s="177"/>
      <c r="AM2950" s="178"/>
      <c r="AN2950" s="173"/>
      <c r="AO2950" s="173"/>
      <c r="AP2950" s="173"/>
      <c r="AQ2950" s="178"/>
      <c r="AR2950" s="173"/>
      <c r="AS2950" s="173"/>
      <c r="AT2950" s="140"/>
      <c r="AX2950" s="140"/>
      <c r="BB2950" s="173"/>
      <c r="BC2950" s="173"/>
    </row>
    <row r="2951" spans="2:55" s="134" customFormat="1" x14ac:dyDescent="0.2">
      <c r="B2951" s="145"/>
      <c r="D2951" s="145"/>
      <c r="Z2951" s="177"/>
      <c r="AA2951" s="178"/>
      <c r="AB2951" s="139"/>
      <c r="AC2951" s="173"/>
      <c r="AD2951" s="177"/>
      <c r="AE2951" s="177"/>
      <c r="AF2951" s="139"/>
      <c r="AG2951" s="139"/>
      <c r="AH2951" s="177"/>
      <c r="AI2951" s="178"/>
      <c r="AJ2951" s="139"/>
      <c r="AK2951" s="173"/>
      <c r="AL2951" s="177"/>
      <c r="AM2951" s="178"/>
      <c r="AN2951" s="173"/>
      <c r="AO2951" s="173"/>
      <c r="AP2951" s="173"/>
      <c r="AQ2951" s="178"/>
      <c r="AR2951" s="173"/>
      <c r="AS2951" s="173"/>
      <c r="AT2951" s="140"/>
      <c r="AX2951" s="140"/>
      <c r="BB2951" s="173"/>
      <c r="BC2951" s="173"/>
    </row>
    <row r="2952" spans="2:55" s="134" customFormat="1" x14ac:dyDescent="0.2">
      <c r="B2952" s="145"/>
      <c r="D2952" s="145"/>
      <c r="Z2952" s="177"/>
      <c r="AA2952" s="178"/>
      <c r="AB2952" s="139"/>
      <c r="AC2952" s="173"/>
      <c r="AD2952" s="177"/>
      <c r="AE2952" s="177"/>
      <c r="AF2952" s="139"/>
      <c r="AG2952" s="139"/>
      <c r="AH2952" s="177"/>
      <c r="AI2952" s="178"/>
      <c r="AJ2952" s="139"/>
      <c r="AK2952" s="173"/>
      <c r="AL2952" s="177"/>
      <c r="AM2952" s="178"/>
      <c r="AN2952" s="173"/>
      <c r="AO2952" s="173"/>
      <c r="AP2952" s="173"/>
      <c r="AQ2952" s="178"/>
      <c r="AR2952" s="173"/>
      <c r="AS2952" s="173"/>
      <c r="AT2952" s="140"/>
      <c r="AX2952" s="140"/>
      <c r="BB2952" s="173"/>
      <c r="BC2952" s="173"/>
    </row>
    <row r="2953" spans="2:55" s="134" customFormat="1" x14ac:dyDescent="0.2">
      <c r="B2953" s="145"/>
      <c r="D2953" s="145"/>
      <c r="Z2953" s="177"/>
      <c r="AA2953" s="178"/>
      <c r="AB2953" s="139"/>
      <c r="AC2953" s="173"/>
      <c r="AD2953" s="177"/>
      <c r="AE2953" s="177"/>
      <c r="AF2953" s="139"/>
      <c r="AG2953" s="139"/>
      <c r="AH2953" s="177"/>
      <c r="AI2953" s="178"/>
      <c r="AJ2953" s="139"/>
      <c r="AK2953" s="173"/>
      <c r="AL2953" s="177"/>
      <c r="AM2953" s="178"/>
      <c r="AN2953" s="173"/>
      <c r="AO2953" s="173"/>
      <c r="AP2953" s="173"/>
      <c r="AQ2953" s="178"/>
      <c r="AR2953" s="173"/>
      <c r="AS2953" s="173"/>
      <c r="AT2953" s="140"/>
      <c r="AX2953" s="140"/>
      <c r="BB2953" s="173"/>
      <c r="BC2953" s="173"/>
    </row>
    <row r="2954" spans="2:55" s="134" customFormat="1" x14ac:dyDescent="0.2">
      <c r="B2954" s="145"/>
      <c r="D2954" s="145"/>
      <c r="Z2954" s="177"/>
      <c r="AA2954" s="178"/>
      <c r="AB2954" s="139"/>
      <c r="AC2954" s="173"/>
      <c r="AD2954" s="177"/>
      <c r="AE2954" s="177"/>
      <c r="AF2954" s="139"/>
      <c r="AG2954" s="139"/>
      <c r="AH2954" s="177"/>
      <c r="AI2954" s="178"/>
      <c r="AJ2954" s="139"/>
      <c r="AK2954" s="173"/>
      <c r="AL2954" s="177"/>
      <c r="AM2954" s="178"/>
      <c r="AN2954" s="173"/>
      <c r="AO2954" s="173"/>
      <c r="AP2954" s="173"/>
      <c r="AQ2954" s="178"/>
      <c r="AR2954" s="173"/>
      <c r="AS2954" s="173"/>
      <c r="AT2954" s="140"/>
      <c r="AX2954" s="140"/>
      <c r="BB2954" s="173"/>
      <c r="BC2954" s="173"/>
    </row>
    <row r="2955" spans="2:55" s="134" customFormat="1" x14ac:dyDescent="0.2">
      <c r="B2955" s="145"/>
      <c r="D2955" s="145"/>
      <c r="Z2955" s="177"/>
      <c r="AA2955" s="178"/>
      <c r="AB2955" s="139"/>
      <c r="AC2955" s="173"/>
      <c r="AD2955" s="177"/>
      <c r="AE2955" s="177"/>
      <c r="AF2955" s="139"/>
      <c r="AG2955" s="139"/>
      <c r="AH2955" s="177"/>
      <c r="AI2955" s="178"/>
      <c r="AJ2955" s="139"/>
      <c r="AK2955" s="173"/>
      <c r="AL2955" s="177"/>
      <c r="AM2955" s="178"/>
      <c r="AN2955" s="173"/>
      <c r="AO2955" s="173"/>
      <c r="AP2955" s="173"/>
      <c r="AQ2955" s="178"/>
      <c r="AR2955" s="173"/>
      <c r="AS2955" s="173"/>
      <c r="AT2955" s="140"/>
      <c r="AX2955" s="140"/>
      <c r="BB2955" s="173"/>
      <c r="BC2955" s="173"/>
    </row>
    <row r="2956" spans="2:55" s="134" customFormat="1" x14ac:dyDescent="0.2">
      <c r="B2956" s="145"/>
      <c r="D2956" s="145"/>
      <c r="Z2956" s="177"/>
      <c r="AA2956" s="178"/>
      <c r="AB2956" s="139"/>
      <c r="AC2956" s="173"/>
      <c r="AD2956" s="177"/>
      <c r="AE2956" s="177"/>
      <c r="AF2956" s="139"/>
      <c r="AG2956" s="139"/>
      <c r="AH2956" s="177"/>
      <c r="AI2956" s="178"/>
      <c r="AJ2956" s="139"/>
      <c r="AK2956" s="173"/>
      <c r="AL2956" s="177"/>
      <c r="AM2956" s="178"/>
      <c r="AN2956" s="173"/>
      <c r="AO2956" s="173"/>
      <c r="AP2956" s="173"/>
      <c r="AQ2956" s="178"/>
      <c r="AR2956" s="173"/>
      <c r="AS2956" s="173"/>
      <c r="AT2956" s="140"/>
      <c r="AX2956" s="140"/>
      <c r="BB2956" s="173"/>
      <c r="BC2956" s="173"/>
    </row>
    <row r="2957" spans="2:55" s="134" customFormat="1" x14ac:dyDescent="0.2">
      <c r="B2957" s="145"/>
      <c r="D2957" s="145"/>
      <c r="Z2957" s="177"/>
      <c r="AA2957" s="178"/>
      <c r="AB2957" s="139"/>
      <c r="AC2957" s="173"/>
      <c r="AD2957" s="177"/>
      <c r="AE2957" s="177"/>
      <c r="AF2957" s="139"/>
      <c r="AG2957" s="139"/>
      <c r="AH2957" s="177"/>
      <c r="AI2957" s="178"/>
      <c r="AJ2957" s="139"/>
      <c r="AK2957" s="173"/>
      <c r="AL2957" s="177"/>
      <c r="AM2957" s="178"/>
      <c r="AN2957" s="173"/>
      <c r="AO2957" s="173"/>
      <c r="AP2957" s="173"/>
      <c r="AQ2957" s="178"/>
      <c r="AR2957" s="173"/>
      <c r="AS2957" s="173"/>
      <c r="AT2957" s="140"/>
      <c r="AX2957" s="140"/>
      <c r="BB2957" s="173"/>
      <c r="BC2957" s="173"/>
    </row>
    <row r="2958" spans="2:55" s="134" customFormat="1" x14ac:dyDescent="0.2">
      <c r="B2958" s="145"/>
      <c r="D2958" s="145"/>
      <c r="Z2958" s="177"/>
      <c r="AA2958" s="178"/>
      <c r="AB2958" s="139"/>
      <c r="AC2958" s="173"/>
      <c r="AD2958" s="177"/>
      <c r="AE2958" s="177"/>
      <c r="AF2958" s="139"/>
      <c r="AG2958" s="139"/>
      <c r="AH2958" s="177"/>
      <c r="AI2958" s="178"/>
      <c r="AJ2958" s="139"/>
      <c r="AK2958" s="173"/>
      <c r="AL2958" s="177"/>
      <c r="AM2958" s="178"/>
      <c r="AN2958" s="173"/>
      <c r="AO2958" s="173"/>
      <c r="AP2958" s="173"/>
      <c r="AQ2958" s="178"/>
      <c r="AR2958" s="173"/>
      <c r="AS2958" s="173"/>
      <c r="AT2958" s="140"/>
      <c r="AX2958" s="140"/>
      <c r="BB2958" s="173"/>
      <c r="BC2958" s="173"/>
    </row>
    <row r="2959" spans="2:55" s="134" customFormat="1" x14ac:dyDescent="0.2">
      <c r="B2959" s="145"/>
      <c r="D2959" s="145"/>
      <c r="Z2959" s="177"/>
      <c r="AA2959" s="178"/>
      <c r="AB2959" s="139"/>
      <c r="AC2959" s="173"/>
      <c r="AD2959" s="177"/>
      <c r="AE2959" s="177"/>
      <c r="AF2959" s="139"/>
      <c r="AG2959" s="139"/>
      <c r="AH2959" s="177"/>
      <c r="AI2959" s="178"/>
      <c r="AJ2959" s="139"/>
      <c r="AK2959" s="173"/>
      <c r="AL2959" s="177"/>
      <c r="AM2959" s="178"/>
      <c r="AN2959" s="173"/>
      <c r="AO2959" s="173"/>
      <c r="AP2959" s="173"/>
      <c r="AQ2959" s="178"/>
      <c r="AR2959" s="173"/>
      <c r="AS2959" s="173"/>
      <c r="AT2959" s="140"/>
      <c r="AX2959" s="140"/>
      <c r="BB2959" s="173"/>
      <c r="BC2959" s="173"/>
    </row>
    <row r="2960" spans="2:55" s="134" customFormat="1" x14ac:dyDescent="0.2">
      <c r="B2960" s="145"/>
      <c r="D2960" s="145"/>
      <c r="Z2960" s="177"/>
      <c r="AA2960" s="178"/>
      <c r="AB2960" s="139"/>
      <c r="AC2960" s="173"/>
      <c r="AD2960" s="177"/>
      <c r="AE2960" s="177"/>
      <c r="AF2960" s="139"/>
      <c r="AG2960" s="139"/>
      <c r="AH2960" s="177"/>
      <c r="AI2960" s="178"/>
      <c r="AJ2960" s="139"/>
      <c r="AK2960" s="173"/>
      <c r="AL2960" s="177"/>
      <c r="AM2960" s="178"/>
      <c r="AN2960" s="173"/>
      <c r="AO2960" s="173"/>
      <c r="AP2960" s="173"/>
      <c r="AQ2960" s="178"/>
      <c r="AR2960" s="173"/>
      <c r="AS2960" s="173"/>
      <c r="AT2960" s="140"/>
      <c r="AX2960" s="140"/>
      <c r="BB2960" s="173"/>
      <c r="BC2960" s="173"/>
    </row>
    <row r="2961" spans="2:55" s="134" customFormat="1" x14ac:dyDescent="0.2">
      <c r="B2961" s="145"/>
      <c r="D2961" s="145"/>
      <c r="Z2961" s="177"/>
      <c r="AA2961" s="178"/>
      <c r="AB2961" s="139"/>
      <c r="AC2961" s="173"/>
      <c r="AD2961" s="177"/>
      <c r="AE2961" s="177"/>
      <c r="AF2961" s="139"/>
      <c r="AG2961" s="139"/>
      <c r="AH2961" s="177"/>
      <c r="AI2961" s="178"/>
      <c r="AJ2961" s="139"/>
      <c r="AK2961" s="173"/>
      <c r="AL2961" s="177"/>
      <c r="AM2961" s="178"/>
      <c r="AN2961" s="173"/>
      <c r="AO2961" s="173"/>
      <c r="AP2961" s="173"/>
      <c r="AQ2961" s="178"/>
      <c r="AR2961" s="173"/>
      <c r="AS2961" s="173"/>
      <c r="AT2961" s="140"/>
      <c r="AX2961" s="140"/>
      <c r="BB2961" s="173"/>
      <c r="BC2961" s="173"/>
    </row>
    <row r="2962" spans="2:55" s="134" customFormat="1" x14ac:dyDescent="0.2">
      <c r="B2962" s="145"/>
      <c r="D2962" s="145"/>
      <c r="Z2962" s="177"/>
      <c r="AA2962" s="178"/>
      <c r="AB2962" s="139"/>
      <c r="AC2962" s="173"/>
      <c r="AD2962" s="177"/>
      <c r="AE2962" s="177"/>
      <c r="AF2962" s="139"/>
      <c r="AG2962" s="139"/>
      <c r="AH2962" s="177"/>
      <c r="AI2962" s="178"/>
      <c r="AJ2962" s="139"/>
      <c r="AK2962" s="173"/>
      <c r="AL2962" s="177"/>
      <c r="AM2962" s="178"/>
      <c r="AN2962" s="173"/>
      <c r="AO2962" s="173"/>
      <c r="AP2962" s="173"/>
      <c r="AQ2962" s="178"/>
      <c r="AR2962" s="173"/>
      <c r="AS2962" s="173"/>
      <c r="AT2962" s="140"/>
      <c r="AX2962" s="140"/>
      <c r="BB2962" s="173"/>
      <c r="BC2962" s="173"/>
    </row>
    <row r="2963" spans="2:55" s="134" customFormat="1" x14ac:dyDescent="0.2">
      <c r="B2963" s="145"/>
      <c r="D2963" s="145"/>
      <c r="Z2963" s="177"/>
      <c r="AA2963" s="178"/>
      <c r="AB2963" s="139"/>
      <c r="AC2963" s="173"/>
      <c r="AD2963" s="177"/>
      <c r="AE2963" s="177"/>
      <c r="AF2963" s="139"/>
      <c r="AG2963" s="139"/>
      <c r="AH2963" s="177"/>
      <c r="AI2963" s="178"/>
      <c r="AJ2963" s="139"/>
      <c r="AK2963" s="173"/>
      <c r="AL2963" s="177"/>
      <c r="AM2963" s="178"/>
      <c r="AN2963" s="173"/>
      <c r="AO2963" s="173"/>
      <c r="AP2963" s="173"/>
      <c r="AQ2963" s="178"/>
      <c r="AR2963" s="173"/>
      <c r="AS2963" s="173"/>
      <c r="AT2963" s="140"/>
      <c r="AX2963" s="140"/>
      <c r="BB2963" s="173"/>
      <c r="BC2963" s="173"/>
    </row>
    <row r="2964" spans="2:55" s="134" customFormat="1" x14ac:dyDescent="0.2">
      <c r="B2964" s="145"/>
      <c r="D2964" s="145"/>
      <c r="Z2964" s="177"/>
      <c r="AA2964" s="178"/>
      <c r="AB2964" s="139"/>
      <c r="AC2964" s="173"/>
      <c r="AD2964" s="177"/>
      <c r="AE2964" s="177"/>
      <c r="AF2964" s="139"/>
      <c r="AG2964" s="139"/>
      <c r="AH2964" s="177"/>
      <c r="AI2964" s="178"/>
      <c r="AJ2964" s="139"/>
      <c r="AK2964" s="173"/>
      <c r="AL2964" s="177"/>
      <c r="AM2964" s="178"/>
      <c r="AN2964" s="173"/>
      <c r="AO2964" s="173"/>
      <c r="AP2964" s="173"/>
      <c r="AQ2964" s="178"/>
      <c r="AR2964" s="173"/>
      <c r="AS2964" s="173"/>
      <c r="AT2964" s="140"/>
      <c r="AX2964" s="140"/>
      <c r="BB2964" s="173"/>
      <c r="BC2964" s="173"/>
    </row>
    <row r="2965" spans="2:55" s="134" customFormat="1" x14ac:dyDescent="0.2">
      <c r="B2965" s="145"/>
      <c r="D2965" s="145"/>
      <c r="Z2965" s="177"/>
      <c r="AA2965" s="178"/>
      <c r="AB2965" s="139"/>
      <c r="AC2965" s="173"/>
      <c r="AD2965" s="177"/>
      <c r="AE2965" s="177"/>
      <c r="AF2965" s="139"/>
      <c r="AG2965" s="139"/>
      <c r="AH2965" s="177"/>
      <c r="AI2965" s="178"/>
      <c r="AJ2965" s="139"/>
      <c r="AK2965" s="173"/>
      <c r="AL2965" s="177"/>
      <c r="AM2965" s="178"/>
      <c r="AN2965" s="173"/>
      <c r="AO2965" s="173"/>
      <c r="AP2965" s="173"/>
      <c r="AQ2965" s="178"/>
      <c r="AR2965" s="173"/>
      <c r="AS2965" s="173"/>
      <c r="AT2965" s="140"/>
      <c r="AX2965" s="140"/>
      <c r="BB2965" s="173"/>
      <c r="BC2965" s="173"/>
    </row>
    <row r="2966" spans="2:55" s="134" customFormat="1" x14ac:dyDescent="0.2">
      <c r="B2966" s="145"/>
      <c r="D2966" s="145"/>
      <c r="Z2966" s="177"/>
      <c r="AA2966" s="178"/>
      <c r="AB2966" s="139"/>
      <c r="AC2966" s="173"/>
      <c r="AD2966" s="177"/>
      <c r="AE2966" s="177"/>
      <c r="AF2966" s="139"/>
      <c r="AG2966" s="139"/>
      <c r="AH2966" s="177"/>
      <c r="AI2966" s="178"/>
      <c r="AJ2966" s="139"/>
      <c r="AK2966" s="173"/>
      <c r="AL2966" s="177"/>
      <c r="AM2966" s="178"/>
      <c r="AN2966" s="173"/>
      <c r="AO2966" s="173"/>
      <c r="AP2966" s="173"/>
      <c r="AQ2966" s="178"/>
      <c r="AR2966" s="173"/>
      <c r="AS2966" s="173"/>
      <c r="AT2966" s="140"/>
      <c r="AX2966" s="140"/>
      <c r="BB2966" s="173"/>
      <c r="BC2966" s="173"/>
    </row>
    <row r="2967" spans="2:55" s="134" customFormat="1" x14ac:dyDescent="0.2">
      <c r="B2967" s="145"/>
      <c r="D2967" s="145"/>
      <c r="Z2967" s="177"/>
      <c r="AA2967" s="178"/>
      <c r="AB2967" s="139"/>
      <c r="AC2967" s="173"/>
      <c r="AD2967" s="177"/>
      <c r="AE2967" s="177"/>
      <c r="AF2967" s="139"/>
      <c r="AG2967" s="139"/>
      <c r="AH2967" s="177"/>
      <c r="AI2967" s="178"/>
      <c r="AJ2967" s="139"/>
      <c r="AK2967" s="173"/>
      <c r="AL2967" s="177"/>
      <c r="AM2967" s="178"/>
      <c r="AN2967" s="173"/>
      <c r="AO2967" s="173"/>
      <c r="AP2967" s="173"/>
      <c r="AQ2967" s="178"/>
      <c r="AR2967" s="173"/>
      <c r="AS2967" s="173"/>
      <c r="AT2967" s="140"/>
      <c r="AX2967" s="140"/>
      <c r="BB2967" s="173"/>
      <c r="BC2967" s="173"/>
    </row>
    <row r="2968" spans="2:55" s="134" customFormat="1" x14ac:dyDescent="0.2">
      <c r="B2968" s="145"/>
      <c r="D2968" s="145"/>
      <c r="Z2968" s="177"/>
      <c r="AA2968" s="178"/>
      <c r="AB2968" s="139"/>
      <c r="AC2968" s="173"/>
      <c r="AD2968" s="177"/>
      <c r="AE2968" s="177"/>
      <c r="AF2968" s="139"/>
      <c r="AG2968" s="139"/>
      <c r="AH2968" s="177"/>
      <c r="AI2968" s="178"/>
      <c r="AJ2968" s="139"/>
      <c r="AK2968" s="173"/>
      <c r="AL2968" s="177"/>
      <c r="AM2968" s="178"/>
      <c r="AN2968" s="173"/>
      <c r="AO2968" s="173"/>
      <c r="AP2968" s="173"/>
      <c r="AQ2968" s="178"/>
      <c r="AR2968" s="173"/>
      <c r="AS2968" s="173"/>
      <c r="AT2968" s="140"/>
      <c r="AX2968" s="140"/>
      <c r="BB2968" s="173"/>
      <c r="BC2968" s="173"/>
    </row>
    <row r="2969" spans="2:55" s="134" customFormat="1" x14ac:dyDescent="0.2">
      <c r="B2969" s="145"/>
      <c r="D2969" s="145"/>
      <c r="Z2969" s="177"/>
      <c r="AA2969" s="178"/>
      <c r="AB2969" s="139"/>
      <c r="AC2969" s="173"/>
      <c r="AD2969" s="177"/>
      <c r="AE2969" s="177"/>
      <c r="AF2969" s="139"/>
      <c r="AG2969" s="139"/>
      <c r="AH2969" s="177"/>
      <c r="AI2969" s="178"/>
      <c r="AJ2969" s="139"/>
      <c r="AK2969" s="173"/>
      <c r="AL2969" s="177"/>
      <c r="AM2969" s="178"/>
      <c r="AN2969" s="173"/>
      <c r="AO2969" s="173"/>
      <c r="AP2969" s="173"/>
      <c r="AQ2969" s="178"/>
      <c r="AR2969" s="173"/>
      <c r="AS2969" s="173"/>
      <c r="AT2969" s="140"/>
      <c r="AX2969" s="140"/>
      <c r="BB2969" s="173"/>
      <c r="BC2969" s="173"/>
    </row>
    <row r="2970" spans="2:55" s="134" customFormat="1" x14ac:dyDescent="0.2">
      <c r="B2970" s="145"/>
      <c r="D2970" s="145"/>
      <c r="Z2970" s="177"/>
      <c r="AA2970" s="178"/>
      <c r="AB2970" s="139"/>
      <c r="AC2970" s="173"/>
      <c r="AD2970" s="177"/>
      <c r="AE2970" s="177"/>
      <c r="AF2970" s="139"/>
      <c r="AG2970" s="139"/>
      <c r="AH2970" s="177"/>
      <c r="AI2970" s="178"/>
      <c r="AJ2970" s="139"/>
      <c r="AK2970" s="173"/>
      <c r="AL2970" s="177"/>
      <c r="AM2970" s="178"/>
      <c r="AN2970" s="173"/>
      <c r="AO2970" s="173"/>
      <c r="AP2970" s="173"/>
      <c r="AQ2970" s="178"/>
      <c r="AR2970" s="173"/>
      <c r="AS2970" s="173"/>
      <c r="AT2970" s="140"/>
      <c r="AX2970" s="140"/>
      <c r="BB2970" s="173"/>
      <c r="BC2970" s="173"/>
    </row>
    <row r="2971" spans="2:55" s="134" customFormat="1" x14ac:dyDescent="0.2">
      <c r="B2971" s="145"/>
      <c r="D2971" s="145"/>
      <c r="Z2971" s="177"/>
      <c r="AA2971" s="178"/>
      <c r="AB2971" s="139"/>
      <c r="AC2971" s="173"/>
      <c r="AD2971" s="177"/>
      <c r="AE2971" s="177"/>
      <c r="AF2971" s="139"/>
      <c r="AG2971" s="139"/>
      <c r="AH2971" s="177"/>
      <c r="AI2971" s="178"/>
      <c r="AJ2971" s="139"/>
      <c r="AK2971" s="173"/>
      <c r="AL2971" s="177"/>
      <c r="AM2971" s="178"/>
      <c r="AN2971" s="173"/>
      <c r="AO2971" s="173"/>
      <c r="AP2971" s="173"/>
      <c r="AQ2971" s="178"/>
      <c r="AR2971" s="173"/>
      <c r="AS2971" s="173"/>
      <c r="AT2971" s="140"/>
      <c r="AX2971" s="140"/>
      <c r="BB2971" s="173"/>
      <c r="BC2971" s="173"/>
    </row>
    <row r="2972" spans="2:55" s="134" customFormat="1" x14ac:dyDescent="0.2">
      <c r="B2972" s="145"/>
      <c r="D2972" s="145"/>
      <c r="Z2972" s="177"/>
      <c r="AA2972" s="178"/>
      <c r="AB2972" s="139"/>
      <c r="AC2972" s="173"/>
      <c r="AD2972" s="177"/>
      <c r="AE2972" s="177"/>
      <c r="AF2972" s="139"/>
      <c r="AG2972" s="139"/>
      <c r="AH2972" s="177"/>
      <c r="AI2972" s="178"/>
      <c r="AJ2972" s="139"/>
      <c r="AK2972" s="173"/>
      <c r="AL2972" s="177"/>
      <c r="AM2972" s="178"/>
      <c r="AN2972" s="173"/>
      <c r="AO2972" s="173"/>
      <c r="AP2972" s="173"/>
      <c r="AQ2972" s="178"/>
      <c r="AR2972" s="173"/>
      <c r="AS2972" s="173"/>
      <c r="AT2972" s="140"/>
      <c r="AX2972" s="140"/>
      <c r="BB2972" s="173"/>
      <c r="BC2972" s="173"/>
    </row>
    <row r="2973" spans="2:55" s="134" customFormat="1" x14ac:dyDescent="0.2">
      <c r="B2973" s="145"/>
      <c r="D2973" s="145"/>
      <c r="Z2973" s="177"/>
      <c r="AA2973" s="178"/>
      <c r="AB2973" s="139"/>
      <c r="AC2973" s="173"/>
      <c r="AD2973" s="177"/>
      <c r="AE2973" s="177"/>
      <c r="AF2973" s="139"/>
      <c r="AG2973" s="139"/>
      <c r="AH2973" s="177"/>
      <c r="AI2973" s="178"/>
      <c r="AJ2973" s="139"/>
      <c r="AK2973" s="173"/>
      <c r="AL2973" s="177"/>
      <c r="AM2973" s="178"/>
      <c r="AN2973" s="173"/>
      <c r="AO2973" s="173"/>
      <c r="AP2973" s="173"/>
      <c r="AQ2973" s="178"/>
      <c r="AR2973" s="173"/>
      <c r="AS2973" s="173"/>
      <c r="AT2973" s="140"/>
      <c r="AX2973" s="140"/>
      <c r="BB2973" s="173"/>
      <c r="BC2973" s="173"/>
    </row>
    <row r="2974" spans="2:55" s="134" customFormat="1" x14ac:dyDescent="0.2">
      <c r="B2974" s="145"/>
      <c r="D2974" s="145"/>
      <c r="Z2974" s="177"/>
      <c r="AA2974" s="178"/>
      <c r="AB2974" s="139"/>
      <c r="AC2974" s="173"/>
      <c r="AD2974" s="177"/>
      <c r="AE2974" s="177"/>
      <c r="AF2974" s="139"/>
      <c r="AG2974" s="139"/>
      <c r="AH2974" s="177"/>
      <c r="AI2974" s="178"/>
      <c r="AJ2974" s="139"/>
      <c r="AK2974" s="173"/>
      <c r="AL2974" s="177"/>
      <c r="AM2974" s="178"/>
      <c r="AN2974" s="173"/>
      <c r="AO2974" s="173"/>
      <c r="AP2974" s="173"/>
      <c r="AQ2974" s="178"/>
      <c r="AR2974" s="173"/>
      <c r="AS2974" s="173"/>
      <c r="AT2974" s="140"/>
      <c r="AX2974" s="140"/>
      <c r="BB2974" s="173"/>
      <c r="BC2974" s="173"/>
    </row>
    <row r="2975" spans="2:55" s="134" customFormat="1" x14ac:dyDescent="0.2">
      <c r="B2975" s="145"/>
      <c r="D2975" s="145"/>
      <c r="Z2975" s="177"/>
      <c r="AA2975" s="178"/>
      <c r="AB2975" s="139"/>
      <c r="AC2975" s="173"/>
      <c r="AD2975" s="177"/>
      <c r="AE2975" s="177"/>
      <c r="AF2975" s="139"/>
      <c r="AG2975" s="139"/>
      <c r="AH2975" s="177"/>
      <c r="AI2975" s="178"/>
      <c r="AJ2975" s="139"/>
      <c r="AK2975" s="173"/>
      <c r="AL2975" s="177"/>
      <c r="AM2975" s="178"/>
      <c r="AN2975" s="173"/>
      <c r="AO2975" s="173"/>
      <c r="AP2975" s="173"/>
      <c r="AQ2975" s="178"/>
      <c r="AR2975" s="173"/>
      <c r="AS2975" s="173"/>
      <c r="AT2975" s="140"/>
      <c r="AX2975" s="140"/>
      <c r="BB2975" s="173"/>
      <c r="BC2975" s="173"/>
    </row>
    <row r="2976" spans="2:55" s="134" customFormat="1" x14ac:dyDescent="0.2">
      <c r="B2976" s="145"/>
      <c r="D2976" s="145"/>
      <c r="Z2976" s="177"/>
      <c r="AA2976" s="178"/>
      <c r="AB2976" s="139"/>
      <c r="AC2976" s="173"/>
      <c r="AD2976" s="177"/>
      <c r="AE2976" s="177"/>
      <c r="AF2976" s="139"/>
      <c r="AG2976" s="139"/>
      <c r="AH2976" s="177"/>
      <c r="AI2976" s="178"/>
      <c r="AJ2976" s="139"/>
      <c r="AK2976" s="173"/>
      <c r="AL2976" s="177"/>
      <c r="AM2976" s="178"/>
      <c r="AN2976" s="173"/>
      <c r="AO2976" s="173"/>
      <c r="AP2976" s="173"/>
      <c r="AQ2976" s="178"/>
      <c r="AR2976" s="173"/>
      <c r="AS2976" s="173"/>
      <c r="AT2976" s="140"/>
      <c r="AX2976" s="140"/>
      <c r="BB2976" s="173"/>
      <c r="BC2976" s="173"/>
    </row>
    <row r="2977" spans="2:55" s="134" customFormat="1" x14ac:dyDescent="0.2">
      <c r="B2977" s="145"/>
      <c r="D2977" s="145"/>
      <c r="Z2977" s="177"/>
      <c r="AA2977" s="178"/>
      <c r="AB2977" s="139"/>
      <c r="AC2977" s="173"/>
      <c r="AD2977" s="177"/>
      <c r="AE2977" s="177"/>
      <c r="AF2977" s="139"/>
      <c r="AG2977" s="139"/>
      <c r="AH2977" s="177"/>
      <c r="AI2977" s="178"/>
      <c r="AJ2977" s="139"/>
      <c r="AK2977" s="173"/>
      <c r="AL2977" s="177"/>
      <c r="AM2977" s="178"/>
      <c r="AN2977" s="173"/>
      <c r="AO2977" s="173"/>
      <c r="AP2977" s="173"/>
      <c r="AQ2977" s="178"/>
      <c r="AR2977" s="173"/>
      <c r="AS2977" s="173"/>
      <c r="AT2977" s="140"/>
      <c r="AX2977" s="140"/>
      <c r="BB2977" s="173"/>
      <c r="BC2977" s="173"/>
    </row>
    <row r="2978" spans="2:55" s="134" customFormat="1" x14ac:dyDescent="0.2">
      <c r="B2978" s="145"/>
      <c r="D2978" s="145"/>
      <c r="Z2978" s="177"/>
      <c r="AA2978" s="178"/>
      <c r="AB2978" s="139"/>
      <c r="AC2978" s="173"/>
      <c r="AD2978" s="177"/>
      <c r="AE2978" s="177"/>
      <c r="AF2978" s="139"/>
      <c r="AG2978" s="139"/>
      <c r="AH2978" s="177"/>
      <c r="AI2978" s="178"/>
      <c r="AJ2978" s="139"/>
      <c r="AK2978" s="173"/>
      <c r="AL2978" s="177"/>
      <c r="AM2978" s="178"/>
      <c r="AN2978" s="173"/>
      <c r="AO2978" s="173"/>
      <c r="AP2978" s="173"/>
      <c r="AQ2978" s="178"/>
      <c r="AR2978" s="173"/>
      <c r="AS2978" s="173"/>
      <c r="AT2978" s="140"/>
      <c r="AX2978" s="140"/>
      <c r="BB2978" s="173"/>
      <c r="BC2978" s="173"/>
    </row>
    <row r="2979" spans="2:55" s="134" customFormat="1" x14ac:dyDescent="0.2">
      <c r="B2979" s="145"/>
      <c r="D2979" s="145"/>
      <c r="Z2979" s="177"/>
      <c r="AA2979" s="178"/>
      <c r="AB2979" s="139"/>
      <c r="AC2979" s="173"/>
      <c r="AD2979" s="177"/>
      <c r="AE2979" s="177"/>
      <c r="AF2979" s="139"/>
      <c r="AG2979" s="139"/>
      <c r="AH2979" s="177"/>
      <c r="AI2979" s="178"/>
      <c r="AJ2979" s="139"/>
      <c r="AK2979" s="173"/>
      <c r="AL2979" s="177"/>
      <c r="AM2979" s="178"/>
      <c r="AN2979" s="173"/>
      <c r="AO2979" s="173"/>
      <c r="AP2979" s="173"/>
      <c r="AQ2979" s="178"/>
      <c r="AR2979" s="173"/>
      <c r="AS2979" s="173"/>
      <c r="AT2979" s="140"/>
      <c r="AX2979" s="140"/>
      <c r="BB2979" s="173"/>
      <c r="BC2979" s="173"/>
    </row>
    <row r="2980" spans="2:55" s="134" customFormat="1" x14ac:dyDescent="0.2">
      <c r="B2980" s="145"/>
      <c r="D2980" s="145"/>
      <c r="Z2980" s="177"/>
      <c r="AA2980" s="178"/>
      <c r="AB2980" s="139"/>
      <c r="AC2980" s="173"/>
      <c r="AD2980" s="177"/>
      <c r="AE2980" s="177"/>
      <c r="AF2980" s="139"/>
      <c r="AG2980" s="139"/>
      <c r="AH2980" s="177"/>
      <c r="AI2980" s="178"/>
      <c r="AJ2980" s="139"/>
      <c r="AK2980" s="173"/>
      <c r="AL2980" s="177"/>
      <c r="AM2980" s="178"/>
      <c r="AN2980" s="173"/>
      <c r="AO2980" s="173"/>
      <c r="AP2980" s="173"/>
      <c r="AQ2980" s="178"/>
      <c r="AR2980" s="173"/>
      <c r="AS2980" s="173"/>
      <c r="AT2980" s="140"/>
      <c r="AX2980" s="140"/>
      <c r="BB2980" s="173"/>
      <c r="BC2980" s="173"/>
    </row>
    <row r="2981" spans="2:55" s="134" customFormat="1" x14ac:dyDescent="0.2">
      <c r="B2981" s="145"/>
      <c r="D2981" s="145"/>
      <c r="Z2981" s="177"/>
      <c r="AA2981" s="178"/>
      <c r="AB2981" s="139"/>
      <c r="AC2981" s="173"/>
      <c r="AD2981" s="177"/>
      <c r="AE2981" s="177"/>
      <c r="AF2981" s="139"/>
      <c r="AG2981" s="139"/>
      <c r="AH2981" s="177"/>
      <c r="AI2981" s="178"/>
      <c r="AJ2981" s="139"/>
      <c r="AK2981" s="173"/>
      <c r="AL2981" s="177"/>
      <c r="AM2981" s="178"/>
      <c r="AN2981" s="173"/>
      <c r="AO2981" s="173"/>
      <c r="AP2981" s="173"/>
      <c r="AQ2981" s="178"/>
      <c r="AR2981" s="173"/>
      <c r="AS2981" s="173"/>
      <c r="AT2981" s="140"/>
      <c r="AX2981" s="140"/>
      <c r="BB2981" s="173"/>
      <c r="BC2981" s="173"/>
    </row>
    <row r="2982" spans="2:55" s="134" customFormat="1" x14ac:dyDescent="0.2">
      <c r="B2982" s="145"/>
      <c r="D2982" s="145"/>
      <c r="Z2982" s="177"/>
      <c r="AA2982" s="178"/>
      <c r="AB2982" s="139"/>
      <c r="AC2982" s="173"/>
      <c r="AD2982" s="177"/>
      <c r="AE2982" s="177"/>
      <c r="AF2982" s="139"/>
      <c r="AG2982" s="139"/>
      <c r="AH2982" s="177"/>
      <c r="AI2982" s="178"/>
      <c r="AJ2982" s="139"/>
      <c r="AK2982" s="173"/>
      <c r="AL2982" s="177"/>
      <c r="AM2982" s="178"/>
      <c r="AN2982" s="173"/>
      <c r="AO2982" s="173"/>
      <c r="AP2982" s="173"/>
      <c r="AQ2982" s="178"/>
      <c r="AR2982" s="173"/>
      <c r="AS2982" s="173"/>
      <c r="AT2982" s="140"/>
      <c r="AX2982" s="140"/>
      <c r="BB2982" s="173"/>
      <c r="BC2982" s="173"/>
    </row>
    <row r="2983" spans="2:55" s="134" customFormat="1" x14ac:dyDescent="0.2">
      <c r="B2983" s="145"/>
      <c r="D2983" s="145"/>
      <c r="Z2983" s="177"/>
      <c r="AA2983" s="178"/>
      <c r="AB2983" s="139"/>
      <c r="AC2983" s="173"/>
      <c r="AD2983" s="177"/>
      <c r="AE2983" s="177"/>
      <c r="AF2983" s="139"/>
      <c r="AG2983" s="139"/>
      <c r="AH2983" s="177"/>
      <c r="AI2983" s="178"/>
      <c r="AJ2983" s="139"/>
      <c r="AK2983" s="173"/>
      <c r="AL2983" s="177"/>
      <c r="AM2983" s="178"/>
      <c r="AN2983" s="173"/>
      <c r="AO2983" s="173"/>
      <c r="AP2983" s="173"/>
      <c r="AQ2983" s="178"/>
      <c r="AR2983" s="173"/>
      <c r="AS2983" s="173"/>
      <c r="AT2983" s="140"/>
      <c r="AX2983" s="140"/>
      <c r="BB2983" s="173"/>
      <c r="BC2983" s="173"/>
    </row>
    <row r="2984" spans="2:55" s="134" customFormat="1" x14ac:dyDescent="0.2">
      <c r="B2984" s="145"/>
      <c r="D2984" s="145"/>
      <c r="Z2984" s="177"/>
      <c r="AA2984" s="178"/>
      <c r="AB2984" s="139"/>
      <c r="AC2984" s="173"/>
      <c r="AD2984" s="177"/>
      <c r="AE2984" s="177"/>
      <c r="AF2984" s="139"/>
      <c r="AG2984" s="139"/>
      <c r="AH2984" s="177"/>
      <c r="AI2984" s="178"/>
      <c r="AJ2984" s="139"/>
      <c r="AK2984" s="173"/>
      <c r="AL2984" s="177"/>
      <c r="AM2984" s="178"/>
      <c r="AN2984" s="173"/>
      <c r="AO2984" s="173"/>
      <c r="AP2984" s="173"/>
      <c r="AQ2984" s="178"/>
      <c r="AR2984" s="173"/>
      <c r="AS2984" s="173"/>
      <c r="AT2984" s="140"/>
      <c r="AX2984" s="140"/>
      <c r="BB2984" s="173"/>
      <c r="BC2984" s="173"/>
    </row>
    <row r="2985" spans="2:55" s="134" customFormat="1" x14ac:dyDescent="0.2">
      <c r="B2985" s="145"/>
      <c r="D2985" s="145"/>
      <c r="Z2985" s="177"/>
      <c r="AA2985" s="178"/>
      <c r="AB2985" s="139"/>
      <c r="AC2985" s="173"/>
      <c r="AD2985" s="177"/>
      <c r="AE2985" s="177"/>
      <c r="AF2985" s="139"/>
      <c r="AG2985" s="139"/>
      <c r="AH2985" s="177"/>
      <c r="AI2985" s="178"/>
      <c r="AJ2985" s="139"/>
      <c r="AK2985" s="173"/>
      <c r="AL2985" s="177"/>
      <c r="AM2985" s="178"/>
      <c r="AN2985" s="173"/>
      <c r="AO2985" s="173"/>
      <c r="AP2985" s="173"/>
      <c r="AQ2985" s="178"/>
      <c r="AR2985" s="173"/>
      <c r="AS2985" s="173"/>
      <c r="AT2985" s="140"/>
      <c r="AX2985" s="140"/>
      <c r="BB2985" s="173"/>
      <c r="BC2985" s="173"/>
    </row>
    <row r="2986" spans="2:55" s="134" customFormat="1" x14ac:dyDescent="0.2">
      <c r="B2986" s="145"/>
      <c r="D2986" s="145"/>
      <c r="Z2986" s="177"/>
      <c r="AA2986" s="178"/>
      <c r="AB2986" s="139"/>
      <c r="AC2986" s="173"/>
      <c r="AD2986" s="177"/>
      <c r="AE2986" s="177"/>
      <c r="AF2986" s="139"/>
      <c r="AG2986" s="139"/>
      <c r="AH2986" s="177"/>
      <c r="AI2986" s="178"/>
      <c r="AJ2986" s="139"/>
      <c r="AK2986" s="173"/>
      <c r="AL2986" s="177"/>
      <c r="AM2986" s="178"/>
      <c r="AN2986" s="173"/>
      <c r="AO2986" s="173"/>
      <c r="AP2986" s="173"/>
      <c r="AQ2986" s="178"/>
      <c r="AR2986" s="173"/>
      <c r="AS2986" s="173"/>
      <c r="AT2986" s="140"/>
      <c r="AX2986" s="140"/>
      <c r="BB2986" s="173"/>
      <c r="BC2986" s="173"/>
    </row>
    <row r="2987" spans="2:55" s="134" customFormat="1" x14ac:dyDescent="0.2">
      <c r="B2987" s="145"/>
      <c r="D2987" s="145"/>
      <c r="Z2987" s="177"/>
      <c r="AA2987" s="178"/>
      <c r="AB2987" s="139"/>
      <c r="AC2987" s="173"/>
      <c r="AD2987" s="177"/>
      <c r="AE2987" s="177"/>
      <c r="AF2987" s="139"/>
      <c r="AG2987" s="139"/>
      <c r="AH2987" s="177"/>
      <c r="AI2987" s="178"/>
      <c r="AJ2987" s="139"/>
      <c r="AK2987" s="173"/>
      <c r="AL2987" s="177"/>
      <c r="AM2987" s="178"/>
      <c r="AN2987" s="173"/>
      <c r="AO2987" s="173"/>
      <c r="AP2987" s="173"/>
      <c r="AQ2987" s="178"/>
      <c r="AR2987" s="173"/>
      <c r="AS2987" s="173"/>
      <c r="AT2987" s="140"/>
      <c r="AX2987" s="140"/>
      <c r="BB2987" s="173"/>
      <c r="BC2987" s="173"/>
    </row>
    <row r="2988" spans="2:55" s="134" customFormat="1" x14ac:dyDescent="0.2">
      <c r="B2988" s="145"/>
      <c r="D2988" s="145"/>
      <c r="Z2988" s="177"/>
      <c r="AA2988" s="178"/>
      <c r="AB2988" s="139"/>
      <c r="AC2988" s="173"/>
      <c r="AD2988" s="177"/>
      <c r="AE2988" s="177"/>
      <c r="AF2988" s="139"/>
      <c r="AG2988" s="139"/>
      <c r="AH2988" s="177"/>
      <c r="AI2988" s="178"/>
      <c r="AJ2988" s="139"/>
      <c r="AK2988" s="173"/>
      <c r="AL2988" s="177"/>
      <c r="AM2988" s="178"/>
      <c r="AN2988" s="173"/>
      <c r="AO2988" s="173"/>
      <c r="AP2988" s="173"/>
      <c r="AQ2988" s="178"/>
      <c r="AR2988" s="173"/>
      <c r="AS2988" s="173"/>
      <c r="AT2988" s="140"/>
      <c r="AX2988" s="140"/>
      <c r="BB2988" s="173"/>
      <c r="BC2988" s="173"/>
    </row>
    <row r="2989" spans="2:55" s="134" customFormat="1" x14ac:dyDescent="0.2">
      <c r="B2989" s="145"/>
      <c r="D2989" s="145"/>
      <c r="Z2989" s="177"/>
      <c r="AA2989" s="178"/>
      <c r="AB2989" s="139"/>
      <c r="AC2989" s="173"/>
      <c r="AD2989" s="177"/>
      <c r="AE2989" s="177"/>
      <c r="AF2989" s="139"/>
      <c r="AG2989" s="139"/>
      <c r="AH2989" s="177"/>
      <c r="AI2989" s="178"/>
      <c r="AJ2989" s="139"/>
      <c r="AK2989" s="173"/>
      <c r="AL2989" s="177"/>
      <c r="AM2989" s="178"/>
      <c r="AN2989" s="173"/>
      <c r="AO2989" s="173"/>
      <c r="AP2989" s="173"/>
      <c r="AQ2989" s="178"/>
      <c r="AR2989" s="173"/>
      <c r="AS2989" s="173"/>
      <c r="AT2989" s="140"/>
      <c r="AX2989" s="140"/>
      <c r="BB2989" s="173"/>
      <c r="BC2989" s="173"/>
    </row>
    <row r="2990" spans="2:55" s="134" customFormat="1" x14ac:dyDescent="0.2">
      <c r="B2990" s="145"/>
      <c r="D2990" s="145"/>
      <c r="Z2990" s="177"/>
      <c r="AA2990" s="178"/>
      <c r="AB2990" s="139"/>
      <c r="AC2990" s="173"/>
      <c r="AD2990" s="177"/>
      <c r="AE2990" s="177"/>
      <c r="AF2990" s="139"/>
      <c r="AG2990" s="139"/>
      <c r="AH2990" s="177"/>
      <c r="AI2990" s="178"/>
      <c r="AJ2990" s="139"/>
      <c r="AK2990" s="173"/>
      <c r="AL2990" s="177"/>
      <c r="AM2990" s="178"/>
      <c r="AN2990" s="173"/>
      <c r="AO2990" s="173"/>
      <c r="AP2990" s="173"/>
      <c r="AQ2990" s="178"/>
      <c r="AR2990" s="173"/>
      <c r="AS2990" s="173"/>
      <c r="AT2990" s="140"/>
      <c r="AX2990" s="140"/>
      <c r="BB2990" s="173"/>
      <c r="BC2990" s="173"/>
    </row>
    <row r="2991" spans="2:55" s="134" customFormat="1" x14ac:dyDescent="0.2">
      <c r="B2991" s="145"/>
      <c r="D2991" s="145"/>
      <c r="Z2991" s="177"/>
      <c r="AA2991" s="178"/>
      <c r="AB2991" s="139"/>
      <c r="AC2991" s="173"/>
      <c r="AD2991" s="177"/>
      <c r="AE2991" s="177"/>
      <c r="AF2991" s="139"/>
      <c r="AG2991" s="139"/>
      <c r="AH2991" s="177"/>
      <c r="AI2991" s="178"/>
      <c r="AJ2991" s="139"/>
      <c r="AK2991" s="173"/>
      <c r="AL2991" s="177"/>
      <c r="AM2991" s="178"/>
      <c r="AN2991" s="173"/>
      <c r="AO2991" s="173"/>
      <c r="AP2991" s="173"/>
      <c r="AQ2991" s="178"/>
      <c r="AR2991" s="173"/>
      <c r="AS2991" s="173"/>
      <c r="AT2991" s="140"/>
      <c r="AX2991" s="140"/>
      <c r="BB2991" s="173"/>
      <c r="BC2991" s="173"/>
    </row>
    <row r="2992" spans="2:55" s="134" customFormat="1" x14ac:dyDescent="0.2">
      <c r="B2992" s="145"/>
      <c r="D2992" s="145"/>
      <c r="Z2992" s="177"/>
      <c r="AA2992" s="178"/>
      <c r="AB2992" s="139"/>
      <c r="AC2992" s="173"/>
      <c r="AD2992" s="177"/>
      <c r="AE2992" s="177"/>
      <c r="AF2992" s="139"/>
      <c r="AG2992" s="139"/>
      <c r="AH2992" s="177"/>
      <c r="AI2992" s="178"/>
      <c r="AJ2992" s="139"/>
      <c r="AK2992" s="173"/>
      <c r="AL2992" s="177"/>
      <c r="AM2992" s="178"/>
      <c r="AN2992" s="173"/>
      <c r="AO2992" s="173"/>
      <c r="AP2992" s="173"/>
      <c r="AQ2992" s="178"/>
      <c r="AR2992" s="173"/>
      <c r="AS2992" s="173"/>
      <c r="AT2992" s="140"/>
      <c r="AX2992" s="140"/>
      <c r="BB2992" s="173"/>
      <c r="BC2992" s="173"/>
    </row>
    <row r="2993" spans="2:55" s="134" customFormat="1" x14ac:dyDescent="0.2">
      <c r="B2993" s="145"/>
      <c r="D2993" s="145"/>
      <c r="Z2993" s="177"/>
      <c r="AA2993" s="178"/>
      <c r="AB2993" s="139"/>
      <c r="AC2993" s="173"/>
      <c r="AD2993" s="177"/>
      <c r="AE2993" s="177"/>
      <c r="AF2993" s="139"/>
      <c r="AG2993" s="139"/>
      <c r="AH2993" s="177"/>
      <c r="AI2993" s="178"/>
      <c r="AJ2993" s="139"/>
      <c r="AK2993" s="173"/>
      <c r="AL2993" s="177"/>
      <c r="AM2993" s="178"/>
      <c r="AN2993" s="173"/>
      <c r="AO2993" s="173"/>
      <c r="AP2993" s="173"/>
      <c r="AQ2993" s="178"/>
      <c r="AR2993" s="173"/>
      <c r="AS2993" s="173"/>
      <c r="AT2993" s="140"/>
      <c r="AX2993" s="140"/>
      <c r="BB2993" s="173"/>
      <c r="BC2993" s="173"/>
    </row>
    <row r="2994" spans="2:55" s="134" customFormat="1" x14ac:dyDescent="0.2">
      <c r="B2994" s="145"/>
      <c r="D2994" s="145"/>
      <c r="Z2994" s="177"/>
      <c r="AA2994" s="178"/>
      <c r="AB2994" s="139"/>
      <c r="AC2994" s="173"/>
      <c r="AD2994" s="177"/>
      <c r="AE2994" s="177"/>
      <c r="AF2994" s="139"/>
      <c r="AG2994" s="139"/>
      <c r="AH2994" s="177"/>
      <c r="AI2994" s="178"/>
      <c r="AJ2994" s="139"/>
      <c r="AK2994" s="173"/>
      <c r="AL2994" s="177"/>
      <c r="AM2994" s="178"/>
      <c r="AN2994" s="173"/>
      <c r="AO2994" s="173"/>
      <c r="AP2994" s="173"/>
      <c r="AQ2994" s="178"/>
      <c r="AR2994" s="173"/>
      <c r="AS2994" s="173"/>
      <c r="AT2994" s="140"/>
      <c r="AX2994" s="140"/>
      <c r="BB2994" s="173"/>
      <c r="BC2994" s="173"/>
    </row>
    <row r="2995" spans="2:55" s="134" customFormat="1" x14ac:dyDescent="0.2">
      <c r="B2995" s="145"/>
      <c r="D2995" s="145"/>
      <c r="Z2995" s="177"/>
      <c r="AA2995" s="178"/>
      <c r="AB2995" s="139"/>
      <c r="AC2995" s="173"/>
      <c r="AD2995" s="177"/>
      <c r="AE2995" s="177"/>
      <c r="AF2995" s="139"/>
      <c r="AG2995" s="139"/>
      <c r="AH2995" s="177"/>
      <c r="AI2995" s="178"/>
      <c r="AJ2995" s="139"/>
      <c r="AK2995" s="173"/>
      <c r="AL2995" s="177"/>
      <c r="AM2995" s="178"/>
      <c r="AN2995" s="173"/>
      <c r="AO2995" s="173"/>
      <c r="AP2995" s="173"/>
      <c r="AQ2995" s="178"/>
      <c r="AR2995" s="173"/>
      <c r="AS2995" s="173"/>
      <c r="AT2995" s="140"/>
      <c r="AX2995" s="140"/>
      <c r="BB2995" s="173"/>
      <c r="BC2995" s="173"/>
    </row>
    <row r="2996" spans="2:55" s="134" customFormat="1" x14ac:dyDescent="0.2">
      <c r="B2996" s="145"/>
      <c r="D2996" s="145"/>
      <c r="Z2996" s="177"/>
      <c r="AA2996" s="178"/>
      <c r="AB2996" s="139"/>
      <c r="AC2996" s="173"/>
      <c r="AD2996" s="177"/>
      <c r="AE2996" s="177"/>
      <c r="AF2996" s="139"/>
      <c r="AG2996" s="139"/>
      <c r="AH2996" s="177"/>
      <c r="AI2996" s="178"/>
      <c r="AJ2996" s="139"/>
      <c r="AK2996" s="173"/>
      <c r="AL2996" s="177"/>
      <c r="AM2996" s="178"/>
      <c r="AN2996" s="173"/>
      <c r="AO2996" s="173"/>
      <c r="AP2996" s="173"/>
      <c r="AQ2996" s="178"/>
      <c r="AR2996" s="173"/>
      <c r="AS2996" s="173"/>
      <c r="AT2996" s="140"/>
      <c r="AX2996" s="140"/>
      <c r="BB2996" s="173"/>
      <c r="BC2996" s="173"/>
    </row>
    <row r="2997" spans="2:55" s="134" customFormat="1" x14ac:dyDescent="0.2">
      <c r="B2997" s="145"/>
      <c r="D2997" s="145"/>
      <c r="Z2997" s="177"/>
      <c r="AA2997" s="178"/>
      <c r="AB2997" s="139"/>
      <c r="AC2997" s="173"/>
      <c r="AD2997" s="177"/>
      <c r="AE2997" s="177"/>
      <c r="AF2997" s="139"/>
      <c r="AG2997" s="139"/>
      <c r="AH2997" s="177"/>
      <c r="AI2997" s="178"/>
      <c r="AJ2997" s="139"/>
      <c r="AK2997" s="173"/>
      <c r="AL2997" s="177"/>
      <c r="AM2997" s="178"/>
      <c r="AN2997" s="173"/>
      <c r="AO2997" s="173"/>
      <c r="AP2997" s="173"/>
      <c r="AQ2997" s="178"/>
      <c r="AR2997" s="173"/>
      <c r="AS2997" s="173"/>
      <c r="AT2997" s="140"/>
      <c r="AX2997" s="140"/>
      <c r="BB2997" s="173"/>
      <c r="BC2997" s="173"/>
    </row>
    <row r="2998" spans="2:55" s="134" customFormat="1" x14ac:dyDescent="0.2">
      <c r="B2998" s="145"/>
      <c r="D2998" s="145"/>
      <c r="Z2998" s="177"/>
      <c r="AA2998" s="178"/>
      <c r="AB2998" s="139"/>
      <c r="AC2998" s="173"/>
      <c r="AD2998" s="177"/>
      <c r="AE2998" s="177"/>
      <c r="AF2998" s="139"/>
      <c r="AG2998" s="139"/>
      <c r="AH2998" s="177"/>
      <c r="AI2998" s="178"/>
      <c r="AJ2998" s="139"/>
      <c r="AK2998" s="173"/>
      <c r="AL2998" s="177"/>
      <c r="AM2998" s="178"/>
      <c r="AN2998" s="173"/>
      <c r="AO2998" s="173"/>
      <c r="AP2998" s="173"/>
      <c r="AQ2998" s="178"/>
      <c r="AR2998" s="173"/>
      <c r="AS2998" s="173"/>
      <c r="AT2998" s="140"/>
      <c r="AX2998" s="140"/>
      <c r="BB2998" s="173"/>
      <c r="BC2998" s="173"/>
    </row>
    <row r="2999" spans="2:55" s="134" customFormat="1" x14ac:dyDescent="0.2">
      <c r="B2999" s="145"/>
      <c r="D2999" s="145"/>
      <c r="Z2999" s="177"/>
      <c r="AA2999" s="178"/>
      <c r="AB2999" s="139"/>
      <c r="AC2999" s="173"/>
      <c r="AD2999" s="177"/>
      <c r="AE2999" s="177"/>
      <c r="AF2999" s="139"/>
      <c r="AG2999" s="139"/>
      <c r="AH2999" s="177"/>
      <c r="AI2999" s="178"/>
      <c r="AJ2999" s="139"/>
      <c r="AK2999" s="173"/>
      <c r="AL2999" s="177"/>
      <c r="AM2999" s="178"/>
      <c r="AN2999" s="173"/>
      <c r="AO2999" s="173"/>
      <c r="AP2999" s="173"/>
      <c r="AQ2999" s="178"/>
      <c r="AR2999" s="173"/>
      <c r="AS2999" s="173"/>
      <c r="AT2999" s="140"/>
      <c r="AX2999" s="140"/>
      <c r="BB2999" s="173"/>
      <c r="BC2999" s="173"/>
    </row>
    <row r="3000" spans="2:55" s="134" customFormat="1" x14ac:dyDescent="0.2">
      <c r="B3000" s="145"/>
      <c r="D3000" s="145"/>
      <c r="Z3000" s="177"/>
      <c r="AA3000" s="178"/>
      <c r="AB3000" s="139"/>
      <c r="AC3000" s="173"/>
      <c r="AD3000" s="177"/>
      <c r="AE3000" s="177"/>
      <c r="AF3000" s="139"/>
      <c r="AG3000" s="139"/>
      <c r="AH3000" s="177"/>
      <c r="AI3000" s="178"/>
      <c r="AJ3000" s="139"/>
      <c r="AK3000" s="173"/>
      <c r="AL3000" s="177"/>
      <c r="AM3000" s="178"/>
      <c r="AN3000" s="173"/>
      <c r="AO3000" s="173"/>
      <c r="AP3000" s="173"/>
      <c r="AQ3000" s="178"/>
      <c r="AR3000" s="173"/>
      <c r="AS3000" s="173"/>
      <c r="AT3000" s="140"/>
      <c r="AX3000" s="140"/>
      <c r="BB3000" s="173"/>
      <c r="BC3000" s="173"/>
    </row>
    <row r="3001" spans="2:55" s="134" customFormat="1" x14ac:dyDescent="0.2">
      <c r="B3001" s="145"/>
      <c r="D3001" s="145"/>
      <c r="Z3001" s="177"/>
      <c r="AA3001" s="178"/>
      <c r="AB3001" s="139"/>
      <c r="AC3001" s="173"/>
      <c r="AD3001" s="177"/>
      <c r="AE3001" s="177"/>
      <c r="AF3001" s="139"/>
      <c r="AG3001" s="139"/>
      <c r="AH3001" s="177"/>
      <c r="AI3001" s="178"/>
      <c r="AJ3001" s="139"/>
      <c r="AK3001" s="173"/>
      <c r="AL3001" s="177"/>
      <c r="AM3001" s="178"/>
      <c r="AN3001" s="173"/>
      <c r="AO3001" s="173"/>
      <c r="AP3001" s="173"/>
      <c r="AQ3001" s="178"/>
      <c r="AR3001" s="173"/>
      <c r="AS3001" s="173"/>
      <c r="AT3001" s="140"/>
      <c r="AX3001" s="140"/>
      <c r="BB3001" s="173"/>
      <c r="BC3001" s="173"/>
    </row>
    <row r="3002" spans="2:55" s="134" customFormat="1" x14ac:dyDescent="0.2">
      <c r="B3002" s="145"/>
      <c r="D3002" s="145"/>
      <c r="Z3002" s="177"/>
      <c r="AA3002" s="178"/>
      <c r="AB3002" s="139"/>
      <c r="AC3002" s="173"/>
      <c r="AD3002" s="177"/>
      <c r="AE3002" s="177"/>
      <c r="AF3002" s="139"/>
      <c r="AG3002" s="139"/>
      <c r="AH3002" s="177"/>
      <c r="AI3002" s="178"/>
      <c r="AJ3002" s="139"/>
      <c r="AK3002" s="173"/>
      <c r="AL3002" s="177"/>
      <c r="AM3002" s="178"/>
      <c r="AN3002" s="173"/>
      <c r="AO3002" s="173"/>
      <c r="AP3002" s="173"/>
      <c r="AQ3002" s="178"/>
      <c r="AR3002" s="173"/>
      <c r="AS3002" s="173"/>
      <c r="AT3002" s="140"/>
      <c r="AX3002" s="140"/>
      <c r="BB3002" s="173"/>
      <c r="BC3002" s="173"/>
    </row>
    <row r="3003" spans="2:55" s="134" customFormat="1" x14ac:dyDescent="0.2">
      <c r="B3003" s="145"/>
      <c r="D3003" s="145"/>
      <c r="Z3003" s="177"/>
      <c r="AA3003" s="178"/>
      <c r="AB3003" s="139"/>
      <c r="AC3003" s="173"/>
      <c r="AD3003" s="177"/>
      <c r="AE3003" s="177"/>
      <c r="AF3003" s="139"/>
      <c r="AG3003" s="139"/>
      <c r="AH3003" s="177"/>
      <c r="AI3003" s="178"/>
      <c r="AJ3003" s="139"/>
      <c r="AK3003" s="173"/>
      <c r="AL3003" s="177"/>
      <c r="AM3003" s="178"/>
      <c r="AN3003" s="173"/>
      <c r="AO3003" s="173"/>
      <c r="AP3003" s="173"/>
      <c r="AQ3003" s="178"/>
      <c r="AR3003" s="173"/>
      <c r="AS3003" s="173"/>
      <c r="AT3003" s="140"/>
      <c r="AX3003" s="140"/>
      <c r="BB3003" s="173"/>
      <c r="BC3003" s="173"/>
    </row>
    <row r="3004" spans="2:55" s="134" customFormat="1" x14ac:dyDescent="0.2">
      <c r="B3004" s="145"/>
      <c r="D3004" s="145"/>
      <c r="Z3004" s="177"/>
      <c r="AA3004" s="178"/>
      <c r="AB3004" s="139"/>
      <c r="AC3004" s="173"/>
      <c r="AD3004" s="177"/>
      <c r="AE3004" s="177"/>
      <c r="AF3004" s="139"/>
      <c r="AG3004" s="139"/>
      <c r="AH3004" s="177"/>
      <c r="AI3004" s="178"/>
      <c r="AJ3004" s="139"/>
      <c r="AK3004" s="173"/>
      <c r="AL3004" s="177"/>
      <c r="AM3004" s="178"/>
      <c r="AN3004" s="173"/>
      <c r="AO3004" s="173"/>
      <c r="AP3004" s="173"/>
      <c r="AQ3004" s="178"/>
      <c r="AR3004" s="173"/>
      <c r="AS3004" s="173"/>
      <c r="AT3004" s="140"/>
      <c r="AX3004" s="140"/>
      <c r="BB3004" s="173"/>
      <c r="BC3004" s="173"/>
    </row>
    <row r="3005" spans="2:55" s="134" customFormat="1" x14ac:dyDescent="0.2">
      <c r="B3005" s="145"/>
      <c r="D3005" s="145"/>
      <c r="Z3005" s="177"/>
      <c r="AA3005" s="178"/>
      <c r="AB3005" s="139"/>
      <c r="AC3005" s="173"/>
      <c r="AD3005" s="177"/>
      <c r="AE3005" s="177"/>
      <c r="AF3005" s="139"/>
      <c r="AG3005" s="139"/>
      <c r="AH3005" s="177"/>
      <c r="AI3005" s="178"/>
      <c r="AJ3005" s="139"/>
      <c r="AK3005" s="173"/>
      <c r="AL3005" s="177"/>
      <c r="AM3005" s="178"/>
      <c r="AN3005" s="173"/>
      <c r="AO3005" s="173"/>
      <c r="AP3005" s="173"/>
      <c r="AQ3005" s="178"/>
      <c r="AR3005" s="173"/>
      <c r="AS3005" s="173"/>
      <c r="AT3005" s="140"/>
      <c r="AX3005" s="140"/>
      <c r="BB3005" s="173"/>
      <c r="BC3005" s="173"/>
    </row>
    <row r="3006" spans="2:55" s="134" customFormat="1" x14ac:dyDescent="0.2">
      <c r="B3006" s="145"/>
      <c r="D3006" s="145"/>
      <c r="Z3006" s="177"/>
      <c r="AA3006" s="178"/>
      <c r="AB3006" s="139"/>
      <c r="AC3006" s="173"/>
      <c r="AD3006" s="177"/>
      <c r="AE3006" s="177"/>
      <c r="AF3006" s="139"/>
      <c r="AG3006" s="139"/>
      <c r="AH3006" s="177"/>
      <c r="AI3006" s="178"/>
      <c r="AJ3006" s="139"/>
      <c r="AK3006" s="173"/>
      <c r="AL3006" s="177"/>
      <c r="AM3006" s="178"/>
      <c r="AN3006" s="173"/>
      <c r="AO3006" s="173"/>
      <c r="AP3006" s="173"/>
      <c r="AQ3006" s="178"/>
      <c r="AR3006" s="173"/>
      <c r="AS3006" s="173"/>
      <c r="AT3006" s="140"/>
      <c r="AX3006" s="140"/>
      <c r="BB3006" s="173"/>
      <c r="BC3006" s="173"/>
    </row>
    <row r="3007" spans="2:55" s="134" customFormat="1" x14ac:dyDescent="0.2">
      <c r="B3007" s="145"/>
      <c r="D3007" s="145"/>
      <c r="Z3007" s="177"/>
      <c r="AA3007" s="178"/>
      <c r="AB3007" s="139"/>
      <c r="AC3007" s="173"/>
      <c r="AD3007" s="177"/>
      <c r="AE3007" s="177"/>
      <c r="AF3007" s="139"/>
      <c r="AG3007" s="139"/>
      <c r="AH3007" s="177"/>
      <c r="AI3007" s="178"/>
      <c r="AJ3007" s="139"/>
      <c r="AK3007" s="173"/>
      <c r="AL3007" s="177"/>
      <c r="AM3007" s="178"/>
      <c r="AN3007" s="173"/>
      <c r="AO3007" s="173"/>
      <c r="AP3007" s="173"/>
      <c r="AQ3007" s="178"/>
      <c r="AR3007" s="173"/>
      <c r="AS3007" s="173"/>
      <c r="AT3007" s="140"/>
      <c r="AX3007" s="140"/>
      <c r="BB3007" s="173"/>
      <c r="BC3007" s="173"/>
    </row>
    <row r="3008" spans="2:55" s="134" customFormat="1" x14ac:dyDescent="0.2">
      <c r="B3008" s="145"/>
      <c r="D3008" s="145"/>
      <c r="Z3008" s="177"/>
      <c r="AA3008" s="178"/>
      <c r="AB3008" s="139"/>
      <c r="AC3008" s="173"/>
      <c r="AD3008" s="177"/>
      <c r="AE3008" s="177"/>
      <c r="AF3008" s="139"/>
      <c r="AG3008" s="139"/>
      <c r="AH3008" s="177"/>
      <c r="AI3008" s="178"/>
      <c r="AJ3008" s="139"/>
      <c r="AK3008" s="173"/>
      <c r="AL3008" s="177"/>
      <c r="AM3008" s="178"/>
      <c r="AN3008" s="173"/>
      <c r="AO3008" s="173"/>
      <c r="AP3008" s="173"/>
      <c r="AQ3008" s="178"/>
      <c r="AR3008" s="173"/>
      <c r="AS3008" s="173"/>
      <c r="AT3008" s="140"/>
      <c r="AX3008" s="140"/>
      <c r="BB3008" s="173"/>
      <c r="BC3008" s="173"/>
    </row>
    <row r="3009" spans="2:55" s="134" customFormat="1" x14ac:dyDescent="0.2">
      <c r="B3009" s="145"/>
      <c r="D3009" s="145"/>
      <c r="Z3009" s="177"/>
      <c r="AA3009" s="178"/>
      <c r="AB3009" s="139"/>
      <c r="AC3009" s="173"/>
      <c r="AD3009" s="177"/>
      <c r="AE3009" s="177"/>
      <c r="AF3009" s="139"/>
      <c r="AG3009" s="139"/>
      <c r="AH3009" s="177"/>
      <c r="AI3009" s="178"/>
      <c r="AJ3009" s="139"/>
      <c r="AK3009" s="173"/>
      <c r="AL3009" s="177"/>
      <c r="AM3009" s="178"/>
      <c r="AN3009" s="173"/>
      <c r="AO3009" s="173"/>
      <c r="AP3009" s="173"/>
      <c r="AQ3009" s="178"/>
      <c r="AR3009" s="173"/>
      <c r="AS3009" s="173"/>
      <c r="AT3009" s="140"/>
      <c r="AX3009" s="140"/>
      <c r="BB3009" s="173"/>
      <c r="BC3009" s="173"/>
    </row>
    <row r="3010" spans="2:55" s="134" customFormat="1" x14ac:dyDescent="0.2">
      <c r="B3010" s="145"/>
      <c r="D3010" s="145"/>
      <c r="Z3010" s="177"/>
      <c r="AA3010" s="178"/>
      <c r="AB3010" s="139"/>
      <c r="AC3010" s="173"/>
      <c r="AD3010" s="177"/>
      <c r="AE3010" s="177"/>
      <c r="AF3010" s="139"/>
      <c r="AG3010" s="139"/>
      <c r="AH3010" s="177"/>
      <c r="AI3010" s="178"/>
      <c r="AJ3010" s="139"/>
      <c r="AK3010" s="173"/>
      <c r="AL3010" s="177"/>
      <c r="AM3010" s="178"/>
      <c r="AN3010" s="173"/>
      <c r="AO3010" s="173"/>
      <c r="AP3010" s="173"/>
      <c r="AQ3010" s="178"/>
      <c r="AR3010" s="173"/>
      <c r="AS3010" s="173"/>
      <c r="AT3010" s="140"/>
      <c r="AX3010" s="140"/>
      <c r="BB3010" s="173"/>
      <c r="BC3010" s="173"/>
    </row>
    <row r="3011" spans="2:55" s="134" customFormat="1" x14ac:dyDescent="0.2">
      <c r="B3011" s="145"/>
      <c r="D3011" s="145"/>
      <c r="Z3011" s="177"/>
      <c r="AA3011" s="178"/>
      <c r="AB3011" s="139"/>
      <c r="AC3011" s="173"/>
      <c r="AD3011" s="177"/>
      <c r="AE3011" s="177"/>
      <c r="AF3011" s="139"/>
      <c r="AG3011" s="139"/>
      <c r="AH3011" s="177"/>
      <c r="AI3011" s="178"/>
      <c r="AJ3011" s="139"/>
      <c r="AK3011" s="173"/>
      <c r="AL3011" s="177"/>
      <c r="AM3011" s="178"/>
      <c r="AN3011" s="173"/>
      <c r="AO3011" s="173"/>
      <c r="AP3011" s="173"/>
      <c r="AQ3011" s="178"/>
      <c r="AR3011" s="173"/>
      <c r="AS3011" s="173"/>
      <c r="AT3011" s="140"/>
      <c r="AX3011" s="140"/>
      <c r="BB3011" s="173"/>
      <c r="BC3011" s="173"/>
    </row>
    <row r="3012" spans="2:55" s="134" customFormat="1" x14ac:dyDescent="0.2">
      <c r="B3012" s="145"/>
      <c r="D3012" s="145"/>
      <c r="Z3012" s="177"/>
      <c r="AA3012" s="178"/>
      <c r="AB3012" s="139"/>
      <c r="AC3012" s="173"/>
      <c r="AD3012" s="177"/>
      <c r="AE3012" s="177"/>
      <c r="AF3012" s="139"/>
      <c r="AG3012" s="139"/>
      <c r="AH3012" s="177"/>
      <c r="AI3012" s="178"/>
      <c r="AJ3012" s="139"/>
      <c r="AK3012" s="173"/>
      <c r="AL3012" s="177"/>
      <c r="AM3012" s="178"/>
      <c r="AN3012" s="173"/>
      <c r="AO3012" s="173"/>
      <c r="AP3012" s="173"/>
      <c r="AQ3012" s="178"/>
      <c r="AR3012" s="173"/>
      <c r="AS3012" s="173"/>
      <c r="AT3012" s="140"/>
      <c r="AX3012" s="140"/>
      <c r="BB3012" s="173"/>
      <c r="BC3012" s="173"/>
    </row>
    <row r="3013" spans="2:55" s="134" customFormat="1" x14ac:dyDescent="0.2">
      <c r="B3013" s="145"/>
      <c r="D3013" s="145"/>
      <c r="Z3013" s="177"/>
      <c r="AA3013" s="178"/>
      <c r="AB3013" s="139"/>
      <c r="AC3013" s="173"/>
      <c r="AD3013" s="177"/>
      <c r="AE3013" s="177"/>
      <c r="AF3013" s="139"/>
      <c r="AG3013" s="139"/>
      <c r="AH3013" s="177"/>
      <c r="AI3013" s="178"/>
      <c r="AJ3013" s="139"/>
      <c r="AK3013" s="173"/>
      <c r="AL3013" s="177"/>
      <c r="AM3013" s="178"/>
      <c r="AN3013" s="173"/>
      <c r="AO3013" s="173"/>
      <c r="AP3013" s="173"/>
      <c r="AQ3013" s="178"/>
      <c r="AR3013" s="173"/>
      <c r="AS3013" s="173"/>
      <c r="AT3013" s="140"/>
      <c r="AX3013" s="140"/>
      <c r="BB3013" s="173"/>
      <c r="BC3013" s="173"/>
    </row>
    <row r="3014" spans="2:55" s="134" customFormat="1" x14ac:dyDescent="0.2">
      <c r="B3014" s="145"/>
      <c r="D3014" s="145"/>
      <c r="Z3014" s="177"/>
      <c r="AA3014" s="178"/>
      <c r="AB3014" s="139"/>
      <c r="AC3014" s="173"/>
      <c r="AD3014" s="177"/>
      <c r="AE3014" s="177"/>
      <c r="AF3014" s="139"/>
      <c r="AG3014" s="139"/>
      <c r="AH3014" s="177"/>
      <c r="AI3014" s="178"/>
      <c r="AJ3014" s="139"/>
      <c r="AK3014" s="173"/>
      <c r="AL3014" s="177"/>
      <c r="AM3014" s="178"/>
      <c r="AN3014" s="173"/>
      <c r="AO3014" s="173"/>
      <c r="AP3014" s="173"/>
      <c r="AQ3014" s="178"/>
      <c r="AR3014" s="173"/>
      <c r="AS3014" s="173"/>
      <c r="AT3014" s="140"/>
      <c r="AX3014" s="140"/>
      <c r="BB3014" s="173"/>
      <c r="BC3014" s="173"/>
    </row>
    <row r="3015" spans="2:55" s="134" customFormat="1" x14ac:dyDescent="0.2">
      <c r="B3015" s="145"/>
      <c r="D3015" s="145"/>
      <c r="Z3015" s="177"/>
      <c r="AA3015" s="178"/>
      <c r="AB3015" s="139"/>
      <c r="AC3015" s="173"/>
      <c r="AD3015" s="177"/>
      <c r="AE3015" s="177"/>
      <c r="AF3015" s="139"/>
      <c r="AG3015" s="139"/>
      <c r="AH3015" s="177"/>
      <c r="AI3015" s="178"/>
      <c r="AJ3015" s="139"/>
      <c r="AK3015" s="173"/>
      <c r="AL3015" s="177"/>
      <c r="AM3015" s="178"/>
      <c r="AN3015" s="173"/>
      <c r="AO3015" s="173"/>
      <c r="AP3015" s="173"/>
      <c r="AQ3015" s="178"/>
      <c r="AR3015" s="173"/>
      <c r="AS3015" s="173"/>
      <c r="AT3015" s="140"/>
      <c r="AX3015" s="140"/>
      <c r="BB3015" s="173"/>
      <c r="BC3015" s="173"/>
    </row>
    <row r="3016" spans="2:55" s="134" customFormat="1" x14ac:dyDescent="0.2">
      <c r="B3016" s="145"/>
      <c r="D3016" s="145"/>
      <c r="Z3016" s="177"/>
      <c r="AA3016" s="178"/>
      <c r="AB3016" s="139"/>
      <c r="AC3016" s="173"/>
      <c r="AD3016" s="177"/>
      <c r="AE3016" s="177"/>
      <c r="AF3016" s="139"/>
      <c r="AG3016" s="139"/>
      <c r="AH3016" s="177"/>
      <c r="AI3016" s="178"/>
      <c r="AJ3016" s="139"/>
      <c r="AK3016" s="173"/>
      <c r="AL3016" s="177"/>
      <c r="AM3016" s="178"/>
      <c r="AN3016" s="173"/>
      <c r="AO3016" s="173"/>
      <c r="AP3016" s="173"/>
      <c r="AQ3016" s="178"/>
      <c r="AR3016" s="173"/>
      <c r="AS3016" s="173"/>
      <c r="AT3016" s="140"/>
      <c r="AX3016" s="140"/>
      <c r="BB3016" s="173"/>
      <c r="BC3016" s="173"/>
    </row>
    <row r="3017" spans="2:55" s="134" customFormat="1" x14ac:dyDescent="0.2">
      <c r="B3017" s="145"/>
      <c r="D3017" s="145"/>
      <c r="Z3017" s="177"/>
      <c r="AA3017" s="178"/>
      <c r="AB3017" s="139"/>
      <c r="AC3017" s="173"/>
      <c r="AD3017" s="177"/>
      <c r="AE3017" s="177"/>
      <c r="AF3017" s="139"/>
      <c r="AG3017" s="139"/>
      <c r="AH3017" s="177"/>
      <c r="AI3017" s="178"/>
      <c r="AJ3017" s="139"/>
      <c r="AK3017" s="173"/>
      <c r="AL3017" s="177"/>
      <c r="AM3017" s="178"/>
      <c r="AN3017" s="173"/>
      <c r="AO3017" s="173"/>
      <c r="AP3017" s="173"/>
      <c r="AQ3017" s="178"/>
      <c r="AR3017" s="173"/>
      <c r="AS3017" s="173"/>
      <c r="AT3017" s="140"/>
      <c r="AX3017" s="140"/>
      <c r="BB3017" s="173"/>
      <c r="BC3017" s="173"/>
    </row>
    <row r="3018" spans="2:55" s="134" customFormat="1" x14ac:dyDescent="0.2">
      <c r="B3018" s="145"/>
      <c r="D3018" s="145"/>
      <c r="Z3018" s="177"/>
      <c r="AA3018" s="178"/>
      <c r="AB3018" s="139"/>
      <c r="AC3018" s="173"/>
      <c r="AD3018" s="177"/>
      <c r="AE3018" s="177"/>
      <c r="AF3018" s="139"/>
      <c r="AG3018" s="139"/>
      <c r="AH3018" s="177"/>
      <c r="AI3018" s="178"/>
      <c r="AJ3018" s="139"/>
      <c r="AK3018" s="173"/>
      <c r="AL3018" s="177"/>
      <c r="AM3018" s="178"/>
      <c r="AN3018" s="173"/>
      <c r="AO3018" s="173"/>
      <c r="AP3018" s="173"/>
      <c r="AQ3018" s="178"/>
      <c r="AR3018" s="173"/>
      <c r="AS3018" s="173"/>
      <c r="AT3018" s="140"/>
      <c r="AX3018" s="140"/>
      <c r="BB3018" s="173"/>
      <c r="BC3018" s="173"/>
    </row>
    <row r="3019" spans="2:55" s="134" customFormat="1" x14ac:dyDescent="0.2">
      <c r="B3019" s="145"/>
      <c r="D3019" s="145"/>
      <c r="Z3019" s="177"/>
      <c r="AA3019" s="178"/>
      <c r="AB3019" s="139"/>
      <c r="AC3019" s="173"/>
      <c r="AD3019" s="177"/>
      <c r="AE3019" s="177"/>
      <c r="AF3019" s="139"/>
      <c r="AG3019" s="139"/>
      <c r="AH3019" s="177"/>
      <c r="AI3019" s="178"/>
      <c r="AJ3019" s="139"/>
      <c r="AK3019" s="173"/>
      <c r="AL3019" s="177"/>
      <c r="AM3019" s="178"/>
      <c r="AN3019" s="173"/>
      <c r="AO3019" s="173"/>
      <c r="AP3019" s="173"/>
      <c r="AQ3019" s="178"/>
      <c r="AR3019" s="173"/>
      <c r="AS3019" s="173"/>
      <c r="AT3019" s="140"/>
      <c r="AX3019" s="140"/>
      <c r="BB3019" s="173"/>
      <c r="BC3019" s="173"/>
    </row>
    <row r="3020" spans="2:55" s="134" customFormat="1" x14ac:dyDescent="0.2">
      <c r="B3020" s="145"/>
      <c r="D3020" s="145"/>
      <c r="Z3020" s="177"/>
      <c r="AA3020" s="178"/>
      <c r="AB3020" s="139"/>
      <c r="AC3020" s="173"/>
      <c r="AD3020" s="177"/>
      <c r="AE3020" s="177"/>
      <c r="AF3020" s="139"/>
      <c r="AG3020" s="139"/>
      <c r="AH3020" s="177"/>
      <c r="AI3020" s="178"/>
      <c r="AJ3020" s="139"/>
      <c r="AK3020" s="173"/>
      <c r="AL3020" s="177"/>
      <c r="AM3020" s="178"/>
      <c r="AN3020" s="173"/>
      <c r="AO3020" s="173"/>
      <c r="AP3020" s="173"/>
      <c r="AQ3020" s="178"/>
      <c r="AR3020" s="173"/>
      <c r="AS3020" s="173"/>
      <c r="AT3020" s="140"/>
      <c r="AX3020" s="140"/>
      <c r="BB3020" s="173"/>
      <c r="BC3020" s="173"/>
    </row>
    <row r="3021" spans="2:55" s="134" customFormat="1" x14ac:dyDescent="0.2">
      <c r="B3021" s="145"/>
      <c r="D3021" s="145"/>
      <c r="Z3021" s="177"/>
      <c r="AA3021" s="178"/>
      <c r="AB3021" s="139"/>
      <c r="AC3021" s="173"/>
      <c r="AD3021" s="177"/>
      <c r="AE3021" s="177"/>
      <c r="AF3021" s="139"/>
      <c r="AG3021" s="139"/>
      <c r="AH3021" s="177"/>
      <c r="AI3021" s="178"/>
      <c r="AJ3021" s="139"/>
      <c r="AK3021" s="173"/>
      <c r="AL3021" s="177"/>
      <c r="AM3021" s="178"/>
      <c r="AN3021" s="173"/>
      <c r="AO3021" s="173"/>
      <c r="AP3021" s="173"/>
      <c r="AQ3021" s="178"/>
      <c r="AR3021" s="173"/>
      <c r="AS3021" s="173"/>
      <c r="AT3021" s="140"/>
      <c r="AX3021" s="140"/>
      <c r="BB3021" s="173"/>
      <c r="BC3021" s="173"/>
    </row>
    <row r="3022" spans="2:55" s="134" customFormat="1" x14ac:dyDescent="0.2">
      <c r="B3022" s="145"/>
      <c r="D3022" s="145"/>
      <c r="Z3022" s="177"/>
      <c r="AA3022" s="178"/>
      <c r="AB3022" s="139"/>
      <c r="AC3022" s="173"/>
      <c r="AD3022" s="177"/>
      <c r="AE3022" s="177"/>
      <c r="AF3022" s="139"/>
      <c r="AG3022" s="139"/>
      <c r="AH3022" s="177"/>
      <c r="AI3022" s="178"/>
      <c r="AJ3022" s="139"/>
      <c r="AK3022" s="173"/>
      <c r="AL3022" s="177"/>
      <c r="AM3022" s="178"/>
      <c r="AN3022" s="173"/>
      <c r="AO3022" s="173"/>
      <c r="AP3022" s="173"/>
      <c r="AQ3022" s="178"/>
      <c r="AR3022" s="173"/>
      <c r="AS3022" s="173"/>
      <c r="AT3022" s="140"/>
      <c r="AX3022" s="140"/>
      <c r="BB3022" s="173"/>
      <c r="BC3022" s="173"/>
    </row>
    <row r="3023" spans="2:55" s="134" customFormat="1" x14ac:dyDescent="0.2">
      <c r="B3023" s="145"/>
      <c r="D3023" s="145"/>
      <c r="Z3023" s="177"/>
      <c r="AA3023" s="178"/>
      <c r="AB3023" s="139"/>
      <c r="AC3023" s="173"/>
      <c r="AD3023" s="177"/>
      <c r="AE3023" s="177"/>
      <c r="AF3023" s="139"/>
      <c r="AG3023" s="139"/>
      <c r="AH3023" s="177"/>
      <c r="AI3023" s="178"/>
      <c r="AJ3023" s="139"/>
      <c r="AK3023" s="173"/>
      <c r="AL3023" s="177"/>
      <c r="AM3023" s="178"/>
      <c r="AN3023" s="173"/>
      <c r="AO3023" s="173"/>
      <c r="AP3023" s="173"/>
      <c r="AQ3023" s="178"/>
      <c r="AR3023" s="173"/>
      <c r="AS3023" s="173"/>
      <c r="AT3023" s="140"/>
      <c r="AX3023" s="140"/>
      <c r="BB3023" s="173"/>
      <c r="BC3023" s="173"/>
    </row>
    <row r="3024" spans="2:55" s="134" customFormat="1" x14ac:dyDescent="0.2">
      <c r="B3024" s="145"/>
      <c r="D3024" s="145"/>
      <c r="Z3024" s="177"/>
      <c r="AA3024" s="178"/>
      <c r="AB3024" s="139"/>
      <c r="AC3024" s="173"/>
      <c r="AD3024" s="177"/>
      <c r="AE3024" s="177"/>
      <c r="AF3024" s="139"/>
      <c r="AG3024" s="139"/>
      <c r="AH3024" s="177"/>
      <c r="AI3024" s="178"/>
      <c r="AJ3024" s="139"/>
      <c r="AK3024" s="173"/>
      <c r="AL3024" s="177"/>
      <c r="AM3024" s="178"/>
      <c r="AN3024" s="173"/>
      <c r="AO3024" s="173"/>
      <c r="AP3024" s="173"/>
      <c r="AQ3024" s="178"/>
      <c r="AR3024" s="173"/>
      <c r="AS3024" s="173"/>
      <c r="AT3024" s="140"/>
      <c r="AX3024" s="140"/>
      <c r="BB3024" s="173"/>
      <c r="BC3024" s="173"/>
    </row>
    <row r="3025" spans="2:55" s="134" customFormat="1" x14ac:dyDescent="0.2">
      <c r="B3025" s="145"/>
      <c r="D3025" s="145"/>
      <c r="Z3025" s="177"/>
      <c r="AA3025" s="178"/>
      <c r="AB3025" s="139"/>
      <c r="AC3025" s="173"/>
      <c r="AD3025" s="177"/>
      <c r="AE3025" s="177"/>
      <c r="AF3025" s="139"/>
      <c r="AG3025" s="139"/>
      <c r="AH3025" s="177"/>
      <c r="AI3025" s="178"/>
      <c r="AJ3025" s="139"/>
      <c r="AK3025" s="173"/>
      <c r="AL3025" s="177"/>
      <c r="AM3025" s="178"/>
      <c r="AN3025" s="173"/>
      <c r="AO3025" s="173"/>
      <c r="AP3025" s="173"/>
      <c r="AQ3025" s="178"/>
      <c r="AR3025" s="173"/>
      <c r="AS3025" s="173"/>
      <c r="AT3025" s="140"/>
      <c r="AX3025" s="140"/>
      <c r="BB3025" s="173"/>
      <c r="BC3025" s="173"/>
    </row>
    <row r="3026" spans="2:55" s="134" customFormat="1" x14ac:dyDescent="0.2">
      <c r="B3026" s="145"/>
      <c r="D3026" s="145"/>
      <c r="Z3026" s="177"/>
      <c r="AA3026" s="178"/>
      <c r="AB3026" s="139"/>
      <c r="AC3026" s="173"/>
      <c r="AD3026" s="177"/>
      <c r="AE3026" s="177"/>
      <c r="AF3026" s="139"/>
      <c r="AG3026" s="139"/>
      <c r="AH3026" s="177"/>
      <c r="AI3026" s="178"/>
      <c r="AJ3026" s="139"/>
      <c r="AK3026" s="173"/>
      <c r="AL3026" s="177"/>
      <c r="AM3026" s="178"/>
      <c r="AN3026" s="173"/>
      <c r="AO3026" s="173"/>
      <c r="AP3026" s="173"/>
      <c r="AQ3026" s="178"/>
      <c r="AR3026" s="173"/>
      <c r="AS3026" s="173"/>
      <c r="AT3026" s="140"/>
      <c r="AX3026" s="140"/>
      <c r="BB3026" s="173"/>
      <c r="BC3026" s="173"/>
    </row>
    <row r="3027" spans="2:55" s="134" customFormat="1" x14ac:dyDescent="0.2">
      <c r="B3027" s="145"/>
      <c r="D3027" s="145"/>
      <c r="Z3027" s="177"/>
      <c r="AA3027" s="178"/>
      <c r="AB3027" s="139"/>
      <c r="AC3027" s="173"/>
      <c r="AD3027" s="177"/>
      <c r="AE3027" s="177"/>
      <c r="AF3027" s="139"/>
      <c r="AG3027" s="139"/>
      <c r="AH3027" s="177"/>
      <c r="AI3027" s="178"/>
      <c r="AJ3027" s="139"/>
      <c r="AK3027" s="173"/>
      <c r="AL3027" s="177"/>
      <c r="AM3027" s="178"/>
      <c r="AN3027" s="173"/>
      <c r="AO3027" s="173"/>
      <c r="AP3027" s="173"/>
      <c r="AQ3027" s="178"/>
      <c r="AR3027" s="173"/>
      <c r="AS3027" s="173"/>
      <c r="AT3027" s="140"/>
      <c r="AX3027" s="140"/>
      <c r="BB3027" s="173"/>
      <c r="BC3027" s="173"/>
    </row>
    <row r="3028" spans="2:55" s="134" customFormat="1" x14ac:dyDescent="0.2">
      <c r="B3028" s="145"/>
      <c r="D3028" s="145"/>
      <c r="Z3028" s="177"/>
      <c r="AA3028" s="178"/>
      <c r="AB3028" s="139"/>
      <c r="AC3028" s="173"/>
      <c r="AD3028" s="177"/>
      <c r="AE3028" s="177"/>
      <c r="AF3028" s="139"/>
      <c r="AG3028" s="139"/>
      <c r="AH3028" s="177"/>
      <c r="AI3028" s="178"/>
      <c r="AJ3028" s="139"/>
      <c r="AK3028" s="173"/>
      <c r="AL3028" s="177"/>
      <c r="AM3028" s="178"/>
      <c r="AN3028" s="173"/>
      <c r="AO3028" s="173"/>
      <c r="AP3028" s="173"/>
      <c r="AQ3028" s="178"/>
      <c r="AR3028" s="173"/>
      <c r="AS3028" s="173"/>
      <c r="AT3028" s="140"/>
      <c r="AX3028" s="140"/>
      <c r="BB3028" s="173"/>
      <c r="BC3028" s="173"/>
    </row>
    <row r="3029" spans="2:55" s="134" customFormat="1" x14ac:dyDescent="0.2">
      <c r="B3029" s="145"/>
      <c r="D3029" s="145"/>
      <c r="Z3029" s="177"/>
      <c r="AA3029" s="178"/>
      <c r="AB3029" s="139"/>
      <c r="AC3029" s="173"/>
      <c r="AD3029" s="177"/>
      <c r="AE3029" s="177"/>
      <c r="AF3029" s="139"/>
      <c r="AG3029" s="139"/>
      <c r="AH3029" s="177"/>
      <c r="AI3029" s="178"/>
      <c r="AJ3029" s="139"/>
      <c r="AK3029" s="173"/>
      <c r="AL3029" s="177"/>
      <c r="AM3029" s="178"/>
      <c r="AN3029" s="173"/>
      <c r="AO3029" s="173"/>
      <c r="AP3029" s="173"/>
      <c r="AQ3029" s="178"/>
      <c r="AR3029" s="173"/>
      <c r="AS3029" s="173"/>
      <c r="AT3029" s="140"/>
      <c r="AX3029" s="140"/>
      <c r="BB3029" s="173"/>
      <c r="BC3029" s="173"/>
    </row>
    <row r="3030" spans="2:55" s="134" customFormat="1" x14ac:dyDescent="0.2">
      <c r="B3030" s="145"/>
      <c r="D3030" s="145"/>
      <c r="Z3030" s="177"/>
      <c r="AA3030" s="178"/>
      <c r="AB3030" s="139"/>
      <c r="AC3030" s="173"/>
      <c r="AD3030" s="177"/>
      <c r="AE3030" s="177"/>
      <c r="AF3030" s="139"/>
      <c r="AG3030" s="139"/>
      <c r="AH3030" s="177"/>
      <c r="AI3030" s="178"/>
      <c r="AJ3030" s="139"/>
      <c r="AK3030" s="173"/>
      <c r="AL3030" s="177"/>
      <c r="AM3030" s="178"/>
      <c r="AN3030" s="173"/>
      <c r="AO3030" s="173"/>
      <c r="AP3030" s="173"/>
      <c r="AQ3030" s="178"/>
      <c r="AR3030" s="173"/>
      <c r="AS3030" s="173"/>
      <c r="AT3030" s="140"/>
      <c r="AX3030" s="140"/>
      <c r="BB3030" s="173"/>
      <c r="BC3030" s="173"/>
    </row>
    <row r="3031" spans="2:55" s="134" customFormat="1" x14ac:dyDescent="0.2">
      <c r="B3031" s="145"/>
      <c r="D3031" s="145"/>
      <c r="Z3031" s="177"/>
      <c r="AA3031" s="178"/>
      <c r="AB3031" s="139"/>
      <c r="AC3031" s="173"/>
      <c r="AD3031" s="177"/>
      <c r="AE3031" s="177"/>
      <c r="AF3031" s="139"/>
      <c r="AG3031" s="139"/>
      <c r="AH3031" s="177"/>
      <c r="AI3031" s="178"/>
      <c r="AJ3031" s="139"/>
      <c r="AK3031" s="173"/>
      <c r="AL3031" s="177"/>
      <c r="AM3031" s="178"/>
      <c r="AN3031" s="173"/>
      <c r="AO3031" s="173"/>
      <c r="AP3031" s="173"/>
      <c r="AQ3031" s="178"/>
      <c r="AR3031" s="173"/>
      <c r="AS3031" s="173"/>
      <c r="AT3031" s="140"/>
      <c r="AX3031" s="140"/>
      <c r="BB3031" s="173"/>
      <c r="BC3031" s="173"/>
    </row>
    <row r="3032" spans="2:55" s="134" customFormat="1" x14ac:dyDescent="0.2">
      <c r="B3032" s="145"/>
      <c r="D3032" s="145"/>
      <c r="Z3032" s="177"/>
      <c r="AA3032" s="178"/>
      <c r="AB3032" s="139"/>
      <c r="AC3032" s="173"/>
      <c r="AD3032" s="177"/>
      <c r="AE3032" s="177"/>
      <c r="AF3032" s="139"/>
      <c r="AG3032" s="139"/>
      <c r="AH3032" s="177"/>
      <c r="AI3032" s="178"/>
      <c r="AJ3032" s="139"/>
      <c r="AK3032" s="173"/>
      <c r="AL3032" s="177"/>
      <c r="AM3032" s="178"/>
      <c r="AN3032" s="173"/>
      <c r="AO3032" s="173"/>
      <c r="AP3032" s="173"/>
      <c r="AQ3032" s="178"/>
      <c r="AR3032" s="173"/>
      <c r="AS3032" s="173"/>
      <c r="AT3032" s="140"/>
      <c r="AX3032" s="140"/>
      <c r="BB3032" s="173"/>
      <c r="BC3032" s="173"/>
    </row>
    <row r="3033" spans="2:55" s="134" customFormat="1" x14ac:dyDescent="0.2">
      <c r="B3033" s="145"/>
      <c r="D3033" s="145"/>
      <c r="Z3033" s="177"/>
      <c r="AA3033" s="178"/>
      <c r="AB3033" s="139"/>
      <c r="AC3033" s="173"/>
      <c r="AD3033" s="177"/>
      <c r="AE3033" s="177"/>
      <c r="AF3033" s="139"/>
      <c r="AG3033" s="139"/>
      <c r="AH3033" s="177"/>
      <c r="AI3033" s="178"/>
      <c r="AJ3033" s="139"/>
      <c r="AK3033" s="173"/>
      <c r="AL3033" s="177"/>
      <c r="AM3033" s="178"/>
      <c r="AN3033" s="173"/>
      <c r="AO3033" s="173"/>
      <c r="AP3033" s="173"/>
      <c r="AQ3033" s="178"/>
      <c r="AR3033" s="173"/>
      <c r="AS3033" s="173"/>
      <c r="AT3033" s="140"/>
      <c r="AX3033" s="140"/>
      <c r="BB3033" s="173"/>
      <c r="BC3033" s="173"/>
    </row>
    <row r="3034" spans="2:55" s="134" customFormat="1" x14ac:dyDescent="0.2">
      <c r="B3034" s="145"/>
      <c r="D3034" s="145"/>
      <c r="Z3034" s="177"/>
      <c r="AA3034" s="178"/>
      <c r="AB3034" s="139"/>
      <c r="AC3034" s="173"/>
      <c r="AD3034" s="177"/>
      <c r="AE3034" s="177"/>
      <c r="AF3034" s="139"/>
      <c r="AG3034" s="139"/>
      <c r="AH3034" s="177"/>
      <c r="AI3034" s="178"/>
      <c r="AJ3034" s="139"/>
      <c r="AK3034" s="173"/>
      <c r="AL3034" s="177"/>
      <c r="AM3034" s="178"/>
      <c r="AN3034" s="173"/>
      <c r="AO3034" s="173"/>
      <c r="AP3034" s="173"/>
      <c r="AQ3034" s="178"/>
      <c r="AR3034" s="173"/>
      <c r="AS3034" s="173"/>
      <c r="AT3034" s="140"/>
      <c r="AX3034" s="140"/>
      <c r="BB3034" s="173"/>
      <c r="BC3034" s="173"/>
    </row>
    <row r="3035" spans="2:55" s="134" customFormat="1" x14ac:dyDescent="0.2">
      <c r="B3035" s="145"/>
      <c r="D3035" s="145"/>
      <c r="Z3035" s="177"/>
      <c r="AA3035" s="178"/>
      <c r="AB3035" s="139"/>
      <c r="AC3035" s="173"/>
      <c r="AD3035" s="177"/>
      <c r="AE3035" s="177"/>
      <c r="AF3035" s="139"/>
      <c r="AG3035" s="139"/>
      <c r="AH3035" s="177"/>
      <c r="AI3035" s="178"/>
      <c r="AJ3035" s="139"/>
      <c r="AK3035" s="173"/>
      <c r="AL3035" s="177"/>
      <c r="AM3035" s="178"/>
      <c r="AN3035" s="173"/>
      <c r="AO3035" s="173"/>
      <c r="AP3035" s="173"/>
      <c r="AQ3035" s="178"/>
      <c r="AR3035" s="173"/>
      <c r="AS3035" s="173"/>
      <c r="AT3035" s="140"/>
      <c r="AX3035" s="140"/>
      <c r="BB3035" s="173"/>
      <c r="BC3035" s="173"/>
    </row>
    <row r="3036" spans="2:55" s="134" customFormat="1" x14ac:dyDescent="0.2">
      <c r="B3036" s="145"/>
      <c r="D3036" s="145"/>
      <c r="Z3036" s="177"/>
      <c r="AA3036" s="178"/>
      <c r="AB3036" s="139"/>
      <c r="AC3036" s="173"/>
      <c r="AD3036" s="177"/>
      <c r="AE3036" s="177"/>
      <c r="AF3036" s="139"/>
      <c r="AG3036" s="139"/>
      <c r="AH3036" s="177"/>
      <c r="AI3036" s="178"/>
      <c r="AJ3036" s="139"/>
      <c r="AK3036" s="173"/>
      <c r="AL3036" s="177"/>
      <c r="AM3036" s="178"/>
      <c r="AN3036" s="173"/>
      <c r="AO3036" s="173"/>
      <c r="AP3036" s="173"/>
      <c r="AQ3036" s="178"/>
      <c r="AR3036" s="173"/>
      <c r="AS3036" s="173"/>
      <c r="AT3036" s="140"/>
      <c r="AX3036" s="140"/>
      <c r="BB3036" s="173"/>
      <c r="BC3036" s="173"/>
    </row>
    <row r="3037" spans="2:55" s="134" customFormat="1" x14ac:dyDescent="0.2">
      <c r="B3037" s="145"/>
      <c r="D3037" s="145"/>
      <c r="Z3037" s="177"/>
      <c r="AA3037" s="178"/>
      <c r="AB3037" s="139"/>
      <c r="AC3037" s="173"/>
      <c r="AD3037" s="177"/>
      <c r="AE3037" s="177"/>
      <c r="AF3037" s="139"/>
      <c r="AG3037" s="139"/>
      <c r="AH3037" s="177"/>
      <c r="AI3037" s="178"/>
      <c r="AJ3037" s="139"/>
      <c r="AK3037" s="173"/>
      <c r="AL3037" s="177"/>
      <c r="AM3037" s="178"/>
      <c r="AN3037" s="173"/>
      <c r="AO3037" s="173"/>
      <c r="AP3037" s="173"/>
      <c r="AQ3037" s="178"/>
      <c r="AR3037" s="173"/>
      <c r="AS3037" s="173"/>
      <c r="AT3037" s="140"/>
      <c r="AX3037" s="140"/>
      <c r="BB3037" s="173"/>
      <c r="BC3037" s="173"/>
    </row>
    <row r="3038" spans="2:55" s="134" customFormat="1" x14ac:dyDescent="0.2">
      <c r="B3038" s="145"/>
      <c r="D3038" s="145"/>
      <c r="Z3038" s="177"/>
      <c r="AA3038" s="178"/>
      <c r="AB3038" s="139"/>
      <c r="AC3038" s="173"/>
      <c r="AD3038" s="177"/>
      <c r="AE3038" s="177"/>
      <c r="AF3038" s="139"/>
      <c r="AG3038" s="139"/>
      <c r="AH3038" s="177"/>
      <c r="AI3038" s="178"/>
      <c r="AJ3038" s="139"/>
      <c r="AK3038" s="173"/>
      <c r="AL3038" s="177"/>
      <c r="AM3038" s="178"/>
      <c r="AN3038" s="173"/>
      <c r="AO3038" s="173"/>
      <c r="AP3038" s="173"/>
      <c r="AQ3038" s="178"/>
      <c r="AR3038" s="173"/>
      <c r="AS3038" s="173"/>
      <c r="AT3038" s="140"/>
      <c r="AX3038" s="140"/>
      <c r="BB3038" s="173"/>
      <c r="BC3038" s="173"/>
    </row>
    <row r="3039" spans="2:55" s="134" customFormat="1" x14ac:dyDescent="0.2">
      <c r="B3039" s="145"/>
      <c r="D3039" s="145"/>
      <c r="Z3039" s="177"/>
      <c r="AA3039" s="178"/>
      <c r="AB3039" s="139"/>
      <c r="AC3039" s="173"/>
      <c r="AD3039" s="177"/>
      <c r="AE3039" s="177"/>
      <c r="AF3039" s="139"/>
      <c r="AG3039" s="139"/>
      <c r="AH3039" s="177"/>
      <c r="AI3039" s="178"/>
      <c r="AJ3039" s="139"/>
      <c r="AK3039" s="173"/>
      <c r="AL3039" s="177"/>
      <c r="AM3039" s="178"/>
      <c r="AN3039" s="173"/>
      <c r="AO3039" s="173"/>
      <c r="AP3039" s="173"/>
      <c r="AQ3039" s="178"/>
      <c r="AR3039" s="173"/>
      <c r="AS3039" s="173"/>
      <c r="AT3039" s="140"/>
      <c r="AX3039" s="140"/>
      <c r="BB3039" s="173"/>
      <c r="BC3039" s="173"/>
    </row>
    <row r="3040" spans="2:55" s="134" customFormat="1" x14ac:dyDescent="0.2">
      <c r="B3040" s="145"/>
      <c r="D3040" s="145"/>
      <c r="Z3040" s="177"/>
      <c r="AA3040" s="178"/>
      <c r="AB3040" s="139"/>
      <c r="AC3040" s="173"/>
      <c r="AD3040" s="177"/>
      <c r="AE3040" s="177"/>
      <c r="AF3040" s="139"/>
      <c r="AG3040" s="139"/>
      <c r="AH3040" s="177"/>
      <c r="AI3040" s="178"/>
      <c r="AJ3040" s="139"/>
      <c r="AK3040" s="173"/>
      <c r="AL3040" s="177"/>
      <c r="AM3040" s="178"/>
      <c r="AN3040" s="173"/>
      <c r="AO3040" s="173"/>
      <c r="AP3040" s="173"/>
      <c r="AQ3040" s="178"/>
      <c r="AR3040" s="173"/>
      <c r="AS3040" s="173"/>
      <c r="AT3040" s="140"/>
      <c r="AX3040" s="140"/>
      <c r="BB3040" s="173"/>
      <c r="BC3040" s="173"/>
    </row>
    <row r="3041" spans="2:55" s="134" customFormat="1" x14ac:dyDescent="0.2">
      <c r="B3041" s="145"/>
      <c r="D3041" s="145"/>
      <c r="Z3041" s="177"/>
      <c r="AA3041" s="178"/>
      <c r="AB3041" s="139"/>
      <c r="AC3041" s="173"/>
      <c r="AD3041" s="177"/>
      <c r="AE3041" s="177"/>
      <c r="AF3041" s="139"/>
      <c r="AG3041" s="139"/>
      <c r="AH3041" s="177"/>
      <c r="AI3041" s="178"/>
      <c r="AJ3041" s="139"/>
      <c r="AK3041" s="173"/>
      <c r="AL3041" s="177"/>
      <c r="AM3041" s="178"/>
      <c r="AN3041" s="173"/>
      <c r="AO3041" s="173"/>
      <c r="AP3041" s="173"/>
      <c r="AQ3041" s="178"/>
      <c r="AR3041" s="173"/>
      <c r="AS3041" s="173"/>
      <c r="AT3041" s="140"/>
      <c r="AX3041" s="140"/>
      <c r="BB3041" s="173"/>
      <c r="BC3041" s="173"/>
    </row>
    <row r="3042" spans="2:55" s="134" customFormat="1" x14ac:dyDescent="0.2">
      <c r="B3042" s="145"/>
      <c r="D3042" s="145"/>
      <c r="Z3042" s="177"/>
      <c r="AA3042" s="178"/>
      <c r="AB3042" s="139"/>
      <c r="AC3042" s="173"/>
      <c r="AD3042" s="177"/>
      <c r="AE3042" s="177"/>
      <c r="AF3042" s="139"/>
      <c r="AG3042" s="139"/>
      <c r="AH3042" s="177"/>
      <c r="AI3042" s="178"/>
      <c r="AJ3042" s="139"/>
      <c r="AK3042" s="173"/>
      <c r="AL3042" s="177"/>
      <c r="AM3042" s="178"/>
      <c r="AN3042" s="173"/>
      <c r="AO3042" s="173"/>
      <c r="AP3042" s="173"/>
      <c r="AQ3042" s="178"/>
      <c r="AR3042" s="173"/>
      <c r="AS3042" s="173"/>
      <c r="AT3042" s="140"/>
      <c r="AX3042" s="140"/>
      <c r="BB3042" s="173"/>
      <c r="BC3042" s="173"/>
    </row>
    <row r="3043" spans="2:55" s="134" customFormat="1" x14ac:dyDescent="0.2">
      <c r="B3043" s="145"/>
      <c r="D3043" s="145"/>
      <c r="Z3043" s="177"/>
      <c r="AA3043" s="178"/>
      <c r="AB3043" s="139"/>
      <c r="AC3043" s="173"/>
      <c r="AD3043" s="177"/>
      <c r="AE3043" s="177"/>
      <c r="AF3043" s="139"/>
      <c r="AG3043" s="139"/>
      <c r="AH3043" s="177"/>
      <c r="AI3043" s="178"/>
      <c r="AJ3043" s="139"/>
      <c r="AK3043" s="173"/>
      <c r="AL3043" s="177"/>
      <c r="AM3043" s="178"/>
      <c r="AN3043" s="173"/>
      <c r="AO3043" s="173"/>
      <c r="AP3043" s="173"/>
      <c r="AQ3043" s="178"/>
      <c r="AR3043" s="173"/>
      <c r="AS3043" s="173"/>
      <c r="AT3043" s="140"/>
      <c r="AX3043" s="140"/>
      <c r="BB3043" s="173"/>
      <c r="BC3043" s="173"/>
    </row>
    <row r="3044" spans="2:55" s="134" customFormat="1" x14ac:dyDescent="0.2">
      <c r="B3044" s="145"/>
      <c r="D3044" s="145"/>
      <c r="Z3044" s="177"/>
      <c r="AA3044" s="178"/>
      <c r="AB3044" s="139"/>
      <c r="AC3044" s="173"/>
      <c r="AD3044" s="177"/>
      <c r="AE3044" s="177"/>
      <c r="AF3044" s="139"/>
      <c r="AG3044" s="139"/>
      <c r="AH3044" s="177"/>
      <c r="AI3044" s="178"/>
      <c r="AJ3044" s="139"/>
      <c r="AK3044" s="173"/>
      <c r="AL3044" s="177"/>
      <c r="AM3044" s="178"/>
      <c r="AN3044" s="173"/>
      <c r="AO3044" s="173"/>
      <c r="AP3044" s="173"/>
      <c r="AQ3044" s="178"/>
      <c r="AR3044" s="173"/>
      <c r="AS3044" s="173"/>
      <c r="AT3044" s="140"/>
      <c r="AX3044" s="140"/>
      <c r="BB3044" s="173"/>
      <c r="BC3044" s="173"/>
    </row>
    <row r="3045" spans="2:55" s="134" customFormat="1" x14ac:dyDescent="0.2">
      <c r="B3045" s="145"/>
      <c r="D3045" s="145"/>
      <c r="Z3045" s="177"/>
      <c r="AA3045" s="178"/>
      <c r="AB3045" s="139"/>
      <c r="AC3045" s="173"/>
      <c r="AD3045" s="177"/>
      <c r="AE3045" s="177"/>
      <c r="AF3045" s="139"/>
      <c r="AG3045" s="139"/>
      <c r="AH3045" s="177"/>
      <c r="AI3045" s="178"/>
      <c r="AJ3045" s="139"/>
      <c r="AK3045" s="173"/>
      <c r="AL3045" s="177"/>
      <c r="AM3045" s="178"/>
      <c r="AN3045" s="173"/>
      <c r="AO3045" s="173"/>
      <c r="AP3045" s="173"/>
      <c r="AQ3045" s="178"/>
      <c r="AR3045" s="173"/>
      <c r="AS3045" s="173"/>
      <c r="AT3045" s="140"/>
      <c r="AX3045" s="140"/>
      <c r="BB3045" s="173"/>
      <c r="BC3045" s="173"/>
    </row>
    <row r="3046" spans="2:55" s="134" customFormat="1" x14ac:dyDescent="0.2">
      <c r="B3046" s="145"/>
      <c r="D3046" s="145"/>
      <c r="Z3046" s="177"/>
      <c r="AA3046" s="178"/>
      <c r="AB3046" s="139"/>
      <c r="AC3046" s="173"/>
      <c r="AD3046" s="177"/>
      <c r="AE3046" s="177"/>
      <c r="AF3046" s="139"/>
      <c r="AG3046" s="139"/>
      <c r="AH3046" s="177"/>
      <c r="AI3046" s="178"/>
      <c r="AJ3046" s="139"/>
      <c r="AK3046" s="173"/>
      <c r="AL3046" s="177"/>
      <c r="AM3046" s="178"/>
      <c r="AN3046" s="173"/>
      <c r="AO3046" s="173"/>
      <c r="AP3046" s="173"/>
      <c r="AQ3046" s="178"/>
      <c r="AR3046" s="173"/>
      <c r="AS3046" s="173"/>
      <c r="AT3046" s="140"/>
      <c r="AX3046" s="140"/>
      <c r="BB3046" s="173"/>
      <c r="BC3046" s="173"/>
    </row>
    <row r="3047" spans="2:55" s="134" customFormat="1" x14ac:dyDescent="0.2">
      <c r="B3047" s="145"/>
      <c r="D3047" s="145"/>
      <c r="Z3047" s="177"/>
      <c r="AA3047" s="178"/>
      <c r="AB3047" s="139"/>
      <c r="AC3047" s="173"/>
      <c r="AD3047" s="177"/>
      <c r="AE3047" s="177"/>
      <c r="AF3047" s="139"/>
      <c r="AG3047" s="139"/>
      <c r="AH3047" s="177"/>
      <c r="AI3047" s="178"/>
      <c r="AJ3047" s="139"/>
      <c r="AK3047" s="173"/>
      <c r="AL3047" s="177"/>
      <c r="AM3047" s="178"/>
      <c r="AN3047" s="173"/>
      <c r="AO3047" s="173"/>
      <c r="AP3047" s="173"/>
      <c r="AQ3047" s="178"/>
      <c r="AR3047" s="173"/>
      <c r="AS3047" s="173"/>
      <c r="AT3047" s="140"/>
      <c r="AX3047" s="140"/>
      <c r="BB3047" s="173"/>
      <c r="BC3047" s="173"/>
    </row>
    <row r="3048" spans="2:55" s="134" customFormat="1" x14ac:dyDescent="0.2">
      <c r="B3048" s="145"/>
      <c r="D3048" s="145"/>
      <c r="Z3048" s="177"/>
      <c r="AA3048" s="178"/>
      <c r="AB3048" s="139"/>
      <c r="AC3048" s="173"/>
      <c r="AD3048" s="177"/>
      <c r="AE3048" s="177"/>
      <c r="AF3048" s="139"/>
      <c r="AG3048" s="139"/>
      <c r="AH3048" s="177"/>
      <c r="AI3048" s="178"/>
      <c r="AJ3048" s="139"/>
      <c r="AK3048" s="173"/>
      <c r="AL3048" s="177"/>
      <c r="AM3048" s="178"/>
      <c r="AN3048" s="173"/>
      <c r="AO3048" s="173"/>
      <c r="AP3048" s="173"/>
      <c r="AQ3048" s="178"/>
      <c r="AR3048" s="173"/>
      <c r="AS3048" s="173"/>
      <c r="AT3048" s="140"/>
      <c r="AX3048" s="140"/>
      <c r="BB3048" s="173"/>
      <c r="BC3048" s="173"/>
    </row>
    <row r="3049" spans="2:55" s="134" customFormat="1" x14ac:dyDescent="0.2">
      <c r="B3049" s="145"/>
      <c r="D3049" s="145"/>
      <c r="Z3049" s="177"/>
      <c r="AA3049" s="178"/>
      <c r="AB3049" s="139"/>
      <c r="AC3049" s="173"/>
      <c r="AD3049" s="177"/>
      <c r="AE3049" s="177"/>
      <c r="AF3049" s="139"/>
      <c r="AG3049" s="139"/>
      <c r="AH3049" s="177"/>
      <c r="AI3049" s="178"/>
      <c r="AJ3049" s="139"/>
      <c r="AK3049" s="173"/>
      <c r="AL3049" s="177"/>
      <c r="AM3049" s="178"/>
      <c r="AN3049" s="173"/>
      <c r="AO3049" s="173"/>
      <c r="AP3049" s="173"/>
      <c r="AQ3049" s="178"/>
      <c r="AR3049" s="173"/>
      <c r="AS3049" s="173"/>
      <c r="AT3049" s="140"/>
      <c r="AX3049" s="140"/>
      <c r="BB3049" s="173"/>
      <c r="BC3049" s="173"/>
    </row>
    <row r="3050" spans="2:55" s="134" customFormat="1" x14ac:dyDescent="0.2">
      <c r="B3050" s="145"/>
      <c r="D3050" s="145"/>
      <c r="Z3050" s="177"/>
      <c r="AA3050" s="178"/>
      <c r="AB3050" s="139"/>
      <c r="AC3050" s="173"/>
      <c r="AD3050" s="177"/>
      <c r="AE3050" s="177"/>
      <c r="AF3050" s="139"/>
      <c r="AG3050" s="139"/>
      <c r="AH3050" s="177"/>
      <c r="AI3050" s="178"/>
      <c r="AJ3050" s="139"/>
      <c r="AK3050" s="173"/>
      <c r="AL3050" s="177"/>
      <c r="AM3050" s="178"/>
      <c r="AN3050" s="173"/>
      <c r="AO3050" s="173"/>
      <c r="AP3050" s="173"/>
      <c r="AQ3050" s="178"/>
      <c r="AR3050" s="173"/>
      <c r="AS3050" s="173"/>
      <c r="AT3050" s="140"/>
      <c r="AX3050" s="140"/>
      <c r="BB3050" s="173"/>
      <c r="BC3050" s="173"/>
    </row>
    <row r="3051" spans="2:55" s="134" customFormat="1" x14ac:dyDescent="0.2">
      <c r="B3051" s="145"/>
      <c r="D3051" s="145"/>
      <c r="Z3051" s="177"/>
      <c r="AA3051" s="178"/>
      <c r="AB3051" s="139"/>
      <c r="AC3051" s="173"/>
      <c r="AD3051" s="177"/>
      <c r="AE3051" s="177"/>
      <c r="AF3051" s="139"/>
      <c r="AG3051" s="139"/>
      <c r="AH3051" s="177"/>
      <c r="AI3051" s="178"/>
      <c r="AJ3051" s="139"/>
      <c r="AK3051" s="173"/>
      <c r="AL3051" s="177"/>
      <c r="AM3051" s="178"/>
      <c r="AN3051" s="173"/>
      <c r="AO3051" s="173"/>
      <c r="AP3051" s="173"/>
      <c r="AQ3051" s="178"/>
      <c r="AR3051" s="173"/>
      <c r="AS3051" s="173"/>
      <c r="AT3051" s="140"/>
      <c r="AX3051" s="140"/>
      <c r="BB3051" s="173"/>
      <c r="BC3051" s="173"/>
    </row>
    <row r="3052" spans="2:55" s="134" customFormat="1" x14ac:dyDescent="0.2">
      <c r="B3052" s="145"/>
      <c r="D3052" s="145"/>
      <c r="Z3052" s="177"/>
      <c r="AA3052" s="178"/>
      <c r="AB3052" s="139"/>
      <c r="AC3052" s="173"/>
      <c r="AD3052" s="177"/>
      <c r="AE3052" s="177"/>
      <c r="AF3052" s="139"/>
      <c r="AG3052" s="139"/>
      <c r="AH3052" s="177"/>
      <c r="AI3052" s="178"/>
      <c r="AJ3052" s="139"/>
      <c r="AK3052" s="173"/>
      <c r="AL3052" s="177"/>
      <c r="AM3052" s="178"/>
      <c r="AN3052" s="173"/>
      <c r="AO3052" s="173"/>
      <c r="AP3052" s="173"/>
      <c r="AQ3052" s="178"/>
      <c r="AR3052" s="173"/>
      <c r="AS3052" s="173"/>
      <c r="AT3052" s="140"/>
      <c r="AX3052" s="140"/>
      <c r="BB3052" s="173"/>
      <c r="BC3052" s="173"/>
    </row>
    <row r="3053" spans="2:55" s="134" customFormat="1" x14ac:dyDescent="0.2">
      <c r="B3053" s="145"/>
      <c r="D3053" s="145"/>
      <c r="Z3053" s="177"/>
      <c r="AA3053" s="178"/>
      <c r="AB3053" s="139"/>
      <c r="AC3053" s="173"/>
      <c r="AD3053" s="177"/>
      <c r="AE3053" s="177"/>
      <c r="AF3053" s="139"/>
      <c r="AG3053" s="139"/>
      <c r="AH3053" s="177"/>
      <c r="AI3053" s="178"/>
      <c r="AJ3053" s="139"/>
      <c r="AK3053" s="173"/>
      <c r="AL3053" s="177"/>
      <c r="AM3053" s="178"/>
      <c r="AN3053" s="173"/>
      <c r="AO3053" s="173"/>
      <c r="AP3053" s="173"/>
      <c r="AQ3053" s="178"/>
      <c r="AR3053" s="173"/>
      <c r="AS3053" s="173"/>
      <c r="AT3053" s="140"/>
      <c r="AX3053" s="140"/>
      <c r="BB3053" s="173"/>
      <c r="BC3053" s="173"/>
    </row>
    <row r="3054" spans="2:55" s="134" customFormat="1" x14ac:dyDescent="0.2">
      <c r="B3054" s="145"/>
      <c r="D3054" s="145"/>
      <c r="Z3054" s="177"/>
      <c r="AA3054" s="178"/>
      <c r="AB3054" s="139"/>
      <c r="AC3054" s="173"/>
      <c r="AD3054" s="177"/>
      <c r="AE3054" s="177"/>
      <c r="AF3054" s="139"/>
      <c r="AG3054" s="139"/>
      <c r="AH3054" s="177"/>
      <c r="AI3054" s="178"/>
      <c r="AJ3054" s="139"/>
      <c r="AK3054" s="173"/>
      <c r="AL3054" s="177"/>
      <c r="AM3054" s="178"/>
      <c r="AN3054" s="173"/>
      <c r="AO3054" s="173"/>
      <c r="AP3054" s="173"/>
      <c r="AQ3054" s="178"/>
      <c r="AR3054" s="173"/>
      <c r="AS3054" s="173"/>
      <c r="AT3054" s="140"/>
      <c r="AX3054" s="140"/>
      <c r="BB3054" s="173"/>
      <c r="BC3054" s="173"/>
    </row>
    <row r="3055" spans="2:55" s="134" customFormat="1" x14ac:dyDescent="0.2">
      <c r="B3055" s="145"/>
      <c r="D3055" s="145"/>
      <c r="Z3055" s="177"/>
      <c r="AA3055" s="178"/>
      <c r="AB3055" s="139"/>
      <c r="AC3055" s="173"/>
      <c r="AD3055" s="177"/>
      <c r="AE3055" s="177"/>
      <c r="AF3055" s="139"/>
      <c r="AG3055" s="139"/>
      <c r="AH3055" s="177"/>
      <c r="AI3055" s="178"/>
      <c r="AJ3055" s="139"/>
      <c r="AK3055" s="173"/>
      <c r="AL3055" s="177"/>
      <c r="AM3055" s="178"/>
      <c r="AN3055" s="173"/>
      <c r="AO3055" s="173"/>
      <c r="AP3055" s="173"/>
      <c r="AQ3055" s="178"/>
      <c r="AR3055" s="173"/>
      <c r="AS3055" s="173"/>
      <c r="AT3055" s="140"/>
      <c r="AX3055" s="140"/>
      <c r="BB3055" s="173"/>
      <c r="BC3055" s="173"/>
    </row>
    <row r="3056" spans="2:55" s="134" customFormat="1" x14ac:dyDescent="0.2">
      <c r="B3056" s="145"/>
      <c r="D3056" s="145"/>
      <c r="Z3056" s="177"/>
      <c r="AA3056" s="178"/>
      <c r="AB3056" s="139"/>
      <c r="AC3056" s="173"/>
      <c r="AD3056" s="177"/>
      <c r="AE3056" s="177"/>
      <c r="AF3056" s="139"/>
      <c r="AG3056" s="139"/>
      <c r="AH3056" s="177"/>
      <c r="AI3056" s="178"/>
      <c r="AJ3056" s="139"/>
      <c r="AK3056" s="173"/>
      <c r="AL3056" s="177"/>
      <c r="AM3056" s="178"/>
      <c r="AN3056" s="173"/>
      <c r="AO3056" s="173"/>
      <c r="AP3056" s="173"/>
      <c r="AQ3056" s="178"/>
      <c r="AR3056" s="173"/>
      <c r="AS3056" s="173"/>
      <c r="AT3056" s="140"/>
      <c r="AX3056" s="140"/>
      <c r="BB3056" s="173"/>
      <c r="BC3056" s="173"/>
    </row>
    <row r="3057" spans="2:55" s="134" customFormat="1" x14ac:dyDescent="0.2">
      <c r="B3057" s="145"/>
      <c r="D3057" s="145"/>
      <c r="Z3057" s="177"/>
      <c r="AA3057" s="178"/>
      <c r="AB3057" s="139"/>
      <c r="AC3057" s="173"/>
      <c r="AD3057" s="177"/>
      <c r="AE3057" s="177"/>
      <c r="AF3057" s="139"/>
      <c r="AG3057" s="139"/>
      <c r="AH3057" s="177"/>
      <c r="AI3057" s="178"/>
      <c r="AJ3057" s="139"/>
      <c r="AK3057" s="173"/>
      <c r="AL3057" s="177"/>
      <c r="AM3057" s="178"/>
      <c r="AN3057" s="173"/>
      <c r="AO3057" s="173"/>
      <c r="AP3057" s="173"/>
      <c r="AQ3057" s="178"/>
      <c r="AR3057" s="173"/>
      <c r="AS3057" s="173"/>
      <c r="AT3057" s="140"/>
      <c r="AX3057" s="140"/>
      <c r="BB3057" s="173"/>
      <c r="BC3057" s="173"/>
    </row>
    <row r="3058" spans="2:55" s="134" customFormat="1" x14ac:dyDescent="0.2">
      <c r="B3058" s="145"/>
      <c r="D3058" s="145"/>
      <c r="Z3058" s="177"/>
      <c r="AA3058" s="178"/>
      <c r="AB3058" s="139"/>
      <c r="AC3058" s="173"/>
      <c r="AD3058" s="177"/>
      <c r="AE3058" s="177"/>
      <c r="AF3058" s="139"/>
      <c r="AG3058" s="139"/>
      <c r="AH3058" s="177"/>
      <c r="AI3058" s="178"/>
      <c r="AJ3058" s="139"/>
      <c r="AK3058" s="173"/>
      <c r="AL3058" s="177"/>
      <c r="AM3058" s="178"/>
      <c r="AN3058" s="173"/>
      <c r="AO3058" s="173"/>
      <c r="AP3058" s="173"/>
      <c r="AQ3058" s="178"/>
      <c r="AR3058" s="173"/>
      <c r="AS3058" s="173"/>
      <c r="AT3058" s="140"/>
      <c r="AX3058" s="140"/>
      <c r="BB3058" s="173"/>
      <c r="BC3058" s="173"/>
    </row>
    <row r="3059" spans="2:55" s="134" customFormat="1" x14ac:dyDescent="0.2">
      <c r="B3059" s="145"/>
      <c r="D3059" s="145"/>
      <c r="Z3059" s="177"/>
      <c r="AA3059" s="178"/>
      <c r="AB3059" s="139"/>
      <c r="AC3059" s="173"/>
      <c r="AD3059" s="177"/>
      <c r="AE3059" s="177"/>
      <c r="AF3059" s="139"/>
      <c r="AG3059" s="139"/>
      <c r="AH3059" s="177"/>
      <c r="AI3059" s="178"/>
      <c r="AJ3059" s="139"/>
      <c r="AK3059" s="173"/>
      <c r="AL3059" s="177"/>
      <c r="AM3059" s="178"/>
      <c r="AN3059" s="173"/>
      <c r="AO3059" s="173"/>
      <c r="AP3059" s="173"/>
      <c r="AQ3059" s="178"/>
      <c r="AR3059" s="173"/>
      <c r="AS3059" s="173"/>
      <c r="AT3059" s="140"/>
      <c r="AX3059" s="140"/>
      <c r="BB3059" s="173"/>
      <c r="BC3059" s="173"/>
    </row>
    <row r="3060" spans="2:55" s="134" customFormat="1" x14ac:dyDescent="0.2">
      <c r="B3060" s="145"/>
      <c r="D3060" s="145"/>
      <c r="Z3060" s="177"/>
      <c r="AA3060" s="178"/>
      <c r="AB3060" s="139"/>
      <c r="AC3060" s="173"/>
      <c r="AD3060" s="177"/>
      <c r="AE3060" s="177"/>
      <c r="AF3060" s="139"/>
      <c r="AG3060" s="139"/>
      <c r="AH3060" s="177"/>
      <c r="AI3060" s="178"/>
      <c r="AJ3060" s="139"/>
      <c r="AK3060" s="173"/>
      <c r="AL3060" s="177"/>
      <c r="AM3060" s="178"/>
      <c r="AN3060" s="173"/>
      <c r="AO3060" s="173"/>
      <c r="AP3060" s="173"/>
      <c r="AQ3060" s="178"/>
      <c r="AR3060" s="173"/>
      <c r="AS3060" s="173"/>
      <c r="AT3060" s="140"/>
      <c r="AX3060" s="140"/>
      <c r="BB3060" s="173"/>
      <c r="BC3060" s="173"/>
    </row>
    <row r="3061" spans="2:55" s="134" customFormat="1" x14ac:dyDescent="0.2">
      <c r="B3061" s="145"/>
      <c r="D3061" s="145"/>
      <c r="Z3061" s="177"/>
      <c r="AA3061" s="178"/>
      <c r="AB3061" s="139"/>
      <c r="AC3061" s="173"/>
      <c r="AD3061" s="177"/>
      <c r="AE3061" s="177"/>
      <c r="AF3061" s="139"/>
      <c r="AG3061" s="139"/>
      <c r="AH3061" s="177"/>
      <c r="AI3061" s="178"/>
      <c r="AJ3061" s="139"/>
      <c r="AK3061" s="173"/>
      <c r="AL3061" s="177"/>
      <c r="AM3061" s="178"/>
      <c r="AN3061" s="173"/>
      <c r="AO3061" s="173"/>
      <c r="AP3061" s="173"/>
      <c r="AQ3061" s="178"/>
      <c r="AR3061" s="173"/>
      <c r="AS3061" s="173"/>
      <c r="AT3061" s="140"/>
      <c r="AX3061" s="140"/>
      <c r="BB3061" s="173"/>
      <c r="BC3061" s="173"/>
    </row>
    <row r="3062" spans="2:55" s="134" customFormat="1" x14ac:dyDescent="0.2">
      <c r="B3062" s="145"/>
      <c r="D3062" s="145"/>
      <c r="Z3062" s="177"/>
      <c r="AA3062" s="178"/>
      <c r="AB3062" s="139"/>
      <c r="AC3062" s="173"/>
      <c r="AD3062" s="177"/>
      <c r="AE3062" s="177"/>
      <c r="AF3062" s="139"/>
      <c r="AG3062" s="139"/>
      <c r="AH3062" s="177"/>
      <c r="AI3062" s="178"/>
      <c r="AJ3062" s="139"/>
      <c r="AK3062" s="173"/>
      <c r="AL3062" s="177"/>
      <c r="AM3062" s="178"/>
      <c r="AN3062" s="173"/>
      <c r="AO3062" s="173"/>
      <c r="AP3062" s="173"/>
      <c r="AQ3062" s="178"/>
      <c r="AR3062" s="173"/>
      <c r="AS3062" s="173"/>
      <c r="AT3062" s="140"/>
      <c r="AX3062" s="140"/>
      <c r="BB3062" s="173"/>
      <c r="BC3062" s="173"/>
    </row>
    <row r="3063" spans="2:55" s="134" customFormat="1" x14ac:dyDescent="0.2">
      <c r="B3063" s="145"/>
      <c r="D3063" s="145"/>
      <c r="Z3063" s="177"/>
      <c r="AA3063" s="178"/>
      <c r="AB3063" s="139"/>
      <c r="AC3063" s="173"/>
      <c r="AD3063" s="177"/>
      <c r="AE3063" s="177"/>
      <c r="AF3063" s="139"/>
      <c r="AG3063" s="139"/>
      <c r="AH3063" s="177"/>
      <c r="AI3063" s="178"/>
      <c r="AJ3063" s="139"/>
      <c r="AK3063" s="173"/>
      <c r="AL3063" s="177"/>
      <c r="AM3063" s="178"/>
      <c r="AN3063" s="173"/>
      <c r="AO3063" s="173"/>
      <c r="AP3063" s="173"/>
      <c r="AQ3063" s="178"/>
      <c r="AR3063" s="173"/>
      <c r="AS3063" s="173"/>
      <c r="AT3063" s="140"/>
      <c r="AX3063" s="140"/>
      <c r="BB3063" s="173"/>
      <c r="BC3063" s="173"/>
    </row>
    <row r="3064" spans="2:55" s="134" customFormat="1" x14ac:dyDescent="0.2">
      <c r="B3064" s="145"/>
      <c r="D3064" s="145"/>
      <c r="Z3064" s="177"/>
      <c r="AA3064" s="178"/>
      <c r="AB3064" s="139"/>
      <c r="AC3064" s="173"/>
      <c r="AD3064" s="177"/>
      <c r="AE3064" s="177"/>
      <c r="AF3064" s="139"/>
      <c r="AG3064" s="139"/>
      <c r="AH3064" s="177"/>
      <c r="AI3064" s="178"/>
      <c r="AJ3064" s="139"/>
      <c r="AK3064" s="173"/>
      <c r="AL3064" s="177"/>
      <c r="AM3064" s="178"/>
      <c r="AN3064" s="173"/>
      <c r="AO3064" s="173"/>
      <c r="AP3064" s="173"/>
      <c r="AQ3064" s="178"/>
      <c r="AR3064" s="173"/>
      <c r="AS3064" s="173"/>
      <c r="AT3064" s="140"/>
      <c r="AX3064" s="140"/>
      <c r="BB3064" s="173"/>
      <c r="BC3064" s="173"/>
    </row>
    <row r="3065" spans="2:55" s="134" customFormat="1" x14ac:dyDescent="0.2">
      <c r="B3065" s="145"/>
      <c r="D3065" s="145"/>
      <c r="Z3065" s="177"/>
      <c r="AA3065" s="178"/>
      <c r="AB3065" s="139"/>
      <c r="AC3065" s="173"/>
      <c r="AD3065" s="177"/>
      <c r="AE3065" s="177"/>
      <c r="AF3065" s="139"/>
      <c r="AG3065" s="139"/>
      <c r="AH3065" s="177"/>
      <c r="AI3065" s="178"/>
      <c r="AJ3065" s="139"/>
      <c r="AK3065" s="173"/>
      <c r="AL3065" s="177"/>
      <c r="AM3065" s="178"/>
      <c r="AN3065" s="173"/>
      <c r="AO3065" s="173"/>
      <c r="AP3065" s="173"/>
      <c r="AQ3065" s="178"/>
      <c r="AR3065" s="173"/>
      <c r="AS3065" s="173"/>
      <c r="AT3065" s="140"/>
      <c r="AX3065" s="140"/>
      <c r="BB3065" s="173"/>
      <c r="BC3065" s="173"/>
    </row>
    <row r="3066" spans="2:55" s="134" customFormat="1" x14ac:dyDescent="0.2">
      <c r="B3066" s="145"/>
      <c r="D3066" s="145"/>
      <c r="Z3066" s="177"/>
      <c r="AA3066" s="178"/>
      <c r="AB3066" s="139"/>
      <c r="AC3066" s="173"/>
      <c r="AD3066" s="177"/>
      <c r="AE3066" s="177"/>
      <c r="AF3066" s="139"/>
      <c r="AG3066" s="139"/>
      <c r="AH3066" s="177"/>
      <c r="AI3066" s="178"/>
      <c r="AJ3066" s="139"/>
      <c r="AK3066" s="173"/>
      <c r="AL3066" s="177"/>
      <c r="AM3066" s="178"/>
      <c r="AN3066" s="173"/>
      <c r="AO3066" s="173"/>
      <c r="AP3066" s="173"/>
      <c r="AQ3066" s="178"/>
      <c r="AR3066" s="173"/>
      <c r="AS3066" s="173"/>
      <c r="AT3066" s="140"/>
      <c r="AX3066" s="140"/>
      <c r="BB3066" s="173"/>
      <c r="BC3066" s="173"/>
    </row>
    <row r="3067" spans="2:55" s="134" customFormat="1" x14ac:dyDescent="0.2">
      <c r="B3067" s="145"/>
      <c r="D3067" s="145"/>
      <c r="Z3067" s="177"/>
      <c r="AA3067" s="178"/>
      <c r="AB3067" s="139"/>
      <c r="AC3067" s="173"/>
      <c r="AD3067" s="177"/>
      <c r="AE3067" s="177"/>
      <c r="AF3067" s="139"/>
      <c r="AG3067" s="139"/>
      <c r="AH3067" s="177"/>
      <c r="AI3067" s="178"/>
      <c r="AJ3067" s="139"/>
      <c r="AK3067" s="173"/>
      <c r="AL3067" s="177"/>
      <c r="AM3067" s="178"/>
      <c r="AN3067" s="173"/>
      <c r="AO3067" s="173"/>
      <c r="AP3067" s="173"/>
      <c r="AQ3067" s="178"/>
      <c r="AR3067" s="173"/>
      <c r="AS3067" s="173"/>
      <c r="AT3067" s="140"/>
      <c r="AX3067" s="140"/>
      <c r="BB3067" s="173"/>
      <c r="BC3067" s="173"/>
    </row>
    <row r="3068" spans="2:55" s="134" customFormat="1" x14ac:dyDescent="0.2">
      <c r="B3068" s="145"/>
      <c r="D3068" s="145"/>
      <c r="Z3068" s="177"/>
      <c r="AA3068" s="178"/>
      <c r="AB3068" s="139"/>
      <c r="AC3068" s="173"/>
      <c r="AD3068" s="177"/>
      <c r="AE3068" s="177"/>
      <c r="AF3068" s="139"/>
      <c r="AG3068" s="139"/>
      <c r="AH3068" s="177"/>
      <c r="AI3068" s="178"/>
      <c r="AJ3068" s="139"/>
      <c r="AK3068" s="173"/>
      <c r="AL3068" s="177"/>
      <c r="AM3068" s="178"/>
      <c r="AN3068" s="173"/>
      <c r="AO3068" s="173"/>
      <c r="AP3068" s="173"/>
      <c r="AQ3068" s="178"/>
      <c r="AR3068" s="173"/>
      <c r="AS3068" s="173"/>
      <c r="AT3068" s="140"/>
      <c r="AX3068" s="140"/>
      <c r="BB3068" s="173"/>
      <c r="BC3068" s="173"/>
    </row>
    <row r="3069" spans="2:55" s="134" customFormat="1" x14ac:dyDescent="0.2">
      <c r="B3069" s="145"/>
      <c r="D3069" s="145"/>
      <c r="Z3069" s="177"/>
      <c r="AA3069" s="178"/>
      <c r="AB3069" s="139"/>
      <c r="AC3069" s="173"/>
      <c r="AD3069" s="177"/>
      <c r="AE3069" s="177"/>
      <c r="AF3069" s="139"/>
      <c r="AG3069" s="139"/>
      <c r="AH3069" s="177"/>
      <c r="AI3069" s="178"/>
      <c r="AJ3069" s="139"/>
      <c r="AK3069" s="173"/>
      <c r="AL3069" s="177"/>
      <c r="AM3069" s="178"/>
      <c r="AN3069" s="173"/>
      <c r="AO3069" s="173"/>
      <c r="AP3069" s="173"/>
      <c r="AQ3069" s="178"/>
      <c r="AR3069" s="173"/>
      <c r="AS3069" s="173"/>
      <c r="AT3069" s="140"/>
      <c r="AX3069" s="140"/>
      <c r="BB3069" s="173"/>
      <c r="BC3069" s="173"/>
    </row>
    <row r="3070" spans="2:55" s="134" customFormat="1" x14ac:dyDescent="0.2">
      <c r="B3070" s="145"/>
      <c r="D3070" s="145"/>
      <c r="Z3070" s="177"/>
      <c r="AA3070" s="178"/>
      <c r="AB3070" s="139"/>
      <c r="AC3070" s="173"/>
      <c r="AD3070" s="177"/>
      <c r="AE3070" s="177"/>
      <c r="AF3070" s="139"/>
      <c r="AG3070" s="139"/>
      <c r="AH3070" s="177"/>
      <c r="AI3070" s="178"/>
      <c r="AJ3070" s="139"/>
      <c r="AK3070" s="173"/>
      <c r="AL3070" s="177"/>
      <c r="AM3070" s="178"/>
      <c r="AN3070" s="173"/>
      <c r="AO3070" s="173"/>
      <c r="AP3070" s="173"/>
      <c r="AQ3070" s="178"/>
      <c r="AR3070" s="173"/>
      <c r="AS3070" s="173"/>
      <c r="AT3070" s="140"/>
      <c r="AX3070" s="140"/>
      <c r="BB3070" s="173"/>
      <c r="BC3070" s="173"/>
    </row>
    <row r="3071" spans="2:55" s="134" customFormat="1" x14ac:dyDescent="0.2">
      <c r="B3071" s="145"/>
      <c r="D3071" s="145"/>
      <c r="Z3071" s="177"/>
      <c r="AA3071" s="178"/>
      <c r="AB3071" s="139"/>
      <c r="AC3071" s="173"/>
      <c r="AD3071" s="177"/>
      <c r="AE3071" s="177"/>
      <c r="AF3071" s="139"/>
      <c r="AG3071" s="139"/>
      <c r="AH3071" s="177"/>
      <c r="AI3071" s="178"/>
      <c r="AJ3071" s="139"/>
      <c r="AK3071" s="173"/>
      <c r="AL3071" s="177"/>
      <c r="AM3071" s="178"/>
      <c r="AN3071" s="173"/>
      <c r="AO3071" s="173"/>
      <c r="AP3071" s="173"/>
      <c r="AQ3071" s="178"/>
      <c r="AR3071" s="173"/>
      <c r="AS3071" s="173"/>
      <c r="AT3071" s="140"/>
      <c r="AX3071" s="140"/>
      <c r="BB3071" s="173"/>
      <c r="BC3071" s="173"/>
    </row>
    <row r="3072" spans="2:55" s="134" customFormat="1" x14ac:dyDescent="0.2">
      <c r="B3072" s="145"/>
      <c r="D3072" s="145"/>
      <c r="Z3072" s="177"/>
      <c r="AA3072" s="178"/>
      <c r="AB3072" s="139"/>
      <c r="AC3072" s="173"/>
      <c r="AD3072" s="177"/>
      <c r="AE3072" s="177"/>
      <c r="AF3072" s="139"/>
      <c r="AG3072" s="139"/>
      <c r="AH3072" s="177"/>
      <c r="AI3072" s="178"/>
      <c r="AJ3072" s="139"/>
      <c r="AK3072" s="173"/>
      <c r="AL3072" s="177"/>
      <c r="AM3072" s="178"/>
      <c r="AN3072" s="173"/>
      <c r="AO3072" s="173"/>
      <c r="AP3072" s="173"/>
      <c r="AQ3072" s="178"/>
      <c r="AR3072" s="173"/>
      <c r="AS3072" s="173"/>
      <c r="AT3072" s="140"/>
      <c r="AX3072" s="140"/>
      <c r="BB3072" s="173"/>
      <c r="BC3072" s="173"/>
    </row>
    <row r="3073" spans="2:55" s="134" customFormat="1" x14ac:dyDescent="0.2">
      <c r="B3073" s="145"/>
      <c r="D3073" s="145"/>
      <c r="Z3073" s="177"/>
      <c r="AA3073" s="178"/>
      <c r="AB3073" s="139"/>
      <c r="AC3073" s="173"/>
      <c r="AD3073" s="177"/>
      <c r="AE3073" s="177"/>
      <c r="AF3073" s="139"/>
      <c r="AG3073" s="139"/>
      <c r="AH3073" s="177"/>
      <c r="AI3073" s="178"/>
      <c r="AJ3073" s="139"/>
      <c r="AK3073" s="173"/>
      <c r="AL3073" s="177"/>
      <c r="AM3073" s="178"/>
      <c r="AN3073" s="173"/>
      <c r="AO3073" s="173"/>
      <c r="AP3073" s="173"/>
      <c r="AQ3073" s="178"/>
      <c r="AR3073" s="173"/>
      <c r="AS3073" s="173"/>
      <c r="AT3073" s="140"/>
      <c r="AX3073" s="140"/>
      <c r="BB3073" s="173"/>
      <c r="BC3073" s="173"/>
    </row>
    <row r="3074" spans="2:55" s="134" customFormat="1" x14ac:dyDescent="0.2">
      <c r="B3074" s="145"/>
      <c r="D3074" s="145"/>
      <c r="Z3074" s="177"/>
      <c r="AA3074" s="178"/>
      <c r="AB3074" s="139"/>
      <c r="AC3074" s="173"/>
      <c r="AD3074" s="177"/>
      <c r="AE3074" s="177"/>
      <c r="AF3074" s="139"/>
      <c r="AG3074" s="139"/>
      <c r="AH3074" s="177"/>
      <c r="AI3074" s="178"/>
      <c r="AJ3074" s="139"/>
      <c r="AK3074" s="173"/>
      <c r="AL3074" s="177"/>
      <c r="AM3074" s="178"/>
      <c r="AN3074" s="173"/>
      <c r="AO3074" s="173"/>
      <c r="AP3074" s="173"/>
      <c r="AQ3074" s="178"/>
      <c r="AR3074" s="173"/>
      <c r="AS3074" s="173"/>
      <c r="AT3074" s="140"/>
      <c r="AX3074" s="140"/>
      <c r="BB3074" s="173"/>
      <c r="BC3074" s="173"/>
    </row>
    <row r="3075" spans="2:55" s="134" customFormat="1" x14ac:dyDescent="0.2">
      <c r="B3075" s="145"/>
      <c r="D3075" s="145"/>
      <c r="Z3075" s="177"/>
      <c r="AA3075" s="178"/>
      <c r="AB3075" s="139"/>
      <c r="AC3075" s="173"/>
      <c r="AD3075" s="177"/>
      <c r="AE3075" s="177"/>
      <c r="AF3075" s="139"/>
      <c r="AG3075" s="139"/>
      <c r="AH3075" s="177"/>
      <c r="AI3075" s="178"/>
      <c r="AJ3075" s="139"/>
      <c r="AK3075" s="173"/>
      <c r="AL3075" s="177"/>
      <c r="AM3075" s="178"/>
      <c r="AN3075" s="173"/>
      <c r="AO3075" s="173"/>
      <c r="AP3075" s="173"/>
      <c r="AQ3075" s="178"/>
      <c r="AR3075" s="173"/>
      <c r="AS3075" s="173"/>
      <c r="AT3075" s="140"/>
      <c r="AX3075" s="140"/>
      <c r="BB3075" s="173"/>
      <c r="BC3075" s="173"/>
    </row>
    <row r="3076" spans="2:55" s="134" customFormat="1" x14ac:dyDescent="0.2">
      <c r="B3076" s="145"/>
      <c r="D3076" s="145"/>
      <c r="Z3076" s="177"/>
      <c r="AA3076" s="178"/>
      <c r="AB3076" s="139"/>
      <c r="AC3076" s="173"/>
      <c r="AD3076" s="177"/>
      <c r="AE3076" s="177"/>
      <c r="AF3076" s="139"/>
      <c r="AG3076" s="139"/>
      <c r="AH3076" s="177"/>
      <c r="AI3076" s="178"/>
      <c r="AJ3076" s="139"/>
      <c r="AK3076" s="173"/>
      <c r="AL3076" s="177"/>
      <c r="AM3076" s="178"/>
      <c r="AN3076" s="173"/>
      <c r="AO3076" s="173"/>
      <c r="AP3076" s="173"/>
      <c r="AQ3076" s="178"/>
      <c r="AR3076" s="173"/>
      <c r="AS3076" s="173"/>
      <c r="AT3076" s="140"/>
      <c r="AX3076" s="140"/>
      <c r="BB3076" s="173"/>
      <c r="BC3076" s="173"/>
    </row>
    <row r="3077" spans="2:55" s="134" customFormat="1" x14ac:dyDescent="0.2">
      <c r="B3077" s="145"/>
      <c r="D3077" s="145"/>
      <c r="Z3077" s="177"/>
      <c r="AA3077" s="178"/>
      <c r="AB3077" s="139"/>
      <c r="AC3077" s="173"/>
      <c r="AD3077" s="177"/>
      <c r="AE3077" s="177"/>
      <c r="AF3077" s="139"/>
      <c r="AG3077" s="139"/>
      <c r="AH3077" s="177"/>
      <c r="AI3077" s="178"/>
      <c r="AJ3077" s="139"/>
      <c r="AK3077" s="173"/>
      <c r="AL3077" s="177"/>
      <c r="AM3077" s="178"/>
      <c r="AN3077" s="173"/>
      <c r="AO3077" s="173"/>
      <c r="AP3077" s="173"/>
      <c r="AQ3077" s="178"/>
      <c r="AR3077" s="173"/>
      <c r="AS3077" s="173"/>
      <c r="AT3077" s="140"/>
      <c r="AX3077" s="140"/>
      <c r="BB3077" s="173"/>
      <c r="BC3077" s="173"/>
    </row>
    <row r="3078" spans="2:55" s="134" customFormat="1" x14ac:dyDescent="0.2">
      <c r="B3078" s="145"/>
      <c r="D3078" s="145"/>
      <c r="Z3078" s="177"/>
      <c r="AA3078" s="178"/>
      <c r="AB3078" s="139"/>
      <c r="AC3078" s="173"/>
      <c r="AD3078" s="177"/>
      <c r="AE3078" s="177"/>
      <c r="AF3078" s="139"/>
      <c r="AG3078" s="139"/>
      <c r="AH3078" s="177"/>
      <c r="AI3078" s="178"/>
      <c r="AJ3078" s="139"/>
      <c r="AK3078" s="173"/>
      <c r="AL3078" s="177"/>
      <c r="AM3078" s="178"/>
      <c r="AN3078" s="173"/>
      <c r="AO3078" s="173"/>
      <c r="AP3078" s="173"/>
      <c r="AQ3078" s="178"/>
      <c r="AR3078" s="173"/>
      <c r="AS3078" s="173"/>
      <c r="AT3078" s="140"/>
      <c r="AX3078" s="140"/>
      <c r="BB3078" s="173"/>
      <c r="BC3078" s="173"/>
    </row>
    <row r="3079" spans="2:55" s="134" customFormat="1" x14ac:dyDescent="0.2">
      <c r="B3079" s="145"/>
      <c r="D3079" s="145"/>
      <c r="Z3079" s="177"/>
      <c r="AA3079" s="178"/>
      <c r="AB3079" s="139"/>
      <c r="AC3079" s="173"/>
      <c r="AD3079" s="177"/>
      <c r="AE3079" s="177"/>
      <c r="AF3079" s="139"/>
      <c r="AG3079" s="139"/>
      <c r="AH3079" s="177"/>
      <c r="AI3079" s="178"/>
      <c r="AJ3079" s="139"/>
      <c r="AK3079" s="173"/>
      <c r="AL3079" s="177"/>
      <c r="AM3079" s="178"/>
      <c r="AN3079" s="173"/>
      <c r="AO3079" s="173"/>
      <c r="AP3079" s="173"/>
      <c r="AQ3079" s="178"/>
      <c r="AR3079" s="173"/>
      <c r="AS3079" s="173"/>
      <c r="AT3079" s="140"/>
      <c r="AX3079" s="140"/>
      <c r="BB3079" s="173"/>
      <c r="BC3079" s="173"/>
    </row>
    <row r="3080" spans="2:55" s="134" customFormat="1" x14ac:dyDescent="0.2">
      <c r="B3080" s="145"/>
      <c r="D3080" s="145"/>
      <c r="Z3080" s="177"/>
      <c r="AA3080" s="178"/>
      <c r="AB3080" s="139"/>
      <c r="AC3080" s="173"/>
      <c r="AD3080" s="177"/>
      <c r="AE3080" s="177"/>
      <c r="AF3080" s="139"/>
      <c r="AG3080" s="139"/>
      <c r="AH3080" s="177"/>
      <c r="AI3080" s="178"/>
      <c r="AJ3080" s="139"/>
      <c r="AK3080" s="173"/>
      <c r="AL3080" s="177"/>
      <c r="AM3080" s="178"/>
      <c r="AN3080" s="173"/>
      <c r="AO3080" s="173"/>
      <c r="AP3080" s="173"/>
      <c r="AQ3080" s="178"/>
      <c r="AR3080" s="173"/>
      <c r="AS3080" s="173"/>
      <c r="AT3080" s="140"/>
      <c r="AX3080" s="140"/>
      <c r="BB3080" s="173"/>
      <c r="BC3080" s="173"/>
    </row>
    <row r="3081" spans="2:55" s="134" customFormat="1" x14ac:dyDescent="0.2">
      <c r="B3081" s="145"/>
      <c r="D3081" s="145"/>
      <c r="Z3081" s="177"/>
      <c r="AA3081" s="178"/>
      <c r="AB3081" s="139"/>
      <c r="AC3081" s="173"/>
      <c r="AD3081" s="177"/>
      <c r="AE3081" s="177"/>
      <c r="AF3081" s="139"/>
      <c r="AG3081" s="139"/>
      <c r="AH3081" s="177"/>
      <c r="AI3081" s="178"/>
      <c r="AJ3081" s="139"/>
      <c r="AK3081" s="173"/>
      <c r="AL3081" s="177"/>
      <c r="AM3081" s="178"/>
      <c r="AN3081" s="173"/>
      <c r="AO3081" s="173"/>
      <c r="AP3081" s="173"/>
      <c r="AQ3081" s="178"/>
      <c r="AR3081" s="173"/>
      <c r="AS3081" s="173"/>
      <c r="AT3081" s="140"/>
      <c r="AX3081" s="140"/>
      <c r="BB3081" s="173"/>
      <c r="BC3081" s="173"/>
    </row>
    <row r="3082" spans="2:55" s="134" customFormat="1" x14ac:dyDescent="0.2">
      <c r="B3082" s="145"/>
      <c r="D3082" s="145"/>
      <c r="Z3082" s="177"/>
      <c r="AA3082" s="178"/>
      <c r="AB3082" s="139"/>
      <c r="AC3082" s="173"/>
      <c r="AD3082" s="177"/>
      <c r="AE3082" s="177"/>
      <c r="AF3082" s="139"/>
      <c r="AG3082" s="139"/>
      <c r="AH3082" s="177"/>
      <c r="AI3082" s="178"/>
      <c r="AJ3082" s="139"/>
      <c r="AK3082" s="173"/>
      <c r="AL3082" s="177"/>
      <c r="AM3082" s="178"/>
      <c r="AN3082" s="173"/>
      <c r="AO3082" s="173"/>
      <c r="AP3082" s="173"/>
      <c r="AQ3082" s="178"/>
      <c r="AR3082" s="173"/>
      <c r="AS3082" s="173"/>
      <c r="AT3082" s="140"/>
      <c r="AX3082" s="140"/>
      <c r="BB3082" s="173"/>
      <c r="BC3082" s="173"/>
    </row>
    <row r="3083" spans="2:55" s="134" customFormat="1" x14ac:dyDescent="0.2">
      <c r="B3083" s="145"/>
      <c r="D3083" s="145"/>
      <c r="Z3083" s="177"/>
      <c r="AA3083" s="178"/>
      <c r="AB3083" s="139"/>
      <c r="AC3083" s="173"/>
      <c r="AD3083" s="177"/>
      <c r="AE3083" s="177"/>
      <c r="AF3083" s="139"/>
      <c r="AG3083" s="139"/>
      <c r="AH3083" s="177"/>
      <c r="AI3083" s="178"/>
      <c r="AJ3083" s="139"/>
      <c r="AK3083" s="173"/>
      <c r="AL3083" s="177"/>
      <c r="AM3083" s="178"/>
      <c r="AN3083" s="173"/>
      <c r="AO3083" s="173"/>
      <c r="AP3083" s="173"/>
      <c r="AQ3083" s="178"/>
      <c r="AR3083" s="173"/>
      <c r="AS3083" s="173"/>
      <c r="AT3083" s="140"/>
      <c r="AX3083" s="140"/>
      <c r="BB3083" s="173"/>
      <c r="BC3083" s="173"/>
    </row>
    <row r="3084" spans="2:55" s="134" customFormat="1" x14ac:dyDescent="0.2">
      <c r="B3084" s="145"/>
      <c r="D3084" s="145"/>
      <c r="Z3084" s="177"/>
      <c r="AA3084" s="178"/>
      <c r="AB3084" s="139"/>
      <c r="AC3084" s="173"/>
      <c r="AD3084" s="177"/>
      <c r="AE3084" s="177"/>
      <c r="AF3084" s="139"/>
      <c r="AG3084" s="139"/>
      <c r="AH3084" s="177"/>
      <c r="AI3084" s="178"/>
      <c r="AJ3084" s="139"/>
      <c r="AK3084" s="173"/>
      <c r="AL3084" s="177"/>
      <c r="AM3084" s="178"/>
      <c r="AN3084" s="173"/>
      <c r="AO3084" s="173"/>
      <c r="AP3084" s="173"/>
      <c r="AQ3084" s="178"/>
      <c r="AR3084" s="173"/>
      <c r="AS3084" s="173"/>
      <c r="AT3084" s="140"/>
      <c r="AX3084" s="140"/>
      <c r="BB3084" s="173"/>
      <c r="BC3084" s="173"/>
    </row>
    <row r="3085" spans="2:55" s="134" customFormat="1" x14ac:dyDescent="0.2">
      <c r="B3085" s="145"/>
      <c r="D3085" s="145"/>
      <c r="Z3085" s="177"/>
      <c r="AA3085" s="178"/>
      <c r="AB3085" s="139"/>
      <c r="AC3085" s="173"/>
      <c r="AD3085" s="177"/>
      <c r="AE3085" s="177"/>
      <c r="AF3085" s="139"/>
      <c r="AG3085" s="139"/>
      <c r="AH3085" s="177"/>
      <c r="AI3085" s="178"/>
      <c r="AJ3085" s="139"/>
      <c r="AK3085" s="173"/>
      <c r="AL3085" s="177"/>
      <c r="AM3085" s="178"/>
      <c r="AN3085" s="173"/>
      <c r="AO3085" s="173"/>
      <c r="AP3085" s="173"/>
      <c r="AQ3085" s="178"/>
      <c r="AR3085" s="173"/>
      <c r="AS3085" s="173"/>
      <c r="AT3085" s="140"/>
      <c r="AX3085" s="140"/>
      <c r="BB3085" s="173"/>
      <c r="BC3085" s="173"/>
    </row>
    <row r="3086" spans="2:55" s="134" customFormat="1" x14ac:dyDescent="0.2">
      <c r="B3086" s="145"/>
      <c r="D3086" s="145"/>
      <c r="Z3086" s="177"/>
      <c r="AA3086" s="178"/>
      <c r="AB3086" s="139"/>
      <c r="AC3086" s="173"/>
      <c r="AD3086" s="177"/>
      <c r="AE3086" s="177"/>
      <c r="AF3086" s="139"/>
      <c r="AG3086" s="139"/>
      <c r="AH3086" s="177"/>
      <c r="AI3086" s="178"/>
      <c r="AJ3086" s="139"/>
      <c r="AK3086" s="173"/>
      <c r="AL3086" s="177"/>
      <c r="AM3086" s="178"/>
      <c r="AN3086" s="173"/>
      <c r="AO3086" s="173"/>
      <c r="AP3086" s="173"/>
      <c r="AQ3086" s="178"/>
      <c r="AR3086" s="173"/>
      <c r="AS3086" s="173"/>
      <c r="AT3086" s="140"/>
      <c r="AX3086" s="140"/>
      <c r="BB3086" s="173"/>
      <c r="BC3086" s="173"/>
    </row>
    <row r="3087" spans="2:55" s="134" customFormat="1" x14ac:dyDescent="0.2">
      <c r="B3087" s="145"/>
      <c r="D3087" s="145"/>
      <c r="Z3087" s="177"/>
      <c r="AA3087" s="178"/>
      <c r="AB3087" s="139"/>
      <c r="AC3087" s="173"/>
      <c r="AD3087" s="177"/>
      <c r="AE3087" s="177"/>
      <c r="AF3087" s="139"/>
      <c r="AG3087" s="139"/>
      <c r="AH3087" s="177"/>
      <c r="AI3087" s="178"/>
      <c r="AJ3087" s="139"/>
      <c r="AK3087" s="173"/>
      <c r="AL3087" s="177"/>
      <c r="AM3087" s="178"/>
      <c r="AN3087" s="173"/>
      <c r="AO3087" s="173"/>
      <c r="AP3087" s="173"/>
      <c r="AQ3087" s="178"/>
      <c r="AR3087" s="173"/>
      <c r="AS3087" s="173"/>
      <c r="AT3087" s="140"/>
      <c r="AX3087" s="140"/>
      <c r="BB3087" s="173"/>
      <c r="BC3087" s="173"/>
    </row>
    <row r="3088" spans="2:55" s="134" customFormat="1" x14ac:dyDescent="0.2">
      <c r="B3088" s="145"/>
      <c r="D3088" s="145"/>
      <c r="Z3088" s="177"/>
      <c r="AA3088" s="178"/>
      <c r="AB3088" s="139"/>
      <c r="AC3088" s="173"/>
      <c r="AD3088" s="177"/>
      <c r="AE3088" s="177"/>
      <c r="AF3088" s="139"/>
      <c r="AG3088" s="139"/>
      <c r="AH3088" s="177"/>
      <c r="AI3088" s="178"/>
      <c r="AJ3088" s="139"/>
      <c r="AK3088" s="173"/>
      <c r="AL3088" s="177"/>
      <c r="AM3088" s="178"/>
      <c r="AN3088" s="173"/>
      <c r="AO3088" s="173"/>
      <c r="AP3088" s="173"/>
      <c r="AQ3088" s="178"/>
      <c r="AR3088" s="173"/>
      <c r="AS3088" s="173"/>
      <c r="AT3088" s="140"/>
      <c r="AX3088" s="140"/>
      <c r="BB3088" s="173"/>
      <c r="BC3088" s="173"/>
    </row>
    <row r="3089" spans="2:55" s="134" customFormat="1" x14ac:dyDescent="0.2">
      <c r="B3089" s="145"/>
      <c r="D3089" s="145"/>
      <c r="Z3089" s="177"/>
      <c r="AA3089" s="178"/>
      <c r="AB3089" s="139"/>
      <c r="AC3089" s="173"/>
      <c r="AD3089" s="177"/>
      <c r="AE3089" s="177"/>
      <c r="AF3089" s="139"/>
      <c r="AG3089" s="139"/>
      <c r="AH3089" s="177"/>
      <c r="AI3089" s="178"/>
      <c r="AJ3089" s="139"/>
      <c r="AK3089" s="173"/>
      <c r="AL3089" s="177"/>
      <c r="AM3089" s="178"/>
      <c r="AN3089" s="173"/>
      <c r="AO3089" s="173"/>
      <c r="AP3089" s="173"/>
      <c r="AQ3089" s="178"/>
      <c r="AR3089" s="173"/>
      <c r="AS3089" s="173"/>
      <c r="AT3089" s="140"/>
      <c r="AX3089" s="140"/>
      <c r="BB3089" s="173"/>
      <c r="BC3089" s="173"/>
    </row>
    <row r="3090" spans="2:55" s="134" customFormat="1" x14ac:dyDescent="0.2">
      <c r="B3090" s="145"/>
      <c r="D3090" s="145"/>
      <c r="Z3090" s="177"/>
      <c r="AA3090" s="178"/>
      <c r="AB3090" s="139"/>
      <c r="AC3090" s="173"/>
      <c r="AD3090" s="177"/>
      <c r="AE3090" s="177"/>
      <c r="AF3090" s="139"/>
      <c r="AG3090" s="139"/>
      <c r="AH3090" s="177"/>
      <c r="AI3090" s="178"/>
      <c r="AJ3090" s="139"/>
      <c r="AK3090" s="173"/>
      <c r="AL3090" s="177"/>
      <c r="AM3090" s="178"/>
      <c r="AN3090" s="173"/>
      <c r="AO3090" s="173"/>
      <c r="AP3090" s="173"/>
      <c r="AQ3090" s="178"/>
      <c r="AR3090" s="173"/>
      <c r="AS3090" s="173"/>
      <c r="AT3090" s="140"/>
      <c r="AX3090" s="140"/>
      <c r="BB3090" s="173"/>
      <c r="BC3090" s="173"/>
    </row>
    <row r="3091" spans="2:55" s="134" customFormat="1" x14ac:dyDescent="0.2">
      <c r="B3091" s="145"/>
      <c r="D3091" s="145"/>
      <c r="Z3091" s="177"/>
      <c r="AA3091" s="178"/>
      <c r="AB3091" s="139"/>
      <c r="AC3091" s="173"/>
      <c r="AD3091" s="177"/>
      <c r="AE3091" s="177"/>
      <c r="AF3091" s="139"/>
      <c r="AG3091" s="139"/>
      <c r="AH3091" s="177"/>
      <c r="AI3091" s="178"/>
      <c r="AJ3091" s="139"/>
      <c r="AK3091" s="173"/>
      <c r="AL3091" s="177"/>
      <c r="AM3091" s="178"/>
      <c r="AN3091" s="173"/>
      <c r="AO3091" s="173"/>
      <c r="AP3091" s="173"/>
      <c r="AQ3091" s="178"/>
      <c r="AR3091" s="173"/>
      <c r="AS3091" s="173"/>
      <c r="AT3091" s="140"/>
      <c r="AX3091" s="140"/>
      <c r="BB3091" s="173"/>
      <c r="BC3091" s="173"/>
    </row>
    <row r="3092" spans="2:55" s="134" customFormat="1" x14ac:dyDescent="0.2">
      <c r="B3092" s="145"/>
      <c r="D3092" s="145"/>
      <c r="Z3092" s="177"/>
      <c r="AA3092" s="178"/>
      <c r="AB3092" s="139"/>
      <c r="AC3092" s="173"/>
      <c r="AD3092" s="177"/>
      <c r="AE3092" s="177"/>
      <c r="AF3092" s="139"/>
      <c r="AG3092" s="139"/>
      <c r="AH3092" s="177"/>
      <c r="AI3092" s="178"/>
      <c r="AJ3092" s="139"/>
      <c r="AK3092" s="173"/>
      <c r="AL3092" s="177"/>
      <c r="AM3092" s="178"/>
      <c r="AN3092" s="173"/>
      <c r="AO3092" s="173"/>
      <c r="AP3092" s="173"/>
      <c r="AQ3092" s="178"/>
      <c r="AR3092" s="173"/>
      <c r="AS3092" s="173"/>
      <c r="AT3092" s="140"/>
      <c r="AX3092" s="140"/>
      <c r="BB3092" s="173"/>
      <c r="BC3092" s="173"/>
    </row>
    <row r="3093" spans="2:55" s="134" customFormat="1" x14ac:dyDescent="0.2">
      <c r="B3093" s="145"/>
      <c r="D3093" s="145"/>
      <c r="Z3093" s="177"/>
      <c r="AA3093" s="178"/>
      <c r="AB3093" s="139"/>
      <c r="AC3093" s="173"/>
      <c r="AD3093" s="177"/>
      <c r="AE3093" s="177"/>
      <c r="AF3093" s="139"/>
      <c r="AG3093" s="139"/>
      <c r="AH3093" s="177"/>
      <c r="AI3093" s="178"/>
      <c r="AJ3093" s="139"/>
      <c r="AK3093" s="173"/>
      <c r="AL3093" s="177"/>
      <c r="AM3093" s="178"/>
      <c r="AN3093" s="173"/>
      <c r="AO3093" s="173"/>
      <c r="AP3093" s="173"/>
      <c r="AQ3093" s="178"/>
      <c r="AR3093" s="173"/>
      <c r="AS3093" s="173"/>
      <c r="AT3093" s="140"/>
      <c r="AX3093" s="140"/>
      <c r="BB3093" s="173"/>
      <c r="BC3093" s="173"/>
    </row>
    <row r="3094" spans="2:55" s="134" customFormat="1" x14ac:dyDescent="0.2">
      <c r="B3094" s="145"/>
      <c r="D3094" s="145"/>
      <c r="Z3094" s="177"/>
      <c r="AA3094" s="178"/>
      <c r="AB3094" s="139"/>
      <c r="AC3094" s="173"/>
      <c r="AD3094" s="177"/>
      <c r="AE3094" s="177"/>
      <c r="AF3094" s="139"/>
      <c r="AG3094" s="139"/>
      <c r="AH3094" s="177"/>
      <c r="AI3094" s="178"/>
      <c r="AJ3094" s="139"/>
      <c r="AK3094" s="173"/>
      <c r="AL3094" s="177"/>
      <c r="AM3094" s="178"/>
      <c r="AN3094" s="173"/>
      <c r="AO3094" s="173"/>
      <c r="AP3094" s="173"/>
      <c r="AQ3094" s="178"/>
      <c r="AR3094" s="173"/>
      <c r="AS3094" s="173"/>
      <c r="AT3094" s="140"/>
      <c r="AX3094" s="140"/>
      <c r="BB3094" s="173"/>
      <c r="BC3094" s="173"/>
    </row>
    <row r="3095" spans="2:55" s="134" customFormat="1" x14ac:dyDescent="0.2">
      <c r="B3095" s="145"/>
      <c r="D3095" s="145"/>
      <c r="Z3095" s="177"/>
      <c r="AA3095" s="178"/>
      <c r="AB3095" s="139"/>
      <c r="AC3095" s="173"/>
      <c r="AD3095" s="177"/>
      <c r="AE3095" s="177"/>
      <c r="AF3095" s="139"/>
      <c r="AG3095" s="139"/>
      <c r="AH3095" s="177"/>
      <c r="AI3095" s="178"/>
      <c r="AJ3095" s="139"/>
      <c r="AK3095" s="173"/>
      <c r="AL3095" s="177"/>
      <c r="AM3095" s="178"/>
      <c r="AN3095" s="173"/>
      <c r="AO3095" s="173"/>
      <c r="AP3095" s="173"/>
      <c r="AQ3095" s="178"/>
      <c r="AR3095" s="173"/>
      <c r="AS3095" s="173"/>
      <c r="AT3095" s="140"/>
      <c r="AX3095" s="140"/>
      <c r="BB3095" s="173"/>
      <c r="BC3095" s="173"/>
    </row>
    <row r="3096" spans="2:55" s="134" customFormat="1" x14ac:dyDescent="0.2">
      <c r="B3096" s="145"/>
      <c r="D3096" s="145"/>
      <c r="Z3096" s="177"/>
      <c r="AA3096" s="178"/>
      <c r="AB3096" s="139"/>
      <c r="AC3096" s="173"/>
      <c r="AD3096" s="177"/>
      <c r="AE3096" s="177"/>
      <c r="AF3096" s="139"/>
      <c r="AG3096" s="139"/>
      <c r="AH3096" s="177"/>
      <c r="AI3096" s="178"/>
      <c r="AJ3096" s="139"/>
      <c r="AK3096" s="173"/>
      <c r="AL3096" s="177"/>
      <c r="AM3096" s="178"/>
      <c r="AN3096" s="173"/>
      <c r="AO3096" s="173"/>
      <c r="AP3096" s="173"/>
      <c r="AQ3096" s="178"/>
      <c r="AR3096" s="173"/>
      <c r="AS3096" s="173"/>
      <c r="AT3096" s="140"/>
      <c r="AX3096" s="140"/>
      <c r="BB3096" s="173"/>
      <c r="BC3096" s="173"/>
    </row>
    <row r="3097" spans="2:55" s="134" customFormat="1" x14ac:dyDescent="0.2">
      <c r="B3097" s="145"/>
      <c r="D3097" s="145"/>
      <c r="Z3097" s="177"/>
      <c r="AA3097" s="178"/>
      <c r="AB3097" s="139"/>
      <c r="AC3097" s="173"/>
      <c r="AD3097" s="177"/>
      <c r="AE3097" s="177"/>
      <c r="AF3097" s="139"/>
      <c r="AG3097" s="139"/>
      <c r="AH3097" s="177"/>
      <c r="AI3097" s="178"/>
      <c r="AJ3097" s="139"/>
      <c r="AK3097" s="173"/>
      <c r="AL3097" s="177"/>
      <c r="AM3097" s="178"/>
      <c r="AN3097" s="173"/>
      <c r="AO3097" s="173"/>
      <c r="AP3097" s="173"/>
      <c r="AQ3097" s="178"/>
      <c r="AR3097" s="173"/>
      <c r="AS3097" s="173"/>
      <c r="AT3097" s="140"/>
      <c r="AX3097" s="140"/>
      <c r="BB3097" s="173"/>
      <c r="BC3097" s="173"/>
    </row>
    <row r="3098" spans="2:55" s="134" customFormat="1" x14ac:dyDescent="0.2">
      <c r="B3098" s="145"/>
      <c r="D3098" s="145"/>
      <c r="Z3098" s="177"/>
      <c r="AA3098" s="178"/>
      <c r="AB3098" s="139"/>
      <c r="AC3098" s="173"/>
      <c r="AD3098" s="177"/>
      <c r="AE3098" s="177"/>
      <c r="AF3098" s="139"/>
      <c r="AG3098" s="139"/>
      <c r="AH3098" s="177"/>
      <c r="AI3098" s="178"/>
      <c r="AJ3098" s="139"/>
      <c r="AK3098" s="173"/>
      <c r="AL3098" s="177"/>
      <c r="AM3098" s="178"/>
      <c r="AN3098" s="173"/>
      <c r="AO3098" s="173"/>
      <c r="AP3098" s="173"/>
      <c r="AQ3098" s="178"/>
      <c r="AR3098" s="173"/>
      <c r="AS3098" s="173"/>
      <c r="AT3098" s="140"/>
      <c r="AX3098" s="140"/>
      <c r="BB3098" s="173"/>
      <c r="BC3098" s="173"/>
    </row>
    <row r="3099" spans="2:55" s="134" customFormat="1" x14ac:dyDescent="0.2">
      <c r="B3099" s="145"/>
      <c r="D3099" s="145"/>
      <c r="Z3099" s="177"/>
      <c r="AA3099" s="178"/>
      <c r="AB3099" s="139"/>
      <c r="AC3099" s="173"/>
      <c r="AD3099" s="177"/>
      <c r="AE3099" s="177"/>
      <c r="AF3099" s="139"/>
      <c r="AG3099" s="139"/>
      <c r="AH3099" s="177"/>
      <c r="AI3099" s="178"/>
      <c r="AJ3099" s="139"/>
      <c r="AK3099" s="173"/>
      <c r="AL3099" s="177"/>
      <c r="AM3099" s="178"/>
      <c r="AN3099" s="173"/>
      <c r="AO3099" s="173"/>
      <c r="AP3099" s="173"/>
      <c r="AQ3099" s="178"/>
      <c r="AR3099" s="173"/>
      <c r="AS3099" s="173"/>
      <c r="AT3099" s="140"/>
      <c r="AX3099" s="140"/>
      <c r="BB3099" s="173"/>
      <c r="BC3099" s="173"/>
    </row>
    <row r="3100" spans="2:55" s="134" customFormat="1" x14ac:dyDescent="0.2">
      <c r="B3100" s="145"/>
      <c r="D3100" s="145"/>
      <c r="Z3100" s="177"/>
      <c r="AA3100" s="178"/>
      <c r="AB3100" s="139"/>
      <c r="AC3100" s="173"/>
      <c r="AD3100" s="177"/>
      <c r="AE3100" s="177"/>
      <c r="AF3100" s="139"/>
      <c r="AG3100" s="139"/>
      <c r="AH3100" s="177"/>
      <c r="AI3100" s="178"/>
      <c r="AJ3100" s="139"/>
      <c r="AK3100" s="173"/>
      <c r="AL3100" s="177"/>
      <c r="AM3100" s="178"/>
      <c r="AN3100" s="173"/>
      <c r="AO3100" s="173"/>
      <c r="AP3100" s="173"/>
      <c r="AQ3100" s="178"/>
      <c r="AR3100" s="173"/>
      <c r="AS3100" s="173"/>
      <c r="AT3100" s="140"/>
      <c r="AX3100" s="140"/>
      <c r="BB3100" s="173"/>
      <c r="BC3100" s="173"/>
    </row>
    <row r="3101" spans="2:55" s="134" customFormat="1" x14ac:dyDescent="0.2">
      <c r="B3101" s="145"/>
      <c r="D3101" s="145"/>
      <c r="Z3101" s="177"/>
      <c r="AA3101" s="178"/>
      <c r="AB3101" s="139"/>
      <c r="AC3101" s="173"/>
      <c r="AD3101" s="177"/>
      <c r="AE3101" s="177"/>
      <c r="AF3101" s="139"/>
      <c r="AG3101" s="139"/>
      <c r="AH3101" s="177"/>
      <c r="AI3101" s="178"/>
      <c r="AJ3101" s="139"/>
      <c r="AK3101" s="173"/>
      <c r="AL3101" s="177"/>
      <c r="AM3101" s="178"/>
      <c r="AN3101" s="173"/>
      <c r="AO3101" s="173"/>
      <c r="AP3101" s="173"/>
      <c r="AQ3101" s="178"/>
      <c r="AR3101" s="173"/>
      <c r="AS3101" s="173"/>
      <c r="AT3101" s="140"/>
      <c r="AX3101" s="140"/>
      <c r="BB3101" s="173"/>
      <c r="BC3101" s="173"/>
    </row>
    <row r="3102" spans="2:55" s="134" customFormat="1" x14ac:dyDescent="0.2">
      <c r="B3102" s="145"/>
      <c r="D3102" s="145"/>
      <c r="Z3102" s="177"/>
      <c r="AA3102" s="178"/>
      <c r="AB3102" s="139"/>
      <c r="AC3102" s="173"/>
      <c r="AD3102" s="177"/>
      <c r="AE3102" s="177"/>
      <c r="AF3102" s="139"/>
      <c r="AG3102" s="139"/>
      <c r="AH3102" s="177"/>
      <c r="AI3102" s="178"/>
      <c r="AJ3102" s="139"/>
      <c r="AK3102" s="173"/>
      <c r="AL3102" s="177"/>
      <c r="AM3102" s="178"/>
      <c r="AN3102" s="173"/>
      <c r="AO3102" s="173"/>
      <c r="AP3102" s="173"/>
      <c r="AQ3102" s="178"/>
      <c r="AR3102" s="173"/>
      <c r="AS3102" s="173"/>
      <c r="AT3102" s="140"/>
      <c r="AX3102" s="140"/>
      <c r="BB3102" s="173"/>
      <c r="BC3102" s="173"/>
    </row>
    <row r="3103" spans="2:55" s="134" customFormat="1" x14ac:dyDescent="0.2">
      <c r="B3103" s="145"/>
      <c r="D3103" s="145"/>
      <c r="Z3103" s="177"/>
      <c r="AA3103" s="178"/>
      <c r="AB3103" s="139"/>
      <c r="AC3103" s="173"/>
      <c r="AD3103" s="177"/>
      <c r="AE3103" s="177"/>
      <c r="AF3103" s="139"/>
      <c r="AG3103" s="139"/>
      <c r="AH3103" s="177"/>
      <c r="AI3103" s="178"/>
      <c r="AJ3103" s="139"/>
      <c r="AK3103" s="173"/>
      <c r="AL3103" s="177"/>
      <c r="AM3103" s="178"/>
      <c r="AN3103" s="173"/>
      <c r="AO3103" s="173"/>
      <c r="AP3103" s="173"/>
      <c r="AQ3103" s="178"/>
      <c r="AR3103" s="173"/>
      <c r="AS3103" s="173"/>
      <c r="AT3103" s="140"/>
      <c r="AX3103" s="140"/>
      <c r="BB3103" s="173"/>
      <c r="BC3103" s="173"/>
    </row>
    <row r="3104" spans="2:55" s="134" customFormat="1" x14ac:dyDescent="0.2">
      <c r="B3104" s="145"/>
      <c r="D3104" s="145"/>
      <c r="Z3104" s="177"/>
      <c r="AA3104" s="178"/>
      <c r="AB3104" s="139"/>
      <c r="AC3104" s="173"/>
      <c r="AD3104" s="177"/>
      <c r="AE3104" s="177"/>
      <c r="AF3104" s="139"/>
      <c r="AG3104" s="139"/>
      <c r="AH3104" s="177"/>
      <c r="AI3104" s="178"/>
      <c r="AJ3104" s="139"/>
      <c r="AK3104" s="173"/>
      <c r="AL3104" s="177"/>
      <c r="AM3104" s="178"/>
      <c r="AN3104" s="173"/>
      <c r="AO3104" s="173"/>
      <c r="AP3104" s="173"/>
      <c r="AQ3104" s="178"/>
      <c r="AR3104" s="173"/>
      <c r="AS3104" s="173"/>
      <c r="AT3104" s="140"/>
      <c r="AX3104" s="140"/>
      <c r="BB3104" s="173"/>
      <c r="BC3104" s="173"/>
    </row>
    <row r="3105" spans="2:55" s="134" customFormat="1" x14ac:dyDescent="0.2">
      <c r="B3105" s="145"/>
      <c r="D3105" s="145"/>
      <c r="Z3105" s="177"/>
      <c r="AA3105" s="178"/>
      <c r="AB3105" s="139"/>
      <c r="AC3105" s="173"/>
      <c r="AD3105" s="177"/>
      <c r="AE3105" s="177"/>
      <c r="AF3105" s="139"/>
      <c r="AG3105" s="139"/>
      <c r="AH3105" s="177"/>
      <c r="AI3105" s="178"/>
      <c r="AJ3105" s="139"/>
      <c r="AK3105" s="173"/>
      <c r="AL3105" s="177"/>
      <c r="AM3105" s="178"/>
      <c r="AN3105" s="173"/>
      <c r="AO3105" s="173"/>
      <c r="AP3105" s="173"/>
      <c r="AQ3105" s="178"/>
      <c r="AR3105" s="173"/>
      <c r="AS3105" s="173"/>
      <c r="AT3105" s="140"/>
      <c r="AX3105" s="140"/>
      <c r="BB3105" s="173"/>
      <c r="BC3105" s="173"/>
    </row>
    <row r="3106" spans="2:55" s="134" customFormat="1" x14ac:dyDescent="0.2">
      <c r="B3106" s="145"/>
      <c r="D3106" s="145"/>
      <c r="Z3106" s="177"/>
      <c r="AA3106" s="178"/>
      <c r="AB3106" s="139"/>
      <c r="AC3106" s="173"/>
      <c r="AD3106" s="177"/>
      <c r="AE3106" s="177"/>
      <c r="AF3106" s="139"/>
      <c r="AG3106" s="139"/>
      <c r="AH3106" s="177"/>
      <c r="AI3106" s="178"/>
      <c r="AJ3106" s="139"/>
      <c r="AK3106" s="173"/>
      <c r="AL3106" s="177"/>
      <c r="AM3106" s="178"/>
      <c r="AN3106" s="173"/>
      <c r="AO3106" s="173"/>
      <c r="AP3106" s="173"/>
      <c r="AQ3106" s="178"/>
      <c r="AR3106" s="173"/>
      <c r="AS3106" s="173"/>
      <c r="AT3106" s="140"/>
      <c r="AX3106" s="140"/>
      <c r="BB3106" s="173"/>
      <c r="BC3106" s="173"/>
    </row>
    <row r="3107" spans="2:55" s="134" customFormat="1" x14ac:dyDescent="0.2">
      <c r="B3107" s="145"/>
      <c r="D3107" s="145"/>
      <c r="Z3107" s="177"/>
      <c r="AA3107" s="178"/>
      <c r="AB3107" s="139"/>
      <c r="AC3107" s="173"/>
      <c r="AD3107" s="177"/>
      <c r="AE3107" s="177"/>
      <c r="AF3107" s="139"/>
      <c r="AG3107" s="139"/>
      <c r="AH3107" s="177"/>
      <c r="AI3107" s="178"/>
      <c r="AJ3107" s="139"/>
      <c r="AK3107" s="173"/>
      <c r="AL3107" s="177"/>
      <c r="AM3107" s="178"/>
      <c r="AN3107" s="173"/>
      <c r="AO3107" s="173"/>
      <c r="AP3107" s="173"/>
      <c r="AQ3107" s="178"/>
      <c r="AR3107" s="173"/>
      <c r="AS3107" s="173"/>
      <c r="AT3107" s="140"/>
      <c r="AX3107" s="140"/>
      <c r="BB3107" s="173"/>
      <c r="BC3107" s="173"/>
    </row>
    <row r="3108" spans="2:55" s="134" customFormat="1" x14ac:dyDescent="0.2">
      <c r="B3108" s="145"/>
      <c r="D3108" s="145"/>
      <c r="Z3108" s="177"/>
      <c r="AA3108" s="178"/>
      <c r="AB3108" s="139"/>
      <c r="AC3108" s="173"/>
      <c r="AD3108" s="177"/>
      <c r="AE3108" s="177"/>
      <c r="AF3108" s="139"/>
      <c r="AG3108" s="139"/>
      <c r="AH3108" s="177"/>
      <c r="AI3108" s="178"/>
      <c r="AJ3108" s="139"/>
      <c r="AK3108" s="173"/>
      <c r="AL3108" s="177"/>
      <c r="AM3108" s="178"/>
      <c r="AN3108" s="173"/>
      <c r="AO3108" s="173"/>
      <c r="AP3108" s="173"/>
      <c r="AQ3108" s="178"/>
      <c r="AR3108" s="173"/>
      <c r="AS3108" s="173"/>
      <c r="AT3108" s="140"/>
      <c r="AX3108" s="140"/>
      <c r="BB3108" s="173"/>
      <c r="BC3108" s="173"/>
    </row>
    <row r="3109" spans="2:55" s="134" customFormat="1" x14ac:dyDescent="0.2">
      <c r="B3109" s="145"/>
      <c r="D3109" s="145"/>
      <c r="Z3109" s="177"/>
      <c r="AA3109" s="178"/>
      <c r="AB3109" s="139"/>
      <c r="AC3109" s="173"/>
      <c r="AD3109" s="177"/>
      <c r="AE3109" s="177"/>
      <c r="AF3109" s="139"/>
      <c r="AG3109" s="139"/>
      <c r="AH3109" s="177"/>
      <c r="AI3109" s="178"/>
      <c r="AJ3109" s="139"/>
      <c r="AK3109" s="173"/>
      <c r="AL3109" s="177"/>
      <c r="AM3109" s="178"/>
      <c r="AN3109" s="173"/>
      <c r="AO3109" s="173"/>
      <c r="AP3109" s="173"/>
      <c r="AQ3109" s="178"/>
      <c r="AR3109" s="173"/>
      <c r="AS3109" s="173"/>
      <c r="AT3109" s="140"/>
      <c r="AX3109" s="140"/>
      <c r="BB3109" s="173"/>
      <c r="BC3109" s="173"/>
    </row>
    <row r="3110" spans="2:55" s="134" customFormat="1" x14ac:dyDescent="0.2">
      <c r="B3110" s="145"/>
      <c r="D3110" s="145"/>
      <c r="Z3110" s="177"/>
      <c r="AA3110" s="178"/>
      <c r="AB3110" s="139"/>
      <c r="AC3110" s="173"/>
      <c r="AD3110" s="177"/>
      <c r="AE3110" s="177"/>
      <c r="AF3110" s="139"/>
      <c r="AG3110" s="139"/>
      <c r="AH3110" s="177"/>
      <c r="AI3110" s="178"/>
      <c r="AJ3110" s="139"/>
      <c r="AK3110" s="173"/>
      <c r="AL3110" s="177"/>
      <c r="AM3110" s="178"/>
      <c r="AN3110" s="173"/>
      <c r="AO3110" s="173"/>
      <c r="AP3110" s="173"/>
      <c r="AQ3110" s="178"/>
      <c r="AR3110" s="173"/>
      <c r="AS3110" s="173"/>
      <c r="AT3110" s="140"/>
      <c r="AX3110" s="140"/>
      <c r="BB3110" s="173"/>
      <c r="BC3110" s="173"/>
    </row>
    <row r="3111" spans="2:55" s="134" customFormat="1" x14ac:dyDescent="0.2">
      <c r="B3111" s="145"/>
      <c r="D3111" s="145"/>
      <c r="Z3111" s="177"/>
      <c r="AA3111" s="178"/>
      <c r="AB3111" s="139"/>
      <c r="AC3111" s="173"/>
      <c r="AD3111" s="177"/>
      <c r="AE3111" s="177"/>
      <c r="AF3111" s="139"/>
      <c r="AG3111" s="139"/>
      <c r="AH3111" s="177"/>
      <c r="AI3111" s="178"/>
      <c r="AJ3111" s="139"/>
      <c r="AK3111" s="173"/>
      <c r="AL3111" s="177"/>
      <c r="AM3111" s="178"/>
      <c r="AN3111" s="173"/>
      <c r="AO3111" s="173"/>
      <c r="AP3111" s="173"/>
      <c r="AQ3111" s="178"/>
      <c r="AR3111" s="173"/>
      <c r="AS3111" s="173"/>
      <c r="AT3111" s="140"/>
      <c r="AX3111" s="140"/>
      <c r="BB3111" s="173"/>
      <c r="BC3111" s="173"/>
    </row>
    <row r="3112" spans="2:55" s="134" customFormat="1" x14ac:dyDescent="0.2">
      <c r="B3112" s="145"/>
      <c r="D3112" s="145"/>
      <c r="Z3112" s="177"/>
      <c r="AA3112" s="178"/>
      <c r="AB3112" s="139"/>
      <c r="AC3112" s="173"/>
      <c r="AD3112" s="177"/>
      <c r="AE3112" s="177"/>
      <c r="AF3112" s="139"/>
      <c r="AG3112" s="139"/>
      <c r="AH3112" s="177"/>
      <c r="AI3112" s="178"/>
      <c r="AJ3112" s="139"/>
      <c r="AK3112" s="173"/>
      <c r="AL3112" s="177"/>
      <c r="AM3112" s="178"/>
      <c r="AN3112" s="173"/>
      <c r="AO3112" s="173"/>
      <c r="AP3112" s="173"/>
      <c r="AQ3112" s="178"/>
      <c r="AR3112" s="173"/>
      <c r="AS3112" s="173"/>
      <c r="AT3112" s="140"/>
      <c r="AX3112" s="140"/>
      <c r="BB3112" s="173"/>
      <c r="BC3112" s="173"/>
    </row>
    <row r="3113" spans="2:55" s="134" customFormat="1" x14ac:dyDescent="0.2">
      <c r="B3113" s="145"/>
      <c r="D3113" s="145"/>
      <c r="Z3113" s="177"/>
      <c r="AA3113" s="178"/>
      <c r="AB3113" s="139"/>
      <c r="AC3113" s="173"/>
      <c r="AD3113" s="177"/>
      <c r="AE3113" s="177"/>
      <c r="AF3113" s="139"/>
      <c r="AG3113" s="139"/>
      <c r="AH3113" s="177"/>
      <c r="AI3113" s="178"/>
      <c r="AJ3113" s="139"/>
      <c r="AK3113" s="173"/>
      <c r="AL3113" s="177"/>
      <c r="AM3113" s="178"/>
      <c r="AN3113" s="173"/>
      <c r="AO3113" s="173"/>
      <c r="AP3113" s="173"/>
      <c r="AQ3113" s="178"/>
      <c r="AR3113" s="173"/>
      <c r="AS3113" s="173"/>
      <c r="AT3113" s="140"/>
      <c r="AX3113" s="140"/>
      <c r="BB3113" s="173"/>
      <c r="BC3113" s="173"/>
    </row>
    <row r="3114" spans="2:55" s="134" customFormat="1" x14ac:dyDescent="0.2">
      <c r="B3114" s="145"/>
      <c r="D3114" s="145"/>
      <c r="Z3114" s="177"/>
      <c r="AA3114" s="178"/>
      <c r="AB3114" s="139"/>
      <c r="AC3114" s="173"/>
      <c r="AD3114" s="177"/>
      <c r="AE3114" s="177"/>
      <c r="AF3114" s="139"/>
      <c r="AG3114" s="139"/>
      <c r="AH3114" s="177"/>
      <c r="AI3114" s="178"/>
      <c r="AJ3114" s="139"/>
      <c r="AK3114" s="173"/>
      <c r="AL3114" s="177"/>
      <c r="AM3114" s="178"/>
      <c r="AN3114" s="173"/>
      <c r="AO3114" s="173"/>
      <c r="AP3114" s="173"/>
      <c r="AQ3114" s="178"/>
      <c r="AR3114" s="173"/>
      <c r="AS3114" s="173"/>
      <c r="AT3114" s="140"/>
      <c r="AX3114" s="140"/>
      <c r="BB3114" s="173"/>
      <c r="BC3114" s="173"/>
    </row>
    <row r="3115" spans="2:55" s="134" customFormat="1" x14ac:dyDescent="0.2">
      <c r="B3115" s="145"/>
      <c r="D3115" s="145"/>
      <c r="Z3115" s="177"/>
      <c r="AA3115" s="178"/>
      <c r="AB3115" s="139"/>
      <c r="AC3115" s="173"/>
      <c r="AD3115" s="177"/>
      <c r="AE3115" s="177"/>
      <c r="AF3115" s="139"/>
      <c r="AG3115" s="139"/>
      <c r="AH3115" s="177"/>
      <c r="AI3115" s="178"/>
      <c r="AJ3115" s="139"/>
      <c r="AK3115" s="173"/>
      <c r="AL3115" s="177"/>
      <c r="AM3115" s="178"/>
      <c r="AN3115" s="173"/>
      <c r="AO3115" s="173"/>
      <c r="AP3115" s="173"/>
      <c r="AQ3115" s="178"/>
      <c r="AR3115" s="173"/>
      <c r="AS3115" s="173"/>
      <c r="AT3115" s="140"/>
      <c r="AX3115" s="140"/>
      <c r="BB3115" s="173"/>
      <c r="BC3115" s="173"/>
    </row>
    <row r="3116" spans="2:55" s="134" customFormat="1" x14ac:dyDescent="0.2">
      <c r="B3116" s="145"/>
      <c r="D3116" s="145"/>
      <c r="Z3116" s="177"/>
      <c r="AA3116" s="178"/>
      <c r="AB3116" s="139"/>
      <c r="AC3116" s="173"/>
      <c r="AD3116" s="177"/>
      <c r="AE3116" s="177"/>
      <c r="AF3116" s="139"/>
      <c r="AG3116" s="139"/>
      <c r="AH3116" s="177"/>
      <c r="AI3116" s="178"/>
      <c r="AJ3116" s="139"/>
      <c r="AK3116" s="173"/>
      <c r="AL3116" s="177"/>
      <c r="AM3116" s="178"/>
      <c r="AN3116" s="173"/>
      <c r="AO3116" s="173"/>
      <c r="AP3116" s="173"/>
      <c r="AQ3116" s="178"/>
      <c r="AR3116" s="173"/>
      <c r="AS3116" s="173"/>
      <c r="AT3116" s="140"/>
      <c r="AX3116" s="140"/>
      <c r="BB3116" s="173"/>
      <c r="BC3116" s="173"/>
    </row>
    <row r="3117" spans="2:55" s="134" customFormat="1" x14ac:dyDescent="0.2">
      <c r="B3117" s="145"/>
      <c r="D3117" s="145"/>
      <c r="Z3117" s="177"/>
      <c r="AA3117" s="178"/>
      <c r="AB3117" s="139"/>
      <c r="AC3117" s="173"/>
      <c r="AD3117" s="177"/>
      <c r="AE3117" s="177"/>
      <c r="AF3117" s="139"/>
      <c r="AG3117" s="139"/>
      <c r="AH3117" s="177"/>
      <c r="AI3117" s="178"/>
      <c r="AJ3117" s="139"/>
      <c r="AK3117" s="173"/>
      <c r="AL3117" s="177"/>
      <c r="AM3117" s="178"/>
      <c r="AN3117" s="173"/>
      <c r="AO3117" s="173"/>
      <c r="AP3117" s="173"/>
      <c r="AQ3117" s="178"/>
      <c r="AR3117" s="173"/>
      <c r="AS3117" s="173"/>
      <c r="AT3117" s="140"/>
      <c r="AX3117" s="140"/>
      <c r="BB3117" s="173"/>
      <c r="BC3117" s="173"/>
    </row>
    <row r="3118" spans="2:55" s="134" customFormat="1" x14ac:dyDescent="0.2">
      <c r="B3118" s="145"/>
      <c r="D3118" s="145"/>
      <c r="Z3118" s="177"/>
      <c r="AA3118" s="178"/>
      <c r="AB3118" s="139"/>
      <c r="AC3118" s="173"/>
      <c r="AD3118" s="177"/>
      <c r="AE3118" s="177"/>
      <c r="AF3118" s="139"/>
      <c r="AG3118" s="139"/>
      <c r="AH3118" s="177"/>
      <c r="AI3118" s="178"/>
      <c r="AJ3118" s="139"/>
      <c r="AK3118" s="173"/>
      <c r="AL3118" s="177"/>
      <c r="AM3118" s="178"/>
      <c r="AN3118" s="173"/>
      <c r="AO3118" s="173"/>
      <c r="AP3118" s="173"/>
      <c r="AQ3118" s="178"/>
      <c r="AR3118" s="173"/>
      <c r="AS3118" s="173"/>
      <c r="AT3118" s="140"/>
      <c r="AX3118" s="140"/>
      <c r="BB3118" s="173"/>
      <c r="BC3118" s="173"/>
    </row>
    <row r="3119" spans="2:55" s="134" customFormat="1" x14ac:dyDescent="0.2">
      <c r="B3119" s="145"/>
      <c r="D3119" s="145"/>
      <c r="Z3119" s="177"/>
      <c r="AA3119" s="178"/>
      <c r="AB3119" s="139"/>
      <c r="AC3119" s="173"/>
      <c r="AD3119" s="177"/>
      <c r="AE3119" s="177"/>
      <c r="AF3119" s="139"/>
      <c r="AG3119" s="139"/>
      <c r="AH3119" s="177"/>
      <c r="AI3119" s="178"/>
      <c r="AJ3119" s="139"/>
      <c r="AK3119" s="173"/>
      <c r="AL3119" s="177"/>
      <c r="AM3119" s="178"/>
      <c r="AN3119" s="173"/>
      <c r="AO3119" s="173"/>
      <c r="AP3119" s="173"/>
      <c r="AQ3119" s="178"/>
      <c r="AR3119" s="173"/>
      <c r="AS3119" s="173"/>
      <c r="AT3119" s="140"/>
      <c r="AX3119" s="140"/>
      <c r="BB3119" s="173"/>
      <c r="BC3119" s="173"/>
    </row>
    <row r="3120" spans="2:55" s="134" customFormat="1" x14ac:dyDescent="0.2">
      <c r="B3120" s="145"/>
      <c r="D3120" s="145"/>
      <c r="Z3120" s="177"/>
      <c r="AA3120" s="178"/>
      <c r="AB3120" s="139"/>
      <c r="AC3120" s="173"/>
      <c r="AD3120" s="177"/>
      <c r="AE3120" s="177"/>
      <c r="AF3120" s="139"/>
      <c r="AG3120" s="139"/>
      <c r="AH3120" s="177"/>
      <c r="AI3120" s="178"/>
      <c r="AJ3120" s="139"/>
      <c r="AK3120" s="173"/>
      <c r="AL3120" s="177"/>
      <c r="AM3120" s="178"/>
      <c r="AN3120" s="173"/>
      <c r="AO3120" s="173"/>
      <c r="AP3120" s="173"/>
      <c r="AQ3120" s="178"/>
      <c r="AR3120" s="173"/>
      <c r="AS3120" s="173"/>
      <c r="AT3120" s="140"/>
      <c r="AX3120" s="140"/>
      <c r="BB3120" s="173"/>
      <c r="BC3120" s="173"/>
    </row>
    <row r="3121" spans="2:55" s="134" customFormat="1" x14ac:dyDescent="0.2">
      <c r="B3121" s="145"/>
      <c r="D3121" s="145"/>
      <c r="Z3121" s="177"/>
      <c r="AA3121" s="178"/>
      <c r="AB3121" s="139"/>
      <c r="AC3121" s="173"/>
      <c r="AD3121" s="177"/>
      <c r="AE3121" s="177"/>
      <c r="AF3121" s="139"/>
      <c r="AG3121" s="139"/>
      <c r="AH3121" s="177"/>
      <c r="AI3121" s="178"/>
      <c r="AJ3121" s="139"/>
      <c r="AK3121" s="173"/>
      <c r="AL3121" s="177"/>
      <c r="AM3121" s="178"/>
      <c r="AN3121" s="173"/>
      <c r="AO3121" s="173"/>
      <c r="AP3121" s="173"/>
      <c r="AQ3121" s="178"/>
      <c r="AR3121" s="173"/>
      <c r="AS3121" s="173"/>
      <c r="AT3121" s="140"/>
      <c r="AX3121" s="140"/>
      <c r="BB3121" s="173"/>
      <c r="BC3121" s="173"/>
    </row>
    <row r="3122" spans="2:55" s="134" customFormat="1" x14ac:dyDescent="0.2">
      <c r="B3122" s="145"/>
      <c r="D3122" s="145"/>
      <c r="Z3122" s="177"/>
      <c r="AA3122" s="178"/>
      <c r="AB3122" s="139"/>
      <c r="AC3122" s="173"/>
      <c r="AD3122" s="177"/>
      <c r="AE3122" s="177"/>
      <c r="AF3122" s="139"/>
      <c r="AG3122" s="139"/>
      <c r="AH3122" s="177"/>
      <c r="AI3122" s="178"/>
      <c r="AJ3122" s="139"/>
      <c r="AK3122" s="173"/>
      <c r="AL3122" s="177"/>
      <c r="AM3122" s="178"/>
      <c r="AN3122" s="173"/>
      <c r="AO3122" s="173"/>
      <c r="AP3122" s="173"/>
      <c r="AQ3122" s="178"/>
      <c r="AR3122" s="173"/>
      <c r="AS3122" s="173"/>
      <c r="AT3122" s="140"/>
      <c r="AX3122" s="140"/>
      <c r="BB3122" s="173"/>
      <c r="BC3122" s="173"/>
    </row>
    <row r="3123" spans="2:55" s="134" customFormat="1" x14ac:dyDescent="0.2">
      <c r="B3123" s="145"/>
      <c r="D3123" s="145"/>
      <c r="Z3123" s="177"/>
      <c r="AA3123" s="178"/>
      <c r="AB3123" s="139"/>
      <c r="AC3123" s="173"/>
      <c r="AD3123" s="177"/>
      <c r="AE3123" s="177"/>
      <c r="AF3123" s="139"/>
      <c r="AG3123" s="139"/>
      <c r="AH3123" s="177"/>
      <c r="AI3123" s="178"/>
      <c r="AJ3123" s="139"/>
      <c r="AK3123" s="173"/>
      <c r="AL3123" s="177"/>
      <c r="AM3123" s="178"/>
      <c r="AN3123" s="173"/>
      <c r="AO3123" s="173"/>
      <c r="AP3123" s="173"/>
      <c r="AQ3123" s="178"/>
      <c r="AR3123" s="173"/>
      <c r="AS3123" s="173"/>
      <c r="AT3123" s="140"/>
      <c r="AX3123" s="140"/>
      <c r="BB3123" s="173"/>
      <c r="BC3123" s="173"/>
    </row>
    <row r="3124" spans="2:55" s="134" customFormat="1" x14ac:dyDescent="0.2">
      <c r="B3124" s="145"/>
      <c r="D3124" s="145"/>
      <c r="Z3124" s="177"/>
      <c r="AA3124" s="178"/>
      <c r="AB3124" s="139"/>
      <c r="AC3124" s="173"/>
      <c r="AD3124" s="177"/>
      <c r="AE3124" s="177"/>
      <c r="AF3124" s="139"/>
      <c r="AG3124" s="139"/>
      <c r="AH3124" s="177"/>
      <c r="AI3124" s="178"/>
      <c r="AJ3124" s="139"/>
      <c r="AK3124" s="173"/>
      <c r="AL3124" s="177"/>
      <c r="AM3124" s="178"/>
      <c r="AN3124" s="173"/>
      <c r="AO3124" s="173"/>
      <c r="AP3124" s="173"/>
      <c r="AQ3124" s="178"/>
      <c r="AR3124" s="173"/>
      <c r="AS3124" s="173"/>
      <c r="AT3124" s="140"/>
      <c r="AX3124" s="140"/>
      <c r="BB3124" s="173"/>
      <c r="BC3124" s="173"/>
    </row>
    <row r="3125" spans="2:55" s="134" customFormat="1" x14ac:dyDescent="0.2">
      <c r="B3125" s="145"/>
      <c r="D3125" s="145"/>
      <c r="Z3125" s="177"/>
      <c r="AA3125" s="178"/>
      <c r="AB3125" s="139"/>
      <c r="AC3125" s="173"/>
      <c r="AD3125" s="177"/>
      <c r="AE3125" s="177"/>
      <c r="AF3125" s="139"/>
      <c r="AG3125" s="139"/>
      <c r="AH3125" s="177"/>
      <c r="AI3125" s="178"/>
      <c r="AJ3125" s="139"/>
      <c r="AK3125" s="173"/>
      <c r="AL3125" s="177"/>
      <c r="AM3125" s="178"/>
      <c r="AN3125" s="173"/>
      <c r="AO3125" s="173"/>
      <c r="AP3125" s="173"/>
      <c r="AQ3125" s="178"/>
      <c r="AR3125" s="173"/>
      <c r="AS3125" s="173"/>
      <c r="AT3125" s="140"/>
      <c r="AX3125" s="140"/>
      <c r="BB3125" s="173"/>
      <c r="BC3125" s="173"/>
    </row>
    <row r="3126" spans="2:55" s="134" customFormat="1" x14ac:dyDescent="0.2">
      <c r="B3126" s="145"/>
      <c r="D3126" s="145"/>
      <c r="Z3126" s="177"/>
      <c r="AA3126" s="178"/>
      <c r="AB3126" s="139"/>
      <c r="AC3126" s="173"/>
      <c r="AD3126" s="177"/>
      <c r="AE3126" s="177"/>
      <c r="AF3126" s="139"/>
      <c r="AG3126" s="139"/>
      <c r="AH3126" s="177"/>
      <c r="AI3126" s="178"/>
      <c r="AJ3126" s="139"/>
      <c r="AK3126" s="173"/>
      <c r="AL3126" s="177"/>
      <c r="AM3126" s="178"/>
      <c r="AN3126" s="173"/>
      <c r="AO3126" s="173"/>
      <c r="AP3126" s="173"/>
      <c r="AQ3126" s="178"/>
      <c r="AR3126" s="173"/>
      <c r="AS3126" s="173"/>
      <c r="AT3126" s="140"/>
      <c r="AX3126" s="140"/>
      <c r="BB3126" s="173"/>
      <c r="BC3126" s="173"/>
    </row>
    <row r="3127" spans="2:55" s="134" customFormat="1" x14ac:dyDescent="0.2">
      <c r="B3127" s="145"/>
      <c r="D3127" s="145"/>
      <c r="Z3127" s="177"/>
      <c r="AA3127" s="178"/>
      <c r="AB3127" s="139"/>
      <c r="AC3127" s="173"/>
      <c r="AD3127" s="177"/>
      <c r="AE3127" s="177"/>
      <c r="AF3127" s="139"/>
      <c r="AG3127" s="139"/>
      <c r="AH3127" s="177"/>
      <c r="AI3127" s="178"/>
      <c r="AJ3127" s="139"/>
      <c r="AK3127" s="173"/>
      <c r="AL3127" s="177"/>
      <c r="AM3127" s="178"/>
      <c r="AN3127" s="173"/>
      <c r="AO3127" s="173"/>
      <c r="AP3127" s="173"/>
      <c r="AQ3127" s="178"/>
      <c r="AR3127" s="173"/>
      <c r="AS3127" s="173"/>
      <c r="AT3127" s="140"/>
      <c r="AX3127" s="140"/>
      <c r="BB3127" s="173"/>
      <c r="BC3127" s="173"/>
    </row>
    <row r="3128" spans="2:55" s="134" customFormat="1" x14ac:dyDescent="0.2">
      <c r="B3128" s="145"/>
      <c r="D3128" s="145"/>
      <c r="Z3128" s="177"/>
      <c r="AA3128" s="178"/>
      <c r="AB3128" s="139"/>
      <c r="AC3128" s="173"/>
      <c r="AD3128" s="177"/>
      <c r="AE3128" s="177"/>
      <c r="AF3128" s="139"/>
      <c r="AG3128" s="139"/>
      <c r="AH3128" s="177"/>
      <c r="AI3128" s="178"/>
      <c r="AJ3128" s="139"/>
      <c r="AK3128" s="173"/>
      <c r="AL3128" s="177"/>
      <c r="AM3128" s="178"/>
      <c r="AN3128" s="173"/>
      <c r="AO3128" s="173"/>
      <c r="AP3128" s="173"/>
      <c r="AQ3128" s="178"/>
      <c r="AR3128" s="173"/>
      <c r="AS3128" s="173"/>
      <c r="AT3128" s="140"/>
      <c r="AX3128" s="140"/>
      <c r="BB3128" s="173"/>
      <c r="BC3128" s="173"/>
    </row>
    <row r="3129" spans="2:55" s="134" customFormat="1" x14ac:dyDescent="0.2">
      <c r="B3129" s="145"/>
      <c r="D3129" s="145"/>
      <c r="Z3129" s="177"/>
      <c r="AA3129" s="178"/>
      <c r="AB3129" s="139"/>
      <c r="AC3129" s="173"/>
      <c r="AD3129" s="177"/>
      <c r="AE3129" s="177"/>
      <c r="AF3129" s="139"/>
      <c r="AG3129" s="139"/>
      <c r="AH3129" s="177"/>
      <c r="AI3129" s="178"/>
      <c r="AJ3129" s="139"/>
      <c r="AK3129" s="173"/>
      <c r="AL3129" s="177"/>
      <c r="AM3129" s="178"/>
      <c r="AN3129" s="173"/>
      <c r="AO3129" s="173"/>
      <c r="AP3129" s="173"/>
      <c r="AQ3129" s="178"/>
      <c r="AR3129" s="173"/>
      <c r="AS3129" s="173"/>
      <c r="AT3129" s="140"/>
      <c r="AX3129" s="140"/>
      <c r="BB3129" s="173"/>
      <c r="BC3129" s="173"/>
    </row>
    <row r="3130" spans="2:55" s="134" customFormat="1" x14ac:dyDescent="0.2">
      <c r="B3130" s="145"/>
      <c r="D3130" s="145"/>
      <c r="Z3130" s="177"/>
      <c r="AA3130" s="178"/>
      <c r="AB3130" s="139"/>
      <c r="AC3130" s="173"/>
      <c r="AD3130" s="177"/>
      <c r="AE3130" s="177"/>
      <c r="AF3130" s="139"/>
      <c r="AG3130" s="139"/>
      <c r="AH3130" s="177"/>
      <c r="AI3130" s="178"/>
      <c r="AJ3130" s="139"/>
      <c r="AK3130" s="173"/>
      <c r="AL3130" s="177"/>
      <c r="AM3130" s="178"/>
      <c r="AN3130" s="173"/>
      <c r="AO3130" s="173"/>
      <c r="AP3130" s="173"/>
      <c r="AQ3130" s="178"/>
      <c r="AR3130" s="173"/>
      <c r="AS3130" s="173"/>
      <c r="AT3130" s="140"/>
      <c r="AX3130" s="140"/>
      <c r="BB3130" s="173"/>
      <c r="BC3130" s="173"/>
    </row>
    <row r="3131" spans="2:55" s="134" customFormat="1" x14ac:dyDescent="0.2">
      <c r="B3131" s="145"/>
      <c r="D3131" s="145"/>
      <c r="Z3131" s="177"/>
      <c r="AA3131" s="178"/>
      <c r="AB3131" s="139"/>
      <c r="AC3131" s="173"/>
      <c r="AD3131" s="177"/>
      <c r="AE3131" s="177"/>
      <c r="AF3131" s="139"/>
      <c r="AG3131" s="139"/>
      <c r="AH3131" s="177"/>
      <c r="AI3131" s="178"/>
      <c r="AJ3131" s="139"/>
      <c r="AK3131" s="173"/>
      <c r="AL3131" s="177"/>
      <c r="AM3131" s="178"/>
      <c r="AN3131" s="173"/>
      <c r="AO3131" s="173"/>
      <c r="AP3131" s="173"/>
      <c r="AQ3131" s="178"/>
      <c r="AR3131" s="173"/>
      <c r="AS3131" s="173"/>
      <c r="AT3131" s="140"/>
      <c r="AX3131" s="140"/>
      <c r="BB3131" s="173"/>
      <c r="BC3131" s="173"/>
    </row>
    <row r="3132" spans="2:55" s="134" customFormat="1" x14ac:dyDescent="0.2">
      <c r="B3132" s="145"/>
      <c r="D3132" s="145"/>
      <c r="Z3132" s="177"/>
      <c r="AA3132" s="178"/>
      <c r="AB3132" s="139"/>
      <c r="AC3132" s="173"/>
      <c r="AD3132" s="177"/>
      <c r="AE3132" s="177"/>
      <c r="AF3132" s="139"/>
      <c r="AG3132" s="139"/>
      <c r="AH3132" s="177"/>
      <c r="AI3132" s="178"/>
      <c r="AJ3132" s="139"/>
      <c r="AK3132" s="173"/>
      <c r="AL3132" s="177"/>
      <c r="AM3132" s="178"/>
      <c r="AN3132" s="173"/>
      <c r="AO3132" s="173"/>
      <c r="AP3132" s="173"/>
      <c r="AQ3132" s="178"/>
      <c r="AR3132" s="173"/>
      <c r="AS3132" s="173"/>
      <c r="AT3132" s="140"/>
      <c r="AX3132" s="140"/>
      <c r="BB3132" s="173"/>
      <c r="BC3132" s="173"/>
    </row>
    <row r="3133" spans="2:55" s="134" customFormat="1" x14ac:dyDescent="0.2">
      <c r="B3133" s="145"/>
      <c r="D3133" s="145"/>
      <c r="Z3133" s="177"/>
      <c r="AA3133" s="178"/>
      <c r="AB3133" s="139"/>
      <c r="AC3133" s="173"/>
      <c r="AD3133" s="177"/>
      <c r="AE3133" s="177"/>
      <c r="AF3133" s="139"/>
      <c r="AG3133" s="139"/>
      <c r="AH3133" s="177"/>
      <c r="AI3133" s="178"/>
      <c r="AJ3133" s="139"/>
      <c r="AK3133" s="173"/>
      <c r="AL3133" s="177"/>
      <c r="AM3133" s="178"/>
      <c r="AN3133" s="173"/>
      <c r="AO3133" s="173"/>
      <c r="AP3133" s="173"/>
      <c r="AQ3133" s="178"/>
      <c r="AR3133" s="173"/>
      <c r="AS3133" s="173"/>
      <c r="AT3133" s="140"/>
      <c r="AX3133" s="140"/>
      <c r="BB3133" s="173"/>
      <c r="BC3133" s="173"/>
    </row>
    <row r="3134" spans="2:55" s="134" customFormat="1" x14ac:dyDescent="0.2">
      <c r="B3134" s="145"/>
      <c r="D3134" s="145"/>
      <c r="Z3134" s="177"/>
      <c r="AA3134" s="178"/>
      <c r="AB3134" s="139"/>
      <c r="AC3134" s="173"/>
      <c r="AD3134" s="177"/>
      <c r="AE3134" s="177"/>
      <c r="AF3134" s="139"/>
      <c r="AG3134" s="139"/>
      <c r="AH3134" s="177"/>
      <c r="AI3134" s="178"/>
      <c r="AJ3134" s="139"/>
      <c r="AK3134" s="173"/>
      <c r="AL3134" s="177"/>
      <c r="AM3134" s="178"/>
      <c r="AN3134" s="173"/>
      <c r="AO3134" s="173"/>
      <c r="AP3134" s="173"/>
      <c r="AQ3134" s="178"/>
      <c r="AR3134" s="173"/>
      <c r="AS3134" s="173"/>
      <c r="AT3134" s="140"/>
      <c r="AX3134" s="140"/>
      <c r="BB3134" s="173"/>
      <c r="BC3134" s="173"/>
    </row>
    <row r="3135" spans="2:55" s="134" customFormat="1" x14ac:dyDescent="0.2">
      <c r="B3135" s="145"/>
      <c r="D3135" s="145"/>
      <c r="Z3135" s="177"/>
      <c r="AA3135" s="178"/>
      <c r="AB3135" s="139"/>
      <c r="AC3135" s="173"/>
      <c r="AD3135" s="177"/>
      <c r="AE3135" s="177"/>
      <c r="AF3135" s="139"/>
      <c r="AG3135" s="139"/>
      <c r="AH3135" s="177"/>
      <c r="AI3135" s="178"/>
      <c r="AJ3135" s="139"/>
      <c r="AK3135" s="173"/>
      <c r="AL3135" s="177"/>
      <c r="AM3135" s="178"/>
      <c r="AN3135" s="173"/>
      <c r="AO3135" s="173"/>
      <c r="AP3135" s="173"/>
      <c r="AQ3135" s="178"/>
      <c r="AR3135" s="173"/>
      <c r="AS3135" s="173"/>
      <c r="AT3135" s="140"/>
      <c r="AX3135" s="140"/>
      <c r="BB3135" s="173"/>
      <c r="BC3135" s="173"/>
    </row>
    <row r="3136" spans="2:55" s="134" customFormat="1" x14ac:dyDescent="0.2">
      <c r="B3136" s="145"/>
      <c r="D3136" s="145"/>
      <c r="Z3136" s="177"/>
      <c r="AA3136" s="178"/>
      <c r="AB3136" s="139"/>
      <c r="AC3136" s="173"/>
      <c r="AD3136" s="177"/>
      <c r="AE3136" s="177"/>
      <c r="AF3136" s="139"/>
      <c r="AG3136" s="139"/>
      <c r="AH3136" s="177"/>
      <c r="AI3136" s="178"/>
      <c r="AJ3136" s="139"/>
      <c r="AK3136" s="173"/>
      <c r="AL3136" s="177"/>
      <c r="AM3136" s="178"/>
      <c r="AN3136" s="173"/>
      <c r="AO3136" s="173"/>
      <c r="AP3136" s="173"/>
      <c r="AQ3136" s="178"/>
      <c r="AR3136" s="173"/>
      <c r="AS3136" s="173"/>
      <c r="AT3136" s="140"/>
      <c r="AX3136" s="140"/>
      <c r="BB3136" s="173"/>
      <c r="BC3136" s="173"/>
    </row>
    <row r="3137" spans="2:55" s="134" customFormat="1" x14ac:dyDescent="0.2">
      <c r="B3137" s="145"/>
      <c r="D3137" s="145"/>
      <c r="Z3137" s="177"/>
      <c r="AA3137" s="178"/>
      <c r="AB3137" s="139"/>
      <c r="AC3137" s="173"/>
      <c r="AD3137" s="177"/>
      <c r="AE3137" s="177"/>
      <c r="AF3137" s="139"/>
      <c r="AG3137" s="139"/>
      <c r="AH3137" s="177"/>
      <c r="AI3137" s="178"/>
      <c r="AJ3137" s="139"/>
      <c r="AK3137" s="173"/>
      <c r="AL3137" s="177"/>
      <c r="AM3137" s="178"/>
      <c r="AN3137" s="173"/>
      <c r="AO3137" s="173"/>
      <c r="AP3137" s="173"/>
      <c r="AQ3137" s="178"/>
      <c r="AR3137" s="173"/>
      <c r="AS3137" s="173"/>
      <c r="AT3137" s="140"/>
      <c r="AX3137" s="140"/>
      <c r="BB3137" s="173"/>
      <c r="BC3137" s="173"/>
    </row>
    <row r="3138" spans="2:55" s="134" customFormat="1" x14ac:dyDescent="0.2">
      <c r="B3138" s="145"/>
      <c r="D3138" s="145"/>
      <c r="Z3138" s="177"/>
      <c r="AA3138" s="178"/>
      <c r="AB3138" s="139"/>
      <c r="AC3138" s="173"/>
      <c r="AD3138" s="177"/>
      <c r="AE3138" s="177"/>
      <c r="AF3138" s="139"/>
      <c r="AG3138" s="139"/>
      <c r="AH3138" s="177"/>
      <c r="AI3138" s="178"/>
      <c r="AJ3138" s="139"/>
      <c r="AK3138" s="173"/>
      <c r="AL3138" s="177"/>
      <c r="AM3138" s="178"/>
      <c r="AN3138" s="173"/>
      <c r="AO3138" s="173"/>
      <c r="AP3138" s="173"/>
      <c r="AQ3138" s="178"/>
      <c r="AR3138" s="173"/>
      <c r="AS3138" s="173"/>
      <c r="AT3138" s="140"/>
      <c r="AX3138" s="140"/>
      <c r="BB3138" s="173"/>
      <c r="BC3138" s="173"/>
    </row>
    <row r="3139" spans="2:55" s="134" customFormat="1" x14ac:dyDescent="0.2">
      <c r="B3139" s="145"/>
      <c r="D3139" s="145"/>
      <c r="Z3139" s="177"/>
      <c r="AA3139" s="178"/>
      <c r="AB3139" s="139"/>
      <c r="AC3139" s="173"/>
      <c r="AD3139" s="177"/>
      <c r="AE3139" s="177"/>
      <c r="AF3139" s="139"/>
      <c r="AG3139" s="139"/>
      <c r="AH3139" s="177"/>
      <c r="AI3139" s="178"/>
      <c r="AJ3139" s="139"/>
      <c r="AK3139" s="173"/>
      <c r="AL3139" s="177"/>
      <c r="AM3139" s="178"/>
      <c r="AN3139" s="173"/>
      <c r="AO3139" s="173"/>
      <c r="AP3139" s="173"/>
      <c r="AQ3139" s="178"/>
      <c r="AR3139" s="173"/>
      <c r="AS3139" s="173"/>
      <c r="AT3139" s="140"/>
      <c r="AX3139" s="140"/>
      <c r="BB3139" s="173"/>
      <c r="BC3139" s="173"/>
    </row>
    <row r="3140" spans="2:55" s="134" customFormat="1" x14ac:dyDescent="0.2">
      <c r="B3140" s="145"/>
      <c r="D3140" s="145"/>
      <c r="Z3140" s="177"/>
      <c r="AA3140" s="178"/>
      <c r="AB3140" s="139"/>
      <c r="AC3140" s="173"/>
      <c r="AD3140" s="177"/>
      <c r="AE3140" s="177"/>
      <c r="AF3140" s="139"/>
      <c r="AG3140" s="139"/>
      <c r="AH3140" s="177"/>
      <c r="AI3140" s="178"/>
      <c r="AJ3140" s="139"/>
      <c r="AK3140" s="173"/>
      <c r="AL3140" s="177"/>
      <c r="AM3140" s="178"/>
      <c r="AN3140" s="173"/>
      <c r="AO3140" s="173"/>
      <c r="AP3140" s="173"/>
      <c r="AQ3140" s="178"/>
      <c r="AR3140" s="173"/>
      <c r="AS3140" s="173"/>
      <c r="AT3140" s="140"/>
      <c r="AX3140" s="140"/>
      <c r="BB3140" s="173"/>
      <c r="BC3140" s="173"/>
    </row>
    <row r="3141" spans="2:55" s="134" customFormat="1" x14ac:dyDescent="0.2">
      <c r="B3141" s="145"/>
      <c r="D3141" s="145"/>
      <c r="Z3141" s="177"/>
      <c r="AA3141" s="178"/>
      <c r="AB3141" s="139"/>
      <c r="AC3141" s="173"/>
      <c r="AD3141" s="177"/>
      <c r="AE3141" s="177"/>
      <c r="AF3141" s="139"/>
      <c r="AG3141" s="139"/>
      <c r="AH3141" s="177"/>
      <c r="AI3141" s="178"/>
      <c r="AJ3141" s="139"/>
      <c r="AK3141" s="173"/>
      <c r="AL3141" s="177"/>
      <c r="AM3141" s="178"/>
      <c r="AN3141" s="173"/>
      <c r="AO3141" s="173"/>
      <c r="AP3141" s="173"/>
      <c r="AQ3141" s="178"/>
      <c r="AR3141" s="173"/>
      <c r="AS3141" s="173"/>
      <c r="AT3141" s="140"/>
      <c r="AX3141" s="140"/>
      <c r="BB3141" s="173"/>
      <c r="BC3141" s="173"/>
    </row>
    <row r="3142" spans="2:55" s="134" customFormat="1" x14ac:dyDescent="0.2">
      <c r="B3142" s="145"/>
      <c r="D3142" s="145"/>
      <c r="Z3142" s="177"/>
      <c r="AA3142" s="178"/>
      <c r="AB3142" s="139"/>
      <c r="AC3142" s="173"/>
      <c r="AD3142" s="177"/>
      <c r="AE3142" s="177"/>
      <c r="AF3142" s="139"/>
      <c r="AG3142" s="139"/>
      <c r="AH3142" s="177"/>
      <c r="AI3142" s="178"/>
      <c r="AJ3142" s="139"/>
      <c r="AK3142" s="173"/>
      <c r="AL3142" s="177"/>
      <c r="AM3142" s="178"/>
      <c r="AN3142" s="173"/>
      <c r="AO3142" s="173"/>
      <c r="AP3142" s="173"/>
      <c r="AQ3142" s="178"/>
      <c r="AR3142" s="173"/>
      <c r="AS3142" s="173"/>
      <c r="AT3142" s="140"/>
      <c r="AX3142" s="140"/>
      <c r="BB3142" s="173"/>
      <c r="BC3142" s="173"/>
    </row>
    <row r="3143" spans="2:55" s="134" customFormat="1" x14ac:dyDescent="0.2">
      <c r="B3143" s="145"/>
      <c r="D3143" s="145"/>
      <c r="Z3143" s="177"/>
      <c r="AA3143" s="178"/>
      <c r="AB3143" s="139"/>
      <c r="AC3143" s="173"/>
      <c r="AD3143" s="177"/>
      <c r="AE3143" s="177"/>
      <c r="AF3143" s="139"/>
      <c r="AG3143" s="139"/>
      <c r="AH3143" s="177"/>
      <c r="AI3143" s="178"/>
      <c r="AJ3143" s="139"/>
      <c r="AK3143" s="173"/>
      <c r="AL3143" s="177"/>
      <c r="AM3143" s="178"/>
      <c r="AN3143" s="173"/>
      <c r="AO3143" s="173"/>
      <c r="AP3143" s="173"/>
      <c r="AQ3143" s="178"/>
      <c r="AR3143" s="173"/>
      <c r="AS3143" s="173"/>
      <c r="AT3143" s="140"/>
      <c r="AX3143" s="140"/>
      <c r="BB3143" s="173"/>
      <c r="BC3143" s="173"/>
    </row>
    <row r="3144" spans="2:55" s="134" customFormat="1" x14ac:dyDescent="0.2">
      <c r="B3144" s="145"/>
      <c r="D3144" s="145"/>
      <c r="Z3144" s="177"/>
      <c r="AA3144" s="178"/>
      <c r="AB3144" s="139"/>
      <c r="AC3144" s="173"/>
      <c r="AD3144" s="177"/>
      <c r="AE3144" s="177"/>
      <c r="AF3144" s="139"/>
      <c r="AG3144" s="139"/>
      <c r="AH3144" s="177"/>
      <c r="AI3144" s="178"/>
      <c r="AJ3144" s="139"/>
      <c r="AK3144" s="173"/>
      <c r="AL3144" s="177"/>
      <c r="AM3144" s="178"/>
      <c r="AN3144" s="173"/>
      <c r="AO3144" s="173"/>
      <c r="AP3144" s="173"/>
      <c r="AQ3144" s="178"/>
      <c r="AR3144" s="173"/>
      <c r="AS3144" s="173"/>
      <c r="AT3144" s="140"/>
      <c r="AX3144" s="140"/>
      <c r="BB3144" s="173"/>
      <c r="BC3144" s="173"/>
    </row>
    <row r="3145" spans="2:55" s="134" customFormat="1" x14ac:dyDescent="0.2">
      <c r="B3145" s="145"/>
      <c r="D3145" s="145"/>
      <c r="Z3145" s="177"/>
      <c r="AA3145" s="178"/>
      <c r="AB3145" s="139"/>
      <c r="AC3145" s="173"/>
      <c r="AD3145" s="177"/>
      <c r="AE3145" s="177"/>
      <c r="AF3145" s="139"/>
      <c r="AG3145" s="139"/>
      <c r="AH3145" s="177"/>
      <c r="AI3145" s="178"/>
      <c r="AJ3145" s="139"/>
      <c r="AK3145" s="173"/>
      <c r="AL3145" s="177"/>
      <c r="AM3145" s="178"/>
      <c r="AN3145" s="173"/>
      <c r="AO3145" s="173"/>
      <c r="AP3145" s="173"/>
      <c r="AQ3145" s="178"/>
      <c r="AR3145" s="173"/>
      <c r="AS3145" s="173"/>
      <c r="AT3145" s="140"/>
      <c r="AX3145" s="140"/>
      <c r="BB3145" s="173"/>
      <c r="BC3145" s="173"/>
    </row>
    <row r="3146" spans="2:55" s="134" customFormat="1" x14ac:dyDescent="0.2">
      <c r="B3146" s="145"/>
      <c r="D3146" s="145"/>
      <c r="Z3146" s="177"/>
      <c r="AA3146" s="178"/>
      <c r="AB3146" s="139"/>
      <c r="AC3146" s="173"/>
      <c r="AD3146" s="177"/>
      <c r="AE3146" s="177"/>
      <c r="AF3146" s="139"/>
      <c r="AG3146" s="139"/>
      <c r="AH3146" s="177"/>
      <c r="AI3146" s="178"/>
      <c r="AJ3146" s="139"/>
      <c r="AK3146" s="173"/>
      <c r="AL3146" s="177"/>
      <c r="AM3146" s="178"/>
      <c r="AN3146" s="173"/>
      <c r="AO3146" s="173"/>
      <c r="AP3146" s="173"/>
      <c r="AQ3146" s="178"/>
      <c r="AR3146" s="173"/>
      <c r="AS3146" s="173"/>
      <c r="AT3146" s="140"/>
      <c r="AX3146" s="140"/>
      <c r="BB3146" s="173"/>
      <c r="BC3146" s="173"/>
    </row>
    <row r="3147" spans="2:55" s="134" customFormat="1" x14ac:dyDescent="0.2">
      <c r="B3147" s="145"/>
      <c r="D3147" s="145"/>
      <c r="Z3147" s="177"/>
      <c r="AA3147" s="178"/>
      <c r="AB3147" s="139"/>
      <c r="AC3147" s="173"/>
      <c r="AD3147" s="177"/>
      <c r="AE3147" s="177"/>
      <c r="AF3147" s="139"/>
      <c r="AG3147" s="139"/>
      <c r="AH3147" s="177"/>
      <c r="AI3147" s="178"/>
      <c r="AJ3147" s="139"/>
      <c r="AK3147" s="173"/>
      <c r="AL3147" s="177"/>
      <c r="AM3147" s="178"/>
      <c r="AN3147" s="173"/>
      <c r="AO3147" s="173"/>
      <c r="AP3147" s="173"/>
      <c r="AQ3147" s="178"/>
      <c r="AR3147" s="173"/>
      <c r="AS3147" s="173"/>
      <c r="AT3147" s="140"/>
      <c r="AX3147" s="140"/>
      <c r="BB3147" s="173"/>
      <c r="BC3147" s="173"/>
    </row>
    <row r="3148" spans="2:55" s="134" customFormat="1" x14ac:dyDescent="0.2">
      <c r="B3148" s="145"/>
      <c r="D3148" s="145"/>
      <c r="Z3148" s="177"/>
      <c r="AA3148" s="178"/>
      <c r="AB3148" s="139"/>
      <c r="AC3148" s="173"/>
      <c r="AD3148" s="177"/>
      <c r="AE3148" s="177"/>
      <c r="AF3148" s="139"/>
      <c r="AG3148" s="139"/>
      <c r="AH3148" s="177"/>
      <c r="AI3148" s="178"/>
      <c r="AJ3148" s="139"/>
      <c r="AK3148" s="173"/>
      <c r="AL3148" s="177"/>
      <c r="AM3148" s="178"/>
      <c r="AN3148" s="173"/>
      <c r="AO3148" s="173"/>
      <c r="AP3148" s="173"/>
      <c r="AQ3148" s="178"/>
      <c r="AR3148" s="173"/>
      <c r="AS3148" s="173"/>
      <c r="AT3148" s="140"/>
      <c r="AX3148" s="140"/>
      <c r="BB3148" s="173"/>
      <c r="BC3148" s="173"/>
    </row>
    <row r="3149" spans="2:55" s="134" customFormat="1" x14ac:dyDescent="0.2">
      <c r="B3149" s="145"/>
      <c r="D3149" s="145"/>
      <c r="Z3149" s="177"/>
      <c r="AA3149" s="178"/>
      <c r="AB3149" s="139"/>
      <c r="AC3149" s="173"/>
      <c r="AD3149" s="177"/>
      <c r="AE3149" s="177"/>
      <c r="AF3149" s="139"/>
      <c r="AG3149" s="139"/>
      <c r="AH3149" s="177"/>
      <c r="AI3149" s="178"/>
      <c r="AJ3149" s="139"/>
      <c r="AK3149" s="173"/>
      <c r="AL3149" s="177"/>
      <c r="AM3149" s="178"/>
      <c r="AN3149" s="173"/>
      <c r="AO3149" s="173"/>
      <c r="AP3149" s="173"/>
      <c r="AQ3149" s="178"/>
      <c r="AR3149" s="173"/>
      <c r="AS3149" s="173"/>
      <c r="AT3149" s="140"/>
      <c r="AX3149" s="140"/>
      <c r="BB3149" s="173"/>
      <c r="BC3149" s="173"/>
    </row>
    <row r="3150" spans="2:55" s="134" customFormat="1" x14ac:dyDescent="0.2">
      <c r="B3150" s="145"/>
      <c r="D3150" s="145"/>
      <c r="Z3150" s="177"/>
      <c r="AA3150" s="178"/>
      <c r="AB3150" s="139"/>
      <c r="AC3150" s="173"/>
      <c r="AD3150" s="177"/>
      <c r="AE3150" s="177"/>
      <c r="AF3150" s="139"/>
      <c r="AG3150" s="139"/>
      <c r="AH3150" s="177"/>
      <c r="AI3150" s="178"/>
      <c r="AJ3150" s="139"/>
      <c r="AK3150" s="173"/>
      <c r="AL3150" s="177"/>
      <c r="AM3150" s="178"/>
      <c r="AN3150" s="173"/>
      <c r="AO3150" s="173"/>
      <c r="AP3150" s="173"/>
      <c r="AQ3150" s="178"/>
      <c r="AR3150" s="173"/>
      <c r="AS3150" s="173"/>
      <c r="AT3150" s="140"/>
      <c r="AX3150" s="140"/>
      <c r="BB3150" s="173"/>
      <c r="BC3150" s="173"/>
    </row>
    <row r="3151" spans="2:55" s="134" customFormat="1" x14ac:dyDescent="0.2">
      <c r="B3151" s="145"/>
      <c r="D3151" s="145"/>
      <c r="Z3151" s="177"/>
      <c r="AA3151" s="178"/>
      <c r="AB3151" s="139"/>
      <c r="AC3151" s="173"/>
      <c r="AD3151" s="177"/>
      <c r="AE3151" s="177"/>
      <c r="AF3151" s="139"/>
      <c r="AG3151" s="139"/>
      <c r="AH3151" s="177"/>
      <c r="AI3151" s="178"/>
      <c r="AJ3151" s="139"/>
      <c r="AK3151" s="173"/>
      <c r="AL3151" s="177"/>
      <c r="AM3151" s="178"/>
      <c r="AN3151" s="173"/>
      <c r="AO3151" s="173"/>
      <c r="AP3151" s="173"/>
      <c r="AQ3151" s="178"/>
      <c r="AR3151" s="173"/>
      <c r="AS3151" s="173"/>
      <c r="AT3151" s="140"/>
      <c r="AX3151" s="140"/>
      <c r="BB3151" s="173"/>
      <c r="BC3151" s="173"/>
    </row>
    <row r="3152" spans="2:55" s="134" customFormat="1" x14ac:dyDescent="0.2">
      <c r="B3152" s="145"/>
      <c r="D3152" s="145"/>
      <c r="Z3152" s="177"/>
      <c r="AA3152" s="178"/>
      <c r="AB3152" s="139"/>
      <c r="AC3152" s="173"/>
      <c r="AD3152" s="177"/>
      <c r="AE3152" s="177"/>
      <c r="AF3152" s="139"/>
      <c r="AG3152" s="139"/>
      <c r="AH3152" s="177"/>
      <c r="AI3152" s="178"/>
      <c r="AJ3152" s="139"/>
      <c r="AK3152" s="173"/>
      <c r="AL3152" s="177"/>
      <c r="AM3152" s="178"/>
      <c r="AN3152" s="173"/>
      <c r="AO3152" s="173"/>
      <c r="AP3152" s="173"/>
      <c r="AQ3152" s="178"/>
      <c r="AR3152" s="173"/>
      <c r="AS3152" s="173"/>
      <c r="AT3152" s="140"/>
      <c r="AX3152" s="140"/>
      <c r="BB3152" s="173"/>
      <c r="BC3152" s="173"/>
    </row>
    <row r="3153" spans="2:55" s="134" customFormat="1" x14ac:dyDescent="0.2">
      <c r="B3153" s="145"/>
      <c r="D3153" s="145"/>
      <c r="Z3153" s="177"/>
      <c r="AA3153" s="178"/>
      <c r="AB3153" s="139"/>
      <c r="AC3153" s="173"/>
      <c r="AD3153" s="177"/>
      <c r="AE3153" s="177"/>
      <c r="AF3153" s="139"/>
      <c r="AG3153" s="139"/>
      <c r="AH3153" s="177"/>
      <c r="AI3153" s="178"/>
      <c r="AJ3153" s="139"/>
      <c r="AK3153" s="173"/>
      <c r="AL3153" s="177"/>
      <c r="AM3153" s="178"/>
      <c r="AN3153" s="173"/>
      <c r="AO3153" s="173"/>
      <c r="AP3153" s="173"/>
      <c r="AQ3153" s="178"/>
      <c r="AR3153" s="173"/>
      <c r="AS3153" s="173"/>
      <c r="AT3153" s="140"/>
      <c r="AX3153" s="140"/>
      <c r="BB3153" s="173"/>
      <c r="BC3153" s="173"/>
    </row>
    <row r="3154" spans="2:55" s="134" customFormat="1" x14ac:dyDescent="0.2">
      <c r="B3154" s="145"/>
      <c r="D3154" s="145"/>
      <c r="Z3154" s="177"/>
      <c r="AA3154" s="178"/>
      <c r="AB3154" s="139"/>
      <c r="AC3154" s="173"/>
      <c r="AD3154" s="177"/>
      <c r="AE3154" s="177"/>
      <c r="AF3154" s="139"/>
      <c r="AG3154" s="139"/>
      <c r="AH3154" s="177"/>
      <c r="AI3154" s="178"/>
      <c r="AJ3154" s="139"/>
      <c r="AK3154" s="173"/>
      <c r="AL3154" s="177"/>
      <c r="AM3154" s="178"/>
      <c r="AN3154" s="173"/>
      <c r="AO3154" s="173"/>
      <c r="AP3154" s="173"/>
      <c r="AQ3154" s="178"/>
      <c r="AR3154" s="173"/>
      <c r="AS3154" s="173"/>
      <c r="AT3154" s="140"/>
      <c r="AX3154" s="140"/>
      <c r="BB3154" s="173"/>
      <c r="BC3154" s="173"/>
    </row>
    <row r="3155" spans="2:55" s="134" customFormat="1" x14ac:dyDescent="0.2">
      <c r="B3155" s="145"/>
      <c r="D3155" s="145"/>
      <c r="Z3155" s="177"/>
      <c r="AA3155" s="178"/>
      <c r="AB3155" s="139"/>
      <c r="AC3155" s="173"/>
      <c r="AD3155" s="177"/>
      <c r="AE3155" s="177"/>
      <c r="AF3155" s="139"/>
      <c r="AG3155" s="139"/>
      <c r="AH3155" s="177"/>
      <c r="AI3155" s="178"/>
      <c r="AJ3155" s="139"/>
      <c r="AK3155" s="173"/>
      <c r="AL3155" s="177"/>
      <c r="AM3155" s="178"/>
      <c r="AN3155" s="173"/>
      <c r="AO3155" s="173"/>
      <c r="AP3155" s="173"/>
      <c r="AQ3155" s="178"/>
      <c r="AR3155" s="173"/>
      <c r="AS3155" s="173"/>
      <c r="AT3155" s="140"/>
      <c r="AX3155" s="140"/>
      <c r="BB3155" s="173"/>
      <c r="BC3155" s="173"/>
    </row>
    <row r="3156" spans="2:55" s="134" customFormat="1" x14ac:dyDescent="0.2">
      <c r="B3156" s="145"/>
      <c r="D3156" s="145"/>
      <c r="Z3156" s="177"/>
      <c r="AA3156" s="178"/>
      <c r="AB3156" s="139"/>
      <c r="AC3156" s="173"/>
      <c r="AD3156" s="177"/>
      <c r="AE3156" s="177"/>
      <c r="AF3156" s="139"/>
      <c r="AG3156" s="139"/>
      <c r="AH3156" s="177"/>
      <c r="AI3156" s="178"/>
      <c r="AJ3156" s="139"/>
      <c r="AK3156" s="173"/>
      <c r="AL3156" s="177"/>
      <c r="AM3156" s="178"/>
      <c r="AN3156" s="173"/>
      <c r="AO3156" s="173"/>
      <c r="AP3156" s="173"/>
      <c r="AQ3156" s="178"/>
      <c r="AR3156" s="173"/>
      <c r="AS3156" s="173"/>
      <c r="AT3156" s="140"/>
      <c r="AX3156" s="140"/>
      <c r="BB3156" s="173"/>
      <c r="BC3156" s="173"/>
    </row>
    <row r="3157" spans="2:55" s="134" customFormat="1" x14ac:dyDescent="0.2">
      <c r="B3157" s="145"/>
      <c r="D3157" s="145"/>
      <c r="Z3157" s="177"/>
      <c r="AA3157" s="178"/>
      <c r="AB3157" s="139"/>
      <c r="AC3157" s="173"/>
      <c r="AD3157" s="177"/>
      <c r="AE3157" s="177"/>
      <c r="AF3157" s="139"/>
      <c r="AG3157" s="139"/>
      <c r="AH3157" s="177"/>
      <c r="AI3157" s="178"/>
      <c r="AJ3157" s="139"/>
      <c r="AK3157" s="173"/>
      <c r="AL3157" s="177"/>
      <c r="AM3157" s="178"/>
      <c r="AN3157" s="173"/>
      <c r="AO3157" s="173"/>
      <c r="AP3157" s="173"/>
      <c r="AQ3157" s="178"/>
      <c r="AR3157" s="173"/>
      <c r="AS3157" s="173"/>
      <c r="AT3157" s="140"/>
      <c r="AX3157" s="140"/>
      <c r="BB3157" s="173"/>
      <c r="BC3157" s="173"/>
    </row>
    <row r="3158" spans="2:55" s="134" customFormat="1" x14ac:dyDescent="0.2">
      <c r="B3158" s="145"/>
      <c r="D3158" s="145"/>
      <c r="Z3158" s="177"/>
      <c r="AA3158" s="178"/>
      <c r="AB3158" s="139"/>
      <c r="AC3158" s="173"/>
      <c r="AD3158" s="177"/>
      <c r="AE3158" s="177"/>
      <c r="AF3158" s="139"/>
      <c r="AG3158" s="139"/>
      <c r="AH3158" s="177"/>
      <c r="AI3158" s="178"/>
      <c r="AJ3158" s="139"/>
      <c r="AK3158" s="173"/>
      <c r="AL3158" s="177"/>
      <c r="AM3158" s="178"/>
      <c r="AN3158" s="173"/>
      <c r="AO3158" s="173"/>
      <c r="AP3158" s="173"/>
      <c r="AQ3158" s="178"/>
      <c r="AR3158" s="173"/>
      <c r="AS3158" s="173"/>
      <c r="AT3158" s="140"/>
      <c r="AX3158" s="140"/>
      <c r="BB3158" s="173"/>
      <c r="BC3158" s="173"/>
    </row>
    <row r="3159" spans="2:55" s="134" customFormat="1" x14ac:dyDescent="0.2">
      <c r="B3159" s="145"/>
      <c r="D3159" s="145"/>
      <c r="Z3159" s="177"/>
      <c r="AA3159" s="178"/>
      <c r="AB3159" s="139"/>
      <c r="AC3159" s="173"/>
      <c r="AD3159" s="177"/>
      <c r="AE3159" s="177"/>
      <c r="AF3159" s="139"/>
      <c r="AG3159" s="139"/>
      <c r="AH3159" s="177"/>
      <c r="AI3159" s="178"/>
      <c r="AJ3159" s="139"/>
      <c r="AK3159" s="173"/>
      <c r="AL3159" s="177"/>
      <c r="AM3159" s="178"/>
      <c r="AN3159" s="173"/>
      <c r="AO3159" s="173"/>
      <c r="AP3159" s="173"/>
      <c r="AQ3159" s="178"/>
      <c r="AR3159" s="173"/>
      <c r="AS3159" s="173"/>
      <c r="AT3159" s="140"/>
      <c r="AX3159" s="140"/>
      <c r="BB3159" s="173"/>
      <c r="BC3159" s="173"/>
    </row>
    <row r="3160" spans="2:55" s="134" customFormat="1" x14ac:dyDescent="0.2">
      <c r="B3160" s="145"/>
      <c r="D3160" s="145"/>
      <c r="Z3160" s="177"/>
      <c r="AA3160" s="178"/>
      <c r="AB3160" s="139"/>
      <c r="AC3160" s="173"/>
      <c r="AD3160" s="177"/>
      <c r="AE3160" s="177"/>
      <c r="AF3160" s="139"/>
      <c r="AG3160" s="139"/>
      <c r="AH3160" s="177"/>
      <c r="AI3160" s="178"/>
      <c r="AJ3160" s="139"/>
      <c r="AK3160" s="173"/>
      <c r="AL3160" s="177"/>
      <c r="AM3160" s="178"/>
      <c r="AN3160" s="173"/>
      <c r="AO3160" s="173"/>
      <c r="AP3160" s="173"/>
      <c r="AQ3160" s="178"/>
      <c r="AR3160" s="173"/>
      <c r="AS3160" s="173"/>
      <c r="AT3160" s="140"/>
      <c r="AX3160" s="140"/>
      <c r="BB3160" s="173"/>
      <c r="BC3160" s="173"/>
    </row>
    <row r="3161" spans="2:55" s="134" customFormat="1" x14ac:dyDescent="0.2">
      <c r="B3161" s="145"/>
      <c r="D3161" s="145"/>
      <c r="Z3161" s="177"/>
      <c r="AA3161" s="178"/>
      <c r="AB3161" s="139"/>
      <c r="AC3161" s="173"/>
      <c r="AD3161" s="177"/>
      <c r="AE3161" s="177"/>
      <c r="AF3161" s="139"/>
      <c r="AG3161" s="139"/>
      <c r="AH3161" s="177"/>
      <c r="AI3161" s="178"/>
      <c r="AJ3161" s="139"/>
      <c r="AK3161" s="173"/>
      <c r="AL3161" s="177"/>
      <c r="AM3161" s="178"/>
      <c r="AN3161" s="173"/>
      <c r="AO3161" s="173"/>
      <c r="AP3161" s="173"/>
      <c r="AQ3161" s="178"/>
      <c r="AR3161" s="173"/>
      <c r="AS3161" s="173"/>
      <c r="AT3161" s="140"/>
      <c r="AX3161" s="140"/>
      <c r="BB3161" s="173"/>
      <c r="BC3161" s="173"/>
    </row>
    <row r="3162" spans="2:55" s="134" customFormat="1" x14ac:dyDescent="0.2">
      <c r="B3162" s="145"/>
      <c r="D3162" s="145"/>
      <c r="Z3162" s="177"/>
      <c r="AA3162" s="178"/>
      <c r="AB3162" s="139"/>
      <c r="AC3162" s="173"/>
      <c r="AD3162" s="177"/>
      <c r="AE3162" s="177"/>
      <c r="AF3162" s="139"/>
      <c r="AG3162" s="139"/>
      <c r="AH3162" s="177"/>
      <c r="AI3162" s="178"/>
      <c r="AJ3162" s="139"/>
      <c r="AK3162" s="173"/>
      <c r="AL3162" s="177"/>
      <c r="AM3162" s="178"/>
      <c r="AN3162" s="173"/>
      <c r="AO3162" s="173"/>
      <c r="AP3162" s="173"/>
      <c r="AQ3162" s="178"/>
      <c r="AR3162" s="173"/>
      <c r="AS3162" s="173"/>
      <c r="AT3162" s="140"/>
      <c r="AX3162" s="140"/>
      <c r="BB3162" s="173"/>
      <c r="BC3162" s="173"/>
    </row>
    <row r="3163" spans="2:55" s="134" customFormat="1" x14ac:dyDescent="0.2">
      <c r="B3163" s="145"/>
      <c r="D3163" s="145"/>
      <c r="Z3163" s="177"/>
      <c r="AA3163" s="178"/>
      <c r="AB3163" s="139"/>
      <c r="AC3163" s="173"/>
      <c r="AD3163" s="177"/>
      <c r="AE3163" s="177"/>
      <c r="AF3163" s="139"/>
      <c r="AG3163" s="139"/>
      <c r="AH3163" s="177"/>
      <c r="AI3163" s="178"/>
      <c r="AJ3163" s="139"/>
      <c r="AK3163" s="173"/>
      <c r="AL3163" s="177"/>
      <c r="AM3163" s="178"/>
      <c r="AN3163" s="173"/>
      <c r="AO3163" s="173"/>
      <c r="AP3163" s="173"/>
      <c r="AQ3163" s="178"/>
      <c r="AR3163" s="173"/>
      <c r="AS3163" s="173"/>
      <c r="AT3163" s="140"/>
      <c r="AX3163" s="140"/>
      <c r="BB3163" s="173"/>
      <c r="BC3163" s="173"/>
    </row>
    <row r="3164" spans="2:55" s="134" customFormat="1" x14ac:dyDescent="0.2">
      <c r="B3164" s="145"/>
      <c r="D3164" s="145"/>
      <c r="Z3164" s="177"/>
      <c r="AA3164" s="178"/>
      <c r="AB3164" s="139"/>
      <c r="AC3164" s="173"/>
      <c r="AD3164" s="177"/>
      <c r="AE3164" s="177"/>
      <c r="AF3164" s="139"/>
      <c r="AG3164" s="139"/>
      <c r="AH3164" s="177"/>
      <c r="AI3164" s="178"/>
      <c r="AJ3164" s="139"/>
      <c r="AK3164" s="173"/>
      <c r="AL3164" s="177"/>
      <c r="AM3164" s="178"/>
      <c r="AN3164" s="173"/>
      <c r="AO3164" s="173"/>
      <c r="AP3164" s="173"/>
      <c r="AQ3164" s="178"/>
      <c r="AR3164" s="173"/>
      <c r="AS3164" s="173"/>
      <c r="AT3164" s="140"/>
      <c r="AX3164" s="140"/>
      <c r="BB3164" s="173"/>
      <c r="BC3164" s="173"/>
    </row>
    <row r="3165" spans="2:55" s="134" customFormat="1" x14ac:dyDescent="0.2">
      <c r="B3165" s="145"/>
      <c r="D3165" s="145"/>
      <c r="Z3165" s="177"/>
      <c r="AA3165" s="178"/>
      <c r="AB3165" s="139"/>
      <c r="AC3165" s="173"/>
      <c r="AD3165" s="177"/>
      <c r="AE3165" s="177"/>
      <c r="AF3165" s="139"/>
      <c r="AG3165" s="139"/>
      <c r="AH3165" s="177"/>
      <c r="AI3165" s="178"/>
      <c r="AJ3165" s="139"/>
      <c r="AK3165" s="173"/>
      <c r="AL3165" s="177"/>
      <c r="AM3165" s="178"/>
      <c r="AN3165" s="173"/>
      <c r="AO3165" s="173"/>
      <c r="AP3165" s="173"/>
      <c r="AQ3165" s="178"/>
      <c r="AR3165" s="173"/>
      <c r="AS3165" s="173"/>
      <c r="AT3165" s="140"/>
      <c r="AX3165" s="140"/>
      <c r="BB3165" s="173"/>
      <c r="BC3165" s="173"/>
    </row>
    <row r="3166" spans="2:55" s="134" customFormat="1" x14ac:dyDescent="0.2">
      <c r="B3166" s="145"/>
      <c r="D3166" s="145"/>
      <c r="Z3166" s="177"/>
      <c r="AA3166" s="178"/>
      <c r="AB3166" s="139"/>
      <c r="AC3166" s="173"/>
      <c r="AD3166" s="177"/>
      <c r="AE3166" s="177"/>
      <c r="AF3166" s="139"/>
      <c r="AG3166" s="139"/>
      <c r="AH3166" s="177"/>
      <c r="AI3166" s="178"/>
      <c r="AJ3166" s="139"/>
      <c r="AK3166" s="173"/>
      <c r="AL3166" s="177"/>
      <c r="AM3166" s="178"/>
      <c r="AN3166" s="173"/>
      <c r="AO3166" s="173"/>
      <c r="AP3166" s="173"/>
      <c r="AQ3166" s="178"/>
      <c r="AR3166" s="173"/>
      <c r="AS3166" s="173"/>
      <c r="AT3166" s="140"/>
      <c r="AX3166" s="140"/>
      <c r="BB3166" s="173"/>
      <c r="BC3166" s="173"/>
    </row>
    <row r="3167" spans="2:55" s="134" customFormat="1" x14ac:dyDescent="0.2">
      <c r="B3167" s="145"/>
      <c r="D3167" s="145"/>
      <c r="Z3167" s="177"/>
      <c r="AA3167" s="178"/>
      <c r="AB3167" s="139"/>
      <c r="AC3167" s="173"/>
      <c r="AD3167" s="177"/>
      <c r="AE3167" s="177"/>
      <c r="AF3167" s="139"/>
      <c r="AG3167" s="139"/>
      <c r="AH3167" s="177"/>
      <c r="AI3167" s="178"/>
      <c r="AJ3167" s="139"/>
      <c r="AK3167" s="173"/>
      <c r="AL3167" s="177"/>
      <c r="AM3167" s="178"/>
      <c r="AN3167" s="173"/>
      <c r="AO3167" s="173"/>
      <c r="AP3167" s="173"/>
      <c r="AQ3167" s="178"/>
      <c r="AR3167" s="173"/>
      <c r="AS3167" s="173"/>
      <c r="AT3167" s="140"/>
      <c r="AX3167" s="140"/>
      <c r="BB3167" s="173"/>
      <c r="BC3167" s="173"/>
    </row>
    <row r="3168" spans="2:55" s="134" customFormat="1" x14ac:dyDescent="0.2">
      <c r="B3168" s="145"/>
      <c r="D3168" s="145"/>
      <c r="Z3168" s="177"/>
      <c r="AA3168" s="178"/>
      <c r="AB3168" s="139"/>
      <c r="AC3168" s="173"/>
      <c r="AD3168" s="177"/>
      <c r="AE3168" s="177"/>
      <c r="AF3168" s="139"/>
      <c r="AG3168" s="139"/>
      <c r="AH3168" s="177"/>
      <c r="AI3168" s="178"/>
      <c r="AJ3168" s="139"/>
      <c r="AK3168" s="173"/>
      <c r="AL3168" s="177"/>
      <c r="AM3168" s="178"/>
      <c r="AN3168" s="173"/>
      <c r="AO3168" s="173"/>
      <c r="AP3168" s="173"/>
      <c r="AQ3168" s="178"/>
      <c r="AR3168" s="173"/>
      <c r="AS3168" s="173"/>
      <c r="AT3168" s="140"/>
      <c r="AX3168" s="140"/>
      <c r="BB3168" s="173"/>
      <c r="BC3168" s="173"/>
    </row>
    <row r="3169" spans="2:55" s="134" customFormat="1" x14ac:dyDescent="0.2">
      <c r="B3169" s="145"/>
      <c r="D3169" s="145"/>
      <c r="Z3169" s="177"/>
      <c r="AA3169" s="178"/>
      <c r="AB3169" s="139"/>
      <c r="AC3169" s="173"/>
      <c r="AD3169" s="177"/>
      <c r="AE3169" s="177"/>
      <c r="AF3169" s="139"/>
      <c r="AG3169" s="139"/>
      <c r="AH3169" s="177"/>
      <c r="AI3169" s="178"/>
      <c r="AJ3169" s="139"/>
      <c r="AK3169" s="173"/>
      <c r="AL3169" s="177"/>
      <c r="AM3169" s="178"/>
      <c r="AN3169" s="173"/>
      <c r="AO3169" s="173"/>
      <c r="AP3169" s="173"/>
      <c r="AQ3169" s="178"/>
      <c r="AR3169" s="173"/>
      <c r="AS3169" s="173"/>
      <c r="AT3169" s="140"/>
      <c r="AX3169" s="140"/>
      <c r="BB3169" s="173"/>
      <c r="BC3169" s="173"/>
    </row>
    <row r="3170" spans="2:55" s="134" customFormat="1" x14ac:dyDescent="0.2">
      <c r="B3170" s="145"/>
      <c r="D3170" s="145"/>
      <c r="Z3170" s="177"/>
      <c r="AA3170" s="178"/>
      <c r="AB3170" s="139"/>
      <c r="AC3170" s="173"/>
      <c r="AD3170" s="177"/>
      <c r="AE3170" s="177"/>
      <c r="AF3170" s="139"/>
      <c r="AG3170" s="139"/>
      <c r="AH3170" s="177"/>
      <c r="AI3170" s="178"/>
      <c r="AJ3170" s="139"/>
      <c r="AK3170" s="173"/>
      <c r="AL3170" s="177"/>
      <c r="AM3170" s="178"/>
      <c r="AN3170" s="173"/>
      <c r="AO3170" s="173"/>
      <c r="AP3170" s="173"/>
      <c r="AQ3170" s="178"/>
      <c r="AR3170" s="173"/>
      <c r="AS3170" s="173"/>
      <c r="AT3170" s="140"/>
      <c r="AX3170" s="140"/>
      <c r="BB3170" s="173"/>
      <c r="BC3170" s="173"/>
    </row>
    <row r="3171" spans="2:55" s="134" customFormat="1" x14ac:dyDescent="0.2">
      <c r="B3171" s="145"/>
      <c r="D3171" s="145"/>
      <c r="Z3171" s="177"/>
      <c r="AA3171" s="178"/>
      <c r="AB3171" s="139"/>
      <c r="AC3171" s="173"/>
      <c r="AD3171" s="177"/>
      <c r="AE3171" s="177"/>
      <c r="AF3171" s="139"/>
      <c r="AG3171" s="139"/>
      <c r="AH3171" s="177"/>
      <c r="AI3171" s="178"/>
      <c r="AJ3171" s="139"/>
      <c r="AK3171" s="173"/>
      <c r="AL3171" s="177"/>
      <c r="AM3171" s="178"/>
      <c r="AN3171" s="173"/>
      <c r="AO3171" s="173"/>
      <c r="AP3171" s="173"/>
      <c r="AQ3171" s="178"/>
      <c r="AR3171" s="173"/>
      <c r="AS3171" s="173"/>
      <c r="AT3171" s="140"/>
      <c r="AX3171" s="140"/>
      <c r="BB3171" s="173"/>
      <c r="BC3171" s="173"/>
    </row>
    <row r="3172" spans="2:55" s="134" customFormat="1" x14ac:dyDescent="0.2">
      <c r="B3172" s="145"/>
      <c r="D3172" s="145"/>
      <c r="Z3172" s="177"/>
      <c r="AA3172" s="178"/>
      <c r="AB3172" s="139"/>
      <c r="AC3172" s="173"/>
      <c r="AD3172" s="177"/>
      <c r="AE3172" s="177"/>
      <c r="AF3172" s="139"/>
      <c r="AG3172" s="139"/>
      <c r="AH3172" s="177"/>
      <c r="AI3172" s="178"/>
      <c r="AJ3172" s="139"/>
      <c r="AK3172" s="173"/>
      <c r="AL3172" s="177"/>
      <c r="AM3172" s="178"/>
      <c r="AN3172" s="173"/>
      <c r="AO3172" s="173"/>
      <c r="AP3172" s="173"/>
      <c r="AQ3172" s="178"/>
      <c r="AR3172" s="173"/>
      <c r="AS3172" s="173"/>
      <c r="AT3172" s="140"/>
      <c r="AX3172" s="140"/>
      <c r="BB3172" s="173"/>
      <c r="BC3172" s="173"/>
    </row>
    <row r="3173" spans="2:55" s="134" customFormat="1" x14ac:dyDescent="0.2">
      <c r="B3173" s="145"/>
      <c r="D3173" s="145"/>
      <c r="Z3173" s="177"/>
      <c r="AA3173" s="178"/>
      <c r="AB3173" s="139"/>
      <c r="AC3173" s="173"/>
      <c r="AD3173" s="177"/>
      <c r="AE3173" s="177"/>
      <c r="AF3173" s="139"/>
      <c r="AG3173" s="139"/>
      <c r="AH3173" s="177"/>
      <c r="AI3173" s="178"/>
      <c r="AJ3173" s="139"/>
      <c r="AK3173" s="173"/>
      <c r="AL3173" s="177"/>
      <c r="AM3173" s="178"/>
      <c r="AN3173" s="173"/>
      <c r="AO3173" s="173"/>
      <c r="AP3173" s="173"/>
      <c r="AQ3173" s="178"/>
      <c r="AR3173" s="173"/>
      <c r="AS3173" s="173"/>
      <c r="AT3173" s="140"/>
      <c r="AX3173" s="140"/>
      <c r="BB3173" s="173"/>
      <c r="BC3173" s="173"/>
    </row>
    <row r="3174" spans="2:55" s="134" customFormat="1" x14ac:dyDescent="0.2">
      <c r="B3174" s="145"/>
      <c r="D3174" s="145"/>
      <c r="Z3174" s="177"/>
      <c r="AA3174" s="178"/>
      <c r="AB3174" s="139"/>
      <c r="AC3174" s="173"/>
      <c r="AD3174" s="177"/>
      <c r="AE3174" s="177"/>
      <c r="AF3174" s="139"/>
      <c r="AG3174" s="139"/>
      <c r="AH3174" s="177"/>
      <c r="AI3174" s="178"/>
      <c r="AJ3174" s="139"/>
      <c r="AK3174" s="173"/>
      <c r="AL3174" s="177"/>
      <c r="AM3174" s="178"/>
      <c r="AN3174" s="173"/>
      <c r="AO3174" s="173"/>
      <c r="AP3174" s="173"/>
      <c r="AQ3174" s="178"/>
      <c r="AR3174" s="173"/>
      <c r="AS3174" s="173"/>
      <c r="AT3174" s="140"/>
      <c r="AX3174" s="140"/>
      <c r="BB3174" s="173"/>
      <c r="BC3174" s="173"/>
    </row>
    <row r="3175" spans="2:55" s="134" customFormat="1" x14ac:dyDescent="0.2">
      <c r="B3175" s="145"/>
      <c r="D3175" s="145"/>
      <c r="Z3175" s="177"/>
      <c r="AA3175" s="178"/>
      <c r="AB3175" s="139"/>
      <c r="AC3175" s="173"/>
      <c r="AD3175" s="177"/>
      <c r="AE3175" s="177"/>
      <c r="AF3175" s="139"/>
      <c r="AG3175" s="139"/>
      <c r="AH3175" s="177"/>
      <c r="AI3175" s="178"/>
      <c r="AJ3175" s="139"/>
      <c r="AK3175" s="173"/>
      <c r="AL3175" s="177"/>
      <c r="AM3175" s="178"/>
      <c r="AN3175" s="173"/>
      <c r="AO3175" s="173"/>
      <c r="AP3175" s="173"/>
      <c r="AQ3175" s="178"/>
      <c r="AR3175" s="173"/>
      <c r="AS3175" s="173"/>
      <c r="AT3175" s="140"/>
      <c r="AX3175" s="140"/>
      <c r="BB3175" s="173"/>
      <c r="BC3175" s="173"/>
    </row>
    <row r="3176" spans="2:55" s="134" customFormat="1" x14ac:dyDescent="0.2">
      <c r="B3176" s="145"/>
      <c r="D3176" s="145"/>
      <c r="Z3176" s="177"/>
      <c r="AA3176" s="178"/>
      <c r="AB3176" s="139"/>
      <c r="AC3176" s="173"/>
      <c r="AD3176" s="177"/>
      <c r="AE3176" s="177"/>
      <c r="AF3176" s="139"/>
      <c r="AG3176" s="139"/>
      <c r="AH3176" s="177"/>
      <c r="AI3176" s="178"/>
      <c r="AJ3176" s="139"/>
      <c r="AK3176" s="173"/>
      <c r="AL3176" s="177"/>
      <c r="AM3176" s="178"/>
      <c r="AN3176" s="173"/>
      <c r="AO3176" s="173"/>
      <c r="AP3176" s="173"/>
      <c r="AQ3176" s="178"/>
      <c r="AR3176" s="173"/>
      <c r="AS3176" s="173"/>
      <c r="AT3176" s="140"/>
      <c r="AX3176" s="140"/>
      <c r="BB3176" s="173"/>
      <c r="BC3176" s="173"/>
    </row>
    <row r="3177" spans="2:55" s="134" customFormat="1" x14ac:dyDescent="0.2">
      <c r="B3177" s="145"/>
      <c r="D3177" s="145"/>
      <c r="Z3177" s="177"/>
      <c r="AA3177" s="178"/>
      <c r="AB3177" s="139"/>
      <c r="AC3177" s="173"/>
      <c r="AD3177" s="177"/>
      <c r="AE3177" s="177"/>
      <c r="AF3177" s="139"/>
      <c r="AG3177" s="139"/>
      <c r="AH3177" s="177"/>
      <c r="AI3177" s="178"/>
      <c r="AJ3177" s="139"/>
      <c r="AK3177" s="173"/>
      <c r="AL3177" s="177"/>
      <c r="AM3177" s="178"/>
      <c r="AN3177" s="173"/>
      <c r="AO3177" s="173"/>
      <c r="AP3177" s="173"/>
      <c r="AQ3177" s="178"/>
      <c r="AR3177" s="173"/>
      <c r="AS3177" s="173"/>
      <c r="AT3177" s="140"/>
      <c r="AX3177" s="140"/>
      <c r="BB3177" s="173"/>
      <c r="BC3177" s="173"/>
    </row>
    <row r="3178" spans="2:55" s="134" customFormat="1" x14ac:dyDescent="0.2">
      <c r="B3178" s="145"/>
      <c r="D3178" s="145"/>
      <c r="Z3178" s="177"/>
      <c r="AA3178" s="178"/>
      <c r="AB3178" s="139"/>
      <c r="AC3178" s="173"/>
      <c r="AD3178" s="177"/>
      <c r="AE3178" s="177"/>
      <c r="AF3178" s="139"/>
      <c r="AG3178" s="139"/>
      <c r="AH3178" s="177"/>
      <c r="AI3178" s="178"/>
      <c r="AJ3178" s="139"/>
      <c r="AK3178" s="173"/>
      <c r="AL3178" s="177"/>
      <c r="AM3178" s="178"/>
      <c r="AN3178" s="173"/>
      <c r="AO3178" s="173"/>
      <c r="AP3178" s="173"/>
      <c r="AQ3178" s="178"/>
      <c r="AR3178" s="173"/>
      <c r="AS3178" s="173"/>
      <c r="AT3178" s="140"/>
      <c r="AX3178" s="140"/>
      <c r="BB3178" s="173"/>
      <c r="BC3178" s="173"/>
    </row>
    <row r="3179" spans="2:55" s="134" customFormat="1" x14ac:dyDescent="0.2">
      <c r="B3179" s="145"/>
      <c r="D3179" s="145"/>
      <c r="Z3179" s="177"/>
      <c r="AA3179" s="178"/>
      <c r="AB3179" s="139"/>
      <c r="AC3179" s="173"/>
      <c r="AD3179" s="177"/>
      <c r="AE3179" s="177"/>
      <c r="AF3179" s="139"/>
      <c r="AG3179" s="139"/>
      <c r="AH3179" s="177"/>
      <c r="AI3179" s="178"/>
      <c r="AJ3179" s="139"/>
      <c r="AK3179" s="173"/>
      <c r="AL3179" s="177"/>
      <c r="AM3179" s="178"/>
      <c r="AN3179" s="173"/>
      <c r="AO3179" s="173"/>
      <c r="AP3179" s="173"/>
      <c r="AQ3179" s="178"/>
      <c r="AR3179" s="173"/>
      <c r="AS3179" s="173"/>
      <c r="AT3179" s="140"/>
      <c r="AX3179" s="140"/>
      <c r="BB3179" s="173"/>
      <c r="BC3179" s="173"/>
    </row>
    <row r="3180" spans="2:55" s="134" customFormat="1" x14ac:dyDescent="0.2">
      <c r="B3180" s="145"/>
      <c r="D3180" s="145"/>
      <c r="Z3180" s="177"/>
      <c r="AA3180" s="178"/>
      <c r="AB3180" s="139"/>
      <c r="AC3180" s="173"/>
      <c r="AD3180" s="177"/>
      <c r="AE3180" s="177"/>
      <c r="AF3180" s="139"/>
      <c r="AG3180" s="139"/>
      <c r="AH3180" s="177"/>
      <c r="AI3180" s="178"/>
      <c r="AJ3180" s="139"/>
      <c r="AK3180" s="173"/>
      <c r="AL3180" s="177"/>
      <c r="AM3180" s="178"/>
      <c r="AN3180" s="173"/>
      <c r="AO3180" s="173"/>
      <c r="AP3180" s="173"/>
      <c r="AQ3180" s="178"/>
      <c r="AR3180" s="173"/>
      <c r="AS3180" s="173"/>
      <c r="AT3180" s="140"/>
      <c r="AX3180" s="140"/>
      <c r="BB3180" s="173"/>
      <c r="BC3180" s="173"/>
    </row>
    <row r="3181" spans="2:55" s="134" customFormat="1" x14ac:dyDescent="0.2">
      <c r="B3181" s="145"/>
      <c r="D3181" s="145"/>
      <c r="Z3181" s="177"/>
      <c r="AA3181" s="178"/>
      <c r="AB3181" s="139"/>
      <c r="AC3181" s="173"/>
      <c r="AD3181" s="177"/>
      <c r="AE3181" s="177"/>
      <c r="AF3181" s="139"/>
      <c r="AG3181" s="139"/>
      <c r="AH3181" s="177"/>
      <c r="AI3181" s="178"/>
      <c r="AJ3181" s="139"/>
      <c r="AK3181" s="173"/>
      <c r="AL3181" s="177"/>
      <c r="AM3181" s="178"/>
      <c r="AN3181" s="173"/>
      <c r="AO3181" s="173"/>
      <c r="AP3181" s="173"/>
      <c r="AQ3181" s="178"/>
      <c r="AR3181" s="173"/>
      <c r="AS3181" s="173"/>
      <c r="AT3181" s="140"/>
      <c r="AX3181" s="140"/>
      <c r="BB3181" s="173"/>
      <c r="BC3181" s="173"/>
    </row>
    <row r="3182" spans="2:55" s="134" customFormat="1" x14ac:dyDescent="0.2">
      <c r="B3182" s="145"/>
      <c r="D3182" s="145"/>
      <c r="Z3182" s="177"/>
      <c r="AA3182" s="178"/>
      <c r="AB3182" s="139"/>
      <c r="AC3182" s="173"/>
      <c r="AD3182" s="177"/>
      <c r="AE3182" s="177"/>
      <c r="AF3182" s="139"/>
      <c r="AG3182" s="139"/>
      <c r="AH3182" s="177"/>
      <c r="AI3182" s="178"/>
      <c r="AJ3182" s="139"/>
      <c r="AK3182" s="173"/>
      <c r="AL3182" s="177"/>
      <c r="AM3182" s="178"/>
      <c r="AN3182" s="173"/>
      <c r="AO3182" s="173"/>
      <c r="AP3182" s="173"/>
      <c r="AQ3182" s="178"/>
      <c r="AR3182" s="173"/>
      <c r="AS3182" s="173"/>
      <c r="AT3182" s="140"/>
      <c r="AX3182" s="140"/>
      <c r="BB3182" s="173"/>
      <c r="BC3182" s="173"/>
    </row>
    <row r="3183" spans="2:55" s="134" customFormat="1" x14ac:dyDescent="0.2">
      <c r="B3183" s="145"/>
      <c r="D3183" s="145"/>
      <c r="Z3183" s="177"/>
      <c r="AA3183" s="178"/>
      <c r="AB3183" s="139"/>
      <c r="AC3183" s="173"/>
      <c r="AD3183" s="177"/>
      <c r="AE3183" s="177"/>
      <c r="AF3183" s="139"/>
      <c r="AG3183" s="139"/>
      <c r="AH3183" s="177"/>
      <c r="AI3183" s="178"/>
      <c r="AJ3183" s="139"/>
      <c r="AK3183" s="173"/>
      <c r="AL3183" s="177"/>
      <c r="AM3183" s="178"/>
      <c r="AN3183" s="173"/>
      <c r="AO3183" s="173"/>
      <c r="AP3183" s="173"/>
      <c r="AQ3183" s="178"/>
      <c r="AR3183" s="173"/>
      <c r="AS3183" s="173"/>
      <c r="AT3183" s="140"/>
      <c r="AX3183" s="140"/>
      <c r="BB3183" s="173"/>
      <c r="BC3183" s="173"/>
    </row>
    <row r="3184" spans="2:55" s="134" customFormat="1" x14ac:dyDescent="0.2">
      <c r="B3184" s="145"/>
      <c r="D3184" s="145"/>
      <c r="Z3184" s="177"/>
      <c r="AA3184" s="178"/>
      <c r="AB3184" s="139"/>
      <c r="AC3184" s="173"/>
      <c r="AD3184" s="177"/>
      <c r="AE3184" s="177"/>
      <c r="AF3184" s="139"/>
      <c r="AG3184" s="139"/>
      <c r="AH3184" s="177"/>
      <c r="AI3184" s="178"/>
      <c r="AJ3184" s="139"/>
      <c r="AK3184" s="173"/>
      <c r="AL3184" s="177"/>
      <c r="AM3184" s="178"/>
      <c r="AN3184" s="173"/>
      <c r="AO3184" s="173"/>
      <c r="AP3184" s="173"/>
      <c r="AQ3184" s="178"/>
      <c r="AR3184" s="173"/>
      <c r="AS3184" s="173"/>
      <c r="AT3184" s="140"/>
      <c r="AX3184" s="140"/>
      <c r="BB3184" s="173"/>
      <c r="BC3184" s="173"/>
    </row>
    <row r="3185" spans="2:55" s="134" customFormat="1" x14ac:dyDescent="0.2">
      <c r="B3185" s="145"/>
      <c r="D3185" s="145"/>
      <c r="Z3185" s="177"/>
      <c r="AA3185" s="178"/>
      <c r="AB3185" s="139"/>
      <c r="AC3185" s="173"/>
      <c r="AD3185" s="177"/>
      <c r="AE3185" s="177"/>
      <c r="AF3185" s="139"/>
      <c r="AG3185" s="139"/>
      <c r="AH3185" s="177"/>
      <c r="AI3185" s="178"/>
      <c r="AJ3185" s="139"/>
      <c r="AK3185" s="173"/>
      <c r="AL3185" s="177"/>
      <c r="AM3185" s="178"/>
      <c r="AN3185" s="173"/>
      <c r="AO3185" s="173"/>
      <c r="AP3185" s="173"/>
      <c r="AQ3185" s="178"/>
      <c r="AR3185" s="173"/>
      <c r="AS3185" s="173"/>
      <c r="AT3185" s="140"/>
      <c r="AX3185" s="140"/>
      <c r="BB3185" s="173"/>
      <c r="BC3185" s="173"/>
    </row>
    <row r="3186" spans="2:55" s="134" customFormat="1" x14ac:dyDescent="0.2">
      <c r="B3186" s="145"/>
      <c r="D3186" s="145"/>
      <c r="Z3186" s="177"/>
      <c r="AA3186" s="178"/>
      <c r="AB3186" s="139"/>
      <c r="AC3186" s="173"/>
      <c r="AD3186" s="177"/>
      <c r="AE3186" s="177"/>
      <c r="AF3186" s="139"/>
      <c r="AG3186" s="139"/>
      <c r="AH3186" s="177"/>
      <c r="AI3186" s="178"/>
      <c r="AJ3186" s="139"/>
      <c r="AK3186" s="173"/>
      <c r="AL3186" s="177"/>
      <c r="AM3186" s="178"/>
      <c r="AN3186" s="173"/>
      <c r="AO3186" s="173"/>
      <c r="AP3186" s="173"/>
      <c r="AQ3186" s="178"/>
      <c r="AR3186" s="173"/>
      <c r="AS3186" s="173"/>
      <c r="AT3186" s="140"/>
      <c r="AX3186" s="140"/>
      <c r="BB3186" s="173"/>
      <c r="BC3186" s="173"/>
    </row>
    <row r="3187" spans="2:55" s="134" customFormat="1" x14ac:dyDescent="0.2">
      <c r="B3187" s="145"/>
      <c r="D3187" s="145"/>
      <c r="Z3187" s="177"/>
      <c r="AA3187" s="178"/>
      <c r="AB3187" s="139"/>
      <c r="AC3187" s="173"/>
      <c r="AD3187" s="177"/>
      <c r="AE3187" s="177"/>
      <c r="AF3187" s="139"/>
      <c r="AG3187" s="139"/>
      <c r="AH3187" s="177"/>
      <c r="AI3187" s="178"/>
      <c r="AJ3187" s="139"/>
      <c r="AK3187" s="173"/>
      <c r="AL3187" s="177"/>
      <c r="AM3187" s="178"/>
      <c r="AN3187" s="173"/>
      <c r="AO3187" s="173"/>
      <c r="AP3187" s="173"/>
      <c r="AQ3187" s="178"/>
      <c r="AR3187" s="173"/>
      <c r="AS3187" s="173"/>
      <c r="AT3187" s="140"/>
      <c r="AX3187" s="140"/>
      <c r="BB3187" s="173"/>
      <c r="BC3187" s="173"/>
    </row>
    <row r="3188" spans="2:55" s="134" customFormat="1" x14ac:dyDescent="0.2">
      <c r="B3188" s="145"/>
      <c r="D3188" s="145"/>
      <c r="Z3188" s="177"/>
      <c r="AA3188" s="178"/>
      <c r="AB3188" s="139"/>
      <c r="AC3188" s="173"/>
      <c r="AD3188" s="177"/>
      <c r="AE3188" s="177"/>
      <c r="AF3188" s="139"/>
      <c r="AG3188" s="139"/>
      <c r="AH3188" s="177"/>
      <c r="AI3188" s="178"/>
      <c r="AJ3188" s="139"/>
      <c r="AK3188" s="173"/>
      <c r="AL3188" s="177"/>
      <c r="AM3188" s="178"/>
      <c r="AN3188" s="173"/>
      <c r="AO3188" s="173"/>
      <c r="AP3188" s="173"/>
      <c r="AQ3188" s="178"/>
      <c r="AR3188" s="173"/>
      <c r="AS3188" s="173"/>
      <c r="AT3188" s="140"/>
      <c r="AX3188" s="140"/>
      <c r="BB3188" s="173"/>
      <c r="BC3188" s="173"/>
    </row>
    <row r="3189" spans="2:55" s="134" customFormat="1" x14ac:dyDescent="0.2">
      <c r="B3189" s="145"/>
      <c r="D3189" s="145"/>
      <c r="Z3189" s="177"/>
      <c r="AA3189" s="178"/>
      <c r="AB3189" s="139"/>
      <c r="AC3189" s="173"/>
      <c r="AD3189" s="177"/>
      <c r="AE3189" s="177"/>
      <c r="AF3189" s="139"/>
      <c r="AG3189" s="139"/>
      <c r="AH3189" s="177"/>
      <c r="AI3189" s="178"/>
      <c r="AJ3189" s="139"/>
      <c r="AK3189" s="173"/>
      <c r="AL3189" s="177"/>
      <c r="AM3189" s="178"/>
      <c r="AN3189" s="173"/>
      <c r="AO3189" s="173"/>
      <c r="AP3189" s="173"/>
      <c r="AQ3189" s="178"/>
      <c r="AR3189" s="173"/>
      <c r="AS3189" s="173"/>
      <c r="AT3189" s="140"/>
      <c r="AX3189" s="140"/>
      <c r="BB3189" s="173"/>
      <c r="BC3189" s="173"/>
    </row>
    <row r="3190" spans="2:55" s="134" customFormat="1" x14ac:dyDescent="0.2">
      <c r="B3190" s="145"/>
      <c r="D3190" s="145"/>
      <c r="Z3190" s="177"/>
      <c r="AA3190" s="178"/>
      <c r="AB3190" s="139"/>
      <c r="AC3190" s="173"/>
      <c r="AD3190" s="177"/>
      <c r="AE3190" s="177"/>
      <c r="AF3190" s="139"/>
      <c r="AG3190" s="139"/>
      <c r="AH3190" s="177"/>
      <c r="AI3190" s="178"/>
      <c r="AJ3190" s="139"/>
      <c r="AK3190" s="173"/>
      <c r="AL3190" s="177"/>
      <c r="AM3190" s="178"/>
      <c r="AN3190" s="173"/>
      <c r="AO3190" s="173"/>
      <c r="AP3190" s="173"/>
      <c r="AQ3190" s="178"/>
      <c r="AR3190" s="173"/>
      <c r="AS3190" s="173"/>
      <c r="AT3190" s="140"/>
      <c r="AX3190" s="140"/>
      <c r="BB3190" s="173"/>
      <c r="BC3190" s="173"/>
    </row>
    <row r="3191" spans="2:55" s="134" customFormat="1" x14ac:dyDescent="0.2">
      <c r="B3191" s="145"/>
      <c r="D3191" s="145"/>
      <c r="Z3191" s="177"/>
      <c r="AA3191" s="178"/>
      <c r="AB3191" s="139"/>
      <c r="AC3191" s="173"/>
      <c r="AD3191" s="177"/>
      <c r="AE3191" s="177"/>
      <c r="AF3191" s="139"/>
      <c r="AG3191" s="139"/>
      <c r="AH3191" s="177"/>
      <c r="AI3191" s="178"/>
      <c r="AJ3191" s="139"/>
      <c r="AK3191" s="173"/>
      <c r="AL3191" s="177"/>
      <c r="AM3191" s="178"/>
      <c r="AN3191" s="173"/>
      <c r="AO3191" s="173"/>
      <c r="AP3191" s="173"/>
      <c r="AQ3191" s="178"/>
      <c r="AR3191" s="173"/>
      <c r="AS3191" s="173"/>
      <c r="AT3191" s="140"/>
      <c r="AX3191" s="140"/>
      <c r="BB3191" s="173"/>
      <c r="BC3191" s="173"/>
    </row>
    <row r="3192" spans="2:55" s="134" customFormat="1" x14ac:dyDescent="0.2">
      <c r="B3192" s="145"/>
      <c r="D3192" s="145"/>
      <c r="Z3192" s="177"/>
      <c r="AA3192" s="178"/>
      <c r="AB3192" s="139"/>
      <c r="AC3192" s="173"/>
      <c r="AD3192" s="177"/>
      <c r="AE3192" s="177"/>
      <c r="AF3192" s="139"/>
      <c r="AG3192" s="139"/>
      <c r="AH3192" s="177"/>
      <c r="AI3192" s="178"/>
      <c r="AJ3192" s="139"/>
      <c r="AK3192" s="173"/>
      <c r="AL3192" s="177"/>
      <c r="AM3192" s="178"/>
      <c r="AN3192" s="173"/>
      <c r="AO3192" s="173"/>
      <c r="AP3192" s="173"/>
      <c r="AQ3192" s="178"/>
      <c r="AR3192" s="173"/>
      <c r="AS3192" s="173"/>
      <c r="AT3192" s="140"/>
      <c r="AX3192" s="140"/>
      <c r="BB3192" s="173"/>
      <c r="BC3192" s="173"/>
    </row>
    <row r="3193" spans="2:55" s="134" customFormat="1" x14ac:dyDescent="0.2">
      <c r="B3193" s="145"/>
      <c r="D3193" s="145"/>
      <c r="Z3193" s="177"/>
      <c r="AA3193" s="178"/>
      <c r="AB3193" s="139"/>
      <c r="AC3193" s="173"/>
      <c r="AD3193" s="177"/>
      <c r="AE3193" s="177"/>
      <c r="AF3193" s="139"/>
      <c r="AG3193" s="139"/>
      <c r="AH3193" s="177"/>
      <c r="AI3193" s="178"/>
      <c r="AJ3193" s="139"/>
      <c r="AK3193" s="173"/>
      <c r="AL3193" s="177"/>
      <c r="AM3193" s="178"/>
      <c r="AN3193" s="173"/>
      <c r="AO3193" s="173"/>
      <c r="AP3193" s="173"/>
      <c r="AQ3193" s="178"/>
      <c r="AR3193" s="173"/>
      <c r="AS3193" s="173"/>
      <c r="AT3193" s="140"/>
      <c r="AX3193" s="140"/>
      <c r="BB3193" s="173"/>
      <c r="BC3193" s="173"/>
    </row>
    <row r="3194" spans="2:55" s="134" customFormat="1" x14ac:dyDescent="0.2">
      <c r="B3194" s="145"/>
      <c r="D3194" s="145"/>
      <c r="Z3194" s="177"/>
      <c r="AA3194" s="178"/>
      <c r="AB3194" s="139"/>
      <c r="AC3194" s="173"/>
      <c r="AD3194" s="177"/>
      <c r="AE3194" s="177"/>
      <c r="AF3194" s="139"/>
      <c r="AG3194" s="139"/>
      <c r="AH3194" s="177"/>
      <c r="AI3194" s="178"/>
      <c r="AJ3194" s="139"/>
      <c r="AK3194" s="173"/>
      <c r="AL3194" s="177"/>
      <c r="AM3194" s="178"/>
      <c r="AN3194" s="173"/>
      <c r="AO3194" s="173"/>
      <c r="AP3194" s="173"/>
      <c r="AQ3194" s="178"/>
      <c r="AR3194" s="173"/>
      <c r="AS3194" s="173"/>
      <c r="AT3194" s="140"/>
      <c r="AX3194" s="140"/>
      <c r="BB3194" s="173"/>
      <c r="BC3194" s="173"/>
    </row>
    <row r="3195" spans="2:55" s="134" customFormat="1" x14ac:dyDescent="0.2">
      <c r="B3195" s="145"/>
      <c r="D3195" s="145"/>
      <c r="Z3195" s="177"/>
      <c r="AA3195" s="178"/>
      <c r="AB3195" s="139"/>
      <c r="AC3195" s="173"/>
      <c r="AD3195" s="177"/>
      <c r="AE3195" s="177"/>
      <c r="AF3195" s="139"/>
      <c r="AG3195" s="139"/>
      <c r="AH3195" s="177"/>
      <c r="AI3195" s="178"/>
      <c r="AJ3195" s="139"/>
      <c r="AK3195" s="173"/>
      <c r="AL3195" s="177"/>
      <c r="AM3195" s="178"/>
      <c r="AN3195" s="173"/>
      <c r="AO3195" s="173"/>
      <c r="AP3195" s="173"/>
      <c r="AQ3195" s="178"/>
      <c r="AR3195" s="173"/>
      <c r="AS3195" s="173"/>
      <c r="AT3195" s="140"/>
      <c r="AX3195" s="140"/>
      <c r="BB3195" s="173"/>
      <c r="BC3195" s="173"/>
    </row>
    <row r="3196" spans="2:55" s="134" customFormat="1" x14ac:dyDescent="0.2">
      <c r="B3196" s="145"/>
      <c r="D3196" s="145"/>
      <c r="Z3196" s="177"/>
      <c r="AA3196" s="178"/>
      <c r="AB3196" s="139"/>
      <c r="AC3196" s="173"/>
      <c r="AD3196" s="177"/>
      <c r="AE3196" s="177"/>
      <c r="AF3196" s="139"/>
      <c r="AG3196" s="139"/>
      <c r="AH3196" s="177"/>
      <c r="AI3196" s="178"/>
      <c r="AJ3196" s="139"/>
      <c r="AK3196" s="173"/>
      <c r="AL3196" s="177"/>
      <c r="AM3196" s="178"/>
      <c r="AN3196" s="173"/>
      <c r="AO3196" s="173"/>
      <c r="AP3196" s="173"/>
      <c r="AQ3196" s="178"/>
      <c r="AR3196" s="173"/>
      <c r="AS3196" s="173"/>
      <c r="AT3196" s="140"/>
      <c r="AX3196" s="140"/>
      <c r="BB3196" s="173"/>
      <c r="BC3196" s="173"/>
    </row>
    <row r="3197" spans="2:55" s="134" customFormat="1" x14ac:dyDescent="0.2">
      <c r="B3197" s="145"/>
      <c r="D3197" s="145"/>
      <c r="Z3197" s="177"/>
      <c r="AA3197" s="178"/>
      <c r="AB3197" s="139"/>
      <c r="AC3197" s="173"/>
      <c r="AD3197" s="177"/>
      <c r="AE3197" s="177"/>
      <c r="AF3197" s="139"/>
      <c r="AG3197" s="139"/>
      <c r="AH3197" s="177"/>
      <c r="AI3197" s="178"/>
      <c r="AJ3197" s="139"/>
      <c r="AK3197" s="173"/>
      <c r="AL3197" s="177"/>
      <c r="AM3197" s="178"/>
      <c r="AN3197" s="173"/>
      <c r="AO3197" s="173"/>
      <c r="AP3197" s="173"/>
      <c r="AQ3197" s="178"/>
      <c r="AR3197" s="173"/>
      <c r="AS3197" s="173"/>
      <c r="AT3197" s="140"/>
      <c r="AX3197" s="140"/>
      <c r="BB3197" s="173"/>
      <c r="BC3197" s="173"/>
    </row>
    <row r="3198" spans="2:55" s="134" customFormat="1" x14ac:dyDescent="0.2">
      <c r="B3198" s="145"/>
      <c r="D3198" s="145"/>
      <c r="Z3198" s="177"/>
      <c r="AA3198" s="178"/>
      <c r="AB3198" s="139"/>
      <c r="AC3198" s="173"/>
      <c r="AD3198" s="177"/>
      <c r="AE3198" s="177"/>
      <c r="AF3198" s="139"/>
      <c r="AG3198" s="139"/>
      <c r="AH3198" s="177"/>
      <c r="AI3198" s="178"/>
      <c r="AJ3198" s="139"/>
      <c r="AK3198" s="173"/>
      <c r="AL3198" s="177"/>
      <c r="AM3198" s="178"/>
      <c r="AN3198" s="173"/>
      <c r="AO3198" s="173"/>
      <c r="AP3198" s="173"/>
      <c r="AQ3198" s="178"/>
      <c r="AR3198" s="173"/>
      <c r="AS3198" s="173"/>
      <c r="AT3198" s="140"/>
      <c r="AX3198" s="140"/>
      <c r="BB3198" s="173"/>
      <c r="BC3198" s="173"/>
    </row>
    <row r="3199" spans="2:55" s="134" customFormat="1" x14ac:dyDescent="0.2">
      <c r="B3199" s="145"/>
      <c r="D3199" s="145"/>
      <c r="Z3199" s="177"/>
      <c r="AA3199" s="178"/>
      <c r="AB3199" s="139"/>
      <c r="AC3199" s="173"/>
      <c r="AD3199" s="177"/>
      <c r="AE3199" s="177"/>
      <c r="AF3199" s="139"/>
      <c r="AG3199" s="139"/>
      <c r="AH3199" s="177"/>
      <c r="AI3199" s="178"/>
      <c r="AJ3199" s="139"/>
      <c r="AK3199" s="173"/>
      <c r="AL3199" s="177"/>
      <c r="AM3199" s="178"/>
      <c r="AN3199" s="173"/>
      <c r="AO3199" s="173"/>
      <c r="AP3199" s="173"/>
      <c r="AQ3199" s="178"/>
      <c r="AR3199" s="173"/>
      <c r="AS3199" s="173"/>
      <c r="AT3199" s="140"/>
      <c r="AX3199" s="140"/>
      <c r="BB3199" s="173"/>
      <c r="BC3199" s="173"/>
    </row>
    <row r="3200" spans="2:55" s="134" customFormat="1" x14ac:dyDescent="0.2">
      <c r="B3200" s="145"/>
      <c r="D3200" s="145"/>
      <c r="Z3200" s="177"/>
      <c r="AA3200" s="178"/>
      <c r="AB3200" s="139"/>
      <c r="AC3200" s="173"/>
      <c r="AD3200" s="177"/>
      <c r="AE3200" s="177"/>
      <c r="AF3200" s="139"/>
      <c r="AG3200" s="139"/>
      <c r="AH3200" s="177"/>
      <c r="AI3200" s="178"/>
      <c r="AJ3200" s="139"/>
      <c r="AK3200" s="173"/>
      <c r="AL3200" s="177"/>
      <c r="AM3200" s="178"/>
      <c r="AN3200" s="173"/>
      <c r="AO3200" s="173"/>
      <c r="AP3200" s="173"/>
      <c r="AQ3200" s="178"/>
      <c r="AR3200" s="173"/>
      <c r="AS3200" s="173"/>
      <c r="AT3200" s="140"/>
      <c r="AX3200" s="140"/>
      <c r="BB3200" s="173"/>
      <c r="BC3200" s="173"/>
    </row>
    <row r="3201" spans="2:55" s="134" customFormat="1" x14ac:dyDescent="0.2">
      <c r="B3201" s="145"/>
      <c r="D3201" s="145"/>
      <c r="Z3201" s="177"/>
      <c r="AA3201" s="178"/>
      <c r="AB3201" s="139"/>
      <c r="AC3201" s="173"/>
      <c r="AD3201" s="177"/>
      <c r="AE3201" s="177"/>
      <c r="AF3201" s="139"/>
      <c r="AG3201" s="139"/>
      <c r="AH3201" s="177"/>
      <c r="AI3201" s="178"/>
      <c r="AJ3201" s="139"/>
      <c r="AK3201" s="173"/>
      <c r="AL3201" s="177"/>
      <c r="AM3201" s="178"/>
      <c r="AN3201" s="173"/>
      <c r="AO3201" s="173"/>
      <c r="AP3201" s="173"/>
      <c r="AQ3201" s="178"/>
      <c r="AR3201" s="173"/>
      <c r="AS3201" s="173"/>
      <c r="AT3201" s="140"/>
      <c r="AX3201" s="140"/>
      <c r="BB3201" s="173"/>
      <c r="BC3201" s="173"/>
    </row>
    <row r="3202" spans="2:55" s="134" customFormat="1" x14ac:dyDescent="0.2">
      <c r="B3202" s="145"/>
      <c r="D3202" s="145"/>
      <c r="Z3202" s="177"/>
      <c r="AA3202" s="178"/>
      <c r="AB3202" s="139"/>
      <c r="AC3202" s="173"/>
      <c r="AD3202" s="177"/>
      <c r="AE3202" s="177"/>
      <c r="AF3202" s="139"/>
      <c r="AG3202" s="139"/>
      <c r="AH3202" s="177"/>
      <c r="AI3202" s="178"/>
      <c r="AJ3202" s="139"/>
      <c r="AK3202" s="173"/>
      <c r="AL3202" s="177"/>
      <c r="AM3202" s="178"/>
      <c r="AN3202" s="173"/>
      <c r="AO3202" s="173"/>
      <c r="AP3202" s="173"/>
      <c r="AQ3202" s="178"/>
      <c r="AR3202" s="173"/>
      <c r="AS3202" s="173"/>
      <c r="AT3202" s="140"/>
      <c r="AX3202" s="140"/>
      <c r="BB3202" s="173"/>
      <c r="BC3202" s="173"/>
    </row>
    <row r="3203" spans="2:55" s="134" customFormat="1" x14ac:dyDescent="0.2">
      <c r="B3203" s="145"/>
      <c r="D3203" s="145"/>
      <c r="Z3203" s="177"/>
      <c r="AA3203" s="178"/>
      <c r="AB3203" s="139"/>
      <c r="AC3203" s="173"/>
      <c r="AD3203" s="177"/>
      <c r="AE3203" s="177"/>
      <c r="AF3203" s="139"/>
      <c r="AG3203" s="139"/>
      <c r="AH3203" s="177"/>
      <c r="AI3203" s="178"/>
      <c r="AJ3203" s="139"/>
      <c r="AK3203" s="173"/>
      <c r="AL3203" s="177"/>
      <c r="AM3203" s="178"/>
      <c r="AN3203" s="173"/>
      <c r="AO3203" s="173"/>
      <c r="AP3203" s="173"/>
      <c r="AQ3203" s="178"/>
      <c r="AR3203" s="173"/>
      <c r="AS3203" s="173"/>
      <c r="AT3203" s="140"/>
      <c r="AX3203" s="140"/>
      <c r="BB3203" s="173"/>
      <c r="BC3203" s="173"/>
    </row>
    <row r="3204" spans="2:55" s="134" customFormat="1" x14ac:dyDescent="0.2">
      <c r="B3204" s="145"/>
      <c r="D3204" s="145"/>
      <c r="Z3204" s="177"/>
      <c r="AA3204" s="178"/>
      <c r="AB3204" s="139"/>
      <c r="AC3204" s="173"/>
      <c r="AD3204" s="177"/>
      <c r="AE3204" s="177"/>
      <c r="AF3204" s="139"/>
      <c r="AG3204" s="139"/>
      <c r="AH3204" s="177"/>
      <c r="AI3204" s="178"/>
      <c r="AJ3204" s="139"/>
      <c r="AK3204" s="173"/>
      <c r="AL3204" s="177"/>
      <c r="AM3204" s="178"/>
      <c r="AN3204" s="173"/>
      <c r="AO3204" s="173"/>
      <c r="AP3204" s="173"/>
      <c r="AQ3204" s="178"/>
      <c r="AR3204" s="173"/>
      <c r="AS3204" s="173"/>
      <c r="AT3204" s="140"/>
      <c r="AX3204" s="140"/>
      <c r="BB3204" s="173"/>
      <c r="BC3204" s="173"/>
    </row>
    <row r="3205" spans="2:55" s="134" customFormat="1" x14ac:dyDescent="0.2">
      <c r="B3205" s="145"/>
      <c r="D3205" s="145"/>
      <c r="Z3205" s="177"/>
      <c r="AA3205" s="178"/>
      <c r="AB3205" s="139"/>
      <c r="AC3205" s="173"/>
      <c r="AD3205" s="177"/>
      <c r="AE3205" s="177"/>
      <c r="AF3205" s="139"/>
      <c r="AG3205" s="139"/>
      <c r="AH3205" s="177"/>
      <c r="AI3205" s="178"/>
      <c r="AJ3205" s="139"/>
      <c r="AK3205" s="173"/>
      <c r="AL3205" s="177"/>
      <c r="AM3205" s="178"/>
      <c r="AN3205" s="173"/>
      <c r="AO3205" s="173"/>
      <c r="AP3205" s="173"/>
      <c r="AQ3205" s="178"/>
      <c r="AR3205" s="173"/>
      <c r="AS3205" s="173"/>
      <c r="AT3205" s="140"/>
      <c r="AX3205" s="140"/>
      <c r="BB3205" s="173"/>
      <c r="BC3205" s="173"/>
    </row>
    <row r="3206" spans="2:55" s="134" customFormat="1" x14ac:dyDescent="0.2">
      <c r="B3206" s="145"/>
      <c r="D3206" s="145"/>
      <c r="Z3206" s="177"/>
      <c r="AA3206" s="178"/>
      <c r="AB3206" s="139"/>
      <c r="AC3206" s="173"/>
      <c r="AD3206" s="177"/>
      <c r="AE3206" s="177"/>
      <c r="AF3206" s="139"/>
      <c r="AG3206" s="139"/>
      <c r="AH3206" s="177"/>
      <c r="AI3206" s="178"/>
      <c r="AJ3206" s="139"/>
      <c r="AK3206" s="173"/>
      <c r="AL3206" s="177"/>
      <c r="AM3206" s="178"/>
      <c r="AN3206" s="173"/>
      <c r="AO3206" s="173"/>
      <c r="AP3206" s="173"/>
      <c r="AQ3206" s="178"/>
      <c r="AR3206" s="173"/>
      <c r="AS3206" s="173"/>
      <c r="AT3206" s="140"/>
      <c r="AX3206" s="140"/>
      <c r="BB3206" s="173"/>
      <c r="BC3206" s="173"/>
    </row>
    <row r="3207" spans="2:55" s="134" customFormat="1" x14ac:dyDescent="0.2">
      <c r="B3207" s="145"/>
      <c r="D3207" s="145"/>
      <c r="Z3207" s="177"/>
      <c r="AA3207" s="178"/>
      <c r="AB3207" s="139"/>
      <c r="AC3207" s="173"/>
      <c r="AD3207" s="177"/>
      <c r="AE3207" s="177"/>
      <c r="AF3207" s="139"/>
      <c r="AG3207" s="139"/>
      <c r="AH3207" s="177"/>
      <c r="AI3207" s="178"/>
      <c r="AJ3207" s="139"/>
      <c r="AK3207" s="173"/>
      <c r="AL3207" s="177"/>
      <c r="AM3207" s="178"/>
      <c r="AN3207" s="173"/>
      <c r="AO3207" s="173"/>
      <c r="AP3207" s="173"/>
      <c r="AQ3207" s="178"/>
      <c r="AR3207" s="173"/>
      <c r="AS3207" s="173"/>
      <c r="AT3207" s="140"/>
      <c r="AX3207" s="140"/>
      <c r="BB3207" s="173"/>
      <c r="BC3207" s="173"/>
    </row>
    <row r="3208" spans="2:55" s="134" customFormat="1" x14ac:dyDescent="0.2">
      <c r="B3208" s="145"/>
      <c r="D3208" s="145"/>
      <c r="Z3208" s="177"/>
      <c r="AA3208" s="178"/>
      <c r="AB3208" s="139"/>
      <c r="AC3208" s="173"/>
      <c r="AD3208" s="177"/>
      <c r="AE3208" s="177"/>
      <c r="AF3208" s="139"/>
      <c r="AG3208" s="139"/>
      <c r="AH3208" s="177"/>
      <c r="AI3208" s="178"/>
      <c r="AJ3208" s="139"/>
      <c r="AK3208" s="173"/>
      <c r="AL3208" s="177"/>
      <c r="AM3208" s="178"/>
      <c r="AN3208" s="173"/>
      <c r="AO3208" s="173"/>
      <c r="AP3208" s="173"/>
      <c r="AQ3208" s="178"/>
      <c r="AR3208" s="173"/>
      <c r="AS3208" s="173"/>
      <c r="AT3208" s="140"/>
      <c r="AX3208" s="140"/>
      <c r="BB3208" s="173"/>
      <c r="BC3208" s="173"/>
    </row>
    <row r="3209" spans="2:55" s="134" customFormat="1" x14ac:dyDescent="0.2">
      <c r="B3209" s="145"/>
      <c r="D3209" s="145"/>
      <c r="Z3209" s="177"/>
      <c r="AA3209" s="178"/>
      <c r="AB3209" s="139"/>
      <c r="AC3209" s="173"/>
      <c r="AD3209" s="177"/>
      <c r="AE3209" s="177"/>
      <c r="AF3209" s="139"/>
      <c r="AG3209" s="139"/>
      <c r="AH3209" s="177"/>
      <c r="AI3209" s="178"/>
      <c r="AJ3209" s="139"/>
      <c r="AK3209" s="173"/>
      <c r="AL3209" s="177"/>
      <c r="AM3209" s="178"/>
      <c r="AN3209" s="173"/>
      <c r="AO3209" s="173"/>
      <c r="AP3209" s="173"/>
      <c r="AQ3209" s="178"/>
      <c r="AR3209" s="173"/>
      <c r="AS3209" s="173"/>
      <c r="AT3209" s="140"/>
      <c r="AX3209" s="140"/>
      <c r="BB3209" s="173"/>
      <c r="BC3209" s="173"/>
    </row>
    <row r="3210" spans="2:55" s="134" customFormat="1" x14ac:dyDescent="0.2">
      <c r="B3210" s="145"/>
      <c r="D3210" s="145"/>
      <c r="Z3210" s="177"/>
      <c r="AA3210" s="178"/>
      <c r="AB3210" s="139"/>
      <c r="AC3210" s="173"/>
      <c r="AD3210" s="177"/>
      <c r="AE3210" s="177"/>
      <c r="AF3210" s="139"/>
      <c r="AG3210" s="139"/>
      <c r="AH3210" s="177"/>
      <c r="AI3210" s="178"/>
      <c r="AJ3210" s="139"/>
      <c r="AK3210" s="173"/>
      <c r="AL3210" s="177"/>
      <c r="AM3210" s="178"/>
      <c r="AN3210" s="173"/>
      <c r="AO3210" s="173"/>
      <c r="AP3210" s="173"/>
      <c r="AQ3210" s="178"/>
      <c r="AR3210" s="173"/>
      <c r="AS3210" s="173"/>
      <c r="AT3210" s="140"/>
      <c r="AX3210" s="140"/>
      <c r="BB3210" s="173"/>
      <c r="BC3210" s="173"/>
    </row>
    <row r="3211" spans="2:55" s="134" customFormat="1" x14ac:dyDescent="0.2">
      <c r="B3211" s="145"/>
      <c r="D3211" s="145"/>
      <c r="Z3211" s="177"/>
      <c r="AA3211" s="178"/>
      <c r="AB3211" s="139"/>
      <c r="AC3211" s="173"/>
      <c r="AD3211" s="177"/>
      <c r="AE3211" s="177"/>
      <c r="AF3211" s="139"/>
      <c r="AG3211" s="139"/>
      <c r="AH3211" s="177"/>
      <c r="AI3211" s="178"/>
      <c r="AJ3211" s="139"/>
      <c r="AK3211" s="173"/>
      <c r="AL3211" s="177"/>
      <c r="AM3211" s="178"/>
      <c r="AN3211" s="173"/>
      <c r="AO3211" s="173"/>
      <c r="AP3211" s="173"/>
      <c r="AQ3211" s="178"/>
      <c r="AR3211" s="173"/>
      <c r="AS3211" s="173"/>
      <c r="AT3211" s="140"/>
      <c r="AX3211" s="140"/>
      <c r="BB3211" s="173"/>
      <c r="BC3211" s="173"/>
    </row>
    <row r="3212" spans="2:55" s="134" customFormat="1" x14ac:dyDescent="0.2">
      <c r="B3212" s="145"/>
      <c r="D3212" s="145"/>
      <c r="Z3212" s="177"/>
      <c r="AA3212" s="178"/>
      <c r="AB3212" s="139"/>
      <c r="AC3212" s="173"/>
      <c r="AD3212" s="177"/>
      <c r="AE3212" s="177"/>
      <c r="AF3212" s="139"/>
      <c r="AG3212" s="139"/>
      <c r="AH3212" s="177"/>
      <c r="AI3212" s="178"/>
      <c r="AJ3212" s="139"/>
      <c r="AK3212" s="173"/>
      <c r="AL3212" s="177"/>
      <c r="AM3212" s="178"/>
      <c r="AN3212" s="173"/>
      <c r="AO3212" s="173"/>
      <c r="AP3212" s="173"/>
      <c r="AQ3212" s="178"/>
      <c r="AR3212" s="173"/>
      <c r="AS3212" s="173"/>
      <c r="AT3212" s="140"/>
      <c r="AX3212" s="140"/>
      <c r="BB3212" s="173"/>
      <c r="BC3212" s="173"/>
    </row>
    <row r="3213" spans="2:55" s="134" customFormat="1" x14ac:dyDescent="0.2">
      <c r="B3213" s="145"/>
      <c r="D3213" s="145"/>
      <c r="Z3213" s="177"/>
      <c r="AA3213" s="178"/>
      <c r="AB3213" s="139"/>
      <c r="AC3213" s="173"/>
      <c r="AD3213" s="177"/>
      <c r="AE3213" s="177"/>
      <c r="AF3213" s="139"/>
      <c r="AG3213" s="139"/>
      <c r="AH3213" s="177"/>
      <c r="AI3213" s="178"/>
      <c r="AJ3213" s="139"/>
      <c r="AK3213" s="173"/>
      <c r="AL3213" s="177"/>
      <c r="AM3213" s="178"/>
      <c r="AN3213" s="173"/>
      <c r="AO3213" s="173"/>
      <c r="AP3213" s="173"/>
      <c r="AQ3213" s="178"/>
      <c r="AR3213" s="173"/>
      <c r="AS3213" s="173"/>
      <c r="AT3213" s="140"/>
      <c r="AX3213" s="140"/>
      <c r="BB3213" s="173"/>
      <c r="BC3213" s="173"/>
    </row>
    <row r="3214" spans="2:55" s="134" customFormat="1" x14ac:dyDescent="0.2">
      <c r="B3214" s="145"/>
      <c r="D3214" s="145"/>
      <c r="Z3214" s="177"/>
      <c r="AA3214" s="178"/>
      <c r="AB3214" s="139"/>
      <c r="AC3214" s="173"/>
      <c r="AD3214" s="177"/>
      <c r="AE3214" s="177"/>
      <c r="AF3214" s="139"/>
      <c r="AG3214" s="139"/>
      <c r="AH3214" s="177"/>
      <c r="AI3214" s="178"/>
      <c r="AJ3214" s="139"/>
      <c r="AK3214" s="173"/>
      <c r="AL3214" s="177"/>
      <c r="AM3214" s="178"/>
      <c r="AN3214" s="173"/>
      <c r="AO3214" s="173"/>
      <c r="AP3214" s="173"/>
      <c r="AQ3214" s="178"/>
      <c r="AR3214" s="173"/>
      <c r="AS3214" s="173"/>
      <c r="AT3214" s="140"/>
      <c r="AX3214" s="140"/>
      <c r="BB3214" s="173"/>
      <c r="BC3214" s="173"/>
    </row>
    <row r="3215" spans="2:55" s="134" customFormat="1" x14ac:dyDescent="0.2">
      <c r="B3215" s="145"/>
      <c r="D3215" s="145"/>
      <c r="Z3215" s="177"/>
      <c r="AA3215" s="178"/>
      <c r="AB3215" s="139"/>
      <c r="AC3215" s="173"/>
      <c r="AD3215" s="177"/>
      <c r="AE3215" s="177"/>
      <c r="AF3215" s="139"/>
      <c r="AG3215" s="139"/>
      <c r="AH3215" s="177"/>
      <c r="AI3215" s="178"/>
      <c r="AJ3215" s="139"/>
      <c r="AK3215" s="173"/>
      <c r="AL3215" s="177"/>
      <c r="AM3215" s="178"/>
      <c r="AN3215" s="173"/>
      <c r="AO3215" s="173"/>
      <c r="AP3215" s="173"/>
      <c r="AQ3215" s="178"/>
      <c r="AR3215" s="173"/>
      <c r="AS3215" s="173"/>
      <c r="AT3215" s="140"/>
      <c r="AX3215" s="140"/>
      <c r="BB3215" s="173"/>
      <c r="BC3215" s="173"/>
    </row>
    <row r="3216" spans="2:55" s="134" customFormat="1" x14ac:dyDescent="0.2">
      <c r="B3216" s="145"/>
      <c r="D3216" s="145"/>
      <c r="Z3216" s="177"/>
      <c r="AA3216" s="178"/>
      <c r="AB3216" s="139"/>
      <c r="AC3216" s="173"/>
      <c r="AD3216" s="177"/>
      <c r="AE3216" s="177"/>
      <c r="AF3216" s="139"/>
      <c r="AG3216" s="139"/>
      <c r="AH3216" s="177"/>
      <c r="AI3216" s="178"/>
      <c r="AJ3216" s="139"/>
      <c r="AK3216" s="173"/>
      <c r="AL3216" s="177"/>
      <c r="AM3216" s="178"/>
      <c r="AN3216" s="173"/>
      <c r="AO3216" s="173"/>
      <c r="AP3216" s="173"/>
      <c r="AQ3216" s="178"/>
      <c r="AR3216" s="173"/>
      <c r="AS3216" s="173"/>
      <c r="AT3216" s="140"/>
      <c r="AX3216" s="140"/>
      <c r="BB3216" s="173"/>
      <c r="BC3216" s="173"/>
    </row>
    <row r="3217" spans="2:55" s="134" customFormat="1" x14ac:dyDescent="0.2">
      <c r="B3217" s="145"/>
      <c r="D3217" s="145"/>
      <c r="Z3217" s="177"/>
      <c r="AA3217" s="178"/>
      <c r="AB3217" s="139"/>
      <c r="AC3217" s="173"/>
      <c r="AD3217" s="177"/>
      <c r="AE3217" s="177"/>
      <c r="AF3217" s="139"/>
      <c r="AG3217" s="139"/>
      <c r="AH3217" s="177"/>
      <c r="AI3217" s="178"/>
      <c r="AJ3217" s="139"/>
      <c r="AK3217" s="173"/>
      <c r="AL3217" s="177"/>
      <c r="AM3217" s="178"/>
      <c r="AN3217" s="173"/>
      <c r="AO3217" s="173"/>
      <c r="AP3217" s="173"/>
      <c r="AQ3217" s="178"/>
      <c r="AR3217" s="173"/>
      <c r="AS3217" s="173"/>
      <c r="AT3217" s="140"/>
      <c r="AX3217" s="140"/>
      <c r="BB3217" s="173"/>
      <c r="BC3217" s="173"/>
    </row>
    <row r="3218" spans="2:55" s="134" customFormat="1" x14ac:dyDescent="0.2">
      <c r="B3218" s="145"/>
      <c r="D3218" s="145"/>
      <c r="Z3218" s="177"/>
      <c r="AA3218" s="178"/>
      <c r="AB3218" s="139"/>
      <c r="AC3218" s="173"/>
      <c r="AD3218" s="177"/>
      <c r="AE3218" s="177"/>
      <c r="AF3218" s="139"/>
      <c r="AG3218" s="139"/>
      <c r="AH3218" s="177"/>
      <c r="AI3218" s="178"/>
      <c r="AJ3218" s="139"/>
      <c r="AK3218" s="173"/>
      <c r="AL3218" s="177"/>
      <c r="AM3218" s="178"/>
      <c r="AN3218" s="173"/>
      <c r="AO3218" s="173"/>
      <c r="AP3218" s="173"/>
      <c r="AQ3218" s="178"/>
      <c r="AR3218" s="173"/>
      <c r="AS3218" s="173"/>
      <c r="AT3218" s="140"/>
      <c r="AX3218" s="140"/>
      <c r="BB3218" s="173"/>
      <c r="BC3218" s="173"/>
    </row>
    <row r="3219" spans="2:55" s="134" customFormat="1" x14ac:dyDescent="0.2">
      <c r="B3219" s="145"/>
      <c r="D3219" s="145"/>
      <c r="Z3219" s="177"/>
      <c r="AA3219" s="178"/>
      <c r="AB3219" s="139"/>
      <c r="AC3219" s="173"/>
      <c r="AD3219" s="177"/>
      <c r="AE3219" s="177"/>
      <c r="AF3219" s="139"/>
      <c r="AG3219" s="139"/>
      <c r="AH3219" s="177"/>
      <c r="AI3219" s="178"/>
      <c r="AJ3219" s="139"/>
      <c r="AK3219" s="173"/>
      <c r="AL3219" s="177"/>
      <c r="AM3219" s="178"/>
      <c r="AN3219" s="173"/>
      <c r="AO3219" s="173"/>
      <c r="AP3219" s="173"/>
      <c r="AQ3219" s="178"/>
      <c r="AR3219" s="173"/>
      <c r="AS3219" s="173"/>
      <c r="AT3219" s="140"/>
      <c r="AX3219" s="140"/>
      <c r="BB3219" s="173"/>
      <c r="BC3219" s="173"/>
    </row>
    <row r="3220" spans="2:55" s="134" customFormat="1" x14ac:dyDescent="0.2">
      <c r="B3220" s="145"/>
      <c r="D3220" s="145"/>
      <c r="Z3220" s="177"/>
      <c r="AA3220" s="178"/>
      <c r="AB3220" s="139"/>
      <c r="AC3220" s="173"/>
      <c r="AD3220" s="177"/>
      <c r="AE3220" s="177"/>
      <c r="AF3220" s="139"/>
      <c r="AG3220" s="139"/>
      <c r="AH3220" s="177"/>
      <c r="AI3220" s="178"/>
      <c r="AJ3220" s="139"/>
      <c r="AK3220" s="173"/>
      <c r="AL3220" s="177"/>
      <c r="AM3220" s="178"/>
      <c r="AN3220" s="173"/>
      <c r="AO3220" s="173"/>
      <c r="AP3220" s="173"/>
      <c r="AQ3220" s="178"/>
      <c r="AR3220" s="173"/>
      <c r="AS3220" s="173"/>
      <c r="AT3220" s="140"/>
      <c r="AX3220" s="140"/>
      <c r="BB3220" s="173"/>
      <c r="BC3220" s="173"/>
    </row>
    <row r="3221" spans="2:55" s="134" customFormat="1" x14ac:dyDescent="0.2">
      <c r="B3221" s="145"/>
      <c r="D3221" s="145"/>
      <c r="Z3221" s="177"/>
      <c r="AA3221" s="178"/>
      <c r="AB3221" s="139"/>
      <c r="AC3221" s="173"/>
      <c r="AD3221" s="177"/>
      <c r="AE3221" s="177"/>
      <c r="AF3221" s="139"/>
      <c r="AG3221" s="139"/>
      <c r="AH3221" s="177"/>
      <c r="AI3221" s="178"/>
      <c r="AJ3221" s="139"/>
      <c r="AK3221" s="173"/>
      <c r="AL3221" s="177"/>
      <c r="AM3221" s="178"/>
      <c r="AN3221" s="173"/>
      <c r="AO3221" s="173"/>
      <c r="AP3221" s="173"/>
      <c r="AQ3221" s="178"/>
      <c r="AR3221" s="173"/>
      <c r="AS3221" s="173"/>
      <c r="AT3221" s="140"/>
      <c r="AX3221" s="140"/>
      <c r="BB3221" s="173"/>
      <c r="BC3221" s="173"/>
    </row>
    <row r="3222" spans="2:55" s="134" customFormat="1" x14ac:dyDescent="0.2">
      <c r="B3222" s="145"/>
      <c r="D3222" s="145"/>
      <c r="Z3222" s="177"/>
      <c r="AA3222" s="178"/>
      <c r="AB3222" s="139"/>
      <c r="AC3222" s="173"/>
      <c r="AD3222" s="177"/>
      <c r="AE3222" s="177"/>
      <c r="AF3222" s="139"/>
      <c r="AG3222" s="139"/>
      <c r="AH3222" s="177"/>
      <c r="AI3222" s="178"/>
      <c r="AJ3222" s="139"/>
      <c r="AK3222" s="173"/>
      <c r="AL3222" s="177"/>
      <c r="AM3222" s="178"/>
      <c r="AN3222" s="173"/>
      <c r="AO3222" s="173"/>
      <c r="AP3222" s="173"/>
      <c r="AQ3222" s="178"/>
      <c r="AR3222" s="173"/>
      <c r="AS3222" s="173"/>
      <c r="AT3222" s="140"/>
      <c r="AX3222" s="140"/>
      <c r="BB3222" s="173"/>
      <c r="BC3222" s="173"/>
    </row>
    <row r="3223" spans="2:55" s="134" customFormat="1" x14ac:dyDescent="0.2">
      <c r="B3223" s="145"/>
      <c r="D3223" s="145"/>
      <c r="Z3223" s="177"/>
      <c r="AA3223" s="178"/>
      <c r="AB3223" s="139"/>
      <c r="AC3223" s="173"/>
      <c r="AD3223" s="177"/>
      <c r="AE3223" s="177"/>
      <c r="AF3223" s="139"/>
      <c r="AG3223" s="139"/>
      <c r="AH3223" s="177"/>
      <c r="AI3223" s="178"/>
      <c r="AJ3223" s="139"/>
      <c r="AK3223" s="173"/>
      <c r="AL3223" s="177"/>
      <c r="AM3223" s="178"/>
      <c r="AN3223" s="173"/>
      <c r="AO3223" s="173"/>
      <c r="AP3223" s="173"/>
      <c r="AQ3223" s="178"/>
      <c r="AR3223" s="173"/>
      <c r="AS3223" s="173"/>
      <c r="AT3223" s="140"/>
      <c r="AX3223" s="140"/>
      <c r="BB3223" s="173"/>
      <c r="BC3223" s="173"/>
    </row>
    <row r="3224" spans="2:55" s="134" customFormat="1" x14ac:dyDescent="0.2">
      <c r="B3224" s="145"/>
      <c r="D3224" s="145"/>
      <c r="Z3224" s="177"/>
      <c r="AA3224" s="178"/>
      <c r="AB3224" s="139"/>
      <c r="AC3224" s="173"/>
      <c r="AD3224" s="177"/>
      <c r="AE3224" s="177"/>
      <c r="AF3224" s="139"/>
      <c r="AG3224" s="139"/>
      <c r="AH3224" s="177"/>
      <c r="AI3224" s="178"/>
      <c r="AJ3224" s="139"/>
      <c r="AK3224" s="173"/>
      <c r="AL3224" s="177"/>
      <c r="AM3224" s="178"/>
      <c r="AN3224" s="173"/>
      <c r="AO3224" s="173"/>
      <c r="AP3224" s="173"/>
      <c r="AQ3224" s="178"/>
      <c r="AR3224" s="173"/>
      <c r="AS3224" s="173"/>
      <c r="AT3224" s="140"/>
      <c r="AX3224" s="140"/>
      <c r="BB3224" s="173"/>
      <c r="BC3224" s="173"/>
    </row>
    <row r="3225" spans="2:55" s="134" customFormat="1" x14ac:dyDescent="0.2">
      <c r="B3225" s="145"/>
      <c r="D3225" s="145"/>
      <c r="Z3225" s="177"/>
      <c r="AA3225" s="178"/>
      <c r="AB3225" s="139"/>
      <c r="AC3225" s="173"/>
      <c r="AD3225" s="177"/>
      <c r="AE3225" s="177"/>
      <c r="AF3225" s="139"/>
      <c r="AG3225" s="139"/>
      <c r="AH3225" s="177"/>
      <c r="AI3225" s="178"/>
      <c r="AJ3225" s="139"/>
      <c r="AK3225" s="173"/>
      <c r="AL3225" s="177"/>
      <c r="AM3225" s="178"/>
      <c r="AN3225" s="173"/>
      <c r="AO3225" s="173"/>
      <c r="AP3225" s="173"/>
      <c r="AQ3225" s="178"/>
      <c r="AR3225" s="173"/>
      <c r="AS3225" s="173"/>
      <c r="AT3225" s="140"/>
      <c r="AX3225" s="140"/>
      <c r="BB3225" s="173"/>
      <c r="BC3225" s="173"/>
    </row>
    <row r="3226" spans="2:55" s="134" customFormat="1" x14ac:dyDescent="0.2">
      <c r="B3226" s="145"/>
      <c r="D3226" s="145"/>
      <c r="Z3226" s="177"/>
      <c r="AA3226" s="178"/>
      <c r="AB3226" s="139"/>
      <c r="AC3226" s="173"/>
      <c r="AD3226" s="177"/>
      <c r="AE3226" s="177"/>
      <c r="AF3226" s="139"/>
      <c r="AG3226" s="139"/>
      <c r="AH3226" s="177"/>
      <c r="AI3226" s="178"/>
      <c r="AJ3226" s="139"/>
      <c r="AK3226" s="173"/>
      <c r="AL3226" s="177"/>
      <c r="AM3226" s="178"/>
      <c r="AN3226" s="173"/>
      <c r="AO3226" s="173"/>
      <c r="AP3226" s="173"/>
      <c r="AQ3226" s="178"/>
      <c r="AR3226" s="173"/>
      <c r="AS3226" s="173"/>
      <c r="AT3226" s="140"/>
      <c r="AX3226" s="140"/>
      <c r="BB3226" s="173"/>
      <c r="BC3226" s="173"/>
    </row>
    <row r="3227" spans="2:55" s="134" customFormat="1" x14ac:dyDescent="0.2">
      <c r="B3227" s="145"/>
      <c r="D3227" s="145"/>
      <c r="Z3227" s="177"/>
      <c r="AA3227" s="178"/>
      <c r="AB3227" s="139"/>
      <c r="AC3227" s="173"/>
      <c r="AD3227" s="177"/>
      <c r="AE3227" s="177"/>
      <c r="AF3227" s="139"/>
      <c r="AG3227" s="139"/>
      <c r="AH3227" s="177"/>
      <c r="AI3227" s="178"/>
      <c r="AJ3227" s="139"/>
      <c r="AK3227" s="173"/>
      <c r="AL3227" s="177"/>
      <c r="AM3227" s="178"/>
      <c r="AN3227" s="173"/>
      <c r="AO3227" s="173"/>
      <c r="AP3227" s="173"/>
      <c r="AQ3227" s="178"/>
      <c r="AR3227" s="173"/>
      <c r="AS3227" s="173"/>
      <c r="AT3227" s="140"/>
      <c r="AX3227" s="140"/>
      <c r="BB3227" s="173"/>
      <c r="BC3227" s="173"/>
    </row>
    <row r="3228" spans="2:55" s="134" customFormat="1" x14ac:dyDescent="0.2">
      <c r="B3228" s="145"/>
      <c r="D3228" s="145"/>
      <c r="Z3228" s="177"/>
      <c r="AA3228" s="178"/>
      <c r="AB3228" s="139"/>
      <c r="AC3228" s="173"/>
      <c r="AD3228" s="177"/>
      <c r="AE3228" s="177"/>
      <c r="AF3228" s="139"/>
      <c r="AG3228" s="139"/>
      <c r="AH3228" s="177"/>
      <c r="AI3228" s="178"/>
      <c r="AJ3228" s="139"/>
      <c r="AK3228" s="173"/>
      <c r="AL3228" s="177"/>
      <c r="AM3228" s="178"/>
      <c r="AN3228" s="173"/>
      <c r="AO3228" s="173"/>
      <c r="AP3228" s="173"/>
      <c r="AQ3228" s="178"/>
      <c r="AR3228" s="173"/>
      <c r="AS3228" s="173"/>
      <c r="AT3228" s="140"/>
      <c r="AX3228" s="140"/>
      <c r="BB3228" s="173"/>
      <c r="BC3228" s="173"/>
    </row>
    <row r="3229" spans="2:55" s="134" customFormat="1" x14ac:dyDescent="0.2">
      <c r="B3229" s="145"/>
      <c r="D3229" s="145"/>
      <c r="Z3229" s="177"/>
      <c r="AA3229" s="178"/>
      <c r="AB3229" s="139"/>
      <c r="AC3229" s="173"/>
      <c r="AD3229" s="177"/>
      <c r="AE3229" s="177"/>
      <c r="AF3229" s="139"/>
      <c r="AG3229" s="139"/>
      <c r="AH3229" s="177"/>
      <c r="AI3229" s="178"/>
      <c r="AJ3229" s="139"/>
      <c r="AK3229" s="173"/>
      <c r="AL3229" s="177"/>
      <c r="AM3229" s="178"/>
      <c r="AN3229" s="173"/>
      <c r="AO3229" s="173"/>
      <c r="AP3229" s="173"/>
      <c r="AQ3229" s="178"/>
      <c r="AR3229" s="173"/>
      <c r="AS3229" s="173"/>
      <c r="AT3229" s="140"/>
      <c r="AX3229" s="140"/>
      <c r="BB3229" s="173"/>
      <c r="BC3229" s="173"/>
    </row>
    <row r="3230" spans="2:55" s="134" customFormat="1" x14ac:dyDescent="0.2">
      <c r="B3230" s="145"/>
      <c r="D3230" s="145"/>
      <c r="Z3230" s="177"/>
      <c r="AA3230" s="178"/>
      <c r="AB3230" s="139"/>
      <c r="AC3230" s="173"/>
      <c r="AD3230" s="177"/>
      <c r="AE3230" s="177"/>
      <c r="AF3230" s="139"/>
      <c r="AG3230" s="139"/>
      <c r="AH3230" s="177"/>
      <c r="AI3230" s="178"/>
      <c r="AJ3230" s="139"/>
      <c r="AK3230" s="173"/>
      <c r="AL3230" s="177"/>
      <c r="AM3230" s="178"/>
      <c r="AN3230" s="173"/>
      <c r="AO3230" s="173"/>
      <c r="AP3230" s="173"/>
      <c r="AQ3230" s="178"/>
      <c r="AR3230" s="173"/>
      <c r="AS3230" s="173"/>
      <c r="AT3230" s="140"/>
      <c r="AX3230" s="140"/>
      <c r="BB3230" s="173"/>
      <c r="BC3230" s="173"/>
    </row>
    <row r="3231" spans="2:55" s="134" customFormat="1" x14ac:dyDescent="0.2">
      <c r="B3231" s="145"/>
      <c r="D3231" s="145"/>
      <c r="Z3231" s="177"/>
      <c r="AA3231" s="178"/>
      <c r="AB3231" s="139"/>
      <c r="AC3231" s="173"/>
      <c r="AD3231" s="177"/>
      <c r="AE3231" s="177"/>
      <c r="AF3231" s="139"/>
      <c r="AG3231" s="139"/>
      <c r="AH3231" s="177"/>
      <c r="AI3231" s="178"/>
      <c r="AJ3231" s="139"/>
      <c r="AK3231" s="173"/>
      <c r="AL3231" s="177"/>
      <c r="AM3231" s="178"/>
      <c r="AN3231" s="173"/>
      <c r="AO3231" s="173"/>
      <c r="AP3231" s="173"/>
      <c r="AQ3231" s="178"/>
      <c r="AR3231" s="173"/>
      <c r="AS3231" s="173"/>
      <c r="AT3231" s="140"/>
      <c r="AX3231" s="140"/>
      <c r="BB3231" s="173"/>
      <c r="BC3231" s="173"/>
    </row>
    <row r="3232" spans="2:55" s="134" customFormat="1" x14ac:dyDescent="0.2">
      <c r="B3232" s="145"/>
      <c r="D3232" s="145"/>
      <c r="Z3232" s="177"/>
      <c r="AA3232" s="178"/>
      <c r="AB3232" s="139"/>
      <c r="AC3232" s="173"/>
      <c r="AD3232" s="177"/>
      <c r="AE3232" s="177"/>
      <c r="AF3232" s="139"/>
      <c r="AG3232" s="139"/>
      <c r="AH3232" s="177"/>
      <c r="AI3232" s="178"/>
      <c r="AJ3232" s="139"/>
      <c r="AK3232" s="173"/>
      <c r="AL3232" s="177"/>
      <c r="AM3232" s="178"/>
      <c r="AN3232" s="173"/>
      <c r="AO3232" s="173"/>
      <c r="AP3232" s="173"/>
      <c r="AQ3232" s="178"/>
      <c r="AR3232" s="173"/>
      <c r="AS3232" s="173"/>
      <c r="AT3232" s="140"/>
      <c r="AX3232" s="140"/>
      <c r="BB3232" s="173"/>
      <c r="BC3232" s="173"/>
    </row>
    <row r="3233" spans="2:55" s="134" customFormat="1" x14ac:dyDescent="0.2">
      <c r="B3233" s="145"/>
      <c r="D3233" s="145"/>
      <c r="Z3233" s="177"/>
      <c r="AA3233" s="178"/>
      <c r="AB3233" s="139"/>
      <c r="AC3233" s="173"/>
      <c r="AD3233" s="177"/>
      <c r="AE3233" s="177"/>
      <c r="AF3233" s="139"/>
      <c r="AG3233" s="139"/>
      <c r="AH3233" s="177"/>
      <c r="AI3233" s="178"/>
      <c r="AJ3233" s="139"/>
      <c r="AK3233" s="173"/>
      <c r="AL3233" s="177"/>
      <c r="AM3233" s="178"/>
      <c r="AN3233" s="173"/>
      <c r="AO3233" s="173"/>
      <c r="AP3233" s="173"/>
      <c r="AQ3233" s="178"/>
      <c r="AR3233" s="173"/>
      <c r="AS3233" s="173"/>
      <c r="AT3233" s="140"/>
      <c r="AX3233" s="140"/>
      <c r="BB3233" s="173"/>
      <c r="BC3233" s="173"/>
    </row>
    <row r="3234" spans="2:55" s="134" customFormat="1" x14ac:dyDescent="0.2">
      <c r="B3234" s="145"/>
      <c r="D3234" s="145"/>
      <c r="Z3234" s="177"/>
      <c r="AA3234" s="178"/>
      <c r="AB3234" s="139"/>
      <c r="AC3234" s="173"/>
      <c r="AD3234" s="177"/>
      <c r="AE3234" s="177"/>
      <c r="AF3234" s="139"/>
      <c r="AG3234" s="139"/>
      <c r="AH3234" s="177"/>
      <c r="AI3234" s="178"/>
      <c r="AJ3234" s="139"/>
      <c r="AK3234" s="173"/>
      <c r="AL3234" s="177"/>
      <c r="AM3234" s="178"/>
      <c r="AN3234" s="173"/>
      <c r="AO3234" s="173"/>
      <c r="AP3234" s="173"/>
      <c r="AQ3234" s="178"/>
      <c r="AR3234" s="173"/>
      <c r="AS3234" s="173"/>
      <c r="AT3234" s="140"/>
      <c r="AX3234" s="140"/>
      <c r="BB3234" s="173"/>
      <c r="BC3234" s="173"/>
    </row>
    <row r="3235" spans="2:55" s="134" customFormat="1" x14ac:dyDescent="0.2">
      <c r="B3235" s="145"/>
      <c r="D3235" s="145"/>
      <c r="Z3235" s="177"/>
      <c r="AA3235" s="178"/>
      <c r="AB3235" s="139"/>
      <c r="AC3235" s="173"/>
      <c r="AD3235" s="177"/>
      <c r="AE3235" s="177"/>
      <c r="AF3235" s="139"/>
      <c r="AG3235" s="139"/>
      <c r="AH3235" s="177"/>
      <c r="AI3235" s="178"/>
      <c r="AJ3235" s="139"/>
      <c r="AK3235" s="173"/>
      <c r="AL3235" s="177"/>
      <c r="AM3235" s="178"/>
      <c r="AN3235" s="173"/>
      <c r="AO3235" s="173"/>
      <c r="AP3235" s="173"/>
      <c r="AQ3235" s="178"/>
      <c r="AR3235" s="173"/>
      <c r="AS3235" s="173"/>
      <c r="AT3235" s="140"/>
      <c r="AX3235" s="140"/>
      <c r="BB3235" s="173"/>
      <c r="BC3235" s="173"/>
    </row>
    <row r="3236" spans="2:55" s="134" customFormat="1" x14ac:dyDescent="0.2">
      <c r="B3236" s="145"/>
      <c r="D3236" s="145"/>
      <c r="Z3236" s="177"/>
      <c r="AA3236" s="178"/>
      <c r="AB3236" s="139"/>
      <c r="AC3236" s="173"/>
      <c r="AD3236" s="177"/>
      <c r="AE3236" s="177"/>
      <c r="AF3236" s="139"/>
      <c r="AG3236" s="139"/>
      <c r="AH3236" s="177"/>
      <c r="AI3236" s="178"/>
      <c r="AJ3236" s="139"/>
      <c r="AK3236" s="173"/>
      <c r="AL3236" s="177"/>
      <c r="AM3236" s="178"/>
      <c r="AN3236" s="173"/>
      <c r="AO3236" s="173"/>
      <c r="AP3236" s="173"/>
      <c r="AQ3236" s="178"/>
      <c r="AR3236" s="173"/>
      <c r="AS3236" s="173"/>
      <c r="AT3236" s="140"/>
      <c r="AX3236" s="140"/>
      <c r="BB3236" s="173"/>
      <c r="BC3236" s="173"/>
    </row>
    <row r="3237" spans="2:55" s="134" customFormat="1" x14ac:dyDescent="0.2">
      <c r="B3237" s="145"/>
      <c r="D3237" s="145"/>
      <c r="Z3237" s="177"/>
      <c r="AA3237" s="178"/>
      <c r="AB3237" s="139"/>
      <c r="AC3237" s="173"/>
      <c r="AD3237" s="177"/>
      <c r="AE3237" s="177"/>
      <c r="AF3237" s="139"/>
      <c r="AG3237" s="139"/>
      <c r="AH3237" s="177"/>
      <c r="AI3237" s="178"/>
      <c r="AJ3237" s="139"/>
      <c r="AK3237" s="173"/>
      <c r="AL3237" s="177"/>
      <c r="AM3237" s="178"/>
      <c r="AN3237" s="173"/>
      <c r="AO3237" s="173"/>
      <c r="AP3237" s="173"/>
      <c r="AQ3237" s="178"/>
      <c r="AR3237" s="173"/>
      <c r="AS3237" s="173"/>
      <c r="AT3237" s="140"/>
      <c r="AX3237" s="140"/>
      <c r="BB3237" s="173"/>
      <c r="BC3237" s="173"/>
    </row>
    <row r="3238" spans="2:55" s="134" customFormat="1" x14ac:dyDescent="0.2">
      <c r="B3238" s="145"/>
      <c r="D3238" s="145"/>
      <c r="Z3238" s="177"/>
      <c r="AA3238" s="178"/>
      <c r="AB3238" s="139"/>
      <c r="AC3238" s="173"/>
      <c r="AD3238" s="177"/>
      <c r="AE3238" s="177"/>
      <c r="AF3238" s="139"/>
      <c r="AG3238" s="139"/>
      <c r="AH3238" s="177"/>
      <c r="AI3238" s="178"/>
      <c r="AJ3238" s="139"/>
      <c r="AK3238" s="173"/>
      <c r="AL3238" s="177"/>
      <c r="AM3238" s="178"/>
      <c r="AN3238" s="173"/>
      <c r="AO3238" s="173"/>
      <c r="AP3238" s="173"/>
      <c r="AQ3238" s="178"/>
      <c r="AR3238" s="173"/>
      <c r="AS3238" s="173"/>
      <c r="AT3238" s="140"/>
      <c r="AX3238" s="140"/>
      <c r="BB3238" s="173"/>
      <c r="BC3238" s="173"/>
    </row>
    <row r="3239" spans="2:55" s="134" customFormat="1" x14ac:dyDescent="0.2">
      <c r="B3239" s="145"/>
      <c r="D3239" s="145"/>
      <c r="Z3239" s="177"/>
      <c r="AA3239" s="178"/>
      <c r="AB3239" s="139"/>
      <c r="AC3239" s="173"/>
      <c r="AD3239" s="177"/>
      <c r="AE3239" s="177"/>
      <c r="AF3239" s="139"/>
      <c r="AG3239" s="139"/>
      <c r="AH3239" s="177"/>
      <c r="AI3239" s="178"/>
      <c r="AJ3239" s="139"/>
      <c r="AK3239" s="173"/>
      <c r="AL3239" s="177"/>
      <c r="AM3239" s="178"/>
      <c r="AN3239" s="173"/>
      <c r="AO3239" s="173"/>
      <c r="AP3239" s="173"/>
      <c r="AQ3239" s="178"/>
      <c r="AR3239" s="173"/>
      <c r="AS3239" s="173"/>
      <c r="AT3239" s="140"/>
      <c r="AX3239" s="140"/>
      <c r="BB3239" s="173"/>
      <c r="BC3239" s="173"/>
    </row>
    <row r="3240" spans="2:55" s="134" customFormat="1" x14ac:dyDescent="0.2">
      <c r="B3240" s="145"/>
      <c r="D3240" s="145"/>
      <c r="Z3240" s="177"/>
      <c r="AA3240" s="178"/>
      <c r="AB3240" s="139"/>
      <c r="AC3240" s="173"/>
      <c r="AD3240" s="177"/>
      <c r="AE3240" s="177"/>
      <c r="AF3240" s="139"/>
      <c r="AG3240" s="139"/>
      <c r="AH3240" s="177"/>
      <c r="AI3240" s="178"/>
      <c r="AJ3240" s="139"/>
      <c r="AK3240" s="173"/>
      <c r="AL3240" s="177"/>
      <c r="AM3240" s="178"/>
      <c r="AN3240" s="173"/>
      <c r="AO3240" s="173"/>
      <c r="AP3240" s="173"/>
      <c r="AQ3240" s="178"/>
      <c r="AR3240" s="173"/>
      <c r="AS3240" s="173"/>
      <c r="AT3240" s="140"/>
      <c r="AX3240" s="140"/>
      <c r="BB3240" s="173"/>
      <c r="BC3240" s="173"/>
    </row>
    <row r="3241" spans="2:55" s="134" customFormat="1" x14ac:dyDescent="0.2">
      <c r="B3241" s="145"/>
      <c r="D3241" s="145"/>
      <c r="Z3241" s="177"/>
      <c r="AA3241" s="178"/>
      <c r="AB3241" s="139"/>
      <c r="AC3241" s="173"/>
      <c r="AD3241" s="177"/>
      <c r="AE3241" s="177"/>
      <c r="AF3241" s="139"/>
      <c r="AG3241" s="139"/>
      <c r="AH3241" s="177"/>
      <c r="AI3241" s="178"/>
      <c r="AJ3241" s="139"/>
      <c r="AK3241" s="173"/>
      <c r="AL3241" s="177"/>
      <c r="AM3241" s="178"/>
      <c r="AN3241" s="173"/>
      <c r="AO3241" s="173"/>
      <c r="AP3241" s="173"/>
      <c r="AQ3241" s="178"/>
      <c r="AR3241" s="173"/>
      <c r="AS3241" s="173"/>
      <c r="AT3241" s="140"/>
      <c r="AX3241" s="140"/>
      <c r="BB3241" s="173"/>
      <c r="BC3241" s="173"/>
    </row>
    <row r="3242" spans="2:55" s="134" customFormat="1" x14ac:dyDescent="0.2">
      <c r="B3242" s="145"/>
      <c r="D3242" s="145"/>
      <c r="Z3242" s="177"/>
      <c r="AA3242" s="178"/>
      <c r="AB3242" s="139"/>
      <c r="AC3242" s="173"/>
      <c r="AD3242" s="177"/>
      <c r="AE3242" s="177"/>
      <c r="AF3242" s="139"/>
      <c r="AG3242" s="139"/>
      <c r="AH3242" s="177"/>
      <c r="AI3242" s="178"/>
      <c r="AJ3242" s="139"/>
      <c r="AK3242" s="173"/>
      <c r="AL3242" s="177"/>
      <c r="AM3242" s="178"/>
      <c r="AN3242" s="173"/>
      <c r="AO3242" s="173"/>
      <c r="AP3242" s="173"/>
      <c r="AQ3242" s="178"/>
      <c r="AR3242" s="173"/>
      <c r="AS3242" s="173"/>
      <c r="AT3242" s="140"/>
      <c r="AX3242" s="140"/>
      <c r="BB3242" s="173"/>
      <c r="BC3242" s="173"/>
    </row>
    <row r="3243" spans="2:55" s="134" customFormat="1" x14ac:dyDescent="0.2">
      <c r="B3243" s="145"/>
      <c r="D3243" s="145"/>
      <c r="Z3243" s="177"/>
      <c r="AA3243" s="178"/>
      <c r="AB3243" s="139"/>
      <c r="AC3243" s="173"/>
      <c r="AD3243" s="177"/>
      <c r="AE3243" s="177"/>
      <c r="AF3243" s="139"/>
      <c r="AG3243" s="139"/>
      <c r="AH3243" s="177"/>
      <c r="AI3243" s="178"/>
      <c r="AJ3243" s="139"/>
      <c r="AK3243" s="173"/>
      <c r="AL3243" s="177"/>
      <c r="AM3243" s="178"/>
      <c r="AN3243" s="173"/>
      <c r="AO3243" s="173"/>
      <c r="AP3243" s="173"/>
      <c r="AQ3243" s="178"/>
      <c r="AR3243" s="173"/>
      <c r="AS3243" s="173"/>
      <c r="AT3243" s="140"/>
      <c r="AX3243" s="140"/>
      <c r="BB3243" s="173"/>
      <c r="BC3243" s="173"/>
    </row>
    <row r="3244" spans="2:55" s="134" customFormat="1" x14ac:dyDescent="0.2">
      <c r="B3244" s="145"/>
      <c r="D3244" s="145"/>
      <c r="Z3244" s="177"/>
      <c r="AA3244" s="178"/>
      <c r="AB3244" s="139"/>
      <c r="AC3244" s="173"/>
      <c r="AD3244" s="177"/>
      <c r="AE3244" s="177"/>
      <c r="AF3244" s="139"/>
      <c r="AG3244" s="139"/>
      <c r="AH3244" s="177"/>
      <c r="AI3244" s="178"/>
      <c r="AJ3244" s="139"/>
      <c r="AK3244" s="173"/>
      <c r="AL3244" s="177"/>
      <c r="AM3244" s="178"/>
      <c r="AN3244" s="173"/>
      <c r="AO3244" s="173"/>
      <c r="AP3244" s="173"/>
      <c r="AQ3244" s="178"/>
      <c r="AR3244" s="173"/>
      <c r="AS3244" s="173"/>
      <c r="AT3244" s="140"/>
      <c r="AX3244" s="140"/>
      <c r="BB3244" s="173"/>
      <c r="BC3244" s="173"/>
    </row>
    <row r="3245" spans="2:55" s="134" customFormat="1" x14ac:dyDescent="0.2">
      <c r="B3245" s="145"/>
      <c r="D3245" s="145"/>
      <c r="Z3245" s="177"/>
      <c r="AA3245" s="178"/>
      <c r="AB3245" s="139"/>
      <c r="AC3245" s="173"/>
      <c r="AD3245" s="177"/>
      <c r="AE3245" s="177"/>
      <c r="AF3245" s="139"/>
      <c r="AG3245" s="139"/>
      <c r="AH3245" s="177"/>
      <c r="AI3245" s="178"/>
      <c r="AJ3245" s="139"/>
      <c r="AK3245" s="173"/>
      <c r="AL3245" s="177"/>
      <c r="AM3245" s="178"/>
      <c r="AN3245" s="173"/>
      <c r="AO3245" s="173"/>
      <c r="AP3245" s="173"/>
      <c r="AQ3245" s="178"/>
      <c r="AR3245" s="173"/>
      <c r="AS3245" s="173"/>
      <c r="AT3245" s="140"/>
      <c r="AX3245" s="140"/>
      <c r="BB3245" s="173"/>
      <c r="BC3245" s="173"/>
    </row>
    <row r="3246" spans="2:55" s="134" customFormat="1" x14ac:dyDescent="0.2">
      <c r="B3246" s="145"/>
      <c r="D3246" s="145"/>
      <c r="Z3246" s="177"/>
      <c r="AA3246" s="178"/>
      <c r="AB3246" s="139"/>
      <c r="AC3246" s="173"/>
      <c r="AD3246" s="177"/>
      <c r="AE3246" s="177"/>
      <c r="AF3246" s="139"/>
      <c r="AG3246" s="139"/>
      <c r="AH3246" s="177"/>
      <c r="AI3246" s="178"/>
      <c r="AJ3246" s="139"/>
      <c r="AK3246" s="173"/>
      <c r="AL3246" s="177"/>
      <c r="AM3246" s="178"/>
      <c r="AN3246" s="173"/>
      <c r="AO3246" s="173"/>
      <c r="AP3246" s="173"/>
      <c r="AQ3246" s="178"/>
      <c r="AR3246" s="173"/>
      <c r="AS3246" s="173"/>
      <c r="AT3246" s="140"/>
      <c r="AX3246" s="140"/>
      <c r="BB3246" s="173"/>
      <c r="BC3246" s="173"/>
    </row>
    <row r="3247" spans="2:55" s="134" customFormat="1" x14ac:dyDescent="0.2">
      <c r="B3247" s="145"/>
      <c r="D3247" s="145"/>
      <c r="Z3247" s="177"/>
      <c r="AA3247" s="178"/>
      <c r="AB3247" s="139"/>
      <c r="AC3247" s="173"/>
      <c r="AD3247" s="177"/>
      <c r="AE3247" s="177"/>
      <c r="AF3247" s="139"/>
      <c r="AG3247" s="139"/>
      <c r="AH3247" s="177"/>
      <c r="AI3247" s="178"/>
      <c r="AJ3247" s="139"/>
      <c r="AK3247" s="173"/>
      <c r="AL3247" s="177"/>
      <c r="AM3247" s="178"/>
      <c r="AN3247" s="173"/>
      <c r="AO3247" s="173"/>
      <c r="AP3247" s="173"/>
      <c r="AQ3247" s="178"/>
      <c r="AR3247" s="173"/>
      <c r="AS3247" s="173"/>
      <c r="AT3247" s="140"/>
      <c r="AX3247" s="140"/>
      <c r="BB3247" s="173"/>
      <c r="BC3247" s="173"/>
    </row>
    <row r="3248" spans="2:55" s="134" customFormat="1" x14ac:dyDescent="0.2">
      <c r="B3248" s="145"/>
      <c r="D3248" s="145"/>
      <c r="Z3248" s="177"/>
      <c r="AA3248" s="178"/>
      <c r="AB3248" s="139"/>
      <c r="AC3248" s="173"/>
      <c r="AD3248" s="177"/>
      <c r="AE3248" s="177"/>
      <c r="AF3248" s="139"/>
      <c r="AG3248" s="139"/>
      <c r="AH3248" s="177"/>
      <c r="AI3248" s="178"/>
      <c r="AJ3248" s="139"/>
      <c r="AK3248" s="173"/>
      <c r="AL3248" s="177"/>
      <c r="AM3248" s="178"/>
      <c r="AN3248" s="173"/>
      <c r="AO3248" s="173"/>
      <c r="AP3248" s="173"/>
      <c r="AQ3248" s="178"/>
      <c r="AR3248" s="173"/>
      <c r="AS3248" s="173"/>
      <c r="AT3248" s="140"/>
      <c r="AX3248" s="140"/>
      <c r="BB3248" s="173"/>
      <c r="BC3248" s="173"/>
    </row>
    <row r="3249" spans="2:55" s="134" customFormat="1" x14ac:dyDescent="0.2">
      <c r="B3249" s="145"/>
      <c r="D3249" s="145"/>
      <c r="Z3249" s="177"/>
      <c r="AA3249" s="178"/>
      <c r="AB3249" s="139"/>
      <c r="AC3249" s="173"/>
      <c r="AD3249" s="177"/>
      <c r="AE3249" s="177"/>
      <c r="AF3249" s="139"/>
      <c r="AG3249" s="139"/>
      <c r="AH3249" s="177"/>
      <c r="AI3249" s="178"/>
      <c r="AJ3249" s="139"/>
      <c r="AK3249" s="173"/>
      <c r="AL3249" s="177"/>
      <c r="AM3249" s="178"/>
      <c r="AN3249" s="173"/>
      <c r="AO3249" s="173"/>
      <c r="AP3249" s="173"/>
      <c r="AQ3249" s="178"/>
      <c r="AR3249" s="173"/>
      <c r="AS3249" s="173"/>
      <c r="AT3249" s="140"/>
      <c r="AX3249" s="140"/>
      <c r="BB3249" s="173"/>
      <c r="BC3249" s="173"/>
    </row>
    <row r="3250" spans="2:55" s="134" customFormat="1" x14ac:dyDescent="0.2">
      <c r="B3250" s="145"/>
      <c r="D3250" s="145"/>
      <c r="Z3250" s="177"/>
      <c r="AA3250" s="178"/>
      <c r="AB3250" s="139"/>
      <c r="AC3250" s="173"/>
      <c r="AD3250" s="177"/>
      <c r="AE3250" s="177"/>
      <c r="AF3250" s="139"/>
      <c r="AG3250" s="139"/>
      <c r="AH3250" s="177"/>
      <c r="AI3250" s="178"/>
      <c r="AJ3250" s="139"/>
      <c r="AK3250" s="173"/>
      <c r="AL3250" s="177"/>
      <c r="AM3250" s="178"/>
      <c r="AN3250" s="173"/>
      <c r="AO3250" s="173"/>
      <c r="AP3250" s="173"/>
      <c r="AQ3250" s="178"/>
      <c r="AR3250" s="173"/>
      <c r="AS3250" s="173"/>
      <c r="AT3250" s="140"/>
      <c r="AX3250" s="140"/>
      <c r="BB3250" s="173"/>
      <c r="BC3250" s="173"/>
    </row>
    <row r="3251" spans="2:55" s="134" customFormat="1" x14ac:dyDescent="0.2">
      <c r="B3251" s="145"/>
      <c r="D3251" s="145"/>
      <c r="Z3251" s="177"/>
      <c r="AA3251" s="178"/>
      <c r="AB3251" s="139"/>
      <c r="AC3251" s="173"/>
      <c r="AD3251" s="177"/>
      <c r="AE3251" s="177"/>
      <c r="AF3251" s="139"/>
      <c r="AG3251" s="139"/>
      <c r="AH3251" s="177"/>
      <c r="AI3251" s="178"/>
      <c r="AJ3251" s="139"/>
      <c r="AK3251" s="173"/>
      <c r="AL3251" s="177"/>
      <c r="AM3251" s="178"/>
      <c r="AN3251" s="173"/>
      <c r="AO3251" s="173"/>
      <c r="AP3251" s="173"/>
      <c r="AQ3251" s="178"/>
      <c r="AR3251" s="173"/>
      <c r="AS3251" s="173"/>
      <c r="AT3251" s="140"/>
      <c r="AX3251" s="140"/>
      <c r="BB3251" s="173"/>
      <c r="BC3251" s="173"/>
    </row>
    <row r="3252" spans="2:55" s="134" customFormat="1" x14ac:dyDescent="0.2">
      <c r="B3252" s="145"/>
      <c r="D3252" s="145"/>
      <c r="Z3252" s="177"/>
      <c r="AA3252" s="178"/>
      <c r="AB3252" s="139"/>
      <c r="AC3252" s="173"/>
      <c r="AD3252" s="177"/>
      <c r="AE3252" s="177"/>
      <c r="AF3252" s="139"/>
      <c r="AG3252" s="139"/>
      <c r="AH3252" s="177"/>
      <c r="AI3252" s="178"/>
      <c r="AJ3252" s="139"/>
      <c r="AK3252" s="173"/>
      <c r="AL3252" s="177"/>
      <c r="AM3252" s="178"/>
      <c r="AN3252" s="173"/>
      <c r="AO3252" s="173"/>
      <c r="AP3252" s="173"/>
      <c r="AQ3252" s="178"/>
      <c r="AR3252" s="173"/>
      <c r="AS3252" s="173"/>
      <c r="AT3252" s="140"/>
      <c r="AX3252" s="140"/>
      <c r="BB3252" s="173"/>
      <c r="BC3252" s="173"/>
    </row>
    <row r="3253" spans="2:55" s="134" customFormat="1" x14ac:dyDescent="0.2">
      <c r="B3253" s="145"/>
      <c r="D3253" s="145"/>
      <c r="Z3253" s="177"/>
      <c r="AA3253" s="178"/>
      <c r="AB3253" s="139"/>
      <c r="AC3253" s="173"/>
      <c r="AD3253" s="177"/>
      <c r="AE3253" s="177"/>
      <c r="AF3253" s="139"/>
      <c r="AG3253" s="139"/>
      <c r="AH3253" s="177"/>
      <c r="AI3253" s="178"/>
      <c r="AJ3253" s="139"/>
      <c r="AK3253" s="173"/>
      <c r="AL3253" s="177"/>
      <c r="AM3253" s="178"/>
      <c r="AN3253" s="173"/>
      <c r="AO3253" s="173"/>
      <c r="AP3253" s="173"/>
      <c r="AQ3253" s="178"/>
      <c r="AR3253" s="173"/>
      <c r="AS3253" s="173"/>
      <c r="AT3253" s="140"/>
      <c r="AX3253" s="140"/>
      <c r="BB3253" s="173"/>
      <c r="BC3253" s="173"/>
    </row>
    <row r="3254" spans="2:55" s="134" customFormat="1" x14ac:dyDescent="0.2">
      <c r="B3254" s="145"/>
      <c r="D3254" s="145"/>
      <c r="Z3254" s="177"/>
      <c r="AA3254" s="178"/>
      <c r="AB3254" s="139"/>
      <c r="AC3254" s="173"/>
      <c r="AD3254" s="177"/>
      <c r="AE3254" s="177"/>
      <c r="AF3254" s="139"/>
      <c r="AG3254" s="139"/>
      <c r="AH3254" s="177"/>
      <c r="AI3254" s="178"/>
      <c r="AJ3254" s="139"/>
      <c r="AK3254" s="173"/>
      <c r="AL3254" s="177"/>
      <c r="AM3254" s="178"/>
      <c r="AN3254" s="173"/>
      <c r="AO3254" s="173"/>
      <c r="AP3254" s="173"/>
      <c r="AQ3254" s="178"/>
      <c r="AR3254" s="173"/>
      <c r="AS3254" s="173"/>
      <c r="AT3254" s="140"/>
      <c r="AX3254" s="140"/>
      <c r="BB3254" s="173"/>
      <c r="BC3254" s="173"/>
    </row>
    <row r="3255" spans="2:55" s="134" customFormat="1" x14ac:dyDescent="0.2">
      <c r="B3255" s="145"/>
      <c r="D3255" s="145"/>
      <c r="Z3255" s="177"/>
      <c r="AA3255" s="178"/>
      <c r="AB3255" s="139"/>
      <c r="AC3255" s="173"/>
      <c r="AD3255" s="177"/>
      <c r="AE3255" s="177"/>
      <c r="AF3255" s="139"/>
      <c r="AG3255" s="139"/>
      <c r="AH3255" s="177"/>
      <c r="AI3255" s="178"/>
      <c r="AJ3255" s="139"/>
      <c r="AK3255" s="173"/>
      <c r="AL3255" s="177"/>
      <c r="AM3255" s="178"/>
      <c r="AN3255" s="173"/>
      <c r="AO3255" s="173"/>
      <c r="AP3255" s="173"/>
      <c r="AQ3255" s="178"/>
      <c r="AR3255" s="173"/>
      <c r="AS3255" s="173"/>
      <c r="AT3255" s="140"/>
      <c r="AX3255" s="140"/>
      <c r="BB3255" s="173"/>
      <c r="BC3255" s="173"/>
    </row>
    <row r="3256" spans="2:55" s="134" customFormat="1" x14ac:dyDescent="0.2">
      <c r="B3256" s="145"/>
      <c r="D3256" s="145"/>
      <c r="Z3256" s="177"/>
      <c r="AA3256" s="178"/>
      <c r="AB3256" s="139"/>
      <c r="AC3256" s="173"/>
      <c r="AD3256" s="177"/>
      <c r="AE3256" s="177"/>
      <c r="AF3256" s="139"/>
      <c r="AG3256" s="139"/>
      <c r="AH3256" s="177"/>
      <c r="AI3256" s="178"/>
      <c r="AJ3256" s="139"/>
      <c r="AK3256" s="173"/>
      <c r="AL3256" s="177"/>
      <c r="AM3256" s="178"/>
      <c r="AN3256" s="173"/>
      <c r="AO3256" s="173"/>
      <c r="AP3256" s="173"/>
      <c r="AQ3256" s="178"/>
      <c r="AR3256" s="173"/>
      <c r="AS3256" s="173"/>
      <c r="AT3256" s="140"/>
      <c r="AX3256" s="140"/>
      <c r="BB3256" s="173"/>
      <c r="BC3256" s="173"/>
    </row>
    <row r="3257" spans="2:55" s="134" customFormat="1" x14ac:dyDescent="0.2">
      <c r="B3257" s="145"/>
      <c r="D3257" s="145"/>
      <c r="Z3257" s="177"/>
      <c r="AA3257" s="178"/>
      <c r="AB3257" s="139"/>
      <c r="AC3257" s="173"/>
      <c r="AD3257" s="177"/>
      <c r="AE3257" s="177"/>
      <c r="AF3257" s="139"/>
      <c r="AG3257" s="139"/>
      <c r="AH3257" s="177"/>
      <c r="AI3257" s="178"/>
      <c r="AJ3257" s="139"/>
      <c r="AK3257" s="173"/>
      <c r="AL3257" s="177"/>
      <c r="AM3257" s="178"/>
      <c r="AN3257" s="173"/>
      <c r="AO3257" s="173"/>
      <c r="AP3257" s="173"/>
      <c r="AQ3257" s="178"/>
      <c r="AR3257" s="173"/>
      <c r="AS3257" s="173"/>
      <c r="AT3257" s="140"/>
      <c r="AX3257" s="140"/>
      <c r="BB3257" s="173"/>
      <c r="BC3257" s="173"/>
    </row>
    <row r="3258" spans="2:55" s="134" customFormat="1" x14ac:dyDescent="0.2">
      <c r="B3258" s="145"/>
      <c r="D3258" s="145"/>
      <c r="Z3258" s="177"/>
      <c r="AA3258" s="178"/>
      <c r="AB3258" s="139"/>
      <c r="AC3258" s="173"/>
      <c r="AD3258" s="177"/>
      <c r="AE3258" s="177"/>
      <c r="AF3258" s="139"/>
      <c r="AG3258" s="139"/>
      <c r="AH3258" s="177"/>
      <c r="AI3258" s="178"/>
      <c r="AJ3258" s="139"/>
      <c r="AK3258" s="173"/>
      <c r="AL3258" s="177"/>
      <c r="AM3258" s="178"/>
      <c r="AN3258" s="173"/>
      <c r="AO3258" s="173"/>
      <c r="AP3258" s="173"/>
      <c r="AQ3258" s="178"/>
      <c r="AR3258" s="173"/>
      <c r="AS3258" s="173"/>
      <c r="AT3258" s="140"/>
      <c r="AX3258" s="140"/>
      <c r="BB3258" s="173"/>
      <c r="BC3258" s="173"/>
    </row>
    <row r="3259" spans="2:55" s="134" customFormat="1" x14ac:dyDescent="0.2">
      <c r="B3259" s="145"/>
      <c r="D3259" s="145"/>
      <c r="Z3259" s="177"/>
      <c r="AA3259" s="178"/>
      <c r="AB3259" s="139"/>
      <c r="AC3259" s="173"/>
      <c r="AD3259" s="177"/>
      <c r="AE3259" s="177"/>
      <c r="AF3259" s="139"/>
      <c r="AG3259" s="139"/>
      <c r="AH3259" s="177"/>
      <c r="AI3259" s="178"/>
      <c r="AJ3259" s="139"/>
      <c r="AK3259" s="173"/>
      <c r="AL3259" s="177"/>
      <c r="AM3259" s="178"/>
      <c r="AN3259" s="173"/>
      <c r="AO3259" s="173"/>
      <c r="AP3259" s="173"/>
      <c r="AQ3259" s="178"/>
      <c r="AR3259" s="173"/>
      <c r="AS3259" s="173"/>
      <c r="AT3259" s="140"/>
      <c r="AX3259" s="140"/>
      <c r="BB3259" s="173"/>
      <c r="BC3259" s="173"/>
    </row>
    <row r="3260" spans="2:55" s="134" customFormat="1" x14ac:dyDescent="0.2">
      <c r="B3260" s="145"/>
      <c r="D3260" s="145"/>
      <c r="Z3260" s="177"/>
      <c r="AA3260" s="178"/>
      <c r="AB3260" s="139"/>
      <c r="AC3260" s="173"/>
      <c r="AD3260" s="177"/>
      <c r="AE3260" s="177"/>
      <c r="AF3260" s="139"/>
      <c r="AG3260" s="139"/>
      <c r="AH3260" s="177"/>
      <c r="AI3260" s="178"/>
      <c r="AJ3260" s="139"/>
      <c r="AK3260" s="173"/>
      <c r="AL3260" s="177"/>
      <c r="AM3260" s="178"/>
      <c r="AN3260" s="173"/>
      <c r="AO3260" s="173"/>
      <c r="AP3260" s="173"/>
      <c r="AQ3260" s="178"/>
      <c r="AR3260" s="173"/>
      <c r="AS3260" s="173"/>
      <c r="AT3260" s="140"/>
      <c r="AX3260" s="140"/>
      <c r="BB3260" s="173"/>
      <c r="BC3260" s="173"/>
    </row>
    <row r="3261" spans="2:55" s="134" customFormat="1" x14ac:dyDescent="0.2">
      <c r="B3261" s="145"/>
      <c r="D3261" s="145"/>
      <c r="Z3261" s="177"/>
      <c r="AA3261" s="178"/>
      <c r="AB3261" s="139"/>
      <c r="AC3261" s="173"/>
      <c r="AD3261" s="177"/>
      <c r="AE3261" s="177"/>
      <c r="AF3261" s="139"/>
      <c r="AG3261" s="139"/>
      <c r="AH3261" s="177"/>
      <c r="AI3261" s="178"/>
      <c r="AJ3261" s="139"/>
      <c r="AK3261" s="173"/>
      <c r="AL3261" s="177"/>
      <c r="AM3261" s="178"/>
      <c r="AN3261" s="173"/>
      <c r="AO3261" s="173"/>
      <c r="AP3261" s="173"/>
      <c r="AQ3261" s="178"/>
      <c r="AR3261" s="173"/>
      <c r="AS3261" s="173"/>
      <c r="AT3261" s="140"/>
      <c r="AX3261" s="140"/>
      <c r="BB3261" s="173"/>
      <c r="BC3261" s="173"/>
    </row>
    <row r="3262" spans="2:55" s="134" customFormat="1" x14ac:dyDescent="0.2">
      <c r="B3262" s="145"/>
      <c r="D3262" s="145"/>
      <c r="Z3262" s="177"/>
      <c r="AA3262" s="178"/>
      <c r="AB3262" s="139"/>
      <c r="AC3262" s="173"/>
      <c r="AD3262" s="177"/>
      <c r="AE3262" s="177"/>
      <c r="AF3262" s="139"/>
      <c r="AG3262" s="139"/>
      <c r="AH3262" s="177"/>
      <c r="AI3262" s="178"/>
      <c r="AJ3262" s="139"/>
      <c r="AK3262" s="173"/>
      <c r="AL3262" s="177"/>
      <c r="AM3262" s="178"/>
      <c r="AN3262" s="173"/>
      <c r="AO3262" s="173"/>
      <c r="AP3262" s="173"/>
      <c r="AQ3262" s="178"/>
      <c r="AR3262" s="173"/>
      <c r="AS3262" s="173"/>
      <c r="AT3262" s="140"/>
      <c r="AX3262" s="140"/>
      <c r="BB3262" s="173"/>
      <c r="BC3262" s="173"/>
    </row>
    <row r="3263" spans="2:55" s="134" customFormat="1" x14ac:dyDescent="0.2">
      <c r="B3263" s="145"/>
      <c r="D3263" s="145"/>
      <c r="Z3263" s="177"/>
      <c r="AA3263" s="178"/>
      <c r="AB3263" s="139"/>
      <c r="AC3263" s="173"/>
      <c r="AD3263" s="177"/>
      <c r="AE3263" s="177"/>
      <c r="AF3263" s="139"/>
      <c r="AG3263" s="139"/>
      <c r="AH3263" s="177"/>
      <c r="AI3263" s="178"/>
      <c r="AJ3263" s="139"/>
      <c r="AK3263" s="173"/>
      <c r="AL3263" s="177"/>
      <c r="AM3263" s="178"/>
      <c r="AN3263" s="173"/>
      <c r="AO3263" s="173"/>
      <c r="AP3263" s="173"/>
      <c r="AQ3263" s="178"/>
      <c r="AR3263" s="173"/>
      <c r="AS3263" s="173"/>
      <c r="AT3263" s="140"/>
      <c r="AX3263" s="140"/>
      <c r="BB3263" s="173"/>
      <c r="BC3263" s="173"/>
    </row>
    <row r="3264" spans="2:55" s="134" customFormat="1" x14ac:dyDescent="0.2">
      <c r="B3264" s="145"/>
      <c r="D3264" s="145"/>
      <c r="Z3264" s="177"/>
      <c r="AA3264" s="178"/>
      <c r="AB3264" s="139"/>
      <c r="AC3264" s="173"/>
      <c r="AD3264" s="177"/>
      <c r="AE3264" s="177"/>
      <c r="AF3264" s="139"/>
      <c r="AG3264" s="139"/>
      <c r="AH3264" s="177"/>
      <c r="AI3264" s="178"/>
      <c r="AJ3264" s="139"/>
      <c r="AK3264" s="173"/>
      <c r="AL3264" s="177"/>
      <c r="AM3264" s="178"/>
      <c r="AN3264" s="173"/>
      <c r="AO3264" s="173"/>
      <c r="AP3264" s="173"/>
      <c r="AQ3264" s="178"/>
      <c r="AR3264" s="173"/>
      <c r="AS3264" s="173"/>
      <c r="AT3264" s="140"/>
      <c r="AX3264" s="140"/>
      <c r="BB3264" s="173"/>
      <c r="BC3264" s="173"/>
    </row>
    <row r="3265" spans="2:55" s="134" customFormat="1" x14ac:dyDescent="0.2">
      <c r="B3265" s="145"/>
      <c r="D3265" s="145"/>
      <c r="Z3265" s="177"/>
      <c r="AA3265" s="178"/>
      <c r="AB3265" s="139"/>
      <c r="AC3265" s="173"/>
      <c r="AD3265" s="177"/>
      <c r="AE3265" s="177"/>
      <c r="AF3265" s="139"/>
      <c r="AG3265" s="139"/>
      <c r="AH3265" s="177"/>
      <c r="AI3265" s="178"/>
      <c r="AJ3265" s="139"/>
      <c r="AK3265" s="173"/>
      <c r="AL3265" s="177"/>
      <c r="AM3265" s="178"/>
      <c r="AN3265" s="173"/>
      <c r="AO3265" s="173"/>
      <c r="AP3265" s="173"/>
      <c r="AQ3265" s="178"/>
      <c r="AR3265" s="173"/>
      <c r="AS3265" s="173"/>
      <c r="AT3265" s="140"/>
      <c r="AX3265" s="140"/>
      <c r="BB3265" s="173"/>
      <c r="BC3265" s="173"/>
    </row>
    <row r="3266" spans="2:55" s="134" customFormat="1" x14ac:dyDescent="0.2">
      <c r="B3266" s="145"/>
      <c r="D3266" s="145"/>
      <c r="Z3266" s="177"/>
      <c r="AA3266" s="178"/>
      <c r="AB3266" s="139"/>
      <c r="AC3266" s="173"/>
      <c r="AD3266" s="177"/>
      <c r="AE3266" s="177"/>
      <c r="AF3266" s="139"/>
      <c r="AG3266" s="139"/>
      <c r="AH3266" s="177"/>
      <c r="AI3266" s="178"/>
      <c r="AJ3266" s="139"/>
      <c r="AK3266" s="173"/>
      <c r="AL3266" s="177"/>
      <c r="AM3266" s="178"/>
      <c r="AN3266" s="173"/>
      <c r="AO3266" s="173"/>
      <c r="AP3266" s="173"/>
      <c r="AQ3266" s="178"/>
      <c r="AR3266" s="173"/>
      <c r="AS3266" s="173"/>
      <c r="AT3266" s="140"/>
      <c r="AX3266" s="140"/>
      <c r="BB3266" s="173"/>
      <c r="BC3266" s="173"/>
    </row>
    <row r="3267" spans="2:55" s="134" customFormat="1" x14ac:dyDescent="0.2">
      <c r="B3267" s="145"/>
      <c r="D3267" s="145"/>
      <c r="Z3267" s="177"/>
      <c r="AA3267" s="178"/>
      <c r="AB3267" s="139"/>
      <c r="AC3267" s="173"/>
      <c r="AD3267" s="177"/>
      <c r="AE3267" s="177"/>
      <c r="AF3267" s="139"/>
      <c r="AG3267" s="139"/>
      <c r="AH3267" s="177"/>
      <c r="AI3267" s="178"/>
      <c r="AJ3267" s="139"/>
      <c r="AK3267" s="173"/>
      <c r="AL3267" s="177"/>
      <c r="AM3267" s="178"/>
      <c r="AN3267" s="173"/>
      <c r="AO3267" s="173"/>
      <c r="AP3267" s="173"/>
      <c r="AQ3267" s="178"/>
      <c r="AR3267" s="173"/>
      <c r="AS3267" s="173"/>
      <c r="AT3267" s="140"/>
      <c r="AX3267" s="140"/>
      <c r="BB3267" s="173"/>
      <c r="BC3267" s="173"/>
    </row>
    <row r="3268" spans="2:55" s="134" customFormat="1" x14ac:dyDescent="0.2">
      <c r="B3268" s="145"/>
      <c r="D3268" s="145"/>
      <c r="Z3268" s="177"/>
      <c r="AA3268" s="178"/>
      <c r="AB3268" s="139"/>
      <c r="AC3268" s="173"/>
      <c r="AD3268" s="177"/>
      <c r="AE3268" s="177"/>
      <c r="AF3268" s="139"/>
      <c r="AG3268" s="139"/>
      <c r="AH3268" s="177"/>
      <c r="AI3268" s="178"/>
      <c r="AJ3268" s="139"/>
      <c r="AK3268" s="173"/>
      <c r="AL3268" s="177"/>
      <c r="AM3268" s="178"/>
      <c r="AN3268" s="173"/>
      <c r="AO3268" s="173"/>
      <c r="AP3268" s="173"/>
      <c r="AQ3268" s="178"/>
      <c r="AR3268" s="173"/>
      <c r="AS3268" s="173"/>
      <c r="AT3268" s="140"/>
      <c r="AX3268" s="140"/>
      <c r="BB3268" s="173"/>
      <c r="BC3268" s="173"/>
    </row>
    <row r="3269" spans="2:55" s="134" customFormat="1" x14ac:dyDescent="0.2">
      <c r="B3269" s="145"/>
      <c r="D3269" s="145"/>
      <c r="Z3269" s="177"/>
      <c r="AA3269" s="178"/>
      <c r="AB3269" s="139"/>
      <c r="AC3269" s="173"/>
      <c r="AD3269" s="177"/>
      <c r="AE3269" s="177"/>
      <c r="AF3269" s="139"/>
      <c r="AG3269" s="139"/>
      <c r="AH3269" s="177"/>
      <c r="AI3269" s="178"/>
      <c r="AJ3269" s="139"/>
      <c r="AK3269" s="173"/>
      <c r="AL3269" s="177"/>
      <c r="AM3269" s="178"/>
      <c r="AN3269" s="173"/>
      <c r="AO3269" s="173"/>
      <c r="AP3269" s="173"/>
      <c r="AQ3269" s="178"/>
      <c r="AR3269" s="173"/>
      <c r="AS3269" s="173"/>
      <c r="AT3269" s="140"/>
      <c r="AX3269" s="140"/>
      <c r="BB3269" s="173"/>
      <c r="BC3269" s="173"/>
    </row>
    <row r="3270" spans="2:55" s="134" customFormat="1" x14ac:dyDescent="0.2">
      <c r="B3270" s="145"/>
      <c r="D3270" s="145"/>
      <c r="Z3270" s="177"/>
      <c r="AA3270" s="178"/>
      <c r="AB3270" s="139"/>
      <c r="AC3270" s="173"/>
      <c r="AD3270" s="177"/>
      <c r="AE3270" s="177"/>
      <c r="AF3270" s="139"/>
      <c r="AG3270" s="139"/>
      <c r="AH3270" s="177"/>
      <c r="AI3270" s="178"/>
      <c r="AJ3270" s="139"/>
      <c r="AK3270" s="173"/>
      <c r="AL3270" s="177"/>
      <c r="AM3270" s="178"/>
      <c r="AN3270" s="173"/>
      <c r="AO3270" s="173"/>
      <c r="AP3270" s="173"/>
      <c r="AQ3270" s="178"/>
      <c r="AR3270" s="173"/>
      <c r="AS3270" s="173"/>
      <c r="AT3270" s="140"/>
      <c r="AX3270" s="140"/>
      <c r="BB3270" s="173"/>
      <c r="BC3270" s="173"/>
    </row>
    <row r="3271" spans="2:55" s="134" customFormat="1" x14ac:dyDescent="0.2">
      <c r="B3271" s="145"/>
      <c r="D3271" s="145"/>
      <c r="Z3271" s="177"/>
      <c r="AA3271" s="178"/>
      <c r="AB3271" s="139"/>
      <c r="AC3271" s="173"/>
      <c r="AD3271" s="177"/>
      <c r="AE3271" s="177"/>
      <c r="AF3271" s="139"/>
      <c r="AG3271" s="139"/>
      <c r="AH3271" s="177"/>
      <c r="AI3271" s="178"/>
      <c r="AJ3271" s="139"/>
      <c r="AK3271" s="173"/>
      <c r="AL3271" s="177"/>
      <c r="AM3271" s="178"/>
      <c r="AN3271" s="173"/>
      <c r="AO3271" s="173"/>
      <c r="AP3271" s="173"/>
      <c r="AQ3271" s="178"/>
      <c r="AR3271" s="173"/>
      <c r="AS3271" s="173"/>
      <c r="AT3271" s="140"/>
      <c r="AX3271" s="140"/>
      <c r="BB3271" s="173"/>
      <c r="BC3271" s="173"/>
    </row>
    <row r="3272" spans="2:55" s="134" customFormat="1" x14ac:dyDescent="0.2">
      <c r="B3272" s="145"/>
      <c r="D3272" s="145"/>
      <c r="Z3272" s="177"/>
      <c r="AA3272" s="178"/>
      <c r="AB3272" s="139"/>
      <c r="AC3272" s="173"/>
      <c r="AD3272" s="177"/>
      <c r="AE3272" s="177"/>
      <c r="AF3272" s="139"/>
      <c r="AG3272" s="139"/>
      <c r="AH3272" s="177"/>
      <c r="AI3272" s="178"/>
      <c r="AJ3272" s="139"/>
      <c r="AK3272" s="173"/>
      <c r="AL3272" s="177"/>
      <c r="AM3272" s="178"/>
      <c r="AN3272" s="173"/>
      <c r="AO3272" s="173"/>
      <c r="AP3272" s="173"/>
      <c r="AQ3272" s="178"/>
      <c r="AR3272" s="173"/>
      <c r="AS3272" s="173"/>
      <c r="AT3272" s="140"/>
      <c r="AX3272" s="140"/>
      <c r="BB3272" s="173"/>
      <c r="BC3272" s="173"/>
    </row>
    <row r="3273" spans="2:55" s="134" customFormat="1" x14ac:dyDescent="0.2">
      <c r="B3273" s="145"/>
      <c r="D3273" s="145"/>
      <c r="Z3273" s="177"/>
      <c r="AA3273" s="178"/>
      <c r="AB3273" s="139"/>
      <c r="AC3273" s="173"/>
      <c r="AD3273" s="177"/>
      <c r="AE3273" s="177"/>
      <c r="AF3273" s="139"/>
      <c r="AG3273" s="139"/>
      <c r="AH3273" s="177"/>
      <c r="AI3273" s="178"/>
      <c r="AJ3273" s="139"/>
      <c r="AK3273" s="173"/>
      <c r="AL3273" s="177"/>
      <c r="AM3273" s="178"/>
      <c r="AN3273" s="173"/>
      <c r="AO3273" s="173"/>
      <c r="AP3273" s="173"/>
      <c r="AQ3273" s="178"/>
      <c r="AR3273" s="173"/>
      <c r="AS3273" s="173"/>
      <c r="AT3273" s="140"/>
      <c r="AX3273" s="140"/>
      <c r="BB3273" s="173"/>
      <c r="BC3273" s="173"/>
    </row>
    <row r="3274" spans="2:55" s="134" customFormat="1" x14ac:dyDescent="0.2">
      <c r="B3274" s="145"/>
      <c r="D3274" s="145"/>
      <c r="Z3274" s="177"/>
      <c r="AA3274" s="178"/>
      <c r="AB3274" s="139"/>
      <c r="AC3274" s="173"/>
      <c r="AD3274" s="177"/>
      <c r="AE3274" s="177"/>
      <c r="AF3274" s="139"/>
      <c r="AG3274" s="139"/>
      <c r="AH3274" s="177"/>
      <c r="AI3274" s="178"/>
      <c r="AJ3274" s="139"/>
      <c r="AK3274" s="173"/>
      <c r="AL3274" s="177"/>
      <c r="AM3274" s="178"/>
      <c r="AN3274" s="173"/>
      <c r="AO3274" s="173"/>
      <c r="AP3274" s="173"/>
      <c r="AQ3274" s="178"/>
      <c r="AR3274" s="173"/>
      <c r="AS3274" s="173"/>
      <c r="AT3274" s="140"/>
      <c r="AX3274" s="140"/>
      <c r="BB3274" s="173"/>
      <c r="BC3274" s="173"/>
    </row>
    <row r="3275" spans="2:55" s="134" customFormat="1" x14ac:dyDescent="0.2">
      <c r="B3275" s="145"/>
      <c r="D3275" s="145"/>
      <c r="Z3275" s="177"/>
      <c r="AA3275" s="178"/>
      <c r="AB3275" s="139"/>
      <c r="AC3275" s="173"/>
      <c r="AD3275" s="177"/>
      <c r="AE3275" s="177"/>
      <c r="AF3275" s="139"/>
      <c r="AG3275" s="139"/>
      <c r="AH3275" s="177"/>
      <c r="AI3275" s="178"/>
      <c r="AJ3275" s="139"/>
      <c r="AK3275" s="173"/>
      <c r="AL3275" s="177"/>
      <c r="AM3275" s="178"/>
      <c r="AN3275" s="173"/>
      <c r="AO3275" s="173"/>
      <c r="AP3275" s="173"/>
      <c r="AQ3275" s="178"/>
      <c r="AR3275" s="173"/>
      <c r="AS3275" s="173"/>
      <c r="AT3275" s="140"/>
      <c r="AX3275" s="140"/>
      <c r="BB3275" s="173"/>
      <c r="BC3275" s="173"/>
    </row>
    <row r="3276" spans="2:55" s="134" customFormat="1" x14ac:dyDescent="0.2">
      <c r="B3276" s="145"/>
      <c r="D3276" s="145"/>
      <c r="Z3276" s="177"/>
      <c r="AA3276" s="178"/>
      <c r="AB3276" s="139"/>
      <c r="AC3276" s="173"/>
      <c r="AD3276" s="177"/>
      <c r="AE3276" s="177"/>
      <c r="AF3276" s="139"/>
      <c r="AG3276" s="139"/>
      <c r="AH3276" s="177"/>
      <c r="AI3276" s="178"/>
      <c r="AJ3276" s="139"/>
      <c r="AK3276" s="173"/>
      <c r="AL3276" s="177"/>
      <c r="AM3276" s="178"/>
      <c r="AN3276" s="173"/>
      <c r="AO3276" s="173"/>
      <c r="AP3276" s="173"/>
      <c r="AQ3276" s="178"/>
      <c r="AR3276" s="173"/>
      <c r="AS3276" s="173"/>
      <c r="AT3276" s="140"/>
      <c r="AX3276" s="140"/>
      <c r="BB3276" s="173"/>
      <c r="BC3276" s="173"/>
    </row>
    <row r="3277" spans="2:55" s="134" customFormat="1" x14ac:dyDescent="0.2">
      <c r="B3277" s="145"/>
      <c r="D3277" s="145"/>
      <c r="Z3277" s="177"/>
      <c r="AA3277" s="178"/>
      <c r="AB3277" s="139"/>
      <c r="AC3277" s="173"/>
      <c r="AD3277" s="177"/>
      <c r="AE3277" s="177"/>
      <c r="AF3277" s="139"/>
      <c r="AG3277" s="139"/>
      <c r="AH3277" s="177"/>
      <c r="AI3277" s="178"/>
      <c r="AJ3277" s="139"/>
      <c r="AK3277" s="173"/>
      <c r="AL3277" s="177"/>
      <c r="AM3277" s="178"/>
      <c r="AN3277" s="173"/>
      <c r="AO3277" s="173"/>
      <c r="AP3277" s="173"/>
      <c r="AQ3277" s="178"/>
      <c r="AR3277" s="173"/>
      <c r="AS3277" s="173"/>
      <c r="AT3277" s="140"/>
      <c r="AX3277" s="140"/>
      <c r="BB3277" s="173"/>
      <c r="BC3277" s="173"/>
    </row>
    <row r="3278" spans="2:55" s="134" customFormat="1" x14ac:dyDescent="0.2">
      <c r="B3278" s="145"/>
      <c r="D3278" s="145"/>
      <c r="Z3278" s="177"/>
      <c r="AA3278" s="178"/>
      <c r="AB3278" s="139"/>
      <c r="AC3278" s="173"/>
      <c r="AD3278" s="177"/>
      <c r="AE3278" s="177"/>
      <c r="AF3278" s="139"/>
      <c r="AG3278" s="139"/>
      <c r="AH3278" s="177"/>
      <c r="AI3278" s="178"/>
      <c r="AJ3278" s="139"/>
      <c r="AK3278" s="173"/>
      <c r="AL3278" s="177"/>
      <c r="AM3278" s="178"/>
      <c r="AN3278" s="173"/>
      <c r="AO3278" s="173"/>
      <c r="AP3278" s="173"/>
      <c r="AQ3278" s="178"/>
      <c r="AR3278" s="173"/>
      <c r="AS3278" s="173"/>
      <c r="AT3278" s="140"/>
      <c r="AX3278" s="140"/>
      <c r="BB3278" s="173"/>
      <c r="BC3278" s="173"/>
    </row>
    <row r="3279" spans="2:55" s="134" customFormat="1" x14ac:dyDescent="0.2">
      <c r="B3279" s="145"/>
      <c r="D3279" s="145"/>
      <c r="Z3279" s="177"/>
      <c r="AA3279" s="178"/>
      <c r="AB3279" s="139"/>
      <c r="AC3279" s="173"/>
      <c r="AD3279" s="177"/>
      <c r="AE3279" s="177"/>
      <c r="AF3279" s="139"/>
      <c r="AG3279" s="139"/>
      <c r="AH3279" s="177"/>
      <c r="AI3279" s="178"/>
      <c r="AJ3279" s="139"/>
      <c r="AK3279" s="173"/>
      <c r="AL3279" s="177"/>
      <c r="AM3279" s="178"/>
      <c r="AN3279" s="173"/>
      <c r="AO3279" s="173"/>
      <c r="AP3279" s="173"/>
      <c r="AQ3279" s="178"/>
      <c r="AR3279" s="173"/>
      <c r="AS3279" s="173"/>
      <c r="AT3279" s="140"/>
      <c r="AX3279" s="140"/>
      <c r="BB3279" s="173"/>
      <c r="BC3279" s="173"/>
    </row>
    <row r="3280" spans="2:55" s="134" customFormat="1" x14ac:dyDescent="0.2">
      <c r="B3280" s="145"/>
      <c r="D3280" s="145"/>
      <c r="Z3280" s="177"/>
      <c r="AA3280" s="178"/>
      <c r="AB3280" s="139"/>
      <c r="AC3280" s="173"/>
      <c r="AD3280" s="177"/>
      <c r="AE3280" s="177"/>
      <c r="AF3280" s="139"/>
      <c r="AG3280" s="139"/>
      <c r="AH3280" s="177"/>
      <c r="AI3280" s="178"/>
      <c r="AJ3280" s="139"/>
      <c r="AK3280" s="173"/>
      <c r="AL3280" s="177"/>
      <c r="AM3280" s="178"/>
      <c r="AN3280" s="173"/>
      <c r="AO3280" s="173"/>
      <c r="AP3280" s="173"/>
      <c r="AQ3280" s="178"/>
      <c r="AR3280" s="173"/>
      <c r="AS3280" s="173"/>
      <c r="AT3280" s="140"/>
      <c r="AX3280" s="140"/>
      <c r="BB3280" s="173"/>
      <c r="BC3280" s="173"/>
    </row>
    <row r="3281" spans="2:55" s="134" customFormat="1" x14ac:dyDescent="0.2">
      <c r="B3281" s="145"/>
      <c r="D3281" s="145"/>
      <c r="Z3281" s="177"/>
      <c r="AA3281" s="178"/>
      <c r="AB3281" s="139"/>
      <c r="AC3281" s="173"/>
      <c r="AD3281" s="177"/>
      <c r="AE3281" s="177"/>
      <c r="AF3281" s="139"/>
      <c r="AG3281" s="139"/>
      <c r="AH3281" s="177"/>
      <c r="AI3281" s="178"/>
      <c r="AJ3281" s="139"/>
      <c r="AK3281" s="173"/>
      <c r="AL3281" s="177"/>
      <c r="AM3281" s="178"/>
      <c r="AN3281" s="173"/>
      <c r="AO3281" s="173"/>
      <c r="AP3281" s="173"/>
      <c r="AQ3281" s="178"/>
      <c r="AR3281" s="173"/>
      <c r="AS3281" s="173"/>
      <c r="AT3281" s="140"/>
      <c r="AX3281" s="140"/>
      <c r="BB3281" s="173"/>
      <c r="BC3281" s="173"/>
    </row>
    <row r="3282" spans="2:55" s="134" customFormat="1" x14ac:dyDescent="0.2">
      <c r="B3282" s="145"/>
      <c r="D3282" s="145"/>
      <c r="Z3282" s="177"/>
      <c r="AA3282" s="178"/>
      <c r="AB3282" s="139"/>
      <c r="AC3282" s="173"/>
      <c r="AD3282" s="177"/>
      <c r="AE3282" s="177"/>
      <c r="AF3282" s="139"/>
      <c r="AG3282" s="139"/>
      <c r="AH3282" s="177"/>
      <c r="AI3282" s="178"/>
      <c r="AJ3282" s="139"/>
      <c r="AK3282" s="173"/>
      <c r="AL3282" s="177"/>
      <c r="AM3282" s="178"/>
      <c r="AN3282" s="173"/>
      <c r="AO3282" s="173"/>
      <c r="AP3282" s="173"/>
      <c r="AQ3282" s="178"/>
      <c r="AR3282" s="173"/>
      <c r="AS3282" s="173"/>
      <c r="AT3282" s="140"/>
      <c r="AX3282" s="140"/>
      <c r="BB3282" s="173"/>
      <c r="BC3282" s="173"/>
    </row>
    <row r="3283" spans="2:55" s="134" customFormat="1" x14ac:dyDescent="0.2">
      <c r="B3283" s="145"/>
      <c r="D3283" s="145"/>
      <c r="Z3283" s="177"/>
      <c r="AA3283" s="178"/>
      <c r="AB3283" s="139"/>
      <c r="AC3283" s="173"/>
      <c r="AD3283" s="177"/>
      <c r="AE3283" s="177"/>
      <c r="AF3283" s="139"/>
      <c r="AG3283" s="139"/>
      <c r="AH3283" s="177"/>
      <c r="AI3283" s="178"/>
      <c r="AJ3283" s="139"/>
      <c r="AK3283" s="173"/>
      <c r="AL3283" s="177"/>
      <c r="AM3283" s="178"/>
      <c r="AN3283" s="173"/>
      <c r="AO3283" s="173"/>
      <c r="AP3283" s="173"/>
      <c r="AQ3283" s="178"/>
      <c r="AR3283" s="173"/>
      <c r="AS3283" s="173"/>
      <c r="AT3283" s="140"/>
      <c r="AX3283" s="140"/>
      <c r="BB3283" s="173"/>
      <c r="BC3283" s="173"/>
    </row>
    <row r="3284" spans="2:55" s="134" customFormat="1" x14ac:dyDescent="0.2">
      <c r="B3284" s="145"/>
      <c r="D3284" s="145"/>
      <c r="Z3284" s="177"/>
      <c r="AA3284" s="178"/>
      <c r="AB3284" s="139"/>
      <c r="AC3284" s="173"/>
      <c r="AD3284" s="177"/>
      <c r="AE3284" s="177"/>
      <c r="AF3284" s="139"/>
      <c r="AG3284" s="139"/>
      <c r="AH3284" s="177"/>
      <c r="AI3284" s="178"/>
      <c r="AJ3284" s="139"/>
      <c r="AK3284" s="173"/>
      <c r="AL3284" s="177"/>
      <c r="AM3284" s="178"/>
      <c r="AN3284" s="173"/>
      <c r="AO3284" s="173"/>
      <c r="AP3284" s="173"/>
      <c r="AQ3284" s="178"/>
      <c r="AR3284" s="173"/>
      <c r="AS3284" s="173"/>
      <c r="AT3284" s="140"/>
      <c r="AX3284" s="140"/>
      <c r="BB3284" s="173"/>
      <c r="BC3284" s="173"/>
    </row>
    <row r="3285" spans="2:55" s="134" customFormat="1" x14ac:dyDescent="0.2">
      <c r="B3285" s="145"/>
      <c r="D3285" s="145"/>
      <c r="Z3285" s="177"/>
      <c r="AA3285" s="178"/>
      <c r="AB3285" s="139"/>
      <c r="AC3285" s="173"/>
      <c r="AD3285" s="177"/>
      <c r="AE3285" s="177"/>
      <c r="AF3285" s="139"/>
      <c r="AG3285" s="139"/>
      <c r="AH3285" s="177"/>
      <c r="AI3285" s="178"/>
      <c r="AJ3285" s="139"/>
      <c r="AK3285" s="173"/>
      <c r="AL3285" s="177"/>
      <c r="AM3285" s="178"/>
      <c r="AN3285" s="173"/>
      <c r="AO3285" s="173"/>
      <c r="AP3285" s="173"/>
      <c r="AQ3285" s="178"/>
      <c r="AR3285" s="173"/>
      <c r="AS3285" s="173"/>
      <c r="AT3285" s="140"/>
      <c r="AX3285" s="140"/>
      <c r="BB3285" s="173"/>
      <c r="BC3285" s="173"/>
    </row>
    <row r="3286" spans="2:55" s="134" customFormat="1" x14ac:dyDescent="0.2">
      <c r="B3286" s="145"/>
      <c r="D3286" s="145"/>
      <c r="Z3286" s="177"/>
      <c r="AA3286" s="178"/>
      <c r="AB3286" s="139"/>
      <c r="AC3286" s="173"/>
      <c r="AD3286" s="177"/>
      <c r="AE3286" s="177"/>
      <c r="AF3286" s="139"/>
      <c r="AG3286" s="139"/>
      <c r="AH3286" s="177"/>
      <c r="AI3286" s="178"/>
      <c r="AJ3286" s="139"/>
      <c r="AK3286" s="173"/>
      <c r="AL3286" s="177"/>
      <c r="AM3286" s="178"/>
      <c r="AN3286" s="173"/>
      <c r="AO3286" s="173"/>
      <c r="AP3286" s="173"/>
      <c r="AQ3286" s="178"/>
      <c r="AR3286" s="173"/>
      <c r="AS3286" s="173"/>
      <c r="AT3286" s="140"/>
      <c r="AX3286" s="140"/>
      <c r="BB3286" s="173"/>
      <c r="BC3286" s="173"/>
    </row>
    <row r="3287" spans="2:55" s="134" customFormat="1" x14ac:dyDescent="0.2">
      <c r="B3287" s="145"/>
      <c r="D3287" s="145"/>
      <c r="Z3287" s="177"/>
      <c r="AA3287" s="178"/>
      <c r="AB3287" s="139"/>
      <c r="AC3287" s="173"/>
      <c r="AD3287" s="177"/>
      <c r="AE3287" s="177"/>
      <c r="AF3287" s="139"/>
      <c r="AG3287" s="139"/>
      <c r="AH3287" s="177"/>
      <c r="AI3287" s="178"/>
      <c r="AJ3287" s="139"/>
      <c r="AK3287" s="173"/>
      <c r="AL3287" s="177"/>
      <c r="AM3287" s="178"/>
      <c r="AN3287" s="173"/>
      <c r="AO3287" s="173"/>
      <c r="AP3287" s="173"/>
      <c r="AQ3287" s="178"/>
      <c r="AR3287" s="173"/>
      <c r="AS3287" s="173"/>
      <c r="AT3287" s="140"/>
      <c r="AX3287" s="140"/>
      <c r="BB3287" s="173"/>
      <c r="BC3287" s="173"/>
    </row>
    <row r="3288" spans="2:55" s="134" customFormat="1" x14ac:dyDescent="0.2">
      <c r="B3288" s="145"/>
      <c r="D3288" s="145"/>
      <c r="Z3288" s="177"/>
      <c r="AA3288" s="178"/>
      <c r="AB3288" s="139"/>
      <c r="AC3288" s="173"/>
      <c r="AD3288" s="177"/>
      <c r="AE3288" s="177"/>
      <c r="AF3288" s="139"/>
      <c r="AG3288" s="139"/>
      <c r="AH3288" s="177"/>
      <c r="AI3288" s="178"/>
      <c r="AJ3288" s="139"/>
      <c r="AK3288" s="173"/>
      <c r="AL3288" s="177"/>
      <c r="AM3288" s="178"/>
      <c r="AN3288" s="173"/>
      <c r="AO3288" s="173"/>
      <c r="AP3288" s="173"/>
      <c r="AQ3288" s="178"/>
      <c r="AR3288" s="173"/>
      <c r="AS3288" s="173"/>
      <c r="AT3288" s="140"/>
      <c r="AX3288" s="140"/>
      <c r="BB3288" s="173"/>
      <c r="BC3288" s="173"/>
    </row>
    <row r="3289" spans="2:55" s="134" customFormat="1" x14ac:dyDescent="0.2">
      <c r="B3289" s="145"/>
      <c r="D3289" s="145"/>
      <c r="Z3289" s="177"/>
      <c r="AA3289" s="178"/>
      <c r="AB3289" s="139"/>
      <c r="AC3289" s="173"/>
      <c r="AD3289" s="177"/>
      <c r="AE3289" s="177"/>
      <c r="AF3289" s="139"/>
      <c r="AG3289" s="139"/>
      <c r="AH3289" s="177"/>
      <c r="AI3289" s="178"/>
      <c r="AJ3289" s="139"/>
      <c r="AK3289" s="173"/>
      <c r="AL3289" s="177"/>
      <c r="AM3289" s="178"/>
      <c r="AN3289" s="173"/>
      <c r="AO3289" s="173"/>
      <c r="AP3289" s="173"/>
      <c r="AQ3289" s="178"/>
      <c r="AR3289" s="173"/>
      <c r="AS3289" s="173"/>
      <c r="AT3289" s="140"/>
      <c r="AX3289" s="140"/>
      <c r="BB3289" s="173"/>
      <c r="BC3289" s="173"/>
    </row>
    <row r="3290" spans="2:55" s="134" customFormat="1" x14ac:dyDescent="0.2">
      <c r="B3290" s="145"/>
      <c r="D3290" s="145"/>
      <c r="Z3290" s="177"/>
      <c r="AA3290" s="178"/>
      <c r="AB3290" s="139"/>
      <c r="AC3290" s="173"/>
      <c r="AD3290" s="177"/>
      <c r="AE3290" s="177"/>
      <c r="AF3290" s="139"/>
      <c r="AG3290" s="139"/>
      <c r="AH3290" s="177"/>
      <c r="AI3290" s="178"/>
      <c r="AJ3290" s="139"/>
      <c r="AK3290" s="173"/>
      <c r="AL3290" s="177"/>
      <c r="AM3290" s="178"/>
      <c r="AN3290" s="173"/>
      <c r="AO3290" s="173"/>
      <c r="AP3290" s="173"/>
      <c r="AQ3290" s="178"/>
      <c r="AR3290" s="173"/>
      <c r="AS3290" s="173"/>
      <c r="AT3290" s="140"/>
      <c r="AX3290" s="140"/>
      <c r="BB3290" s="173"/>
      <c r="BC3290" s="173"/>
    </row>
    <row r="3291" spans="2:55" s="134" customFormat="1" x14ac:dyDescent="0.2">
      <c r="B3291" s="145"/>
      <c r="D3291" s="145"/>
      <c r="Z3291" s="177"/>
      <c r="AA3291" s="178"/>
      <c r="AB3291" s="139"/>
      <c r="AC3291" s="173"/>
      <c r="AD3291" s="177"/>
      <c r="AE3291" s="177"/>
      <c r="AF3291" s="139"/>
      <c r="AG3291" s="139"/>
      <c r="AH3291" s="177"/>
      <c r="AI3291" s="178"/>
      <c r="AJ3291" s="139"/>
      <c r="AK3291" s="173"/>
      <c r="AL3291" s="177"/>
      <c r="AM3291" s="178"/>
      <c r="AN3291" s="173"/>
      <c r="AO3291" s="173"/>
      <c r="AP3291" s="173"/>
      <c r="AQ3291" s="178"/>
      <c r="AR3291" s="173"/>
      <c r="AS3291" s="173"/>
      <c r="AT3291" s="140"/>
      <c r="AX3291" s="140"/>
      <c r="BB3291" s="173"/>
      <c r="BC3291" s="173"/>
    </row>
    <row r="3292" spans="2:55" s="134" customFormat="1" x14ac:dyDescent="0.2">
      <c r="B3292" s="145"/>
      <c r="D3292" s="145"/>
      <c r="Z3292" s="177"/>
      <c r="AA3292" s="178"/>
      <c r="AB3292" s="139"/>
      <c r="AC3292" s="173"/>
      <c r="AD3292" s="177"/>
      <c r="AE3292" s="177"/>
      <c r="AF3292" s="139"/>
      <c r="AG3292" s="139"/>
      <c r="AH3292" s="177"/>
      <c r="AI3292" s="178"/>
      <c r="AJ3292" s="139"/>
      <c r="AK3292" s="173"/>
      <c r="AL3292" s="177"/>
      <c r="AM3292" s="178"/>
      <c r="AN3292" s="173"/>
      <c r="AO3292" s="173"/>
      <c r="AP3292" s="173"/>
      <c r="AQ3292" s="178"/>
      <c r="AR3292" s="173"/>
      <c r="AS3292" s="173"/>
      <c r="AT3292" s="140"/>
      <c r="AX3292" s="140"/>
      <c r="BB3292" s="173"/>
      <c r="BC3292" s="173"/>
    </row>
    <row r="3293" spans="2:55" s="134" customFormat="1" x14ac:dyDescent="0.2">
      <c r="B3293" s="145"/>
      <c r="D3293" s="145"/>
      <c r="Z3293" s="177"/>
      <c r="AA3293" s="178"/>
      <c r="AB3293" s="139"/>
      <c r="AC3293" s="173"/>
      <c r="AD3293" s="177"/>
      <c r="AE3293" s="177"/>
      <c r="AF3293" s="139"/>
      <c r="AG3293" s="139"/>
      <c r="AH3293" s="177"/>
      <c r="AI3293" s="178"/>
      <c r="AJ3293" s="139"/>
      <c r="AK3293" s="173"/>
      <c r="AL3293" s="177"/>
      <c r="AM3293" s="178"/>
      <c r="AN3293" s="173"/>
      <c r="AO3293" s="173"/>
      <c r="AP3293" s="173"/>
      <c r="AQ3293" s="178"/>
      <c r="AR3293" s="173"/>
      <c r="AS3293" s="173"/>
      <c r="AT3293" s="140"/>
      <c r="AX3293" s="140"/>
      <c r="BB3293" s="173"/>
      <c r="BC3293" s="173"/>
    </row>
    <row r="3294" spans="2:55" s="134" customFormat="1" x14ac:dyDescent="0.2">
      <c r="B3294" s="145"/>
      <c r="D3294" s="145"/>
      <c r="Z3294" s="177"/>
      <c r="AA3294" s="178"/>
      <c r="AB3294" s="139"/>
      <c r="AC3294" s="173"/>
      <c r="AD3294" s="177"/>
      <c r="AE3294" s="177"/>
      <c r="AF3294" s="139"/>
      <c r="AG3294" s="139"/>
      <c r="AH3294" s="177"/>
      <c r="AI3294" s="178"/>
      <c r="AJ3294" s="139"/>
      <c r="AK3294" s="173"/>
      <c r="AL3294" s="177"/>
      <c r="AM3294" s="178"/>
      <c r="AN3294" s="173"/>
      <c r="AO3294" s="173"/>
      <c r="AP3294" s="173"/>
      <c r="AQ3294" s="178"/>
      <c r="AR3294" s="173"/>
      <c r="AS3294" s="173"/>
      <c r="AT3294" s="140"/>
      <c r="AX3294" s="140"/>
      <c r="BB3294" s="173"/>
      <c r="BC3294" s="173"/>
    </row>
    <row r="3295" spans="2:55" s="134" customFormat="1" x14ac:dyDescent="0.2">
      <c r="B3295" s="145"/>
      <c r="D3295" s="145"/>
      <c r="Z3295" s="177"/>
      <c r="AA3295" s="178"/>
      <c r="AB3295" s="139"/>
      <c r="AC3295" s="173"/>
      <c r="AD3295" s="177"/>
      <c r="AE3295" s="177"/>
      <c r="AF3295" s="139"/>
      <c r="AG3295" s="139"/>
      <c r="AH3295" s="177"/>
      <c r="AI3295" s="178"/>
      <c r="AJ3295" s="139"/>
      <c r="AK3295" s="173"/>
      <c r="AL3295" s="177"/>
      <c r="AM3295" s="178"/>
      <c r="AN3295" s="173"/>
      <c r="AO3295" s="173"/>
      <c r="AP3295" s="173"/>
      <c r="AQ3295" s="178"/>
      <c r="AR3295" s="173"/>
      <c r="AS3295" s="173"/>
      <c r="AT3295" s="140"/>
      <c r="AX3295" s="140"/>
      <c r="BB3295" s="173"/>
      <c r="BC3295" s="173"/>
    </row>
    <row r="3296" spans="2:55" s="134" customFormat="1" x14ac:dyDescent="0.2">
      <c r="B3296" s="145"/>
      <c r="D3296" s="145"/>
      <c r="Z3296" s="177"/>
      <c r="AA3296" s="178"/>
      <c r="AB3296" s="139"/>
      <c r="AC3296" s="173"/>
      <c r="AD3296" s="177"/>
      <c r="AE3296" s="177"/>
      <c r="AF3296" s="139"/>
      <c r="AG3296" s="139"/>
      <c r="AH3296" s="177"/>
      <c r="AI3296" s="178"/>
      <c r="AJ3296" s="139"/>
      <c r="AK3296" s="173"/>
      <c r="AL3296" s="177"/>
      <c r="AM3296" s="178"/>
      <c r="AN3296" s="173"/>
      <c r="AO3296" s="173"/>
      <c r="AP3296" s="173"/>
      <c r="AQ3296" s="178"/>
      <c r="AR3296" s="173"/>
      <c r="AS3296" s="173"/>
      <c r="AT3296" s="140"/>
      <c r="AX3296" s="140"/>
      <c r="BB3296" s="173"/>
      <c r="BC3296" s="173"/>
    </row>
    <row r="3297" spans="2:55" s="134" customFormat="1" x14ac:dyDescent="0.2">
      <c r="B3297" s="145"/>
      <c r="D3297" s="145"/>
      <c r="Z3297" s="177"/>
      <c r="AA3297" s="178"/>
      <c r="AB3297" s="139"/>
      <c r="AC3297" s="173"/>
      <c r="AD3297" s="177"/>
      <c r="AE3297" s="177"/>
      <c r="AF3297" s="139"/>
      <c r="AG3297" s="139"/>
      <c r="AH3297" s="177"/>
      <c r="AI3297" s="178"/>
      <c r="AJ3297" s="139"/>
      <c r="AK3297" s="173"/>
      <c r="AL3297" s="177"/>
      <c r="AM3297" s="178"/>
      <c r="AN3297" s="173"/>
      <c r="AO3297" s="173"/>
      <c r="AP3297" s="173"/>
      <c r="AQ3297" s="178"/>
      <c r="AR3297" s="173"/>
      <c r="AS3297" s="173"/>
      <c r="AT3297" s="140"/>
      <c r="AX3297" s="140"/>
      <c r="BB3297" s="173"/>
      <c r="BC3297" s="173"/>
    </row>
    <row r="3298" spans="2:55" s="134" customFormat="1" x14ac:dyDescent="0.2">
      <c r="B3298" s="145"/>
      <c r="D3298" s="145"/>
      <c r="Z3298" s="177"/>
      <c r="AA3298" s="178"/>
      <c r="AB3298" s="139"/>
      <c r="AC3298" s="173"/>
      <c r="AD3298" s="177"/>
      <c r="AE3298" s="177"/>
      <c r="AF3298" s="139"/>
      <c r="AG3298" s="139"/>
      <c r="AH3298" s="177"/>
      <c r="AI3298" s="178"/>
      <c r="AJ3298" s="139"/>
      <c r="AK3298" s="173"/>
      <c r="AL3298" s="177"/>
      <c r="AM3298" s="178"/>
      <c r="AN3298" s="173"/>
      <c r="AO3298" s="173"/>
      <c r="AP3298" s="173"/>
      <c r="AQ3298" s="178"/>
      <c r="AR3298" s="173"/>
      <c r="AS3298" s="173"/>
      <c r="AT3298" s="140"/>
      <c r="AX3298" s="140"/>
      <c r="BB3298" s="173"/>
      <c r="BC3298" s="173"/>
    </row>
    <row r="3299" spans="2:55" s="134" customFormat="1" x14ac:dyDescent="0.2">
      <c r="B3299" s="145"/>
      <c r="D3299" s="145"/>
      <c r="Z3299" s="177"/>
      <c r="AA3299" s="178"/>
      <c r="AB3299" s="139"/>
      <c r="AC3299" s="173"/>
      <c r="AD3299" s="177"/>
      <c r="AE3299" s="177"/>
      <c r="AF3299" s="139"/>
      <c r="AG3299" s="139"/>
      <c r="AH3299" s="177"/>
      <c r="AI3299" s="178"/>
      <c r="AJ3299" s="139"/>
      <c r="AK3299" s="173"/>
      <c r="AL3299" s="177"/>
      <c r="AM3299" s="178"/>
      <c r="AN3299" s="173"/>
      <c r="AO3299" s="173"/>
      <c r="AP3299" s="173"/>
      <c r="AQ3299" s="178"/>
      <c r="AR3299" s="173"/>
      <c r="AS3299" s="173"/>
      <c r="AT3299" s="140"/>
      <c r="AX3299" s="140"/>
      <c r="BB3299" s="173"/>
      <c r="BC3299" s="173"/>
    </row>
    <row r="3300" spans="2:55" s="134" customFormat="1" x14ac:dyDescent="0.2">
      <c r="B3300" s="145"/>
      <c r="D3300" s="145"/>
      <c r="Z3300" s="177"/>
      <c r="AA3300" s="178"/>
      <c r="AB3300" s="139"/>
      <c r="AC3300" s="173"/>
      <c r="AD3300" s="177"/>
      <c r="AE3300" s="177"/>
      <c r="AF3300" s="139"/>
      <c r="AG3300" s="139"/>
      <c r="AH3300" s="177"/>
      <c r="AI3300" s="178"/>
      <c r="AJ3300" s="139"/>
      <c r="AK3300" s="173"/>
      <c r="AL3300" s="177"/>
      <c r="AM3300" s="178"/>
      <c r="AN3300" s="173"/>
      <c r="AO3300" s="173"/>
      <c r="AP3300" s="173"/>
      <c r="AQ3300" s="178"/>
      <c r="AR3300" s="173"/>
      <c r="AS3300" s="173"/>
      <c r="AT3300" s="140"/>
      <c r="AX3300" s="140"/>
      <c r="BB3300" s="173"/>
      <c r="BC3300" s="173"/>
    </row>
    <row r="3301" spans="2:55" s="134" customFormat="1" x14ac:dyDescent="0.2">
      <c r="B3301" s="145"/>
      <c r="D3301" s="145"/>
      <c r="Z3301" s="177"/>
      <c r="AA3301" s="178"/>
      <c r="AB3301" s="139"/>
      <c r="AC3301" s="173"/>
      <c r="AD3301" s="177"/>
      <c r="AE3301" s="177"/>
      <c r="AF3301" s="139"/>
      <c r="AG3301" s="139"/>
      <c r="AH3301" s="177"/>
      <c r="AI3301" s="178"/>
      <c r="AJ3301" s="139"/>
      <c r="AK3301" s="173"/>
      <c r="AL3301" s="177"/>
      <c r="AM3301" s="178"/>
      <c r="AN3301" s="173"/>
      <c r="AO3301" s="173"/>
      <c r="AP3301" s="173"/>
      <c r="AQ3301" s="178"/>
      <c r="AR3301" s="173"/>
      <c r="AS3301" s="173"/>
      <c r="AT3301" s="140"/>
      <c r="AX3301" s="140"/>
      <c r="BB3301" s="173"/>
      <c r="BC3301" s="173"/>
    </row>
    <row r="3302" spans="2:55" s="134" customFormat="1" x14ac:dyDescent="0.2">
      <c r="B3302" s="145"/>
      <c r="D3302" s="145"/>
      <c r="Z3302" s="177"/>
      <c r="AA3302" s="178"/>
      <c r="AB3302" s="139"/>
      <c r="AC3302" s="173"/>
      <c r="AD3302" s="177"/>
      <c r="AE3302" s="177"/>
      <c r="AF3302" s="139"/>
      <c r="AG3302" s="139"/>
      <c r="AH3302" s="177"/>
      <c r="AI3302" s="178"/>
      <c r="AJ3302" s="139"/>
      <c r="AK3302" s="173"/>
      <c r="AL3302" s="177"/>
      <c r="AM3302" s="178"/>
      <c r="AN3302" s="173"/>
      <c r="AO3302" s="173"/>
      <c r="AP3302" s="173"/>
      <c r="AQ3302" s="178"/>
      <c r="AR3302" s="173"/>
      <c r="AS3302" s="173"/>
      <c r="AT3302" s="140"/>
      <c r="AX3302" s="140"/>
      <c r="BB3302" s="173"/>
      <c r="BC3302" s="173"/>
    </row>
    <row r="3303" spans="2:55" s="134" customFormat="1" x14ac:dyDescent="0.2">
      <c r="B3303" s="145"/>
      <c r="D3303" s="145"/>
      <c r="Z3303" s="177"/>
      <c r="AA3303" s="178"/>
      <c r="AB3303" s="139"/>
      <c r="AC3303" s="173"/>
      <c r="AD3303" s="177"/>
      <c r="AE3303" s="177"/>
      <c r="AF3303" s="139"/>
      <c r="AG3303" s="139"/>
      <c r="AH3303" s="177"/>
      <c r="AI3303" s="178"/>
      <c r="AJ3303" s="139"/>
      <c r="AK3303" s="173"/>
      <c r="AL3303" s="177"/>
      <c r="AM3303" s="178"/>
      <c r="AN3303" s="173"/>
      <c r="AO3303" s="173"/>
      <c r="AP3303" s="173"/>
      <c r="AQ3303" s="178"/>
      <c r="AR3303" s="173"/>
      <c r="AS3303" s="173"/>
      <c r="AT3303" s="140"/>
      <c r="AX3303" s="140"/>
      <c r="BB3303" s="173"/>
      <c r="BC3303" s="173"/>
    </row>
    <row r="3304" spans="2:55" s="134" customFormat="1" x14ac:dyDescent="0.2">
      <c r="B3304" s="145"/>
      <c r="D3304" s="145"/>
      <c r="Z3304" s="177"/>
      <c r="AA3304" s="178"/>
      <c r="AB3304" s="139"/>
      <c r="AC3304" s="173"/>
      <c r="AD3304" s="177"/>
      <c r="AE3304" s="177"/>
      <c r="AF3304" s="139"/>
      <c r="AG3304" s="139"/>
      <c r="AH3304" s="177"/>
      <c r="AI3304" s="178"/>
      <c r="AJ3304" s="139"/>
      <c r="AK3304" s="173"/>
      <c r="AL3304" s="177"/>
      <c r="AM3304" s="178"/>
      <c r="AN3304" s="173"/>
      <c r="AO3304" s="173"/>
      <c r="AP3304" s="173"/>
      <c r="AQ3304" s="178"/>
      <c r="AR3304" s="173"/>
      <c r="AS3304" s="173"/>
      <c r="AT3304" s="140"/>
      <c r="AX3304" s="140"/>
      <c r="BB3304" s="173"/>
      <c r="BC3304" s="173"/>
    </row>
    <row r="3305" spans="2:55" s="134" customFormat="1" x14ac:dyDescent="0.2">
      <c r="B3305" s="145"/>
      <c r="D3305" s="145"/>
      <c r="Z3305" s="177"/>
      <c r="AA3305" s="178"/>
      <c r="AB3305" s="139"/>
      <c r="AC3305" s="173"/>
      <c r="AD3305" s="177"/>
      <c r="AE3305" s="177"/>
      <c r="AF3305" s="139"/>
      <c r="AG3305" s="139"/>
      <c r="AH3305" s="177"/>
      <c r="AI3305" s="178"/>
      <c r="AJ3305" s="139"/>
      <c r="AK3305" s="173"/>
      <c r="AL3305" s="177"/>
      <c r="AM3305" s="178"/>
      <c r="AN3305" s="173"/>
      <c r="AO3305" s="173"/>
      <c r="AP3305" s="173"/>
      <c r="AQ3305" s="178"/>
      <c r="AR3305" s="173"/>
      <c r="AS3305" s="173"/>
      <c r="AT3305" s="140"/>
      <c r="AX3305" s="140"/>
      <c r="BB3305" s="173"/>
      <c r="BC3305" s="173"/>
    </row>
    <row r="3306" spans="2:55" s="134" customFormat="1" x14ac:dyDescent="0.2">
      <c r="B3306" s="145"/>
      <c r="D3306" s="145"/>
      <c r="Z3306" s="177"/>
      <c r="AA3306" s="178"/>
      <c r="AB3306" s="139"/>
      <c r="AC3306" s="173"/>
      <c r="AD3306" s="177"/>
      <c r="AE3306" s="177"/>
      <c r="AF3306" s="139"/>
      <c r="AG3306" s="139"/>
      <c r="AH3306" s="177"/>
      <c r="AI3306" s="178"/>
      <c r="AJ3306" s="139"/>
      <c r="AK3306" s="173"/>
      <c r="AL3306" s="177"/>
      <c r="AM3306" s="178"/>
      <c r="AN3306" s="173"/>
      <c r="AO3306" s="173"/>
      <c r="AP3306" s="173"/>
      <c r="AQ3306" s="178"/>
      <c r="AR3306" s="173"/>
      <c r="AS3306" s="173"/>
      <c r="AT3306" s="140"/>
      <c r="AX3306" s="140"/>
      <c r="BB3306" s="173"/>
      <c r="BC3306" s="173"/>
    </row>
    <row r="3307" spans="2:55" s="134" customFormat="1" x14ac:dyDescent="0.2">
      <c r="B3307" s="145"/>
      <c r="D3307" s="145"/>
      <c r="Z3307" s="177"/>
      <c r="AA3307" s="178"/>
      <c r="AB3307" s="139"/>
      <c r="AC3307" s="173"/>
      <c r="AD3307" s="177"/>
      <c r="AE3307" s="177"/>
      <c r="AF3307" s="139"/>
      <c r="AG3307" s="139"/>
      <c r="AH3307" s="177"/>
      <c r="AI3307" s="178"/>
      <c r="AJ3307" s="139"/>
      <c r="AK3307" s="173"/>
      <c r="AL3307" s="177"/>
      <c r="AM3307" s="178"/>
      <c r="AN3307" s="173"/>
      <c r="AO3307" s="173"/>
      <c r="AP3307" s="173"/>
      <c r="AQ3307" s="178"/>
      <c r="AR3307" s="173"/>
      <c r="AS3307" s="173"/>
      <c r="AT3307" s="140"/>
      <c r="AX3307" s="140"/>
      <c r="BB3307" s="173"/>
      <c r="BC3307" s="173"/>
    </row>
    <row r="3308" spans="2:55" s="134" customFormat="1" x14ac:dyDescent="0.2">
      <c r="B3308" s="145"/>
      <c r="D3308" s="145"/>
      <c r="Z3308" s="177"/>
      <c r="AA3308" s="178"/>
      <c r="AB3308" s="139"/>
      <c r="AC3308" s="173"/>
      <c r="AD3308" s="177"/>
      <c r="AE3308" s="177"/>
      <c r="AF3308" s="139"/>
      <c r="AG3308" s="139"/>
      <c r="AH3308" s="177"/>
      <c r="AI3308" s="178"/>
      <c r="AJ3308" s="139"/>
      <c r="AK3308" s="173"/>
      <c r="AL3308" s="177"/>
      <c r="AM3308" s="178"/>
      <c r="AN3308" s="173"/>
      <c r="AO3308" s="173"/>
      <c r="AP3308" s="173"/>
      <c r="AQ3308" s="178"/>
      <c r="AR3308" s="173"/>
      <c r="AS3308" s="173"/>
      <c r="AT3308" s="140"/>
      <c r="AX3308" s="140"/>
      <c r="BB3308" s="173"/>
      <c r="BC3308" s="173"/>
    </row>
    <row r="3309" spans="2:55" s="134" customFormat="1" x14ac:dyDescent="0.2">
      <c r="B3309" s="145"/>
      <c r="D3309" s="145"/>
      <c r="Z3309" s="177"/>
      <c r="AA3309" s="178"/>
      <c r="AB3309" s="139"/>
      <c r="AC3309" s="173"/>
      <c r="AD3309" s="177"/>
      <c r="AE3309" s="177"/>
      <c r="AF3309" s="139"/>
      <c r="AG3309" s="139"/>
      <c r="AH3309" s="177"/>
      <c r="AI3309" s="178"/>
      <c r="AJ3309" s="139"/>
      <c r="AK3309" s="173"/>
      <c r="AL3309" s="177"/>
      <c r="AM3309" s="178"/>
      <c r="AN3309" s="173"/>
      <c r="AO3309" s="173"/>
      <c r="AP3309" s="173"/>
      <c r="AQ3309" s="178"/>
      <c r="AR3309" s="173"/>
      <c r="AS3309" s="173"/>
      <c r="AT3309" s="140"/>
      <c r="AX3309" s="140"/>
      <c r="BB3309" s="173"/>
      <c r="BC3309" s="173"/>
    </row>
    <row r="3310" spans="2:55" s="134" customFormat="1" x14ac:dyDescent="0.2">
      <c r="B3310" s="145"/>
      <c r="D3310" s="145"/>
      <c r="Z3310" s="177"/>
      <c r="AA3310" s="178"/>
      <c r="AB3310" s="139"/>
      <c r="AC3310" s="173"/>
      <c r="AD3310" s="177"/>
      <c r="AE3310" s="177"/>
      <c r="AF3310" s="139"/>
      <c r="AG3310" s="139"/>
      <c r="AH3310" s="177"/>
      <c r="AI3310" s="178"/>
      <c r="AJ3310" s="139"/>
      <c r="AK3310" s="173"/>
      <c r="AL3310" s="177"/>
      <c r="AM3310" s="178"/>
      <c r="AN3310" s="173"/>
      <c r="AO3310" s="173"/>
      <c r="AP3310" s="173"/>
      <c r="AQ3310" s="178"/>
      <c r="AR3310" s="173"/>
      <c r="AS3310" s="173"/>
      <c r="AT3310" s="140"/>
      <c r="AX3310" s="140"/>
      <c r="BB3310" s="173"/>
      <c r="BC3310" s="173"/>
    </row>
    <row r="3311" spans="2:55" s="134" customFormat="1" x14ac:dyDescent="0.2">
      <c r="B3311" s="145"/>
      <c r="D3311" s="145"/>
      <c r="Z3311" s="177"/>
      <c r="AA3311" s="178"/>
      <c r="AB3311" s="139"/>
      <c r="AC3311" s="173"/>
      <c r="AD3311" s="177"/>
      <c r="AE3311" s="177"/>
      <c r="AF3311" s="139"/>
      <c r="AG3311" s="139"/>
      <c r="AH3311" s="177"/>
      <c r="AI3311" s="178"/>
      <c r="AJ3311" s="139"/>
      <c r="AK3311" s="173"/>
      <c r="AL3311" s="177"/>
      <c r="AM3311" s="178"/>
      <c r="AN3311" s="173"/>
      <c r="AO3311" s="173"/>
      <c r="AP3311" s="173"/>
      <c r="AQ3311" s="178"/>
      <c r="AR3311" s="173"/>
      <c r="AS3311" s="173"/>
      <c r="AT3311" s="140"/>
      <c r="AX3311" s="140"/>
      <c r="BB3311" s="173"/>
      <c r="BC3311" s="173"/>
    </row>
    <row r="3312" spans="2:55" s="134" customFormat="1" x14ac:dyDescent="0.2">
      <c r="B3312" s="145"/>
      <c r="D3312" s="145"/>
      <c r="Z3312" s="177"/>
      <c r="AA3312" s="178"/>
      <c r="AB3312" s="139"/>
      <c r="AC3312" s="173"/>
      <c r="AD3312" s="177"/>
      <c r="AE3312" s="177"/>
      <c r="AF3312" s="139"/>
      <c r="AG3312" s="139"/>
      <c r="AH3312" s="177"/>
      <c r="AI3312" s="178"/>
      <c r="AJ3312" s="139"/>
      <c r="AK3312" s="173"/>
      <c r="AL3312" s="177"/>
      <c r="AM3312" s="178"/>
      <c r="AN3312" s="173"/>
      <c r="AO3312" s="173"/>
      <c r="AP3312" s="173"/>
      <c r="AQ3312" s="178"/>
      <c r="AR3312" s="173"/>
      <c r="AS3312" s="173"/>
      <c r="AT3312" s="140"/>
      <c r="AX3312" s="140"/>
      <c r="BB3312" s="173"/>
      <c r="BC3312" s="173"/>
    </row>
    <row r="3313" spans="2:55" s="134" customFormat="1" x14ac:dyDescent="0.2">
      <c r="B3313" s="145"/>
      <c r="D3313" s="145"/>
      <c r="Z3313" s="177"/>
      <c r="AA3313" s="178"/>
      <c r="AB3313" s="139"/>
      <c r="AC3313" s="173"/>
      <c r="AD3313" s="177"/>
      <c r="AE3313" s="177"/>
      <c r="AF3313" s="139"/>
      <c r="AG3313" s="139"/>
      <c r="AH3313" s="177"/>
      <c r="AI3313" s="178"/>
      <c r="AJ3313" s="139"/>
      <c r="AK3313" s="173"/>
      <c r="AL3313" s="177"/>
      <c r="AM3313" s="178"/>
      <c r="AN3313" s="173"/>
      <c r="AO3313" s="173"/>
      <c r="AP3313" s="173"/>
      <c r="AQ3313" s="178"/>
      <c r="AR3313" s="173"/>
      <c r="AS3313" s="173"/>
      <c r="AT3313" s="140"/>
      <c r="AX3313" s="140"/>
      <c r="BB3313" s="173"/>
      <c r="BC3313" s="173"/>
    </row>
    <row r="3314" spans="2:55" s="134" customFormat="1" x14ac:dyDescent="0.2">
      <c r="B3314" s="145"/>
      <c r="D3314" s="145"/>
      <c r="Z3314" s="177"/>
      <c r="AA3314" s="178"/>
      <c r="AB3314" s="139"/>
      <c r="AC3314" s="173"/>
      <c r="AD3314" s="177"/>
      <c r="AE3314" s="177"/>
      <c r="AF3314" s="139"/>
      <c r="AG3314" s="139"/>
      <c r="AH3314" s="177"/>
      <c r="AI3314" s="178"/>
      <c r="AJ3314" s="139"/>
      <c r="AK3314" s="173"/>
      <c r="AL3314" s="177"/>
      <c r="AM3314" s="178"/>
      <c r="AN3314" s="173"/>
      <c r="AO3314" s="173"/>
      <c r="AP3314" s="173"/>
      <c r="AQ3314" s="178"/>
      <c r="AR3314" s="173"/>
      <c r="AS3314" s="173"/>
      <c r="AT3314" s="140"/>
      <c r="AX3314" s="140"/>
      <c r="BB3314" s="173"/>
      <c r="BC3314" s="173"/>
    </row>
    <row r="3315" spans="2:55" s="134" customFormat="1" x14ac:dyDescent="0.2">
      <c r="B3315" s="145"/>
      <c r="D3315" s="145"/>
      <c r="Z3315" s="177"/>
      <c r="AA3315" s="178"/>
      <c r="AB3315" s="139"/>
      <c r="AC3315" s="173"/>
      <c r="AD3315" s="177"/>
      <c r="AE3315" s="177"/>
      <c r="AF3315" s="139"/>
      <c r="AG3315" s="139"/>
      <c r="AH3315" s="177"/>
      <c r="AI3315" s="178"/>
      <c r="AJ3315" s="139"/>
      <c r="AK3315" s="173"/>
      <c r="AL3315" s="177"/>
      <c r="AM3315" s="178"/>
      <c r="AN3315" s="173"/>
      <c r="AO3315" s="173"/>
      <c r="AP3315" s="173"/>
      <c r="AQ3315" s="178"/>
      <c r="AR3315" s="173"/>
      <c r="AS3315" s="173"/>
      <c r="AT3315" s="140"/>
      <c r="AX3315" s="140"/>
      <c r="BB3315" s="173"/>
      <c r="BC3315" s="173"/>
    </row>
    <row r="3316" spans="2:55" s="134" customFormat="1" x14ac:dyDescent="0.2">
      <c r="B3316" s="145"/>
      <c r="D3316" s="145"/>
      <c r="Z3316" s="177"/>
      <c r="AA3316" s="178"/>
      <c r="AB3316" s="139"/>
      <c r="AC3316" s="173"/>
      <c r="AD3316" s="177"/>
      <c r="AE3316" s="177"/>
      <c r="AF3316" s="139"/>
      <c r="AG3316" s="139"/>
      <c r="AH3316" s="177"/>
      <c r="AI3316" s="178"/>
      <c r="AJ3316" s="139"/>
      <c r="AK3316" s="173"/>
      <c r="AL3316" s="177"/>
      <c r="AM3316" s="178"/>
      <c r="AN3316" s="173"/>
      <c r="AO3316" s="173"/>
      <c r="AP3316" s="173"/>
      <c r="AQ3316" s="178"/>
      <c r="AR3316" s="173"/>
      <c r="AS3316" s="173"/>
      <c r="AT3316" s="140"/>
      <c r="AX3316" s="140"/>
      <c r="BB3316" s="173"/>
      <c r="BC3316" s="173"/>
    </row>
    <row r="3317" spans="2:55" s="134" customFormat="1" x14ac:dyDescent="0.2">
      <c r="B3317" s="145"/>
      <c r="D3317" s="145"/>
      <c r="Z3317" s="177"/>
      <c r="AA3317" s="178"/>
      <c r="AB3317" s="139"/>
      <c r="AC3317" s="173"/>
      <c r="AD3317" s="177"/>
      <c r="AE3317" s="177"/>
      <c r="AF3317" s="139"/>
      <c r="AG3317" s="139"/>
      <c r="AH3317" s="177"/>
      <c r="AI3317" s="178"/>
      <c r="AJ3317" s="139"/>
      <c r="AK3317" s="173"/>
      <c r="AL3317" s="177"/>
      <c r="AM3317" s="178"/>
      <c r="AN3317" s="173"/>
      <c r="AO3317" s="173"/>
      <c r="AP3317" s="173"/>
      <c r="AQ3317" s="178"/>
      <c r="AR3317" s="173"/>
      <c r="AS3317" s="173"/>
      <c r="AT3317" s="140"/>
      <c r="AX3317" s="140"/>
      <c r="BB3317" s="173"/>
      <c r="BC3317" s="173"/>
    </row>
    <row r="3318" spans="2:55" s="134" customFormat="1" x14ac:dyDescent="0.2">
      <c r="B3318" s="145"/>
      <c r="D3318" s="145"/>
      <c r="Z3318" s="177"/>
      <c r="AA3318" s="178"/>
      <c r="AB3318" s="139"/>
      <c r="AC3318" s="173"/>
      <c r="AD3318" s="177"/>
      <c r="AE3318" s="177"/>
      <c r="AF3318" s="139"/>
      <c r="AG3318" s="139"/>
      <c r="AH3318" s="177"/>
      <c r="AI3318" s="178"/>
      <c r="AJ3318" s="139"/>
      <c r="AK3318" s="173"/>
      <c r="AL3318" s="177"/>
      <c r="AM3318" s="178"/>
      <c r="AN3318" s="173"/>
      <c r="AO3318" s="173"/>
      <c r="AP3318" s="173"/>
      <c r="AQ3318" s="178"/>
      <c r="AR3318" s="173"/>
      <c r="AS3318" s="173"/>
      <c r="AT3318" s="140"/>
      <c r="AX3318" s="140"/>
      <c r="BB3318" s="173"/>
      <c r="BC3318" s="173"/>
    </row>
    <row r="3319" spans="2:55" s="134" customFormat="1" x14ac:dyDescent="0.2">
      <c r="B3319" s="145"/>
      <c r="D3319" s="145"/>
      <c r="Z3319" s="177"/>
      <c r="AA3319" s="178"/>
      <c r="AB3319" s="139"/>
      <c r="AC3319" s="173"/>
      <c r="AD3319" s="177"/>
      <c r="AE3319" s="177"/>
      <c r="AF3319" s="139"/>
      <c r="AG3319" s="139"/>
      <c r="AH3319" s="177"/>
      <c r="AI3319" s="178"/>
      <c r="AJ3319" s="139"/>
      <c r="AK3319" s="173"/>
      <c r="AL3319" s="177"/>
      <c r="AM3319" s="178"/>
      <c r="AN3319" s="173"/>
      <c r="AO3319" s="173"/>
      <c r="AP3319" s="173"/>
      <c r="AQ3319" s="178"/>
      <c r="AR3319" s="173"/>
      <c r="AS3319" s="173"/>
      <c r="AT3319" s="140"/>
      <c r="AX3319" s="140"/>
      <c r="BB3319" s="173"/>
      <c r="BC3319" s="173"/>
    </row>
    <row r="3320" spans="2:55" s="134" customFormat="1" x14ac:dyDescent="0.2">
      <c r="B3320" s="145"/>
      <c r="D3320" s="145"/>
      <c r="Z3320" s="177"/>
      <c r="AA3320" s="178"/>
      <c r="AB3320" s="139"/>
      <c r="AC3320" s="173"/>
      <c r="AD3320" s="177"/>
      <c r="AE3320" s="177"/>
      <c r="AF3320" s="139"/>
      <c r="AG3320" s="139"/>
      <c r="AH3320" s="177"/>
      <c r="AI3320" s="178"/>
      <c r="AJ3320" s="139"/>
      <c r="AK3320" s="173"/>
      <c r="AL3320" s="177"/>
      <c r="AM3320" s="178"/>
      <c r="AN3320" s="173"/>
      <c r="AO3320" s="173"/>
      <c r="AP3320" s="173"/>
      <c r="AQ3320" s="178"/>
      <c r="AR3320" s="173"/>
      <c r="AS3320" s="173"/>
      <c r="AT3320" s="140"/>
      <c r="AX3320" s="140"/>
      <c r="BB3320" s="173"/>
      <c r="BC3320" s="173"/>
    </row>
    <row r="3321" spans="2:55" s="134" customFormat="1" x14ac:dyDescent="0.2">
      <c r="B3321" s="145"/>
      <c r="D3321" s="145"/>
      <c r="Z3321" s="177"/>
      <c r="AA3321" s="178"/>
      <c r="AB3321" s="139"/>
      <c r="AC3321" s="173"/>
      <c r="AD3321" s="177"/>
      <c r="AE3321" s="177"/>
      <c r="AF3321" s="139"/>
      <c r="AG3321" s="139"/>
      <c r="AH3321" s="177"/>
      <c r="AI3321" s="178"/>
      <c r="AJ3321" s="139"/>
      <c r="AK3321" s="173"/>
      <c r="AL3321" s="177"/>
      <c r="AM3321" s="178"/>
      <c r="AN3321" s="173"/>
      <c r="AO3321" s="173"/>
      <c r="AP3321" s="173"/>
      <c r="AQ3321" s="178"/>
      <c r="AR3321" s="173"/>
      <c r="AS3321" s="173"/>
      <c r="AT3321" s="140"/>
      <c r="AX3321" s="140"/>
      <c r="BB3321" s="173"/>
      <c r="BC3321" s="173"/>
    </row>
    <row r="3322" spans="2:55" s="134" customFormat="1" x14ac:dyDescent="0.2">
      <c r="B3322" s="145"/>
      <c r="D3322" s="145"/>
      <c r="Z3322" s="177"/>
      <c r="AA3322" s="178"/>
      <c r="AB3322" s="139"/>
      <c r="AC3322" s="173"/>
      <c r="AD3322" s="177"/>
      <c r="AE3322" s="177"/>
      <c r="AF3322" s="139"/>
      <c r="AG3322" s="139"/>
      <c r="AH3322" s="177"/>
      <c r="AI3322" s="178"/>
      <c r="AJ3322" s="139"/>
      <c r="AK3322" s="173"/>
      <c r="AL3322" s="177"/>
      <c r="AM3322" s="178"/>
      <c r="AN3322" s="173"/>
      <c r="AO3322" s="173"/>
      <c r="AP3322" s="173"/>
      <c r="AQ3322" s="178"/>
      <c r="AR3322" s="173"/>
      <c r="AS3322" s="173"/>
      <c r="AT3322" s="140"/>
      <c r="AX3322" s="140"/>
      <c r="BB3322" s="173"/>
      <c r="BC3322" s="173"/>
    </row>
    <row r="3323" spans="2:55" s="134" customFormat="1" x14ac:dyDescent="0.2">
      <c r="B3323" s="145"/>
      <c r="D3323" s="145"/>
      <c r="Z3323" s="177"/>
      <c r="AA3323" s="178"/>
      <c r="AB3323" s="139"/>
      <c r="AC3323" s="173"/>
      <c r="AD3323" s="177"/>
      <c r="AE3323" s="177"/>
      <c r="AF3323" s="139"/>
      <c r="AG3323" s="139"/>
      <c r="AH3323" s="177"/>
      <c r="AI3323" s="178"/>
      <c r="AJ3323" s="139"/>
      <c r="AK3323" s="173"/>
      <c r="AL3323" s="177"/>
      <c r="AM3323" s="178"/>
      <c r="AN3323" s="173"/>
      <c r="AO3323" s="173"/>
      <c r="AP3323" s="173"/>
      <c r="AQ3323" s="178"/>
      <c r="AR3323" s="173"/>
      <c r="AS3323" s="173"/>
      <c r="AT3323" s="140"/>
      <c r="AX3323" s="140"/>
      <c r="BB3323" s="173"/>
      <c r="BC3323" s="173"/>
    </row>
    <row r="3324" spans="2:55" s="134" customFormat="1" x14ac:dyDescent="0.2">
      <c r="B3324" s="145"/>
      <c r="D3324" s="145"/>
      <c r="Z3324" s="177"/>
      <c r="AA3324" s="178"/>
      <c r="AB3324" s="139"/>
      <c r="AC3324" s="173"/>
      <c r="AD3324" s="177"/>
      <c r="AE3324" s="177"/>
      <c r="AF3324" s="139"/>
      <c r="AG3324" s="139"/>
      <c r="AH3324" s="177"/>
      <c r="AI3324" s="178"/>
      <c r="AJ3324" s="139"/>
      <c r="AK3324" s="173"/>
      <c r="AL3324" s="177"/>
      <c r="AM3324" s="178"/>
      <c r="AN3324" s="173"/>
      <c r="AO3324" s="173"/>
      <c r="AP3324" s="173"/>
      <c r="AQ3324" s="178"/>
      <c r="AR3324" s="173"/>
      <c r="AS3324" s="173"/>
      <c r="AT3324" s="140"/>
      <c r="AX3324" s="140"/>
      <c r="BB3324" s="173"/>
      <c r="BC3324" s="173"/>
    </row>
    <row r="3325" spans="2:55" s="134" customFormat="1" x14ac:dyDescent="0.2">
      <c r="B3325" s="145"/>
      <c r="D3325" s="145"/>
      <c r="Z3325" s="177"/>
      <c r="AA3325" s="178"/>
      <c r="AB3325" s="139"/>
      <c r="AC3325" s="173"/>
      <c r="AD3325" s="177"/>
      <c r="AE3325" s="177"/>
      <c r="AF3325" s="139"/>
      <c r="AG3325" s="139"/>
      <c r="AH3325" s="177"/>
      <c r="AI3325" s="178"/>
      <c r="AJ3325" s="139"/>
      <c r="AK3325" s="173"/>
      <c r="AL3325" s="177"/>
      <c r="AM3325" s="178"/>
      <c r="AN3325" s="173"/>
      <c r="AO3325" s="173"/>
      <c r="AP3325" s="173"/>
      <c r="AQ3325" s="178"/>
      <c r="AR3325" s="173"/>
      <c r="AS3325" s="173"/>
      <c r="AT3325" s="140"/>
      <c r="AX3325" s="140"/>
      <c r="BB3325" s="173"/>
      <c r="BC3325" s="173"/>
    </row>
    <row r="3326" spans="2:55" s="134" customFormat="1" x14ac:dyDescent="0.2">
      <c r="B3326" s="145"/>
      <c r="D3326" s="145"/>
      <c r="Z3326" s="177"/>
      <c r="AA3326" s="178"/>
      <c r="AB3326" s="139"/>
      <c r="AC3326" s="173"/>
      <c r="AD3326" s="177"/>
      <c r="AE3326" s="177"/>
      <c r="AF3326" s="139"/>
      <c r="AG3326" s="139"/>
      <c r="AH3326" s="177"/>
      <c r="AI3326" s="178"/>
      <c r="AJ3326" s="139"/>
      <c r="AK3326" s="173"/>
      <c r="AL3326" s="177"/>
      <c r="AM3326" s="178"/>
      <c r="AN3326" s="173"/>
      <c r="AO3326" s="173"/>
      <c r="AP3326" s="173"/>
      <c r="AQ3326" s="178"/>
      <c r="AR3326" s="173"/>
      <c r="AS3326" s="173"/>
      <c r="AT3326" s="140"/>
      <c r="AX3326" s="140"/>
      <c r="BB3326" s="173"/>
      <c r="BC3326" s="173"/>
    </row>
    <row r="3327" spans="2:55" s="134" customFormat="1" x14ac:dyDescent="0.2">
      <c r="B3327" s="145"/>
      <c r="D3327" s="145"/>
      <c r="Z3327" s="177"/>
      <c r="AA3327" s="178"/>
      <c r="AB3327" s="139"/>
      <c r="AC3327" s="173"/>
      <c r="AD3327" s="177"/>
      <c r="AE3327" s="177"/>
      <c r="AF3327" s="139"/>
      <c r="AG3327" s="139"/>
      <c r="AH3327" s="177"/>
      <c r="AI3327" s="178"/>
      <c r="AJ3327" s="139"/>
      <c r="AK3327" s="173"/>
      <c r="AL3327" s="177"/>
      <c r="AM3327" s="178"/>
      <c r="AN3327" s="173"/>
      <c r="AO3327" s="173"/>
      <c r="AP3327" s="173"/>
      <c r="AQ3327" s="178"/>
      <c r="AR3327" s="173"/>
      <c r="AS3327" s="173"/>
      <c r="AT3327" s="140"/>
      <c r="AX3327" s="140"/>
      <c r="BB3327" s="173"/>
      <c r="BC3327" s="173"/>
    </row>
    <row r="3328" spans="2:55" s="134" customFormat="1" x14ac:dyDescent="0.2">
      <c r="B3328" s="145"/>
      <c r="D3328" s="145"/>
      <c r="Z3328" s="177"/>
      <c r="AA3328" s="178"/>
      <c r="AB3328" s="139"/>
      <c r="AC3328" s="173"/>
      <c r="AD3328" s="177"/>
      <c r="AE3328" s="177"/>
      <c r="AF3328" s="139"/>
      <c r="AG3328" s="139"/>
      <c r="AH3328" s="177"/>
      <c r="AI3328" s="178"/>
      <c r="AJ3328" s="139"/>
      <c r="AK3328" s="173"/>
      <c r="AL3328" s="177"/>
      <c r="AM3328" s="178"/>
      <c r="AN3328" s="173"/>
      <c r="AO3328" s="173"/>
      <c r="AP3328" s="173"/>
      <c r="AQ3328" s="178"/>
      <c r="AR3328" s="173"/>
      <c r="AS3328" s="173"/>
      <c r="AT3328" s="140"/>
      <c r="AX3328" s="140"/>
      <c r="BB3328" s="173"/>
      <c r="BC3328" s="173"/>
    </row>
    <row r="3329" spans="2:55" s="134" customFormat="1" x14ac:dyDescent="0.2">
      <c r="B3329" s="145"/>
      <c r="D3329" s="145"/>
      <c r="Z3329" s="177"/>
      <c r="AA3329" s="178"/>
      <c r="AB3329" s="139"/>
      <c r="AC3329" s="173"/>
      <c r="AD3329" s="177"/>
      <c r="AE3329" s="177"/>
      <c r="AF3329" s="139"/>
      <c r="AG3329" s="139"/>
      <c r="AH3329" s="177"/>
      <c r="AI3329" s="178"/>
      <c r="AJ3329" s="139"/>
      <c r="AK3329" s="173"/>
      <c r="AL3329" s="177"/>
      <c r="AM3329" s="178"/>
      <c r="AN3329" s="173"/>
      <c r="AO3329" s="173"/>
      <c r="AP3329" s="173"/>
      <c r="AQ3329" s="178"/>
      <c r="AR3329" s="173"/>
      <c r="AS3329" s="173"/>
      <c r="AT3329" s="140"/>
      <c r="AX3329" s="140"/>
      <c r="BB3329" s="173"/>
      <c r="BC3329" s="173"/>
    </row>
    <row r="3330" spans="2:55" s="134" customFormat="1" x14ac:dyDescent="0.2">
      <c r="B3330" s="145"/>
      <c r="D3330" s="145"/>
      <c r="Z3330" s="177"/>
      <c r="AA3330" s="178"/>
      <c r="AB3330" s="139"/>
      <c r="AC3330" s="173"/>
      <c r="AD3330" s="177"/>
      <c r="AE3330" s="177"/>
      <c r="AF3330" s="139"/>
      <c r="AG3330" s="139"/>
      <c r="AH3330" s="177"/>
      <c r="AI3330" s="178"/>
      <c r="AJ3330" s="139"/>
      <c r="AK3330" s="173"/>
      <c r="AL3330" s="177"/>
      <c r="AM3330" s="178"/>
      <c r="AN3330" s="173"/>
      <c r="AO3330" s="173"/>
      <c r="AP3330" s="173"/>
      <c r="AQ3330" s="178"/>
      <c r="AR3330" s="173"/>
      <c r="AS3330" s="173"/>
      <c r="AT3330" s="140"/>
      <c r="AX3330" s="140"/>
      <c r="BB3330" s="173"/>
      <c r="BC3330" s="173"/>
    </row>
    <row r="3331" spans="2:55" s="134" customFormat="1" x14ac:dyDescent="0.2">
      <c r="B3331" s="145"/>
      <c r="D3331" s="145"/>
      <c r="Z3331" s="177"/>
      <c r="AA3331" s="178"/>
      <c r="AB3331" s="139"/>
      <c r="AC3331" s="173"/>
      <c r="AD3331" s="177"/>
      <c r="AE3331" s="177"/>
      <c r="AF3331" s="139"/>
      <c r="AG3331" s="139"/>
      <c r="AH3331" s="177"/>
      <c r="AI3331" s="178"/>
      <c r="AJ3331" s="139"/>
      <c r="AK3331" s="173"/>
      <c r="AL3331" s="177"/>
      <c r="AM3331" s="178"/>
      <c r="AN3331" s="173"/>
      <c r="AO3331" s="173"/>
      <c r="AP3331" s="173"/>
      <c r="AQ3331" s="178"/>
      <c r="AR3331" s="173"/>
      <c r="AS3331" s="173"/>
      <c r="AT3331" s="140"/>
      <c r="AX3331" s="140"/>
      <c r="BB3331" s="173"/>
      <c r="BC3331" s="173"/>
    </row>
    <row r="3332" spans="2:55" s="134" customFormat="1" x14ac:dyDescent="0.2">
      <c r="B3332" s="145"/>
      <c r="D3332" s="145"/>
      <c r="Z3332" s="177"/>
      <c r="AA3332" s="178"/>
      <c r="AB3332" s="139"/>
      <c r="AC3332" s="173"/>
      <c r="AD3332" s="177"/>
      <c r="AE3332" s="177"/>
      <c r="AF3332" s="139"/>
      <c r="AG3332" s="139"/>
      <c r="AH3332" s="177"/>
      <c r="AI3332" s="178"/>
      <c r="AJ3332" s="139"/>
      <c r="AK3332" s="173"/>
      <c r="AL3332" s="177"/>
      <c r="AM3332" s="178"/>
      <c r="AN3332" s="173"/>
      <c r="AO3332" s="173"/>
      <c r="AP3332" s="173"/>
      <c r="AQ3332" s="178"/>
      <c r="AR3332" s="173"/>
      <c r="AS3332" s="173"/>
      <c r="AT3332" s="140"/>
      <c r="AX3332" s="140"/>
      <c r="BB3332" s="173"/>
      <c r="BC3332" s="173"/>
    </row>
    <row r="3333" spans="2:55" s="134" customFormat="1" x14ac:dyDescent="0.2">
      <c r="B3333" s="145"/>
      <c r="D3333" s="145"/>
      <c r="Z3333" s="177"/>
      <c r="AA3333" s="178"/>
      <c r="AB3333" s="139"/>
      <c r="AC3333" s="173"/>
      <c r="AD3333" s="177"/>
      <c r="AE3333" s="177"/>
      <c r="AF3333" s="139"/>
      <c r="AG3333" s="139"/>
      <c r="AH3333" s="177"/>
      <c r="AI3333" s="178"/>
      <c r="AJ3333" s="139"/>
      <c r="AK3333" s="173"/>
      <c r="AL3333" s="177"/>
      <c r="AM3333" s="178"/>
      <c r="AN3333" s="173"/>
      <c r="AO3333" s="173"/>
      <c r="AP3333" s="173"/>
      <c r="AQ3333" s="178"/>
      <c r="AR3333" s="173"/>
      <c r="AS3333" s="173"/>
      <c r="AT3333" s="140"/>
      <c r="AX3333" s="140"/>
      <c r="BB3333" s="173"/>
      <c r="BC3333" s="173"/>
    </row>
    <row r="3334" spans="2:55" s="134" customFormat="1" x14ac:dyDescent="0.2">
      <c r="B3334" s="145"/>
      <c r="D3334" s="145"/>
      <c r="Z3334" s="177"/>
      <c r="AA3334" s="178"/>
      <c r="AB3334" s="139"/>
      <c r="AC3334" s="173"/>
      <c r="AD3334" s="177"/>
      <c r="AE3334" s="177"/>
      <c r="AF3334" s="139"/>
      <c r="AG3334" s="139"/>
      <c r="AH3334" s="177"/>
      <c r="AI3334" s="178"/>
      <c r="AJ3334" s="139"/>
      <c r="AK3334" s="173"/>
      <c r="AL3334" s="177"/>
      <c r="AM3334" s="178"/>
      <c r="AN3334" s="173"/>
      <c r="AO3334" s="173"/>
      <c r="AP3334" s="173"/>
      <c r="AQ3334" s="178"/>
      <c r="AR3334" s="173"/>
      <c r="AS3334" s="173"/>
      <c r="AT3334" s="140"/>
      <c r="AX3334" s="140"/>
      <c r="BB3334" s="173"/>
      <c r="BC3334" s="173"/>
    </row>
    <row r="3335" spans="2:55" s="134" customFormat="1" x14ac:dyDescent="0.2">
      <c r="B3335" s="145"/>
      <c r="D3335" s="145"/>
      <c r="Z3335" s="177"/>
      <c r="AA3335" s="178"/>
      <c r="AB3335" s="139"/>
      <c r="AC3335" s="173"/>
      <c r="AD3335" s="177"/>
      <c r="AE3335" s="177"/>
      <c r="AF3335" s="139"/>
      <c r="AG3335" s="139"/>
      <c r="AH3335" s="177"/>
      <c r="AI3335" s="178"/>
      <c r="AJ3335" s="139"/>
      <c r="AK3335" s="173"/>
      <c r="AL3335" s="177"/>
      <c r="AM3335" s="178"/>
      <c r="AN3335" s="173"/>
      <c r="AO3335" s="173"/>
      <c r="AP3335" s="173"/>
      <c r="AQ3335" s="178"/>
      <c r="AR3335" s="173"/>
      <c r="AS3335" s="173"/>
      <c r="AT3335" s="140"/>
      <c r="AX3335" s="140"/>
      <c r="BB3335" s="173"/>
      <c r="BC3335" s="173"/>
    </row>
    <row r="3336" spans="2:55" s="134" customFormat="1" x14ac:dyDescent="0.2">
      <c r="B3336" s="145"/>
      <c r="D3336" s="145"/>
      <c r="Z3336" s="177"/>
      <c r="AA3336" s="178"/>
      <c r="AB3336" s="139"/>
      <c r="AC3336" s="173"/>
      <c r="AD3336" s="177"/>
      <c r="AE3336" s="177"/>
      <c r="AF3336" s="139"/>
      <c r="AG3336" s="139"/>
      <c r="AH3336" s="177"/>
      <c r="AI3336" s="178"/>
      <c r="AJ3336" s="139"/>
      <c r="AK3336" s="173"/>
      <c r="AL3336" s="177"/>
      <c r="AM3336" s="178"/>
      <c r="AN3336" s="173"/>
      <c r="AO3336" s="173"/>
      <c r="AP3336" s="173"/>
      <c r="AQ3336" s="178"/>
      <c r="AR3336" s="173"/>
      <c r="AS3336" s="173"/>
      <c r="AT3336" s="140"/>
      <c r="AX3336" s="140"/>
      <c r="BB3336" s="173"/>
      <c r="BC3336" s="173"/>
    </row>
    <row r="3337" spans="2:55" s="134" customFormat="1" x14ac:dyDescent="0.2">
      <c r="B3337" s="145"/>
      <c r="D3337" s="145"/>
      <c r="Z3337" s="177"/>
      <c r="AA3337" s="178"/>
      <c r="AB3337" s="139"/>
      <c r="AC3337" s="173"/>
      <c r="AD3337" s="177"/>
      <c r="AE3337" s="177"/>
      <c r="AF3337" s="139"/>
      <c r="AG3337" s="139"/>
      <c r="AH3337" s="177"/>
      <c r="AI3337" s="178"/>
      <c r="AJ3337" s="139"/>
      <c r="AK3337" s="173"/>
      <c r="AL3337" s="177"/>
      <c r="AM3337" s="178"/>
      <c r="AN3337" s="173"/>
      <c r="AO3337" s="173"/>
      <c r="AP3337" s="173"/>
      <c r="AQ3337" s="178"/>
      <c r="AR3337" s="173"/>
      <c r="AS3337" s="173"/>
      <c r="AT3337" s="140"/>
      <c r="AX3337" s="140"/>
      <c r="BB3337" s="173"/>
      <c r="BC3337" s="173"/>
    </row>
    <row r="3338" spans="2:55" s="134" customFormat="1" x14ac:dyDescent="0.2">
      <c r="B3338" s="145"/>
      <c r="D3338" s="145"/>
      <c r="Z3338" s="177"/>
      <c r="AA3338" s="178"/>
      <c r="AB3338" s="139"/>
      <c r="AC3338" s="173"/>
      <c r="AD3338" s="177"/>
      <c r="AE3338" s="177"/>
      <c r="AF3338" s="139"/>
      <c r="AG3338" s="139"/>
      <c r="AH3338" s="177"/>
      <c r="AI3338" s="178"/>
      <c r="AJ3338" s="139"/>
      <c r="AK3338" s="173"/>
      <c r="AL3338" s="177"/>
      <c r="AM3338" s="178"/>
      <c r="AN3338" s="173"/>
      <c r="AO3338" s="173"/>
      <c r="AP3338" s="173"/>
      <c r="AQ3338" s="178"/>
      <c r="AR3338" s="173"/>
      <c r="AS3338" s="173"/>
      <c r="AT3338" s="140"/>
      <c r="AX3338" s="140"/>
      <c r="BB3338" s="173"/>
      <c r="BC3338" s="173"/>
    </row>
    <row r="3339" spans="2:55" s="134" customFormat="1" x14ac:dyDescent="0.2">
      <c r="B3339" s="145"/>
      <c r="D3339" s="145"/>
      <c r="Z3339" s="177"/>
      <c r="AA3339" s="178"/>
      <c r="AB3339" s="139"/>
      <c r="AC3339" s="173"/>
      <c r="AD3339" s="177"/>
      <c r="AE3339" s="177"/>
      <c r="AF3339" s="139"/>
      <c r="AG3339" s="139"/>
      <c r="AH3339" s="177"/>
      <c r="AI3339" s="178"/>
      <c r="AJ3339" s="139"/>
      <c r="AK3339" s="173"/>
      <c r="AL3339" s="177"/>
      <c r="AM3339" s="178"/>
      <c r="AN3339" s="173"/>
      <c r="AO3339" s="173"/>
      <c r="AP3339" s="173"/>
      <c r="AQ3339" s="178"/>
      <c r="AR3339" s="173"/>
      <c r="AS3339" s="173"/>
      <c r="AT3339" s="140"/>
      <c r="AX3339" s="140"/>
      <c r="BB3339" s="173"/>
      <c r="BC3339" s="173"/>
    </row>
    <row r="3340" spans="2:55" s="134" customFormat="1" x14ac:dyDescent="0.2">
      <c r="B3340" s="145"/>
      <c r="D3340" s="145"/>
      <c r="Z3340" s="177"/>
      <c r="AA3340" s="178"/>
      <c r="AB3340" s="139"/>
      <c r="AC3340" s="173"/>
      <c r="AD3340" s="177"/>
      <c r="AE3340" s="177"/>
      <c r="AF3340" s="139"/>
      <c r="AG3340" s="139"/>
      <c r="AH3340" s="177"/>
      <c r="AI3340" s="178"/>
      <c r="AJ3340" s="139"/>
      <c r="AK3340" s="173"/>
      <c r="AL3340" s="177"/>
      <c r="AM3340" s="178"/>
      <c r="AN3340" s="173"/>
      <c r="AO3340" s="173"/>
      <c r="AP3340" s="173"/>
      <c r="AQ3340" s="178"/>
      <c r="AR3340" s="173"/>
      <c r="AS3340" s="173"/>
      <c r="AT3340" s="140"/>
      <c r="AX3340" s="140"/>
      <c r="BB3340" s="173"/>
      <c r="BC3340" s="173"/>
    </row>
    <row r="3341" spans="2:55" s="134" customFormat="1" x14ac:dyDescent="0.2">
      <c r="B3341" s="145"/>
      <c r="D3341" s="145"/>
      <c r="Z3341" s="177"/>
      <c r="AA3341" s="178"/>
      <c r="AB3341" s="139"/>
      <c r="AC3341" s="173"/>
      <c r="AD3341" s="177"/>
      <c r="AE3341" s="177"/>
      <c r="AF3341" s="139"/>
      <c r="AG3341" s="139"/>
      <c r="AH3341" s="177"/>
      <c r="AI3341" s="178"/>
      <c r="AJ3341" s="139"/>
      <c r="AK3341" s="173"/>
      <c r="AL3341" s="177"/>
      <c r="AM3341" s="178"/>
      <c r="AN3341" s="173"/>
      <c r="AO3341" s="173"/>
      <c r="AP3341" s="173"/>
      <c r="AQ3341" s="178"/>
      <c r="AR3341" s="173"/>
      <c r="AS3341" s="173"/>
      <c r="AT3341" s="140"/>
      <c r="AX3341" s="140"/>
      <c r="BB3341" s="173"/>
      <c r="BC3341" s="173"/>
    </row>
    <row r="3342" spans="2:55" s="134" customFormat="1" x14ac:dyDescent="0.2">
      <c r="B3342" s="145"/>
      <c r="D3342" s="145"/>
      <c r="Z3342" s="177"/>
      <c r="AA3342" s="178"/>
      <c r="AB3342" s="139"/>
      <c r="AC3342" s="173"/>
      <c r="AD3342" s="177"/>
      <c r="AE3342" s="177"/>
      <c r="AF3342" s="139"/>
      <c r="AG3342" s="139"/>
      <c r="AH3342" s="177"/>
      <c r="AI3342" s="178"/>
      <c r="AJ3342" s="139"/>
      <c r="AK3342" s="173"/>
      <c r="AL3342" s="177"/>
      <c r="AM3342" s="178"/>
      <c r="AN3342" s="173"/>
      <c r="AO3342" s="173"/>
      <c r="AP3342" s="173"/>
      <c r="AQ3342" s="178"/>
      <c r="AR3342" s="173"/>
      <c r="AS3342" s="173"/>
      <c r="AT3342" s="140"/>
      <c r="AX3342" s="140"/>
      <c r="BB3342" s="173"/>
      <c r="BC3342" s="173"/>
    </row>
    <row r="3343" spans="2:55" s="134" customFormat="1" x14ac:dyDescent="0.2">
      <c r="B3343" s="145"/>
      <c r="D3343" s="145"/>
      <c r="Z3343" s="177"/>
      <c r="AA3343" s="178"/>
      <c r="AB3343" s="139"/>
      <c r="AC3343" s="173"/>
      <c r="AD3343" s="177"/>
      <c r="AE3343" s="177"/>
      <c r="AF3343" s="139"/>
      <c r="AG3343" s="139"/>
      <c r="AH3343" s="177"/>
      <c r="AI3343" s="178"/>
      <c r="AJ3343" s="139"/>
      <c r="AK3343" s="173"/>
      <c r="AL3343" s="177"/>
      <c r="AM3343" s="178"/>
      <c r="AN3343" s="173"/>
      <c r="AO3343" s="173"/>
      <c r="AP3343" s="173"/>
      <c r="AQ3343" s="178"/>
      <c r="AR3343" s="173"/>
      <c r="AS3343" s="173"/>
      <c r="AT3343" s="140"/>
      <c r="AX3343" s="140"/>
      <c r="BB3343" s="173"/>
      <c r="BC3343" s="173"/>
    </row>
    <row r="3344" spans="2:55" s="134" customFormat="1" x14ac:dyDescent="0.2">
      <c r="B3344" s="145"/>
      <c r="D3344" s="145"/>
      <c r="Z3344" s="177"/>
      <c r="AA3344" s="178"/>
      <c r="AB3344" s="139"/>
      <c r="AC3344" s="173"/>
      <c r="AD3344" s="177"/>
      <c r="AE3344" s="177"/>
      <c r="AF3344" s="139"/>
      <c r="AG3344" s="139"/>
      <c r="AH3344" s="177"/>
      <c r="AI3344" s="178"/>
      <c r="AJ3344" s="139"/>
      <c r="AK3344" s="173"/>
      <c r="AL3344" s="177"/>
      <c r="AM3344" s="178"/>
      <c r="AN3344" s="173"/>
      <c r="AO3344" s="173"/>
      <c r="AP3344" s="173"/>
      <c r="AQ3344" s="178"/>
      <c r="AR3344" s="173"/>
      <c r="AS3344" s="173"/>
      <c r="AT3344" s="140"/>
      <c r="AX3344" s="140"/>
      <c r="BB3344" s="173"/>
      <c r="BC3344" s="173"/>
    </row>
    <row r="3345" spans="2:55" s="134" customFormat="1" x14ac:dyDescent="0.2">
      <c r="B3345" s="145"/>
      <c r="D3345" s="145"/>
      <c r="Z3345" s="177"/>
      <c r="AA3345" s="178"/>
      <c r="AB3345" s="139"/>
      <c r="AC3345" s="173"/>
      <c r="AD3345" s="177"/>
      <c r="AE3345" s="177"/>
      <c r="AF3345" s="139"/>
      <c r="AG3345" s="139"/>
      <c r="AH3345" s="177"/>
      <c r="AI3345" s="178"/>
      <c r="AJ3345" s="139"/>
      <c r="AK3345" s="173"/>
      <c r="AL3345" s="177"/>
      <c r="AM3345" s="178"/>
      <c r="AN3345" s="173"/>
      <c r="AO3345" s="173"/>
      <c r="AP3345" s="173"/>
      <c r="AQ3345" s="178"/>
      <c r="AR3345" s="173"/>
      <c r="AS3345" s="173"/>
      <c r="AT3345" s="140"/>
      <c r="AX3345" s="140"/>
      <c r="BB3345" s="173"/>
      <c r="BC3345" s="173"/>
    </row>
    <row r="3346" spans="2:55" s="134" customFormat="1" x14ac:dyDescent="0.2">
      <c r="B3346" s="145"/>
      <c r="D3346" s="145"/>
      <c r="Z3346" s="177"/>
      <c r="AA3346" s="178"/>
      <c r="AB3346" s="139"/>
      <c r="AC3346" s="173"/>
      <c r="AD3346" s="177"/>
      <c r="AE3346" s="177"/>
      <c r="AF3346" s="139"/>
      <c r="AG3346" s="139"/>
      <c r="AH3346" s="177"/>
      <c r="AI3346" s="178"/>
      <c r="AJ3346" s="139"/>
      <c r="AK3346" s="173"/>
      <c r="AL3346" s="177"/>
      <c r="AM3346" s="178"/>
      <c r="AN3346" s="173"/>
      <c r="AO3346" s="173"/>
      <c r="AP3346" s="173"/>
      <c r="AQ3346" s="178"/>
      <c r="AR3346" s="173"/>
      <c r="AS3346" s="173"/>
      <c r="AT3346" s="140"/>
      <c r="AX3346" s="140"/>
      <c r="BB3346" s="173"/>
      <c r="BC3346" s="173"/>
    </row>
    <row r="3347" spans="2:55" s="134" customFormat="1" x14ac:dyDescent="0.2">
      <c r="B3347" s="145"/>
      <c r="D3347" s="145"/>
      <c r="Z3347" s="177"/>
      <c r="AA3347" s="178"/>
      <c r="AB3347" s="139"/>
      <c r="AC3347" s="173"/>
      <c r="AD3347" s="177"/>
      <c r="AE3347" s="177"/>
      <c r="AF3347" s="139"/>
      <c r="AG3347" s="139"/>
      <c r="AH3347" s="177"/>
      <c r="AI3347" s="178"/>
      <c r="AJ3347" s="139"/>
      <c r="AK3347" s="173"/>
      <c r="AL3347" s="177"/>
      <c r="AM3347" s="178"/>
      <c r="AN3347" s="173"/>
      <c r="AO3347" s="173"/>
      <c r="AP3347" s="173"/>
      <c r="AQ3347" s="178"/>
      <c r="AR3347" s="173"/>
      <c r="AS3347" s="173"/>
      <c r="AT3347" s="140"/>
      <c r="AX3347" s="140"/>
      <c r="BB3347" s="173"/>
      <c r="BC3347" s="173"/>
    </row>
    <row r="3348" spans="2:55" s="134" customFormat="1" x14ac:dyDescent="0.2">
      <c r="B3348" s="145"/>
      <c r="D3348" s="145"/>
      <c r="Z3348" s="177"/>
      <c r="AA3348" s="178"/>
      <c r="AB3348" s="139"/>
      <c r="AC3348" s="173"/>
      <c r="AD3348" s="177"/>
      <c r="AE3348" s="177"/>
      <c r="AF3348" s="139"/>
      <c r="AG3348" s="139"/>
      <c r="AH3348" s="177"/>
      <c r="AI3348" s="178"/>
      <c r="AJ3348" s="139"/>
      <c r="AK3348" s="173"/>
      <c r="AL3348" s="177"/>
      <c r="AM3348" s="178"/>
      <c r="AN3348" s="173"/>
      <c r="AO3348" s="173"/>
      <c r="AP3348" s="173"/>
      <c r="AQ3348" s="178"/>
      <c r="AR3348" s="173"/>
      <c r="AS3348" s="173"/>
      <c r="AT3348" s="140"/>
      <c r="AX3348" s="140"/>
      <c r="BB3348" s="173"/>
      <c r="BC3348" s="173"/>
    </row>
    <row r="3349" spans="2:55" s="134" customFormat="1" x14ac:dyDescent="0.2">
      <c r="B3349" s="145"/>
      <c r="D3349" s="145"/>
      <c r="Z3349" s="177"/>
      <c r="AA3349" s="178"/>
      <c r="AB3349" s="139"/>
      <c r="AC3349" s="173"/>
      <c r="AD3349" s="177"/>
      <c r="AE3349" s="177"/>
      <c r="AF3349" s="139"/>
      <c r="AG3349" s="139"/>
      <c r="AH3349" s="177"/>
      <c r="AI3349" s="178"/>
      <c r="AJ3349" s="139"/>
      <c r="AK3349" s="173"/>
      <c r="AL3349" s="177"/>
      <c r="AM3349" s="178"/>
      <c r="AN3349" s="173"/>
      <c r="AO3349" s="173"/>
      <c r="AP3349" s="173"/>
      <c r="AQ3349" s="178"/>
      <c r="AR3349" s="173"/>
      <c r="AS3349" s="173"/>
      <c r="AT3349" s="140"/>
      <c r="AX3349" s="140"/>
      <c r="BB3349" s="173"/>
      <c r="BC3349" s="173"/>
    </row>
    <row r="3350" spans="2:55" s="134" customFormat="1" x14ac:dyDescent="0.2">
      <c r="B3350" s="145"/>
      <c r="D3350" s="145"/>
      <c r="Z3350" s="177"/>
      <c r="AA3350" s="178"/>
      <c r="AB3350" s="139"/>
      <c r="AC3350" s="173"/>
      <c r="AD3350" s="177"/>
      <c r="AE3350" s="177"/>
      <c r="AF3350" s="139"/>
      <c r="AG3350" s="139"/>
      <c r="AH3350" s="177"/>
      <c r="AI3350" s="178"/>
      <c r="AJ3350" s="139"/>
      <c r="AK3350" s="173"/>
      <c r="AL3350" s="177"/>
      <c r="AM3350" s="178"/>
      <c r="AN3350" s="173"/>
      <c r="AO3350" s="173"/>
      <c r="AP3350" s="173"/>
      <c r="AQ3350" s="178"/>
      <c r="AR3350" s="173"/>
      <c r="AS3350" s="173"/>
      <c r="AT3350" s="140"/>
      <c r="AX3350" s="140"/>
      <c r="BB3350" s="173"/>
      <c r="BC3350" s="173"/>
    </row>
    <row r="3351" spans="2:55" s="134" customFormat="1" x14ac:dyDescent="0.2">
      <c r="B3351" s="145"/>
      <c r="D3351" s="145"/>
      <c r="Z3351" s="177"/>
      <c r="AA3351" s="178"/>
      <c r="AB3351" s="139"/>
      <c r="AC3351" s="173"/>
      <c r="AD3351" s="177"/>
      <c r="AE3351" s="177"/>
      <c r="AF3351" s="139"/>
      <c r="AG3351" s="139"/>
      <c r="AH3351" s="177"/>
      <c r="AI3351" s="178"/>
      <c r="AJ3351" s="139"/>
      <c r="AK3351" s="173"/>
      <c r="AL3351" s="177"/>
      <c r="AM3351" s="178"/>
      <c r="AN3351" s="173"/>
      <c r="AO3351" s="173"/>
      <c r="AP3351" s="173"/>
      <c r="AQ3351" s="178"/>
      <c r="AR3351" s="173"/>
      <c r="AS3351" s="173"/>
      <c r="AT3351" s="140"/>
      <c r="AX3351" s="140"/>
      <c r="BB3351" s="173"/>
      <c r="BC3351" s="173"/>
    </row>
    <row r="3352" spans="2:55" s="134" customFormat="1" x14ac:dyDescent="0.2">
      <c r="B3352" s="145"/>
      <c r="D3352" s="145"/>
      <c r="Z3352" s="177"/>
      <c r="AA3352" s="178"/>
      <c r="AB3352" s="139"/>
      <c r="AC3352" s="173"/>
      <c r="AD3352" s="177"/>
      <c r="AE3352" s="177"/>
      <c r="AF3352" s="139"/>
      <c r="AG3352" s="139"/>
      <c r="AH3352" s="177"/>
      <c r="AI3352" s="178"/>
      <c r="AJ3352" s="139"/>
      <c r="AK3352" s="173"/>
      <c r="AL3352" s="177"/>
      <c r="AM3352" s="178"/>
      <c r="AN3352" s="173"/>
      <c r="AO3352" s="173"/>
      <c r="AP3352" s="173"/>
      <c r="AQ3352" s="178"/>
      <c r="AR3352" s="173"/>
      <c r="AS3352" s="173"/>
      <c r="AT3352" s="140"/>
      <c r="AX3352" s="140"/>
      <c r="BB3352" s="173"/>
      <c r="BC3352" s="173"/>
    </row>
    <row r="3353" spans="2:55" s="134" customFormat="1" x14ac:dyDescent="0.2">
      <c r="B3353" s="145"/>
      <c r="D3353" s="145"/>
      <c r="Z3353" s="177"/>
      <c r="AA3353" s="178"/>
      <c r="AB3353" s="139"/>
      <c r="AC3353" s="173"/>
      <c r="AD3353" s="177"/>
      <c r="AE3353" s="177"/>
      <c r="AF3353" s="139"/>
      <c r="AG3353" s="139"/>
      <c r="AH3353" s="177"/>
      <c r="AI3353" s="178"/>
      <c r="AJ3353" s="139"/>
      <c r="AK3353" s="173"/>
      <c r="AL3353" s="177"/>
      <c r="AM3353" s="178"/>
      <c r="AN3353" s="173"/>
      <c r="AO3353" s="173"/>
      <c r="AP3353" s="173"/>
      <c r="AQ3353" s="178"/>
      <c r="AR3353" s="173"/>
      <c r="AS3353" s="173"/>
      <c r="AT3353" s="140"/>
      <c r="AX3353" s="140"/>
      <c r="BB3353" s="173"/>
      <c r="BC3353" s="173"/>
    </row>
    <row r="3354" spans="2:55" s="134" customFormat="1" x14ac:dyDescent="0.2">
      <c r="B3354" s="145"/>
      <c r="D3354" s="145"/>
      <c r="Z3354" s="177"/>
      <c r="AA3354" s="178"/>
      <c r="AB3354" s="139"/>
      <c r="AC3354" s="173"/>
      <c r="AD3354" s="177"/>
      <c r="AE3354" s="177"/>
      <c r="AF3354" s="139"/>
      <c r="AG3354" s="139"/>
      <c r="AH3354" s="177"/>
      <c r="AI3354" s="178"/>
      <c r="AJ3354" s="139"/>
      <c r="AK3354" s="173"/>
      <c r="AL3354" s="177"/>
      <c r="AM3354" s="178"/>
      <c r="AN3354" s="173"/>
      <c r="AO3354" s="173"/>
      <c r="AP3354" s="173"/>
      <c r="AQ3354" s="178"/>
      <c r="AR3354" s="173"/>
      <c r="AS3354" s="173"/>
      <c r="AT3354" s="140"/>
      <c r="AX3354" s="140"/>
      <c r="BB3354" s="173"/>
      <c r="BC3354" s="173"/>
    </row>
    <row r="3355" spans="2:55" s="134" customFormat="1" x14ac:dyDescent="0.2">
      <c r="B3355" s="145"/>
      <c r="D3355" s="145"/>
      <c r="Z3355" s="177"/>
      <c r="AA3355" s="178"/>
      <c r="AB3355" s="139"/>
      <c r="AC3355" s="173"/>
      <c r="AD3355" s="177"/>
      <c r="AE3355" s="177"/>
      <c r="AF3355" s="139"/>
      <c r="AG3355" s="139"/>
      <c r="AH3355" s="177"/>
      <c r="AI3355" s="178"/>
      <c r="AJ3355" s="139"/>
      <c r="AK3355" s="173"/>
      <c r="AL3355" s="177"/>
      <c r="AM3355" s="178"/>
      <c r="AN3355" s="173"/>
      <c r="AO3355" s="173"/>
      <c r="AP3355" s="173"/>
      <c r="AQ3355" s="178"/>
      <c r="AR3355" s="173"/>
      <c r="AS3355" s="173"/>
      <c r="AT3355" s="140"/>
      <c r="AX3355" s="140"/>
      <c r="BB3355" s="173"/>
      <c r="BC3355" s="173"/>
    </row>
    <row r="3356" spans="2:55" s="134" customFormat="1" x14ac:dyDescent="0.2">
      <c r="B3356" s="145"/>
      <c r="D3356" s="145"/>
      <c r="Z3356" s="177"/>
      <c r="AA3356" s="178"/>
      <c r="AB3356" s="139"/>
      <c r="AC3356" s="173"/>
      <c r="AD3356" s="177"/>
      <c r="AE3356" s="177"/>
      <c r="AF3356" s="139"/>
      <c r="AG3356" s="139"/>
      <c r="AH3356" s="177"/>
      <c r="AI3356" s="178"/>
      <c r="AJ3356" s="139"/>
      <c r="AK3356" s="173"/>
      <c r="AL3356" s="177"/>
      <c r="AM3356" s="178"/>
      <c r="AN3356" s="173"/>
      <c r="AO3356" s="173"/>
      <c r="AP3356" s="173"/>
      <c r="AQ3356" s="178"/>
      <c r="AR3356" s="173"/>
      <c r="AS3356" s="173"/>
      <c r="AT3356" s="140"/>
      <c r="AX3356" s="140"/>
      <c r="BB3356" s="173"/>
      <c r="BC3356" s="173"/>
    </row>
    <row r="3357" spans="2:55" s="134" customFormat="1" x14ac:dyDescent="0.2">
      <c r="B3357" s="145"/>
      <c r="D3357" s="145"/>
      <c r="Z3357" s="177"/>
      <c r="AA3357" s="178"/>
      <c r="AB3357" s="139"/>
      <c r="AC3357" s="173"/>
      <c r="AD3357" s="177"/>
      <c r="AE3357" s="177"/>
      <c r="AF3357" s="139"/>
      <c r="AG3357" s="139"/>
      <c r="AH3357" s="177"/>
      <c r="AI3357" s="178"/>
      <c r="AJ3357" s="139"/>
      <c r="AK3357" s="173"/>
      <c r="AL3357" s="177"/>
      <c r="AM3357" s="178"/>
      <c r="AN3357" s="173"/>
      <c r="AO3357" s="173"/>
      <c r="AP3357" s="173"/>
      <c r="AQ3357" s="178"/>
      <c r="AR3357" s="173"/>
      <c r="AS3357" s="173"/>
      <c r="AT3357" s="140"/>
      <c r="AX3357" s="140"/>
      <c r="BB3357" s="173"/>
      <c r="BC3357" s="173"/>
    </row>
    <row r="3358" spans="2:55" s="134" customFormat="1" x14ac:dyDescent="0.2">
      <c r="B3358" s="145"/>
      <c r="D3358" s="145"/>
      <c r="Z3358" s="177"/>
      <c r="AA3358" s="178"/>
      <c r="AB3358" s="139"/>
      <c r="AC3358" s="173"/>
      <c r="AD3358" s="177"/>
      <c r="AE3358" s="177"/>
      <c r="AF3358" s="139"/>
      <c r="AG3358" s="139"/>
      <c r="AH3358" s="177"/>
      <c r="AI3358" s="178"/>
      <c r="AJ3358" s="139"/>
      <c r="AK3358" s="173"/>
      <c r="AL3358" s="177"/>
      <c r="AM3358" s="178"/>
      <c r="AN3358" s="173"/>
      <c r="AO3358" s="173"/>
      <c r="AP3358" s="173"/>
      <c r="AQ3358" s="178"/>
      <c r="AR3358" s="173"/>
      <c r="AS3358" s="173"/>
      <c r="AT3358" s="140"/>
      <c r="AX3358" s="140"/>
      <c r="BB3358" s="173"/>
      <c r="BC3358" s="173"/>
    </row>
    <row r="3359" spans="2:55" s="134" customFormat="1" x14ac:dyDescent="0.2">
      <c r="B3359" s="145"/>
      <c r="D3359" s="145"/>
      <c r="Z3359" s="177"/>
      <c r="AA3359" s="178"/>
      <c r="AB3359" s="139"/>
      <c r="AC3359" s="173"/>
      <c r="AD3359" s="177"/>
      <c r="AE3359" s="177"/>
      <c r="AF3359" s="139"/>
      <c r="AG3359" s="139"/>
      <c r="AH3359" s="177"/>
      <c r="AI3359" s="178"/>
      <c r="AJ3359" s="139"/>
      <c r="AK3359" s="173"/>
      <c r="AL3359" s="177"/>
      <c r="AM3359" s="178"/>
      <c r="AN3359" s="173"/>
      <c r="AO3359" s="173"/>
      <c r="AP3359" s="173"/>
      <c r="AQ3359" s="178"/>
      <c r="AR3359" s="173"/>
      <c r="AS3359" s="173"/>
      <c r="AT3359" s="140"/>
      <c r="AX3359" s="140"/>
      <c r="BB3359" s="173"/>
      <c r="BC3359" s="173"/>
    </row>
    <row r="3360" spans="2:55" s="134" customFormat="1" x14ac:dyDescent="0.2">
      <c r="B3360" s="145"/>
      <c r="D3360" s="145"/>
      <c r="Z3360" s="177"/>
      <c r="AA3360" s="178"/>
      <c r="AB3360" s="139"/>
      <c r="AC3360" s="173"/>
      <c r="AD3360" s="177"/>
      <c r="AE3360" s="177"/>
      <c r="AF3360" s="139"/>
      <c r="AG3360" s="139"/>
      <c r="AH3360" s="177"/>
      <c r="AI3360" s="178"/>
      <c r="AJ3360" s="139"/>
      <c r="AK3360" s="173"/>
      <c r="AL3360" s="177"/>
      <c r="AM3360" s="178"/>
      <c r="AN3360" s="173"/>
      <c r="AO3360" s="173"/>
      <c r="AP3360" s="173"/>
      <c r="AQ3360" s="178"/>
      <c r="AR3360" s="173"/>
      <c r="AS3360" s="173"/>
      <c r="AT3360" s="140"/>
      <c r="AX3360" s="140"/>
      <c r="BB3360" s="173"/>
      <c r="BC3360" s="173"/>
    </row>
    <row r="3361" spans="2:55" s="134" customFormat="1" x14ac:dyDescent="0.2">
      <c r="B3361" s="145"/>
      <c r="D3361" s="145"/>
      <c r="Z3361" s="177"/>
      <c r="AA3361" s="178"/>
      <c r="AB3361" s="139"/>
      <c r="AC3361" s="173"/>
      <c r="AD3361" s="177"/>
      <c r="AE3361" s="177"/>
      <c r="AF3361" s="139"/>
      <c r="AG3361" s="139"/>
      <c r="AH3361" s="177"/>
      <c r="AI3361" s="178"/>
      <c r="AJ3361" s="139"/>
      <c r="AK3361" s="173"/>
      <c r="AL3361" s="177"/>
      <c r="AM3361" s="178"/>
      <c r="AN3361" s="173"/>
      <c r="AO3361" s="173"/>
      <c r="AP3361" s="173"/>
      <c r="AQ3361" s="178"/>
      <c r="AR3361" s="173"/>
      <c r="AS3361" s="173"/>
      <c r="AT3361" s="140"/>
      <c r="AX3361" s="140"/>
      <c r="BB3361" s="173"/>
      <c r="BC3361" s="173"/>
    </row>
    <row r="3362" spans="2:55" s="134" customFormat="1" x14ac:dyDescent="0.2">
      <c r="B3362" s="145"/>
      <c r="D3362" s="145"/>
      <c r="Z3362" s="177"/>
      <c r="AA3362" s="178"/>
      <c r="AB3362" s="139"/>
      <c r="AC3362" s="173"/>
      <c r="AD3362" s="177"/>
      <c r="AE3362" s="177"/>
      <c r="AF3362" s="139"/>
      <c r="AG3362" s="139"/>
      <c r="AH3362" s="177"/>
      <c r="AI3362" s="178"/>
      <c r="AJ3362" s="139"/>
      <c r="AK3362" s="173"/>
      <c r="AL3362" s="177"/>
      <c r="AM3362" s="178"/>
      <c r="AN3362" s="173"/>
      <c r="AO3362" s="173"/>
      <c r="AP3362" s="173"/>
      <c r="AQ3362" s="178"/>
      <c r="AR3362" s="173"/>
      <c r="AS3362" s="173"/>
      <c r="AT3362" s="140"/>
      <c r="AX3362" s="140"/>
      <c r="BB3362" s="173"/>
      <c r="BC3362" s="173"/>
    </row>
    <row r="3363" spans="2:55" s="134" customFormat="1" x14ac:dyDescent="0.2">
      <c r="B3363" s="145"/>
      <c r="D3363" s="145"/>
      <c r="Z3363" s="177"/>
      <c r="AA3363" s="178"/>
      <c r="AB3363" s="139"/>
      <c r="AC3363" s="173"/>
      <c r="AD3363" s="177"/>
      <c r="AE3363" s="177"/>
      <c r="AF3363" s="139"/>
      <c r="AG3363" s="139"/>
      <c r="AH3363" s="177"/>
      <c r="AI3363" s="178"/>
      <c r="AJ3363" s="139"/>
      <c r="AK3363" s="173"/>
      <c r="AL3363" s="177"/>
      <c r="AM3363" s="178"/>
      <c r="AN3363" s="173"/>
      <c r="AO3363" s="173"/>
      <c r="AP3363" s="173"/>
      <c r="AQ3363" s="178"/>
      <c r="AR3363" s="173"/>
      <c r="AS3363" s="173"/>
      <c r="AT3363" s="140"/>
      <c r="AX3363" s="140"/>
      <c r="BB3363" s="173"/>
      <c r="BC3363" s="173"/>
    </row>
    <row r="3364" spans="2:55" s="134" customFormat="1" x14ac:dyDescent="0.2">
      <c r="B3364" s="145"/>
      <c r="D3364" s="145"/>
      <c r="Z3364" s="177"/>
      <c r="AA3364" s="178"/>
      <c r="AB3364" s="139"/>
      <c r="AC3364" s="173"/>
      <c r="AD3364" s="177"/>
      <c r="AE3364" s="177"/>
      <c r="AF3364" s="139"/>
      <c r="AG3364" s="139"/>
      <c r="AH3364" s="177"/>
      <c r="AI3364" s="178"/>
      <c r="AJ3364" s="139"/>
      <c r="AK3364" s="173"/>
      <c r="AL3364" s="177"/>
      <c r="AM3364" s="178"/>
      <c r="AN3364" s="173"/>
      <c r="AO3364" s="173"/>
      <c r="AP3364" s="173"/>
      <c r="AQ3364" s="178"/>
      <c r="AR3364" s="173"/>
      <c r="AS3364" s="173"/>
      <c r="AT3364" s="140"/>
      <c r="AX3364" s="140"/>
      <c r="BB3364" s="173"/>
      <c r="BC3364" s="173"/>
    </row>
    <row r="3365" spans="2:55" s="134" customFormat="1" x14ac:dyDescent="0.2">
      <c r="B3365" s="145"/>
      <c r="D3365" s="145"/>
      <c r="Z3365" s="177"/>
      <c r="AA3365" s="178"/>
      <c r="AB3365" s="139"/>
      <c r="AC3365" s="173"/>
      <c r="AD3365" s="177"/>
      <c r="AE3365" s="177"/>
      <c r="AF3365" s="139"/>
      <c r="AG3365" s="139"/>
      <c r="AH3365" s="177"/>
      <c r="AI3365" s="178"/>
      <c r="AJ3365" s="139"/>
      <c r="AK3365" s="173"/>
      <c r="AL3365" s="177"/>
      <c r="AM3365" s="178"/>
      <c r="AN3365" s="173"/>
      <c r="AO3365" s="173"/>
      <c r="AP3365" s="173"/>
      <c r="AQ3365" s="178"/>
      <c r="AR3365" s="173"/>
      <c r="AS3365" s="173"/>
      <c r="AT3365" s="140"/>
      <c r="AX3365" s="140"/>
      <c r="BB3365" s="173"/>
      <c r="BC3365" s="173"/>
    </row>
    <row r="3366" spans="2:55" s="134" customFormat="1" x14ac:dyDescent="0.2">
      <c r="B3366" s="145"/>
      <c r="D3366" s="145"/>
      <c r="Z3366" s="177"/>
      <c r="AA3366" s="178"/>
      <c r="AB3366" s="139"/>
      <c r="AC3366" s="173"/>
      <c r="AD3366" s="177"/>
      <c r="AE3366" s="177"/>
      <c r="AF3366" s="139"/>
      <c r="AG3366" s="139"/>
      <c r="AH3366" s="177"/>
      <c r="AI3366" s="178"/>
      <c r="AJ3366" s="139"/>
      <c r="AK3366" s="173"/>
      <c r="AL3366" s="177"/>
      <c r="AM3366" s="178"/>
      <c r="AN3366" s="173"/>
      <c r="AO3366" s="173"/>
      <c r="AP3366" s="173"/>
      <c r="AQ3366" s="178"/>
      <c r="AR3366" s="173"/>
      <c r="AS3366" s="173"/>
      <c r="AT3366" s="140"/>
      <c r="AX3366" s="140"/>
      <c r="BB3366" s="173"/>
      <c r="BC3366" s="173"/>
    </row>
    <row r="3367" spans="2:55" s="134" customFormat="1" x14ac:dyDescent="0.2">
      <c r="B3367" s="145"/>
      <c r="D3367" s="145"/>
      <c r="Z3367" s="177"/>
      <c r="AA3367" s="178"/>
      <c r="AB3367" s="139"/>
      <c r="AC3367" s="173"/>
      <c r="AD3367" s="177"/>
      <c r="AE3367" s="177"/>
      <c r="AF3367" s="139"/>
      <c r="AG3367" s="139"/>
      <c r="AH3367" s="177"/>
      <c r="AI3367" s="178"/>
      <c r="AJ3367" s="139"/>
      <c r="AK3367" s="173"/>
      <c r="AL3367" s="177"/>
      <c r="AM3367" s="178"/>
      <c r="AN3367" s="173"/>
      <c r="AO3367" s="173"/>
      <c r="AP3367" s="173"/>
      <c r="AQ3367" s="178"/>
      <c r="AR3367" s="173"/>
      <c r="AS3367" s="173"/>
      <c r="AT3367" s="140"/>
      <c r="AX3367" s="140"/>
      <c r="BB3367" s="173"/>
      <c r="BC3367" s="173"/>
    </row>
    <row r="3368" spans="2:55" s="134" customFormat="1" x14ac:dyDescent="0.2">
      <c r="B3368" s="145"/>
      <c r="D3368" s="145"/>
      <c r="Z3368" s="177"/>
      <c r="AA3368" s="178"/>
      <c r="AB3368" s="139"/>
      <c r="AC3368" s="173"/>
      <c r="AD3368" s="177"/>
      <c r="AE3368" s="177"/>
      <c r="AF3368" s="139"/>
      <c r="AG3368" s="139"/>
      <c r="AH3368" s="177"/>
      <c r="AI3368" s="178"/>
      <c r="AJ3368" s="139"/>
      <c r="AK3368" s="173"/>
      <c r="AL3368" s="177"/>
      <c r="AM3368" s="178"/>
      <c r="AN3368" s="173"/>
      <c r="AO3368" s="173"/>
      <c r="AP3368" s="173"/>
      <c r="AQ3368" s="178"/>
      <c r="AR3368" s="173"/>
      <c r="AS3368" s="173"/>
      <c r="AT3368" s="140"/>
      <c r="AX3368" s="140"/>
      <c r="BB3368" s="173"/>
      <c r="BC3368" s="173"/>
    </row>
    <row r="3369" spans="2:55" s="134" customFormat="1" x14ac:dyDescent="0.2">
      <c r="B3369" s="145"/>
      <c r="D3369" s="145"/>
      <c r="Z3369" s="177"/>
      <c r="AA3369" s="178"/>
      <c r="AB3369" s="139"/>
      <c r="AC3369" s="173"/>
      <c r="AD3369" s="177"/>
      <c r="AE3369" s="177"/>
      <c r="AF3369" s="139"/>
      <c r="AG3369" s="139"/>
      <c r="AH3369" s="177"/>
      <c r="AI3369" s="178"/>
      <c r="AJ3369" s="139"/>
      <c r="AK3369" s="173"/>
      <c r="AL3369" s="177"/>
      <c r="AM3369" s="178"/>
      <c r="AN3369" s="173"/>
      <c r="AO3369" s="173"/>
      <c r="AP3369" s="173"/>
      <c r="AQ3369" s="178"/>
      <c r="AR3369" s="173"/>
      <c r="AS3369" s="173"/>
      <c r="AT3369" s="140"/>
      <c r="AX3369" s="140"/>
      <c r="BB3369" s="173"/>
      <c r="BC3369" s="173"/>
    </row>
    <row r="3370" spans="2:55" s="134" customFormat="1" x14ac:dyDescent="0.2">
      <c r="B3370" s="145"/>
      <c r="D3370" s="145"/>
      <c r="Z3370" s="177"/>
      <c r="AA3370" s="178"/>
      <c r="AB3370" s="139"/>
      <c r="AC3370" s="173"/>
      <c r="AD3370" s="177"/>
      <c r="AE3370" s="177"/>
      <c r="AF3370" s="139"/>
      <c r="AG3370" s="139"/>
      <c r="AH3370" s="177"/>
      <c r="AI3370" s="178"/>
      <c r="AJ3370" s="139"/>
      <c r="AK3370" s="173"/>
      <c r="AL3370" s="177"/>
      <c r="AM3370" s="178"/>
      <c r="AN3370" s="173"/>
      <c r="AO3370" s="173"/>
      <c r="AP3370" s="173"/>
      <c r="AQ3370" s="178"/>
      <c r="AR3370" s="173"/>
      <c r="AS3370" s="173"/>
      <c r="AT3370" s="140"/>
      <c r="AX3370" s="140"/>
      <c r="BB3370" s="173"/>
      <c r="BC3370" s="173"/>
    </row>
    <row r="3371" spans="2:55" s="134" customFormat="1" x14ac:dyDescent="0.2">
      <c r="B3371" s="145"/>
      <c r="D3371" s="145"/>
      <c r="Z3371" s="177"/>
      <c r="AA3371" s="178"/>
      <c r="AB3371" s="139"/>
      <c r="AC3371" s="173"/>
      <c r="AD3371" s="177"/>
      <c r="AE3371" s="177"/>
      <c r="AF3371" s="139"/>
      <c r="AG3371" s="139"/>
      <c r="AH3371" s="177"/>
      <c r="AI3371" s="178"/>
      <c r="AJ3371" s="139"/>
      <c r="AK3371" s="173"/>
      <c r="AL3371" s="177"/>
      <c r="AM3371" s="178"/>
      <c r="AN3371" s="173"/>
      <c r="AO3371" s="173"/>
      <c r="AP3371" s="173"/>
      <c r="AQ3371" s="178"/>
      <c r="AR3371" s="173"/>
      <c r="AS3371" s="173"/>
      <c r="AT3371" s="140"/>
      <c r="AX3371" s="140"/>
      <c r="BB3371" s="173"/>
      <c r="BC3371" s="173"/>
    </row>
    <row r="3372" spans="2:55" s="134" customFormat="1" x14ac:dyDescent="0.2">
      <c r="B3372" s="145"/>
      <c r="D3372" s="145"/>
      <c r="Z3372" s="177"/>
      <c r="AA3372" s="178"/>
      <c r="AB3372" s="139"/>
      <c r="AC3372" s="173"/>
      <c r="AD3372" s="177"/>
      <c r="AE3372" s="177"/>
      <c r="AF3372" s="139"/>
      <c r="AG3372" s="139"/>
      <c r="AH3372" s="177"/>
      <c r="AI3372" s="178"/>
      <c r="AJ3372" s="139"/>
      <c r="AK3372" s="173"/>
      <c r="AL3372" s="177"/>
      <c r="AM3372" s="178"/>
      <c r="AN3372" s="173"/>
      <c r="AO3372" s="173"/>
      <c r="AP3372" s="173"/>
      <c r="AQ3372" s="178"/>
      <c r="AR3372" s="173"/>
      <c r="AS3372" s="173"/>
      <c r="AT3372" s="140"/>
      <c r="AX3372" s="140"/>
      <c r="BB3372" s="173"/>
      <c r="BC3372" s="173"/>
    </row>
    <row r="3373" spans="2:55" s="134" customFormat="1" x14ac:dyDescent="0.2">
      <c r="B3373" s="145"/>
      <c r="D3373" s="145"/>
      <c r="Z3373" s="177"/>
      <c r="AA3373" s="178"/>
      <c r="AB3373" s="139"/>
      <c r="AC3373" s="173"/>
      <c r="AD3373" s="177"/>
      <c r="AE3373" s="177"/>
      <c r="AF3373" s="139"/>
      <c r="AG3373" s="139"/>
      <c r="AH3373" s="177"/>
      <c r="AI3373" s="178"/>
      <c r="AJ3373" s="139"/>
      <c r="AK3373" s="173"/>
      <c r="AL3373" s="177"/>
      <c r="AM3373" s="178"/>
      <c r="AN3373" s="173"/>
      <c r="AO3373" s="173"/>
      <c r="AP3373" s="173"/>
      <c r="AQ3373" s="178"/>
      <c r="AR3373" s="173"/>
      <c r="AS3373" s="173"/>
      <c r="AT3373" s="140"/>
      <c r="AX3373" s="140"/>
      <c r="BB3373" s="173"/>
      <c r="BC3373" s="173"/>
    </row>
    <row r="3374" spans="2:55" s="134" customFormat="1" x14ac:dyDescent="0.2">
      <c r="B3374" s="145"/>
      <c r="D3374" s="145"/>
      <c r="Z3374" s="177"/>
      <c r="AA3374" s="178"/>
      <c r="AB3374" s="139"/>
      <c r="AC3374" s="173"/>
      <c r="AD3374" s="177"/>
      <c r="AE3374" s="177"/>
      <c r="AF3374" s="139"/>
      <c r="AG3374" s="139"/>
      <c r="AH3374" s="177"/>
      <c r="AI3374" s="178"/>
      <c r="AJ3374" s="139"/>
      <c r="AK3374" s="173"/>
      <c r="AL3374" s="177"/>
      <c r="AM3374" s="178"/>
      <c r="AN3374" s="173"/>
      <c r="AO3374" s="173"/>
      <c r="AP3374" s="173"/>
      <c r="AQ3374" s="178"/>
      <c r="AR3374" s="173"/>
      <c r="AS3374" s="173"/>
      <c r="AT3374" s="140"/>
      <c r="AX3374" s="140"/>
      <c r="BB3374" s="173"/>
      <c r="BC3374" s="173"/>
    </row>
    <row r="3375" spans="2:55" s="134" customFormat="1" x14ac:dyDescent="0.2">
      <c r="B3375" s="145"/>
      <c r="D3375" s="145"/>
      <c r="Z3375" s="177"/>
      <c r="AA3375" s="178"/>
      <c r="AB3375" s="139"/>
      <c r="AC3375" s="173"/>
      <c r="AD3375" s="177"/>
      <c r="AE3375" s="177"/>
      <c r="AF3375" s="139"/>
      <c r="AG3375" s="139"/>
      <c r="AH3375" s="177"/>
      <c r="AI3375" s="178"/>
      <c r="AJ3375" s="139"/>
      <c r="AK3375" s="173"/>
      <c r="AL3375" s="177"/>
      <c r="AM3375" s="178"/>
      <c r="AN3375" s="173"/>
      <c r="AO3375" s="173"/>
      <c r="AP3375" s="173"/>
      <c r="AQ3375" s="178"/>
      <c r="AR3375" s="173"/>
      <c r="AS3375" s="173"/>
      <c r="AT3375" s="140"/>
      <c r="AX3375" s="140"/>
      <c r="BB3375" s="173"/>
      <c r="BC3375" s="173"/>
    </row>
    <row r="3376" spans="2:55" s="134" customFormat="1" x14ac:dyDescent="0.2">
      <c r="B3376" s="145"/>
      <c r="D3376" s="145"/>
      <c r="Z3376" s="177"/>
      <c r="AA3376" s="178"/>
      <c r="AB3376" s="139"/>
      <c r="AC3376" s="173"/>
      <c r="AD3376" s="177"/>
      <c r="AE3376" s="177"/>
      <c r="AF3376" s="139"/>
      <c r="AG3376" s="139"/>
      <c r="AH3376" s="177"/>
      <c r="AI3376" s="178"/>
      <c r="AJ3376" s="139"/>
      <c r="AK3376" s="173"/>
      <c r="AL3376" s="177"/>
      <c r="AM3376" s="178"/>
      <c r="AN3376" s="173"/>
      <c r="AO3376" s="173"/>
      <c r="AP3376" s="173"/>
      <c r="AQ3376" s="178"/>
      <c r="AR3376" s="173"/>
      <c r="AS3376" s="173"/>
      <c r="AT3376" s="140"/>
      <c r="AX3376" s="140"/>
      <c r="BB3376" s="173"/>
      <c r="BC3376" s="173"/>
    </row>
    <row r="3377" spans="2:55" s="134" customFormat="1" x14ac:dyDescent="0.2">
      <c r="B3377" s="145"/>
      <c r="D3377" s="145"/>
      <c r="Z3377" s="177"/>
      <c r="AA3377" s="178"/>
      <c r="AB3377" s="139"/>
      <c r="AC3377" s="173"/>
      <c r="AD3377" s="177"/>
      <c r="AE3377" s="177"/>
      <c r="AF3377" s="139"/>
      <c r="AG3377" s="139"/>
      <c r="AH3377" s="177"/>
      <c r="AI3377" s="178"/>
      <c r="AJ3377" s="139"/>
      <c r="AK3377" s="173"/>
      <c r="AL3377" s="177"/>
      <c r="AM3377" s="178"/>
      <c r="AN3377" s="173"/>
      <c r="AO3377" s="173"/>
      <c r="AP3377" s="173"/>
      <c r="AQ3377" s="178"/>
      <c r="AR3377" s="173"/>
      <c r="AS3377" s="173"/>
      <c r="AT3377" s="140"/>
      <c r="AX3377" s="140"/>
      <c r="BB3377" s="173"/>
      <c r="BC3377" s="173"/>
    </row>
    <row r="3378" spans="2:55" s="134" customFormat="1" x14ac:dyDescent="0.2">
      <c r="B3378" s="145"/>
      <c r="D3378" s="145"/>
      <c r="Z3378" s="177"/>
      <c r="AA3378" s="178"/>
      <c r="AB3378" s="139"/>
      <c r="AC3378" s="173"/>
      <c r="AD3378" s="177"/>
      <c r="AE3378" s="177"/>
      <c r="AF3378" s="139"/>
      <c r="AG3378" s="139"/>
      <c r="AH3378" s="177"/>
      <c r="AI3378" s="178"/>
      <c r="AJ3378" s="139"/>
      <c r="AK3378" s="173"/>
      <c r="AL3378" s="177"/>
      <c r="AM3378" s="178"/>
      <c r="AN3378" s="173"/>
      <c r="AO3378" s="173"/>
      <c r="AP3378" s="173"/>
      <c r="AQ3378" s="178"/>
      <c r="AR3378" s="173"/>
      <c r="AS3378" s="173"/>
      <c r="AT3378" s="140"/>
      <c r="AX3378" s="140"/>
      <c r="BB3378" s="173"/>
      <c r="BC3378" s="173"/>
    </row>
    <row r="3379" spans="2:55" s="134" customFormat="1" x14ac:dyDescent="0.2">
      <c r="B3379" s="145"/>
      <c r="D3379" s="145"/>
      <c r="Z3379" s="177"/>
      <c r="AA3379" s="178"/>
      <c r="AB3379" s="139"/>
      <c r="AC3379" s="173"/>
      <c r="AD3379" s="177"/>
      <c r="AE3379" s="177"/>
      <c r="AF3379" s="139"/>
      <c r="AG3379" s="139"/>
      <c r="AH3379" s="177"/>
      <c r="AI3379" s="178"/>
      <c r="AJ3379" s="139"/>
      <c r="AK3379" s="173"/>
      <c r="AL3379" s="177"/>
      <c r="AM3379" s="178"/>
      <c r="AN3379" s="173"/>
      <c r="AO3379" s="173"/>
      <c r="AP3379" s="173"/>
      <c r="AQ3379" s="178"/>
      <c r="AR3379" s="173"/>
      <c r="AS3379" s="173"/>
      <c r="AT3379" s="140"/>
      <c r="AX3379" s="140"/>
      <c r="BB3379" s="173"/>
      <c r="BC3379" s="173"/>
    </row>
    <row r="3380" spans="2:55" s="134" customFormat="1" x14ac:dyDescent="0.2">
      <c r="B3380" s="145"/>
      <c r="D3380" s="145"/>
      <c r="Z3380" s="177"/>
      <c r="AA3380" s="178"/>
      <c r="AB3380" s="139"/>
      <c r="AC3380" s="173"/>
      <c r="AD3380" s="177"/>
      <c r="AE3380" s="177"/>
      <c r="AF3380" s="139"/>
      <c r="AG3380" s="139"/>
      <c r="AH3380" s="177"/>
      <c r="AI3380" s="178"/>
      <c r="AJ3380" s="139"/>
      <c r="AK3380" s="173"/>
      <c r="AL3380" s="177"/>
      <c r="AM3380" s="178"/>
      <c r="AN3380" s="173"/>
      <c r="AO3380" s="173"/>
      <c r="AP3380" s="173"/>
      <c r="AQ3380" s="178"/>
      <c r="AR3380" s="173"/>
      <c r="AS3380" s="173"/>
      <c r="AT3380" s="140"/>
      <c r="AX3380" s="140"/>
      <c r="BB3380" s="173"/>
      <c r="BC3380" s="173"/>
    </row>
    <row r="3381" spans="2:55" s="134" customFormat="1" x14ac:dyDescent="0.2">
      <c r="B3381" s="145"/>
      <c r="D3381" s="145"/>
      <c r="Z3381" s="177"/>
      <c r="AA3381" s="178"/>
      <c r="AB3381" s="139"/>
      <c r="AC3381" s="173"/>
      <c r="AD3381" s="177"/>
      <c r="AE3381" s="177"/>
      <c r="AF3381" s="139"/>
      <c r="AG3381" s="139"/>
      <c r="AH3381" s="177"/>
      <c r="AI3381" s="178"/>
      <c r="AJ3381" s="139"/>
      <c r="AK3381" s="173"/>
      <c r="AL3381" s="177"/>
      <c r="AM3381" s="178"/>
      <c r="AN3381" s="173"/>
      <c r="AO3381" s="173"/>
      <c r="AP3381" s="173"/>
      <c r="AQ3381" s="178"/>
      <c r="AR3381" s="173"/>
      <c r="AS3381" s="173"/>
      <c r="AT3381" s="140"/>
      <c r="AX3381" s="140"/>
      <c r="BB3381" s="173"/>
      <c r="BC3381" s="173"/>
    </row>
    <row r="3382" spans="2:55" s="134" customFormat="1" x14ac:dyDescent="0.2">
      <c r="B3382" s="145"/>
      <c r="D3382" s="145"/>
      <c r="Z3382" s="177"/>
      <c r="AA3382" s="178"/>
      <c r="AB3382" s="139"/>
      <c r="AC3382" s="173"/>
      <c r="AD3382" s="177"/>
      <c r="AE3382" s="177"/>
      <c r="AF3382" s="139"/>
      <c r="AG3382" s="139"/>
      <c r="AH3382" s="177"/>
      <c r="AI3382" s="178"/>
      <c r="AJ3382" s="139"/>
      <c r="AK3382" s="173"/>
      <c r="AL3382" s="177"/>
      <c r="AM3382" s="178"/>
      <c r="AN3382" s="173"/>
      <c r="AO3382" s="173"/>
      <c r="AP3382" s="173"/>
      <c r="AQ3382" s="178"/>
      <c r="AR3382" s="173"/>
      <c r="AS3382" s="173"/>
      <c r="AT3382" s="140"/>
      <c r="AX3382" s="140"/>
      <c r="BB3382" s="173"/>
      <c r="BC3382" s="173"/>
    </row>
    <row r="3383" spans="2:55" s="134" customFormat="1" x14ac:dyDescent="0.2">
      <c r="B3383" s="145"/>
      <c r="D3383" s="145"/>
      <c r="Z3383" s="177"/>
      <c r="AA3383" s="178"/>
      <c r="AB3383" s="139"/>
      <c r="AC3383" s="173"/>
      <c r="AD3383" s="177"/>
      <c r="AE3383" s="177"/>
      <c r="AF3383" s="139"/>
      <c r="AG3383" s="139"/>
      <c r="AH3383" s="177"/>
      <c r="AI3383" s="178"/>
      <c r="AJ3383" s="139"/>
      <c r="AK3383" s="173"/>
      <c r="AL3383" s="177"/>
      <c r="AM3383" s="178"/>
      <c r="AN3383" s="173"/>
      <c r="AO3383" s="173"/>
      <c r="AP3383" s="173"/>
      <c r="AQ3383" s="178"/>
      <c r="AR3383" s="173"/>
      <c r="AS3383" s="173"/>
      <c r="AT3383" s="140"/>
      <c r="AX3383" s="140"/>
      <c r="BB3383" s="173"/>
      <c r="BC3383" s="173"/>
    </row>
    <row r="3384" spans="2:55" s="134" customFormat="1" x14ac:dyDescent="0.2">
      <c r="B3384" s="145"/>
      <c r="D3384" s="145"/>
      <c r="Z3384" s="177"/>
      <c r="AA3384" s="178"/>
      <c r="AB3384" s="139"/>
      <c r="AC3384" s="173"/>
      <c r="AD3384" s="177"/>
      <c r="AE3384" s="177"/>
      <c r="AF3384" s="139"/>
      <c r="AG3384" s="139"/>
      <c r="AH3384" s="177"/>
      <c r="AI3384" s="178"/>
      <c r="AJ3384" s="139"/>
      <c r="AK3384" s="173"/>
      <c r="AL3384" s="177"/>
      <c r="AM3384" s="178"/>
      <c r="AN3384" s="173"/>
      <c r="AO3384" s="173"/>
      <c r="AP3384" s="173"/>
      <c r="AQ3384" s="178"/>
      <c r="AR3384" s="173"/>
      <c r="AS3384" s="173"/>
      <c r="AT3384" s="140"/>
      <c r="AX3384" s="140"/>
      <c r="BB3384" s="173"/>
      <c r="BC3384" s="173"/>
    </row>
    <row r="3385" spans="2:55" s="134" customFormat="1" x14ac:dyDescent="0.2">
      <c r="B3385" s="145"/>
      <c r="D3385" s="145"/>
      <c r="Z3385" s="177"/>
      <c r="AA3385" s="178"/>
      <c r="AB3385" s="139"/>
      <c r="AC3385" s="173"/>
      <c r="AD3385" s="177"/>
      <c r="AE3385" s="177"/>
      <c r="AF3385" s="139"/>
      <c r="AG3385" s="139"/>
      <c r="AH3385" s="177"/>
      <c r="AI3385" s="178"/>
      <c r="AJ3385" s="139"/>
      <c r="AK3385" s="173"/>
      <c r="AL3385" s="177"/>
      <c r="AM3385" s="178"/>
      <c r="AN3385" s="173"/>
      <c r="AO3385" s="173"/>
      <c r="AP3385" s="173"/>
      <c r="AQ3385" s="178"/>
      <c r="AR3385" s="173"/>
      <c r="AS3385" s="173"/>
      <c r="AT3385" s="140"/>
      <c r="AX3385" s="140"/>
      <c r="BB3385" s="173"/>
      <c r="BC3385" s="173"/>
    </row>
    <row r="3386" spans="2:55" s="134" customFormat="1" x14ac:dyDescent="0.2">
      <c r="B3386" s="145"/>
      <c r="D3386" s="145"/>
      <c r="Z3386" s="177"/>
      <c r="AA3386" s="178"/>
      <c r="AB3386" s="139"/>
      <c r="AC3386" s="173"/>
      <c r="AD3386" s="177"/>
      <c r="AE3386" s="177"/>
      <c r="AF3386" s="139"/>
      <c r="AG3386" s="139"/>
      <c r="AH3386" s="177"/>
      <c r="AI3386" s="178"/>
      <c r="AJ3386" s="139"/>
      <c r="AK3386" s="173"/>
      <c r="AL3386" s="177"/>
      <c r="AM3386" s="178"/>
      <c r="AN3386" s="173"/>
      <c r="AO3386" s="173"/>
      <c r="AP3386" s="173"/>
      <c r="AQ3386" s="178"/>
      <c r="AR3386" s="173"/>
      <c r="AS3386" s="173"/>
      <c r="AT3386" s="140"/>
      <c r="AX3386" s="140"/>
      <c r="BB3386" s="173"/>
      <c r="BC3386" s="173"/>
    </row>
    <row r="3387" spans="2:55" s="134" customFormat="1" x14ac:dyDescent="0.2">
      <c r="B3387" s="145"/>
      <c r="D3387" s="145"/>
      <c r="Z3387" s="177"/>
      <c r="AA3387" s="178"/>
      <c r="AB3387" s="139"/>
      <c r="AC3387" s="173"/>
      <c r="AD3387" s="177"/>
      <c r="AE3387" s="177"/>
      <c r="AF3387" s="139"/>
      <c r="AG3387" s="139"/>
      <c r="AH3387" s="177"/>
      <c r="AI3387" s="178"/>
      <c r="AJ3387" s="139"/>
      <c r="AK3387" s="173"/>
      <c r="AL3387" s="177"/>
      <c r="AM3387" s="178"/>
      <c r="AN3387" s="173"/>
      <c r="AO3387" s="173"/>
      <c r="AP3387" s="173"/>
      <c r="AQ3387" s="178"/>
      <c r="AR3387" s="173"/>
      <c r="AS3387" s="173"/>
      <c r="AT3387" s="140"/>
      <c r="AX3387" s="140"/>
      <c r="BB3387" s="173"/>
      <c r="BC3387" s="173"/>
    </row>
    <row r="3388" spans="2:55" s="134" customFormat="1" x14ac:dyDescent="0.2">
      <c r="B3388" s="145"/>
      <c r="D3388" s="145"/>
      <c r="Z3388" s="177"/>
      <c r="AA3388" s="178"/>
      <c r="AB3388" s="139"/>
      <c r="AC3388" s="173"/>
      <c r="AD3388" s="177"/>
      <c r="AE3388" s="177"/>
      <c r="AF3388" s="139"/>
      <c r="AG3388" s="139"/>
      <c r="AH3388" s="177"/>
      <c r="AI3388" s="178"/>
      <c r="AJ3388" s="139"/>
      <c r="AK3388" s="173"/>
      <c r="AL3388" s="177"/>
      <c r="AM3388" s="178"/>
      <c r="AN3388" s="173"/>
      <c r="AO3388" s="173"/>
      <c r="AP3388" s="173"/>
      <c r="AQ3388" s="178"/>
      <c r="AR3388" s="173"/>
      <c r="AS3388" s="173"/>
      <c r="AT3388" s="140"/>
      <c r="AX3388" s="140"/>
      <c r="BB3388" s="173"/>
      <c r="BC3388" s="173"/>
    </row>
    <row r="3389" spans="2:55" s="134" customFormat="1" x14ac:dyDescent="0.2">
      <c r="B3389" s="145"/>
      <c r="D3389" s="145"/>
      <c r="Z3389" s="177"/>
      <c r="AA3389" s="178"/>
      <c r="AB3389" s="139"/>
      <c r="AC3389" s="173"/>
      <c r="AD3389" s="177"/>
      <c r="AE3389" s="177"/>
      <c r="AF3389" s="139"/>
      <c r="AG3389" s="139"/>
      <c r="AH3389" s="177"/>
      <c r="AI3389" s="178"/>
      <c r="AJ3389" s="139"/>
      <c r="AK3389" s="173"/>
      <c r="AL3389" s="177"/>
      <c r="AM3389" s="178"/>
      <c r="AN3389" s="173"/>
      <c r="AO3389" s="173"/>
      <c r="AP3389" s="173"/>
      <c r="AQ3389" s="178"/>
      <c r="AR3389" s="173"/>
      <c r="AS3389" s="173"/>
      <c r="AT3389" s="140"/>
      <c r="AX3389" s="140"/>
      <c r="BB3389" s="173"/>
      <c r="BC3389" s="173"/>
    </row>
    <row r="3390" spans="2:55" s="134" customFormat="1" x14ac:dyDescent="0.2">
      <c r="B3390" s="145"/>
      <c r="D3390" s="145"/>
      <c r="Z3390" s="177"/>
      <c r="AA3390" s="178"/>
      <c r="AB3390" s="139"/>
      <c r="AC3390" s="173"/>
      <c r="AD3390" s="177"/>
      <c r="AE3390" s="177"/>
      <c r="AF3390" s="139"/>
      <c r="AG3390" s="139"/>
      <c r="AH3390" s="177"/>
      <c r="AI3390" s="178"/>
      <c r="AJ3390" s="139"/>
      <c r="AK3390" s="173"/>
      <c r="AL3390" s="177"/>
      <c r="AM3390" s="178"/>
      <c r="AN3390" s="173"/>
      <c r="AO3390" s="173"/>
      <c r="AP3390" s="173"/>
      <c r="AQ3390" s="178"/>
      <c r="AR3390" s="173"/>
      <c r="AS3390" s="173"/>
      <c r="AT3390" s="140"/>
      <c r="AX3390" s="140"/>
      <c r="BB3390" s="173"/>
      <c r="BC3390" s="173"/>
    </row>
    <row r="3391" spans="2:55" s="134" customFormat="1" x14ac:dyDescent="0.2">
      <c r="B3391" s="145"/>
      <c r="D3391" s="145"/>
      <c r="Z3391" s="177"/>
      <c r="AA3391" s="178"/>
      <c r="AB3391" s="139"/>
      <c r="AC3391" s="173"/>
      <c r="AD3391" s="177"/>
      <c r="AE3391" s="177"/>
      <c r="AF3391" s="139"/>
      <c r="AG3391" s="139"/>
      <c r="AH3391" s="177"/>
      <c r="AI3391" s="178"/>
      <c r="AJ3391" s="139"/>
      <c r="AK3391" s="173"/>
      <c r="AL3391" s="177"/>
      <c r="AM3391" s="178"/>
      <c r="AN3391" s="173"/>
      <c r="AO3391" s="173"/>
      <c r="AP3391" s="173"/>
      <c r="AQ3391" s="178"/>
      <c r="AR3391" s="173"/>
      <c r="AS3391" s="173"/>
      <c r="AT3391" s="140"/>
      <c r="AX3391" s="140"/>
      <c r="BB3391" s="173"/>
      <c r="BC3391" s="173"/>
    </row>
    <row r="3392" spans="2:55" s="134" customFormat="1" x14ac:dyDescent="0.2">
      <c r="B3392" s="145"/>
      <c r="D3392" s="145"/>
      <c r="Z3392" s="177"/>
      <c r="AA3392" s="178"/>
      <c r="AB3392" s="139"/>
      <c r="AC3392" s="173"/>
      <c r="AD3392" s="177"/>
      <c r="AE3392" s="177"/>
      <c r="AF3392" s="139"/>
      <c r="AG3392" s="139"/>
      <c r="AH3392" s="177"/>
      <c r="AI3392" s="178"/>
      <c r="AJ3392" s="139"/>
      <c r="AK3392" s="173"/>
      <c r="AL3392" s="177"/>
      <c r="AM3392" s="178"/>
      <c r="AN3392" s="173"/>
      <c r="AO3392" s="173"/>
      <c r="AP3392" s="173"/>
      <c r="AQ3392" s="178"/>
      <c r="AR3392" s="173"/>
      <c r="AS3392" s="173"/>
      <c r="AT3392" s="140"/>
      <c r="AX3392" s="140"/>
      <c r="BB3392" s="173"/>
      <c r="BC3392" s="173"/>
    </row>
    <row r="3393" spans="2:55" s="134" customFormat="1" x14ac:dyDescent="0.2">
      <c r="B3393" s="145"/>
      <c r="D3393" s="145"/>
      <c r="Z3393" s="177"/>
      <c r="AA3393" s="178"/>
      <c r="AB3393" s="139"/>
      <c r="AC3393" s="173"/>
      <c r="AD3393" s="177"/>
      <c r="AE3393" s="177"/>
      <c r="AF3393" s="139"/>
      <c r="AG3393" s="139"/>
      <c r="AH3393" s="177"/>
      <c r="AI3393" s="178"/>
      <c r="AJ3393" s="139"/>
      <c r="AK3393" s="173"/>
      <c r="AL3393" s="177"/>
      <c r="AM3393" s="178"/>
      <c r="AN3393" s="173"/>
      <c r="AO3393" s="173"/>
      <c r="AP3393" s="173"/>
      <c r="AQ3393" s="178"/>
      <c r="AR3393" s="173"/>
      <c r="AS3393" s="173"/>
      <c r="AT3393" s="140"/>
      <c r="AX3393" s="140"/>
      <c r="BB3393" s="173"/>
      <c r="BC3393" s="173"/>
    </row>
    <row r="3394" spans="2:55" s="134" customFormat="1" x14ac:dyDescent="0.2">
      <c r="B3394" s="145"/>
      <c r="D3394" s="145"/>
      <c r="Z3394" s="177"/>
      <c r="AA3394" s="178"/>
      <c r="AB3394" s="139"/>
      <c r="AC3394" s="173"/>
      <c r="AD3394" s="177"/>
      <c r="AE3394" s="177"/>
      <c r="AF3394" s="139"/>
      <c r="AG3394" s="139"/>
      <c r="AH3394" s="177"/>
      <c r="AI3394" s="178"/>
      <c r="AJ3394" s="139"/>
      <c r="AK3394" s="173"/>
      <c r="AL3394" s="177"/>
      <c r="AM3394" s="178"/>
      <c r="AN3394" s="173"/>
      <c r="AO3394" s="173"/>
      <c r="AP3394" s="173"/>
      <c r="AQ3394" s="178"/>
      <c r="AR3394" s="173"/>
      <c r="AS3394" s="173"/>
      <c r="AT3394" s="140"/>
      <c r="AX3394" s="140"/>
      <c r="BB3394" s="173"/>
      <c r="BC3394" s="173"/>
    </row>
    <row r="3395" spans="2:55" s="134" customFormat="1" x14ac:dyDescent="0.2">
      <c r="B3395" s="145"/>
      <c r="D3395" s="145"/>
      <c r="Z3395" s="177"/>
      <c r="AA3395" s="178"/>
      <c r="AB3395" s="139"/>
      <c r="AC3395" s="173"/>
      <c r="AD3395" s="177"/>
      <c r="AE3395" s="177"/>
      <c r="AF3395" s="139"/>
      <c r="AG3395" s="139"/>
      <c r="AH3395" s="177"/>
      <c r="AI3395" s="178"/>
      <c r="AJ3395" s="139"/>
      <c r="AK3395" s="173"/>
      <c r="AL3395" s="177"/>
      <c r="AM3395" s="178"/>
      <c r="AN3395" s="173"/>
      <c r="AO3395" s="173"/>
      <c r="AP3395" s="173"/>
      <c r="AQ3395" s="178"/>
      <c r="AR3395" s="173"/>
      <c r="AS3395" s="173"/>
      <c r="AT3395" s="140"/>
      <c r="AX3395" s="140"/>
      <c r="BB3395" s="173"/>
      <c r="BC3395" s="173"/>
    </row>
    <row r="3396" spans="2:55" s="134" customFormat="1" x14ac:dyDescent="0.2">
      <c r="B3396" s="145"/>
      <c r="D3396" s="145"/>
      <c r="Z3396" s="177"/>
      <c r="AA3396" s="178"/>
      <c r="AB3396" s="139"/>
      <c r="AC3396" s="173"/>
      <c r="AD3396" s="177"/>
      <c r="AE3396" s="177"/>
      <c r="AF3396" s="139"/>
      <c r="AG3396" s="139"/>
      <c r="AH3396" s="177"/>
      <c r="AI3396" s="178"/>
      <c r="AJ3396" s="139"/>
      <c r="AK3396" s="173"/>
      <c r="AL3396" s="177"/>
      <c r="AM3396" s="178"/>
      <c r="AN3396" s="173"/>
      <c r="AO3396" s="173"/>
      <c r="AP3396" s="173"/>
      <c r="AQ3396" s="178"/>
      <c r="AR3396" s="173"/>
      <c r="AS3396" s="173"/>
      <c r="AT3396" s="140"/>
      <c r="AX3396" s="140"/>
      <c r="BB3396" s="173"/>
      <c r="BC3396" s="173"/>
    </row>
    <row r="3397" spans="2:55" s="134" customFormat="1" x14ac:dyDescent="0.2">
      <c r="B3397" s="145"/>
      <c r="D3397" s="145"/>
      <c r="Z3397" s="177"/>
      <c r="AA3397" s="178"/>
      <c r="AB3397" s="139"/>
      <c r="AC3397" s="173"/>
      <c r="AD3397" s="177"/>
      <c r="AE3397" s="177"/>
      <c r="AF3397" s="139"/>
      <c r="AG3397" s="139"/>
      <c r="AH3397" s="177"/>
      <c r="AI3397" s="178"/>
      <c r="AJ3397" s="139"/>
      <c r="AK3397" s="173"/>
      <c r="AL3397" s="177"/>
      <c r="AM3397" s="178"/>
      <c r="AN3397" s="173"/>
      <c r="AO3397" s="173"/>
      <c r="AP3397" s="173"/>
      <c r="AQ3397" s="178"/>
      <c r="AR3397" s="173"/>
      <c r="AS3397" s="173"/>
      <c r="AT3397" s="140"/>
      <c r="AX3397" s="140"/>
      <c r="BB3397" s="173"/>
      <c r="BC3397" s="173"/>
    </row>
    <row r="3398" spans="2:55" s="134" customFormat="1" x14ac:dyDescent="0.2">
      <c r="B3398" s="145"/>
      <c r="D3398" s="145"/>
      <c r="Z3398" s="177"/>
      <c r="AA3398" s="178"/>
      <c r="AB3398" s="139"/>
      <c r="AC3398" s="173"/>
      <c r="AD3398" s="177"/>
      <c r="AE3398" s="177"/>
      <c r="AF3398" s="139"/>
      <c r="AG3398" s="139"/>
      <c r="AH3398" s="177"/>
      <c r="AI3398" s="178"/>
      <c r="AJ3398" s="139"/>
      <c r="AK3398" s="173"/>
      <c r="AL3398" s="177"/>
      <c r="AM3398" s="178"/>
      <c r="AN3398" s="173"/>
      <c r="AO3398" s="173"/>
      <c r="AP3398" s="173"/>
      <c r="AQ3398" s="178"/>
      <c r="AR3398" s="173"/>
      <c r="AS3398" s="173"/>
      <c r="AT3398" s="140"/>
      <c r="AX3398" s="140"/>
      <c r="BB3398" s="173"/>
      <c r="BC3398" s="173"/>
    </row>
    <row r="3399" spans="2:55" s="134" customFormat="1" x14ac:dyDescent="0.2">
      <c r="B3399" s="145"/>
      <c r="D3399" s="145"/>
      <c r="Z3399" s="177"/>
      <c r="AA3399" s="178"/>
      <c r="AB3399" s="139"/>
      <c r="AC3399" s="173"/>
      <c r="AD3399" s="177"/>
      <c r="AE3399" s="177"/>
      <c r="AF3399" s="139"/>
      <c r="AG3399" s="139"/>
      <c r="AH3399" s="177"/>
      <c r="AI3399" s="178"/>
      <c r="AJ3399" s="139"/>
      <c r="AK3399" s="173"/>
      <c r="AL3399" s="177"/>
      <c r="AM3399" s="178"/>
      <c r="AN3399" s="173"/>
      <c r="AO3399" s="173"/>
      <c r="AP3399" s="173"/>
      <c r="AQ3399" s="178"/>
      <c r="AR3399" s="173"/>
      <c r="AS3399" s="173"/>
      <c r="AT3399" s="140"/>
      <c r="AX3399" s="140"/>
      <c r="BB3399" s="173"/>
      <c r="BC3399" s="173"/>
    </row>
    <row r="3400" spans="2:55" s="134" customFormat="1" x14ac:dyDescent="0.2">
      <c r="B3400" s="145"/>
      <c r="D3400" s="145"/>
      <c r="Z3400" s="177"/>
      <c r="AA3400" s="178"/>
      <c r="AB3400" s="139"/>
      <c r="AC3400" s="173"/>
      <c r="AD3400" s="177"/>
      <c r="AE3400" s="177"/>
      <c r="AF3400" s="139"/>
      <c r="AG3400" s="139"/>
      <c r="AH3400" s="177"/>
      <c r="AI3400" s="178"/>
      <c r="AJ3400" s="139"/>
      <c r="AK3400" s="173"/>
      <c r="AL3400" s="177"/>
      <c r="AM3400" s="178"/>
      <c r="AN3400" s="173"/>
      <c r="AO3400" s="173"/>
      <c r="AP3400" s="173"/>
      <c r="AQ3400" s="178"/>
      <c r="AR3400" s="173"/>
      <c r="AS3400" s="173"/>
      <c r="AT3400" s="140"/>
      <c r="AX3400" s="140"/>
      <c r="BB3400" s="173"/>
      <c r="BC3400" s="173"/>
    </row>
    <row r="3401" spans="2:55" s="134" customFormat="1" x14ac:dyDescent="0.2">
      <c r="B3401" s="145"/>
      <c r="D3401" s="145"/>
      <c r="Z3401" s="177"/>
      <c r="AA3401" s="178"/>
      <c r="AB3401" s="139"/>
      <c r="AC3401" s="173"/>
      <c r="AD3401" s="177"/>
      <c r="AE3401" s="177"/>
      <c r="AF3401" s="139"/>
      <c r="AG3401" s="139"/>
      <c r="AH3401" s="177"/>
      <c r="AI3401" s="178"/>
      <c r="AJ3401" s="139"/>
      <c r="AK3401" s="173"/>
      <c r="AL3401" s="177"/>
      <c r="AM3401" s="178"/>
      <c r="AN3401" s="173"/>
      <c r="AO3401" s="173"/>
      <c r="AP3401" s="173"/>
      <c r="AQ3401" s="178"/>
      <c r="AR3401" s="173"/>
      <c r="AS3401" s="173"/>
      <c r="AT3401" s="140"/>
      <c r="AX3401" s="140"/>
      <c r="BB3401" s="173"/>
      <c r="BC3401" s="173"/>
    </row>
    <row r="3402" spans="2:55" s="134" customFormat="1" x14ac:dyDescent="0.2">
      <c r="B3402" s="145"/>
      <c r="D3402" s="145"/>
      <c r="Z3402" s="177"/>
      <c r="AA3402" s="178"/>
      <c r="AB3402" s="139"/>
      <c r="AC3402" s="173"/>
      <c r="AD3402" s="177"/>
      <c r="AE3402" s="177"/>
      <c r="AF3402" s="139"/>
      <c r="AG3402" s="139"/>
      <c r="AH3402" s="177"/>
      <c r="AI3402" s="178"/>
      <c r="AJ3402" s="139"/>
      <c r="AK3402" s="173"/>
      <c r="AL3402" s="177"/>
      <c r="AM3402" s="178"/>
      <c r="AN3402" s="173"/>
      <c r="AO3402" s="173"/>
      <c r="AP3402" s="173"/>
      <c r="AQ3402" s="178"/>
      <c r="AR3402" s="173"/>
      <c r="AS3402" s="173"/>
      <c r="AT3402" s="140"/>
      <c r="AX3402" s="140"/>
      <c r="BB3402" s="173"/>
      <c r="BC3402" s="173"/>
    </row>
    <row r="3403" spans="2:55" s="134" customFormat="1" x14ac:dyDescent="0.2">
      <c r="B3403" s="145"/>
      <c r="D3403" s="145"/>
      <c r="Z3403" s="177"/>
      <c r="AA3403" s="178"/>
      <c r="AB3403" s="139"/>
      <c r="AC3403" s="173"/>
      <c r="AD3403" s="177"/>
      <c r="AE3403" s="177"/>
      <c r="AF3403" s="139"/>
      <c r="AG3403" s="139"/>
      <c r="AH3403" s="177"/>
      <c r="AI3403" s="178"/>
      <c r="AJ3403" s="139"/>
      <c r="AK3403" s="173"/>
      <c r="AL3403" s="177"/>
      <c r="AM3403" s="178"/>
      <c r="AN3403" s="173"/>
      <c r="AO3403" s="173"/>
      <c r="AP3403" s="173"/>
      <c r="AQ3403" s="178"/>
      <c r="AR3403" s="173"/>
      <c r="AS3403" s="173"/>
      <c r="AT3403" s="140"/>
      <c r="AX3403" s="140"/>
      <c r="BB3403" s="173"/>
      <c r="BC3403" s="173"/>
    </row>
    <row r="3404" spans="2:55" s="134" customFormat="1" x14ac:dyDescent="0.2">
      <c r="B3404" s="145"/>
      <c r="D3404" s="145"/>
      <c r="Z3404" s="177"/>
      <c r="AA3404" s="178"/>
      <c r="AB3404" s="139"/>
      <c r="AC3404" s="173"/>
      <c r="AD3404" s="177"/>
      <c r="AE3404" s="177"/>
      <c r="AF3404" s="139"/>
      <c r="AG3404" s="139"/>
      <c r="AH3404" s="177"/>
      <c r="AI3404" s="178"/>
      <c r="AJ3404" s="139"/>
      <c r="AK3404" s="173"/>
      <c r="AL3404" s="177"/>
      <c r="AM3404" s="178"/>
      <c r="AN3404" s="173"/>
      <c r="AO3404" s="173"/>
      <c r="AP3404" s="173"/>
      <c r="AQ3404" s="178"/>
      <c r="AR3404" s="173"/>
      <c r="AS3404" s="173"/>
      <c r="AT3404" s="140"/>
      <c r="AX3404" s="140"/>
      <c r="BB3404" s="173"/>
      <c r="BC3404" s="173"/>
    </row>
    <row r="3405" spans="2:55" s="134" customFormat="1" x14ac:dyDescent="0.2">
      <c r="B3405" s="145"/>
      <c r="D3405" s="145"/>
      <c r="Z3405" s="177"/>
      <c r="AA3405" s="178"/>
      <c r="AB3405" s="139"/>
      <c r="AC3405" s="173"/>
      <c r="AD3405" s="177"/>
      <c r="AE3405" s="177"/>
      <c r="AF3405" s="139"/>
      <c r="AG3405" s="139"/>
      <c r="AH3405" s="177"/>
      <c r="AI3405" s="178"/>
      <c r="AJ3405" s="139"/>
      <c r="AK3405" s="173"/>
      <c r="AL3405" s="177"/>
      <c r="AM3405" s="178"/>
      <c r="AN3405" s="173"/>
      <c r="AO3405" s="173"/>
      <c r="AP3405" s="173"/>
      <c r="AQ3405" s="178"/>
      <c r="AR3405" s="173"/>
      <c r="AS3405" s="173"/>
      <c r="AT3405" s="140"/>
      <c r="AX3405" s="140"/>
      <c r="BB3405" s="173"/>
      <c r="BC3405" s="173"/>
    </row>
    <row r="3406" spans="2:55" s="134" customFormat="1" x14ac:dyDescent="0.2">
      <c r="B3406" s="145"/>
      <c r="D3406" s="145"/>
      <c r="Z3406" s="177"/>
      <c r="AA3406" s="178"/>
      <c r="AB3406" s="139"/>
      <c r="AC3406" s="173"/>
      <c r="AD3406" s="177"/>
      <c r="AE3406" s="177"/>
      <c r="AF3406" s="139"/>
      <c r="AG3406" s="139"/>
      <c r="AH3406" s="177"/>
      <c r="AI3406" s="178"/>
      <c r="AJ3406" s="139"/>
      <c r="AK3406" s="173"/>
      <c r="AL3406" s="177"/>
      <c r="AM3406" s="178"/>
      <c r="AN3406" s="173"/>
      <c r="AO3406" s="173"/>
      <c r="AP3406" s="173"/>
      <c r="AQ3406" s="178"/>
      <c r="AR3406" s="173"/>
      <c r="AS3406" s="173"/>
      <c r="AT3406" s="140"/>
      <c r="AX3406" s="140"/>
      <c r="BB3406" s="173"/>
      <c r="BC3406" s="173"/>
    </row>
    <row r="3407" spans="2:55" s="134" customFormat="1" x14ac:dyDescent="0.2">
      <c r="B3407" s="145"/>
      <c r="D3407" s="145"/>
      <c r="Z3407" s="177"/>
      <c r="AA3407" s="178"/>
      <c r="AB3407" s="139"/>
      <c r="AC3407" s="173"/>
      <c r="AD3407" s="177"/>
      <c r="AE3407" s="177"/>
      <c r="AF3407" s="139"/>
      <c r="AG3407" s="139"/>
      <c r="AH3407" s="177"/>
      <c r="AI3407" s="178"/>
      <c r="AJ3407" s="139"/>
      <c r="AK3407" s="173"/>
      <c r="AL3407" s="177"/>
      <c r="AM3407" s="178"/>
      <c r="AN3407" s="173"/>
      <c r="AO3407" s="173"/>
      <c r="AP3407" s="173"/>
      <c r="AQ3407" s="178"/>
      <c r="AR3407" s="173"/>
      <c r="AS3407" s="173"/>
      <c r="AT3407" s="140"/>
      <c r="AX3407" s="140"/>
      <c r="BB3407" s="173"/>
      <c r="BC3407" s="173"/>
    </row>
    <row r="3408" spans="2:55" s="134" customFormat="1" x14ac:dyDescent="0.2">
      <c r="B3408" s="145"/>
      <c r="D3408" s="145"/>
      <c r="Z3408" s="177"/>
      <c r="AA3408" s="178"/>
      <c r="AB3408" s="139"/>
      <c r="AC3408" s="173"/>
      <c r="AD3408" s="177"/>
      <c r="AE3408" s="177"/>
      <c r="AF3408" s="139"/>
      <c r="AG3408" s="139"/>
      <c r="AH3408" s="177"/>
      <c r="AI3408" s="178"/>
      <c r="AJ3408" s="139"/>
      <c r="AK3408" s="173"/>
      <c r="AL3408" s="177"/>
      <c r="AM3408" s="178"/>
      <c r="AN3408" s="173"/>
      <c r="AO3408" s="173"/>
      <c r="AP3408" s="173"/>
      <c r="AQ3408" s="178"/>
      <c r="AR3408" s="173"/>
      <c r="AS3408" s="173"/>
      <c r="AT3408" s="140"/>
      <c r="AX3408" s="140"/>
      <c r="BB3408" s="173"/>
      <c r="BC3408" s="173"/>
    </row>
    <row r="3409" spans="2:55" s="134" customFormat="1" x14ac:dyDescent="0.2">
      <c r="B3409" s="145"/>
      <c r="D3409" s="145"/>
      <c r="Z3409" s="177"/>
      <c r="AA3409" s="178"/>
      <c r="AB3409" s="139"/>
      <c r="AC3409" s="173"/>
      <c r="AD3409" s="177"/>
      <c r="AE3409" s="177"/>
      <c r="AF3409" s="139"/>
      <c r="AG3409" s="139"/>
      <c r="AH3409" s="177"/>
      <c r="AI3409" s="178"/>
      <c r="AJ3409" s="139"/>
      <c r="AK3409" s="173"/>
      <c r="AL3409" s="177"/>
      <c r="AM3409" s="178"/>
      <c r="AN3409" s="173"/>
      <c r="AO3409" s="173"/>
      <c r="AP3409" s="173"/>
      <c r="AQ3409" s="178"/>
      <c r="AR3409" s="173"/>
      <c r="AS3409" s="173"/>
      <c r="AT3409" s="140"/>
      <c r="AX3409" s="140"/>
      <c r="BB3409" s="173"/>
      <c r="BC3409" s="173"/>
    </row>
    <row r="3410" spans="2:55" s="134" customFormat="1" x14ac:dyDescent="0.2">
      <c r="B3410" s="145"/>
      <c r="D3410" s="145"/>
      <c r="Z3410" s="177"/>
      <c r="AA3410" s="178"/>
      <c r="AB3410" s="139"/>
      <c r="AC3410" s="173"/>
      <c r="AD3410" s="177"/>
      <c r="AE3410" s="177"/>
      <c r="AF3410" s="139"/>
      <c r="AG3410" s="139"/>
      <c r="AH3410" s="177"/>
      <c r="AI3410" s="178"/>
      <c r="AJ3410" s="139"/>
      <c r="AK3410" s="173"/>
      <c r="AL3410" s="177"/>
      <c r="AM3410" s="178"/>
      <c r="AN3410" s="173"/>
      <c r="AO3410" s="173"/>
      <c r="AP3410" s="173"/>
      <c r="AQ3410" s="178"/>
      <c r="AR3410" s="173"/>
      <c r="AS3410" s="173"/>
      <c r="AT3410" s="140"/>
      <c r="AX3410" s="140"/>
      <c r="BB3410" s="173"/>
      <c r="BC3410" s="173"/>
    </row>
    <row r="3411" spans="2:55" s="134" customFormat="1" x14ac:dyDescent="0.2">
      <c r="B3411" s="145"/>
      <c r="D3411" s="145"/>
      <c r="Z3411" s="177"/>
      <c r="AA3411" s="178"/>
      <c r="AB3411" s="139"/>
      <c r="AC3411" s="173"/>
      <c r="AD3411" s="177"/>
      <c r="AE3411" s="177"/>
      <c r="AF3411" s="139"/>
      <c r="AG3411" s="139"/>
      <c r="AH3411" s="177"/>
      <c r="AI3411" s="178"/>
      <c r="AJ3411" s="139"/>
      <c r="AK3411" s="173"/>
      <c r="AL3411" s="177"/>
      <c r="AM3411" s="178"/>
      <c r="AN3411" s="173"/>
      <c r="AO3411" s="173"/>
      <c r="AP3411" s="173"/>
      <c r="AQ3411" s="178"/>
      <c r="AR3411" s="173"/>
      <c r="AS3411" s="173"/>
      <c r="AT3411" s="140"/>
      <c r="AX3411" s="140"/>
      <c r="BB3411" s="173"/>
      <c r="BC3411" s="173"/>
    </row>
    <row r="3412" spans="2:55" s="134" customFormat="1" x14ac:dyDescent="0.2">
      <c r="B3412" s="145"/>
      <c r="D3412" s="145"/>
      <c r="Z3412" s="177"/>
      <c r="AA3412" s="178"/>
      <c r="AB3412" s="139"/>
      <c r="AC3412" s="173"/>
      <c r="AD3412" s="177"/>
      <c r="AE3412" s="177"/>
      <c r="AF3412" s="139"/>
      <c r="AG3412" s="139"/>
      <c r="AH3412" s="177"/>
      <c r="AI3412" s="178"/>
      <c r="AJ3412" s="139"/>
      <c r="AK3412" s="173"/>
      <c r="AL3412" s="177"/>
      <c r="AM3412" s="178"/>
      <c r="AN3412" s="173"/>
      <c r="AO3412" s="173"/>
      <c r="AP3412" s="173"/>
      <c r="AQ3412" s="178"/>
      <c r="AR3412" s="173"/>
      <c r="AS3412" s="173"/>
      <c r="AT3412" s="140"/>
      <c r="AX3412" s="140"/>
      <c r="BB3412" s="173"/>
      <c r="BC3412" s="173"/>
    </row>
    <row r="3413" spans="2:55" s="134" customFormat="1" x14ac:dyDescent="0.2">
      <c r="B3413" s="145"/>
      <c r="D3413" s="145"/>
      <c r="Z3413" s="177"/>
      <c r="AA3413" s="178"/>
      <c r="AB3413" s="139"/>
      <c r="AC3413" s="173"/>
      <c r="AD3413" s="177"/>
      <c r="AE3413" s="177"/>
      <c r="AF3413" s="139"/>
      <c r="AG3413" s="139"/>
      <c r="AH3413" s="177"/>
      <c r="AI3413" s="178"/>
      <c r="AJ3413" s="139"/>
      <c r="AK3413" s="173"/>
      <c r="AL3413" s="177"/>
      <c r="AM3413" s="178"/>
      <c r="AN3413" s="173"/>
      <c r="AO3413" s="173"/>
      <c r="AP3413" s="173"/>
      <c r="AQ3413" s="178"/>
      <c r="AR3413" s="173"/>
      <c r="AS3413" s="173"/>
      <c r="AT3413" s="140"/>
      <c r="AX3413" s="140"/>
      <c r="BB3413" s="173"/>
      <c r="BC3413" s="173"/>
    </row>
    <row r="3414" spans="2:55" s="134" customFormat="1" x14ac:dyDescent="0.2">
      <c r="B3414" s="145"/>
      <c r="D3414" s="145"/>
      <c r="Z3414" s="177"/>
      <c r="AA3414" s="178"/>
      <c r="AB3414" s="139"/>
      <c r="AC3414" s="173"/>
      <c r="AD3414" s="177"/>
      <c r="AE3414" s="177"/>
      <c r="AF3414" s="139"/>
      <c r="AG3414" s="139"/>
      <c r="AH3414" s="177"/>
      <c r="AI3414" s="178"/>
      <c r="AJ3414" s="139"/>
      <c r="AK3414" s="173"/>
      <c r="AL3414" s="177"/>
      <c r="AM3414" s="178"/>
      <c r="AN3414" s="173"/>
      <c r="AO3414" s="173"/>
      <c r="AP3414" s="173"/>
      <c r="AQ3414" s="178"/>
      <c r="AR3414" s="173"/>
      <c r="AS3414" s="173"/>
      <c r="AT3414" s="140"/>
      <c r="AX3414" s="140"/>
      <c r="BB3414" s="173"/>
      <c r="BC3414" s="173"/>
    </row>
    <row r="3415" spans="2:55" s="134" customFormat="1" x14ac:dyDescent="0.2">
      <c r="B3415" s="145"/>
      <c r="D3415" s="145"/>
      <c r="Z3415" s="177"/>
      <c r="AA3415" s="178"/>
      <c r="AB3415" s="139"/>
      <c r="AC3415" s="173"/>
      <c r="AD3415" s="177"/>
      <c r="AE3415" s="177"/>
      <c r="AF3415" s="139"/>
      <c r="AG3415" s="139"/>
      <c r="AH3415" s="177"/>
      <c r="AI3415" s="178"/>
      <c r="AJ3415" s="139"/>
      <c r="AK3415" s="173"/>
      <c r="AL3415" s="177"/>
      <c r="AM3415" s="178"/>
      <c r="AN3415" s="173"/>
      <c r="AO3415" s="173"/>
      <c r="AP3415" s="173"/>
      <c r="AQ3415" s="178"/>
      <c r="AR3415" s="173"/>
      <c r="AS3415" s="173"/>
      <c r="AT3415" s="140"/>
      <c r="AX3415" s="140"/>
      <c r="BB3415" s="173"/>
      <c r="BC3415" s="173"/>
    </row>
    <row r="3416" spans="2:55" s="134" customFormat="1" x14ac:dyDescent="0.2">
      <c r="B3416" s="145"/>
      <c r="D3416" s="145"/>
      <c r="Z3416" s="177"/>
      <c r="AA3416" s="178"/>
      <c r="AB3416" s="139"/>
      <c r="AC3416" s="173"/>
      <c r="AD3416" s="177"/>
      <c r="AE3416" s="177"/>
      <c r="AF3416" s="139"/>
      <c r="AG3416" s="139"/>
      <c r="AH3416" s="177"/>
      <c r="AI3416" s="178"/>
      <c r="AJ3416" s="139"/>
      <c r="AK3416" s="173"/>
      <c r="AL3416" s="177"/>
      <c r="AM3416" s="178"/>
      <c r="AN3416" s="173"/>
      <c r="AO3416" s="173"/>
      <c r="AP3416" s="173"/>
      <c r="AQ3416" s="178"/>
      <c r="AR3416" s="173"/>
      <c r="AS3416" s="173"/>
      <c r="AT3416" s="140"/>
      <c r="AX3416" s="140"/>
      <c r="BB3416" s="173"/>
      <c r="BC3416" s="173"/>
    </row>
    <row r="3417" spans="2:55" s="134" customFormat="1" x14ac:dyDescent="0.2">
      <c r="B3417" s="145"/>
      <c r="D3417" s="145"/>
      <c r="Z3417" s="177"/>
      <c r="AA3417" s="178"/>
      <c r="AB3417" s="139"/>
      <c r="AC3417" s="173"/>
      <c r="AD3417" s="177"/>
      <c r="AE3417" s="177"/>
      <c r="AF3417" s="139"/>
      <c r="AG3417" s="139"/>
      <c r="AH3417" s="177"/>
      <c r="AI3417" s="178"/>
      <c r="AJ3417" s="139"/>
      <c r="AK3417" s="173"/>
      <c r="AL3417" s="177"/>
      <c r="AM3417" s="178"/>
      <c r="AN3417" s="173"/>
      <c r="AO3417" s="173"/>
      <c r="AP3417" s="173"/>
      <c r="AQ3417" s="178"/>
      <c r="AR3417" s="173"/>
      <c r="AS3417" s="173"/>
      <c r="AT3417" s="140"/>
      <c r="AX3417" s="140"/>
      <c r="BB3417" s="173"/>
      <c r="BC3417" s="173"/>
    </row>
    <row r="3418" spans="2:55" s="134" customFormat="1" x14ac:dyDescent="0.2">
      <c r="B3418" s="145"/>
      <c r="D3418" s="145"/>
      <c r="Z3418" s="177"/>
      <c r="AA3418" s="178"/>
      <c r="AB3418" s="139"/>
      <c r="AC3418" s="173"/>
      <c r="AD3418" s="177"/>
      <c r="AE3418" s="177"/>
      <c r="AF3418" s="139"/>
      <c r="AG3418" s="139"/>
      <c r="AH3418" s="177"/>
      <c r="AI3418" s="178"/>
      <c r="AJ3418" s="139"/>
      <c r="AK3418" s="173"/>
      <c r="AL3418" s="177"/>
      <c r="AM3418" s="178"/>
      <c r="AN3418" s="173"/>
      <c r="AO3418" s="173"/>
      <c r="AP3418" s="173"/>
      <c r="AQ3418" s="178"/>
      <c r="AR3418" s="173"/>
      <c r="AS3418" s="173"/>
      <c r="AT3418" s="140"/>
      <c r="AX3418" s="140"/>
      <c r="BB3418" s="173"/>
      <c r="BC3418" s="173"/>
    </row>
    <row r="3419" spans="2:55" s="134" customFormat="1" x14ac:dyDescent="0.2">
      <c r="B3419" s="145"/>
      <c r="D3419" s="145"/>
      <c r="Z3419" s="177"/>
      <c r="AA3419" s="178"/>
      <c r="AB3419" s="139"/>
      <c r="AC3419" s="173"/>
      <c r="AD3419" s="177"/>
      <c r="AE3419" s="177"/>
      <c r="AF3419" s="139"/>
      <c r="AG3419" s="139"/>
      <c r="AH3419" s="177"/>
      <c r="AI3419" s="178"/>
      <c r="AJ3419" s="139"/>
      <c r="AK3419" s="173"/>
      <c r="AL3419" s="177"/>
      <c r="AM3419" s="178"/>
      <c r="AN3419" s="173"/>
      <c r="AO3419" s="173"/>
      <c r="AP3419" s="173"/>
      <c r="AQ3419" s="178"/>
      <c r="AR3419" s="173"/>
      <c r="AS3419" s="173"/>
      <c r="AT3419" s="140"/>
      <c r="AX3419" s="140"/>
      <c r="BB3419" s="173"/>
      <c r="BC3419" s="173"/>
    </row>
    <row r="3420" spans="2:55" s="134" customFormat="1" x14ac:dyDescent="0.2">
      <c r="B3420" s="145"/>
      <c r="D3420" s="145"/>
      <c r="Z3420" s="177"/>
      <c r="AA3420" s="178"/>
      <c r="AB3420" s="139"/>
      <c r="AC3420" s="173"/>
      <c r="AD3420" s="177"/>
      <c r="AE3420" s="177"/>
      <c r="AF3420" s="139"/>
      <c r="AG3420" s="139"/>
      <c r="AH3420" s="177"/>
      <c r="AI3420" s="178"/>
      <c r="AJ3420" s="139"/>
      <c r="AK3420" s="173"/>
      <c r="AL3420" s="177"/>
      <c r="AM3420" s="178"/>
      <c r="AN3420" s="173"/>
      <c r="AO3420" s="173"/>
      <c r="AP3420" s="173"/>
      <c r="AQ3420" s="178"/>
      <c r="AR3420" s="173"/>
      <c r="AS3420" s="173"/>
      <c r="AT3420" s="140"/>
      <c r="AX3420" s="140"/>
      <c r="BB3420" s="173"/>
      <c r="BC3420" s="173"/>
    </row>
    <row r="3421" spans="2:55" s="134" customFormat="1" x14ac:dyDescent="0.2">
      <c r="B3421" s="145"/>
      <c r="D3421" s="145"/>
      <c r="Z3421" s="177"/>
      <c r="AA3421" s="178"/>
      <c r="AB3421" s="139"/>
      <c r="AC3421" s="173"/>
      <c r="AD3421" s="177"/>
      <c r="AE3421" s="177"/>
      <c r="AF3421" s="139"/>
      <c r="AG3421" s="139"/>
      <c r="AH3421" s="177"/>
      <c r="AI3421" s="178"/>
      <c r="AJ3421" s="139"/>
      <c r="AK3421" s="173"/>
      <c r="AL3421" s="177"/>
      <c r="AM3421" s="178"/>
      <c r="AN3421" s="173"/>
      <c r="AO3421" s="173"/>
      <c r="AP3421" s="173"/>
      <c r="AQ3421" s="178"/>
      <c r="AR3421" s="173"/>
      <c r="AS3421" s="173"/>
      <c r="AT3421" s="140"/>
      <c r="AX3421" s="140"/>
      <c r="BB3421" s="173"/>
      <c r="BC3421" s="173"/>
    </row>
    <row r="3422" spans="2:55" s="134" customFormat="1" x14ac:dyDescent="0.2">
      <c r="B3422" s="145"/>
      <c r="D3422" s="145"/>
      <c r="Z3422" s="177"/>
      <c r="AA3422" s="178"/>
      <c r="AB3422" s="139"/>
      <c r="AC3422" s="173"/>
      <c r="AD3422" s="177"/>
      <c r="AE3422" s="177"/>
      <c r="AF3422" s="139"/>
      <c r="AG3422" s="139"/>
      <c r="AH3422" s="177"/>
      <c r="AI3422" s="178"/>
      <c r="AJ3422" s="139"/>
      <c r="AK3422" s="173"/>
      <c r="AL3422" s="177"/>
      <c r="AM3422" s="178"/>
      <c r="AN3422" s="173"/>
      <c r="AO3422" s="173"/>
      <c r="AP3422" s="173"/>
      <c r="AQ3422" s="178"/>
      <c r="AR3422" s="173"/>
      <c r="AS3422" s="173"/>
      <c r="AT3422" s="140"/>
      <c r="AX3422" s="140"/>
      <c r="BB3422" s="173"/>
      <c r="BC3422" s="173"/>
    </row>
    <row r="3423" spans="2:55" s="134" customFormat="1" x14ac:dyDescent="0.2">
      <c r="B3423" s="145"/>
      <c r="D3423" s="145"/>
      <c r="Z3423" s="177"/>
      <c r="AA3423" s="178"/>
      <c r="AB3423" s="139"/>
      <c r="AC3423" s="173"/>
      <c r="AD3423" s="177"/>
      <c r="AE3423" s="177"/>
      <c r="AF3423" s="139"/>
      <c r="AG3423" s="139"/>
      <c r="AH3423" s="177"/>
      <c r="AI3423" s="178"/>
      <c r="AJ3423" s="139"/>
      <c r="AK3423" s="173"/>
      <c r="AL3423" s="177"/>
      <c r="AM3423" s="178"/>
      <c r="AN3423" s="173"/>
      <c r="AO3423" s="173"/>
      <c r="AP3423" s="173"/>
      <c r="AQ3423" s="178"/>
      <c r="AR3423" s="173"/>
      <c r="AS3423" s="173"/>
      <c r="AT3423" s="140"/>
      <c r="AX3423" s="140"/>
      <c r="BB3423" s="173"/>
      <c r="BC3423" s="173"/>
    </row>
    <row r="3424" spans="2:55" s="134" customFormat="1" x14ac:dyDescent="0.2">
      <c r="B3424" s="145"/>
      <c r="D3424" s="145"/>
      <c r="Z3424" s="177"/>
      <c r="AA3424" s="178"/>
      <c r="AB3424" s="139"/>
      <c r="AC3424" s="173"/>
      <c r="AD3424" s="177"/>
      <c r="AE3424" s="177"/>
      <c r="AF3424" s="139"/>
      <c r="AG3424" s="139"/>
      <c r="AH3424" s="177"/>
      <c r="AI3424" s="178"/>
      <c r="AJ3424" s="139"/>
      <c r="AK3424" s="173"/>
      <c r="AL3424" s="177"/>
      <c r="AM3424" s="178"/>
      <c r="AN3424" s="173"/>
      <c r="AO3424" s="173"/>
      <c r="AP3424" s="173"/>
      <c r="AQ3424" s="178"/>
      <c r="AR3424" s="173"/>
      <c r="AS3424" s="173"/>
      <c r="AT3424" s="140"/>
      <c r="AX3424" s="140"/>
      <c r="BB3424" s="173"/>
      <c r="BC3424" s="173"/>
    </row>
    <row r="3425" spans="2:55" s="134" customFormat="1" x14ac:dyDescent="0.2">
      <c r="B3425" s="145"/>
      <c r="D3425" s="145"/>
      <c r="Z3425" s="177"/>
      <c r="AA3425" s="178"/>
      <c r="AB3425" s="139"/>
      <c r="AC3425" s="173"/>
      <c r="AD3425" s="177"/>
      <c r="AE3425" s="177"/>
      <c r="AF3425" s="139"/>
      <c r="AG3425" s="139"/>
      <c r="AH3425" s="177"/>
      <c r="AI3425" s="178"/>
      <c r="AJ3425" s="139"/>
      <c r="AK3425" s="173"/>
      <c r="AL3425" s="177"/>
      <c r="AM3425" s="178"/>
      <c r="AN3425" s="173"/>
      <c r="AO3425" s="173"/>
      <c r="AP3425" s="173"/>
      <c r="AQ3425" s="178"/>
      <c r="AR3425" s="173"/>
      <c r="AS3425" s="173"/>
      <c r="AT3425" s="140"/>
      <c r="AX3425" s="140"/>
      <c r="BB3425" s="173"/>
      <c r="BC3425" s="173"/>
    </row>
    <row r="3426" spans="2:55" s="134" customFormat="1" x14ac:dyDescent="0.2">
      <c r="B3426" s="145"/>
      <c r="D3426" s="145"/>
      <c r="Z3426" s="177"/>
      <c r="AA3426" s="178"/>
      <c r="AB3426" s="139"/>
      <c r="AC3426" s="173"/>
      <c r="AD3426" s="177"/>
      <c r="AE3426" s="177"/>
      <c r="AF3426" s="139"/>
      <c r="AG3426" s="139"/>
      <c r="AH3426" s="177"/>
      <c r="AI3426" s="178"/>
      <c r="AJ3426" s="139"/>
      <c r="AK3426" s="173"/>
      <c r="AL3426" s="177"/>
      <c r="AM3426" s="178"/>
      <c r="AN3426" s="173"/>
      <c r="AO3426" s="173"/>
      <c r="AP3426" s="173"/>
      <c r="AQ3426" s="178"/>
      <c r="AR3426" s="173"/>
      <c r="AS3426" s="173"/>
      <c r="AT3426" s="140"/>
      <c r="AX3426" s="140"/>
      <c r="BB3426" s="173"/>
      <c r="BC3426" s="173"/>
    </row>
    <row r="3427" spans="2:55" s="134" customFormat="1" x14ac:dyDescent="0.2">
      <c r="B3427" s="145"/>
      <c r="D3427" s="145"/>
      <c r="Z3427" s="177"/>
      <c r="AA3427" s="178"/>
      <c r="AB3427" s="139"/>
      <c r="AC3427" s="173"/>
      <c r="AD3427" s="177"/>
      <c r="AE3427" s="177"/>
      <c r="AF3427" s="139"/>
      <c r="AG3427" s="139"/>
      <c r="AH3427" s="177"/>
      <c r="AI3427" s="178"/>
      <c r="AJ3427" s="139"/>
      <c r="AK3427" s="173"/>
      <c r="AL3427" s="177"/>
      <c r="AM3427" s="178"/>
      <c r="AN3427" s="173"/>
      <c r="AO3427" s="173"/>
      <c r="AP3427" s="173"/>
      <c r="AQ3427" s="178"/>
      <c r="AR3427" s="173"/>
      <c r="AS3427" s="173"/>
      <c r="AT3427" s="140"/>
      <c r="AX3427" s="140"/>
      <c r="BB3427" s="173"/>
      <c r="BC3427" s="173"/>
    </row>
    <row r="3428" spans="2:55" s="134" customFormat="1" x14ac:dyDescent="0.2">
      <c r="B3428" s="145"/>
      <c r="D3428" s="145"/>
      <c r="Z3428" s="177"/>
      <c r="AA3428" s="178"/>
      <c r="AB3428" s="139"/>
      <c r="AC3428" s="173"/>
      <c r="AD3428" s="177"/>
      <c r="AE3428" s="177"/>
      <c r="AF3428" s="139"/>
      <c r="AG3428" s="139"/>
      <c r="AH3428" s="177"/>
      <c r="AI3428" s="178"/>
      <c r="AJ3428" s="139"/>
      <c r="AK3428" s="173"/>
      <c r="AL3428" s="177"/>
      <c r="AM3428" s="178"/>
      <c r="AN3428" s="173"/>
      <c r="AO3428" s="173"/>
      <c r="AP3428" s="173"/>
      <c r="AQ3428" s="178"/>
      <c r="AR3428" s="173"/>
      <c r="AS3428" s="173"/>
      <c r="AT3428" s="140"/>
      <c r="AX3428" s="140"/>
      <c r="BB3428" s="173"/>
      <c r="BC3428" s="173"/>
    </row>
    <row r="3429" spans="2:55" s="134" customFormat="1" x14ac:dyDescent="0.2">
      <c r="B3429" s="145"/>
      <c r="D3429" s="145"/>
      <c r="Z3429" s="177"/>
      <c r="AA3429" s="178"/>
      <c r="AB3429" s="139"/>
      <c r="AC3429" s="173"/>
      <c r="AD3429" s="177"/>
      <c r="AE3429" s="177"/>
      <c r="AF3429" s="139"/>
      <c r="AG3429" s="139"/>
      <c r="AH3429" s="177"/>
      <c r="AI3429" s="178"/>
      <c r="AJ3429" s="139"/>
      <c r="AK3429" s="173"/>
      <c r="AL3429" s="177"/>
      <c r="AM3429" s="178"/>
      <c r="AN3429" s="173"/>
      <c r="AO3429" s="173"/>
      <c r="AP3429" s="173"/>
      <c r="AQ3429" s="178"/>
      <c r="AR3429" s="173"/>
      <c r="AS3429" s="173"/>
      <c r="AT3429" s="140"/>
      <c r="AX3429" s="140"/>
      <c r="BB3429" s="173"/>
      <c r="BC3429" s="173"/>
    </row>
    <row r="3430" spans="2:55" s="134" customFormat="1" x14ac:dyDescent="0.2">
      <c r="B3430" s="145"/>
      <c r="D3430" s="145"/>
      <c r="Z3430" s="177"/>
      <c r="AA3430" s="178"/>
      <c r="AB3430" s="139"/>
      <c r="AC3430" s="173"/>
      <c r="AD3430" s="177"/>
      <c r="AE3430" s="177"/>
      <c r="AF3430" s="139"/>
      <c r="AG3430" s="139"/>
      <c r="AH3430" s="177"/>
      <c r="AI3430" s="178"/>
      <c r="AJ3430" s="139"/>
      <c r="AK3430" s="173"/>
      <c r="AL3430" s="177"/>
      <c r="AM3430" s="178"/>
      <c r="AN3430" s="173"/>
      <c r="AO3430" s="173"/>
      <c r="AP3430" s="173"/>
      <c r="AQ3430" s="178"/>
      <c r="AR3430" s="173"/>
      <c r="AS3430" s="173"/>
      <c r="AT3430" s="140"/>
      <c r="AX3430" s="140"/>
      <c r="BB3430" s="173"/>
      <c r="BC3430" s="173"/>
    </row>
    <row r="3431" spans="2:55" s="134" customFormat="1" x14ac:dyDescent="0.2">
      <c r="B3431" s="145"/>
      <c r="D3431" s="145"/>
      <c r="Z3431" s="177"/>
      <c r="AA3431" s="178"/>
      <c r="AB3431" s="139"/>
      <c r="AC3431" s="173"/>
      <c r="AD3431" s="177"/>
      <c r="AE3431" s="177"/>
      <c r="AF3431" s="139"/>
      <c r="AG3431" s="139"/>
      <c r="AH3431" s="177"/>
      <c r="AI3431" s="178"/>
      <c r="AJ3431" s="139"/>
      <c r="AK3431" s="173"/>
      <c r="AL3431" s="177"/>
      <c r="AM3431" s="178"/>
      <c r="AN3431" s="173"/>
      <c r="AO3431" s="173"/>
      <c r="AP3431" s="173"/>
      <c r="AQ3431" s="178"/>
      <c r="AR3431" s="173"/>
      <c r="AS3431" s="173"/>
      <c r="AT3431" s="140"/>
      <c r="AX3431" s="140"/>
      <c r="BB3431" s="173"/>
      <c r="BC3431" s="173"/>
    </row>
    <row r="3432" spans="2:55" s="134" customFormat="1" x14ac:dyDescent="0.2">
      <c r="B3432" s="145"/>
      <c r="D3432" s="145"/>
      <c r="Z3432" s="177"/>
      <c r="AA3432" s="178"/>
      <c r="AB3432" s="139"/>
      <c r="AC3432" s="173"/>
      <c r="AD3432" s="177"/>
      <c r="AE3432" s="177"/>
      <c r="AF3432" s="139"/>
      <c r="AG3432" s="139"/>
      <c r="AH3432" s="177"/>
      <c r="AI3432" s="178"/>
      <c r="AJ3432" s="139"/>
      <c r="AK3432" s="173"/>
      <c r="AL3432" s="177"/>
      <c r="AM3432" s="178"/>
      <c r="AN3432" s="173"/>
      <c r="AO3432" s="173"/>
      <c r="AP3432" s="173"/>
      <c r="AQ3432" s="178"/>
      <c r="AR3432" s="173"/>
      <c r="AS3432" s="173"/>
      <c r="AT3432" s="140"/>
      <c r="AX3432" s="140"/>
      <c r="BB3432" s="173"/>
      <c r="BC3432" s="173"/>
    </row>
    <row r="3433" spans="2:55" s="134" customFormat="1" x14ac:dyDescent="0.2">
      <c r="B3433" s="145"/>
      <c r="D3433" s="145"/>
      <c r="Z3433" s="177"/>
      <c r="AA3433" s="178"/>
      <c r="AB3433" s="139"/>
      <c r="AC3433" s="173"/>
      <c r="AD3433" s="177"/>
      <c r="AE3433" s="177"/>
      <c r="AF3433" s="139"/>
      <c r="AG3433" s="139"/>
      <c r="AH3433" s="177"/>
      <c r="AI3433" s="178"/>
      <c r="AJ3433" s="139"/>
      <c r="AK3433" s="173"/>
      <c r="AL3433" s="177"/>
      <c r="AM3433" s="178"/>
      <c r="AN3433" s="173"/>
      <c r="AO3433" s="173"/>
      <c r="AP3433" s="173"/>
      <c r="AQ3433" s="178"/>
      <c r="AR3433" s="173"/>
      <c r="AS3433" s="173"/>
      <c r="AT3433" s="140"/>
      <c r="AX3433" s="140"/>
      <c r="BB3433" s="173"/>
      <c r="BC3433" s="173"/>
    </row>
    <row r="3434" spans="2:55" s="134" customFormat="1" x14ac:dyDescent="0.2">
      <c r="B3434" s="145"/>
      <c r="D3434" s="145"/>
      <c r="Z3434" s="177"/>
      <c r="AA3434" s="178"/>
      <c r="AB3434" s="139"/>
      <c r="AC3434" s="173"/>
      <c r="AD3434" s="177"/>
      <c r="AE3434" s="177"/>
      <c r="AF3434" s="139"/>
      <c r="AG3434" s="139"/>
      <c r="AH3434" s="177"/>
      <c r="AI3434" s="178"/>
      <c r="AJ3434" s="139"/>
      <c r="AK3434" s="173"/>
      <c r="AL3434" s="177"/>
      <c r="AM3434" s="178"/>
      <c r="AN3434" s="173"/>
      <c r="AO3434" s="173"/>
      <c r="AP3434" s="173"/>
      <c r="AQ3434" s="178"/>
      <c r="AR3434" s="173"/>
      <c r="AS3434" s="173"/>
      <c r="AT3434" s="140"/>
      <c r="AX3434" s="140"/>
      <c r="BB3434" s="173"/>
      <c r="BC3434" s="173"/>
    </row>
    <row r="3435" spans="2:55" s="134" customFormat="1" x14ac:dyDescent="0.2">
      <c r="B3435" s="145"/>
      <c r="D3435" s="145"/>
      <c r="Z3435" s="177"/>
      <c r="AA3435" s="178"/>
      <c r="AB3435" s="139"/>
      <c r="AC3435" s="173"/>
      <c r="AD3435" s="177"/>
      <c r="AE3435" s="177"/>
      <c r="AF3435" s="139"/>
      <c r="AG3435" s="139"/>
      <c r="AH3435" s="177"/>
      <c r="AI3435" s="178"/>
      <c r="AJ3435" s="139"/>
      <c r="AK3435" s="173"/>
      <c r="AL3435" s="177"/>
      <c r="AM3435" s="178"/>
      <c r="AN3435" s="173"/>
      <c r="AO3435" s="173"/>
      <c r="AP3435" s="173"/>
      <c r="AQ3435" s="178"/>
      <c r="AR3435" s="173"/>
      <c r="AS3435" s="173"/>
      <c r="AT3435" s="140"/>
      <c r="AX3435" s="140"/>
      <c r="BB3435" s="173"/>
      <c r="BC3435" s="173"/>
    </row>
    <row r="3436" spans="2:55" s="134" customFormat="1" x14ac:dyDescent="0.2">
      <c r="B3436" s="145"/>
      <c r="D3436" s="145"/>
      <c r="Z3436" s="177"/>
      <c r="AA3436" s="178"/>
      <c r="AB3436" s="139"/>
      <c r="AC3436" s="173"/>
      <c r="AD3436" s="177"/>
      <c r="AE3436" s="177"/>
      <c r="AF3436" s="139"/>
      <c r="AG3436" s="139"/>
      <c r="AH3436" s="177"/>
      <c r="AI3436" s="178"/>
      <c r="AJ3436" s="139"/>
      <c r="AK3436" s="173"/>
      <c r="AL3436" s="177"/>
      <c r="AM3436" s="178"/>
      <c r="AN3436" s="173"/>
      <c r="AO3436" s="173"/>
      <c r="AP3436" s="173"/>
      <c r="AQ3436" s="178"/>
      <c r="AR3436" s="173"/>
      <c r="AS3436" s="173"/>
      <c r="AT3436" s="140"/>
      <c r="AX3436" s="140"/>
      <c r="BB3436" s="173"/>
      <c r="BC3436" s="173"/>
    </row>
    <row r="3437" spans="2:55" s="134" customFormat="1" x14ac:dyDescent="0.2">
      <c r="B3437" s="145"/>
      <c r="D3437" s="145"/>
      <c r="Z3437" s="177"/>
      <c r="AA3437" s="178"/>
      <c r="AB3437" s="139"/>
      <c r="AC3437" s="173"/>
      <c r="AD3437" s="177"/>
      <c r="AE3437" s="177"/>
      <c r="AF3437" s="139"/>
      <c r="AG3437" s="139"/>
      <c r="AH3437" s="177"/>
      <c r="AI3437" s="178"/>
      <c r="AJ3437" s="139"/>
      <c r="AK3437" s="173"/>
      <c r="AL3437" s="177"/>
      <c r="AM3437" s="178"/>
      <c r="AN3437" s="173"/>
      <c r="AO3437" s="173"/>
      <c r="AP3437" s="173"/>
      <c r="AQ3437" s="178"/>
      <c r="AR3437" s="173"/>
      <c r="AS3437" s="173"/>
      <c r="AT3437" s="140"/>
      <c r="AX3437" s="140"/>
      <c r="BB3437" s="173"/>
      <c r="BC3437" s="173"/>
    </row>
    <row r="3438" spans="2:55" s="134" customFormat="1" x14ac:dyDescent="0.2">
      <c r="B3438" s="145"/>
      <c r="D3438" s="145"/>
      <c r="Z3438" s="177"/>
      <c r="AA3438" s="178"/>
      <c r="AB3438" s="139"/>
      <c r="AC3438" s="173"/>
      <c r="AD3438" s="177"/>
      <c r="AE3438" s="177"/>
      <c r="AF3438" s="139"/>
      <c r="AG3438" s="139"/>
      <c r="AH3438" s="177"/>
      <c r="AI3438" s="178"/>
      <c r="AJ3438" s="139"/>
      <c r="AK3438" s="173"/>
      <c r="AL3438" s="177"/>
      <c r="AM3438" s="178"/>
      <c r="AN3438" s="173"/>
      <c r="AO3438" s="173"/>
      <c r="AP3438" s="173"/>
      <c r="AQ3438" s="178"/>
      <c r="AR3438" s="173"/>
      <c r="AS3438" s="173"/>
      <c r="AT3438" s="140"/>
      <c r="AX3438" s="140"/>
      <c r="BB3438" s="173"/>
      <c r="BC3438" s="173"/>
    </row>
    <row r="3439" spans="2:55" s="134" customFormat="1" x14ac:dyDescent="0.2">
      <c r="B3439" s="145"/>
      <c r="D3439" s="145"/>
      <c r="Z3439" s="177"/>
      <c r="AA3439" s="178"/>
      <c r="AB3439" s="139"/>
      <c r="AC3439" s="173"/>
      <c r="AD3439" s="177"/>
      <c r="AE3439" s="177"/>
      <c r="AF3439" s="139"/>
      <c r="AG3439" s="139"/>
      <c r="AH3439" s="177"/>
      <c r="AI3439" s="178"/>
      <c r="AJ3439" s="139"/>
      <c r="AK3439" s="173"/>
      <c r="AL3439" s="177"/>
      <c r="AM3439" s="178"/>
      <c r="AN3439" s="173"/>
      <c r="AO3439" s="173"/>
      <c r="AP3439" s="173"/>
      <c r="AQ3439" s="178"/>
      <c r="AR3439" s="173"/>
      <c r="AS3439" s="173"/>
      <c r="AT3439" s="140"/>
      <c r="AX3439" s="140"/>
      <c r="BB3439" s="173"/>
      <c r="BC3439" s="173"/>
    </row>
    <row r="3440" spans="2:55" s="134" customFormat="1" x14ac:dyDescent="0.2">
      <c r="B3440" s="145"/>
      <c r="D3440" s="145"/>
      <c r="Z3440" s="177"/>
      <c r="AA3440" s="178"/>
      <c r="AB3440" s="139"/>
      <c r="AC3440" s="173"/>
      <c r="AD3440" s="177"/>
      <c r="AE3440" s="177"/>
      <c r="AF3440" s="139"/>
      <c r="AG3440" s="139"/>
      <c r="AH3440" s="177"/>
      <c r="AI3440" s="178"/>
      <c r="AJ3440" s="139"/>
      <c r="AK3440" s="173"/>
      <c r="AL3440" s="177"/>
      <c r="AM3440" s="178"/>
      <c r="AN3440" s="173"/>
      <c r="AO3440" s="173"/>
      <c r="AP3440" s="173"/>
      <c r="AQ3440" s="178"/>
      <c r="AR3440" s="173"/>
      <c r="AS3440" s="173"/>
      <c r="AT3440" s="140"/>
      <c r="AX3440" s="140"/>
      <c r="BB3440" s="173"/>
      <c r="BC3440" s="173"/>
    </row>
    <row r="3441" spans="2:55" s="134" customFormat="1" x14ac:dyDescent="0.2">
      <c r="B3441" s="145"/>
      <c r="D3441" s="145"/>
      <c r="Z3441" s="177"/>
      <c r="AA3441" s="178"/>
      <c r="AB3441" s="139"/>
      <c r="AC3441" s="173"/>
      <c r="AD3441" s="177"/>
      <c r="AE3441" s="177"/>
      <c r="AF3441" s="139"/>
      <c r="AG3441" s="139"/>
      <c r="AH3441" s="177"/>
      <c r="AI3441" s="178"/>
      <c r="AJ3441" s="139"/>
      <c r="AK3441" s="173"/>
      <c r="AL3441" s="177"/>
      <c r="AM3441" s="178"/>
      <c r="AN3441" s="173"/>
      <c r="AO3441" s="173"/>
      <c r="AP3441" s="173"/>
      <c r="AQ3441" s="178"/>
      <c r="AR3441" s="173"/>
      <c r="AS3441" s="173"/>
      <c r="AT3441" s="140"/>
      <c r="AX3441" s="140"/>
      <c r="BB3441" s="173"/>
      <c r="BC3441" s="173"/>
    </row>
    <row r="3442" spans="2:55" s="134" customFormat="1" x14ac:dyDescent="0.2">
      <c r="B3442" s="145"/>
      <c r="D3442" s="145"/>
      <c r="Z3442" s="177"/>
      <c r="AA3442" s="178"/>
      <c r="AB3442" s="139"/>
      <c r="AC3442" s="173"/>
      <c r="AD3442" s="177"/>
      <c r="AE3442" s="177"/>
      <c r="AF3442" s="139"/>
      <c r="AG3442" s="139"/>
      <c r="AH3442" s="177"/>
      <c r="AI3442" s="178"/>
      <c r="AJ3442" s="139"/>
      <c r="AK3442" s="173"/>
      <c r="AL3442" s="177"/>
      <c r="AM3442" s="178"/>
      <c r="AN3442" s="173"/>
      <c r="AO3442" s="173"/>
      <c r="AP3442" s="173"/>
      <c r="AQ3442" s="178"/>
      <c r="AR3442" s="173"/>
      <c r="AS3442" s="173"/>
      <c r="AT3442" s="140"/>
      <c r="AX3442" s="140"/>
      <c r="BB3442" s="173"/>
      <c r="BC3442" s="173"/>
    </row>
    <row r="3443" spans="2:55" s="134" customFormat="1" x14ac:dyDescent="0.2">
      <c r="B3443" s="145"/>
      <c r="D3443" s="145"/>
      <c r="Z3443" s="177"/>
      <c r="AA3443" s="178"/>
      <c r="AB3443" s="139"/>
      <c r="AC3443" s="173"/>
      <c r="AD3443" s="177"/>
      <c r="AE3443" s="177"/>
      <c r="AF3443" s="139"/>
      <c r="AG3443" s="139"/>
      <c r="AH3443" s="177"/>
      <c r="AI3443" s="178"/>
      <c r="AJ3443" s="139"/>
      <c r="AK3443" s="173"/>
      <c r="AL3443" s="177"/>
      <c r="AM3443" s="178"/>
      <c r="AN3443" s="173"/>
      <c r="AO3443" s="173"/>
      <c r="AP3443" s="173"/>
      <c r="AQ3443" s="178"/>
      <c r="AR3443" s="173"/>
      <c r="AS3443" s="173"/>
      <c r="AT3443" s="140"/>
      <c r="AX3443" s="140"/>
      <c r="BB3443" s="173"/>
      <c r="BC3443" s="173"/>
    </row>
    <row r="3444" spans="2:55" s="134" customFormat="1" x14ac:dyDescent="0.2">
      <c r="B3444" s="145"/>
      <c r="D3444" s="145"/>
      <c r="Z3444" s="177"/>
      <c r="AA3444" s="178"/>
      <c r="AB3444" s="139"/>
      <c r="AC3444" s="173"/>
      <c r="AD3444" s="177"/>
      <c r="AE3444" s="177"/>
      <c r="AF3444" s="139"/>
      <c r="AG3444" s="139"/>
      <c r="AH3444" s="177"/>
      <c r="AI3444" s="178"/>
      <c r="AJ3444" s="139"/>
      <c r="AK3444" s="173"/>
      <c r="AL3444" s="177"/>
      <c r="AM3444" s="178"/>
      <c r="AN3444" s="173"/>
      <c r="AO3444" s="173"/>
      <c r="AP3444" s="173"/>
      <c r="AQ3444" s="178"/>
      <c r="AR3444" s="173"/>
      <c r="AS3444" s="173"/>
      <c r="AT3444" s="140"/>
      <c r="AX3444" s="140"/>
      <c r="BB3444" s="173"/>
      <c r="BC3444" s="173"/>
    </row>
    <row r="3445" spans="2:55" s="134" customFormat="1" x14ac:dyDescent="0.2">
      <c r="B3445" s="145"/>
      <c r="D3445" s="145"/>
      <c r="Z3445" s="177"/>
      <c r="AA3445" s="178"/>
      <c r="AB3445" s="139"/>
      <c r="AC3445" s="173"/>
      <c r="AD3445" s="177"/>
      <c r="AE3445" s="177"/>
      <c r="AF3445" s="139"/>
      <c r="AG3445" s="139"/>
      <c r="AH3445" s="177"/>
      <c r="AI3445" s="178"/>
      <c r="AJ3445" s="139"/>
      <c r="AK3445" s="173"/>
      <c r="AL3445" s="177"/>
      <c r="AM3445" s="178"/>
      <c r="AN3445" s="173"/>
      <c r="AO3445" s="173"/>
      <c r="AP3445" s="173"/>
      <c r="AQ3445" s="178"/>
      <c r="AR3445" s="173"/>
      <c r="AS3445" s="173"/>
      <c r="AT3445" s="140"/>
      <c r="AX3445" s="140"/>
      <c r="BB3445" s="173"/>
      <c r="BC3445" s="173"/>
    </row>
    <row r="3446" spans="2:55" s="134" customFormat="1" x14ac:dyDescent="0.2">
      <c r="B3446" s="145"/>
      <c r="D3446" s="145"/>
      <c r="Z3446" s="177"/>
      <c r="AA3446" s="178"/>
      <c r="AB3446" s="139"/>
      <c r="AC3446" s="173"/>
      <c r="AD3446" s="177"/>
      <c r="AE3446" s="177"/>
      <c r="AF3446" s="139"/>
      <c r="AG3446" s="139"/>
      <c r="AH3446" s="177"/>
      <c r="AI3446" s="178"/>
      <c r="AJ3446" s="139"/>
      <c r="AK3446" s="173"/>
      <c r="AL3446" s="177"/>
      <c r="AM3446" s="178"/>
      <c r="AN3446" s="173"/>
      <c r="AO3446" s="173"/>
      <c r="AP3446" s="173"/>
      <c r="AQ3446" s="178"/>
      <c r="AR3446" s="173"/>
      <c r="AS3446" s="173"/>
      <c r="AT3446" s="140"/>
      <c r="AX3446" s="140"/>
      <c r="BB3446" s="173"/>
      <c r="BC3446" s="173"/>
    </row>
    <row r="3447" spans="2:55" s="134" customFormat="1" x14ac:dyDescent="0.2">
      <c r="B3447" s="145"/>
      <c r="D3447" s="145"/>
      <c r="Z3447" s="177"/>
      <c r="AA3447" s="178"/>
      <c r="AB3447" s="139"/>
      <c r="AC3447" s="173"/>
      <c r="AD3447" s="177"/>
      <c r="AE3447" s="177"/>
      <c r="AF3447" s="139"/>
      <c r="AG3447" s="139"/>
      <c r="AH3447" s="177"/>
      <c r="AI3447" s="178"/>
      <c r="AJ3447" s="139"/>
      <c r="AK3447" s="173"/>
      <c r="AL3447" s="177"/>
      <c r="AM3447" s="178"/>
      <c r="AN3447" s="173"/>
      <c r="AO3447" s="173"/>
      <c r="AP3447" s="173"/>
      <c r="AQ3447" s="178"/>
      <c r="AR3447" s="173"/>
      <c r="AS3447" s="173"/>
      <c r="AT3447" s="140"/>
      <c r="AX3447" s="140"/>
      <c r="BB3447" s="173"/>
      <c r="BC3447" s="173"/>
    </row>
    <row r="3448" spans="2:55" s="134" customFormat="1" x14ac:dyDescent="0.2">
      <c r="B3448" s="145"/>
      <c r="D3448" s="145"/>
      <c r="Z3448" s="177"/>
      <c r="AA3448" s="178"/>
      <c r="AB3448" s="139"/>
      <c r="AC3448" s="173"/>
      <c r="AD3448" s="177"/>
      <c r="AE3448" s="177"/>
      <c r="AF3448" s="139"/>
      <c r="AG3448" s="139"/>
      <c r="AH3448" s="177"/>
      <c r="AI3448" s="178"/>
      <c r="AJ3448" s="139"/>
      <c r="AK3448" s="173"/>
      <c r="AL3448" s="177"/>
      <c r="AM3448" s="178"/>
      <c r="AN3448" s="173"/>
      <c r="AO3448" s="173"/>
      <c r="AP3448" s="173"/>
      <c r="AQ3448" s="178"/>
      <c r="AR3448" s="173"/>
      <c r="AS3448" s="173"/>
      <c r="AT3448" s="140"/>
      <c r="AX3448" s="140"/>
      <c r="BB3448" s="173"/>
      <c r="BC3448" s="173"/>
    </row>
    <row r="3449" spans="2:55" s="134" customFormat="1" x14ac:dyDescent="0.2">
      <c r="B3449" s="145"/>
      <c r="D3449" s="145"/>
      <c r="Z3449" s="177"/>
      <c r="AA3449" s="178"/>
      <c r="AB3449" s="139"/>
      <c r="AC3449" s="173"/>
      <c r="AD3449" s="177"/>
      <c r="AE3449" s="177"/>
      <c r="AF3449" s="139"/>
      <c r="AG3449" s="139"/>
      <c r="AH3449" s="177"/>
      <c r="AI3449" s="178"/>
      <c r="AJ3449" s="139"/>
      <c r="AK3449" s="173"/>
      <c r="AL3449" s="177"/>
      <c r="AM3449" s="178"/>
      <c r="AN3449" s="173"/>
      <c r="AO3449" s="173"/>
      <c r="AP3449" s="173"/>
      <c r="AQ3449" s="178"/>
      <c r="AR3449" s="173"/>
      <c r="AS3449" s="173"/>
      <c r="AT3449" s="140"/>
      <c r="AX3449" s="140"/>
      <c r="BB3449" s="173"/>
      <c r="BC3449" s="173"/>
    </row>
    <row r="3450" spans="2:55" s="134" customFormat="1" x14ac:dyDescent="0.2">
      <c r="B3450" s="145"/>
      <c r="D3450" s="145"/>
      <c r="Z3450" s="177"/>
      <c r="AA3450" s="178"/>
      <c r="AB3450" s="139"/>
      <c r="AC3450" s="173"/>
      <c r="AD3450" s="177"/>
      <c r="AE3450" s="177"/>
      <c r="AF3450" s="139"/>
      <c r="AG3450" s="139"/>
      <c r="AH3450" s="177"/>
      <c r="AI3450" s="178"/>
      <c r="AJ3450" s="139"/>
      <c r="AK3450" s="173"/>
      <c r="AL3450" s="177"/>
      <c r="AM3450" s="178"/>
      <c r="AN3450" s="173"/>
      <c r="AO3450" s="173"/>
      <c r="AP3450" s="173"/>
      <c r="AQ3450" s="178"/>
      <c r="AR3450" s="173"/>
      <c r="AS3450" s="173"/>
      <c r="AT3450" s="140"/>
      <c r="AX3450" s="140"/>
      <c r="BB3450" s="173"/>
      <c r="BC3450" s="173"/>
    </row>
    <row r="3451" spans="2:55" s="134" customFormat="1" x14ac:dyDescent="0.2">
      <c r="B3451" s="145"/>
      <c r="D3451" s="145"/>
      <c r="Z3451" s="177"/>
      <c r="AA3451" s="178"/>
      <c r="AB3451" s="139"/>
      <c r="AC3451" s="173"/>
      <c r="AD3451" s="177"/>
      <c r="AE3451" s="177"/>
      <c r="AF3451" s="139"/>
      <c r="AG3451" s="139"/>
      <c r="AH3451" s="177"/>
      <c r="AI3451" s="178"/>
      <c r="AJ3451" s="139"/>
      <c r="AK3451" s="173"/>
      <c r="AL3451" s="177"/>
      <c r="AM3451" s="178"/>
      <c r="AN3451" s="173"/>
      <c r="AO3451" s="173"/>
      <c r="AP3451" s="173"/>
      <c r="AQ3451" s="178"/>
      <c r="AR3451" s="173"/>
      <c r="AS3451" s="173"/>
      <c r="AT3451" s="140"/>
      <c r="AX3451" s="140"/>
      <c r="BB3451" s="173"/>
      <c r="BC3451" s="173"/>
    </row>
    <row r="3452" spans="2:55" s="134" customFormat="1" x14ac:dyDescent="0.2">
      <c r="B3452" s="145"/>
      <c r="D3452" s="145"/>
      <c r="Z3452" s="177"/>
      <c r="AA3452" s="178"/>
      <c r="AB3452" s="139"/>
      <c r="AC3452" s="173"/>
      <c r="AD3452" s="177"/>
      <c r="AE3452" s="177"/>
      <c r="AF3452" s="139"/>
      <c r="AG3452" s="139"/>
      <c r="AH3452" s="177"/>
      <c r="AI3452" s="178"/>
      <c r="AJ3452" s="139"/>
      <c r="AK3452" s="173"/>
      <c r="AL3452" s="177"/>
      <c r="AM3452" s="178"/>
      <c r="AN3452" s="173"/>
      <c r="AO3452" s="173"/>
      <c r="AP3452" s="173"/>
      <c r="AQ3452" s="178"/>
      <c r="AR3452" s="173"/>
      <c r="AS3452" s="173"/>
      <c r="AT3452" s="140"/>
      <c r="AX3452" s="140"/>
      <c r="BB3452" s="173"/>
      <c r="BC3452" s="173"/>
    </row>
    <row r="3453" spans="2:55" s="134" customFormat="1" x14ac:dyDescent="0.2">
      <c r="B3453" s="145"/>
      <c r="D3453" s="145"/>
      <c r="Z3453" s="177"/>
      <c r="AA3453" s="178"/>
      <c r="AB3453" s="139"/>
      <c r="AC3453" s="173"/>
      <c r="AD3453" s="177"/>
      <c r="AE3453" s="177"/>
      <c r="AF3453" s="139"/>
      <c r="AG3453" s="139"/>
      <c r="AH3453" s="177"/>
      <c r="AI3453" s="178"/>
      <c r="AJ3453" s="139"/>
      <c r="AK3453" s="173"/>
      <c r="AL3453" s="177"/>
      <c r="AM3453" s="178"/>
      <c r="AN3453" s="173"/>
      <c r="AO3453" s="173"/>
      <c r="AP3453" s="173"/>
      <c r="AQ3453" s="178"/>
      <c r="AR3453" s="173"/>
      <c r="AS3453" s="173"/>
      <c r="AT3453" s="140"/>
      <c r="AX3453" s="140"/>
      <c r="BB3453" s="173"/>
      <c r="BC3453" s="173"/>
    </row>
    <row r="3454" spans="2:55" s="134" customFormat="1" x14ac:dyDescent="0.2">
      <c r="B3454" s="145"/>
      <c r="D3454" s="145"/>
      <c r="Z3454" s="177"/>
      <c r="AA3454" s="178"/>
      <c r="AB3454" s="139"/>
      <c r="AC3454" s="173"/>
      <c r="AD3454" s="177"/>
      <c r="AE3454" s="177"/>
      <c r="AF3454" s="139"/>
      <c r="AG3454" s="139"/>
      <c r="AH3454" s="177"/>
      <c r="AI3454" s="178"/>
      <c r="AJ3454" s="139"/>
      <c r="AK3454" s="173"/>
      <c r="AL3454" s="177"/>
      <c r="AM3454" s="178"/>
      <c r="AN3454" s="173"/>
      <c r="AO3454" s="173"/>
      <c r="AP3454" s="173"/>
      <c r="AQ3454" s="178"/>
      <c r="AR3454" s="173"/>
      <c r="AS3454" s="173"/>
      <c r="AT3454" s="140"/>
      <c r="AX3454" s="140"/>
      <c r="BB3454" s="173"/>
      <c r="BC3454" s="173"/>
    </row>
    <row r="3455" spans="2:55" s="134" customFormat="1" x14ac:dyDescent="0.2">
      <c r="B3455" s="145"/>
      <c r="D3455" s="145"/>
      <c r="Z3455" s="177"/>
      <c r="AA3455" s="178"/>
      <c r="AB3455" s="139"/>
      <c r="AC3455" s="173"/>
      <c r="AD3455" s="177"/>
      <c r="AE3455" s="177"/>
      <c r="AF3455" s="139"/>
      <c r="AG3455" s="139"/>
      <c r="AH3455" s="177"/>
      <c r="AI3455" s="178"/>
      <c r="AJ3455" s="139"/>
      <c r="AK3455" s="173"/>
      <c r="AL3455" s="177"/>
      <c r="AM3455" s="178"/>
      <c r="AN3455" s="173"/>
      <c r="AO3455" s="173"/>
      <c r="AP3455" s="173"/>
      <c r="AQ3455" s="178"/>
      <c r="AR3455" s="173"/>
      <c r="AS3455" s="173"/>
      <c r="AT3455" s="140"/>
      <c r="AX3455" s="140"/>
      <c r="BB3455" s="173"/>
      <c r="BC3455" s="173"/>
    </row>
    <row r="3456" spans="2:55" s="134" customFormat="1" x14ac:dyDescent="0.2">
      <c r="B3456" s="145"/>
      <c r="D3456" s="145"/>
      <c r="Z3456" s="177"/>
      <c r="AA3456" s="178"/>
      <c r="AB3456" s="139"/>
      <c r="AC3456" s="173"/>
      <c r="AD3456" s="177"/>
      <c r="AE3456" s="177"/>
      <c r="AF3456" s="139"/>
      <c r="AG3456" s="139"/>
      <c r="AH3456" s="177"/>
      <c r="AI3456" s="178"/>
      <c r="AJ3456" s="139"/>
      <c r="AK3456" s="173"/>
      <c r="AL3456" s="177"/>
      <c r="AM3456" s="178"/>
      <c r="AN3456" s="173"/>
      <c r="AO3456" s="173"/>
      <c r="AP3456" s="173"/>
      <c r="AQ3456" s="178"/>
      <c r="AR3456" s="173"/>
      <c r="AS3456" s="173"/>
      <c r="AT3456" s="140"/>
      <c r="AX3456" s="140"/>
      <c r="BB3456" s="173"/>
      <c r="BC3456" s="173"/>
    </row>
    <row r="3457" spans="2:55" s="134" customFormat="1" x14ac:dyDescent="0.2">
      <c r="B3457" s="145"/>
      <c r="D3457" s="145"/>
      <c r="Z3457" s="177"/>
      <c r="AA3457" s="178"/>
      <c r="AB3457" s="139"/>
      <c r="AC3457" s="173"/>
      <c r="AD3457" s="177"/>
      <c r="AE3457" s="177"/>
      <c r="AF3457" s="139"/>
      <c r="AG3457" s="139"/>
      <c r="AH3457" s="177"/>
      <c r="AI3457" s="178"/>
      <c r="AJ3457" s="139"/>
      <c r="AK3457" s="173"/>
      <c r="AL3457" s="177"/>
      <c r="AM3457" s="178"/>
      <c r="AN3457" s="173"/>
      <c r="AO3457" s="173"/>
      <c r="AP3457" s="173"/>
      <c r="AQ3457" s="178"/>
      <c r="AR3457" s="173"/>
      <c r="AS3457" s="173"/>
      <c r="AT3457" s="140"/>
      <c r="AX3457" s="140"/>
      <c r="BB3457" s="173"/>
      <c r="BC3457" s="173"/>
    </row>
    <row r="3458" spans="2:55" s="134" customFormat="1" x14ac:dyDescent="0.2">
      <c r="B3458" s="145"/>
      <c r="D3458" s="145"/>
      <c r="Z3458" s="177"/>
      <c r="AA3458" s="178"/>
      <c r="AB3458" s="139"/>
      <c r="AC3458" s="173"/>
      <c r="AD3458" s="177"/>
      <c r="AE3458" s="177"/>
      <c r="AF3458" s="139"/>
      <c r="AG3458" s="139"/>
      <c r="AH3458" s="177"/>
      <c r="AI3458" s="178"/>
      <c r="AJ3458" s="139"/>
      <c r="AK3458" s="173"/>
      <c r="AL3458" s="177"/>
      <c r="AM3458" s="178"/>
      <c r="AN3458" s="173"/>
      <c r="AO3458" s="173"/>
      <c r="AP3458" s="173"/>
      <c r="AQ3458" s="178"/>
      <c r="AR3458" s="173"/>
      <c r="AS3458" s="173"/>
      <c r="AT3458" s="140"/>
      <c r="AX3458" s="140"/>
      <c r="BB3458" s="173"/>
      <c r="BC3458" s="173"/>
    </row>
    <row r="3459" spans="2:55" s="134" customFormat="1" x14ac:dyDescent="0.2">
      <c r="B3459" s="145"/>
      <c r="D3459" s="145"/>
      <c r="Z3459" s="177"/>
      <c r="AA3459" s="178"/>
      <c r="AB3459" s="139"/>
      <c r="AC3459" s="173"/>
      <c r="AD3459" s="177"/>
      <c r="AE3459" s="177"/>
      <c r="AF3459" s="139"/>
      <c r="AG3459" s="139"/>
      <c r="AH3459" s="177"/>
      <c r="AI3459" s="178"/>
      <c r="AJ3459" s="139"/>
      <c r="AK3459" s="173"/>
      <c r="AL3459" s="177"/>
      <c r="AM3459" s="178"/>
      <c r="AN3459" s="173"/>
      <c r="AO3459" s="173"/>
      <c r="AP3459" s="173"/>
      <c r="AQ3459" s="178"/>
      <c r="AR3459" s="173"/>
      <c r="AS3459" s="173"/>
      <c r="AT3459" s="140"/>
      <c r="AX3459" s="140"/>
      <c r="BB3459" s="173"/>
      <c r="BC3459" s="173"/>
    </row>
    <row r="3460" spans="2:55" s="134" customFormat="1" x14ac:dyDescent="0.2">
      <c r="B3460" s="145"/>
      <c r="D3460" s="145"/>
      <c r="Z3460" s="177"/>
      <c r="AA3460" s="178"/>
      <c r="AB3460" s="139"/>
      <c r="AC3460" s="173"/>
      <c r="AD3460" s="177"/>
      <c r="AE3460" s="177"/>
      <c r="AF3460" s="139"/>
      <c r="AG3460" s="139"/>
      <c r="AH3460" s="177"/>
      <c r="AI3460" s="178"/>
      <c r="AJ3460" s="139"/>
      <c r="AK3460" s="173"/>
      <c r="AL3460" s="177"/>
      <c r="AM3460" s="178"/>
      <c r="AN3460" s="173"/>
      <c r="AO3460" s="173"/>
      <c r="AP3460" s="173"/>
      <c r="AQ3460" s="178"/>
      <c r="AR3460" s="173"/>
      <c r="AS3460" s="173"/>
      <c r="AT3460" s="140"/>
      <c r="AX3460" s="140"/>
      <c r="BB3460" s="173"/>
      <c r="BC3460" s="173"/>
    </row>
    <row r="3461" spans="2:55" s="134" customFormat="1" x14ac:dyDescent="0.2">
      <c r="B3461" s="145"/>
      <c r="D3461" s="145"/>
      <c r="Z3461" s="177"/>
      <c r="AA3461" s="178"/>
      <c r="AB3461" s="139"/>
      <c r="AC3461" s="173"/>
      <c r="AD3461" s="177"/>
      <c r="AE3461" s="177"/>
      <c r="AF3461" s="139"/>
      <c r="AG3461" s="139"/>
      <c r="AH3461" s="177"/>
      <c r="AI3461" s="178"/>
      <c r="AJ3461" s="139"/>
      <c r="AK3461" s="173"/>
      <c r="AL3461" s="177"/>
      <c r="AM3461" s="178"/>
      <c r="AN3461" s="173"/>
      <c r="AO3461" s="173"/>
      <c r="AP3461" s="173"/>
      <c r="AQ3461" s="178"/>
      <c r="AR3461" s="173"/>
      <c r="AS3461" s="173"/>
      <c r="AT3461" s="140"/>
      <c r="AX3461" s="140"/>
      <c r="BB3461" s="173"/>
      <c r="BC3461" s="173"/>
    </row>
    <row r="3462" spans="2:55" s="134" customFormat="1" x14ac:dyDescent="0.2">
      <c r="B3462" s="145"/>
      <c r="D3462" s="145"/>
      <c r="Z3462" s="177"/>
      <c r="AA3462" s="178"/>
      <c r="AB3462" s="139"/>
      <c r="AC3462" s="173"/>
      <c r="AD3462" s="177"/>
      <c r="AE3462" s="177"/>
      <c r="AF3462" s="139"/>
      <c r="AG3462" s="139"/>
      <c r="AH3462" s="177"/>
      <c r="AI3462" s="178"/>
      <c r="AJ3462" s="139"/>
      <c r="AK3462" s="173"/>
      <c r="AL3462" s="177"/>
      <c r="AM3462" s="178"/>
      <c r="AN3462" s="173"/>
      <c r="AO3462" s="173"/>
      <c r="AP3462" s="173"/>
      <c r="AQ3462" s="178"/>
      <c r="AR3462" s="173"/>
      <c r="AS3462" s="173"/>
      <c r="AT3462" s="140"/>
      <c r="AX3462" s="140"/>
      <c r="BB3462" s="173"/>
      <c r="BC3462" s="173"/>
    </row>
    <row r="3463" spans="2:55" s="134" customFormat="1" x14ac:dyDescent="0.2">
      <c r="B3463" s="145"/>
      <c r="D3463" s="145"/>
      <c r="Z3463" s="177"/>
      <c r="AA3463" s="178"/>
      <c r="AB3463" s="139"/>
      <c r="AC3463" s="173"/>
      <c r="AD3463" s="177"/>
      <c r="AE3463" s="177"/>
      <c r="AF3463" s="139"/>
      <c r="AG3463" s="139"/>
      <c r="AH3463" s="177"/>
      <c r="AI3463" s="178"/>
      <c r="AJ3463" s="139"/>
      <c r="AK3463" s="173"/>
      <c r="AL3463" s="177"/>
      <c r="AM3463" s="178"/>
      <c r="AN3463" s="173"/>
      <c r="AO3463" s="173"/>
      <c r="AP3463" s="173"/>
      <c r="AQ3463" s="178"/>
      <c r="AR3463" s="173"/>
      <c r="AS3463" s="173"/>
      <c r="AT3463" s="140"/>
      <c r="AX3463" s="140"/>
      <c r="BB3463" s="173"/>
      <c r="BC3463" s="173"/>
    </row>
    <row r="3464" spans="2:55" s="134" customFormat="1" x14ac:dyDescent="0.2">
      <c r="B3464" s="145"/>
      <c r="D3464" s="145"/>
      <c r="Z3464" s="177"/>
      <c r="AA3464" s="178"/>
      <c r="AB3464" s="139"/>
      <c r="AC3464" s="173"/>
      <c r="AD3464" s="177"/>
      <c r="AE3464" s="177"/>
      <c r="AF3464" s="139"/>
      <c r="AG3464" s="139"/>
      <c r="AH3464" s="177"/>
      <c r="AI3464" s="178"/>
      <c r="AJ3464" s="139"/>
      <c r="AK3464" s="173"/>
      <c r="AL3464" s="177"/>
      <c r="AM3464" s="178"/>
      <c r="AN3464" s="173"/>
      <c r="AO3464" s="173"/>
      <c r="AP3464" s="173"/>
      <c r="AQ3464" s="178"/>
      <c r="AR3464" s="173"/>
      <c r="AS3464" s="173"/>
      <c r="AT3464" s="140"/>
      <c r="AX3464" s="140"/>
      <c r="BB3464" s="173"/>
      <c r="BC3464" s="173"/>
    </row>
    <row r="3465" spans="2:55" s="134" customFormat="1" x14ac:dyDescent="0.2">
      <c r="B3465" s="145"/>
      <c r="D3465" s="145"/>
      <c r="Z3465" s="177"/>
      <c r="AA3465" s="178"/>
      <c r="AB3465" s="139"/>
      <c r="AC3465" s="173"/>
      <c r="AD3465" s="177"/>
      <c r="AE3465" s="177"/>
      <c r="AF3465" s="139"/>
      <c r="AG3465" s="139"/>
      <c r="AH3465" s="177"/>
      <c r="AI3465" s="178"/>
      <c r="AJ3465" s="139"/>
      <c r="AK3465" s="173"/>
      <c r="AL3465" s="177"/>
      <c r="AM3465" s="178"/>
      <c r="AN3465" s="173"/>
      <c r="AO3465" s="173"/>
      <c r="AP3465" s="173"/>
      <c r="AQ3465" s="178"/>
      <c r="AR3465" s="173"/>
      <c r="AS3465" s="173"/>
      <c r="AT3465" s="140"/>
      <c r="AX3465" s="140"/>
      <c r="BB3465" s="173"/>
      <c r="BC3465" s="173"/>
    </row>
    <row r="3466" spans="2:55" s="134" customFormat="1" x14ac:dyDescent="0.2">
      <c r="B3466" s="145"/>
      <c r="D3466" s="145"/>
      <c r="Z3466" s="177"/>
      <c r="AA3466" s="178"/>
      <c r="AB3466" s="139"/>
      <c r="AC3466" s="173"/>
      <c r="AD3466" s="177"/>
      <c r="AE3466" s="177"/>
      <c r="AF3466" s="139"/>
      <c r="AG3466" s="139"/>
      <c r="AH3466" s="177"/>
      <c r="AI3466" s="178"/>
      <c r="AJ3466" s="139"/>
      <c r="AK3466" s="173"/>
      <c r="AL3466" s="177"/>
      <c r="AM3466" s="178"/>
      <c r="AN3466" s="173"/>
      <c r="AO3466" s="173"/>
      <c r="AP3466" s="173"/>
      <c r="AQ3466" s="178"/>
      <c r="AR3466" s="173"/>
      <c r="AS3466" s="173"/>
      <c r="AT3466" s="140"/>
      <c r="AX3466" s="140"/>
      <c r="BB3466" s="173"/>
      <c r="BC3466" s="173"/>
    </row>
    <row r="3467" spans="2:55" s="134" customFormat="1" x14ac:dyDescent="0.2">
      <c r="B3467" s="145"/>
      <c r="D3467" s="145"/>
      <c r="Z3467" s="177"/>
      <c r="AA3467" s="178"/>
      <c r="AB3467" s="139"/>
      <c r="AC3467" s="173"/>
      <c r="AD3467" s="177"/>
      <c r="AE3467" s="177"/>
      <c r="AF3467" s="139"/>
      <c r="AG3467" s="139"/>
      <c r="AH3467" s="177"/>
      <c r="AI3467" s="178"/>
      <c r="AJ3467" s="139"/>
      <c r="AK3467" s="173"/>
      <c r="AL3467" s="177"/>
      <c r="AM3467" s="178"/>
      <c r="AN3467" s="173"/>
      <c r="AO3467" s="173"/>
      <c r="AP3467" s="173"/>
      <c r="AQ3467" s="178"/>
      <c r="AR3467" s="173"/>
      <c r="AS3467" s="173"/>
      <c r="AT3467" s="140"/>
      <c r="AX3467" s="140"/>
      <c r="BB3467" s="173"/>
      <c r="BC3467" s="173"/>
    </row>
    <row r="3468" spans="2:55" s="134" customFormat="1" x14ac:dyDescent="0.2">
      <c r="B3468" s="145"/>
      <c r="D3468" s="145"/>
      <c r="Z3468" s="177"/>
      <c r="AA3468" s="178"/>
      <c r="AB3468" s="139"/>
      <c r="AC3468" s="173"/>
      <c r="AD3468" s="177"/>
      <c r="AE3468" s="177"/>
      <c r="AF3468" s="139"/>
      <c r="AG3468" s="139"/>
      <c r="AH3468" s="177"/>
      <c r="AI3468" s="178"/>
      <c r="AJ3468" s="139"/>
      <c r="AK3468" s="173"/>
      <c r="AL3468" s="177"/>
      <c r="AM3468" s="178"/>
      <c r="AN3468" s="173"/>
      <c r="AO3468" s="173"/>
      <c r="AP3468" s="173"/>
      <c r="AQ3468" s="178"/>
      <c r="AR3468" s="173"/>
      <c r="AS3468" s="173"/>
      <c r="AT3468" s="140"/>
      <c r="AX3468" s="140"/>
      <c r="BB3468" s="173"/>
      <c r="BC3468" s="173"/>
    </row>
    <row r="3469" spans="2:55" s="134" customFormat="1" x14ac:dyDescent="0.2">
      <c r="B3469" s="145"/>
      <c r="D3469" s="145"/>
      <c r="Z3469" s="177"/>
      <c r="AA3469" s="178"/>
      <c r="AB3469" s="139"/>
      <c r="AC3469" s="173"/>
      <c r="AD3469" s="177"/>
      <c r="AE3469" s="177"/>
      <c r="AF3469" s="139"/>
      <c r="AG3469" s="139"/>
      <c r="AH3469" s="177"/>
      <c r="AI3469" s="178"/>
      <c r="AJ3469" s="139"/>
      <c r="AK3469" s="173"/>
      <c r="AL3469" s="177"/>
      <c r="AM3469" s="178"/>
      <c r="AN3469" s="173"/>
      <c r="AO3469" s="173"/>
      <c r="AP3469" s="173"/>
      <c r="AQ3469" s="178"/>
      <c r="AR3469" s="173"/>
      <c r="AS3469" s="173"/>
      <c r="AT3469" s="140"/>
      <c r="AX3469" s="140"/>
      <c r="BB3469" s="173"/>
      <c r="BC3469" s="173"/>
    </row>
    <row r="3470" spans="2:55" s="134" customFormat="1" x14ac:dyDescent="0.2">
      <c r="B3470" s="145"/>
      <c r="D3470" s="145"/>
      <c r="Z3470" s="177"/>
      <c r="AA3470" s="178"/>
      <c r="AB3470" s="139"/>
      <c r="AC3470" s="173"/>
      <c r="AD3470" s="177"/>
      <c r="AE3470" s="177"/>
      <c r="AF3470" s="139"/>
      <c r="AG3470" s="139"/>
      <c r="AH3470" s="177"/>
      <c r="AI3470" s="178"/>
      <c r="AJ3470" s="139"/>
      <c r="AK3470" s="173"/>
      <c r="AL3470" s="177"/>
      <c r="AM3470" s="178"/>
      <c r="AN3470" s="173"/>
      <c r="AO3470" s="173"/>
      <c r="AP3470" s="173"/>
      <c r="AQ3470" s="178"/>
      <c r="AR3470" s="173"/>
      <c r="AS3470" s="173"/>
      <c r="AT3470" s="140"/>
      <c r="AX3470" s="140"/>
      <c r="BB3470" s="173"/>
      <c r="BC3470" s="173"/>
    </row>
    <row r="3471" spans="2:55" s="134" customFormat="1" x14ac:dyDescent="0.2">
      <c r="B3471" s="145"/>
      <c r="D3471" s="145"/>
      <c r="Z3471" s="177"/>
      <c r="AA3471" s="178"/>
      <c r="AB3471" s="139"/>
      <c r="AC3471" s="173"/>
      <c r="AD3471" s="177"/>
      <c r="AE3471" s="177"/>
      <c r="AF3471" s="139"/>
      <c r="AG3471" s="139"/>
      <c r="AH3471" s="177"/>
      <c r="AI3471" s="178"/>
      <c r="AJ3471" s="139"/>
      <c r="AK3471" s="173"/>
      <c r="AL3471" s="177"/>
      <c r="AM3471" s="178"/>
      <c r="AN3471" s="173"/>
      <c r="AO3471" s="173"/>
      <c r="AP3471" s="173"/>
      <c r="AQ3471" s="178"/>
      <c r="AR3471" s="173"/>
      <c r="AS3471" s="173"/>
      <c r="AT3471" s="140"/>
      <c r="AX3471" s="140"/>
      <c r="BB3471" s="173"/>
      <c r="BC3471" s="173"/>
    </row>
    <row r="3472" spans="2:55" s="134" customFormat="1" x14ac:dyDescent="0.2">
      <c r="B3472" s="145"/>
      <c r="D3472" s="145"/>
      <c r="Z3472" s="177"/>
      <c r="AA3472" s="178"/>
      <c r="AB3472" s="139"/>
      <c r="AC3472" s="173"/>
      <c r="AD3472" s="177"/>
      <c r="AE3472" s="177"/>
      <c r="AF3472" s="139"/>
      <c r="AG3472" s="139"/>
      <c r="AH3472" s="177"/>
      <c r="AI3472" s="178"/>
      <c r="AJ3472" s="139"/>
      <c r="AK3472" s="173"/>
      <c r="AL3472" s="177"/>
      <c r="AM3472" s="178"/>
      <c r="AN3472" s="173"/>
      <c r="AO3472" s="173"/>
      <c r="AP3472" s="173"/>
      <c r="AQ3472" s="178"/>
      <c r="AR3472" s="173"/>
      <c r="AS3472" s="173"/>
      <c r="AT3472" s="140"/>
      <c r="AX3472" s="140"/>
      <c r="BB3472" s="173"/>
      <c r="BC3472" s="173"/>
    </row>
    <row r="3473" spans="2:55" s="134" customFormat="1" x14ac:dyDescent="0.2">
      <c r="B3473" s="145"/>
      <c r="D3473" s="145"/>
      <c r="Z3473" s="177"/>
      <c r="AA3473" s="178"/>
      <c r="AB3473" s="139"/>
      <c r="AC3473" s="173"/>
      <c r="AD3473" s="177"/>
      <c r="AE3473" s="177"/>
      <c r="AF3473" s="139"/>
      <c r="AG3473" s="139"/>
      <c r="AH3473" s="177"/>
      <c r="AI3473" s="178"/>
      <c r="AJ3473" s="139"/>
      <c r="AK3473" s="173"/>
      <c r="AL3473" s="177"/>
      <c r="AM3473" s="178"/>
      <c r="AN3473" s="173"/>
      <c r="AO3473" s="173"/>
      <c r="AP3473" s="173"/>
      <c r="AQ3473" s="178"/>
      <c r="AR3473" s="173"/>
      <c r="AS3473" s="173"/>
      <c r="AT3473" s="140"/>
      <c r="AX3473" s="140"/>
      <c r="BB3473" s="173"/>
      <c r="BC3473" s="173"/>
    </row>
    <row r="3474" spans="2:55" s="134" customFormat="1" x14ac:dyDescent="0.2">
      <c r="B3474" s="145"/>
      <c r="D3474" s="145"/>
      <c r="Z3474" s="177"/>
      <c r="AA3474" s="178"/>
      <c r="AB3474" s="139"/>
      <c r="AC3474" s="173"/>
      <c r="AD3474" s="177"/>
      <c r="AE3474" s="177"/>
      <c r="AF3474" s="139"/>
      <c r="AG3474" s="139"/>
      <c r="AH3474" s="177"/>
      <c r="AI3474" s="178"/>
      <c r="AJ3474" s="139"/>
      <c r="AK3474" s="173"/>
      <c r="AL3474" s="177"/>
      <c r="AM3474" s="178"/>
      <c r="AN3474" s="173"/>
      <c r="AO3474" s="173"/>
      <c r="AP3474" s="173"/>
      <c r="AQ3474" s="178"/>
      <c r="AR3474" s="173"/>
      <c r="AS3474" s="173"/>
      <c r="AT3474" s="140"/>
      <c r="AX3474" s="140"/>
      <c r="BB3474" s="173"/>
      <c r="BC3474" s="173"/>
    </row>
    <row r="3475" spans="2:55" s="134" customFormat="1" x14ac:dyDescent="0.2">
      <c r="B3475" s="145"/>
      <c r="D3475" s="145"/>
      <c r="Z3475" s="177"/>
      <c r="AA3475" s="178"/>
      <c r="AB3475" s="139"/>
      <c r="AC3475" s="173"/>
      <c r="AD3475" s="177"/>
      <c r="AE3475" s="177"/>
      <c r="AF3475" s="139"/>
      <c r="AG3475" s="139"/>
      <c r="AH3475" s="177"/>
      <c r="AI3475" s="178"/>
      <c r="AJ3475" s="139"/>
      <c r="AK3475" s="173"/>
      <c r="AL3475" s="177"/>
      <c r="AM3475" s="178"/>
      <c r="AN3475" s="173"/>
      <c r="AO3475" s="173"/>
      <c r="AP3475" s="173"/>
      <c r="AQ3475" s="178"/>
      <c r="AR3475" s="173"/>
      <c r="AS3475" s="173"/>
      <c r="AT3475" s="140"/>
      <c r="AX3475" s="140"/>
      <c r="BB3475" s="173"/>
      <c r="BC3475" s="173"/>
    </row>
    <row r="3476" spans="2:55" s="134" customFormat="1" x14ac:dyDescent="0.2">
      <c r="B3476" s="145"/>
      <c r="D3476" s="145"/>
      <c r="Z3476" s="177"/>
      <c r="AA3476" s="178"/>
      <c r="AB3476" s="139"/>
      <c r="AC3476" s="173"/>
      <c r="AD3476" s="177"/>
      <c r="AE3476" s="177"/>
      <c r="AF3476" s="139"/>
      <c r="AG3476" s="139"/>
      <c r="AH3476" s="177"/>
      <c r="AI3476" s="178"/>
      <c r="AJ3476" s="139"/>
      <c r="AK3476" s="173"/>
      <c r="AL3476" s="177"/>
      <c r="AM3476" s="178"/>
      <c r="AN3476" s="173"/>
      <c r="AO3476" s="173"/>
      <c r="AP3476" s="173"/>
      <c r="AQ3476" s="178"/>
      <c r="AR3476" s="173"/>
      <c r="AS3476" s="173"/>
      <c r="AT3476" s="140"/>
      <c r="AX3476" s="140"/>
      <c r="BB3476" s="173"/>
      <c r="BC3476" s="173"/>
    </row>
    <row r="3477" spans="2:55" s="134" customFormat="1" x14ac:dyDescent="0.2">
      <c r="B3477" s="145"/>
      <c r="D3477" s="145"/>
      <c r="Z3477" s="177"/>
      <c r="AA3477" s="178"/>
      <c r="AB3477" s="139"/>
      <c r="AC3477" s="173"/>
      <c r="AD3477" s="177"/>
      <c r="AE3477" s="177"/>
      <c r="AF3477" s="139"/>
      <c r="AG3477" s="139"/>
      <c r="AH3477" s="177"/>
      <c r="AI3477" s="178"/>
      <c r="AJ3477" s="139"/>
      <c r="AK3477" s="173"/>
      <c r="AL3477" s="177"/>
      <c r="AM3477" s="178"/>
      <c r="AN3477" s="173"/>
      <c r="AO3477" s="173"/>
      <c r="AP3477" s="173"/>
      <c r="AQ3477" s="178"/>
      <c r="AR3477" s="173"/>
      <c r="AS3477" s="173"/>
      <c r="AT3477" s="140"/>
      <c r="AX3477" s="140"/>
      <c r="BB3477" s="173"/>
      <c r="BC3477" s="173"/>
    </row>
    <row r="3478" spans="2:55" s="134" customFormat="1" x14ac:dyDescent="0.2">
      <c r="B3478" s="145"/>
      <c r="D3478" s="145"/>
      <c r="Z3478" s="177"/>
      <c r="AA3478" s="178"/>
      <c r="AB3478" s="139"/>
      <c r="AC3478" s="173"/>
      <c r="AD3478" s="177"/>
      <c r="AE3478" s="177"/>
      <c r="AF3478" s="139"/>
      <c r="AG3478" s="139"/>
      <c r="AH3478" s="177"/>
      <c r="AI3478" s="178"/>
      <c r="AJ3478" s="139"/>
      <c r="AK3478" s="173"/>
      <c r="AL3478" s="177"/>
      <c r="AM3478" s="178"/>
      <c r="AN3478" s="173"/>
      <c r="AO3478" s="173"/>
      <c r="AP3478" s="173"/>
      <c r="AQ3478" s="178"/>
      <c r="AR3478" s="173"/>
      <c r="AS3478" s="173"/>
      <c r="AT3478" s="140"/>
      <c r="AX3478" s="140"/>
      <c r="BB3478" s="173"/>
      <c r="BC3478" s="173"/>
    </row>
    <row r="3479" spans="2:55" s="134" customFormat="1" x14ac:dyDescent="0.2">
      <c r="B3479" s="145"/>
      <c r="D3479" s="145"/>
      <c r="Z3479" s="177"/>
      <c r="AA3479" s="178"/>
      <c r="AB3479" s="139"/>
      <c r="AC3479" s="173"/>
      <c r="AD3479" s="177"/>
      <c r="AE3479" s="177"/>
      <c r="AF3479" s="139"/>
      <c r="AG3479" s="139"/>
      <c r="AH3479" s="177"/>
      <c r="AI3479" s="178"/>
      <c r="AJ3479" s="139"/>
      <c r="AK3479" s="173"/>
      <c r="AL3479" s="177"/>
      <c r="AM3479" s="178"/>
      <c r="AN3479" s="173"/>
      <c r="AO3479" s="173"/>
      <c r="AP3479" s="173"/>
      <c r="AQ3479" s="178"/>
      <c r="AR3479" s="173"/>
      <c r="AS3479" s="173"/>
      <c r="AT3479" s="140"/>
      <c r="AX3479" s="140"/>
      <c r="BB3479" s="173"/>
      <c r="BC3479" s="173"/>
    </row>
    <row r="3480" spans="2:55" s="134" customFormat="1" x14ac:dyDescent="0.2">
      <c r="B3480" s="145"/>
      <c r="D3480" s="145"/>
      <c r="Z3480" s="177"/>
      <c r="AA3480" s="178"/>
      <c r="AB3480" s="139"/>
      <c r="AC3480" s="173"/>
      <c r="AD3480" s="177"/>
      <c r="AE3480" s="177"/>
      <c r="AF3480" s="139"/>
      <c r="AG3480" s="139"/>
      <c r="AH3480" s="177"/>
      <c r="AI3480" s="178"/>
      <c r="AJ3480" s="139"/>
      <c r="AK3480" s="173"/>
      <c r="AL3480" s="177"/>
      <c r="AM3480" s="178"/>
      <c r="AN3480" s="173"/>
      <c r="AO3480" s="173"/>
      <c r="AP3480" s="173"/>
      <c r="AQ3480" s="178"/>
      <c r="AR3480" s="173"/>
      <c r="AS3480" s="173"/>
      <c r="AT3480" s="140"/>
      <c r="AX3480" s="140"/>
      <c r="BB3480" s="173"/>
      <c r="BC3480" s="173"/>
    </row>
    <row r="3481" spans="2:55" s="134" customFormat="1" x14ac:dyDescent="0.2">
      <c r="B3481" s="145"/>
      <c r="D3481" s="145"/>
      <c r="Z3481" s="177"/>
      <c r="AA3481" s="178"/>
      <c r="AB3481" s="139"/>
      <c r="AC3481" s="173"/>
      <c r="AD3481" s="177"/>
      <c r="AE3481" s="177"/>
      <c r="AF3481" s="139"/>
      <c r="AG3481" s="139"/>
      <c r="AH3481" s="177"/>
      <c r="AI3481" s="178"/>
      <c r="AJ3481" s="139"/>
      <c r="AK3481" s="173"/>
      <c r="AL3481" s="177"/>
      <c r="AM3481" s="178"/>
      <c r="AN3481" s="173"/>
      <c r="AO3481" s="173"/>
      <c r="AP3481" s="173"/>
      <c r="AQ3481" s="178"/>
      <c r="AR3481" s="173"/>
      <c r="AS3481" s="173"/>
      <c r="AT3481" s="140"/>
      <c r="AX3481" s="140"/>
      <c r="BB3481" s="173"/>
      <c r="BC3481" s="173"/>
    </row>
    <row r="3482" spans="2:55" s="134" customFormat="1" x14ac:dyDescent="0.2">
      <c r="B3482" s="145"/>
      <c r="D3482" s="145"/>
      <c r="Z3482" s="177"/>
      <c r="AA3482" s="178"/>
      <c r="AB3482" s="139"/>
      <c r="AC3482" s="173"/>
      <c r="AD3482" s="177"/>
      <c r="AE3482" s="177"/>
      <c r="AF3482" s="139"/>
      <c r="AG3482" s="139"/>
      <c r="AH3482" s="177"/>
      <c r="AI3482" s="178"/>
      <c r="AJ3482" s="139"/>
      <c r="AK3482" s="173"/>
      <c r="AL3482" s="177"/>
      <c r="AM3482" s="178"/>
      <c r="AN3482" s="173"/>
      <c r="AO3482" s="173"/>
      <c r="AP3482" s="173"/>
      <c r="AQ3482" s="178"/>
      <c r="AR3482" s="173"/>
      <c r="AS3482" s="173"/>
      <c r="AT3482" s="140"/>
      <c r="AX3482" s="140"/>
      <c r="BB3482" s="173"/>
      <c r="BC3482" s="173"/>
    </row>
    <row r="3483" spans="2:55" s="134" customFormat="1" x14ac:dyDescent="0.2">
      <c r="B3483" s="145"/>
      <c r="D3483" s="145"/>
      <c r="Z3483" s="177"/>
      <c r="AA3483" s="178"/>
      <c r="AB3483" s="139"/>
      <c r="AC3483" s="173"/>
      <c r="AD3483" s="177"/>
      <c r="AE3483" s="177"/>
      <c r="AF3483" s="139"/>
      <c r="AG3483" s="139"/>
      <c r="AH3483" s="177"/>
      <c r="AI3483" s="178"/>
      <c r="AJ3483" s="139"/>
      <c r="AK3483" s="173"/>
      <c r="AL3483" s="177"/>
      <c r="AM3483" s="178"/>
      <c r="AN3483" s="173"/>
      <c r="AO3483" s="173"/>
      <c r="AP3483" s="173"/>
      <c r="AQ3483" s="178"/>
      <c r="AR3483" s="173"/>
      <c r="AS3483" s="173"/>
      <c r="AT3483" s="140"/>
      <c r="AX3483" s="140"/>
      <c r="BB3483" s="173"/>
      <c r="BC3483" s="173"/>
    </row>
    <row r="3484" spans="2:55" s="134" customFormat="1" x14ac:dyDescent="0.2">
      <c r="B3484" s="145"/>
      <c r="D3484" s="145"/>
      <c r="Z3484" s="177"/>
      <c r="AA3484" s="178"/>
      <c r="AB3484" s="139"/>
      <c r="AC3484" s="173"/>
      <c r="AD3484" s="177"/>
      <c r="AE3484" s="177"/>
      <c r="AF3484" s="139"/>
      <c r="AG3484" s="139"/>
      <c r="AH3484" s="177"/>
      <c r="AI3484" s="178"/>
      <c r="AJ3484" s="139"/>
      <c r="AK3484" s="173"/>
      <c r="AL3484" s="177"/>
      <c r="AM3484" s="178"/>
      <c r="AN3484" s="173"/>
      <c r="AO3484" s="173"/>
      <c r="AP3484" s="173"/>
      <c r="AQ3484" s="178"/>
      <c r="AR3484" s="173"/>
      <c r="AS3484" s="173"/>
      <c r="AT3484" s="140"/>
      <c r="AX3484" s="140"/>
      <c r="BB3484" s="173"/>
      <c r="BC3484" s="173"/>
    </row>
    <row r="3485" spans="2:55" s="134" customFormat="1" x14ac:dyDescent="0.2">
      <c r="B3485" s="145"/>
      <c r="D3485" s="145"/>
      <c r="Z3485" s="177"/>
      <c r="AA3485" s="178"/>
      <c r="AB3485" s="139"/>
      <c r="AC3485" s="173"/>
      <c r="AD3485" s="177"/>
      <c r="AE3485" s="177"/>
      <c r="AF3485" s="139"/>
      <c r="AG3485" s="139"/>
      <c r="AH3485" s="177"/>
      <c r="AI3485" s="178"/>
      <c r="AJ3485" s="139"/>
      <c r="AK3485" s="173"/>
      <c r="AL3485" s="177"/>
      <c r="AM3485" s="178"/>
      <c r="AN3485" s="173"/>
      <c r="AO3485" s="173"/>
      <c r="AP3485" s="173"/>
      <c r="AQ3485" s="178"/>
      <c r="AR3485" s="173"/>
      <c r="AS3485" s="173"/>
      <c r="AT3485" s="140"/>
      <c r="AX3485" s="140"/>
      <c r="BB3485" s="173"/>
      <c r="BC3485" s="173"/>
    </row>
    <row r="3486" spans="2:55" s="134" customFormat="1" x14ac:dyDescent="0.2">
      <c r="B3486" s="145"/>
      <c r="D3486" s="145"/>
      <c r="Z3486" s="177"/>
      <c r="AA3486" s="178"/>
      <c r="AB3486" s="139"/>
      <c r="AC3486" s="173"/>
      <c r="AD3486" s="177"/>
      <c r="AE3486" s="177"/>
      <c r="AF3486" s="139"/>
      <c r="AG3486" s="139"/>
      <c r="AH3486" s="177"/>
      <c r="AI3486" s="178"/>
      <c r="AJ3486" s="139"/>
      <c r="AK3486" s="173"/>
      <c r="AL3486" s="177"/>
      <c r="AM3486" s="178"/>
      <c r="AN3486" s="173"/>
      <c r="AO3486" s="173"/>
      <c r="AP3486" s="173"/>
      <c r="AQ3486" s="178"/>
      <c r="AR3486" s="173"/>
      <c r="AS3486" s="173"/>
      <c r="AT3486" s="140"/>
      <c r="AX3486" s="140"/>
      <c r="BB3486" s="173"/>
      <c r="BC3486" s="173"/>
    </row>
    <row r="3487" spans="2:55" s="134" customFormat="1" x14ac:dyDescent="0.2">
      <c r="B3487" s="145"/>
      <c r="D3487" s="145"/>
      <c r="Z3487" s="177"/>
      <c r="AA3487" s="178"/>
      <c r="AB3487" s="139"/>
      <c r="AC3487" s="173"/>
      <c r="AD3487" s="177"/>
      <c r="AE3487" s="177"/>
      <c r="AF3487" s="139"/>
      <c r="AG3487" s="139"/>
      <c r="AH3487" s="177"/>
      <c r="AI3487" s="178"/>
      <c r="AJ3487" s="139"/>
      <c r="AK3487" s="173"/>
      <c r="AL3487" s="177"/>
      <c r="AM3487" s="178"/>
      <c r="AN3487" s="173"/>
      <c r="AO3487" s="173"/>
      <c r="AP3487" s="173"/>
      <c r="AQ3487" s="178"/>
      <c r="AR3487" s="173"/>
      <c r="AS3487" s="173"/>
      <c r="AT3487" s="140"/>
      <c r="AX3487" s="140"/>
      <c r="BB3487" s="173"/>
      <c r="BC3487" s="173"/>
    </row>
    <row r="3488" spans="2:55" s="134" customFormat="1" x14ac:dyDescent="0.2">
      <c r="B3488" s="145"/>
      <c r="D3488" s="145"/>
      <c r="Z3488" s="177"/>
      <c r="AA3488" s="178"/>
      <c r="AB3488" s="139"/>
      <c r="AC3488" s="173"/>
      <c r="AD3488" s="177"/>
      <c r="AE3488" s="177"/>
      <c r="AF3488" s="139"/>
      <c r="AG3488" s="139"/>
      <c r="AH3488" s="177"/>
      <c r="AI3488" s="178"/>
      <c r="AJ3488" s="139"/>
      <c r="AK3488" s="173"/>
      <c r="AL3488" s="177"/>
      <c r="AM3488" s="178"/>
      <c r="AN3488" s="173"/>
      <c r="AO3488" s="173"/>
      <c r="AP3488" s="173"/>
      <c r="AQ3488" s="178"/>
      <c r="AR3488" s="173"/>
      <c r="AS3488" s="173"/>
      <c r="AT3488" s="140"/>
      <c r="AX3488" s="140"/>
      <c r="BB3488" s="173"/>
      <c r="BC3488" s="173"/>
    </row>
    <row r="3489" spans="2:55" s="134" customFormat="1" x14ac:dyDescent="0.2">
      <c r="B3489" s="145"/>
      <c r="D3489" s="145"/>
      <c r="Z3489" s="177"/>
      <c r="AA3489" s="178"/>
      <c r="AB3489" s="139"/>
      <c r="AC3489" s="173"/>
      <c r="AD3489" s="177"/>
      <c r="AE3489" s="177"/>
      <c r="AF3489" s="139"/>
      <c r="AG3489" s="139"/>
      <c r="AH3489" s="177"/>
      <c r="AI3489" s="178"/>
      <c r="AJ3489" s="139"/>
      <c r="AK3489" s="173"/>
      <c r="AL3489" s="177"/>
      <c r="AM3489" s="178"/>
      <c r="AN3489" s="173"/>
      <c r="AO3489" s="173"/>
      <c r="AP3489" s="173"/>
      <c r="AQ3489" s="178"/>
      <c r="AR3489" s="173"/>
      <c r="AS3489" s="173"/>
      <c r="AT3489" s="140"/>
      <c r="AX3489" s="140"/>
      <c r="BB3489" s="173"/>
      <c r="BC3489" s="173"/>
    </row>
    <row r="3490" spans="2:55" s="134" customFormat="1" x14ac:dyDescent="0.2">
      <c r="B3490" s="145"/>
      <c r="D3490" s="145"/>
      <c r="Z3490" s="177"/>
      <c r="AA3490" s="178"/>
      <c r="AB3490" s="139"/>
      <c r="AC3490" s="173"/>
      <c r="AD3490" s="177"/>
      <c r="AE3490" s="177"/>
      <c r="AF3490" s="139"/>
      <c r="AG3490" s="139"/>
      <c r="AH3490" s="177"/>
      <c r="AI3490" s="178"/>
      <c r="AJ3490" s="139"/>
      <c r="AK3490" s="173"/>
      <c r="AL3490" s="177"/>
      <c r="AM3490" s="178"/>
      <c r="AN3490" s="173"/>
      <c r="AO3490" s="173"/>
      <c r="AP3490" s="173"/>
      <c r="AQ3490" s="178"/>
      <c r="AR3490" s="173"/>
      <c r="AS3490" s="173"/>
      <c r="AT3490" s="140"/>
      <c r="AX3490" s="140"/>
      <c r="BB3490" s="173"/>
      <c r="BC3490" s="173"/>
    </row>
    <row r="3491" spans="2:55" s="134" customFormat="1" x14ac:dyDescent="0.2">
      <c r="B3491" s="145"/>
      <c r="D3491" s="145"/>
      <c r="Z3491" s="177"/>
      <c r="AA3491" s="178"/>
      <c r="AB3491" s="139"/>
      <c r="AC3491" s="173"/>
      <c r="AD3491" s="177"/>
      <c r="AE3491" s="177"/>
      <c r="AF3491" s="139"/>
      <c r="AG3491" s="139"/>
      <c r="AH3491" s="177"/>
      <c r="AI3491" s="178"/>
      <c r="AJ3491" s="139"/>
      <c r="AK3491" s="173"/>
      <c r="AL3491" s="177"/>
      <c r="AM3491" s="178"/>
      <c r="AN3491" s="173"/>
      <c r="AO3491" s="173"/>
      <c r="AP3491" s="173"/>
      <c r="AQ3491" s="178"/>
      <c r="AR3491" s="173"/>
      <c r="AS3491" s="173"/>
      <c r="AT3491" s="140"/>
      <c r="AX3491" s="140"/>
      <c r="BB3491" s="173"/>
      <c r="BC3491" s="173"/>
    </row>
    <row r="3492" spans="2:55" s="134" customFormat="1" x14ac:dyDescent="0.2">
      <c r="B3492" s="145"/>
      <c r="D3492" s="145"/>
      <c r="Z3492" s="177"/>
      <c r="AA3492" s="178"/>
      <c r="AB3492" s="139"/>
      <c r="AC3492" s="173"/>
      <c r="AD3492" s="177"/>
      <c r="AE3492" s="177"/>
      <c r="AF3492" s="139"/>
      <c r="AG3492" s="139"/>
      <c r="AH3492" s="177"/>
      <c r="AI3492" s="178"/>
      <c r="AJ3492" s="139"/>
      <c r="AK3492" s="173"/>
      <c r="AL3492" s="177"/>
      <c r="AM3492" s="178"/>
      <c r="AN3492" s="173"/>
      <c r="AO3492" s="173"/>
      <c r="AP3492" s="173"/>
      <c r="AQ3492" s="178"/>
      <c r="AR3492" s="173"/>
      <c r="AS3492" s="173"/>
      <c r="AT3492" s="140"/>
      <c r="AX3492" s="140"/>
      <c r="BB3492" s="173"/>
      <c r="BC3492" s="173"/>
    </row>
    <row r="3493" spans="2:55" s="134" customFormat="1" x14ac:dyDescent="0.2">
      <c r="B3493" s="145"/>
      <c r="D3493" s="145"/>
      <c r="Z3493" s="177"/>
      <c r="AA3493" s="178"/>
      <c r="AB3493" s="139"/>
      <c r="AC3493" s="173"/>
      <c r="AD3493" s="177"/>
      <c r="AE3493" s="177"/>
      <c r="AF3493" s="139"/>
      <c r="AG3493" s="139"/>
      <c r="AH3493" s="177"/>
      <c r="AI3493" s="178"/>
      <c r="AJ3493" s="139"/>
      <c r="AK3493" s="173"/>
      <c r="AL3493" s="177"/>
      <c r="AM3493" s="178"/>
      <c r="AN3493" s="173"/>
      <c r="AO3493" s="173"/>
      <c r="AP3493" s="173"/>
      <c r="AQ3493" s="178"/>
      <c r="AR3493" s="173"/>
      <c r="AS3493" s="173"/>
      <c r="AT3493" s="140"/>
      <c r="AX3493" s="140"/>
      <c r="BB3493" s="173"/>
      <c r="BC3493" s="173"/>
    </row>
    <row r="3494" spans="2:55" s="134" customFormat="1" x14ac:dyDescent="0.2">
      <c r="B3494" s="145"/>
      <c r="D3494" s="145"/>
      <c r="Z3494" s="177"/>
      <c r="AA3494" s="178"/>
      <c r="AB3494" s="139"/>
      <c r="AC3494" s="173"/>
      <c r="AD3494" s="177"/>
      <c r="AE3494" s="177"/>
      <c r="AF3494" s="139"/>
      <c r="AG3494" s="139"/>
      <c r="AH3494" s="177"/>
      <c r="AI3494" s="178"/>
      <c r="AJ3494" s="139"/>
      <c r="AK3494" s="173"/>
      <c r="AL3494" s="177"/>
      <c r="AM3494" s="178"/>
      <c r="AN3494" s="173"/>
      <c r="AO3494" s="173"/>
      <c r="AP3494" s="173"/>
      <c r="AQ3494" s="178"/>
      <c r="AR3494" s="173"/>
      <c r="AS3494" s="173"/>
      <c r="AT3494" s="140"/>
      <c r="AX3494" s="140"/>
      <c r="BB3494" s="173"/>
      <c r="BC3494" s="173"/>
    </row>
    <row r="3495" spans="2:55" s="134" customFormat="1" x14ac:dyDescent="0.2">
      <c r="B3495" s="145"/>
      <c r="D3495" s="145"/>
      <c r="Z3495" s="177"/>
      <c r="AA3495" s="178"/>
      <c r="AB3495" s="139"/>
      <c r="AC3495" s="173"/>
      <c r="AD3495" s="177"/>
      <c r="AE3495" s="177"/>
      <c r="AF3495" s="139"/>
      <c r="AG3495" s="139"/>
      <c r="AH3495" s="177"/>
      <c r="AI3495" s="178"/>
      <c r="AJ3495" s="139"/>
      <c r="AK3495" s="173"/>
      <c r="AL3495" s="177"/>
      <c r="AM3495" s="178"/>
      <c r="AN3495" s="173"/>
      <c r="AO3495" s="173"/>
      <c r="AP3495" s="173"/>
      <c r="AQ3495" s="178"/>
      <c r="AR3495" s="173"/>
      <c r="AS3495" s="173"/>
      <c r="AT3495" s="140"/>
      <c r="AX3495" s="140"/>
      <c r="BB3495" s="173"/>
      <c r="BC3495" s="173"/>
    </row>
    <row r="3496" spans="2:55" s="134" customFormat="1" x14ac:dyDescent="0.2">
      <c r="B3496" s="145"/>
      <c r="D3496" s="145"/>
      <c r="Z3496" s="177"/>
      <c r="AA3496" s="178"/>
      <c r="AB3496" s="139"/>
      <c r="AC3496" s="173"/>
      <c r="AD3496" s="177"/>
      <c r="AE3496" s="177"/>
      <c r="AF3496" s="139"/>
      <c r="AG3496" s="139"/>
      <c r="AH3496" s="177"/>
      <c r="AI3496" s="178"/>
      <c r="AJ3496" s="139"/>
      <c r="AK3496" s="173"/>
      <c r="AL3496" s="177"/>
      <c r="AM3496" s="178"/>
      <c r="AN3496" s="173"/>
      <c r="AO3496" s="173"/>
      <c r="AP3496" s="173"/>
      <c r="AQ3496" s="178"/>
      <c r="AR3496" s="173"/>
      <c r="AS3496" s="173"/>
      <c r="AT3496" s="140"/>
      <c r="AX3496" s="140"/>
      <c r="BB3496" s="173"/>
      <c r="BC3496" s="173"/>
    </row>
    <row r="3497" spans="2:55" s="134" customFormat="1" x14ac:dyDescent="0.2">
      <c r="B3497" s="145"/>
      <c r="D3497" s="145"/>
      <c r="Z3497" s="177"/>
      <c r="AA3497" s="178"/>
      <c r="AB3497" s="139"/>
      <c r="AC3497" s="173"/>
      <c r="AD3497" s="177"/>
      <c r="AE3497" s="177"/>
      <c r="AF3497" s="139"/>
      <c r="AG3497" s="139"/>
      <c r="AH3497" s="177"/>
      <c r="AI3497" s="178"/>
      <c r="AJ3497" s="139"/>
      <c r="AK3497" s="173"/>
      <c r="AL3497" s="177"/>
      <c r="AM3497" s="178"/>
      <c r="AN3497" s="173"/>
      <c r="AO3497" s="173"/>
      <c r="AP3497" s="173"/>
      <c r="AQ3497" s="178"/>
      <c r="AR3497" s="173"/>
      <c r="AS3497" s="173"/>
      <c r="AT3497" s="140"/>
      <c r="AX3497" s="140"/>
      <c r="BB3497" s="173"/>
      <c r="BC3497" s="173"/>
    </row>
    <row r="3498" spans="2:55" s="134" customFormat="1" x14ac:dyDescent="0.2">
      <c r="B3498" s="145"/>
      <c r="D3498" s="145"/>
      <c r="Z3498" s="177"/>
      <c r="AA3498" s="178"/>
      <c r="AB3498" s="139"/>
      <c r="AC3498" s="173"/>
      <c r="AD3498" s="177"/>
      <c r="AE3498" s="177"/>
      <c r="AF3498" s="139"/>
      <c r="AG3498" s="139"/>
      <c r="AH3498" s="177"/>
      <c r="AI3498" s="178"/>
      <c r="AJ3498" s="139"/>
      <c r="AK3498" s="173"/>
      <c r="AL3498" s="177"/>
      <c r="AM3498" s="178"/>
      <c r="AN3498" s="173"/>
      <c r="AO3498" s="173"/>
      <c r="AP3498" s="173"/>
      <c r="AQ3498" s="178"/>
      <c r="AR3498" s="173"/>
      <c r="AS3498" s="173"/>
      <c r="AT3498" s="140"/>
      <c r="AX3498" s="140"/>
      <c r="BB3498" s="173"/>
      <c r="BC3498" s="173"/>
    </row>
    <row r="3499" spans="2:55" s="134" customFormat="1" x14ac:dyDescent="0.2">
      <c r="B3499" s="145"/>
      <c r="D3499" s="145"/>
      <c r="Z3499" s="177"/>
      <c r="AA3499" s="178"/>
      <c r="AB3499" s="139"/>
      <c r="AC3499" s="173"/>
      <c r="AD3499" s="177"/>
      <c r="AE3499" s="177"/>
      <c r="AF3499" s="139"/>
      <c r="AG3499" s="139"/>
      <c r="AH3499" s="177"/>
      <c r="AI3499" s="178"/>
      <c r="AJ3499" s="139"/>
      <c r="AK3499" s="173"/>
      <c r="AL3499" s="177"/>
      <c r="AM3499" s="178"/>
      <c r="AN3499" s="173"/>
      <c r="AO3499" s="173"/>
      <c r="AP3499" s="173"/>
      <c r="AQ3499" s="178"/>
      <c r="AR3499" s="173"/>
      <c r="AS3499" s="173"/>
      <c r="AT3499" s="140"/>
      <c r="AX3499" s="140"/>
      <c r="BB3499" s="173"/>
      <c r="BC3499" s="173"/>
    </row>
    <row r="3500" spans="2:55" s="134" customFormat="1" x14ac:dyDescent="0.2">
      <c r="B3500" s="145"/>
      <c r="D3500" s="145"/>
      <c r="Z3500" s="177"/>
      <c r="AA3500" s="178"/>
      <c r="AB3500" s="139"/>
      <c r="AC3500" s="173"/>
      <c r="AD3500" s="177"/>
      <c r="AE3500" s="177"/>
      <c r="AF3500" s="139"/>
      <c r="AG3500" s="139"/>
      <c r="AH3500" s="177"/>
      <c r="AI3500" s="178"/>
      <c r="AJ3500" s="139"/>
      <c r="AK3500" s="173"/>
      <c r="AL3500" s="177"/>
      <c r="AM3500" s="178"/>
      <c r="AN3500" s="173"/>
      <c r="AO3500" s="173"/>
      <c r="AP3500" s="173"/>
      <c r="AQ3500" s="178"/>
      <c r="AR3500" s="173"/>
      <c r="AS3500" s="173"/>
      <c r="AT3500" s="140"/>
      <c r="AX3500" s="140"/>
      <c r="BB3500" s="173"/>
      <c r="BC3500" s="173"/>
    </row>
    <row r="3501" spans="2:55" s="134" customFormat="1" x14ac:dyDescent="0.2">
      <c r="B3501" s="145"/>
      <c r="D3501" s="145"/>
      <c r="Z3501" s="177"/>
      <c r="AA3501" s="178"/>
      <c r="AB3501" s="139"/>
      <c r="AC3501" s="173"/>
      <c r="AD3501" s="177"/>
      <c r="AE3501" s="177"/>
      <c r="AF3501" s="139"/>
      <c r="AG3501" s="139"/>
      <c r="AH3501" s="177"/>
      <c r="AI3501" s="178"/>
      <c r="AJ3501" s="139"/>
      <c r="AK3501" s="173"/>
      <c r="AL3501" s="177"/>
      <c r="AM3501" s="178"/>
      <c r="AN3501" s="173"/>
      <c r="AO3501" s="173"/>
      <c r="AP3501" s="173"/>
      <c r="AQ3501" s="178"/>
      <c r="AR3501" s="173"/>
      <c r="AS3501" s="173"/>
      <c r="AT3501" s="140"/>
      <c r="AX3501" s="140"/>
      <c r="BB3501" s="173"/>
      <c r="BC3501" s="173"/>
    </row>
    <row r="3502" spans="2:55" s="134" customFormat="1" x14ac:dyDescent="0.2">
      <c r="B3502" s="145"/>
      <c r="D3502" s="145"/>
      <c r="Z3502" s="177"/>
      <c r="AA3502" s="178"/>
      <c r="AB3502" s="139"/>
      <c r="AC3502" s="173"/>
      <c r="AD3502" s="177"/>
      <c r="AE3502" s="177"/>
      <c r="AF3502" s="139"/>
      <c r="AG3502" s="139"/>
      <c r="AH3502" s="177"/>
      <c r="AI3502" s="178"/>
      <c r="AJ3502" s="139"/>
      <c r="AK3502" s="173"/>
      <c r="AL3502" s="177"/>
      <c r="AM3502" s="178"/>
      <c r="AN3502" s="173"/>
      <c r="AO3502" s="173"/>
      <c r="AP3502" s="173"/>
      <c r="AQ3502" s="178"/>
      <c r="AR3502" s="173"/>
      <c r="AS3502" s="173"/>
      <c r="AT3502" s="140"/>
      <c r="AX3502" s="140"/>
      <c r="BB3502" s="173"/>
      <c r="BC3502" s="173"/>
    </row>
    <row r="3503" spans="2:55" s="134" customFormat="1" x14ac:dyDescent="0.2">
      <c r="B3503" s="145"/>
      <c r="D3503" s="145"/>
      <c r="Z3503" s="177"/>
      <c r="AA3503" s="178"/>
      <c r="AB3503" s="139"/>
      <c r="AC3503" s="173"/>
      <c r="AD3503" s="177"/>
      <c r="AE3503" s="177"/>
      <c r="AF3503" s="139"/>
      <c r="AG3503" s="139"/>
      <c r="AH3503" s="177"/>
      <c r="AI3503" s="178"/>
      <c r="AJ3503" s="139"/>
      <c r="AK3503" s="173"/>
      <c r="AL3503" s="177"/>
      <c r="AM3503" s="178"/>
      <c r="AN3503" s="173"/>
      <c r="AO3503" s="173"/>
      <c r="AP3503" s="173"/>
      <c r="AQ3503" s="178"/>
      <c r="AR3503" s="173"/>
      <c r="AS3503" s="173"/>
      <c r="AT3503" s="140"/>
      <c r="AX3503" s="140"/>
      <c r="BB3503" s="173"/>
      <c r="BC3503" s="173"/>
    </row>
    <row r="3504" spans="2:55" s="134" customFormat="1" x14ac:dyDescent="0.2">
      <c r="B3504" s="145"/>
      <c r="D3504" s="145"/>
      <c r="Z3504" s="177"/>
      <c r="AA3504" s="178"/>
      <c r="AB3504" s="139"/>
      <c r="AC3504" s="173"/>
      <c r="AD3504" s="177"/>
      <c r="AE3504" s="177"/>
      <c r="AF3504" s="139"/>
      <c r="AG3504" s="139"/>
      <c r="AH3504" s="177"/>
      <c r="AI3504" s="178"/>
      <c r="AJ3504" s="139"/>
      <c r="AK3504" s="173"/>
      <c r="AL3504" s="177"/>
      <c r="AM3504" s="178"/>
      <c r="AN3504" s="173"/>
      <c r="AO3504" s="173"/>
      <c r="AP3504" s="173"/>
      <c r="AQ3504" s="178"/>
      <c r="AR3504" s="173"/>
      <c r="AS3504" s="173"/>
      <c r="AT3504" s="140"/>
      <c r="AX3504" s="140"/>
      <c r="BB3504" s="173"/>
      <c r="BC3504" s="173"/>
    </row>
    <row r="3505" spans="2:55" s="134" customFormat="1" x14ac:dyDescent="0.2">
      <c r="B3505" s="145"/>
      <c r="D3505" s="145"/>
      <c r="Z3505" s="177"/>
      <c r="AA3505" s="178"/>
      <c r="AB3505" s="139"/>
      <c r="AC3505" s="173"/>
      <c r="AD3505" s="177"/>
      <c r="AE3505" s="177"/>
      <c r="AF3505" s="139"/>
      <c r="AG3505" s="139"/>
      <c r="AH3505" s="177"/>
      <c r="AI3505" s="178"/>
      <c r="AJ3505" s="139"/>
      <c r="AK3505" s="173"/>
      <c r="AL3505" s="177"/>
      <c r="AM3505" s="178"/>
      <c r="AN3505" s="173"/>
      <c r="AO3505" s="173"/>
      <c r="AP3505" s="173"/>
      <c r="AQ3505" s="178"/>
      <c r="AR3505" s="173"/>
      <c r="AS3505" s="173"/>
      <c r="AT3505" s="140"/>
      <c r="AX3505" s="140"/>
      <c r="BB3505" s="173"/>
      <c r="BC3505" s="173"/>
    </row>
    <row r="3506" spans="2:55" s="134" customFormat="1" x14ac:dyDescent="0.2">
      <c r="B3506" s="145"/>
      <c r="D3506" s="145"/>
      <c r="Z3506" s="177"/>
      <c r="AA3506" s="178"/>
      <c r="AB3506" s="139"/>
      <c r="AC3506" s="173"/>
      <c r="AD3506" s="177"/>
      <c r="AE3506" s="177"/>
      <c r="AF3506" s="139"/>
      <c r="AG3506" s="139"/>
      <c r="AH3506" s="177"/>
      <c r="AI3506" s="178"/>
      <c r="AJ3506" s="139"/>
      <c r="AK3506" s="173"/>
      <c r="AL3506" s="177"/>
      <c r="AM3506" s="178"/>
      <c r="AN3506" s="173"/>
      <c r="AO3506" s="173"/>
      <c r="AP3506" s="173"/>
      <c r="AQ3506" s="178"/>
      <c r="AR3506" s="173"/>
      <c r="AS3506" s="173"/>
      <c r="AT3506" s="140"/>
      <c r="AX3506" s="140"/>
      <c r="BB3506" s="173"/>
      <c r="BC3506" s="173"/>
    </row>
    <row r="3507" spans="2:55" s="134" customFormat="1" x14ac:dyDescent="0.2">
      <c r="B3507" s="145"/>
      <c r="D3507" s="145"/>
      <c r="Z3507" s="177"/>
      <c r="AA3507" s="178"/>
      <c r="AB3507" s="139"/>
      <c r="AC3507" s="173"/>
      <c r="AD3507" s="177"/>
      <c r="AE3507" s="177"/>
      <c r="AF3507" s="139"/>
      <c r="AG3507" s="139"/>
      <c r="AH3507" s="177"/>
      <c r="AI3507" s="178"/>
      <c r="AJ3507" s="139"/>
      <c r="AK3507" s="173"/>
      <c r="AL3507" s="177"/>
      <c r="AM3507" s="178"/>
      <c r="AN3507" s="173"/>
      <c r="AO3507" s="173"/>
      <c r="AP3507" s="173"/>
      <c r="AQ3507" s="178"/>
      <c r="AR3507" s="173"/>
      <c r="AS3507" s="173"/>
      <c r="AT3507" s="140"/>
      <c r="AX3507" s="140"/>
      <c r="BB3507" s="173"/>
      <c r="BC3507" s="173"/>
    </row>
    <row r="3508" spans="2:55" s="134" customFormat="1" x14ac:dyDescent="0.2">
      <c r="B3508" s="145"/>
      <c r="D3508" s="145"/>
      <c r="Z3508" s="177"/>
      <c r="AA3508" s="178"/>
      <c r="AB3508" s="139"/>
      <c r="AC3508" s="173"/>
      <c r="AD3508" s="177"/>
      <c r="AE3508" s="177"/>
      <c r="AF3508" s="139"/>
      <c r="AG3508" s="139"/>
      <c r="AH3508" s="177"/>
      <c r="AI3508" s="178"/>
      <c r="AJ3508" s="139"/>
      <c r="AK3508" s="173"/>
      <c r="AL3508" s="177"/>
      <c r="AM3508" s="178"/>
      <c r="AN3508" s="173"/>
      <c r="AO3508" s="173"/>
      <c r="AP3508" s="173"/>
      <c r="AQ3508" s="178"/>
      <c r="AR3508" s="173"/>
      <c r="AS3508" s="173"/>
      <c r="AT3508" s="140"/>
      <c r="AX3508" s="140"/>
      <c r="BB3508" s="173"/>
      <c r="BC3508" s="173"/>
    </row>
    <row r="3509" spans="2:55" s="134" customFormat="1" x14ac:dyDescent="0.2">
      <c r="B3509" s="145"/>
      <c r="D3509" s="145"/>
      <c r="Z3509" s="177"/>
      <c r="AA3509" s="178"/>
      <c r="AB3509" s="139"/>
      <c r="AC3509" s="173"/>
      <c r="AD3509" s="177"/>
      <c r="AE3509" s="177"/>
      <c r="AF3509" s="139"/>
      <c r="AG3509" s="139"/>
      <c r="AH3509" s="177"/>
      <c r="AI3509" s="178"/>
      <c r="AJ3509" s="139"/>
      <c r="AK3509" s="173"/>
      <c r="AL3509" s="177"/>
      <c r="AM3509" s="178"/>
      <c r="AN3509" s="173"/>
      <c r="AO3509" s="173"/>
      <c r="AP3509" s="173"/>
      <c r="AQ3509" s="178"/>
      <c r="AR3509" s="173"/>
      <c r="AS3509" s="173"/>
      <c r="AT3509" s="140"/>
      <c r="AX3509" s="140"/>
      <c r="BB3509" s="173"/>
      <c r="BC3509" s="173"/>
    </row>
    <row r="3510" spans="2:55" s="134" customFormat="1" x14ac:dyDescent="0.2">
      <c r="B3510" s="145"/>
      <c r="D3510" s="145"/>
      <c r="Z3510" s="177"/>
      <c r="AA3510" s="178"/>
      <c r="AB3510" s="139"/>
      <c r="AC3510" s="173"/>
      <c r="AD3510" s="177"/>
      <c r="AE3510" s="177"/>
      <c r="AF3510" s="139"/>
      <c r="AG3510" s="139"/>
      <c r="AH3510" s="177"/>
      <c r="AI3510" s="178"/>
      <c r="AJ3510" s="139"/>
      <c r="AK3510" s="173"/>
      <c r="AL3510" s="177"/>
      <c r="AM3510" s="178"/>
      <c r="AN3510" s="173"/>
      <c r="AO3510" s="173"/>
      <c r="AP3510" s="173"/>
      <c r="AQ3510" s="178"/>
      <c r="AR3510" s="173"/>
      <c r="AS3510" s="173"/>
      <c r="AT3510" s="140"/>
      <c r="AX3510" s="140"/>
      <c r="BB3510" s="173"/>
      <c r="BC3510" s="173"/>
    </row>
    <row r="3511" spans="2:55" s="134" customFormat="1" x14ac:dyDescent="0.2">
      <c r="B3511" s="145"/>
      <c r="D3511" s="145"/>
      <c r="Z3511" s="177"/>
      <c r="AA3511" s="178"/>
      <c r="AB3511" s="139"/>
      <c r="AC3511" s="173"/>
      <c r="AD3511" s="177"/>
      <c r="AE3511" s="177"/>
      <c r="AF3511" s="139"/>
      <c r="AG3511" s="139"/>
      <c r="AH3511" s="177"/>
      <c r="AI3511" s="178"/>
      <c r="AJ3511" s="139"/>
      <c r="AK3511" s="173"/>
      <c r="AL3511" s="177"/>
      <c r="AM3511" s="178"/>
      <c r="AN3511" s="173"/>
      <c r="AO3511" s="173"/>
      <c r="AP3511" s="173"/>
      <c r="AQ3511" s="178"/>
      <c r="AR3511" s="173"/>
      <c r="AS3511" s="173"/>
      <c r="AT3511" s="140"/>
      <c r="AX3511" s="140"/>
      <c r="BB3511" s="173"/>
      <c r="BC3511" s="173"/>
    </row>
    <row r="3512" spans="2:55" s="134" customFormat="1" x14ac:dyDescent="0.2">
      <c r="B3512" s="145"/>
      <c r="D3512" s="145"/>
      <c r="Z3512" s="177"/>
      <c r="AA3512" s="178"/>
      <c r="AB3512" s="139"/>
      <c r="AC3512" s="173"/>
      <c r="AD3512" s="177"/>
      <c r="AE3512" s="177"/>
      <c r="AF3512" s="139"/>
      <c r="AG3512" s="139"/>
      <c r="AH3512" s="177"/>
      <c r="AI3512" s="178"/>
      <c r="AJ3512" s="139"/>
      <c r="AK3512" s="173"/>
      <c r="AL3512" s="177"/>
      <c r="AM3512" s="178"/>
      <c r="AN3512" s="173"/>
      <c r="AO3512" s="173"/>
      <c r="AP3512" s="173"/>
      <c r="AQ3512" s="178"/>
      <c r="AR3512" s="173"/>
      <c r="AS3512" s="173"/>
      <c r="AT3512" s="140"/>
      <c r="AX3512" s="140"/>
      <c r="BB3512" s="173"/>
      <c r="BC3512" s="173"/>
    </row>
    <row r="3513" spans="2:55" s="134" customFormat="1" x14ac:dyDescent="0.2">
      <c r="B3513" s="145"/>
      <c r="D3513" s="145"/>
      <c r="Z3513" s="177"/>
      <c r="AA3513" s="178"/>
      <c r="AB3513" s="139"/>
      <c r="AC3513" s="173"/>
      <c r="AD3513" s="177"/>
      <c r="AE3513" s="177"/>
      <c r="AF3513" s="139"/>
      <c r="AG3513" s="139"/>
      <c r="AH3513" s="177"/>
      <c r="AI3513" s="178"/>
      <c r="AJ3513" s="139"/>
      <c r="AK3513" s="173"/>
      <c r="AL3513" s="177"/>
      <c r="AM3513" s="178"/>
      <c r="AN3513" s="173"/>
      <c r="AO3513" s="173"/>
      <c r="AP3513" s="173"/>
      <c r="AQ3513" s="178"/>
      <c r="AR3513" s="173"/>
      <c r="AS3513" s="173"/>
      <c r="AT3513" s="140"/>
      <c r="AX3513" s="140"/>
      <c r="BB3513" s="173"/>
      <c r="BC3513" s="173"/>
    </row>
    <row r="3514" spans="2:55" s="134" customFormat="1" x14ac:dyDescent="0.2">
      <c r="B3514" s="145"/>
      <c r="D3514" s="145"/>
      <c r="Z3514" s="177"/>
      <c r="AA3514" s="178"/>
      <c r="AB3514" s="139"/>
      <c r="AC3514" s="173"/>
      <c r="AD3514" s="177"/>
      <c r="AE3514" s="177"/>
      <c r="AF3514" s="139"/>
      <c r="AG3514" s="139"/>
      <c r="AH3514" s="177"/>
      <c r="AI3514" s="178"/>
      <c r="AJ3514" s="139"/>
      <c r="AK3514" s="173"/>
      <c r="AL3514" s="177"/>
      <c r="AM3514" s="178"/>
      <c r="AN3514" s="173"/>
      <c r="AO3514" s="173"/>
      <c r="AP3514" s="173"/>
      <c r="AQ3514" s="178"/>
      <c r="AR3514" s="173"/>
      <c r="AS3514" s="173"/>
      <c r="AT3514" s="140"/>
      <c r="AX3514" s="140"/>
      <c r="BB3514" s="173"/>
      <c r="BC3514" s="173"/>
    </row>
    <row r="3515" spans="2:55" s="134" customFormat="1" x14ac:dyDescent="0.2">
      <c r="B3515" s="145"/>
      <c r="D3515" s="145"/>
      <c r="Z3515" s="177"/>
      <c r="AA3515" s="178"/>
      <c r="AB3515" s="139"/>
      <c r="AC3515" s="173"/>
      <c r="AD3515" s="177"/>
      <c r="AE3515" s="177"/>
      <c r="AF3515" s="139"/>
      <c r="AG3515" s="139"/>
      <c r="AH3515" s="177"/>
      <c r="AI3515" s="178"/>
      <c r="AJ3515" s="139"/>
      <c r="AK3515" s="173"/>
      <c r="AL3515" s="177"/>
      <c r="AM3515" s="178"/>
      <c r="AN3515" s="173"/>
      <c r="AO3515" s="173"/>
      <c r="AP3515" s="173"/>
      <c r="AQ3515" s="178"/>
      <c r="AR3515" s="173"/>
      <c r="AS3515" s="173"/>
      <c r="AT3515" s="140"/>
      <c r="AX3515" s="140"/>
      <c r="BB3515" s="173"/>
      <c r="BC3515" s="173"/>
    </row>
    <row r="3516" spans="2:55" s="134" customFormat="1" x14ac:dyDescent="0.2">
      <c r="B3516" s="145"/>
      <c r="D3516" s="145"/>
      <c r="Z3516" s="177"/>
      <c r="AA3516" s="178"/>
      <c r="AB3516" s="139"/>
      <c r="AC3516" s="173"/>
      <c r="AD3516" s="177"/>
      <c r="AE3516" s="177"/>
      <c r="AF3516" s="139"/>
      <c r="AG3516" s="139"/>
      <c r="AH3516" s="177"/>
      <c r="AI3516" s="178"/>
      <c r="AJ3516" s="139"/>
      <c r="AK3516" s="173"/>
      <c r="AL3516" s="177"/>
      <c r="AM3516" s="178"/>
      <c r="AN3516" s="173"/>
      <c r="AO3516" s="173"/>
      <c r="AP3516" s="173"/>
      <c r="AQ3516" s="178"/>
      <c r="AR3516" s="173"/>
      <c r="AS3516" s="173"/>
      <c r="AT3516" s="140"/>
      <c r="AX3516" s="140"/>
      <c r="BB3516" s="173"/>
      <c r="BC3516" s="173"/>
    </row>
    <row r="3517" spans="2:55" s="134" customFormat="1" x14ac:dyDescent="0.2">
      <c r="B3517" s="145"/>
      <c r="D3517" s="145"/>
      <c r="Z3517" s="177"/>
      <c r="AA3517" s="178"/>
      <c r="AB3517" s="139"/>
      <c r="AC3517" s="173"/>
      <c r="AD3517" s="177"/>
      <c r="AE3517" s="177"/>
      <c r="AF3517" s="139"/>
      <c r="AG3517" s="139"/>
      <c r="AH3517" s="177"/>
      <c r="AI3517" s="178"/>
      <c r="AJ3517" s="139"/>
      <c r="AK3517" s="173"/>
      <c r="AL3517" s="177"/>
      <c r="AM3517" s="178"/>
      <c r="AN3517" s="173"/>
      <c r="AO3517" s="173"/>
      <c r="AP3517" s="173"/>
      <c r="AQ3517" s="178"/>
      <c r="AR3517" s="173"/>
      <c r="AS3517" s="173"/>
      <c r="AT3517" s="140"/>
      <c r="AX3517" s="140"/>
      <c r="BB3517" s="173"/>
      <c r="BC3517" s="173"/>
    </row>
    <row r="3518" spans="2:55" s="134" customFormat="1" x14ac:dyDescent="0.2">
      <c r="B3518" s="145"/>
      <c r="D3518" s="145"/>
      <c r="Z3518" s="177"/>
      <c r="AA3518" s="178"/>
      <c r="AB3518" s="139"/>
      <c r="AC3518" s="173"/>
      <c r="AD3518" s="177"/>
      <c r="AE3518" s="177"/>
      <c r="AF3518" s="139"/>
      <c r="AG3518" s="139"/>
      <c r="AH3518" s="177"/>
      <c r="AI3518" s="178"/>
      <c r="AJ3518" s="139"/>
      <c r="AK3518" s="173"/>
      <c r="AL3518" s="177"/>
      <c r="AM3518" s="178"/>
      <c r="AN3518" s="173"/>
      <c r="AO3518" s="173"/>
      <c r="AP3518" s="173"/>
      <c r="AQ3518" s="178"/>
      <c r="AR3518" s="173"/>
      <c r="AS3518" s="173"/>
      <c r="AT3518" s="140"/>
      <c r="AX3518" s="140"/>
      <c r="BB3518" s="173"/>
      <c r="BC3518" s="173"/>
    </row>
    <row r="3519" spans="2:55" s="134" customFormat="1" x14ac:dyDescent="0.2">
      <c r="B3519" s="145"/>
      <c r="D3519" s="145"/>
      <c r="Z3519" s="177"/>
      <c r="AA3519" s="178"/>
      <c r="AB3519" s="139"/>
      <c r="AC3519" s="173"/>
      <c r="AD3519" s="177"/>
      <c r="AE3519" s="177"/>
      <c r="AF3519" s="139"/>
      <c r="AG3519" s="139"/>
      <c r="AH3519" s="177"/>
      <c r="AI3519" s="178"/>
      <c r="AJ3519" s="139"/>
      <c r="AK3519" s="173"/>
      <c r="AL3519" s="177"/>
      <c r="AM3519" s="178"/>
      <c r="AN3519" s="173"/>
      <c r="AO3519" s="173"/>
      <c r="AP3519" s="173"/>
      <c r="AQ3519" s="178"/>
      <c r="AR3519" s="173"/>
      <c r="AS3519" s="173"/>
      <c r="AT3519" s="140"/>
      <c r="AX3519" s="140"/>
      <c r="BB3519" s="173"/>
      <c r="BC3519" s="173"/>
    </row>
    <row r="3520" spans="2:55" s="134" customFormat="1" x14ac:dyDescent="0.2">
      <c r="B3520" s="145"/>
      <c r="D3520" s="145"/>
      <c r="Z3520" s="177"/>
      <c r="AA3520" s="178"/>
      <c r="AB3520" s="139"/>
      <c r="AC3520" s="173"/>
      <c r="AD3520" s="177"/>
      <c r="AE3520" s="177"/>
      <c r="AF3520" s="139"/>
      <c r="AG3520" s="139"/>
      <c r="AH3520" s="177"/>
      <c r="AI3520" s="178"/>
      <c r="AJ3520" s="139"/>
      <c r="AK3520" s="173"/>
      <c r="AL3520" s="177"/>
      <c r="AM3520" s="178"/>
      <c r="AN3520" s="173"/>
      <c r="AO3520" s="173"/>
      <c r="AP3520" s="173"/>
      <c r="AQ3520" s="178"/>
      <c r="AR3520" s="173"/>
      <c r="AS3520" s="173"/>
      <c r="AT3520" s="140"/>
      <c r="AX3520" s="140"/>
      <c r="BB3520" s="173"/>
      <c r="BC3520" s="173"/>
    </row>
    <row r="3521" spans="2:55" s="134" customFormat="1" x14ac:dyDescent="0.2">
      <c r="B3521" s="145"/>
      <c r="D3521" s="145"/>
      <c r="Z3521" s="177"/>
      <c r="AA3521" s="178"/>
      <c r="AB3521" s="139"/>
      <c r="AC3521" s="173"/>
      <c r="AD3521" s="177"/>
      <c r="AE3521" s="177"/>
      <c r="AF3521" s="139"/>
      <c r="AG3521" s="139"/>
      <c r="AH3521" s="177"/>
      <c r="AI3521" s="178"/>
      <c r="AJ3521" s="139"/>
      <c r="AK3521" s="173"/>
      <c r="AL3521" s="177"/>
      <c r="AM3521" s="178"/>
      <c r="AN3521" s="173"/>
      <c r="AO3521" s="173"/>
      <c r="AP3521" s="173"/>
      <c r="AQ3521" s="178"/>
      <c r="AR3521" s="173"/>
      <c r="AS3521" s="173"/>
      <c r="AT3521" s="140"/>
      <c r="AX3521" s="140"/>
      <c r="BB3521" s="173"/>
      <c r="BC3521" s="173"/>
    </row>
    <row r="3522" spans="2:55" s="134" customFormat="1" x14ac:dyDescent="0.2">
      <c r="B3522" s="145"/>
      <c r="D3522" s="145"/>
      <c r="Z3522" s="177"/>
      <c r="AA3522" s="178"/>
      <c r="AB3522" s="139"/>
      <c r="AC3522" s="173"/>
      <c r="AD3522" s="177"/>
      <c r="AE3522" s="177"/>
      <c r="AF3522" s="139"/>
      <c r="AG3522" s="139"/>
      <c r="AH3522" s="177"/>
      <c r="AI3522" s="178"/>
      <c r="AJ3522" s="139"/>
      <c r="AK3522" s="173"/>
      <c r="AL3522" s="177"/>
      <c r="AM3522" s="178"/>
      <c r="AN3522" s="173"/>
      <c r="AO3522" s="173"/>
      <c r="AP3522" s="173"/>
      <c r="AQ3522" s="178"/>
      <c r="AR3522" s="173"/>
      <c r="AS3522" s="173"/>
      <c r="AT3522" s="140"/>
      <c r="AX3522" s="140"/>
      <c r="BB3522" s="173"/>
      <c r="BC3522" s="173"/>
    </row>
    <row r="3523" spans="2:55" s="134" customFormat="1" x14ac:dyDescent="0.2">
      <c r="B3523" s="145"/>
      <c r="D3523" s="145"/>
      <c r="Z3523" s="177"/>
      <c r="AA3523" s="178"/>
      <c r="AB3523" s="139"/>
      <c r="AC3523" s="173"/>
      <c r="AD3523" s="177"/>
      <c r="AE3523" s="177"/>
      <c r="AF3523" s="139"/>
      <c r="AG3523" s="139"/>
      <c r="AH3523" s="177"/>
      <c r="AI3523" s="178"/>
      <c r="AJ3523" s="139"/>
      <c r="AK3523" s="173"/>
      <c r="AL3523" s="177"/>
      <c r="AM3523" s="178"/>
      <c r="AN3523" s="173"/>
      <c r="AO3523" s="173"/>
      <c r="AP3523" s="173"/>
      <c r="AQ3523" s="178"/>
      <c r="AR3523" s="173"/>
      <c r="AS3523" s="173"/>
      <c r="AT3523" s="140"/>
      <c r="AX3523" s="140"/>
      <c r="BB3523" s="173"/>
      <c r="BC3523" s="173"/>
    </row>
    <row r="3524" spans="2:55" s="134" customFormat="1" x14ac:dyDescent="0.2">
      <c r="B3524" s="145"/>
      <c r="D3524" s="145"/>
      <c r="Z3524" s="177"/>
      <c r="AA3524" s="178"/>
      <c r="AB3524" s="139"/>
      <c r="AC3524" s="173"/>
      <c r="AD3524" s="177"/>
      <c r="AE3524" s="177"/>
      <c r="AF3524" s="139"/>
      <c r="AG3524" s="139"/>
      <c r="AH3524" s="177"/>
      <c r="AI3524" s="178"/>
      <c r="AJ3524" s="139"/>
      <c r="AK3524" s="173"/>
      <c r="AL3524" s="177"/>
      <c r="AM3524" s="178"/>
      <c r="AN3524" s="173"/>
      <c r="AO3524" s="173"/>
      <c r="AP3524" s="173"/>
      <c r="AQ3524" s="178"/>
      <c r="AR3524" s="173"/>
      <c r="AS3524" s="173"/>
      <c r="AT3524" s="140"/>
      <c r="AX3524" s="140"/>
      <c r="BB3524" s="173"/>
      <c r="BC3524" s="173"/>
    </row>
    <row r="3525" spans="2:55" s="134" customFormat="1" x14ac:dyDescent="0.2">
      <c r="B3525" s="145"/>
      <c r="D3525" s="145"/>
      <c r="Z3525" s="177"/>
      <c r="AA3525" s="178"/>
      <c r="AB3525" s="139"/>
      <c r="AC3525" s="173"/>
      <c r="AD3525" s="177"/>
      <c r="AE3525" s="177"/>
      <c r="AF3525" s="139"/>
      <c r="AG3525" s="139"/>
      <c r="AH3525" s="177"/>
      <c r="AI3525" s="178"/>
      <c r="AJ3525" s="139"/>
      <c r="AK3525" s="173"/>
      <c r="AL3525" s="177"/>
      <c r="AM3525" s="178"/>
      <c r="AN3525" s="173"/>
      <c r="AO3525" s="173"/>
      <c r="AP3525" s="173"/>
      <c r="AQ3525" s="178"/>
      <c r="AR3525" s="173"/>
      <c r="AS3525" s="173"/>
      <c r="AT3525" s="140"/>
      <c r="AX3525" s="140"/>
      <c r="BB3525" s="173"/>
      <c r="BC3525" s="173"/>
    </row>
    <row r="3526" spans="2:55" s="134" customFormat="1" x14ac:dyDescent="0.2">
      <c r="B3526" s="145"/>
      <c r="D3526" s="145"/>
      <c r="Z3526" s="177"/>
      <c r="AA3526" s="178"/>
      <c r="AB3526" s="139"/>
      <c r="AC3526" s="173"/>
      <c r="AD3526" s="177"/>
      <c r="AE3526" s="177"/>
      <c r="AF3526" s="139"/>
      <c r="AG3526" s="139"/>
      <c r="AH3526" s="177"/>
      <c r="AI3526" s="178"/>
      <c r="AJ3526" s="139"/>
      <c r="AK3526" s="173"/>
      <c r="AL3526" s="177"/>
      <c r="AM3526" s="178"/>
      <c r="AN3526" s="173"/>
      <c r="AO3526" s="173"/>
      <c r="AP3526" s="173"/>
      <c r="AQ3526" s="178"/>
      <c r="AR3526" s="173"/>
      <c r="AS3526" s="173"/>
      <c r="AT3526" s="140"/>
      <c r="AX3526" s="140"/>
      <c r="BB3526" s="173"/>
      <c r="BC3526" s="173"/>
    </row>
    <row r="3527" spans="2:55" s="134" customFormat="1" x14ac:dyDescent="0.2">
      <c r="B3527" s="145"/>
      <c r="D3527" s="145"/>
      <c r="Z3527" s="177"/>
      <c r="AA3527" s="178"/>
      <c r="AB3527" s="139"/>
      <c r="AC3527" s="173"/>
      <c r="AD3527" s="177"/>
      <c r="AE3527" s="177"/>
      <c r="AF3527" s="139"/>
      <c r="AG3527" s="139"/>
      <c r="AH3527" s="177"/>
      <c r="AI3527" s="178"/>
      <c r="AJ3527" s="139"/>
      <c r="AK3527" s="173"/>
      <c r="AL3527" s="177"/>
      <c r="AM3527" s="178"/>
      <c r="AN3527" s="173"/>
      <c r="AO3527" s="173"/>
      <c r="AP3527" s="173"/>
      <c r="AQ3527" s="178"/>
      <c r="AR3527" s="173"/>
      <c r="AS3527" s="173"/>
      <c r="AT3527" s="140"/>
      <c r="AX3527" s="140"/>
      <c r="BB3527" s="173"/>
      <c r="BC3527" s="173"/>
    </row>
    <row r="3528" spans="2:55" s="134" customFormat="1" x14ac:dyDescent="0.2">
      <c r="B3528" s="145"/>
      <c r="D3528" s="145"/>
      <c r="Z3528" s="177"/>
      <c r="AA3528" s="178"/>
      <c r="AB3528" s="139"/>
      <c r="AC3528" s="173"/>
      <c r="AD3528" s="177"/>
      <c r="AE3528" s="177"/>
      <c r="AF3528" s="139"/>
      <c r="AG3528" s="139"/>
      <c r="AH3528" s="177"/>
      <c r="AI3528" s="178"/>
      <c r="AJ3528" s="139"/>
      <c r="AK3528" s="173"/>
      <c r="AL3528" s="177"/>
      <c r="AM3528" s="178"/>
      <c r="AN3528" s="173"/>
      <c r="AO3528" s="173"/>
      <c r="AP3528" s="173"/>
      <c r="AQ3528" s="178"/>
      <c r="AR3528" s="173"/>
      <c r="AS3528" s="173"/>
      <c r="AT3528" s="140"/>
      <c r="AX3528" s="140"/>
      <c r="BB3528" s="173"/>
      <c r="BC3528" s="173"/>
    </row>
    <row r="3529" spans="2:55" s="134" customFormat="1" x14ac:dyDescent="0.2">
      <c r="B3529" s="145"/>
      <c r="D3529" s="145"/>
      <c r="Z3529" s="177"/>
      <c r="AA3529" s="178"/>
      <c r="AB3529" s="139"/>
      <c r="AC3529" s="173"/>
      <c r="AD3529" s="177"/>
      <c r="AE3529" s="177"/>
      <c r="AF3529" s="139"/>
      <c r="AG3529" s="139"/>
      <c r="AH3529" s="177"/>
      <c r="AI3529" s="178"/>
      <c r="AJ3529" s="139"/>
      <c r="AK3529" s="173"/>
      <c r="AL3529" s="177"/>
      <c r="AM3529" s="178"/>
      <c r="AN3529" s="173"/>
      <c r="AO3529" s="173"/>
      <c r="AP3529" s="173"/>
      <c r="AQ3529" s="178"/>
      <c r="AR3529" s="173"/>
      <c r="AS3529" s="173"/>
      <c r="AT3529" s="140"/>
      <c r="AX3529" s="140"/>
      <c r="BB3529" s="173"/>
      <c r="BC3529" s="173"/>
    </row>
    <row r="3530" spans="2:55" s="134" customFormat="1" x14ac:dyDescent="0.2">
      <c r="B3530" s="145"/>
      <c r="D3530" s="145"/>
      <c r="Z3530" s="177"/>
      <c r="AA3530" s="178"/>
      <c r="AB3530" s="139"/>
      <c r="AC3530" s="173"/>
      <c r="AD3530" s="177"/>
      <c r="AE3530" s="177"/>
      <c r="AF3530" s="139"/>
      <c r="AG3530" s="139"/>
      <c r="AH3530" s="177"/>
      <c r="AI3530" s="178"/>
      <c r="AJ3530" s="139"/>
      <c r="AK3530" s="173"/>
      <c r="AL3530" s="177"/>
      <c r="AM3530" s="178"/>
      <c r="AN3530" s="173"/>
      <c r="AO3530" s="173"/>
      <c r="AP3530" s="173"/>
      <c r="AQ3530" s="178"/>
      <c r="AR3530" s="173"/>
      <c r="AS3530" s="173"/>
      <c r="AT3530" s="140"/>
      <c r="AX3530" s="140"/>
      <c r="BB3530" s="173"/>
      <c r="BC3530" s="173"/>
    </row>
    <row r="3531" spans="2:55" s="134" customFormat="1" x14ac:dyDescent="0.2">
      <c r="B3531" s="145"/>
      <c r="D3531" s="145"/>
      <c r="Z3531" s="177"/>
      <c r="AA3531" s="178"/>
      <c r="AB3531" s="139"/>
      <c r="AC3531" s="173"/>
      <c r="AD3531" s="177"/>
      <c r="AE3531" s="177"/>
      <c r="AF3531" s="139"/>
      <c r="AG3531" s="139"/>
      <c r="AH3531" s="177"/>
      <c r="AI3531" s="178"/>
      <c r="AJ3531" s="139"/>
      <c r="AK3531" s="173"/>
      <c r="AL3531" s="177"/>
      <c r="AM3531" s="178"/>
      <c r="AN3531" s="173"/>
      <c r="AO3531" s="173"/>
      <c r="AP3531" s="173"/>
      <c r="AQ3531" s="178"/>
      <c r="AR3531" s="173"/>
      <c r="AS3531" s="173"/>
      <c r="AT3531" s="140"/>
      <c r="AX3531" s="140"/>
      <c r="BB3531" s="173"/>
      <c r="BC3531" s="173"/>
    </row>
    <row r="3532" spans="2:55" s="134" customFormat="1" x14ac:dyDescent="0.2">
      <c r="B3532" s="145"/>
      <c r="D3532" s="145"/>
      <c r="Z3532" s="177"/>
      <c r="AA3532" s="178"/>
      <c r="AB3532" s="139"/>
      <c r="AC3532" s="173"/>
      <c r="AD3532" s="177"/>
      <c r="AE3532" s="177"/>
      <c r="AF3532" s="139"/>
      <c r="AG3532" s="139"/>
      <c r="AH3532" s="177"/>
      <c r="AI3532" s="178"/>
      <c r="AJ3532" s="139"/>
      <c r="AK3532" s="173"/>
      <c r="AL3532" s="177"/>
      <c r="AM3532" s="178"/>
      <c r="AN3532" s="173"/>
      <c r="AO3532" s="173"/>
      <c r="AP3532" s="173"/>
      <c r="AQ3532" s="178"/>
      <c r="AR3532" s="173"/>
      <c r="AS3532" s="173"/>
      <c r="AT3532" s="140"/>
      <c r="AX3532" s="140"/>
      <c r="BB3532" s="173"/>
      <c r="BC3532" s="173"/>
    </row>
    <row r="3533" spans="2:55" s="134" customFormat="1" x14ac:dyDescent="0.2">
      <c r="B3533" s="145"/>
      <c r="D3533" s="145"/>
      <c r="Z3533" s="177"/>
      <c r="AA3533" s="178"/>
      <c r="AB3533" s="139"/>
      <c r="AC3533" s="173"/>
      <c r="AD3533" s="177"/>
      <c r="AE3533" s="177"/>
      <c r="AF3533" s="139"/>
      <c r="AG3533" s="139"/>
      <c r="AH3533" s="177"/>
      <c r="AI3533" s="178"/>
      <c r="AJ3533" s="139"/>
      <c r="AK3533" s="173"/>
      <c r="AL3533" s="177"/>
      <c r="AM3533" s="178"/>
      <c r="AN3533" s="173"/>
      <c r="AO3533" s="173"/>
      <c r="AP3533" s="173"/>
      <c r="AQ3533" s="178"/>
      <c r="AR3533" s="173"/>
      <c r="AS3533" s="173"/>
      <c r="AT3533" s="140"/>
      <c r="AX3533" s="140"/>
      <c r="BB3533" s="173"/>
      <c r="BC3533" s="173"/>
    </row>
    <row r="3534" spans="2:55" s="134" customFormat="1" x14ac:dyDescent="0.2">
      <c r="B3534" s="145"/>
      <c r="D3534" s="145"/>
      <c r="Z3534" s="177"/>
      <c r="AA3534" s="178"/>
      <c r="AB3534" s="139"/>
      <c r="AC3534" s="173"/>
      <c r="AD3534" s="177"/>
      <c r="AE3534" s="177"/>
      <c r="AF3534" s="139"/>
      <c r="AG3534" s="139"/>
      <c r="AH3534" s="177"/>
      <c r="AI3534" s="178"/>
      <c r="AJ3534" s="139"/>
      <c r="AK3534" s="173"/>
      <c r="AL3534" s="177"/>
      <c r="AM3534" s="178"/>
      <c r="AN3534" s="173"/>
      <c r="AO3534" s="173"/>
      <c r="AP3534" s="173"/>
      <c r="AQ3534" s="178"/>
      <c r="AR3534" s="173"/>
      <c r="AS3534" s="173"/>
      <c r="AT3534" s="140"/>
      <c r="AX3534" s="140"/>
      <c r="BB3534" s="173"/>
      <c r="BC3534" s="173"/>
    </row>
    <row r="3535" spans="2:55" s="134" customFormat="1" x14ac:dyDescent="0.2">
      <c r="B3535" s="145"/>
      <c r="D3535" s="145"/>
      <c r="Z3535" s="177"/>
      <c r="AA3535" s="178"/>
      <c r="AB3535" s="139"/>
      <c r="AC3535" s="173"/>
      <c r="AD3535" s="177"/>
      <c r="AE3535" s="177"/>
      <c r="AF3535" s="139"/>
      <c r="AG3535" s="139"/>
      <c r="AH3535" s="177"/>
      <c r="AI3535" s="178"/>
      <c r="AJ3535" s="139"/>
      <c r="AK3535" s="173"/>
      <c r="AL3535" s="177"/>
      <c r="AM3535" s="178"/>
      <c r="AN3535" s="173"/>
      <c r="AO3535" s="173"/>
      <c r="AP3535" s="173"/>
      <c r="AQ3535" s="178"/>
      <c r="AR3535" s="173"/>
      <c r="AS3535" s="173"/>
      <c r="AT3535" s="140"/>
      <c r="AX3535" s="140"/>
      <c r="BB3535" s="173"/>
      <c r="BC3535" s="173"/>
    </row>
    <row r="3536" spans="2:55" s="134" customFormat="1" x14ac:dyDescent="0.2">
      <c r="B3536" s="145"/>
      <c r="D3536" s="145"/>
      <c r="Z3536" s="177"/>
      <c r="AA3536" s="178"/>
      <c r="AB3536" s="139"/>
      <c r="AC3536" s="173"/>
      <c r="AD3536" s="177"/>
      <c r="AE3536" s="177"/>
      <c r="AF3536" s="139"/>
      <c r="AG3536" s="139"/>
      <c r="AH3536" s="177"/>
      <c r="AI3536" s="178"/>
      <c r="AJ3536" s="139"/>
      <c r="AK3536" s="173"/>
      <c r="AL3536" s="177"/>
      <c r="AM3536" s="178"/>
      <c r="AN3536" s="173"/>
      <c r="AO3536" s="173"/>
      <c r="AP3536" s="173"/>
      <c r="AQ3536" s="178"/>
      <c r="AR3536" s="173"/>
      <c r="AS3536" s="173"/>
      <c r="AT3536" s="140"/>
      <c r="AX3536" s="140"/>
      <c r="BB3536" s="173"/>
      <c r="BC3536" s="173"/>
    </row>
    <row r="3537" spans="2:55" s="134" customFormat="1" x14ac:dyDescent="0.2">
      <c r="B3537" s="145"/>
      <c r="D3537" s="145"/>
      <c r="Z3537" s="177"/>
      <c r="AA3537" s="178"/>
      <c r="AB3537" s="139"/>
      <c r="AC3537" s="173"/>
      <c r="AD3537" s="177"/>
      <c r="AE3537" s="177"/>
      <c r="AF3537" s="139"/>
      <c r="AG3537" s="139"/>
      <c r="AH3537" s="177"/>
      <c r="AI3537" s="178"/>
      <c r="AJ3537" s="139"/>
      <c r="AK3537" s="173"/>
      <c r="AL3537" s="177"/>
      <c r="AM3537" s="178"/>
      <c r="AN3537" s="173"/>
      <c r="AO3537" s="173"/>
      <c r="AP3537" s="173"/>
      <c r="AQ3537" s="178"/>
      <c r="AR3537" s="173"/>
      <c r="AS3537" s="173"/>
      <c r="AT3537" s="140"/>
      <c r="AX3537" s="140"/>
      <c r="BB3537" s="173"/>
      <c r="BC3537" s="173"/>
    </row>
    <row r="3538" spans="2:55" s="134" customFormat="1" x14ac:dyDescent="0.2">
      <c r="B3538" s="145"/>
      <c r="D3538" s="145"/>
      <c r="Z3538" s="177"/>
      <c r="AA3538" s="178"/>
      <c r="AB3538" s="139"/>
      <c r="AC3538" s="173"/>
      <c r="AD3538" s="177"/>
      <c r="AE3538" s="177"/>
      <c r="AF3538" s="139"/>
      <c r="AG3538" s="139"/>
      <c r="AH3538" s="177"/>
      <c r="AI3538" s="178"/>
      <c r="AJ3538" s="139"/>
      <c r="AK3538" s="173"/>
      <c r="AL3538" s="177"/>
      <c r="AM3538" s="178"/>
      <c r="AN3538" s="173"/>
      <c r="AO3538" s="173"/>
      <c r="AP3538" s="173"/>
      <c r="AQ3538" s="178"/>
      <c r="AR3538" s="173"/>
      <c r="AS3538" s="173"/>
      <c r="AT3538" s="140"/>
      <c r="AX3538" s="140"/>
      <c r="BB3538" s="173"/>
      <c r="BC3538" s="173"/>
    </row>
    <row r="3539" spans="2:55" s="134" customFormat="1" x14ac:dyDescent="0.2">
      <c r="B3539" s="145"/>
      <c r="D3539" s="145"/>
      <c r="Z3539" s="177"/>
      <c r="AA3539" s="178"/>
      <c r="AB3539" s="139"/>
      <c r="AC3539" s="173"/>
      <c r="AD3539" s="177"/>
      <c r="AE3539" s="177"/>
      <c r="AF3539" s="139"/>
      <c r="AG3539" s="139"/>
      <c r="AH3539" s="177"/>
      <c r="AI3539" s="178"/>
      <c r="AJ3539" s="139"/>
      <c r="AK3539" s="173"/>
      <c r="AL3539" s="177"/>
      <c r="AM3539" s="178"/>
      <c r="AN3539" s="173"/>
      <c r="AO3539" s="173"/>
      <c r="AP3539" s="173"/>
      <c r="AQ3539" s="178"/>
      <c r="AR3539" s="173"/>
      <c r="AS3539" s="173"/>
      <c r="AT3539" s="140"/>
      <c r="AX3539" s="140"/>
      <c r="BB3539" s="173"/>
      <c r="BC3539" s="173"/>
    </row>
    <row r="3540" spans="2:55" s="134" customFormat="1" x14ac:dyDescent="0.2">
      <c r="B3540" s="145"/>
      <c r="D3540" s="145"/>
      <c r="Z3540" s="177"/>
      <c r="AA3540" s="178"/>
      <c r="AB3540" s="139"/>
      <c r="AC3540" s="173"/>
      <c r="AD3540" s="177"/>
      <c r="AE3540" s="177"/>
      <c r="AF3540" s="139"/>
      <c r="AG3540" s="139"/>
      <c r="AH3540" s="177"/>
      <c r="AI3540" s="178"/>
      <c r="AJ3540" s="139"/>
      <c r="AK3540" s="173"/>
      <c r="AL3540" s="177"/>
      <c r="AM3540" s="178"/>
      <c r="AN3540" s="173"/>
      <c r="AO3540" s="173"/>
      <c r="AP3540" s="173"/>
      <c r="AQ3540" s="178"/>
      <c r="AR3540" s="173"/>
      <c r="AS3540" s="173"/>
      <c r="AT3540" s="140"/>
      <c r="AX3540" s="140"/>
      <c r="BB3540" s="173"/>
      <c r="BC3540" s="173"/>
    </row>
    <row r="3541" spans="2:55" s="134" customFormat="1" x14ac:dyDescent="0.2">
      <c r="B3541" s="145"/>
      <c r="D3541" s="145"/>
      <c r="Z3541" s="177"/>
      <c r="AA3541" s="178"/>
      <c r="AB3541" s="139"/>
      <c r="AC3541" s="173"/>
      <c r="AD3541" s="177"/>
      <c r="AE3541" s="177"/>
      <c r="AF3541" s="139"/>
      <c r="AG3541" s="139"/>
      <c r="AH3541" s="177"/>
      <c r="AI3541" s="178"/>
      <c r="AJ3541" s="139"/>
      <c r="AK3541" s="173"/>
      <c r="AL3541" s="177"/>
      <c r="AM3541" s="178"/>
      <c r="AN3541" s="173"/>
      <c r="AO3541" s="173"/>
      <c r="AP3541" s="173"/>
      <c r="AQ3541" s="178"/>
      <c r="AR3541" s="173"/>
      <c r="AS3541" s="173"/>
      <c r="AT3541" s="140"/>
      <c r="AX3541" s="140"/>
      <c r="BB3541" s="173"/>
      <c r="BC3541" s="173"/>
    </row>
    <row r="3542" spans="2:55" s="134" customFormat="1" x14ac:dyDescent="0.2">
      <c r="B3542" s="145"/>
      <c r="D3542" s="145"/>
      <c r="Z3542" s="177"/>
      <c r="AA3542" s="178"/>
      <c r="AB3542" s="139"/>
      <c r="AC3542" s="173"/>
      <c r="AD3542" s="177"/>
      <c r="AE3542" s="177"/>
      <c r="AF3542" s="139"/>
      <c r="AG3542" s="139"/>
      <c r="AH3542" s="177"/>
      <c r="AI3542" s="178"/>
      <c r="AJ3542" s="139"/>
      <c r="AK3542" s="173"/>
      <c r="AL3542" s="177"/>
      <c r="AM3542" s="178"/>
      <c r="AN3542" s="173"/>
      <c r="AO3542" s="173"/>
      <c r="AP3542" s="173"/>
      <c r="AQ3542" s="178"/>
      <c r="AR3542" s="173"/>
      <c r="AS3542" s="173"/>
      <c r="AT3542" s="140"/>
      <c r="AX3542" s="140"/>
      <c r="BB3542" s="173"/>
      <c r="BC3542" s="173"/>
    </row>
    <row r="3543" spans="2:55" s="134" customFormat="1" x14ac:dyDescent="0.2">
      <c r="B3543" s="145"/>
      <c r="D3543" s="145"/>
      <c r="Z3543" s="177"/>
      <c r="AA3543" s="178"/>
      <c r="AB3543" s="139"/>
      <c r="AC3543" s="173"/>
      <c r="AD3543" s="177"/>
      <c r="AE3543" s="177"/>
      <c r="AF3543" s="139"/>
      <c r="AG3543" s="139"/>
      <c r="AH3543" s="177"/>
      <c r="AI3543" s="178"/>
      <c r="AJ3543" s="139"/>
      <c r="AK3543" s="173"/>
      <c r="AL3543" s="177"/>
      <c r="AM3543" s="178"/>
      <c r="AN3543" s="173"/>
      <c r="AO3543" s="173"/>
      <c r="AP3543" s="173"/>
      <c r="AQ3543" s="178"/>
      <c r="AR3543" s="173"/>
      <c r="AS3543" s="173"/>
      <c r="AT3543" s="140"/>
      <c r="AX3543" s="140"/>
      <c r="BB3543" s="173"/>
      <c r="BC3543" s="173"/>
    </row>
    <row r="3544" spans="2:55" s="134" customFormat="1" x14ac:dyDescent="0.2">
      <c r="B3544" s="145"/>
      <c r="D3544" s="145"/>
      <c r="Z3544" s="177"/>
      <c r="AA3544" s="178"/>
      <c r="AB3544" s="139"/>
      <c r="AC3544" s="173"/>
      <c r="AD3544" s="177"/>
      <c r="AE3544" s="177"/>
      <c r="AF3544" s="139"/>
      <c r="AG3544" s="139"/>
      <c r="AH3544" s="177"/>
      <c r="AI3544" s="178"/>
      <c r="AJ3544" s="139"/>
      <c r="AK3544" s="173"/>
      <c r="AL3544" s="177"/>
      <c r="AM3544" s="178"/>
      <c r="AN3544" s="173"/>
      <c r="AO3544" s="173"/>
      <c r="AP3544" s="173"/>
      <c r="AQ3544" s="178"/>
      <c r="AR3544" s="173"/>
      <c r="AS3544" s="173"/>
      <c r="AT3544" s="140"/>
      <c r="AX3544" s="140"/>
      <c r="BB3544" s="173"/>
      <c r="BC3544" s="173"/>
    </row>
    <row r="3545" spans="2:55" s="134" customFormat="1" x14ac:dyDescent="0.2">
      <c r="B3545" s="145"/>
      <c r="D3545" s="145"/>
      <c r="Z3545" s="177"/>
      <c r="AA3545" s="178"/>
      <c r="AB3545" s="139"/>
      <c r="AC3545" s="173"/>
      <c r="AD3545" s="177"/>
      <c r="AE3545" s="177"/>
      <c r="AF3545" s="139"/>
      <c r="AG3545" s="139"/>
      <c r="AH3545" s="177"/>
      <c r="AI3545" s="178"/>
      <c r="AJ3545" s="139"/>
      <c r="AK3545" s="173"/>
      <c r="AL3545" s="177"/>
      <c r="AM3545" s="178"/>
      <c r="AN3545" s="173"/>
      <c r="AO3545" s="173"/>
      <c r="AP3545" s="173"/>
      <c r="AQ3545" s="178"/>
      <c r="AR3545" s="173"/>
      <c r="AS3545" s="173"/>
      <c r="AT3545" s="140"/>
      <c r="AX3545" s="140"/>
      <c r="BB3545" s="173"/>
      <c r="BC3545" s="173"/>
    </row>
    <row r="3546" spans="2:55" s="134" customFormat="1" x14ac:dyDescent="0.2">
      <c r="B3546" s="145"/>
      <c r="D3546" s="145"/>
      <c r="Z3546" s="177"/>
      <c r="AA3546" s="178"/>
      <c r="AB3546" s="139"/>
      <c r="AC3546" s="173"/>
      <c r="AD3546" s="177"/>
      <c r="AE3546" s="177"/>
      <c r="AF3546" s="139"/>
      <c r="AG3546" s="139"/>
      <c r="AH3546" s="177"/>
      <c r="AI3546" s="178"/>
      <c r="AJ3546" s="139"/>
      <c r="AK3546" s="173"/>
      <c r="AL3546" s="177"/>
      <c r="AM3546" s="178"/>
      <c r="AN3546" s="173"/>
      <c r="AO3546" s="173"/>
      <c r="AP3546" s="173"/>
      <c r="AQ3546" s="178"/>
      <c r="AR3546" s="173"/>
      <c r="AS3546" s="173"/>
      <c r="AT3546" s="140"/>
      <c r="AX3546" s="140"/>
      <c r="BB3546" s="173"/>
      <c r="BC3546" s="173"/>
    </row>
    <row r="3547" spans="2:55" s="134" customFormat="1" x14ac:dyDescent="0.2">
      <c r="B3547" s="145"/>
      <c r="D3547" s="145"/>
      <c r="Z3547" s="177"/>
      <c r="AA3547" s="178"/>
      <c r="AB3547" s="139"/>
      <c r="AC3547" s="173"/>
      <c r="AD3547" s="177"/>
      <c r="AE3547" s="177"/>
      <c r="AF3547" s="139"/>
      <c r="AG3547" s="139"/>
      <c r="AH3547" s="177"/>
      <c r="AI3547" s="178"/>
      <c r="AJ3547" s="139"/>
      <c r="AK3547" s="173"/>
      <c r="AL3547" s="177"/>
      <c r="AM3547" s="178"/>
      <c r="AN3547" s="173"/>
      <c r="AO3547" s="173"/>
      <c r="AP3547" s="173"/>
      <c r="AQ3547" s="178"/>
      <c r="AR3547" s="173"/>
      <c r="AS3547" s="173"/>
      <c r="AT3547" s="140"/>
      <c r="AX3547" s="140"/>
      <c r="BB3547" s="173"/>
      <c r="BC3547" s="173"/>
    </row>
    <row r="3548" spans="2:55" s="134" customFormat="1" x14ac:dyDescent="0.2">
      <c r="B3548" s="145"/>
      <c r="D3548" s="145"/>
      <c r="Z3548" s="177"/>
      <c r="AA3548" s="178"/>
      <c r="AB3548" s="139"/>
      <c r="AC3548" s="173"/>
      <c r="AD3548" s="177"/>
      <c r="AE3548" s="177"/>
      <c r="AF3548" s="139"/>
      <c r="AG3548" s="139"/>
      <c r="AH3548" s="177"/>
      <c r="AI3548" s="178"/>
      <c r="AJ3548" s="139"/>
      <c r="AK3548" s="173"/>
      <c r="AL3548" s="177"/>
      <c r="AM3548" s="178"/>
      <c r="AN3548" s="173"/>
      <c r="AO3548" s="173"/>
      <c r="AP3548" s="173"/>
      <c r="AQ3548" s="178"/>
      <c r="AR3548" s="173"/>
      <c r="AS3548" s="173"/>
      <c r="AT3548" s="140"/>
      <c r="AX3548" s="140"/>
      <c r="BB3548" s="173"/>
      <c r="BC3548" s="173"/>
    </row>
    <row r="3549" spans="2:55" s="134" customFormat="1" x14ac:dyDescent="0.2">
      <c r="B3549" s="145"/>
      <c r="D3549" s="145"/>
      <c r="Z3549" s="177"/>
      <c r="AA3549" s="178"/>
      <c r="AB3549" s="139"/>
      <c r="AC3549" s="173"/>
      <c r="AD3549" s="177"/>
      <c r="AE3549" s="177"/>
      <c r="AF3549" s="139"/>
      <c r="AG3549" s="139"/>
      <c r="AH3549" s="177"/>
      <c r="AI3549" s="178"/>
      <c r="AJ3549" s="139"/>
      <c r="AK3549" s="173"/>
      <c r="AL3549" s="177"/>
      <c r="AM3549" s="178"/>
      <c r="AN3549" s="173"/>
      <c r="AO3549" s="173"/>
      <c r="AP3549" s="173"/>
      <c r="AQ3549" s="178"/>
      <c r="AR3549" s="173"/>
      <c r="AS3549" s="173"/>
      <c r="AT3549" s="140"/>
      <c r="AX3549" s="140"/>
      <c r="BB3549" s="173"/>
      <c r="BC3549" s="173"/>
    </row>
    <row r="3550" spans="2:55" s="134" customFormat="1" x14ac:dyDescent="0.2">
      <c r="B3550" s="145"/>
      <c r="D3550" s="145"/>
      <c r="Z3550" s="177"/>
      <c r="AA3550" s="178"/>
      <c r="AB3550" s="139"/>
      <c r="AC3550" s="173"/>
      <c r="AD3550" s="177"/>
      <c r="AE3550" s="177"/>
      <c r="AF3550" s="139"/>
      <c r="AG3550" s="139"/>
      <c r="AH3550" s="177"/>
      <c r="AI3550" s="178"/>
      <c r="AJ3550" s="139"/>
      <c r="AK3550" s="173"/>
      <c r="AL3550" s="177"/>
      <c r="AM3550" s="178"/>
      <c r="AN3550" s="173"/>
      <c r="AO3550" s="173"/>
      <c r="AP3550" s="173"/>
      <c r="AQ3550" s="178"/>
      <c r="AR3550" s="173"/>
      <c r="AS3550" s="173"/>
      <c r="AT3550" s="140"/>
      <c r="AX3550" s="140"/>
      <c r="BB3550" s="173"/>
      <c r="BC3550" s="173"/>
    </row>
    <row r="3551" spans="2:55" s="134" customFormat="1" x14ac:dyDescent="0.2">
      <c r="B3551" s="145"/>
      <c r="D3551" s="145"/>
      <c r="Z3551" s="177"/>
      <c r="AA3551" s="178"/>
      <c r="AB3551" s="139"/>
      <c r="AC3551" s="173"/>
      <c r="AD3551" s="177"/>
      <c r="AE3551" s="177"/>
      <c r="AF3551" s="139"/>
      <c r="AG3551" s="139"/>
      <c r="AH3551" s="177"/>
      <c r="AI3551" s="178"/>
      <c r="AJ3551" s="139"/>
      <c r="AK3551" s="173"/>
      <c r="AL3551" s="177"/>
      <c r="AM3551" s="178"/>
      <c r="AN3551" s="173"/>
      <c r="AO3551" s="173"/>
      <c r="AP3551" s="173"/>
      <c r="AQ3551" s="178"/>
      <c r="AR3551" s="173"/>
      <c r="AS3551" s="173"/>
      <c r="AT3551" s="140"/>
      <c r="AX3551" s="140"/>
      <c r="BB3551" s="173"/>
      <c r="BC3551" s="173"/>
    </row>
    <row r="3552" spans="2:55" s="134" customFormat="1" x14ac:dyDescent="0.2">
      <c r="B3552" s="145"/>
      <c r="D3552" s="145"/>
      <c r="Z3552" s="177"/>
      <c r="AA3552" s="178"/>
      <c r="AB3552" s="139"/>
      <c r="AC3552" s="173"/>
      <c r="AD3552" s="177"/>
      <c r="AE3552" s="177"/>
      <c r="AF3552" s="139"/>
      <c r="AG3552" s="139"/>
      <c r="AH3552" s="177"/>
      <c r="AI3552" s="178"/>
      <c r="AJ3552" s="139"/>
      <c r="AK3552" s="173"/>
      <c r="AL3552" s="177"/>
      <c r="AM3552" s="178"/>
      <c r="AN3552" s="173"/>
      <c r="AO3552" s="173"/>
      <c r="AP3552" s="173"/>
      <c r="AQ3552" s="178"/>
      <c r="AR3552" s="173"/>
      <c r="AS3552" s="173"/>
      <c r="AT3552" s="140"/>
      <c r="AX3552" s="140"/>
      <c r="BB3552" s="173"/>
      <c r="BC3552" s="173"/>
    </row>
    <row r="3553" spans="2:55" s="134" customFormat="1" x14ac:dyDescent="0.2">
      <c r="B3553" s="145"/>
      <c r="D3553" s="145"/>
      <c r="Z3553" s="177"/>
      <c r="AA3553" s="178"/>
      <c r="AB3553" s="139"/>
      <c r="AC3553" s="173"/>
      <c r="AD3553" s="177"/>
      <c r="AE3553" s="177"/>
      <c r="AF3553" s="139"/>
      <c r="AG3553" s="139"/>
      <c r="AH3553" s="177"/>
      <c r="AI3553" s="178"/>
      <c r="AJ3553" s="139"/>
      <c r="AK3553" s="173"/>
      <c r="AL3553" s="177"/>
      <c r="AM3553" s="178"/>
      <c r="AN3553" s="173"/>
      <c r="AO3553" s="173"/>
      <c r="AP3553" s="173"/>
      <c r="AQ3553" s="178"/>
      <c r="AR3553" s="173"/>
      <c r="AS3553" s="173"/>
      <c r="AT3553" s="140"/>
      <c r="AX3553" s="140"/>
      <c r="BB3553" s="173"/>
      <c r="BC3553" s="173"/>
    </row>
    <row r="3554" spans="2:55" s="134" customFormat="1" x14ac:dyDescent="0.2">
      <c r="B3554" s="145"/>
      <c r="D3554" s="145"/>
      <c r="Z3554" s="177"/>
      <c r="AA3554" s="178"/>
      <c r="AB3554" s="139"/>
      <c r="AC3554" s="173"/>
      <c r="AD3554" s="177"/>
      <c r="AE3554" s="177"/>
      <c r="AF3554" s="139"/>
      <c r="AG3554" s="139"/>
      <c r="AH3554" s="177"/>
      <c r="AI3554" s="178"/>
      <c r="AJ3554" s="139"/>
      <c r="AK3554" s="173"/>
      <c r="AL3554" s="177"/>
      <c r="AM3554" s="178"/>
      <c r="AN3554" s="173"/>
      <c r="AO3554" s="173"/>
      <c r="AP3554" s="173"/>
      <c r="AQ3554" s="178"/>
      <c r="AR3554" s="173"/>
      <c r="AS3554" s="173"/>
      <c r="AT3554" s="140"/>
      <c r="AX3554" s="140"/>
      <c r="BB3554" s="173"/>
      <c r="BC3554" s="173"/>
    </row>
    <row r="3555" spans="2:55" s="134" customFormat="1" x14ac:dyDescent="0.2">
      <c r="B3555" s="145"/>
      <c r="D3555" s="145"/>
      <c r="Z3555" s="177"/>
      <c r="AA3555" s="178"/>
      <c r="AB3555" s="139"/>
      <c r="AC3555" s="173"/>
      <c r="AD3555" s="177"/>
      <c r="AE3555" s="177"/>
      <c r="AF3555" s="139"/>
      <c r="AG3555" s="139"/>
      <c r="AH3555" s="177"/>
      <c r="AI3555" s="178"/>
      <c r="AJ3555" s="139"/>
      <c r="AK3555" s="173"/>
      <c r="AL3555" s="177"/>
      <c r="AM3555" s="178"/>
      <c r="AN3555" s="173"/>
      <c r="AO3555" s="173"/>
      <c r="AP3555" s="173"/>
      <c r="AQ3555" s="178"/>
      <c r="AR3555" s="173"/>
      <c r="AS3555" s="173"/>
      <c r="AT3555" s="140"/>
      <c r="AX3555" s="140"/>
      <c r="BB3555" s="173"/>
      <c r="BC3555" s="173"/>
    </row>
    <row r="3556" spans="2:55" s="134" customFormat="1" x14ac:dyDescent="0.2">
      <c r="B3556" s="145"/>
      <c r="D3556" s="145"/>
      <c r="Z3556" s="177"/>
      <c r="AA3556" s="178"/>
      <c r="AB3556" s="139"/>
      <c r="AC3556" s="173"/>
      <c r="AD3556" s="177"/>
      <c r="AE3556" s="177"/>
      <c r="AF3556" s="139"/>
      <c r="AG3556" s="139"/>
      <c r="AH3556" s="177"/>
      <c r="AI3556" s="178"/>
      <c r="AJ3556" s="139"/>
      <c r="AK3556" s="173"/>
      <c r="AL3556" s="177"/>
      <c r="AM3556" s="178"/>
      <c r="AN3556" s="173"/>
      <c r="AO3556" s="173"/>
      <c r="AP3556" s="173"/>
      <c r="AQ3556" s="178"/>
      <c r="AR3556" s="173"/>
      <c r="AS3556" s="173"/>
      <c r="AT3556" s="140"/>
      <c r="AX3556" s="140"/>
      <c r="BB3556" s="173"/>
      <c r="BC3556" s="173"/>
    </row>
    <row r="3557" spans="2:55" s="134" customFormat="1" x14ac:dyDescent="0.2">
      <c r="B3557" s="145"/>
      <c r="D3557" s="145"/>
      <c r="Z3557" s="177"/>
      <c r="AA3557" s="178"/>
      <c r="AB3557" s="139"/>
      <c r="AC3557" s="173"/>
      <c r="AD3557" s="177"/>
      <c r="AE3557" s="177"/>
      <c r="AF3557" s="139"/>
      <c r="AG3557" s="139"/>
      <c r="AH3557" s="177"/>
      <c r="AI3557" s="178"/>
      <c r="AJ3557" s="139"/>
      <c r="AK3557" s="173"/>
      <c r="AL3557" s="177"/>
      <c r="AM3557" s="178"/>
      <c r="AN3557" s="173"/>
      <c r="AO3557" s="173"/>
      <c r="AP3557" s="173"/>
      <c r="AQ3557" s="178"/>
      <c r="AR3557" s="173"/>
      <c r="AS3557" s="173"/>
      <c r="AT3557" s="140"/>
      <c r="AX3557" s="140"/>
      <c r="BB3557" s="173"/>
      <c r="BC3557" s="173"/>
    </row>
    <row r="3558" spans="2:55" s="134" customFormat="1" x14ac:dyDescent="0.2">
      <c r="B3558" s="145"/>
      <c r="D3558" s="145"/>
      <c r="Z3558" s="177"/>
      <c r="AA3558" s="178"/>
      <c r="AB3558" s="139"/>
      <c r="AC3558" s="173"/>
      <c r="AD3558" s="177"/>
      <c r="AE3558" s="177"/>
      <c r="AF3558" s="139"/>
      <c r="AG3558" s="139"/>
      <c r="AH3558" s="177"/>
      <c r="AI3558" s="178"/>
      <c r="AJ3558" s="139"/>
      <c r="AK3558" s="173"/>
      <c r="AL3558" s="177"/>
      <c r="AM3558" s="178"/>
      <c r="AN3558" s="173"/>
      <c r="AO3558" s="173"/>
      <c r="AP3558" s="173"/>
      <c r="AQ3558" s="178"/>
      <c r="AR3558" s="173"/>
      <c r="AS3558" s="173"/>
      <c r="AT3558" s="140"/>
      <c r="AX3558" s="140"/>
      <c r="BB3558" s="173"/>
      <c r="BC3558" s="173"/>
    </row>
    <row r="3559" spans="2:55" s="134" customFormat="1" x14ac:dyDescent="0.2">
      <c r="B3559" s="145"/>
      <c r="D3559" s="145"/>
      <c r="Z3559" s="177"/>
      <c r="AA3559" s="178"/>
      <c r="AB3559" s="139"/>
      <c r="AC3559" s="173"/>
      <c r="AD3559" s="177"/>
      <c r="AE3559" s="177"/>
      <c r="AF3559" s="139"/>
      <c r="AG3559" s="139"/>
      <c r="AH3559" s="177"/>
      <c r="AI3559" s="178"/>
      <c r="AJ3559" s="139"/>
      <c r="AK3559" s="173"/>
      <c r="AL3559" s="177"/>
      <c r="AM3559" s="178"/>
      <c r="AN3559" s="173"/>
      <c r="AO3559" s="173"/>
      <c r="AP3559" s="173"/>
      <c r="AQ3559" s="178"/>
      <c r="AR3559" s="173"/>
      <c r="AS3559" s="173"/>
      <c r="AT3559" s="140"/>
      <c r="AX3559" s="140"/>
      <c r="BB3559" s="173"/>
      <c r="BC3559" s="173"/>
    </row>
    <row r="3560" spans="2:55" s="134" customFormat="1" x14ac:dyDescent="0.2">
      <c r="B3560" s="145"/>
      <c r="D3560" s="145"/>
      <c r="Z3560" s="177"/>
      <c r="AA3560" s="178"/>
      <c r="AB3560" s="139"/>
      <c r="AC3560" s="173"/>
      <c r="AD3560" s="177"/>
      <c r="AE3560" s="177"/>
      <c r="AF3560" s="139"/>
      <c r="AG3560" s="139"/>
      <c r="AH3560" s="177"/>
      <c r="AI3560" s="178"/>
      <c r="AJ3560" s="139"/>
      <c r="AK3560" s="173"/>
      <c r="AL3560" s="177"/>
      <c r="AM3560" s="178"/>
      <c r="AN3560" s="173"/>
      <c r="AO3560" s="173"/>
      <c r="AP3560" s="173"/>
      <c r="AQ3560" s="178"/>
      <c r="AR3560" s="173"/>
      <c r="AS3560" s="173"/>
      <c r="AT3560" s="140"/>
      <c r="AX3560" s="140"/>
      <c r="BB3560" s="173"/>
      <c r="BC3560" s="173"/>
    </row>
    <row r="3561" spans="2:55" s="134" customFormat="1" x14ac:dyDescent="0.2">
      <c r="B3561" s="145"/>
      <c r="D3561" s="145"/>
      <c r="Z3561" s="177"/>
      <c r="AA3561" s="178"/>
      <c r="AB3561" s="139"/>
      <c r="AC3561" s="173"/>
      <c r="AD3561" s="177"/>
      <c r="AE3561" s="177"/>
      <c r="AF3561" s="139"/>
      <c r="AG3561" s="139"/>
      <c r="AH3561" s="177"/>
      <c r="AI3561" s="178"/>
      <c r="AJ3561" s="139"/>
      <c r="AK3561" s="173"/>
      <c r="AL3561" s="177"/>
      <c r="AM3561" s="178"/>
      <c r="AN3561" s="173"/>
      <c r="AO3561" s="173"/>
      <c r="AP3561" s="173"/>
      <c r="AQ3561" s="178"/>
      <c r="AR3561" s="173"/>
      <c r="AS3561" s="173"/>
      <c r="AT3561" s="140"/>
      <c r="AX3561" s="140"/>
      <c r="BB3561" s="173"/>
      <c r="BC3561" s="173"/>
    </row>
    <row r="3562" spans="2:55" s="134" customFormat="1" x14ac:dyDescent="0.2">
      <c r="B3562" s="145"/>
      <c r="D3562" s="145"/>
      <c r="Z3562" s="177"/>
      <c r="AA3562" s="178"/>
      <c r="AB3562" s="139"/>
      <c r="AC3562" s="173"/>
      <c r="AD3562" s="177"/>
      <c r="AE3562" s="177"/>
      <c r="AF3562" s="139"/>
      <c r="AG3562" s="139"/>
      <c r="AH3562" s="177"/>
      <c r="AI3562" s="178"/>
      <c r="AJ3562" s="139"/>
      <c r="AK3562" s="173"/>
      <c r="AL3562" s="177"/>
      <c r="AM3562" s="178"/>
      <c r="AN3562" s="173"/>
      <c r="AO3562" s="173"/>
      <c r="AP3562" s="173"/>
      <c r="AQ3562" s="178"/>
      <c r="AR3562" s="173"/>
      <c r="AS3562" s="173"/>
      <c r="AT3562" s="140"/>
      <c r="AX3562" s="140"/>
      <c r="BB3562" s="173"/>
      <c r="BC3562" s="173"/>
    </row>
    <row r="3563" spans="2:55" s="134" customFormat="1" x14ac:dyDescent="0.2">
      <c r="B3563" s="145"/>
      <c r="D3563" s="145"/>
      <c r="Z3563" s="177"/>
      <c r="AA3563" s="178"/>
      <c r="AB3563" s="139"/>
      <c r="AC3563" s="173"/>
      <c r="AD3563" s="177"/>
      <c r="AE3563" s="177"/>
      <c r="AF3563" s="139"/>
      <c r="AG3563" s="139"/>
      <c r="AH3563" s="177"/>
      <c r="AI3563" s="178"/>
      <c r="AJ3563" s="139"/>
      <c r="AK3563" s="173"/>
      <c r="AL3563" s="177"/>
      <c r="AM3563" s="178"/>
      <c r="AN3563" s="173"/>
      <c r="AO3563" s="173"/>
      <c r="AP3563" s="173"/>
      <c r="AQ3563" s="178"/>
      <c r="AR3563" s="173"/>
      <c r="AS3563" s="173"/>
      <c r="AT3563" s="140"/>
      <c r="AX3563" s="140"/>
      <c r="BB3563" s="173"/>
      <c r="BC3563" s="173"/>
    </row>
    <row r="3564" spans="2:55" s="134" customFormat="1" x14ac:dyDescent="0.2">
      <c r="B3564" s="145"/>
      <c r="D3564" s="145"/>
      <c r="Z3564" s="177"/>
      <c r="AA3564" s="178"/>
      <c r="AB3564" s="139"/>
      <c r="AC3564" s="173"/>
      <c r="AD3564" s="177"/>
      <c r="AE3564" s="177"/>
      <c r="AF3564" s="139"/>
      <c r="AG3564" s="139"/>
      <c r="AH3564" s="177"/>
      <c r="AI3564" s="178"/>
      <c r="AJ3564" s="139"/>
      <c r="AK3564" s="173"/>
      <c r="AL3564" s="177"/>
      <c r="AM3564" s="178"/>
      <c r="AN3564" s="173"/>
      <c r="AO3564" s="173"/>
      <c r="AP3564" s="173"/>
      <c r="AQ3564" s="178"/>
      <c r="AR3564" s="173"/>
      <c r="AS3564" s="173"/>
      <c r="AT3564" s="140"/>
      <c r="AX3564" s="140"/>
      <c r="BB3564" s="173"/>
      <c r="BC3564" s="173"/>
    </row>
    <row r="3565" spans="2:55" s="134" customFormat="1" x14ac:dyDescent="0.2">
      <c r="B3565" s="145"/>
      <c r="D3565" s="145"/>
      <c r="Z3565" s="177"/>
      <c r="AA3565" s="178"/>
      <c r="AB3565" s="139"/>
      <c r="AC3565" s="173"/>
      <c r="AD3565" s="177"/>
      <c r="AE3565" s="177"/>
      <c r="AF3565" s="139"/>
      <c r="AG3565" s="139"/>
      <c r="AH3565" s="177"/>
      <c r="AI3565" s="178"/>
      <c r="AJ3565" s="139"/>
      <c r="AK3565" s="173"/>
      <c r="AL3565" s="177"/>
      <c r="AM3565" s="178"/>
      <c r="AN3565" s="173"/>
      <c r="AO3565" s="173"/>
      <c r="AP3565" s="173"/>
      <c r="AQ3565" s="178"/>
      <c r="AR3565" s="173"/>
      <c r="AS3565" s="173"/>
      <c r="AT3565" s="140"/>
      <c r="AX3565" s="140"/>
      <c r="BB3565" s="173"/>
      <c r="BC3565" s="173"/>
    </row>
    <row r="3566" spans="2:55" s="134" customFormat="1" x14ac:dyDescent="0.2">
      <c r="B3566" s="145"/>
      <c r="D3566" s="145"/>
      <c r="Z3566" s="177"/>
      <c r="AA3566" s="178"/>
      <c r="AB3566" s="139"/>
      <c r="AC3566" s="173"/>
      <c r="AD3566" s="177"/>
      <c r="AE3566" s="177"/>
      <c r="AF3566" s="139"/>
      <c r="AG3566" s="139"/>
      <c r="AH3566" s="177"/>
      <c r="AI3566" s="178"/>
      <c r="AJ3566" s="139"/>
      <c r="AK3566" s="173"/>
      <c r="AL3566" s="177"/>
      <c r="AM3566" s="178"/>
      <c r="AN3566" s="173"/>
      <c r="AO3566" s="173"/>
      <c r="AP3566" s="173"/>
      <c r="AQ3566" s="178"/>
      <c r="AR3566" s="173"/>
      <c r="AS3566" s="173"/>
      <c r="AT3566" s="140"/>
      <c r="AX3566" s="140"/>
      <c r="BB3566" s="173"/>
      <c r="BC3566" s="173"/>
    </row>
    <row r="3567" spans="2:55" s="134" customFormat="1" x14ac:dyDescent="0.2">
      <c r="B3567" s="145"/>
      <c r="D3567" s="145"/>
      <c r="Z3567" s="177"/>
      <c r="AA3567" s="178"/>
      <c r="AB3567" s="139"/>
      <c r="AC3567" s="173"/>
      <c r="AD3567" s="177"/>
      <c r="AE3567" s="177"/>
      <c r="AF3567" s="139"/>
      <c r="AG3567" s="139"/>
      <c r="AH3567" s="177"/>
      <c r="AI3567" s="178"/>
      <c r="AJ3567" s="139"/>
      <c r="AK3567" s="173"/>
      <c r="AL3567" s="177"/>
      <c r="AM3567" s="178"/>
      <c r="AN3567" s="173"/>
      <c r="AO3567" s="173"/>
      <c r="AP3567" s="173"/>
      <c r="AQ3567" s="178"/>
      <c r="AR3567" s="173"/>
      <c r="AS3567" s="173"/>
      <c r="AT3567" s="140"/>
      <c r="AX3567" s="140"/>
      <c r="BB3567" s="173"/>
      <c r="BC3567" s="173"/>
    </row>
    <row r="3568" spans="2:55" s="134" customFormat="1" x14ac:dyDescent="0.2">
      <c r="B3568" s="145"/>
      <c r="D3568" s="145"/>
      <c r="Z3568" s="177"/>
      <c r="AA3568" s="178"/>
      <c r="AB3568" s="139"/>
      <c r="AC3568" s="173"/>
      <c r="AD3568" s="177"/>
      <c r="AE3568" s="177"/>
      <c r="AF3568" s="139"/>
      <c r="AG3568" s="139"/>
      <c r="AH3568" s="177"/>
      <c r="AI3568" s="178"/>
      <c r="AJ3568" s="139"/>
      <c r="AK3568" s="173"/>
      <c r="AL3568" s="177"/>
      <c r="AM3568" s="178"/>
      <c r="AN3568" s="173"/>
      <c r="AO3568" s="173"/>
      <c r="AP3568" s="173"/>
      <c r="AQ3568" s="178"/>
      <c r="AR3568" s="173"/>
      <c r="AS3568" s="173"/>
      <c r="AT3568" s="140"/>
      <c r="AX3568" s="140"/>
      <c r="BB3568" s="173"/>
      <c r="BC3568" s="173"/>
    </row>
    <row r="3569" spans="2:55" s="134" customFormat="1" x14ac:dyDescent="0.2">
      <c r="B3569" s="145"/>
      <c r="D3569" s="145"/>
      <c r="Z3569" s="177"/>
      <c r="AA3569" s="178"/>
      <c r="AB3569" s="139"/>
      <c r="AC3569" s="173"/>
      <c r="AD3569" s="177"/>
      <c r="AE3569" s="177"/>
      <c r="AF3569" s="139"/>
      <c r="AG3569" s="139"/>
      <c r="AH3569" s="177"/>
      <c r="AI3569" s="178"/>
      <c r="AJ3569" s="139"/>
      <c r="AK3569" s="173"/>
      <c r="AL3569" s="177"/>
      <c r="AM3569" s="178"/>
      <c r="AN3569" s="173"/>
      <c r="AO3569" s="173"/>
      <c r="AP3569" s="173"/>
      <c r="AQ3569" s="178"/>
      <c r="AR3569" s="173"/>
      <c r="AS3569" s="173"/>
      <c r="AT3569" s="140"/>
      <c r="AX3569" s="140"/>
      <c r="BB3569" s="173"/>
      <c r="BC3569" s="173"/>
    </row>
    <row r="3570" spans="2:55" s="134" customFormat="1" x14ac:dyDescent="0.2">
      <c r="B3570" s="145"/>
      <c r="D3570" s="145"/>
      <c r="Z3570" s="177"/>
      <c r="AA3570" s="178"/>
      <c r="AB3570" s="139"/>
      <c r="AC3570" s="173"/>
      <c r="AD3570" s="177"/>
      <c r="AE3570" s="177"/>
      <c r="AF3570" s="139"/>
      <c r="AG3570" s="139"/>
      <c r="AH3570" s="177"/>
      <c r="AI3570" s="178"/>
      <c r="AJ3570" s="139"/>
      <c r="AK3570" s="173"/>
      <c r="AL3570" s="177"/>
      <c r="AM3570" s="178"/>
      <c r="AN3570" s="173"/>
      <c r="AO3570" s="173"/>
      <c r="AP3570" s="173"/>
      <c r="AQ3570" s="178"/>
      <c r="AR3570" s="173"/>
      <c r="AS3570" s="173"/>
      <c r="AT3570" s="140"/>
      <c r="AX3570" s="140"/>
      <c r="BB3570" s="173"/>
      <c r="BC3570" s="173"/>
    </row>
    <row r="3571" spans="2:55" s="134" customFormat="1" x14ac:dyDescent="0.2">
      <c r="B3571" s="145"/>
      <c r="D3571" s="145"/>
      <c r="Z3571" s="177"/>
      <c r="AA3571" s="178"/>
      <c r="AB3571" s="139"/>
      <c r="AC3571" s="173"/>
      <c r="AD3571" s="177"/>
      <c r="AE3571" s="177"/>
      <c r="AF3571" s="139"/>
      <c r="AG3571" s="139"/>
      <c r="AH3571" s="177"/>
      <c r="AI3571" s="178"/>
      <c r="AJ3571" s="139"/>
      <c r="AK3571" s="173"/>
      <c r="AL3571" s="177"/>
      <c r="AM3571" s="178"/>
      <c r="AN3571" s="173"/>
      <c r="AO3571" s="173"/>
      <c r="AP3571" s="173"/>
      <c r="AQ3571" s="178"/>
      <c r="AR3571" s="173"/>
      <c r="AS3571" s="173"/>
      <c r="AT3571" s="140"/>
      <c r="AX3571" s="140"/>
      <c r="BB3571" s="173"/>
      <c r="BC3571" s="173"/>
    </row>
    <row r="3572" spans="2:55" s="134" customFormat="1" x14ac:dyDescent="0.2">
      <c r="B3572" s="145"/>
      <c r="D3572" s="145"/>
      <c r="Z3572" s="177"/>
      <c r="AA3572" s="178"/>
      <c r="AB3572" s="139"/>
      <c r="AC3572" s="173"/>
      <c r="AD3572" s="177"/>
      <c r="AE3572" s="177"/>
      <c r="AF3572" s="139"/>
      <c r="AG3572" s="139"/>
      <c r="AH3572" s="177"/>
      <c r="AI3572" s="178"/>
      <c r="AJ3572" s="139"/>
      <c r="AK3572" s="173"/>
      <c r="AL3572" s="177"/>
      <c r="AM3572" s="178"/>
      <c r="AN3572" s="173"/>
      <c r="AO3572" s="173"/>
      <c r="AP3572" s="173"/>
      <c r="AQ3572" s="178"/>
      <c r="AR3572" s="173"/>
      <c r="AS3572" s="173"/>
      <c r="AT3572" s="140"/>
      <c r="AX3572" s="140"/>
      <c r="BB3572" s="173"/>
      <c r="BC3572" s="173"/>
    </row>
    <row r="3573" spans="2:55" s="134" customFormat="1" x14ac:dyDescent="0.2">
      <c r="B3573" s="145"/>
      <c r="D3573" s="145"/>
      <c r="Z3573" s="177"/>
      <c r="AA3573" s="178"/>
      <c r="AB3573" s="139"/>
      <c r="AC3573" s="173"/>
      <c r="AD3573" s="177"/>
      <c r="AE3573" s="177"/>
      <c r="AF3573" s="139"/>
      <c r="AG3573" s="139"/>
      <c r="AH3573" s="177"/>
      <c r="AI3573" s="178"/>
      <c r="AJ3573" s="139"/>
      <c r="AK3573" s="173"/>
      <c r="AL3573" s="177"/>
      <c r="AM3573" s="178"/>
      <c r="AN3573" s="173"/>
      <c r="AO3573" s="173"/>
      <c r="AP3573" s="173"/>
      <c r="AQ3573" s="178"/>
      <c r="AR3573" s="173"/>
      <c r="AS3573" s="173"/>
      <c r="AT3573" s="140"/>
      <c r="AX3573" s="140"/>
      <c r="BB3573" s="173"/>
      <c r="BC3573" s="173"/>
    </row>
    <row r="3574" spans="2:55" s="134" customFormat="1" x14ac:dyDescent="0.2">
      <c r="B3574" s="145"/>
      <c r="D3574" s="145"/>
      <c r="Z3574" s="177"/>
      <c r="AA3574" s="178"/>
      <c r="AB3574" s="139"/>
      <c r="AC3574" s="173"/>
      <c r="AD3574" s="177"/>
      <c r="AE3574" s="177"/>
      <c r="AF3574" s="139"/>
      <c r="AG3574" s="139"/>
      <c r="AH3574" s="177"/>
      <c r="AI3574" s="178"/>
      <c r="AJ3574" s="139"/>
      <c r="AK3574" s="173"/>
      <c r="AL3574" s="177"/>
      <c r="AM3574" s="178"/>
      <c r="AN3574" s="173"/>
      <c r="AO3574" s="173"/>
      <c r="AP3574" s="173"/>
      <c r="AQ3574" s="178"/>
      <c r="AR3574" s="173"/>
      <c r="AS3574" s="173"/>
      <c r="AT3574" s="140"/>
      <c r="AX3574" s="140"/>
      <c r="BB3574" s="173"/>
      <c r="BC3574" s="173"/>
    </row>
    <row r="3575" spans="2:55" s="134" customFormat="1" x14ac:dyDescent="0.2">
      <c r="B3575" s="145"/>
      <c r="D3575" s="145"/>
      <c r="Z3575" s="177"/>
      <c r="AA3575" s="178"/>
      <c r="AB3575" s="139"/>
      <c r="AC3575" s="173"/>
      <c r="AD3575" s="177"/>
      <c r="AE3575" s="177"/>
      <c r="AF3575" s="139"/>
      <c r="AG3575" s="139"/>
      <c r="AH3575" s="177"/>
      <c r="AI3575" s="178"/>
      <c r="AJ3575" s="139"/>
      <c r="AK3575" s="173"/>
      <c r="AL3575" s="177"/>
      <c r="AM3575" s="178"/>
      <c r="AN3575" s="173"/>
      <c r="AO3575" s="173"/>
      <c r="AP3575" s="173"/>
      <c r="AQ3575" s="178"/>
      <c r="AR3575" s="173"/>
      <c r="AS3575" s="173"/>
      <c r="AT3575" s="140"/>
      <c r="AX3575" s="140"/>
      <c r="BB3575" s="173"/>
      <c r="BC3575" s="173"/>
    </row>
    <row r="3576" spans="2:55" s="134" customFormat="1" x14ac:dyDescent="0.2">
      <c r="B3576" s="145"/>
      <c r="D3576" s="145"/>
      <c r="Z3576" s="177"/>
      <c r="AA3576" s="178"/>
      <c r="AB3576" s="139"/>
      <c r="AC3576" s="173"/>
      <c r="AD3576" s="177"/>
      <c r="AE3576" s="177"/>
      <c r="AF3576" s="139"/>
      <c r="AG3576" s="139"/>
      <c r="AH3576" s="177"/>
      <c r="AI3576" s="178"/>
      <c r="AJ3576" s="139"/>
      <c r="AK3576" s="173"/>
      <c r="AL3576" s="177"/>
      <c r="AM3576" s="178"/>
      <c r="AN3576" s="173"/>
      <c r="AO3576" s="173"/>
      <c r="AP3576" s="173"/>
      <c r="AQ3576" s="178"/>
      <c r="AR3576" s="173"/>
      <c r="AS3576" s="173"/>
      <c r="AT3576" s="140"/>
      <c r="AX3576" s="140"/>
      <c r="BB3576" s="173"/>
      <c r="BC3576" s="173"/>
    </row>
    <row r="3577" spans="2:55" s="134" customFormat="1" x14ac:dyDescent="0.2">
      <c r="B3577" s="145"/>
      <c r="D3577" s="145"/>
      <c r="Z3577" s="177"/>
      <c r="AA3577" s="178"/>
      <c r="AB3577" s="139"/>
      <c r="AC3577" s="173"/>
      <c r="AD3577" s="177"/>
      <c r="AE3577" s="177"/>
      <c r="AF3577" s="139"/>
      <c r="AG3577" s="139"/>
      <c r="AH3577" s="177"/>
      <c r="AI3577" s="178"/>
      <c r="AJ3577" s="139"/>
      <c r="AK3577" s="173"/>
      <c r="AL3577" s="177"/>
      <c r="AM3577" s="178"/>
      <c r="AN3577" s="173"/>
      <c r="AO3577" s="173"/>
      <c r="AP3577" s="173"/>
      <c r="AQ3577" s="178"/>
      <c r="AR3577" s="173"/>
      <c r="AS3577" s="173"/>
      <c r="AT3577" s="140"/>
      <c r="AX3577" s="140"/>
      <c r="BB3577" s="173"/>
      <c r="BC3577" s="173"/>
    </row>
    <row r="3578" spans="2:55" s="134" customFormat="1" x14ac:dyDescent="0.2">
      <c r="B3578" s="145"/>
      <c r="D3578" s="145"/>
      <c r="Z3578" s="177"/>
      <c r="AA3578" s="178"/>
      <c r="AB3578" s="139"/>
      <c r="AC3578" s="173"/>
      <c r="AD3578" s="177"/>
      <c r="AE3578" s="177"/>
      <c r="AF3578" s="139"/>
      <c r="AG3578" s="139"/>
      <c r="AH3578" s="177"/>
      <c r="AI3578" s="178"/>
      <c r="AJ3578" s="139"/>
      <c r="AK3578" s="173"/>
      <c r="AL3578" s="177"/>
      <c r="AM3578" s="178"/>
      <c r="AN3578" s="173"/>
      <c r="AO3578" s="173"/>
      <c r="AP3578" s="173"/>
      <c r="AQ3578" s="178"/>
      <c r="AR3578" s="173"/>
      <c r="AS3578" s="173"/>
      <c r="AT3578" s="140"/>
      <c r="AX3578" s="140"/>
      <c r="BB3578" s="173"/>
      <c r="BC3578" s="173"/>
    </row>
    <row r="3579" spans="2:55" s="134" customFormat="1" x14ac:dyDescent="0.2">
      <c r="B3579" s="145"/>
      <c r="D3579" s="145"/>
      <c r="Z3579" s="177"/>
      <c r="AA3579" s="178"/>
      <c r="AB3579" s="139"/>
      <c r="AC3579" s="173"/>
      <c r="AD3579" s="177"/>
      <c r="AE3579" s="177"/>
      <c r="AF3579" s="139"/>
      <c r="AG3579" s="139"/>
      <c r="AH3579" s="177"/>
      <c r="AI3579" s="178"/>
      <c r="AJ3579" s="139"/>
      <c r="AK3579" s="173"/>
      <c r="AL3579" s="177"/>
      <c r="AM3579" s="178"/>
      <c r="AN3579" s="173"/>
      <c r="AO3579" s="173"/>
      <c r="AP3579" s="173"/>
      <c r="AQ3579" s="178"/>
      <c r="AR3579" s="173"/>
      <c r="AS3579" s="173"/>
      <c r="AT3579" s="140"/>
      <c r="AX3579" s="140"/>
      <c r="BB3579" s="173"/>
      <c r="BC3579" s="173"/>
    </row>
    <row r="3580" spans="2:55" s="134" customFormat="1" x14ac:dyDescent="0.2">
      <c r="B3580" s="145"/>
      <c r="D3580" s="145"/>
      <c r="Z3580" s="177"/>
      <c r="AA3580" s="178"/>
      <c r="AB3580" s="139"/>
      <c r="AC3580" s="173"/>
      <c r="AD3580" s="177"/>
      <c r="AE3580" s="177"/>
      <c r="AF3580" s="139"/>
      <c r="AG3580" s="139"/>
      <c r="AH3580" s="177"/>
      <c r="AI3580" s="178"/>
      <c r="AJ3580" s="139"/>
      <c r="AK3580" s="173"/>
      <c r="AL3580" s="177"/>
      <c r="AM3580" s="178"/>
      <c r="AN3580" s="173"/>
      <c r="AO3580" s="173"/>
      <c r="AP3580" s="173"/>
      <c r="AQ3580" s="178"/>
      <c r="AR3580" s="173"/>
      <c r="AS3580" s="173"/>
      <c r="AT3580" s="140"/>
      <c r="AX3580" s="140"/>
      <c r="BB3580" s="173"/>
      <c r="BC3580" s="173"/>
    </row>
    <row r="3581" spans="2:55" s="134" customFormat="1" x14ac:dyDescent="0.2">
      <c r="B3581" s="145"/>
      <c r="D3581" s="145"/>
      <c r="Z3581" s="177"/>
      <c r="AA3581" s="178"/>
      <c r="AB3581" s="139"/>
      <c r="AC3581" s="173"/>
      <c r="AD3581" s="177"/>
      <c r="AE3581" s="177"/>
      <c r="AF3581" s="139"/>
      <c r="AG3581" s="139"/>
      <c r="AH3581" s="177"/>
      <c r="AI3581" s="178"/>
      <c r="AJ3581" s="139"/>
      <c r="AK3581" s="173"/>
      <c r="AL3581" s="177"/>
      <c r="AM3581" s="178"/>
      <c r="AN3581" s="173"/>
      <c r="AO3581" s="173"/>
      <c r="AP3581" s="173"/>
      <c r="AQ3581" s="178"/>
      <c r="AR3581" s="173"/>
      <c r="AS3581" s="173"/>
      <c r="AT3581" s="140"/>
      <c r="AX3581" s="140"/>
      <c r="BB3581" s="173"/>
      <c r="BC3581" s="173"/>
    </row>
    <row r="3582" spans="2:55" s="134" customFormat="1" x14ac:dyDescent="0.2">
      <c r="B3582" s="145"/>
      <c r="D3582" s="145"/>
      <c r="Z3582" s="177"/>
      <c r="AA3582" s="178"/>
      <c r="AB3582" s="139"/>
      <c r="AC3582" s="173"/>
      <c r="AD3582" s="177"/>
      <c r="AE3582" s="177"/>
      <c r="AF3582" s="139"/>
      <c r="AG3582" s="139"/>
      <c r="AH3582" s="177"/>
      <c r="AI3582" s="178"/>
      <c r="AJ3582" s="139"/>
      <c r="AK3582" s="173"/>
      <c r="AL3582" s="177"/>
      <c r="AM3582" s="178"/>
      <c r="AN3582" s="173"/>
      <c r="AO3582" s="173"/>
      <c r="AP3582" s="173"/>
      <c r="AQ3582" s="178"/>
      <c r="AR3582" s="173"/>
      <c r="AS3582" s="173"/>
      <c r="AT3582" s="140"/>
      <c r="AX3582" s="140"/>
      <c r="BB3582" s="173"/>
      <c r="BC3582" s="173"/>
    </row>
    <row r="3583" spans="2:55" s="134" customFormat="1" x14ac:dyDescent="0.2">
      <c r="B3583" s="145"/>
      <c r="D3583" s="145"/>
      <c r="Z3583" s="177"/>
      <c r="AA3583" s="178"/>
      <c r="AB3583" s="139"/>
      <c r="AC3583" s="173"/>
      <c r="AD3583" s="177"/>
      <c r="AE3583" s="177"/>
      <c r="AF3583" s="139"/>
      <c r="AG3583" s="139"/>
      <c r="AH3583" s="177"/>
      <c r="AI3583" s="178"/>
      <c r="AJ3583" s="139"/>
      <c r="AK3583" s="173"/>
      <c r="AL3583" s="177"/>
      <c r="AM3583" s="178"/>
      <c r="AN3583" s="173"/>
      <c r="AO3583" s="173"/>
      <c r="AP3583" s="173"/>
      <c r="AQ3583" s="178"/>
      <c r="AR3583" s="173"/>
      <c r="AS3583" s="173"/>
      <c r="AT3583" s="140"/>
      <c r="AX3583" s="140"/>
      <c r="BB3583" s="173"/>
      <c r="BC3583" s="173"/>
    </row>
    <row r="3584" spans="2:55" s="134" customFormat="1" x14ac:dyDescent="0.2">
      <c r="B3584" s="145"/>
      <c r="D3584" s="145"/>
      <c r="Z3584" s="177"/>
      <c r="AA3584" s="178"/>
      <c r="AB3584" s="139"/>
      <c r="AC3584" s="173"/>
      <c r="AD3584" s="177"/>
      <c r="AE3584" s="177"/>
      <c r="AF3584" s="139"/>
      <c r="AG3584" s="139"/>
      <c r="AH3584" s="177"/>
      <c r="AI3584" s="178"/>
      <c r="AJ3584" s="139"/>
      <c r="AK3584" s="173"/>
      <c r="AL3584" s="177"/>
      <c r="AM3584" s="178"/>
      <c r="AN3584" s="173"/>
      <c r="AO3584" s="173"/>
      <c r="AP3584" s="173"/>
      <c r="AQ3584" s="178"/>
      <c r="AR3584" s="173"/>
      <c r="AS3584" s="173"/>
      <c r="AT3584" s="140"/>
      <c r="AX3584" s="140"/>
      <c r="BB3584" s="173"/>
      <c r="BC3584" s="173"/>
    </row>
    <row r="3585" spans="2:55" s="134" customFormat="1" x14ac:dyDescent="0.2">
      <c r="B3585" s="145"/>
      <c r="D3585" s="145"/>
      <c r="Z3585" s="177"/>
      <c r="AA3585" s="178"/>
      <c r="AB3585" s="139"/>
      <c r="AC3585" s="173"/>
      <c r="AD3585" s="177"/>
      <c r="AE3585" s="177"/>
      <c r="AF3585" s="139"/>
      <c r="AG3585" s="139"/>
      <c r="AH3585" s="177"/>
      <c r="AI3585" s="178"/>
      <c r="AJ3585" s="139"/>
      <c r="AK3585" s="173"/>
      <c r="AL3585" s="177"/>
      <c r="AM3585" s="178"/>
      <c r="AN3585" s="173"/>
      <c r="AO3585" s="173"/>
      <c r="AP3585" s="173"/>
      <c r="AQ3585" s="178"/>
      <c r="AR3585" s="173"/>
      <c r="AS3585" s="173"/>
      <c r="AT3585" s="140"/>
      <c r="AX3585" s="140"/>
      <c r="BB3585" s="173"/>
      <c r="BC3585" s="173"/>
    </row>
    <row r="3586" spans="2:55" s="134" customFormat="1" x14ac:dyDescent="0.2">
      <c r="B3586" s="145"/>
      <c r="D3586" s="145"/>
      <c r="Z3586" s="177"/>
      <c r="AA3586" s="178"/>
      <c r="AB3586" s="139"/>
      <c r="AC3586" s="173"/>
      <c r="AD3586" s="177"/>
      <c r="AE3586" s="177"/>
      <c r="AF3586" s="139"/>
      <c r="AG3586" s="139"/>
      <c r="AH3586" s="177"/>
      <c r="AI3586" s="178"/>
      <c r="AJ3586" s="139"/>
      <c r="AK3586" s="173"/>
      <c r="AL3586" s="177"/>
      <c r="AM3586" s="178"/>
      <c r="AN3586" s="173"/>
      <c r="AO3586" s="173"/>
      <c r="AP3586" s="173"/>
      <c r="AQ3586" s="178"/>
      <c r="AR3586" s="173"/>
      <c r="AS3586" s="173"/>
      <c r="AT3586" s="140"/>
      <c r="AX3586" s="140"/>
      <c r="BB3586" s="173"/>
      <c r="BC3586" s="173"/>
    </row>
    <row r="3587" spans="2:55" s="134" customFormat="1" x14ac:dyDescent="0.2">
      <c r="B3587" s="145"/>
      <c r="D3587" s="145"/>
      <c r="Z3587" s="177"/>
      <c r="AA3587" s="178"/>
      <c r="AB3587" s="139"/>
      <c r="AC3587" s="173"/>
      <c r="AD3587" s="177"/>
      <c r="AE3587" s="177"/>
      <c r="AF3587" s="139"/>
      <c r="AG3587" s="139"/>
      <c r="AH3587" s="177"/>
      <c r="AI3587" s="178"/>
      <c r="AJ3587" s="139"/>
      <c r="AK3587" s="173"/>
      <c r="AL3587" s="177"/>
      <c r="AM3587" s="178"/>
      <c r="AN3587" s="173"/>
      <c r="AO3587" s="173"/>
      <c r="AP3587" s="173"/>
      <c r="AQ3587" s="178"/>
      <c r="AR3587" s="173"/>
      <c r="AS3587" s="173"/>
      <c r="AT3587" s="140"/>
      <c r="AX3587" s="140"/>
      <c r="BB3587" s="173"/>
      <c r="BC3587" s="173"/>
    </row>
    <row r="3588" spans="2:55" s="134" customFormat="1" x14ac:dyDescent="0.2">
      <c r="B3588" s="145"/>
      <c r="D3588" s="145"/>
      <c r="Z3588" s="177"/>
      <c r="AA3588" s="178"/>
      <c r="AB3588" s="139"/>
      <c r="AC3588" s="173"/>
      <c r="AD3588" s="177"/>
      <c r="AE3588" s="177"/>
      <c r="AF3588" s="139"/>
      <c r="AG3588" s="139"/>
      <c r="AH3588" s="177"/>
      <c r="AI3588" s="178"/>
      <c r="AJ3588" s="139"/>
      <c r="AK3588" s="173"/>
      <c r="AL3588" s="177"/>
      <c r="AM3588" s="178"/>
      <c r="AN3588" s="173"/>
      <c r="AO3588" s="173"/>
      <c r="AP3588" s="173"/>
      <c r="AQ3588" s="178"/>
      <c r="AR3588" s="173"/>
      <c r="AS3588" s="173"/>
      <c r="AT3588" s="140"/>
      <c r="AX3588" s="140"/>
      <c r="BB3588" s="173"/>
      <c r="BC3588" s="173"/>
    </row>
    <row r="3589" spans="2:55" s="134" customFormat="1" x14ac:dyDescent="0.2">
      <c r="B3589" s="145"/>
      <c r="D3589" s="145"/>
      <c r="Z3589" s="177"/>
      <c r="AA3589" s="178"/>
      <c r="AB3589" s="139"/>
      <c r="AC3589" s="173"/>
      <c r="AD3589" s="177"/>
      <c r="AE3589" s="177"/>
      <c r="AF3589" s="139"/>
      <c r="AG3589" s="139"/>
      <c r="AH3589" s="177"/>
      <c r="AI3589" s="178"/>
      <c r="AJ3589" s="139"/>
      <c r="AK3589" s="173"/>
      <c r="AL3589" s="177"/>
      <c r="AM3589" s="178"/>
      <c r="AN3589" s="173"/>
      <c r="AO3589" s="173"/>
      <c r="AP3589" s="173"/>
      <c r="AQ3589" s="178"/>
      <c r="AR3589" s="173"/>
      <c r="AS3589" s="173"/>
      <c r="AT3589" s="140"/>
      <c r="AX3589" s="140"/>
      <c r="BB3589" s="173"/>
      <c r="BC3589" s="173"/>
    </row>
    <row r="3590" spans="2:55" s="134" customFormat="1" x14ac:dyDescent="0.2">
      <c r="B3590" s="145"/>
      <c r="D3590" s="145"/>
      <c r="Z3590" s="177"/>
      <c r="AA3590" s="178"/>
      <c r="AB3590" s="139"/>
      <c r="AC3590" s="173"/>
      <c r="AD3590" s="177"/>
      <c r="AE3590" s="177"/>
      <c r="AF3590" s="139"/>
      <c r="AG3590" s="139"/>
      <c r="AH3590" s="177"/>
      <c r="AI3590" s="178"/>
      <c r="AJ3590" s="139"/>
      <c r="AK3590" s="173"/>
      <c r="AL3590" s="177"/>
      <c r="AM3590" s="178"/>
      <c r="AN3590" s="173"/>
      <c r="AO3590" s="173"/>
      <c r="AP3590" s="173"/>
      <c r="AQ3590" s="178"/>
      <c r="AR3590" s="173"/>
      <c r="AS3590" s="173"/>
      <c r="AT3590" s="140"/>
      <c r="AX3590" s="140"/>
      <c r="BB3590" s="173"/>
      <c r="BC3590" s="173"/>
    </row>
    <row r="3591" spans="2:55" s="134" customFormat="1" x14ac:dyDescent="0.2">
      <c r="B3591" s="145"/>
      <c r="D3591" s="145"/>
      <c r="Z3591" s="177"/>
      <c r="AA3591" s="178"/>
      <c r="AB3591" s="139"/>
      <c r="AC3591" s="173"/>
      <c r="AD3591" s="177"/>
      <c r="AE3591" s="177"/>
      <c r="AF3591" s="139"/>
      <c r="AG3591" s="139"/>
      <c r="AH3591" s="177"/>
      <c r="AI3591" s="178"/>
      <c r="AJ3591" s="139"/>
      <c r="AK3591" s="173"/>
      <c r="AL3591" s="177"/>
      <c r="AM3591" s="178"/>
      <c r="AN3591" s="173"/>
      <c r="AO3591" s="173"/>
      <c r="AP3591" s="173"/>
      <c r="AQ3591" s="178"/>
      <c r="AR3591" s="173"/>
      <c r="AS3591" s="173"/>
      <c r="AT3591" s="140"/>
      <c r="AX3591" s="140"/>
      <c r="BB3591" s="173"/>
      <c r="BC3591" s="173"/>
    </row>
    <row r="3592" spans="2:55" s="134" customFormat="1" x14ac:dyDescent="0.2">
      <c r="B3592" s="145"/>
      <c r="D3592" s="145"/>
      <c r="Z3592" s="177"/>
      <c r="AA3592" s="178"/>
      <c r="AB3592" s="139"/>
      <c r="AC3592" s="173"/>
      <c r="AD3592" s="177"/>
      <c r="AE3592" s="177"/>
      <c r="AF3592" s="139"/>
      <c r="AG3592" s="139"/>
      <c r="AH3592" s="177"/>
      <c r="AI3592" s="178"/>
      <c r="AJ3592" s="139"/>
      <c r="AK3592" s="173"/>
      <c r="AL3592" s="177"/>
      <c r="AM3592" s="178"/>
      <c r="AN3592" s="173"/>
      <c r="AO3592" s="173"/>
      <c r="AP3592" s="173"/>
      <c r="AQ3592" s="178"/>
      <c r="AR3592" s="173"/>
      <c r="AS3592" s="173"/>
      <c r="AT3592" s="140"/>
      <c r="AX3592" s="140"/>
      <c r="BB3592" s="173"/>
      <c r="BC3592" s="173"/>
    </row>
    <row r="3593" spans="2:55" s="134" customFormat="1" x14ac:dyDescent="0.2">
      <c r="B3593" s="145"/>
      <c r="D3593" s="145"/>
      <c r="Z3593" s="177"/>
      <c r="AA3593" s="178"/>
      <c r="AB3593" s="139"/>
      <c r="AC3593" s="173"/>
      <c r="AD3593" s="177"/>
      <c r="AE3593" s="177"/>
      <c r="AF3593" s="139"/>
      <c r="AG3593" s="139"/>
      <c r="AH3593" s="177"/>
      <c r="AI3593" s="178"/>
      <c r="AJ3593" s="139"/>
      <c r="AK3593" s="173"/>
      <c r="AL3593" s="177"/>
      <c r="AM3593" s="178"/>
      <c r="AN3593" s="173"/>
      <c r="AO3593" s="173"/>
      <c r="AP3593" s="173"/>
      <c r="AQ3593" s="178"/>
      <c r="AR3593" s="173"/>
      <c r="AS3593" s="173"/>
      <c r="AT3593" s="140"/>
      <c r="AX3593" s="140"/>
      <c r="BB3593" s="173"/>
      <c r="BC3593" s="173"/>
    </row>
    <row r="3594" spans="2:55" s="134" customFormat="1" x14ac:dyDescent="0.2">
      <c r="B3594" s="145"/>
      <c r="D3594" s="145"/>
      <c r="Z3594" s="177"/>
      <c r="AA3594" s="178"/>
      <c r="AB3594" s="139"/>
      <c r="AC3594" s="173"/>
      <c r="AD3594" s="177"/>
      <c r="AE3594" s="177"/>
      <c r="AF3594" s="139"/>
      <c r="AG3594" s="139"/>
      <c r="AH3594" s="177"/>
      <c r="AI3594" s="178"/>
      <c r="AJ3594" s="139"/>
      <c r="AK3594" s="173"/>
      <c r="AL3594" s="177"/>
      <c r="AM3594" s="178"/>
      <c r="AN3594" s="173"/>
      <c r="AO3594" s="173"/>
      <c r="AP3594" s="173"/>
      <c r="AQ3594" s="178"/>
      <c r="AR3594" s="173"/>
      <c r="AS3594" s="173"/>
      <c r="AT3594" s="140"/>
      <c r="AX3594" s="140"/>
      <c r="BB3594" s="173"/>
      <c r="BC3594" s="173"/>
    </row>
    <row r="3595" spans="2:55" s="134" customFormat="1" x14ac:dyDescent="0.2">
      <c r="B3595" s="145"/>
      <c r="D3595" s="145"/>
      <c r="Z3595" s="177"/>
      <c r="AA3595" s="178"/>
      <c r="AB3595" s="139"/>
      <c r="AC3595" s="173"/>
      <c r="AD3595" s="177"/>
      <c r="AE3595" s="177"/>
      <c r="AF3595" s="139"/>
      <c r="AG3595" s="139"/>
      <c r="AH3595" s="177"/>
      <c r="AI3595" s="178"/>
      <c r="AJ3595" s="139"/>
      <c r="AK3595" s="173"/>
      <c r="AL3595" s="177"/>
      <c r="AM3595" s="178"/>
      <c r="AN3595" s="173"/>
      <c r="AO3595" s="173"/>
      <c r="AP3595" s="173"/>
      <c r="AQ3595" s="178"/>
      <c r="AR3595" s="173"/>
      <c r="AS3595" s="173"/>
      <c r="AT3595" s="140"/>
      <c r="AX3595" s="140"/>
      <c r="BB3595" s="173"/>
      <c r="BC3595" s="173"/>
    </row>
    <row r="3596" spans="2:55" s="134" customFormat="1" x14ac:dyDescent="0.2">
      <c r="B3596" s="145"/>
      <c r="D3596" s="145"/>
      <c r="Z3596" s="177"/>
      <c r="AA3596" s="178"/>
      <c r="AB3596" s="139"/>
      <c r="AC3596" s="173"/>
      <c r="AD3596" s="177"/>
      <c r="AE3596" s="177"/>
      <c r="AF3596" s="139"/>
      <c r="AG3596" s="139"/>
      <c r="AH3596" s="177"/>
      <c r="AI3596" s="178"/>
      <c r="AJ3596" s="139"/>
      <c r="AK3596" s="173"/>
      <c r="AL3596" s="177"/>
      <c r="AM3596" s="178"/>
      <c r="AN3596" s="173"/>
      <c r="AO3596" s="173"/>
      <c r="AP3596" s="173"/>
      <c r="AQ3596" s="178"/>
      <c r="AR3596" s="173"/>
      <c r="AS3596" s="173"/>
      <c r="AT3596" s="140"/>
      <c r="AX3596" s="140"/>
      <c r="BB3596" s="173"/>
      <c r="BC3596" s="173"/>
    </row>
    <row r="3597" spans="2:55" s="134" customFormat="1" x14ac:dyDescent="0.2">
      <c r="B3597" s="145"/>
      <c r="D3597" s="145"/>
      <c r="Z3597" s="177"/>
      <c r="AA3597" s="178"/>
      <c r="AB3597" s="139"/>
      <c r="AC3597" s="173"/>
      <c r="AD3597" s="177"/>
      <c r="AE3597" s="177"/>
      <c r="AF3597" s="139"/>
      <c r="AG3597" s="139"/>
      <c r="AH3597" s="177"/>
      <c r="AI3597" s="178"/>
      <c r="AJ3597" s="139"/>
      <c r="AK3597" s="173"/>
      <c r="AL3597" s="177"/>
      <c r="AM3597" s="178"/>
      <c r="AN3597" s="173"/>
      <c r="AO3597" s="173"/>
      <c r="AP3597" s="173"/>
      <c r="AQ3597" s="178"/>
      <c r="AR3597" s="173"/>
      <c r="AS3597" s="173"/>
      <c r="AT3597" s="140"/>
      <c r="AX3597" s="140"/>
      <c r="BB3597" s="173"/>
      <c r="BC3597" s="173"/>
    </row>
    <row r="3598" spans="2:55" s="134" customFormat="1" x14ac:dyDescent="0.2">
      <c r="B3598" s="145"/>
      <c r="D3598" s="145"/>
      <c r="Z3598" s="177"/>
      <c r="AA3598" s="178"/>
      <c r="AB3598" s="139"/>
      <c r="AC3598" s="173"/>
      <c r="AD3598" s="177"/>
      <c r="AE3598" s="177"/>
      <c r="AF3598" s="139"/>
      <c r="AG3598" s="139"/>
      <c r="AH3598" s="177"/>
      <c r="AI3598" s="178"/>
      <c r="AJ3598" s="139"/>
      <c r="AK3598" s="173"/>
      <c r="AL3598" s="177"/>
      <c r="AM3598" s="178"/>
      <c r="AN3598" s="173"/>
      <c r="AO3598" s="173"/>
      <c r="AP3598" s="173"/>
      <c r="AQ3598" s="178"/>
      <c r="AR3598" s="173"/>
      <c r="AS3598" s="173"/>
      <c r="AT3598" s="140"/>
      <c r="AX3598" s="140"/>
      <c r="BB3598" s="173"/>
      <c r="BC3598" s="173"/>
    </row>
    <row r="3599" spans="2:55" s="134" customFormat="1" x14ac:dyDescent="0.2">
      <c r="B3599" s="145"/>
      <c r="D3599" s="145"/>
      <c r="Z3599" s="177"/>
      <c r="AA3599" s="178"/>
      <c r="AB3599" s="139"/>
      <c r="AC3599" s="173"/>
      <c r="AD3599" s="177"/>
      <c r="AE3599" s="177"/>
      <c r="AF3599" s="139"/>
      <c r="AG3599" s="139"/>
      <c r="AH3599" s="177"/>
      <c r="AI3599" s="178"/>
      <c r="AJ3599" s="139"/>
      <c r="AK3599" s="173"/>
      <c r="AL3599" s="177"/>
      <c r="AM3599" s="178"/>
      <c r="AN3599" s="173"/>
      <c r="AO3599" s="173"/>
      <c r="AP3599" s="173"/>
      <c r="AQ3599" s="178"/>
      <c r="AR3599" s="173"/>
      <c r="AS3599" s="173"/>
      <c r="AT3599" s="140"/>
      <c r="AX3599" s="140"/>
      <c r="BB3599" s="173"/>
      <c r="BC3599" s="173"/>
    </row>
    <row r="3600" spans="2:55" s="134" customFormat="1" x14ac:dyDescent="0.2">
      <c r="B3600" s="145"/>
      <c r="D3600" s="145"/>
      <c r="Z3600" s="177"/>
      <c r="AA3600" s="178"/>
      <c r="AB3600" s="139"/>
      <c r="AC3600" s="173"/>
      <c r="AD3600" s="177"/>
      <c r="AE3600" s="177"/>
      <c r="AF3600" s="139"/>
      <c r="AG3600" s="139"/>
      <c r="AH3600" s="177"/>
      <c r="AI3600" s="178"/>
      <c r="AJ3600" s="139"/>
      <c r="AK3600" s="173"/>
      <c r="AL3600" s="177"/>
      <c r="AM3600" s="178"/>
      <c r="AN3600" s="173"/>
      <c r="AO3600" s="173"/>
      <c r="AP3600" s="173"/>
      <c r="AQ3600" s="178"/>
      <c r="AR3600" s="173"/>
      <c r="AS3600" s="173"/>
      <c r="AT3600" s="140"/>
      <c r="AX3600" s="140"/>
      <c r="BB3600" s="173"/>
      <c r="BC3600" s="173"/>
    </row>
    <row r="3601" spans="2:55" s="134" customFormat="1" x14ac:dyDescent="0.2">
      <c r="B3601" s="145"/>
      <c r="D3601" s="145"/>
      <c r="Z3601" s="177"/>
      <c r="AA3601" s="178"/>
      <c r="AB3601" s="139"/>
      <c r="AC3601" s="173"/>
      <c r="AD3601" s="177"/>
      <c r="AE3601" s="177"/>
      <c r="AF3601" s="139"/>
      <c r="AG3601" s="139"/>
      <c r="AH3601" s="177"/>
      <c r="AI3601" s="178"/>
      <c r="AJ3601" s="139"/>
      <c r="AK3601" s="173"/>
      <c r="AL3601" s="177"/>
      <c r="AM3601" s="178"/>
      <c r="AN3601" s="173"/>
      <c r="AO3601" s="173"/>
      <c r="AP3601" s="173"/>
      <c r="AQ3601" s="178"/>
      <c r="AR3601" s="173"/>
      <c r="AS3601" s="173"/>
      <c r="AT3601" s="140"/>
      <c r="AX3601" s="140"/>
      <c r="BB3601" s="173"/>
      <c r="BC3601" s="173"/>
    </row>
    <row r="3602" spans="2:55" s="134" customFormat="1" x14ac:dyDescent="0.2">
      <c r="B3602" s="145"/>
      <c r="D3602" s="145"/>
      <c r="Z3602" s="177"/>
      <c r="AA3602" s="178"/>
      <c r="AB3602" s="139"/>
      <c r="AC3602" s="173"/>
      <c r="AD3602" s="177"/>
      <c r="AE3602" s="177"/>
      <c r="AF3602" s="139"/>
      <c r="AG3602" s="139"/>
      <c r="AH3602" s="177"/>
      <c r="AI3602" s="178"/>
      <c r="AJ3602" s="139"/>
      <c r="AK3602" s="173"/>
      <c r="AL3602" s="177"/>
      <c r="AM3602" s="178"/>
      <c r="AN3602" s="173"/>
      <c r="AO3602" s="173"/>
      <c r="AP3602" s="173"/>
      <c r="AQ3602" s="178"/>
      <c r="AR3602" s="173"/>
      <c r="AS3602" s="173"/>
      <c r="AT3602" s="140"/>
      <c r="AX3602" s="140"/>
      <c r="BB3602" s="173"/>
      <c r="BC3602" s="173"/>
    </row>
    <row r="3603" spans="2:55" s="134" customFormat="1" x14ac:dyDescent="0.2">
      <c r="B3603" s="145"/>
      <c r="D3603" s="145"/>
      <c r="Z3603" s="177"/>
      <c r="AA3603" s="178"/>
      <c r="AB3603" s="139"/>
      <c r="AC3603" s="173"/>
      <c r="AD3603" s="177"/>
      <c r="AE3603" s="177"/>
      <c r="AF3603" s="139"/>
      <c r="AG3603" s="139"/>
      <c r="AH3603" s="177"/>
      <c r="AI3603" s="178"/>
      <c r="AJ3603" s="139"/>
      <c r="AK3603" s="173"/>
      <c r="AL3603" s="177"/>
      <c r="AM3603" s="178"/>
      <c r="AN3603" s="173"/>
      <c r="AO3603" s="173"/>
      <c r="AP3603" s="173"/>
      <c r="AQ3603" s="178"/>
      <c r="AR3603" s="173"/>
      <c r="AS3603" s="173"/>
      <c r="AT3603" s="140"/>
      <c r="AX3603" s="140"/>
      <c r="BB3603" s="173"/>
      <c r="BC3603" s="173"/>
    </row>
    <row r="3604" spans="2:55" s="134" customFormat="1" x14ac:dyDescent="0.2">
      <c r="B3604" s="145"/>
      <c r="D3604" s="145"/>
      <c r="Z3604" s="177"/>
      <c r="AA3604" s="178"/>
      <c r="AB3604" s="139"/>
      <c r="AC3604" s="173"/>
      <c r="AD3604" s="177"/>
      <c r="AE3604" s="177"/>
      <c r="AF3604" s="139"/>
      <c r="AG3604" s="139"/>
      <c r="AH3604" s="177"/>
      <c r="AI3604" s="178"/>
      <c r="AJ3604" s="139"/>
      <c r="AK3604" s="173"/>
      <c r="AL3604" s="177"/>
      <c r="AM3604" s="178"/>
      <c r="AN3604" s="173"/>
      <c r="AO3604" s="173"/>
      <c r="AP3604" s="173"/>
      <c r="AQ3604" s="178"/>
      <c r="AR3604" s="173"/>
      <c r="AS3604" s="173"/>
      <c r="AT3604" s="140"/>
      <c r="AX3604" s="140"/>
      <c r="BB3604" s="173"/>
      <c r="BC3604" s="173"/>
    </row>
    <row r="3605" spans="2:55" s="134" customFormat="1" x14ac:dyDescent="0.2">
      <c r="B3605" s="145"/>
      <c r="D3605" s="145"/>
      <c r="Z3605" s="177"/>
      <c r="AA3605" s="178"/>
      <c r="AB3605" s="139"/>
      <c r="AC3605" s="173"/>
      <c r="AD3605" s="177"/>
      <c r="AE3605" s="177"/>
      <c r="AF3605" s="139"/>
      <c r="AG3605" s="139"/>
      <c r="AH3605" s="177"/>
      <c r="AI3605" s="178"/>
      <c r="AJ3605" s="139"/>
      <c r="AK3605" s="173"/>
      <c r="AL3605" s="177"/>
      <c r="AM3605" s="178"/>
      <c r="AN3605" s="173"/>
      <c r="AO3605" s="173"/>
      <c r="AP3605" s="173"/>
      <c r="AQ3605" s="178"/>
      <c r="AR3605" s="173"/>
      <c r="AS3605" s="173"/>
      <c r="AT3605" s="140"/>
      <c r="AX3605" s="140"/>
      <c r="BB3605" s="173"/>
      <c r="BC3605" s="173"/>
    </row>
    <row r="3606" spans="2:55" s="134" customFormat="1" x14ac:dyDescent="0.2">
      <c r="B3606" s="145"/>
      <c r="D3606" s="145"/>
      <c r="Z3606" s="177"/>
      <c r="AA3606" s="178"/>
      <c r="AB3606" s="139"/>
      <c r="AC3606" s="173"/>
      <c r="AD3606" s="177"/>
      <c r="AE3606" s="177"/>
      <c r="AF3606" s="139"/>
      <c r="AG3606" s="139"/>
      <c r="AH3606" s="177"/>
      <c r="AI3606" s="178"/>
      <c r="AJ3606" s="139"/>
      <c r="AK3606" s="173"/>
      <c r="AL3606" s="177"/>
      <c r="AM3606" s="178"/>
      <c r="AN3606" s="173"/>
      <c r="AO3606" s="173"/>
      <c r="AP3606" s="173"/>
      <c r="AQ3606" s="178"/>
      <c r="AR3606" s="173"/>
      <c r="AS3606" s="173"/>
      <c r="AT3606" s="140"/>
      <c r="AX3606" s="140"/>
      <c r="BB3606" s="173"/>
      <c r="BC3606" s="173"/>
    </row>
    <row r="3607" spans="2:55" s="134" customFormat="1" x14ac:dyDescent="0.2">
      <c r="B3607" s="145"/>
      <c r="D3607" s="145"/>
      <c r="Z3607" s="177"/>
      <c r="AA3607" s="178"/>
      <c r="AB3607" s="139"/>
      <c r="AC3607" s="173"/>
      <c r="AD3607" s="177"/>
      <c r="AE3607" s="177"/>
      <c r="AF3607" s="139"/>
      <c r="AG3607" s="139"/>
      <c r="AH3607" s="177"/>
      <c r="AI3607" s="178"/>
      <c r="AJ3607" s="139"/>
      <c r="AK3607" s="173"/>
      <c r="AL3607" s="177"/>
      <c r="AM3607" s="178"/>
      <c r="AN3607" s="173"/>
      <c r="AO3607" s="173"/>
      <c r="AP3607" s="173"/>
      <c r="AQ3607" s="178"/>
      <c r="AR3607" s="173"/>
      <c r="AS3607" s="173"/>
      <c r="AT3607" s="140"/>
      <c r="AX3607" s="140"/>
      <c r="BB3607" s="173"/>
      <c r="BC3607" s="173"/>
    </row>
    <row r="3608" spans="2:55" s="134" customFormat="1" x14ac:dyDescent="0.2">
      <c r="B3608" s="145"/>
      <c r="D3608" s="145"/>
      <c r="Z3608" s="177"/>
      <c r="AA3608" s="178"/>
      <c r="AB3608" s="139"/>
      <c r="AC3608" s="173"/>
      <c r="AD3608" s="177"/>
      <c r="AE3608" s="177"/>
      <c r="AF3608" s="139"/>
      <c r="AG3608" s="139"/>
      <c r="AH3608" s="177"/>
      <c r="AI3608" s="178"/>
      <c r="AJ3608" s="139"/>
      <c r="AK3608" s="173"/>
      <c r="AL3608" s="177"/>
      <c r="AM3608" s="178"/>
      <c r="AN3608" s="173"/>
      <c r="AO3608" s="173"/>
      <c r="AP3608" s="173"/>
      <c r="AQ3608" s="178"/>
      <c r="AR3608" s="173"/>
      <c r="AS3608" s="173"/>
      <c r="AT3608" s="140"/>
      <c r="AX3608" s="140"/>
      <c r="BB3608" s="173"/>
      <c r="BC3608" s="173"/>
    </row>
    <row r="3609" spans="2:55" s="134" customFormat="1" x14ac:dyDescent="0.2">
      <c r="B3609" s="145"/>
      <c r="D3609" s="145"/>
      <c r="Z3609" s="177"/>
      <c r="AA3609" s="178"/>
      <c r="AB3609" s="139"/>
      <c r="AC3609" s="173"/>
      <c r="AD3609" s="177"/>
      <c r="AE3609" s="177"/>
      <c r="AF3609" s="139"/>
      <c r="AG3609" s="139"/>
      <c r="AH3609" s="177"/>
      <c r="AI3609" s="178"/>
      <c r="AJ3609" s="139"/>
      <c r="AK3609" s="173"/>
      <c r="AL3609" s="177"/>
      <c r="AM3609" s="178"/>
      <c r="AN3609" s="173"/>
      <c r="AO3609" s="173"/>
      <c r="AP3609" s="173"/>
      <c r="AQ3609" s="178"/>
      <c r="AR3609" s="173"/>
      <c r="AS3609" s="173"/>
      <c r="AT3609" s="140"/>
      <c r="AX3609" s="140"/>
      <c r="BB3609" s="173"/>
      <c r="BC3609" s="173"/>
    </row>
    <row r="3610" spans="2:55" s="134" customFormat="1" x14ac:dyDescent="0.2">
      <c r="B3610" s="145"/>
      <c r="D3610" s="145"/>
      <c r="Z3610" s="177"/>
      <c r="AA3610" s="178"/>
      <c r="AB3610" s="139"/>
      <c r="AC3610" s="173"/>
      <c r="AD3610" s="177"/>
      <c r="AE3610" s="177"/>
      <c r="AF3610" s="139"/>
      <c r="AG3610" s="139"/>
      <c r="AH3610" s="177"/>
      <c r="AI3610" s="178"/>
      <c r="AJ3610" s="139"/>
      <c r="AK3610" s="173"/>
      <c r="AL3610" s="177"/>
      <c r="AM3610" s="178"/>
      <c r="AN3610" s="173"/>
      <c r="AO3610" s="173"/>
      <c r="AP3610" s="173"/>
      <c r="AQ3610" s="178"/>
      <c r="AR3610" s="173"/>
      <c r="AS3610" s="173"/>
      <c r="AT3610" s="140"/>
      <c r="AX3610" s="140"/>
      <c r="BB3610" s="173"/>
      <c r="BC3610" s="173"/>
    </row>
    <row r="3611" spans="2:55" s="134" customFormat="1" x14ac:dyDescent="0.2">
      <c r="B3611" s="145"/>
      <c r="D3611" s="145"/>
      <c r="Z3611" s="177"/>
      <c r="AA3611" s="178"/>
      <c r="AB3611" s="139"/>
      <c r="AC3611" s="173"/>
      <c r="AD3611" s="177"/>
      <c r="AE3611" s="177"/>
      <c r="AF3611" s="139"/>
      <c r="AG3611" s="139"/>
      <c r="AH3611" s="177"/>
      <c r="AI3611" s="178"/>
      <c r="AJ3611" s="139"/>
      <c r="AK3611" s="173"/>
      <c r="AL3611" s="177"/>
      <c r="AM3611" s="178"/>
      <c r="AN3611" s="173"/>
      <c r="AO3611" s="173"/>
      <c r="AP3611" s="173"/>
      <c r="AQ3611" s="178"/>
      <c r="AR3611" s="173"/>
      <c r="AS3611" s="173"/>
      <c r="AT3611" s="140"/>
      <c r="AX3611" s="140"/>
      <c r="BB3611" s="173"/>
      <c r="BC3611" s="173"/>
    </row>
    <row r="3612" spans="2:55" s="134" customFormat="1" x14ac:dyDescent="0.2">
      <c r="B3612" s="145"/>
      <c r="D3612" s="145"/>
      <c r="Z3612" s="177"/>
      <c r="AA3612" s="178"/>
      <c r="AB3612" s="139"/>
      <c r="AC3612" s="173"/>
      <c r="AD3612" s="177"/>
      <c r="AE3612" s="177"/>
      <c r="AF3612" s="139"/>
      <c r="AG3612" s="139"/>
      <c r="AH3612" s="177"/>
      <c r="AI3612" s="178"/>
      <c r="AJ3612" s="139"/>
      <c r="AK3612" s="173"/>
      <c r="AL3612" s="177"/>
      <c r="AM3612" s="178"/>
      <c r="AN3612" s="173"/>
      <c r="AO3612" s="173"/>
      <c r="AP3612" s="173"/>
      <c r="AQ3612" s="178"/>
      <c r="AR3612" s="173"/>
      <c r="AS3612" s="173"/>
      <c r="AT3612" s="140"/>
      <c r="AX3612" s="140"/>
      <c r="BB3612" s="173"/>
      <c r="BC3612" s="173"/>
    </row>
    <row r="3613" spans="2:55" s="134" customFormat="1" x14ac:dyDescent="0.2">
      <c r="B3613" s="145"/>
      <c r="D3613" s="145"/>
      <c r="Z3613" s="177"/>
      <c r="AA3613" s="178"/>
      <c r="AB3613" s="139"/>
      <c r="AC3613" s="173"/>
      <c r="AD3613" s="177"/>
      <c r="AE3613" s="177"/>
      <c r="AF3613" s="139"/>
      <c r="AG3613" s="139"/>
      <c r="AH3613" s="177"/>
      <c r="AI3613" s="178"/>
      <c r="AJ3613" s="139"/>
      <c r="AK3613" s="173"/>
      <c r="AL3613" s="177"/>
      <c r="AM3613" s="178"/>
      <c r="AN3613" s="173"/>
      <c r="AO3613" s="173"/>
      <c r="AP3613" s="173"/>
      <c r="AQ3613" s="178"/>
      <c r="AR3613" s="173"/>
      <c r="AS3613" s="173"/>
      <c r="AT3613" s="140"/>
      <c r="AX3613" s="140"/>
      <c r="BB3613" s="173"/>
      <c r="BC3613" s="173"/>
    </row>
    <row r="3614" spans="2:55" s="134" customFormat="1" x14ac:dyDescent="0.2">
      <c r="B3614" s="145"/>
      <c r="D3614" s="145"/>
      <c r="Z3614" s="177"/>
      <c r="AA3614" s="178"/>
      <c r="AB3614" s="139"/>
      <c r="AC3614" s="173"/>
      <c r="AD3614" s="177"/>
      <c r="AE3614" s="177"/>
      <c r="AF3614" s="139"/>
      <c r="AG3614" s="139"/>
      <c r="AH3614" s="177"/>
      <c r="AI3614" s="178"/>
      <c r="AJ3614" s="139"/>
      <c r="AK3614" s="173"/>
      <c r="AL3614" s="177"/>
      <c r="AM3614" s="178"/>
      <c r="AN3614" s="173"/>
      <c r="AO3614" s="173"/>
      <c r="AP3614" s="173"/>
      <c r="AQ3614" s="178"/>
      <c r="AR3614" s="173"/>
      <c r="AS3614" s="173"/>
      <c r="AT3614" s="140"/>
      <c r="AX3614" s="140"/>
      <c r="BB3614" s="173"/>
      <c r="BC3614" s="173"/>
    </row>
    <row r="3615" spans="2:55" s="134" customFormat="1" x14ac:dyDescent="0.2">
      <c r="B3615" s="145"/>
      <c r="D3615" s="145"/>
      <c r="Z3615" s="177"/>
      <c r="AA3615" s="178"/>
      <c r="AB3615" s="139"/>
      <c r="AC3615" s="173"/>
      <c r="AD3615" s="177"/>
      <c r="AE3615" s="177"/>
      <c r="AF3615" s="139"/>
      <c r="AG3615" s="139"/>
      <c r="AH3615" s="177"/>
      <c r="AI3615" s="178"/>
      <c r="AJ3615" s="139"/>
      <c r="AK3615" s="173"/>
      <c r="AL3615" s="177"/>
      <c r="AM3615" s="178"/>
      <c r="AN3615" s="173"/>
      <c r="AO3615" s="173"/>
      <c r="AP3615" s="173"/>
      <c r="AQ3615" s="178"/>
      <c r="AR3615" s="173"/>
      <c r="AS3615" s="173"/>
      <c r="AT3615" s="140"/>
      <c r="AX3615" s="140"/>
      <c r="BB3615" s="173"/>
      <c r="BC3615" s="173"/>
    </row>
    <row r="3616" spans="2:55" s="134" customFormat="1" x14ac:dyDescent="0.2">
      <c r="B3616" s="145"/>
      <c r="D3616" s="145"/>
      <c r="Z3616" s="177"/>
      <c r="AA3616" s="178"/>
      <c r="AB3616" s="139"/>
      <c r="AC3616" s="173"/>
      <c r="AD3616" s="177"/>
      <c r="AE3616" s="177"/>
      <c r="AF3616" s="139"/>
      <c r="AG3616" s="139"/>
      <c r="AH3616" s="177"/>
      <c r="AI3616" s="178"/>
      <c r="AJ3616" s="139"/>
      <c r="AK3616" s="173"/>
      <c r="AL3616" s="177"/>
      <c r="AM3616" s="178"/>
      <c r="AN3616" s="173"/>
      <c r="AO3616" s="173"/>
      <c r="AP3616" s="173"/>
      <c r="AQ3616" s="178"/>
      <c r="AR3616" s="173"/>
      <c r="AS3616" s="173"/>
      <c r="AT3616" s="140"/>
      <c r="AX3616" s="140"/>
      <c r="BB3616" s="173"/>
      <c r="BC3616" s="173"/>
    </row>
    <row r="3617" spans="2:55" s="134" customFormat="1" x14ac:dyDescent="0.2">
      <c r="B3617" s="145"/>
      <c r="D3617" s="145"/>
      <c r="Z3617" s="177"/>
      <c r="AA3617" s="178"/>
      <c r="AB3617" s="139"/>
      <c r="AC3617" s="173"/>
      <c r="AD3617" s="177"/>
      <c r="AE3617" s="177"/>
      <c r="AF3617" s="139"/>
      <c r="AG3617" s="139"/>
      <c r="AH3617" s="177"/>
      <c r="AI3617" s="178"/>
      <c r="AJ3617" s="139"/>
      <c r="AK3617" s="173"/>
      <c r="AL3617" s="177"/>
      <c r="AM3617" s="178"/>
      <c r="AN3617" s="173"/>
      <c r="AO3617" s="173"/>
      <c r="AP3617" s="173"/>
      <c r="AQ3617" s="178"/>
      <c r="AR3617" s="173"/>
      <c r="AS3617" s="173"/>
      <c r="AT3617" s="140"/>
      <c r="AX3617" s="140"/>
      <c r="BB3617" s="173"/>
      <c r="BC3617" s="173"/>
    </row>
    <row r="3618" spans="2:55" s="134" customFormat="1" x14ac:dyDescent="0.2">
      <c r="B3618" s="145"/>
      <c r="D3618" s="145"/>
      <c r="Z3618" s="177"/>
      <c r="AA3618" s="178"/>
      <c r="AB3618" s="139"/>
      <c r="AC3618" s="173"/>
      <c r="AD3618" s="177"/>
      <c r="AE3618" s="177"/>
      <c r="AF3618" s="139"/>
      <c r="AG3618" s="139"/>
      <c r="AH3618" s="177"/>
      <c r="AI3618" s="178"/>
      <c r="AJ3618" s="139"/>
      <c r="AK3618" s="173"/>
      <c r="AL3618" s="177"/>
      <c r="AM3618" s="178"/>
      <c r="AN3618" s="173"/>
      <c r="AO3618" s="173"/>
      <c r="AP3618" s="173"/>
      <c r="AQ3618" s="178"/>
      <c r="AR3618" s="173"/>
      <c r="AS3618" s="173"/>
      <c r="AT3618" s="140"/>
      <c r="AX3618" s="140"/>
      <c r="BB3618" s="173"/>
      <c r="BC3618" s="173"/>
    </row>
    <row r="3619" spans="2:55" s="134" customFormat="1" x14ac:dyDescent="0.2">
      <c r="B3619" s="145"/>
      <c r="D3619" s="145"/>
      <c r="Z3619" s="177"/>
      <c r="AA3619" s="178"/>
      <c r="AB3619" s="139"/>
      <c r="AC3619" s="173"/>
      <c r="AD3619" s="177"/>
      <c r="AE3619" s="177"/>
      <c r="AF3619" s="139"/>
      <c r="AG3619" s="139"/>
      <c r="AH3619" s="177"/>
      <c r="AI3619" s="178"/>
      <c r="AJ3619" s="139"/>
      <c r="AK3619" s="173"/>
      <c r="AL3619" s="177"/>
      <c r="AM3619" s="178"/>
      <c r="AN3619" s="173"/>
      <c r="AO3619" s="173"/>
      <c r="AP3619" s="173"/>
      <c r="AQ3619" s="178"/>
      <c r="AR3619" s="173"/>
      <c r="AS3619" s="173"/>
      <c r="AT3619" s="140"/>
      <c r="AX3619" s="140"/>
      <c r="BB3619" s="173"/>
      <c r="BC3619" s="173"/>
    </row>
    <row r="3620" spans="2:55" s="134" customFormat="1" x14ac:dyDescent="0.2">
      <c r="B3620" s="145"/>
      <c r="D3620" s="145"/>
      <c r="Z3620" s="177"/>
      <c r="AA3620" s="178"/>
      <c r="AB3620" s="139"/>
      <c r="AC3620" s="173"/>
      <c r="AD3620" s="177"/>
      <c r="AE3620" s="177"/>
      <c r="AF3620" s="139"/>
      <c r="AG3620" s="139"/>
      <c r="AH3620" s="177"/>
      <c r="AI3620" s="178"/>
      <c r="AJ3620" s="139"/>
      <c r="AK3620" s="173"/>
      <c r="AL3620" s="177"/>
      <c r="AM3620" s="178"/>
      <c r="AN3620" s="173"/>
      <c r="AO3620" s="173"/>
      <c r="AP3620" s="173"/>
      <c r="AQ3620" s="178"/>
      <c r="AR3620" s="173"/>
      <c r="AS3620" s="173"/>
      <c r="AT3620" s="140"/>
      <c r="AX3620" s="140"/>
      <c r="BB3620" s="173"/>
      <c r="BC3620" s="173"/>
    </row>
    <row r="3621" spans="2:55" s="134" customFormat="1" x14ac:dyDescent="0.2">
      <c r="B3621" s="145"/>
      <c r="D3621" s="145"/>
      <c r="Z3621" s="177"/>
      <c r="AA3621" s="178"/>
      <c r="AB3621" s="139"/>
      <c r="AC3621" s="173"/>
      <c r="AD3621" s="177"/>
      <c r="AE3621" s="177"/>
      <c r="AF3621" s="139"/>
      <c r="AG3621" s="139"/>
      <c r="AH3621" s="177"/>
      <c r="AI3621" s="178"/>
      <c r="AJ3621" s="139"/>
      <c r="AK3621" s="173"/>
      <c r="AL3621" s="177"/>
      <c r="AM3621" s="178"/>
      <c r="AN3621" s="173"/>
      <c r="AO3621" s="173"/>
      <c r="AP3621" s="173"/>
      <c r="AQ3621" s="178"/>
      <c r="AR3621" s="173"/>
      <c r="AS3621" s="173"/>
      <c r="AT3621" s="140"/>
      <c r="AX3621" s="140"/>
      <c r="BB3621" s="173"/>
      <c r="BC3621" s="173"/>
    </row>
    <row r="3622" spans="2:55" s="134" customFormat="1" x14ac:dyDescent="0.2">
      <c r="B3622" s="145"/>
      <c r="D3622" s="145"/>
      <c r="Z3622" s="177"/>
      <c r="AA3622" s="178"/>
      <c r="AB3622" s="139"/>
      <c r="AC3622" s="173"/>
      <c r="AD3622" s="177"/>
      <c r="AE3622" s="177"/>
      <c r="AF3622" s="139"/>
      <c r="AG3622" s="139"/>
      <c r="AH3622" s="177"/>
      <c r="AI3622" s="178"/>
      <c r="AJ3622" s="139"/>
      <c r="AK3622" s="173"/>
      <c r="AL3622" s="177"/>
      <c r="AM3622" s="178"/>
      <c r="AN3622" s="173"/>
      <c r="AO3622" s="173"/>
      <c r="AP3622" s="173"/>
      <c r="AQ3622" s="178"/>
      <c r="AR3622" s="173"/>
      <c r="AS3622" s="173"/>
      <c r="AT3622" s="140"/>
      <c r="AX3622" s="140"/>
      <c r="BB3622" s="173"/>
      <c r="BC3622" s="173"/>
    </row>
    <row r="3623" spans="2:55" s="134" customFormat="1" x14ac:dyDescent="0.2">
      <c r="B3623" s="145"/>
      <c r="D3623" s="145"/>
      <c r="Z3623" s="177"/>
      <c r="AA3623" s="178"/>
      <c r="AB3623" s="139"/>
      <c r="AC3623" s="173"/>
      <c r="AD3623" s="177"/>
      <c r="AE3623" s="177"/>
      <c r="AF3623" s="139"/>
      <c r="AG3623" s="139"/>
      <c r="AH3623" s="177"/>
      <c r="AI3623" s="178"/>
      <c r="AJ3623" s="139"/>
      <c r="AK3623" s="173"/>
      <c r="AL3623" s="177"/>
      <c r="AM3623" s="178"/>
      <c r="AN3623" s="173"/>
      <c r="AO3623" s="173"/>
      <c r="AP3623" s="173"/>
      <c r="AQ3623" s="178"/>
      <c r="AR3623" s="173"/>
      <c r="AS3623" s="173"/>
      <c r="AT3623" s="140"/>
      <c r="AX3623" s="140"/>
      <c r="BB3623" s="173"/>
      <c r="BC3623" s="173"/>
    </row>
    <row r="3624" spans="2:55" s="134" customFormat="1" x14ac:dyDescent="0.2">
      <c r="B3624" s="145"/>
      <c r="D3624" s="145"/>
      <c r="Z3624" s="177"/>
      <c r="AA3624" s="178"/>
      <c r="AB3624" s="139"/>
      <c r="AC3624" s="173"/>
      <c r="AD3624" s="177"/>
      <c r="AE3624" s="177"/>
      <c r="AF3624" s="139"/>
      <c r="AG3624" s="139"/>
      <c r="AH3624" s="177"/>
      <c r="AI3624" s="178"/>
      <c r="AJ3624" s="139"/>
      <c r="AK3624" s="173"/>
      <c r="AL3624" s="177"/>
      <c r="AM3624" s="178"/>
      <c r="AN3624" s="173"/>
      <c r="AO3624" s="173"/>
      <c r="AP3624" s="173"/>
      <c r="AQ3624" s="178"/>
      <c r="AR3624" s="173"/>
      <c r="AS3624" s="173"/>
      <c r="AT3624" s="140"/>
      <c r="AX3624" s="140"/>
      <c r="BB3624" s="173"/>
      <c r="BC3624" s="173"/>
    </row>
    <row r="3625" spans="2:55" s="134" customFormat="1" x14ac:dyDescent="0.2">
      <c r="B3625" s="145"/>
      <c r="D3625" s="145"/>
      <c r="Z3625" s="177"/>
      <c r="AA3625" s="178"/>
      <c r="AB3625" s="139"/>
      <c r="AC3625" s="173"/>
      <c r="AD3625" s="177"/>
      <c r="AE3625" s="177"/>
      <c r="AF3625" s="139"/>
      <c r="AG3625" s="139"/>
      <c r="AH3625" s="177"/>
      <c r="AI3625" s="178"/>
      <c r="AJ3625" s="139"/>
      <c r="AK3625" s="173"/>
      <c r="AL3625" s="177"/>
      <c r="AM3625" s="178"/>
      <c r="AN3625" s="173"/>
      <c r="AO3625" s="173"/>
      <c r="AP3625" s="173"/>
      <c r="AQ3625" s="178"/>
      <c r="AR3625" s="173"/>
      <c r="AS3625" s="173"/>
      <c r="AT3625" s="140"/>
      <c r="AX3625" s="140"/>
      <c r="BB3625" s="173"/>
      <c r="BC3625" s="173"/>
    </row>
    <row r="3626" spans="2:55" s="134" customFormat="1" x14ac:dyDescent="0.2">
      <c r="B3626" s="145"/>
      <c r="D3626" s="145"/>
      <c r="Z3626" s="177"/>
      <c r="AA3626" s="178"/>
      <c r="AB3626" s="139"/>
      <c r="AC3626" s="173"/>
      <c r="AD3626" s="177"/>
      <c r="AE3626" s="177"/>
      <c r="AF3626" s="139"/>
      <c r="AG3626" s="139"/>
      <c r="AH3626" s="177"/>
      <c r="AI3626" s="178"/>
      <c r="AJ3626" s="139"/>
      <c r="AK3626" s="173"/>
      <c r="AL3626" s="177"/>
      <c r="AM3626" s="178"/>
      <c r="AN3626" s="173"/>
      <c r="AO3626" s="173"/>
      <c r="AP3626" s="173"/>
      <c r="AQ3626" s="178"/>
      <c r="AR3626" s="173"/>
      <c r="AS3626" s="173"/>
      <c r="AT3626" s="140"/>
      <c r="AX3626" s="140"/>
      <c r="BB3626" s="173"/>
      <c r="BC3626" s="173"/>
    </row>
    <row r="3627" spans="2:55" s="134" customFormat="1" x14ac:dyDescent="0.2">
      <c r="B3627" s="145"/>
      <c r="D3627" s="145"/>
      <c r="Z3627" s="177"/>
      <c r="AA3627" s="178"/>
      <c r="AB3627" s="139"/>
      <c r="AC3627" s="173"/>
      <c r="AD3627" s="177"/>
      <c r="AE3627" s="177"/>
      <c r="AF3627" s="139"/>
      <c r="AG3627" s="139"/>
      <c r="AH3627" s="177"/>
      <c r="AI3627" s="178"/>
      <c r="AJ3627" s="139"/>
      <c r="AK3627" s="173"/>
      <c r="AL3627" s="177"/>
      <c r="AM3627" s="178"/>
      <c r="AN3627" s="173"/>
      <c r="AO3627" s="173"/>
      <c r="AP3627" s="173"/>
      <c r="AQ3627" s="178"/>
      <c r="AR3627" s="173"/>
      <c r="AS3627" s="173"/>
      <c r="AT3627" s="140"/>
      <c r="AX3627" s="140"/>
      <c r="BB3627" s="173"/>
      <c r="BC3627" s="173"/>
    </row>
    <row r="3628" spans="2:55" s="134" customFormat="1" x14ac:dyDescent="0.2">
      <c r="B3628" s="145"/>
      <c r="D3628" s="145"/>
      <c r="Z3628" s="177"/>
      <c r="AA3628" s="178"/>
      <c r="AB3628" s="139"/>
      <c r="AC3628" s="173"/>
      <c r="AD3628" s="177"/>
      <c r="AE3628" s="177"/>
      <c r="AF3628" s="139"/>
      <c r="AG3628" s="139"/>
      <c r="AH3628" s="177"/>
      <c r="AI3628" s="178"/>
      <c r="AJ3628" s="139"/>
      <c r="AK3628" s="173"/>
      <c r="AL3628" s="177"/>
      <c r="AM3628" s="178"/>
      <c r="AN3628" s="173"/>
      <c r="AO3628" s="173"/>
      <c r="AP3628" s="173"/>
      <c r="AQ3628" s="178"/>
      <c r="AR3628" s="173"/>
      <c r="AS3628" s="173"/>
      <c r="AT3628" s="140"/>
      <c r="AX3628" s="140"/>
      <c r="BB3628" s="173"/>
      <c r="BC3628" s="173"/>
    </row>
    <row r="3629" spans="2:55" s="134" customFormat="1" x14ac:dyDescent="0.2">
      <c r="B3629" s="145"/>
      <c r="D3629" s="145"/>
      <c r="Z3629" s="177"/>
      <c r="AA3629" s="178"/>
      <c r="AB3629" s="139"/>
      <c r="AC3629" s="173"/>
      <c r="AD3629" s="177"/>
      <c r="AE3629" s="177"/>
      <c r="AF3629" s="139"/>
      <c r="AG3629" s="139"/>
      <c r="AH3629" s="177"/>
      <c r="AI3629" s="178"/>
      <c r="AJ3629" s="139"/>
      <c r="AK3629" s="173"/>
      <c r="AL3629" s="177"/>
      <c r="AM3629" s="178"/>
      <c r="AN3629" s="173"/>
      <c r="AO3629" s="173"/>
      <c r="AP3629" s="173"/>
      <c r="AQ3629" s="178"/>
      <c r="AR3629" s="173"/>
      <c r="AS3629" s="173"/>
      <c r="AT3629" s="140"/>
      <c r="AX3629" s="140"/>
      <c r="BB3629" s="173"/>
      <c r="BC3629" s="173"/>
    </row>
    <row r="3630" spans="2:55" s="134" customFormat="1" x14ac:dyDescent="0.2">
      <c r="B3630" s="145"/>
      <c r="D3630" s="145"/>
      <c r="Z3630" s="177"/>
      <c r="AA3630" s="178"/>
      <c r="AB3630" s="139"/>
      <c r="AC3630" s="173"/>
      <c r="AD3630" s="177"/>
      <c r="AE3630" s="177"/>
      <c r="AF3630" s="139"/>
      <c r="AG3630" s="139"/>
      <c r="AH3630" s="177"/>
      <c r="AI3630" s="178"/>
      <c r="AJ3630" s="139"/>
      <c r="AK3630" s="173"/>
      <c r="AL3630" s="177"/>
      <c r="AM3630" s="178"/>
      <c r="AN3630" s="173"/>
      <c r="AO3630" s="173"/>
      <c r="AP3630" s="173"/>
      <c r="AQ3630" s="178"/>
      <c r="AR3630" s="173"/>
      <c r="AS3630" s="173"/>
      <c r="AT3630" s="140"/>
      <c r="AX3630" s="140"/>
      <c r="BB3630" s="173"/>
      <c r="BC3630" s="173"/>
    </row>
    <row r="3631" spans="2:55" s="134" customFormat="1" x14ac:dyDescent="0.2">
      <c r="B3631" s="145"/>
      <c r="D3631" s="145"/>
      <c r="Z3631" s="177"/>
      <c r="AA3631" s="178"/>
      <c r="AB3631" s="139"/>
      <c r="AC3631" s="173"/>
      <c r="AD3631" s="177"/>
      <c r="AE3631" s="177"/>
      <c r="AF3631" s="139"/>
      <c r="AG3631" s="139"/>
      <c r="AH3631" s="177"/>
      <c r="AI3631" s="178"/>
      <c r="AJ3631" s="139"/>
      <c r="AK3631" s="173"/>
      <c r="AL3631" s="177"/>
      <c r="AM3631" s="178"/>
      <c r="AN3631" s="173"/>
      <c r="AO3631" s="173"/>
      <c r="AP3631" s="173"/>
      <c r="AQ3631" s="178"/>
      <c r="AR3631" s="173"/>
      <c r="AS3631" s="173"/>
      <c r="AT3631" s="140"/>
      <c r="AX3631" s="140"/>
      <c r="BB3631" s="173"/>
      <c r="BC3631" s="173"/>
    </row>
    <row r="3632" spans="2:55" s="134" customFormat="1" x14ac:dyDescent="0.2">
      <c r="B3632" s="145"/>
      <c r="D3632" s="145"/>
      <c r="Z3632" s="177"/>
      <c r="AA3632" s="178"/>
      <c r="AB3632" s="139"/>
      <c r="AC3632" s="173"/>
      <c r="AD3632" s="177"/>
      <c r="AE3632" s="177"/>
      <c r="AF3632" s="139"/>
      <c r="AG3632" s="139"/>
      <c r="AH3632" s="177"/>
      <c r="AI3632" s="178"/>
      <c r="AJ3632" s="139"/>
      <c r="AK3632" s="173"/>
      <c r="AL3632" s="177"/>
      <c r="AM3632" s="178"/>
      <c r="AN3632" s="173"/>
      <c r="AO3632" s="173"/>
      <c r="AP3632" s="173"/>
      <c r="AQ3632" s="178"/>
      <c r="AR3632" s="173"/>
      <c r="AS3632" s="173"/>
      <c r="AT3632" s="140"/>
      <c r="AX3632" s="140"/>
      <c r="BB3632" s="173"/>
      <c r="BC3632" s="173"/>
    </row>
    <row r="3633" spans="2:55" s="134" customFormat="1" x14ac:dyDescent="0.2">
      <c r="B3633" s="145"/>
      <c r="D3633" s="145"/>
      <c r="Z3633" s="177"/>
      <c r="AA3633" s="178"/>
      <c r="AB3633" s="139"/>
      <c r="AC3633" s="173"/>
      <c r="AD3633" s="177"/>
      <c r="AE3633" s="177"/>
      <c r="AF3633" s="139"/>
      <c r="AG3633" s="139"/>
      <c r="AH3633" s="177"/>
      <c r="AI3633" s="178"/>
      <c r="AJ3633" s="139"/>
      <c r="AK3633" s="173"/>
      <c r="AL3633" s="177"/>
      <c r="AM3633" s="178"/>
      <c r="AN3633" s="173"/>
      <c r="AO3633" s="173"/>
      <c r="AP3633" s="173"/>
      <c r="AQ3633" s="178"/>
      <c r="AR3633" s="173"/>
      <c r="AS3633" s="173"/>
      <c r="AT3633" s="140"/>
      <c r="AX3633" s="140"/>
      <c r="BB3633" s="173"/>
      <c r="BC3633" s="173"/>
    </row>
    <row r="3634" spans="2:55" s="134" customFormat="1" x14ac:dyDescent="0.2">
      <c r="B3634" s="145"/>
      <c r="D3634" s="145"/>
      <c r="Z3634" s="177"/>
      <c r="AA3634" s="178"/>
      <c r="AB3634" s="139"/>
      <c r="AC3634" s="173"/>
      <c r="AD3634" s="177"/>
      <c r="AE3634" s="177"/>
      <c r="AF3634" s="139"/>
      <c r="AG3634" s="139"/>
      <c r="AH3634" s="177"/>
      <c r="AI3634" s="178"/>
      <c r="AJ3634" s="139"/>
      <c r="AK3634" s="173"/>
      <c r="AL3634" s="177"/>
      <c r="AM3634" s="178"/>
      <c r="AN3634" s="173"/>
      <c r="AO3634" s="173"/>
      <c r="AP3634" s="173"/>
      <c r="AQ3634" s="178"/>
      <c r="AR3634" s="173"/>
      <c r="AS3634" s="173"/>
      <c r="AT3634" s="140"/>
      <c r="AX3634" s="140"/>
      <c r="BB3634" s="173"/>
      <c r="BC3634" s="173"/>
    </row>
    <row r="3635" spans="2:55" s="134" customFormat="1" x14ac:dyDescent="0.2">
      <c r="B3635" s="145"/>
      <c r="D3635" s="145"/>
      <c r="Z3635" s="177"/>
      <c r="AA3635" s="178"/>
      <c r="AB3635" s="139"/>
      <c r="AC3635" s="173"/>
      <c r="AD3635" s="177"/>
      <c r="AE3635" s="177"/>
      <c r="AF3635" s="139"/>
      <c r="AG3635" s="139"/>
      <c r="AH3635" s="177"/>
      <c r="AI3635" s="178"/>
      <c r="AJ3635" s="139"/>
      <c r="AK3635" s="173"/>
      <c r="AL3635" s="177"/>
      <c r="AM3635" s="178"/>
      <c r="AN3635" s="173"/>
      <c r="AO3635" s="173"/>
      <c r="AP3635" s="173"/>
      <c r="AQ3635" s="178"/>
      <c r="AR3635" s="173"/>
      <c r="AS3635" s="173"/>
      <c r="AT3635" s="140"/>
      <c r="AX3635" s="140"/>
      <c r="BB3635" s="173"/>
      <c r="BC3635" s="173"/>
    </row>
    <row r="3636" spans="2:55" s="134" customFormat="1" x14ac:dyDescent="0.2">
      <c r="B3636" s="145"/>
      <c r="D3636" s="145"/>
      <c r="Z3636" s="177"/>
      <c r="AA3636" s="178"/>
      <c r="AB3636" s="139"/>
      <c r="AC3636" s="173"/>
      <c r="AD3636" s="177"/>
      <c r="AE3636" s="177"/>
      <c r="AF3636" s="139"/>
      <c r="AG3636" s="139"/>
      <c r="AH3636" s="177"/>
      <c r="AI3636" s="178"/>
      <c r="AJ3636" s="139"/>
      <c r="AK3636" s="173"/>
      <c r="AL3636" s="177"/>
      <c r="AM3636" s="178"/>
      <c r="AN3636" s="173"/>
      <c r="AO3636" s="173"/>
      <c r="AP3636" s="173"/>
      <c r="AQ3636" s="178"/>
      <c r="AR3636" s="173"/>
      <c r="AS3636" s="173"/>
      <c r="AT3636" s="140"/>
      <c r="AX3636" s="140"/>
      <c r="BB3636" s="173"/>
      <c r="BC3636" s="173"/>
    </row>
    <row r="3637" spans="2:55" s="134" customFormat="1" x14ac:dyDescent="0.2">
      <c r="B3637" s="145"/>
      <c r="D3637" s="145"/>
      <c r="Z3637" s="177"/>
      <c r="AA3637" s="178"/>
      <c r="AB3637" s="139"/>
      <c r="AC3637" s="173"/>
      <c r="AD3637" s="177"/>
      <c r="AE3637" s="177"/>
      <c r="AF3637" s="139"/>
      <c r="AG3637" s="139"/>
      <c r="AH3637" s="177"/>
      <c r="AI3637" s="178"/>
      <c r="AJ3637" s="139"/>
      <c r="AK3637" s="173"/>
      <c r="AL3637" s="177"/>
      <c r="AM3637" s="178"/>
      <c r="AN3637" s="173"/>
      <c r="AO3637" s="173"/>
      <c r="AP3637" s="173"/>
      <c r="AQ3637" s="178"/>
      <c r="AR3637" s="173"/>
      <c r="AS3637" s="173"/>
      <c r="AT3637" s="140"/>
      <c r="AX3637" s="140"/>
      <c r="BB3637" s="173"/>
      <c r="BC3637" s="173"/>
    </row>
    <row r="3638" spans="2:55" s="134" customFormat="1" x14ac:dyDescent="0.2">
      <c r="B3638" s="145"/>
      <c r="D3638" s="145"/>
      <c r="Z3638" s="177"/>
      <c r="AA3638" s="178"/>
      <c r="AB3638" s="139"/>
      <c r="AC3638" s="173"/>
      <c r="AD3638" s="177"/>
      <c r="AE3638" s="177"/>
      <c r="AF3638" s="139"/>
      <c r="AG3638" s="139"/>
      <c r="AH3638" s="177"/>
      <c r="AI3638" s="178"/>
      <c r="AJ3638" s="139"/>
      <c r="AK3638" s="173"/>
      <c r="AL3638" s="177"/>
      <c r="AM3638" s="178"/>
      <c r="AN3638" s="173"/>
      <c r="AO3638" s="173"/>
      <c r="AP3638" s="173"/>
      <c r="AQ3638" s="178"/>
      <c r="AR3638" s="173"/>
      <c r="AS3638" s="173"/>
      <c r="AT3638" s="140"/>
      <c r="AX3638" s="140"/>
      <c r="BB3638" s="173"/>
      <c r="BC3638" s="173"/>
    </row>
    <row r="3639" spans="2:55" s="134" customFormat="1" x14ac:dyDescent="0.2">
      <c r="B3639" s="145"/>
      <c r="D3639" s="145"/>
      <c r="Z3639" s="177"/>
      <c r="AA3639" s="178"/>
      <c r="AB3639" s="139"/>
      <c r="AC3639" s="173"/>
      <c r="AD3639" s="177"/>
      <c r="AE3639" s="177"/>
      <c r="AF3639" s="139"/>
      <c r="AG3639" s="139"/>
      <c r="AH3639" s="177"/>
      <c r="AI3639" s="178"/>
      <c r="AJ3639" s="139"/>
      <c r="AK3639" s="173"/>
      <c r="AL3639" s="177"/>
      <c r="AM3639" s="178"/>
      <c r="AN3639" s="173"/>
      <c r="AO3639" s="173"/>
      <c r="AP3639" s="173"/>
      <c r="AQ3639" s="178"/>
      <c r="AR3639" s="173"/>
      <c r="AS3639" s="173"/>
      <c r="AT3639" s="140"/>
      <c r="AX3639" s="140"/>
      <c r="BB3639" s="173"/>
      <c r="BC3639" s="173"/>
    </row>
    <row r="3640" spans="2:55" s="134" customFormat="1" x14ac:dyDescent="0.2">
      <c r="B3640" s="145"/>
      <c r="D3640" s="145"/>
      <c r="Z3640" s="177"/>
      <c r="AA3640" s="178"/>
      <c r="AB3640" s="139"/>
      <c r="AC3640" s="173"/>
      <c r="AD3640" s="177"/>
      <c r="AE3640" s="177"/>
      <c r="AF3640" s="139"/>
      <c r="AG3640" s="139"/>
      <c r="AH3640" s="177"/>
      <c r="AI3640" s="178"/>
      <c r="AJ3640" s="139"/>
      <c r="AK3640" s="173"/>
      <c r="AL3640" s="177"/>
      <c r="AM3640" s="178"/>
      <c r="AN3640" s="173"/>
      <c r="AO3640" s="173"/>
      <c r="AP3640" s="173"/>
      <c r="AQ3640" s="178"/>
      <c r="AR3640" s="173"/>
      <c r="AS3640" s="173"/>
      <c r="AT3640" s="140"/>
      <c r="AX3640" s="140"/>
      <c r="BB3640" s="173"/>
      <c r="BC3640" s="173"/>
    </row>
    <row r="3641" spans="2:55" s="134" customFormat="1" x14ac:dyDescent="0.2">
      <c r="B3641" s="145"/>
      <c r="D3641" s="145"/>
      <c r="Z3641" s="177"/>
      <c r="AA3641" s="178"/>
      <c r="AB3641" s="139"/>
      <c r="AC3641" s="173"/>
      <c r="AD3641" s="177"/>
      <c r="AE3641" s="177"/>
      <c r="AF3641" s="139"/>
      <c r="AG3641" s="139"/>
      <c r="AH3641" s="177"/>
      <c r="AI3641" s="178"/>
      <c r="AJ3641" s="139"/>
      <c r="AK3641" s="173"/>
      <c r="AL3641" s="177"/>
      <c r="AM3641" s="178"/>
      <c r="AN3641" s="173"/>
      <c r="AO3641" s="173"/>
      <c r="AP3641" s="173"/>
      <c r="AQ3641" s="178"/>
      <c r="AR3641" s="173"/>
      <c r="AS3641" s="173"/>
      <c r="AT3641" s="140"/>
      <c r="AX3641" s="140"/>
      <c r="BB3641" s="173"/>
      <c r="BC3641" s="173"/>
    </row>
    <row r="3642" spans="2:55" s="134" customFormat="1" x14ac:dyDescent="0.2">
      <c r="B3642" s="145"/>
      <c r="D3642" s="145"/>
      <c r="Z3642" s="177"/>
      <c r="AA3642" s="178"/>
      <c r="AB3642" s="139"/>
      <c r="AC3642" s="173"/>
      <c r="AD3642" s="177"/>
      <c r="AE3642" s="177"/>
      <c r="AF3642" s="139"/>
      <c r="AG3642" s="139"/>
      <c r="AH3642" s="177"/>
      <c r="AI3642" s="178"/>
      <c r="AJ3642" s="139"/>
      <c r="AK3642" s="173"/>
      <c r="AL3642" s="177"/>
      <c r="AM3642" s="178"/>
      <c r="AN3642" s="173"/>
      <c r="AO3642" s="173"/>
      <c r="AP3642" s="173"/>
      <c r="AQ3642" s="178"/>
      <c r="AR3642" s="173"/>
      <c r="AS3642" s="173"/>
      <c r="AT3642" s="140"/>
      <c r="AX3642" s="140"/>
      <c r="BB3642" s="173"/>
      <c r="BC3642" s="173"/>
    </row>
    <row r="3643" spans="2:55" s="134" customFormat="1" x14ac:dyDescent="0.2">
      <c r="B3643" s="145"/>
      <c r="D3643" s="145"/>
      <c r="Z3643" s="177"/>
      <c r="AA3643" s="178"/>
      <c r="AB3643" s="139"/>
      <c r="AC3643" s="173"/>
      <c r="AD3643" s="177"/>
      <c r="AE3643" s="177"/>
      <c r="AF3643" s="139"/>
      <c r="AG3643" s="139"/>
      <c r="AH3643" s="177"/>
      <c r="AI3643" s="178"/>
      <c r="AJ3643" s="139"/>
      <c r="AK3643" s="173"/>
      <c r="AL3643" s="177"/>
      <c r="AM3643" s="178"/>
      <c r="AN3643" s="173"/>
      <c r="AO3643" s="173"/>
      <c r="AP3643" s="173"/>
      <c r="AQ3643" s="178"/>
      <c r="AR3643" s="173"/>
      <c r="AS3643" s="173"/>
      <c r="AT3643" s="140"/>
      <c r="AX3643" s="140"/>
      <c r="BB3643" s="173"/>
      <c r="BC3643" s="173"/>
    </row>
    <row r="3644" spans="2:55" s="134" customFormat="1" x14ac:dyDescent="0.2">
      <c r="B3644" s="145"/>
      <c r="D3644" s="145"/>
      <c r="Z3644" s="177"/>
      <c r="AA3644" s="178"/>
      <c r="AB3644" s="139"/>
      <c r="AC3644" s="173"/>
      <c r="AD3644" s="177"/>
      <c r="AE3644" s="177"/>
      <c r="AF3644" s="139"/>
      <c r="AG3644" s="139"/>
      <c r="AH3644" s="177"/>
      <c r="AI3644" s="178"/>
      <c r="AJ3644" s="139"/>
      <c r="AK3644" s="173"/>
      <c r="AL3644" s="177"/>
      <c r="AM3644" s="178"/>
      <c r="AN3644" s="173"/>
      <c r="AO3644" s="173"/>
      <c r="AP3644" s="173"/>
      <c r="AQ3644" s="178"/>
      <c r="AR3644" s="173"/>
      <c r="AS3644" s="173"/>
      <c r="AT3644" s="140"/>
      <c r="AX3644" s="140"/>
      <c r="BB3644" s="173"/>
      <c r="BC3644" s="173"/>
    </row>
    <row r="3645" spans="2:55" s="134" customFormat="1" x14ac:dyDescent="0.2">
      <c r="B3645" s="145"/>
      <c r="D3645" s="145"/>
      <c r="Z3645" s="177"/>
      <c r="AA3645" s="178"/>
      <c r="AB3645" s="139"/>
      <c r="AC3645" s="173"/>
      <c r="AD3645" s="177"/>
      <c r="AE3645" s="177"/>
      <c r="AF3645" s="139"/>
      <c r="AG3645" s="139"/>
      <c r="AH3645" s="177"/>
      <c r="AI3645" s="178"/>
      <c r="AJ3645" s="139"/>
      <c r="AK3645" s="173"/>
      <c r="AL3645" s="177"/>
      <c r="AM3645" s="178"/>
      <c r="AN3645" s="173"/>
      <c r="AO3645" s="173"/>
      <c r="AP3645" s="173"/>
      <c r="AQ3645" s="178"/>
      <c r="AR3645" s="173"/>
      <c r="AS3645" s="173"/>
      <c r="AT3645" s="140"/>
      <c r="AX3645" s="140"/>
      <c r="BB3645" s="173"/>
      <c r="BC3645" s="173"/>
    </row>
    <row r="3646" spans="2:55" s="134" customFormat="1" x14ac:dyDescent="0.2">
      <c r="B3646" s="145"/>
      <c r="D3646" s="145"/>
      <c r="Z3646" s="177"/>
      <c r="AA3646" s="178"/>
      <c r="AB3646" s="139"/>
      <c r="AC3646" s="173"/>
      <c r="AD3646" s="177"/>
      <c r="AE3646" s="177"/>
      <c r="AF3646" s="139"/>
      <c r="AG3646" s="139"/>
      <c r="AH3646" s="177"/>
      <c r="AI3646" s="178"/>
      <c r="AJ3646" s="139"/>
      <c r="AK3646" s="173"/>
      <c r="AL3646" s="177"/>
      <c r="AM3646" s="178"/>
      <c r="AN3646" s="173"/>
      <c r="AO3646" s="173"/>
      <c r="AP3646" s="173"/>
      <c r="AQ3646" s="178"/>
      <c r="AR3646" s="173"/>
      <c r="AS3646" s="173"/>
      <c r="AT3646" s="140"/>
      <c r="AX3646" s="140"/>
      <c r="BB3646" s="173"/>
      <c r="BC3646" s="173"/>
    </row>
    <row r="3647" spans="2:55" s="134" customFormat="1" x14ac:dyDescent="0.2">
      <c r="B3647" s="145"/>
      <c r="D3647" s="145"/>
      <c r="Z3647" s="177"/>
      <c r="AA3647" s="178"/>
      <c r="AB3647" s="139"/>
      <c r="AC3647" s="173"/>
      <c r="AD3647" s="177"/>
      <c r="AE3647" s="177"/>
      <c r="AF3647" s="139"/>
      <c r="AG3647" s="139"/>
      <c r="AH3647" s="177"/>
      <c r="AI3647" s="178"/>
      <c r="AJ3647" s="139"/>
      <c r="AK3647" s="173"/>
      <c r="AL3647" s="177"/>
      <c r="AM3647" s="178"/>
      <c r="AN3647" s="173"/>
      <c r="AO3647" s="173"/>
      <c r="AP3647" s="173"/>
      <c r="AQ3647" s="178"/>
      <c r="AR3647" s="173"/>
      <c r="AS3647" s="173"/>
      <c r="AT3647" s="140"/>
      <c r="AX3647" s="140"/>
      <c r="BB3647" s="173"/>
      <c r="BC3647" s="173"/>
    </row>
    <row r="3648" spans="2:55" s="134" customFormat="1" x14ac:dyDescent="0.2">
      <c r="B3648" s="145"/>
      <c r="D3648" s="145"/>
      <c r="Z3648" s="177"/>
      <c r="AA3648" s="178"/>
      <c r="AB3648" s="139"/>
      <c r="AC3648" s="173"/>
      <c r="AD3648" s="177"/>
      <c r="AE3648" s="177"/>
      <c r="AF3648" s="139"/>
      <c r="AG3648" s="139"/>
      <c r="AH3648" s="177"/>
      <c r="AI3648" s="178"/>
      <c r="AJ3648" s="139"/>
      <c r="AK3648" s="173"/>
      <c r="AL3648" s="177"/>
      <c r="AM3648" s="178"/>
      <c r="AN3648" s="173"/>
      <c r="AO3648" s="173"/>
      <c r="AP3648" s="173"/>
      <c r="AQ3648" s="178"/>
      <c r="AR3648" s="173"/>
      <c r="AS3648" s="173"/>
      <c r="AT3648" s="140"/>
      <c r="AX3648" s="140"/>
      <c r="BB3648" s="173"/>
      <c r="BC3648" s="173"/>
    </row>
    <row r="3649" spans="2:55" s="134" customFormat="1" x14ac:dyDescent="0.2">
      <c r="B3649" s="145"/>
      <c r="D3649" s="145"/>
      <c r="Z3649" s="177"/>
      <c r="AA3649" s="178"/>
      <c r="AB3649" s="139"/>
      <c r="AC3649" s="173"/>
      <c r="AD3649" s="177"/>
      <c r="AE3649" s="177"/>
      <c r="AF3649" s="139"/>
      <c r="AG3649" s="139"/>
      <c r="AH3649" s="177"/>
      <c r="AI3649" s="178"/>
      <c r="AJ3649" s="139"/>
      <c r="AK3649" s="173"/>
      <c r="AL3649" s="177"/>
      <c r="AM3649" s="178"/>
      <c r="AN3649" s="173"/>
      <c r="AO3649" s="173"/>
      <c r="AP3649" s="173"/>
      <c r="AQ3649" s="178"/>
      <c r="AR3649" s="173"/>
      <c r="AS3649" s="173"/>
      <c r="AT3649" s="140"/>
      <c r="AX3649" s="140"/>
      <c r="BB3649" s="173"/>
      <c r="BC3649" s="173"/>
    </row>
    <row r="3650" spans="2:55" s="134" customFormat="1" x14ac:dyDescent="0.2">
      <c r="B3650" s="145"/>
      <c r="D3650" s="145"/>
      <c r="Z3650" s="177"/>
      <c r="AA3650" s="178"/>
      <c r="AB3650" s="139"/>
      <c r="AC3650" s="173"/>
      <c r="AD3650" s="177"/>
      <c r="AE3650" s="177"/>
      <c r="AF3650" s="139"/>
      <c r="AG3650" s="139"/>
      <c r="AH3650" s="177"/>
      <c r="AI3650" s="178"/>
      <c r="AJ3650" s="139"/>
      <c r="AK3650" s="173"/>
      <c r="AL3650" s="177"/>
      <c r="AM3650" s="178"/>
      <c r="AN3650" s="173"/>
      <c r="AO3650" s="173"/>
      <c r="AP3650" s="173"/>
      <c r="AQ3650" s="178"/>
      <c r="AR3650" s="173"/>
      <c r="AS3650" s="173"/>
      <c r="AT3650" s="140"/>
      <c r="AX3650" s="140"/>
      <c r="BB3650" s="173"/>
      <c r="BC3650" s="173"/>
    </row>
    <row r="3651" spans="2:55" s="134" customFormat="1" x14ac:dyDescent="0.2">
      <c r="B3651" s="145"/>
      <c r="D3651" s="145"/>
      <c r="Z3651" s="177"/>
      <c r="AA3651" s="178"/>
      <c r="AB3651" s="139"/>
      <c r="AC3651" s="173"/>
      <c r="AD3651" s="177"/>
      <c r="AE3651" s="177"/>
      <c r="AF3651" s="139"/>
      <c r="AG3651" s="139"/>
      <c r="AH3651" s="177"/>
      <c r="AI3651" s="178"/>
      <c r="AJ3651" s="139"/>
      <c r="AK3651" s="173"/>
      <c r="AL3651" s="177"/>
      <c r="AM3651" s="178"/>
      <c r="AN3651" s="173"/>
      <c r="AO3651" s="173"/>
      <c r="AP3651" s="173"/>
      <c r="AQ3651" s="178"/>
      <c r="AR3651" s="173"/>
      <c r="AS3651" s="173"/>
      <c r="AT3651" s="140"/>
      <c r="AX3651" s="140"/>
      <c r="BB3651" s="173"/>
      <c r="BC3651" s="173"/>
    </row>
    <row r="3652" spans="2:55" s="134" customFormat="1" x14ac:dyDescent="0.2">
      <c r="B3652" s="145"/>
      <c r="D3652" s="145"/>
      <c r="Z3652" s="177"/>
      <c r="AA3652" s="178"/>
      <c r="AB3652" s="139"/>
      <c r="AC3652" s="173"/>
      <c r="AD3652" s="177"/>
      <c r="AE3652" s="177"/>
      <c r="AF3652" s="139"/>
      <c r="AG3652" s="139"/>
      <c r="AH3652" s="177"/>
      <c r="AI3652" s="178"/>
      <c r="AJ3652" s="139"/>
      <c r="AK3652" s="173"/>
      <c r="AL3652" s="177"/>
      <c r="AM3652" s="178"/>
      <c r="AN3652" s="173"/>
      <c r="AO3652" s="173"/>
      <c r="AP3652" s="173"/>
      <c r="AQ3652" s="178"/>
      <c r="AR3652" s="173"/>
      <c r="AS3652" s="173"/>
      <c r="AT3652" s="140"/>
      <c r="AX3652" s="140"/>
      <c r="BB3652" s="173"/>
      <c r="BC3652" s="173"/>
    </row>
    <row r="3653" spans="2:55" s="134" customFormat="1" x14ac:dyDescent="0.2">
      <c r="B3653" s="145"/>
      <c r="D3653" s="145"/>
      <c r="Z3653" s="177"/>
      <c r="AA3653" s="178"/>
      <c r="AB3653" s="139"/>
      <c r="AC3653" s="173"/>
      <c r="AD3653" s="177"/>
      <c r="AE3653" s="177"/>
      <c r="AF3653" s="139"/>
      <c r="AG3653" s="139"/>
      <c r="AH3653" s="177"/>
      <c r="AI3653" s="178"/>
      <c r="AJ3653" s="139"/>
      <c r="AK3653" s="173"/>
      <c r="AL3653" s="177"/>
      <c r="AM3653" s="178"/>
      <c r="AN3653" s="173"/>
      <c r="AO3653" s="173"/>
      <c r="AP3653" s="173"/>
      <c r="AQ3653" s="178"/>
      <c r="AR3653" s="173"/>
      <c r="AS3653" s="173"/>
      <c r="AT3653" s="140"/>
      <c r="AX3653" s="140"/>
      <c r="BB3653" s="173"/>
      <c r="BC3653" s="173"/>
    </row>
    <row r="3654" spans="2:55" s="134" customFormat="1" x14ac:dyDescent="0.2">
      <c r="B3654" s="145"/>
      <c r="D3654" s="145"/>
      <c r="Z3654" s="177"/>
      <c r="AA3654" s="178"/>
      <c r="AB3654" s="139"/>
      <c r="AC3654" s="173"/>
      <c r="AD3654" s="177"/>
      <c r="AE3654" s="177"/>
      <c r="AF3654" s="139"/>
      <c r="AG3654" s="139"/>
      <c r="AH3654" s="177"/>
      <c r="AI3654" s="178"/>
      <c r="AJ3654" s="139"/>
      <c r="AK3654" s="173"/>
      <c r="AL3654" s="177"/>
      <c r="AM3654" s="178"/>
      <c r="AN3654" s="173"/>
      <c r="AO3654" s="173"/>
      <c r="AP3654" s="173"/>
      <c r="AQ3654" s="178"/>
      <c r="AR3654" s="173"/>
      <c r="AS3654" s="173"/>
      <c r="AT3654" s="140"/>
      <c r="AX3654" s="140"/>
      <c r="BB3654" s="173"/>
      <c r="BC3654" s="173"/>
    </row>
    <row r="3655" spans="2:55" s="134" customFormat="1" x14ac:dyDescent="0.2">
      <c r="B3655" s="145"/>
      <c r="D3655" s="145"/>
      <c r="Z3655" s="177"/>
      <c r="AA3655" s="178"/>
      <c r="AB3655" s="139"/>
      <c r="AC3655" s="173"/>
      <c r="AD3655" s="177"/>
      <c r="AE3655" s="177"/>
      <c r="AF3655" s="139"/>
      <c r="AG3655" s="139"/>
      <c r="AH3655" s="177"/>
      <c r="AI3655" s="178"/>
      <c r="AJ3655" s="139"/>
      <c r="AK3655" s="173"/>
      <c r="AL3655" s="177"/>
      <c r="AM3655" s="178"/>
      <c r="AN3655" s="173"/>
      <c r="AO3655" s="173"/>
      <c r="AP3655" s="173"/>
      <c r="AQ3655" s="178"/>
      <c r="AR3655" s="173"/>
      <c r="AS3655" s="173"/>
      <c r="AT3655" s="140"/>
      <c r="AX3655" s="140"/>
      <c r="BB3655" s="173"/>
      <c r="BC3655" s="173"/>
    </row>
    <row r="3656" spans="2:55" s="134" customFormat="1" x14ac:dyDescent="0.2">
      <c r="B3656" s="145"/>
      <c r="D3656" s="145"/>
      <c r="Z3656" s="177"/>
      <c r="AA3656" s="178"/>
      <c r="AB3656" s="139"/>
      <c r="AC3656" s="173"/>
      <c r="AD3656" s="177"/>
      <c r="AE3656" s="177"/>
      <c r="AF3656" s="139"/>
      <c r="AG3656" s="139"/>
      <c r="AH3656" s="177"/>
      <c r="AI3656" s="178"/>
      <c r="AJ3656" s="139"/>
      <c r="AK3656" s="173"/>
      <c r="AL3656" s="177"/>
      <c r="AM3656" s="178"/>
      <c r="AN3656" s="173"/>
      <c r="AO3656" s="173"/>
      <c r="AP3656" s="173"/>
      <c r="AQ3656" s="178"/>
      <c r="AR3656" s="173"/>
      <c r="AS3656" s="173"/>
      <c r="AT3656" s="140"/>
      <c r="AX3656" s="140"/>
      <c r="BB3656" s="173"/>
      <c r="BC3656" s="173"/>
    </row>
    <row r="3657" spans="2:55" s="134" customFormat="1" x14ac:dyDescent="0.2">
      <c r="B3657" s="145"/>
      <c r="D3657" s="145"/>
      <c r="Z3657" s="177"/>
      <c r="AA3657" s="178"/>
      <c r="AB3657" s="139"/>
      <c r="AC3657" s="173"/>
      <c r="AD3657" s="177"/>
      <c r="AE3657" s="177"/>
      <c r="AF3657" s="139"/>
      <c r="AG3657" s="139"/>
      <c r="AH3657" s="177"/>
      <c r="AI3657" s="178"/>
      <c r="AJ3657" s="139"/>
      <c r="AK3657" s="173"/>
      <c r="AL3657" s="177"/>
      <c r="AM3657" s="178"/>
      <c r="AN3657" s="173"/>
      <c r="AO3657" s="173"/>
      <c r="AP3657" s="173"/>
      <c r="AQ3657" s="178"/>
      <c r="AR3657" s="173"/>
      <c r="AS3657" s="173"/>
      <c r="AT3657" s="140"/>
      <c r="AX3657" s="140"/>
      <c r="BB3657" s="173"/>
      <c r="BC3657" s="173"/>
    </row>
    <row r="3658" spans="2:55" s="134" customFormat="1" x14ac:dyDescent="0.2">
      <c r="B3658" s="145"/>
      <c r="D3658" s="145"/>
      <c r="Z3658" s="177"/>
      <c r="AA3658" s="178"/>
      <c r="AB3658" s="139"/>
      <c r="AC3658" s="173"/>
      <c r="AD3658" s="177"/>
      <c r="AE3658" s="177"/>
      <c r="AF3658" s="139"/>
      <c r="AG3658" s="139"/>
      <c r="AH3658" s="177"/>
      <c r="AI3658" s="178"/>
      <c r="AJ3658" s="139"/>
      <c r="AK3658" s="173"/>
      <c r="AL3658" s="177"/>
      <c r="AM3658" s="178"/>
      <c r="AN3658" s="173"/>
      <c r="AO3658" s="173"/>
      <c r="AP3658" s="173"/>
      <c r="AQ3658" s="178"/>
      <c r="AR3658" s="173"/>
      <c r="AS3658" s="173"/>
      <c r="AT3658" s="140"/>
      <c r="AX3658" s="140"/>
      <c r="BB3658" s="173"/>
      <c r="BC3658" s="173"/>
    </row>
    <row r="3659" spans="2:55" s="134" customFormat="1" x14ac:dyDescent="0.2">
      <c r="B3659" s="145"/>
      <c r="D3659" s="145"/>
      <c r="Z3659" s="177"/>
      <c r="AA3659" s="178"/>
      <c r="AB3659" s="139"/>
      <c r="AC3659" s="173"/>
      <c r="AD3659" s="177"/>
      <c r="AE3659" s="177"/>
      <c r="AF3659" s="139"/>
      <c r="AG3659" s="139"/>
      <c r="AH3659" s="177"/>
      <c r="AI3659" s="178"/>
      <c r="AJ3659" s="139"/>
      <c r="AK3659" s="173"/>
      <c r="AL3659" s="177"/>
      <c r="AM3659" s="178"/>
      <c r="AN3659" s="173"/>
      <c r="AO3659" s="173"/>
      <c r="AP3659" s="173"/>
      <c r="AQ3659" s="178"/>
      <c r="AR3659" s="173"/>
      <c r="AS3659" s="173"/>
      <c r="AT3659" s="140"/>
      <c r="AX3659" s="140"/>
      <c r="BB3659" s="173"/>
      <c r="BC3659" s="173"/>
    </row>
    <row r="3660" spans="2:55" s="134" customFormat="1" x14ac:dyDescent="0.2">
      <c r="B3660" s="145"/>
      <c r="D3660" s="145"/>
      <c r="Z3660" s="177"/>
      <c r="AA3660" s="178"/>
      <c r="AB3660" s="139"/>
      <c r="AC3660" s="173"/>
      <c r="AD3660" s="177"/>
      <c r="AE3660" s="177"/>
      <c r="AF3660" s="139"/>
      <c r="AG3660" s="139"/>
      <c r="AH3660" s="177"/>
      <c r="AI3660" s="178"/>
      <c r="AJ3660" s="139"/>
      <c r="AK3660" s="173"/>
      <c r="AL3660" s="177"/>
      <c r="AM3660" s="178"/>
      <c r="AN3660" s="173"/>
      <c r="AO3660" s="173"/>
      <c r="AP3660" s="173"/>
      <c r="AQ3660" s="178"/>
      <c r="AR3660" s="173"/>
      <c r="AS3660" s="173"/>
      <c r="AT3660" s="140"/>
      <c r="AX3660" s="140"/>
      <c r="BB3660" s="173"/>
      <c r="BC3660" s="173"/>
    </row>
    <row r="3661" spans="2:55" s="134" customFormat="1" x14ac:dyDescent="0.2">
      <c r="B3661" s="145"/>
      <c r="D3661" s="145"/>
      <c r="Z3661" s="177"/>
      <c r="AA3661" s="178"/>
      <c r="AB3661" s="139"/>
      <c r="AC3661" s="173"/>
      <c r="AD3661" s="177"/>
      <c r="AE3661" s="177"/>
      <c r="AF3661" s="139"/>
      <c r="AG3661" s="139"/>
      <c r="AH3661" s="177"/>
      <c r="AI3661" s="178"/>
      <c r="AJ3661" s="139"/>
      <c r="AK3661" s="173"/>
      <c r="AL3661" s="177"/>
      <c r="AM3661" s="178"/>
      <c r="AN3661" s="173"/>
      <c r="AO3661" s="173"/>
      <c r="AP3661" s="173"/>
      <c r="AQ3661" s="178"/>
      <c r="AR3661" s="173"/>
      <c r="AS3661" s="173"/>
      <c r="AT3661" s="140"/>
      <c r="AX3661" s="140"/>
      <c r="BB3661" s="173"/>
      <c r="BC3661" s="173"/>
    </row>
    <row r="3662" spans="2:55" s="134" customFormat="1" x14ac:dyDescent="0.2">
      <c r="B3662" s="145"/>
      <c r="D3662" s="145"/>
      <c r="Z3662" s="177"/>
      <c r="AA3662" s="178"/>
      <c r="AB3662" s="139"/>
      <c r="AC3662" s="173"/>
      <c r="AD3662" s="177"/>
      <c r="AE3662" s="177"/>
      <c r="AF3662" s="139"/>
      <c r="AG3662" s="139"/>
      <c r="AH3662" s="177"/>
      <c r="AI3662" s="178"/>
      <c r="AJ3662" s="139"/>
      <c r="AK3662" s="173"/>
      <c r="AL3662" s="177"/>
      <c r="AM3662" s="178"/>
      <c r="AN3662" s="173"/>
      <c r="AO3662" s="173"/>
      <c r="AP3662" s="173"/>
      <c r="AQ3662" s="178"/>
      <c r="AR3662" s="173"/>
      <c r="AS3662" s="173"/>
      <c r="AT3662" s="140"/>
      <c r="AX3662" s="140"/>
      <c r="BB3662" s="173"/>
      <c r="BC3662" s="173"/>
    </row>
    <row r="3663" spans="2:55" s="134" customFormat="1" x14ac:dyDescent="0.2">
      <c r="B3663" s="145"/>
      <c r="D3663" s="145"/>
      <c r="Z3663" s="177"/>
      <c r="AA3663" s="178"/>
      <c r="AB3663" s="139"/>
      <c r="AC3663" s="173"/>
      <c r="AD3663" s="177"/>
      <c r="AE3663" s="177"/>
      <c r="AF3663" s="139"/>
      <c r="AG3663" s="139"/>
      <c r="AH3663" s="177"/>
      <c r="AI3663" s="178"/>
      <c r="AJ3663" s="139"/>
      <c r="AK3663" s="173"/>
      <c r="AL3663" s="177"/>
      <c r="AM3663" s="178"/>
      <c r="AN3663" s="173"/>
      <c r="AO3663" s="173"/>
      <c r="AP3663" s="173"/>
      <c r="AQ3663" s="178"/>
      <c r="AR3663" s="173"/>
      <c r="AS3663" s="173"/>
      <c r="AT3663" s="140"/>
      <c r="AX3663" s="140"/>
      <c r="BB3663" s="173"/>
      <c r="BC3663" s="173"/>
    </row>
    <row r="3664" spans="2:55" s="134" customFormat="1" x14ac:dyDescent="0.2">
      <c r="B3664" s="145"/>
      <c r="D3664" s="145"/>
      <c r="Z3664" s="177"/>
      <c r="AA3664" s="178"/>
      <c r="AB3664" s="139"/>
      <c r="AC3664" s="173"/>
      <c r="AD3664" s="177"/>
      <c r="AE3664" s="177"/>
      <c r="AF3664" s="139"/>
      <c r="AG3664" s="139"/>
      <c r="AH3664" s="177"/>
      <c r="AI3664" s="178"/>
      <c r="AJ3664" s="139"/>
      <c r="AK3664" s="173"/>
      <c r="AL3664" s="177"/>
      <c r="AM3664" s="178"/>
      <c r="AN3664" s="173"/>
      <c r="AO3664" s="173"/>
      <c r="AP3664" s="173"/>
      <c r="AQ3664" s="178"/>
      <c r="AR3664" s="173"/>
      <c r="AS3664" s="173"/>
      <c r="AT3664" s="140"/>
      <c r="AX3664" s="140"/>
      <c r="BB3664" s="173"/>
      <c r="BC3664" s="173"/>
    </row>
    <row r="3665" spans="2:55" s="134" customFormat="1" x14ac:dyDescent="0.2">
      <c r="B3665" s="145"/>
      <c r="D3665" s="145"/>
      <c r="Z3665" s="177"/>
      <c r="AA3665" s="178"/>
      <c r="AB3665" s="139"/>
      <c r="AC3665" s="173"/>
      <c r="AD3665" s="177"/>
      <c r="AE3665" s="177"/>
      <c r="AF3665" s="139"/>
      <c r="AG3665" s="139"/>
      <c r="AH3665" s="177"/>
      <c r="AI3665" s="178"/>
      <c r="AJ3665" s="139"/>
      <c r="AK3665" s="173"/>
      <c r="AL3665" s="177"/>
      <c r="AM3665" s="178"/>
      <c r="AN3665" s="173"/>
      <c r="AO3665" s="173"/>
      <c r="AP3665" s="173"/>
      <c r="AQ3665" s="178"/>
      <c r="AR3665" s="173"/>
      <c r="AS3665" s="173"/>
      <c r="AT3665" s="140"/>
      <c r="AX3665" s="140"/>
      <c r="BB3665" s="173"/>
      <c r="BC3665" s="173"/>
    </row>
    <row r="3666" spans="2:55" s="134" customFormat="1" x14ac:dyDescent="0.2">
      <c r="B3666" s="145"/>
      <c r="D3666" s="145"/>
      <c r="Z3666" s="177"/>
      <c r="AA3666" s="178"/>
      <c r="AB3666" s="139"/>
      <c r="AC3666" s="173"/>
      <c r="AD3666" s="177"/>
      <c r="AE3666" s="177"/>
      <c r="AF3666" s="139"/>
      <c r="AG3666" s="139"/>
      <c r="AH3666" s="177"/>
      <c r="AI3666" s="178"/>
      <c r="AJ3666" s="139"/>
      <c r="AK3666" s="173"/>
      <c r="AL3666" s="177"/>
      <c r="AM3666" s="178"/>
      <c r="AN3666" s="173"/>
      <c r="AO3666" s="173"/>
      <c r="AP3666" s="173"/>
      <c r="AQ3666" s="178"/>
      <c r="AR3666" s="173"/>
      <c r="AS3666" s="173"/>
      <c r="AT3666" s="140"/>
      <c r="AX3666" s="140"/>
      <c r="BB3666" s="173"/>
      <c r="BC3666" s="173"/>
    </row>
    <row r="3667" spans="2:55" s="134" customFormat="1" x14ac:dyDescent="0.2">
      <c r="B3667" s="145"/>
      <c r="D3667" s="145"/>
      <c r="Z3667" s="177"/>
      <c r="AA3667" s="178"/>
      <c r="AB3667" s="139"/>
      <c r="AC3667" s="173"/>
      <c r="AD3667" s="177"/>
      <c r="AE3667" s="177"/>
      <c r="AF3667" s="139"/>
      <c r="AG3667" s="139"/>
      <c r="AH3667" s="177"/>
      <c r="AI3667" s="178"/>
      <c r="AJ3667" s="139"/>
      <c r="AK3667" s="173"/>
      <c r="AL3667" s="177"/>
      <c r="AM3667" s="178"/>
      <c r="AN3667" s="173"/>
      <c r="AO3667" s="173"/>
      <c r="AP3667" s="173"/>
      <c r="AQ3667" s="178"/>
      <c r="AR3667" s="173"/>
      <c r="AS3667" s="173"/>
      <c r="AT3667" s="140"/>
      <c r="AX3667" s="140"/>
      <c r="BB3667" s="173"/>
      <c r="BC3667" s="173"/>
    </row>
    <row r="3668" spans="2:55" s="134" customFormat="1" x14ac:dyDescent="0.2">
      <c r="B3668" s="145"/>
      <c r="D3668" s="145"/>
      <c r="Z3668" s="177"/>
      <c r="AA3668" s="178"/>
      <c r="AB3668" s="139"/>
      <c r="AC3668" s="173"/>
      <c r="AD3668" s="177"/>
      <c r="AE3668" s="177"/>
      <c r="AF3668" s="139"/>
      <c r="AG3668" s="139"/>
      <c r="AH3668" s="177"/>
      <c r="AI3668" s="178"/>
      <c r="AJ3668" s="139"/>
      <c r="AK3668" s="173"/>
      <c r="AL3668" s="177"/>
      <c r="AM3668" s="178"/>
      <c r="AN3668" s="173"/>
      <c r="AO3668" s="173"/>
      <c r="AP3668" s="173"/>
      <c r="AQ3668" s="178"/>
      <c r="AR3668" s="173"/>
      <c r="AS3668" s="173"/>
      <c r="AT3668" s="140"/>
      <c r="AX3668" s="140"/>
      <c r="BB3668" s="173"/>
      <c r="BC3668" s="173"/>
    </row>
    <row r="3669" spans="2:55" s="134" customFormat="1" x14ac:dyDescent="0.2">
      <c r="B3669" s="145"/>
      <c r="D3669" s="145"/>
      <c r="Z3669" s="177"/>
      <c r="AA3669" s="178"/>
      <c r="AB3669" s="139"/>
      <c r="AC3669" s="173"/>
      <c r="AD3669" s="177"/>
      <c r="AE3669" s="177"/>
      <c r="AF3669" s="139"/>
      <c r="AG3669" s="139"/>
      <c r="AH3669" s="177"/>
      <c r="AI3669" s="178"/>
      <c r="AJ3669" s="139"/>
      <c r="AK3669" s="173"/>
      <c r="AL3669" s="177"/>
      <c r="AM3669" s="178"/>
      <c r="AN3669" s="173"/>
      <c r="AO3669" s="173"/>
      <c r="AP3669" s="173"/>
      <c r="AQ3669" s="178"/>
      <c r="AR3669" s="173"/>
      <c r="AS3669" s="173"/>
      <c r="AT3669" s="140"/>
      <c r="AX3669" s="140"/>
      <c r="BB3669" s="173"/>
      <c r="BC3669" s="173"/>
    </row>
    <row r="3670" spans="2:55" s="134" customFormat="1" x14ac:dyDescent="0.2">
      <c r="B3670" s="145"/>
      <c r="D3670" s="145"/>
      <c r="Z3670" s="177"/>
      <c r="AA3670" s="178"/>
      <c r="AB3670" s="139"/>
      <c r="AC3670" s="173"/>
      <c r="AD3670" s="177"/>
      <c r="AE3670" s="177"/>
      <c r="AF3670" s="139"/>
      <c r="AG3670" s="139"/>
      <c r="AH3670" s="177"/>
      <c r="AI3670" s="178"/>
      <c r="AJ3670" s="139"/>
      <c r="AK3670" s="173"/>
      <c r="AL3670" s="177"/>
      <c r="AM3670" s="178"/>
      <c r="AN3670" s="173"/>
      <c r="AO3670" s="173"/>
      <c r="AP3670" s="173"/>
      <c r="AQ3670" s="178"/>
      <c r="AR3670" s="173"/>
      <c r="AS3670" s="173"/>
      <c r="AT3670" s="140"/>
      <c r="AX3670" s="140"/>
      <c r="BB3670" s="173"/>
      <c r="BC3670" s="173"/>
    </row>
    <row r="3671" spans="2:55" s="134" customFormat="1" x14ac:dyDescent="0.2">
      <c r="B3671" s="145"/>
      <c r="D3671" s="145"/>
      <c r="Z3671" s="177"/>
      <c r="AA3671" s="178"/>
      <c r="AB3671" s="139"/>
      <c r="AC3671" s="173"/>
      <c r="AD3671" s="177"/>
      <c r="AE3671" s="177"/>
      <c r="AF3671" s="139"/>
      <c r="AG3671" s="139"/>
      <c r="AH3671" s="177"/>
      <c r="AI3671" s="178"/>
      <c r="AJ3671" s="139"/>
      <c r="AK3671" s="173"/>
      <c r="AL3671" s="177"/>
      <c r="AM3671" s="178"/>
      <c r="AN3671" s="173"/>
      <c r="AO3671" s="173"/>
      <c r="AP3671" s="173"/>
      <c r="AQ3671" s="178"/>
      <c r="AR3671" s="173"/>
      <c r="AS3671" s="173"/>
      <c r="AT3671" s="140"/>
      <c r="AX3671" s="140"/>
      <c r="BB3671" s="173"/>
      <c r="BC3671" s="173"/>
    </row>
    <row r="3672" spans="2:55" s="134" customFormat="1" x14ac:dyDescent="0.2">
      <c r="B3672" s="145"/>
      <c r="D3672" s="145"/>
      <c r="Z3672" s="177"/>
      <c r="AA3672" s="178"/>
      <c r="AB3672" s="139"/>
      <c r="AC3672" s="173"/>
      <c r="AD3672" s="177"/>
      <c r="AE3672" s="177"/>
      <c r="AF3672" s="139"/>
      <c r="AG3672" s="139"/>
      <c r="AH3672" s="177"/>
      <c r="AI3672" s="178"/>
      <c r="AJ3672" s="139"/>
      <c r="AK3672" s="173"/>
      <c r="AL3672" s="177"/>
      <c r="AM3672" s="178"/>
      <c r="AN3672" s="173"/>
      <c r="AO3672" s="173"/>
      <c r="AP3672" s="173"/>
      <c r="AQ3672" s="178"/>
      <c r="AR3672" s="173"/>
      <c r="AS3672" s="173"/>
      <c r="AT3672" s="140"/>
      <c r="AX3672" s="140"/>
      <c r="BB3672" s="173"/>
      <c r="BC3672" s="173"/>
    </row>
    <row r="3673" spans="2:55" s="134" customFormat="1" x14ac:dyDescent="0.2">
      <c r="B3673" s="145"/>
      <c r="D3673" s="145"/>
      <c r="Z3673" s="177"/>
      <c r="AA3673" s="178"/>
      <c r="AB3673" s="139"/>
      <c r="AC3673" s="173"/>
      <c r="AD3673" s="177"/>
      <c r="AE3673" s="177"/>
      <c r="AF3673" s="139"/>
      <c r="AG3673" s="139"/>
      <c r="AH3673" s="177"/>
      <c r="AI3673" s="178"/>
      <c r="AJ3673" s="139"/>
      <c r="AK3673" s="173"/>
      <c r="AL3673" s="177"/>
      <c r="AM3673" s="178"/>
      <c r="AN3673" s="173"/>
      <c r="AO3673" s="173"/>
      <c r="AP3673" s="173"/>
      <c r="AQ3673" s="178"/>
      <c r="AR3673" s="173"/>
      <c r="AS3673" s="173"/>
      <c r="AT3673" s="140"/>
      <c r="AX3673" s="140"/>
      <c r="BB3673" s="173"/>
      <c r="BC3673" s="173"/>
    </row>
    <row r="3674" spans="2:55" s="134" customFormat="1" x14ac:dyDescent="0.2">
      <c r="B3674" s="145"/>
      <c r="D3674" s="145"/>
      <c r="Z3674" s="177"/>
      <c r="AA3674" s="178"/>
      <c r="AB3674" s="139"/>
      <c r="AC3674" s="173"/>
      <c r="AD3674" s="177"/>
      <c r="AE3674" s="177"/>
      <c r="AF3674" s="139"/>
      <c r="AG3674" s="139"/>
      <c r="AH3674" s="177"/>
      <c r="AI3674" s="178"/>
      <c r="AJ3674" s="139"/>
      <c r="AK3674" s="173"/>
      <c r="AL3674" s="177"/>
      <c r="AM3674" s="178"/>
      <c r="AN3674" s="173"/>
      <c r="AO3674" s="173"/>
      <c r="AP3674" s="173"/>
      <c r="AQ3674" s="178"/>
      <c r="AR3674" s="173"/>
      <c r="AS3674" s="173"/>
      <c r="AT3674" s="140"/>
      <c r="AX3674" s="140"/>
      <c r="BB3674" s="173"/>
      <c r="BC3674" s="173"/>
    </row>
    <row r="3675" spans="2:55" s="134" customFormat="1" x14ac:dyDescent="0.2">
      <c r="B3675" s="145"/>
      <c r="D3675" s="145"/>
      <c r="Z3675" s="177"/>
      <c r="AA3675" s="178"/>
      <c r="AB3675" s="139"/>
      <c r="AC3675" s="173"/>
      <c r="AD3675" s="177"/>
      <c r="AE3675" s="177"/>
      <c r="AF3675" s="139"/>
      <c r="AG3675" s="139"/>
      <c r="AH3675" s="177"/>
      <c r="AI3675" s="178"/>
      <c r="AJ3675" s="139"/>
      <c r="AK3675" s="173"/>
      <c r="AL3675" s="177"/>
      <c r="AM3675" s="178"/>
      <c r="AN3675" s="173"/>
      <c r="AO3675" s="173"/>
      <c r="AP3675" s="173"/>
      <c r="AQ3675" s="178"/>
      <c r="AR3675" s="173"/>
      <c r="AS3675" s="173"/>
      <c r="AT3675" s="140"/>
      <c r="AX3675" s="140"/>
      <c r="BB3675" s="173"/>
      <c r="BC3675" s="173"/>
    </row>
    <row r="3676" spans="2:55" s="134" customFormat="1" x14ac:dyDescent="0.2">
      <c r="B3676" s="145"/>
      <c r="D3676" s="145"/>
      <c r="Z3676" s="177"/>
      <c r="AA3676" s="178"/>
      <c r="AB3676" s="139"/>
      <c r="AC3676" s="173"/>
      <c r="AD3676" s="177"/>
      <c r="AE3676" s="177"/>
      <c r="AF3676" s="139"/>
      <c r="AG3676" s="139"/>
      <c r="AH3676" s="177"/>
      <c r="AI3676" s="178"/>
      <c r="AJ3676" s="139"/>
      <c r="AK3676" s="173"/>
      <c r="AL3676" s="177"/>
      <c r="AM3676" s="178"/>
      <c r="AN3676" s="173"/>
      <c r="AO3676" s="173"/>
      <c r="AP3676" s="173"/>
      <c r="AQ3676" s="178"/>
      <c r="AR3676" s="173"/>
      <c r="AS3676" s="173"/>
      <c r="AT3676" s="140"/>
      <c r="AX3676" s="140"/>
      <c r="BB3676" s="173"/>
      <c r="BC3676" s="173"/>
    </row>
    <row r="3677" spans="2:55" s="134" customFormat="1" x14ac:dyDescent="0.2">
      <c r="B3677" s="145"/>
      <c r="D3677" s="145"/>
      <c r="Z3677" s="177"/>
      <c r="AA3677" s="178"/>
      <c r="AB3677" s="139"/>
      <c r="AC3677" s="173"/>
      <c r="AD3677" s="177"/>
      <c r="AE3677" s="177"/>
      <c r="AF3677" s="139"/>
      <c r="AG3677" s="139"/>
      <c r="AH3677" s="177"/>
      <c r="AI3677" s="178"/>
      <c r="AJ3677" s="139"/>
      <c r="AK3677" s="173"/>
      <c r="AL3677" s="177"/>
      <c r="AM3677" s="178"/>
      <c r="AN3677" s="173"/>
      <c r="AO3677" s="173"/>
      <c r="AP3677" s="173"/>
      <c r="AQ3677" s="178"/>
      <c r="AR3677" s="173"/>
      <c r="AS3677" s="173"/>
      <c r="AT3677" s="140"/>
      <c r="AX3677" s="140"/>
      <c r="BB3677" s="173"/>
      <c r="BC3677" s="173"/>
    </row>
    <row r="3678" spans="2:55" s="134" customFormat="1" x14ac:dyDescent="0.2">
      <c r="B3678" s="145"/>
      <c r="D3678" s="145"/>
      <c r="Z3678" s="177"/>
      <c r="AA3678" s="178"/>
      <c r="AB3678" s="139"/>
      <c r="AC3678" s="173"/>
      <c r="AD3678" s="177"/>
      <c r="AE3678" s="177"/>
      <c r="AF3678" s="139"/>
      <c r="AG3678" s="139"/>
      <c r="AH3678" s="177"/>
      <c r="AI3678" s="178"/>
      <c r="AJ3678" s="139"/>
      <c r="AK3678" s="173"/>
      <c r="AL3678" s="177"/>
      <c r="AM3678" s="178"/>
      <c r="AN3678" s="173"/>
      <c r="AO3678" s="173"/>
      <c r="AP3678" s="173"/>
      <c r="AQ3678" s="178"/>
      <c r="AR3678" s="173"/>
      <c r="AS3678" s="173"/>
      <c r="AT3678" s="140"/>
      <c r="AX3678" s="140"/>
      <c r="BB3678" s="173"/>
      <c r="BC3678" s="173"/>
    </row>
    <row r="3679" spans="2:55" s="134" customFormat="1" x14ac:dyDescent="0.2">
      <c r="B3679" s="145"/>
      <c r="D3679" s="145"/>
      <c r="Z3679" s="177"/>
      <c r="AA3679" s="178"/>
      <c r="AB3679" s="139"/>
      <c r="AC3679" s="173"/>
      <c r="AD3679" s="177"/>
      <c r="AE3679" s="177"/>
      <c r="AF3679" s="139"/>
      <c r="AG3679" s="139"/>
      <c r="AH3679" s="177"/>
      <c r="AI3679" s="178"/>
      <c r="AJ3679" s="139"/>
      <c r="AK3679" s="173"/>
      <c r="AL3679" s="177"/>
      <c r="AM3679" s="178"/>
      <c r="AN3679" s="173"/>
      <c r="AO3679" s="173"/>
      <c r="AP3679" s="173"/>
      <c r="AQ3679" s="178"/>
      <c r="AR3679" s="173"/>
      <c r="AS3679" s="173"/>
      <c r="AT3679" s="140"/>
      <c r="AX3679" s="140"/>
      <c r="BB3679" s="173"/>
      <c r="BC3679" s="173"/>
    </row>
    <row r="3680" spans="2:55" s="134" customFormat="1" x14ac:dyDescent="0.2">
      <c r="B3680" s="145"/>
      <c r="D3680" s="145"/>
      <c r="Z3680" s="177"/>
      <c r="AA3680" s="178"/>
      <c r="AB3680" s="139"/>
      <c r="AC3680" s="173"/>
      <c r="AD3680" s="177"/>
      <c r="AE3680" s="177"/>
      <c r="AF3680" s="139"/>
      <c r="AG3680" s="139"/>
      <c r="AH3680" s="177"/>
      <c r="AI3680" s="178"/>
      <c r="AJ3680" s="139"/>
      <c r="AK3680" s="173"/>
      <c r="AL3680" s="177"/>
      <c r="AM3680" s="178"/>
      <c r="AN3680" s="173"/>
      <c r="AO3680" s="173"/>
      <c r="AP3680" s="173"/>
      <c r="AQ3680" s="178"/>
      <c r="AR3680" s="173"/>
      <c r="AS3680" s="173"/>
      <c r="AT3680" s="140"/>
      <c r="AX3680" s="140"/>
      <c r="BB3680" s="173"/>
      <c r="BC3680" s="173"/>
    </row>
    <row r="3681" spans="2:55" s="134" customFormat="1" x14ac:dyDescent="0.2">
      <c r="B3681" s="145"/>
      <c r="D3681" s="145"/>
      <c r="Z3681" s="177"/>
      <c r="AA3681" s="178"/>
      <c r="AB3681" s="139"/>
      <c r="AC3681" s="173"/>
      <c r="AD3681" s="177"/>
      <c r="AE3681" s="177"/>
      <c r="AF3681" s="139"/>
      <c r="AG3681" s="139"/>
      <c r="AH3681" s="177"/>
      <c r="AI3681" s="178"/>
      <c r="AJ3681" s="139"/>
      <c r="AK3681" s="173"/>
      <c r="AL3681" s="177"/>
      <c r="AM3681" s="178"/>
      <c r="AN3681" s="173"/>
      <c r="AO3681" s="173"/>
      <c r="AP3681" s="173"/>
      <c r="AQ3681" s="178"/>
      <c r="AR3681" s="173"/>
      <c r="AS3681" s="173"/>
      <c r="AT3681" s="140"/>
      <c r="AX3681" s="140"/>
      <c r="BB3681" s="173"/>
      <c r="BC3681" s="173"/>
    </row>
    <row r="3682" spans="2:55" s="134" customFormat="1" x14ac:dyDescent="0.2">
      <c r="B3682" s="145"/>
      <c r="D3682" s="145"/>
      <c r="Z3682" s="177"/>
      <c r="AA3682" s="178"/>
      <c r="AB3682" s="139"/>
      <c r="AC3682" s="173"/>
      <c r="AD3682" s="177"/>
      <c r="AE3682" s="177"/>
      <c r="AF3682" s="139"/>
      <c r="AG3682" s="139"/>
      <c r="AH3682" s="177"/>
      <c r="AI3682" s="178"/>
      <c r="AJ3682" s="139"/>
      <c r="AK3682" s="173"/>
      <c r="AL3682" s="177"/>
      <c r="AM3682" s="178"/>
      <c r="AN3682" s="173"/>
      <c r="AO3682" s="173"/>
      <c r="AP3682" s="173"/>
      <c r="AQ3682" s="178"/>
      <c r="AR3682" s="173"/>
      <c r="AS3682" s="173"/>
      <c r="AT3682" s="140"/>
      <c r="AX3682" s="140"/>
      <c r="BB3682" s="173"/>
      <c r="BC3682" s="173"/>
    </row>
    <row r="3683" spans="2:55" s="134" customFormat="1" x14ac:dyDescent="0.2">
      <c r="B3683" s="145"/>
      <c r="D3683" s="145"/>
      <c r="Z3683" s="177"/>
      <c r="AA3683" s="178"/>
      <c r="AB3683" s="139"/>
      <c r="AC3683" s="173"/>
      <c r="AD3683" s="177"/>
      <c r="AE3683" s="177"/>
      <c r="AF3683" s="139"/>
      <c r="AG3683" s="139"/>
      <c r="AH3683" s="177"/>
      <c r="AI3683" s="178"/>
      <c r="AJ3683" s="139"/>
      <c r="AK3683" s="173"/>
      <c r="AL3683" s="177"/>
      <c r="AM3683" s="178"/>
      <c r="AN3683" s="173"/>
      <c r="AO3683" s="173"/>
      <c r="AP3683" s="173"/>
      <c r="AQ3683" s="178"/>
      <c r="AR3683" s="173"/>
      <c r="AS3683" s="173"/>
      <c r="AT3683" s="140"/>
      <c r="AX3683" s="140"/>
      <c r="BB3683" s="173"/>
      <c r="BC3683" s="173"/>
    </row>
    <row r="3684" spans="2:55" s="134" customFormat="1" x14ac:dyDescent="0.2">
      <c r="B3684" s="145"/>
      <c r="D3684" s="145"/>
      <c r="Z3684" s="177"/>
      <c r="AA3684" s="178"/>
      <c r="AB3684" s="139"/>
      <c r="AC3684" s="173"/>
      <c r="AD3684" s="177"/>
      <c r="AE3684" s="177"/>
      <c r="AF3684" s="139"/>
      <c r="AG3684" s="139"/>
      <c r="AH3684" s="177"/>
      <c r="AI3684" s="178"/>
      <c r="AJ3684" s="139"/>
      <c r="AK3684" s="173"/>
      <c r="AL3684" s="177"/>
      <c r="AM3684" s="178"/>
      <c r="AN3684" s="173"/>
      <c r="AO3684" s="173"/>
      <c r="AP3684" s="173"/>
      <c r="AQ3684" s="178"/>
      <c r="AR3684" s="173"/>
      <c r="AS3684" s="173"/>
      <c r="AT3684" s="140"/>
      <c r="AX3684" s="140"/>
      <c r="BB3684" s="173"/>
      <c r="BC3684" s="173"/>
    </row>
    <row r="3685" spans="2:55" s="134" customFormat="1" x14ac:dyDescent="0.2">
      <c r="B3685" s="145"/>
      <c r="D3685" s="145"/>
      <c r="Z3685" s="177"/>
      <c r="AA3685" s="178"/>
      <c r="AB3685" s="139"/>
      <c r="AC3685" s="173"/>
      <c r="AD3685" s="177"/>
      <c r="AE3685" s="177"/>
      <c r="AF3685" s="139"/>
      <c r="AG3685" s="139"/>
      <c r="AH3685" s="177"/>
      <c r="AI3685" s="178"/>
      <c r="AJ3685" s="139"/>
      <c r="AK3685" s="173"/>
      <c r="AL3685" s="177"/>
      <c r="AM3685" s="178"/>
      <c r="AN3685" s="173"/>
      <c r="AO3685" s="173"/>
      <c r="AP3685" s="173"/>
      <c r="AQ3685" s="178"/>
      <c r="AR3685" s="173"/>
      <c r="AS3685" s="173"/>
      <c r="AT3685" s="140"/>
      <c r="AX3685" s="140"/>
      <c r="BB3685" s="173"/>
      <c r="BC3685" s="173"/>
    </row>
    <row r="3686" spans="2:55" s="134" customFormat="1" x14ac:dyDescent="0.2">
      <c r="B3686" s="145"/>
      <c r="D3686" s="145"/>
      <c r="Z3686" s="177"/>
      <c r="AA3686" s="178"/>
      <c r="AB3686" s="139"/>
      <c r="AC3686" s="173"/>
      <c r="AD3686" s="177"/>
      <c r="AE3686" s="177"/>
      <c r="AF3686" s="139"/>
      <c r="AG3686" s="139"/>
      <c r="AH3686" s="177"/>
      <c r="AI3686" s="178"/>
      <c r="AJ3686" s="139"/>
      <c r="AK3686" s="173"/>
      <c r="AL3686" s="177"/>
      <c r="AM3686" s="178"/>
      <c r="AN3686" s="173"/>
      <c r="AO3686" s="173"/>
      <c r="AP3686" s="173"/>
      <c r="AQ3686" s="178"/>
      <c r="AR3686" s="173"/>
      <c r="AS3686" s="173"/>
      <c r="AT3686" s="140"/>
      <c r="AX3686" s="140"/>
      <c r="BB3686" s="173"/>
      <c r="BC3686" s="173"/>
    </row>
    <row r="3687" spans="2:55" s="134" customFormat="1" x14ac:dyDescent="0.2">
      <c r="B3687" s="145"/>
      <c r="D3687" s="145"/>
      <c r="Z3687" s="177"/>
      <c r="AA3687" s="178"/>
      <c r="AB3687" s="139"/>
      <c r="AC3687" s="173"/>
      <c r="AD3687" s="177"/>
      <c r="AE3687" s="177"/>
      <c r="AF3687" s="139"/>
      <c r="AG3687" s="139"/>
      <c r="AH3687" s="177"/>
      <c r="AI3687" s="178"/>
      <c r="AJ3687" s="139"/>
      <c r="AK3687" s="173"/>
      <c r="AL3687" s="177"/>
      <c r="AM3687" s="178"/>
      <c r="AN3687" s="173"/>
      <c r="AO3687" s="173"/>
      <c r="AP3687" s="173"/>
      <c r="AQ3687" s="178"/>
      <c r="AR3687" s="173"/>
      <c r="AS3687" s="173"/>
      <c r="AT3687" s="140"/>
      <c r="AX3687" s="140"/>
      <c r="BB3687" s="173"/>
      <c r="BC3687" s="173"/>
    </row>
    <row r="3688" spans="2:55" s="134" customFormat="1" x14ac:dyDescent="0.2">
      <c r="B3688" s="145"/>
      <c r="D3688" s="145"/>
      <c r="Z3688" s="177"/>
      <c r="AA3688" s="178"/>
      <c r="AB3688" s="139"/>
      <c r="AC3688" s="173"/>
      <c r="AD3688" s="177"/>
      <c r="AE3688" s="177"/>
      <c r="AF3688" s="139"/>
      <c r="AG3688" s="139"/>
      <c r="AH3688" s="177"/>
      <c r="AI3688" s="178"/>
      <c r="AJ3688" s="139"/>
      <c r="AK3688" s="173"/>
      <c r="AL3688" s="177"/>
      <c r="AM3688" s="178"/>
      <c r="AN3688" s="173"/>
      <c r="AO3688" s="173"/>
      <c r="AP3688" s="173"/>
      <c r="AQ3688" s="178"/>
      <c r="AR3688" s="173"/>
      <c r="AS3688" s="173"/>
      <c r="AT3688" s="140"/>
      <c r="AX3688" s="140"/>
      <c r="BB3688" s="173"/>
      <c r="BC3688" s="173"/>
    </row>
    <row r="3689" spans="2:55" s="134" customFormat="1" x14ac:dyDescent="0.2">
      <c r="B3689" s="145"/>
      <c r="D3689" s="145"/>
      <c r="Z3689" s="177"/>
      <c r="AA3689" s="178"/>
      <c r="AB3689" s="139"/>
      <c r="AC3689" s="173"/>
      <c r="AD3689" s="177"/>
      <c r="AE3689" s="177"/>
      <c r="AF3689" s="139"/>
      <c r="AG3689" s="139"/>
      <c r="AH3689" s="177"/>
      <c r="AI3689" s="178"/>
      <c r="AJ3689" s="139"/>
      <c r="AK3689" s="173"/>
      <c r="AL3689" s="177"/>
      <c r="AM3689" s="178"/>
      <c r="AN3689" s="173"/>
      <c r="AO3689" s="173"/>
      <c r="AP3689" s="173"/>
      <c r="AQ3689" s="178"/>
      <c r="AR3689" s="173"/>
      <c r="AS3689" s="173"/>
      <c r="AT3689" s="140"/>
      <c r="AX3689" s="140"/>
      <c r="BB3689" s="173"/>
      <c r="BC3689" s="173"/>
    </row>
    <row r="3690" spans="2:55" s="134" customFormat="1" x14ac:dyDescent="0.2">
      <c r="B3690" s="145"/>
      <c r="D3690" s="145"/>
      <c r="Z3690" s="177"/>
      <c r="AA3690" s="178"/>
      <c r="AB3690" s="139"/>
      <c r="AC3690" s="173"/>
      <c r="AD3690" s="177"/>
      <c r="AE3690" s="177"/>
      <c r="AF3690" s="139"/>
      <c r="AG3690" s="139"/>
      <c r="AH3690" s="177"/>
      <c r="AI3690" s="178"/>
      <c r="AJ3690" s="139"/>
      <c r="AK3690" s="173"/>
      <c r="AL3690" s="177"/>
      <c r="AM3690" s="178"/>
      <c r="AN3690" s="173"/>
      <c r="AO3690" s="173"/>
      <c r="AP3690" s="173"/>
      <c r="AQ3690" s="178"/>
      <c r="AR3690" s="173"/>
      <c r="AS3690" s="173"/>
      <c r="AT3690" s="140"/>
      <c r="AX3690" s="140"/>
      <c r="BB3690" s="173"/>
      <c r="BC3690" s="173"/>
    </row>
    <row r="3691" spans="2:55" s="134" customFormat="1" x14ac:dyDescent="0.2">
      <c r="B3691" s="145"/>
      <c r="D3691" s="145"/>
      <c r="Z3691" s="177"/>
      <c r="AA3691" s="178"/>
      <c r="AB3691" s="139"/>
      <c r="AC3691" s="173"/>
      <c r="AD3691" s="177"/>
      <c r="AE3691" s="177"/>
      <c r="AF3691" s="139"/>
      <c r="AG3691" s="139"/>
      <c r="AH3691" s="177"/>
      <c r="AI3691" s="178"/>
      <c r="AJ3691" s="139"/>
      <c r="AK3691" s="173"/>
      <c r="AL3691" s="177"/>
      <c r="AM3691" s="178"/>
      <c r="AN3691" s="173"/>
      <c r="AO3691" s="173"/>
      <c r="AP3691" s="173"/>
      <c r="AQ3691" s="178"/>
      <c r="AR3691" s="173"/>
      <c r="AS3691" s="173"/>
      <c r="AT3691" s="140"/>
      <c r="AX3691" s="140"/>
      <c r="BB3691" s="173"/>
      <c r="BC3691" s="173"/>
    </row>
    <row r="3692" spans="2:55" s="134" customFormat="1" x14ac:dyDescent="0.2">
      <c r="B3692" s="145"/>
      <c r="D3692" s="145"/>
      <c r="Z3692" s="177"/>
      <c r="AA3692" s="178"/>
      <c r="AB3692" s="139"/>
      <c r="AC3692" s="173"/>
      <c r="AD3692" s="177"/>
      <c r="AE3692" s="177"/>
      <c r="AF3692" s="139"/>
      <c r="AG3692" s="139"/>
      <c r="AH3692" s="177"/>
      <c r="AI3692" s="178"/>
      <c r="AJ3692" s="139"/>
      <c r="AK3692" s="173"/>
      <c r="AL3692" s="177"/>
      <c r="AM3692" s="178"/>
      <c r="AN3692" s="173"/>
      <c r="AO3692" s="173"/>
      <c r="AP3692" s="173"/>
      <c r="AQ3692" s="178"/>
      <c r="AR3692" s="173"/>
      <c r="AS3692" s="173"/>
      <c r="AT3692" s="140"/>
      <c r="AX3692" s="140"/>
      <c r="BB3692" s="173"/>
      <c r="BC3692" s="173"/>
    </row>
    <row r="3693" spans="2:55" s="134" customFormat="1" x14ac:dyDescent="0.2">
      <c r="B3693" s="145"/>
      <c r="D3693" s="145"/>
      <c r="Z3693" s="177"/>
      <c r="AA3693" s="178"/>
      <c r="AB3693" s="139"/>
      <c r="AC3693" s="173"/>
      <c r="AD3693" s="177"/>
      <c r="AE3693" s="177"/>
      <c r="AF3693" s="139"/>
      <c r="AG3693" s="139"/>
      <c r="AH3693" s="177"/>
      <c r="AI3693" s="178"/>
      <c r="AJ3693" s="139"/>
      <c r="AK3693" s="173"/>
      <c r="AL3693" s="177"/>
      <c r="AM3693" s="178"/>
      <c r="AN3693" s="173"/>
      <c r="AO3693" s="173"/>
      <c r="AP3693" s="173"/>
      <c r="AQ3693" s="178"/>
      <c r="AR3693" s="173"/>
      <c r="AS3693" s="173"/>
      <c r="AT3693" s="140"/>
      <c r="AX3693" s="140"/>
      <c r="BB3693" s="173"/>
      <c r="BC3693" s="173"/>
    </row>
    <row r="3694" spans="2:55" s="134" customFormat="1" x14ac:dyDescent="0.2">
      <c r="B3694" s="145"/>
      <c r="D3694" s="145"/>
      <c r="Z3694" s="177"/>
      <c r="AA3694" s="178"/>
      <c r="AB3694" s="139"/>
      <c r="AC3694" s="173"/>
      <c r="AD3694" s="177"/>
      <c r="AE3694" s="177"/>
      <c r="AF3694" s="139"/>
      <c r="AG3694" s="139"/>
      <c r="AH3694" s="177"/>
      <c r="AI3694" s="178"/>
      <c r="AJ3694" s="139"/>
      <c r="AK3694" s="173"/>
      <c r="AL3694" s="177"/>
      <c r="AM3694" s="178"/>
      <c r="AN3694" s="173"/>
      <c r="AO3694" s="173"/>
      <c r="AP3694" s="173"/>
      <c r="AQ3694" s="178"/>
      <c r="AR3694" s="173"/>
      <c r="AS3694" s="173"/>
      <c r="AT3694" s="140"/>
      <c r="AX3694" s="140"/>
      <c r="BB3694" s="173"/>
      <c r="BC3694" s="173"/>
    </row>
    <row r="3695" spans="2:55" s="134" customFormat="1" x14ac:dyDescent="0.2">
      <c r="B3695" s="145"/>
      <c r="D3695" s="145"/>
      <c r="Z3695" s="177"/>
      <c r="AA3695" s="178"/>
      <c r="AB3695" s="139"/>
      <c r="AC3695" s="173"/>
      <c r="AD3695" s="177"/>
      <c r="AE3695" s="177"/>
      <c r="AF3695" s="139"/>
      <c r="AG3695" s="139"/>
      <c r="AH3695" s="177"/>
      <c r="AI3695" s="178"/>
      <c r="AJ3695" s="139"/>
      <c r="AK3695" s="173"/>
      <c r="AL3695" s="177"/>
      <c r="AM3695" s="178"/>
      <c r="AN3695" s="173"/>
      <c r="AO3695" s="173"/>
      <c r="AP3695" s="173"/>
      <c r="AQ3695" s="178"/>
      <c r="AR3695" s="173"/>
      <c r="AS3695" s="173"/>
      <c r="AT3695" s="140"/>
      <c r="AX3695" s="140"/>
      <c r="BB3695" s="173"/>
      <c r="BC3695" s="173"/>
    </row>
    <row r="3696" spans="2:55" s="134" customFormat="1" x14ac:dyDescent="0.2">
      <c r="B3696" s="145"/>
      <c r="D3696" s="145"/>
      <c r="Z3696" s="177"/>
      <c r="AA3696" s="178"/>
      <c r="AB3696" s="139"/>
      <c r="AC3696" s="173"/>
      <c r="AD3696" s="177"/>
      <c r="AE3696" s="177"/>
      <c r="AF3696" s="139"/>
      <c r="AG3696" s="139"/>
      <c r="AH3696" s="177"/>
      <c r="AI3696" s="178"/>
      <c r="AJ3696" s="139"/>
      <c r="AK3696" s="173"/>
      <c r="AL3696" s="177"/>
      <c r="AM3696" s="178"/>
      <c r="AN3696" s="173"/>
      <c r="AO3696" s="173"/>
      <c r="AP3696" s="173"/>
      <c r="AQ3696" s="178"/>
      <c r="AR3696" s="173"/>
      <c r="AS3696" s="173"/>
      <c r="AT3696" s="140"/>
      <c r="AX3696" s="140"/>
      <c r="BB3696" s="173"/>
      <c r="BC3696" s="173"/>
    </row>
    <row r="3697" spans="2:55" s="134" customFormat="1" x14ac:dyDescent="0.2">
      <c r="B3697" s="145"/>
      <c r="D3697" s="145"/>
      <c r="Z3697" s="177"/>
      <c r="AA3697" s="178"/>
      <c r="AB3697" s="139"/>
      <c r="AC3697" s="173"/>
      <c r="AD3697" s="177"/>
      <c r="AE3697" s="177"/>
      <c r="AF3697" s="139"/>
      <c r="AG3697" s="139"/>
      <c r="AH3697" s="177"/>
      <c r="AI3697" s="178"/>
      <c r="AJ3697" s="139"/>
      <c r="AK3697" s="173"/>
      <c r="AL3697" s="177"/>
      <c r="AM3697" s="178"/>
      <c r="AN3697" s="173"/>
      <c r="AO3697" s="173"/>
      <c r="AP3697" s="173"/>
      <c r="AQ3697" s="178"/>
      <c r="AR3697" s="173"/>
      <c r="AS3697" s="173"/>
      <c r="AT3697" s="140"/>
      <c r="AX3697" s="140"/>
      <c r="BB3697" s="173"/>
      <c r="BC3697" s="173"/>
    </row>
    <row r="3698" spans="2:55" s="134" customFormat="1" x14ac:dyDescent="0.2">
      <c r="B3698" s="145"/>
      <c r="D3698" s="145"/>
      <c r="Z3698" s="177"/>
      <c r="AA3698" s="178"/>
      <c r="AB3698" s="139"/>
      <c r="AC3698" s="173"/>
      <c r="AD3698" s="177"/>
      <c r="AE3698" s="177"/>
      <c r="AF3698" s="139"/>
      <c r="AG3698" s="139"/>
      <c r="AH3698" s="177"/>
      <c r="AI3698" s="178"/>
      <c r="AJ3698" s="139"/>
      <c r="AK3698" s="173"/>
      <c r="AL3698" s="177"/>
      <c r="AM3698" s="178"/>
      <c r="AN3698" s="173"/>
      <c r="AO3698" s="173"/>
      <c r="AP3698" s="173"/>
      <c r="AQ3698" s="178"/>
      <c r="AR3698" s="173"/>
      <c r="AS3698" s="173"/>
      <c r="AT3698" s="140"/>
      <c r="AX3698" s="140"/>
      <c r="BB3698" s="173"/>
      <c r="BC3698" s="173"/>
    </row>
    <row r="3699" spans="2:55" s="134" customFormat="1" x14ac:dyDescent="0.2">
      <c r="B3699" s="145"/>
      <c r="D3699" s="145"/>
      <c r="Z3699" s="177"/>
      <c r="AA3699" s="178"/>
      <c r="AB3699" s="139"/>
      <c r="AC3699" s="173"/>
      <c r="AD3699" s="177"/>
      <c r="AE3699" s="177"/>
      <c r="AF3699" s="139"/>
      <c r="AG3699" s="139"/>
      <c r="AH3699" s="177"/>
      <c r="AI3699" s="178"/>
      <c r="AJ3699" s="139"/>
      <c r="AK3699" s="173"/>
      <c r="AL3699" s="177"/>
      <c r="AM3699" s="178"/>
      <c r="AN3699" s="173"/>
      <c r="AO3699" s="173"/>
      <c r="AP3699" s="173"/>
      <c r="AQ3699" s="178"/>
      <c r="AR3699" s="173"/>
      <c r="AS3699" s="173"/>
      <c r="AT3699" s="140"/>
      <c r="AX3699" s="140"/>
      <c r="BB3699" s="173"/>
      <c r="BC3699" s="173"/>
    </row>
    <row r="3700" spans="2:55" s="134" customFormat="1" x14ac:dyDescent="0.2">
      <c r="B3700" s="145"/>
      <c r="D3700" s="145"/>
      <c r="Z3700" s="177"/>
      <c r="AA3700" s="178"/>
      <c r="AB3700" s="139"/>
      <c r="AC3700" s="173"/>
      <c r="AD3700" s="177"/>
      <c r="AE3700" s="177"/>
      <c r="AF3700" s="139"/>
      <c r="AG3700" s="139"/>
      <c r="AH3700" s="177"/>
      <c r="AI3700" s="178"/>
      <c r="AJ3700" s="139"/>
      <c r="AK3700" s="173"/>
      <c r="AL3700" s="177"/>
      <c r="AM3700" s="178"/>
      <c r="AN3700" s="173"/>
      <c r="AO3700" s="173"/>
      <c r="AP3700" s="173"/>
      <c r="AQ3700" s="178"/>
      <c r="AR3700" s="173"/>
      <c r="AS3700" s="173"/>
      <c r="AT3700" s="140"/>
      <c r="AX3700" s="140"/>
      <c r="BB3700" s="173"/>
      <c r="BC3700" s="173"/>
    </row>
    <row r="3701" spans="2:55" s="134" customFormat="1" x14ac:dyDescent="0.2">
      <c r="B3701" s="145"/>
      <c r="D3701" s="145"/>
      <c r="Z3701" s="177"/>
      <c r="AA3701" s="178"/>
      <c r="AB3701" s="139"/>
      <c r="AC3701" s="173"/>
      <c r="AD3701" s="177"/>
      <c r="AE3701" s="177"/>
      <c r="AF3701" s="139"/>
      <c r="AG3701" s="139"/>
      <c r="AH3701" s="177"/>
      <c r="AI3701" s="178"/>
      <c r="AJ3701" s="139"/>
      <c r="AK3701" s="173"/>
      <c r="AL3701" s="177"/>
      <c r="AM3701" s="178"/>
      <c r="AN3701" s="173"/>
      <c r="AO3701" s="173"/>
      <c r="AP3701" s="173"/>
      <c r="AQ3701" s="178"/>
      <c r="AR3701" s="173"/>
      <c r="AS3701" s="173"/>
      <c r="AT3701" s="140"/>
      <c r="AX3701" s="140"/>
      <c r="BB3701" s="173"/>
      <c r="BC3701" s="173"/>
    </row>
    <row r="3702" spans="2:55" s="134" customFormat="1" x14ac:dyDescent="0.2">
      <c r="B3702" s="145"/>
      <c r="D3702" s="145"/>
      <c r="Z3702" s="177"/>
      <c r="AA3702" s="178"/>
      <c r="AB3702" s="139"/>
      <c r="AC3702" s="173"/>
      <c r="AD3702" s="177"/>
      <c r="AE3702" s="177"/>
      <c r="AF3702" s="139"/>
      <c r="AG3702" s="139"/>
      <c r="AH3702" s="177"/>
      <c r="AI3702" s="178"/>
      <c r="AJ3702" s="139"/>
      <c r="AK3702" s="173"/>
      <c r="AL3702" s="177"/>
      <c r="AM3702" s="178"/>
      <c r="AN3702" s="173"/>
      <c r="AO3702" s="173"/>
      <c r="AP3702" s="173"/>
      <c r="AQ3702" s="178"/>
      <c r="AR3702" s="173"/>
      <c r="AS3702" s="173"/>
      <c r="AT3702" s="140"/>
      <c r="AX3702" s="140"/>
      <c r="BB3702" s="173"/>
      <c r="BC3702" s="173"/>
    </row>
    <row r="3703" spans="2:55" s="134" customFormat="1" x14ac:dyDescent="0.2">
      <c r="B3703" s="145"/>
      <c r="D3703" s="145"/>
      <c r="Z3703" s="177"/>
      <c r="AA3703" s="178"/>
      <c r="AB3703" s="139"/>
      <c r="AC3703" s="173"/>
      <c r="AD3703" s="177"/>
      <c r="AE3703" s="177"/>
      <c r="AF3703" s="139"/>
      <c r="AG3703" s="139"/>
      <c r="AH3703" s="177"/>
      <c r="AI3703" s="178"/>
      <c r="AJ3703" s="139"/>
      <c r="AK3703" s="173"/>
      <c r="AL3703" s="177"/>
      <c r="AM3703" s="178"/>
      <c r="AN3703" s="173"/>
      <c r="AO3703" s="173"/>
      <c r="AP3703" s="173"/>
      <c r="AQ3703" s="178"/>
      <c r="AR3703" s="173"/>
      <c r="AS3703" s="173"/>
      <c r="AT3703" s="140"/>
      <c r="AX3703" s="140"/>
      <c r="BB3703" s="173"/>
      <c r="BC3703" s="173"/>
    </row>
    <row r="3704" spans="2:55" s="134" customFormat="1" x14ac:dyDescent="0.2">
      <c r="B3704" s="145"/>
      <c r="D3704" s="145"/>
      <c r="Z3704" s="177"/>
      <c r="AA3704" s="178"/>
      <c r="AB3704" s="139"/>
      <c r="AC3704" s="173"/>
      <c r="AD3704" s="177"/>
      <c r="AE3704" s="177"/>
      <c r="AF3704" s="139"/>
      <c r="AG3704" s="139"/>
      <c r="AH3704" s="177"/>
      <c r="AI3704" s="178"/>
      <c r="AJ3704" s="139"/>
      <c r="AK3704" s="173"/>
      <c r="AL3704" s="177"/>
      <c r="AM3704" s="178"/>
      <c r="AN3704" s="173"/>
      <c r="AO3704" s="173"/>
      <c r="AP3704" s="173"/>
      <c r="AQ3704" s="178"/>
      <c r="AR3704" s="173"/>
      <c r="AS3704" s="173"/>
      <c r="AT3704" s="140"/>
      <c r="AX3704" s="140"/>
      <c r="BB3704" s="173"/>
      <c r="BC3704" s="173"/>
    </row>
    <row r="3705" spans="2:55" s="134" customFormat="1" x14ac:dyDescent="0.2">
      <c r="B3705" s="145"/>
      <c r="D3705" s="145"/>
      <c r="Z3705" s="177"/>
      <c r="AA3705" s="178"/>
      <c r="AB3705" s="139"/>
      <c r="AC3705" s="173"/>
      <c r="AD3705" s="177"/>
      <c r="AE3705" s="177"/>
      <c r="AF3705" s="139"/>
      <c r="AG3705" s="139"/>
      <c r="AH3705" s="177"/>
      <c r="AI3705" s="178"/>
      <c r="AJ3705" s="139"/>
      <c r="AK3705" s="173"/>
      <c r="AL3705" s="177"/>
      <c r="AM3705" s="178"/>
      <c r="AN3705" s="173"/>
      <c r="AO3705" s="173"/>
      <c r="AP3705" s="173"/>
      <c r="AQ3705" s="178"/>
      <c r="AR3705" s="173"/>
      <c r="AS3705" s="173"/>
      <c r="AT3705" s="140"/>
      <c r="AX3705" s="140"/>
      <c r="BB3705" s="173"/>
      <c r="BC3705" s="173"/>
    </row>
    <row r="3706" spans="2:55" s="134" customFormat="1" x14ac:dyDescent="0.2">
      <c r="B3706" s="145"/>
      <c r="D3706" s="145"/>
      <c r="Z3706" s="177"/>
      <c r="AA3706" s="178"/>
      <c r="AB3706" s="139"/>
      <c r="AC3706" s="173"/>
      <c r="AD3706" s="177"/>
      <c r="AE3706" s="177"/>
      <c r="AF3706" s="139"/>
      <c r="AG3706" s="139"/>
      <c r="AH3706" s="177"/>
      <c r="AI3706" s="178"/>
      <c r="AJ3706" s="139"/>
      <c r="AK3706" s="173"/>
      <c r="AL3706" s="177"/>
      <c r="AM3706" s="178"/>
      <c r="AN3706" s="173"/>
      <c r="AO3706" s="173"/>
      <c r="AP3706" s="173"/>
      <c r="AQ3706" s="178"/>
      <c r="AR3706" s="173"/>
      <c r="AS3706" s="173"/>
      <c r="AT3706" s="140"/>
      <c r="AX3706" s="140"/>
      <c r="BB3706" s="173"/>
      <c r="BC3706" s="173"/>
    </row>
    <row r="3707" spans="2:55" s="134" customFormat="1" x14ac:dyDescent="0.2">
      <c r="B3707" s="145"/>
      <c r="D3707" s="145"/>
      <c r="Z3707" s="177"/>
      <c r="AA3707" s="178"/>
      <c r="AB3707" s="139"/>
      <c r="AC3707" s="173"/>
      <c r="AD3707" s="177"/>
      <c r="AE3707" s="177"/>
      <c r="AF3707" s="139"/>
      <c r="AG3707" s="139"/>
      <c r="AH3707" s="177"/>
      <c r="AI3707" s="178"/>
      <c r="AJ3707" s="139"/>
      <c r="AK3707" s="173"/>
      <c r="AL3707" s="177"/>
      <c r="AM3707" s="178"/>
      <c r="AN3707" s="173"/>
      <c r="AO3707" s="173"/>
      <c r="AP3707" s="173"/>
      <c r="AQ3707" s="178"/>
      <c r="AR3707" s="173"/>
      <c r="AS3707" s="173"/>
      <c r="AT3707" s="140"/>
      <c r="AX3707" s="140"/>
      <c r="BB3707" s="173"/>
      <c r="BC3707" s="173"/>
    </row>
    <row r="3708" spans="2:55" s="134" customFormat="1" x14ac:dyDescent="0.2">
      <c r="B3708" s="145"/>
      <c r="D3708" s="145"/>
      <c r="Z3708" s="177"/>
      <c r="AA3708" s="178"/>
      <c r="AB3708" s="139"/>
      <c r="AC3708" s="173"/>
      <c r="AD3708" s="177"/>
      <c r="AE3708" s="177"/>
      <c r="AF3708" s="139"/>
      <c r="AG3708" s="139"/>
      <c r="AH3708" s="177"/>
      <c r="AI3708" s="178"/>
      <c r="AJ3708" s="139"/>
      <c r="AK3708" s="173"/>
      <c r="AL3708" s="177"/>
      <c r="AM3708" s="178"/>
      <c r="AN3708" s="173"/>
      <c r="AO3708" s="173"/>
      <c r="AP3708" s="173"/>
      <c r="AQ3708" s="178"/>
      <c r="AR3708" s="173"/>
      <c r="AS3708" s="173"/>
      <c r="AT3708" s="140"/>
      <c r="AX3708" s="140"/>
      <c r="BB3708" s="173"/>
      <c r="BC3708" s="173"/>
    </row>
    <row r="3709" spans="2:55" s="134" customFormat="1" x14ac:dyDescent="0.2">
      <c r="B3709" s="145"/>
      <c r="D3709" s="145"/>
      <c r="Z3709" s="177"/>
      <c r="AA3709" s="178"/>
      <c r="AB3709" s="139"/>
      <c r="AC3709" s="173"/>
      <c r="AD3709" s="177"/>
      <c r="AE3709" s="177"/>
      <c r="AF3709" s="139"/>
      <c r="AG3709" s="139"/>
      <c r="AH3709" s="177"/>
      <c r="AI3709" s="178"/>
      <c r="AJ3709" s="139"/>
      <c r="AK3709" s="173"/>
      <c r="AL3709" s="177"/>
      <c r="AM3709" s="178"/>
      <c r="AN3709" s="173"/>
      <c r="AO3709" s="173"/>
      <c r="AP3709" s="173"/>
      <c r="AQ3709" s="178"/>
      <c r="AR3709" s="173"/>
      <c r="AS3709" s="173"/>
      <c r="AT3709" s="140"/>
      <c r="AX3709" s="140"/>
      <c r="BB3709" s="173"/>
      <c r="BC3709" s="173"/>
    </row>
    <row r="3710" spans="2:55" s="134" customFormat="1" x14ac:dyDescent="0.2">
      <c r="B3710" s="145"/>
      <c r="D3710" s="145"/>
      <c r="Z3710" s="177"/>
      <c r="AA3710" s="178"/>
      <c r="AB3710" s="139"/>
      <c r="AC3710" s="173"/>
      <c r="AD3710" s="177"/>
      <c r="AE3710" s="177"/>
      <c r="AF3710" s="139"/>
      <c r="AG3710" s="139"/>
      <c r="AH3710" s="177"/>
      <c r="AI3710" s="178"/>
      <c r="AJ3710" s="139"/>
      <c r="AK3710" s="173"/>
      <c r="AL3710" s="177"/>
      <c r="AM3710" s="178"/>
      <c r="AN3710" s="173"/>
      <c r="AO3710" s="173"/>
      <c r="AP3710" s="173"/>
      <c r="AQ3710" s="178"/>
      <c r="AR3710" s="173"/>
      <c r="AS3710" s="173"/>
      <c r="AT3710" s="140"/>
      <c r="AX3710" s="140"/>
      <c r="BB3710" s="173"/>
      <c r="BC3710" s="173"/>
    </row>
    <row r="3711" spans="2:55" s="134" customFormat="1" x14ac:dyDescent="0.2">
      <c r="B3711" s="145"/>
      <c r="D3711" s="145"/>
      <c r="Z3711" s="177"/>
      <c r="AA3711" s="178"/>
      <c r="AB3711" s="139"/>
      <c r="AC3711" s="173"/>
      <c r="AD3711" s="177"/>
      <c r="AE3711" s="177"/>
      <c r="AF3711" s="139"/>
      <c r="AG3711" s="139"/>
      <c r="AH3711" s="177"/>
      <c r="AI3711" s="178"/>
      <c r="AJ3711" s="139"/>
      <c r="AK3711" s="173"/>
      <c r="AL3711" s="177"/>
      <c r="AM3711" s="178"/>
      <c r="AN3711" s="173"/>
      <c r="AO3711" s="173"/>
      <c r="AP3711" s="173"/>
      <c r="AQ3711" s="178"/>
      <c r="AR3711" s="173"/>
      <c r="AS3711" s="173"/>
      <c r="AT3711" s="140"/>
      <c r="AX3711" s="140"/>
      <c r="BB3711" s="173"/>
      <c r="BC3711" s="173"/>
    </row>
    <row r="3712" spans="2:55" s="134" customFormat="1" x14ac:dyDescent="0.2">
      <c r="B3712" s="145"/>
      <c r="D3712" s="145"/>
      <c r="Z3712" s="177"/>
      <c r="AA3712" s="178"/>
      <c r="AB3712" s="139"/>
      <c r="AC3712" s="173"/>
      <c r="AD3712" s="177"/>
      <c r="AE3712" s="177"/>
      <c r="AF3712" s="139"/>
      <c r="AG3712" s="139"/>
      <c r="AH3712" s="177"/>
      <c r="AI3712" s="178"/>
      <c r="AJ3712" s="139"/>
      <c r="AK3712" s="173"/>
      <c r="AL3712" s="177"/>
      <c r="AM3712" s="178"/>
      <c r="AN3712" s="173"/>
      <c r="AO3712" s="173"/>
      <c r="AP3712" s="173"/>
      <c r="AQ3712" s="178"/>
      <c r="AR3712" s="173"/>
      <c r="AS3712" s="173"/>
      <c r="AT3712" s="140"/>
      <c r="AX3712" s="140"/>
      <c r="BB3712" s="173"/>
      <c r="BC3712" s="173"/>
    </row>
    <row r="3713" spans="2:55" s="134" customFormat="1" x14ac:dyDescent="0.2">
      <c r="B3713" s="145"/>
      <c r="D3713" s="145"/>
      <c r="Z3713" s="177"/>
      <c r="AA3713" s="178"/>
      <c r="AB3713" s="139"/>
      <c r="AC3713" s="173"/>
      <c r="AD3713" s="177"/>
      <c r="AE3713" s="177"/>
      <c r="AF3713" s="139"/>
      <c r="AG3713" s="139"/>
      <c r="AH3713" s="177"/>
      <c r="AI3713" s="178"/>
      <c r="AJ3713" s="139"/>
      <c r="AK3713" s="173"/>
      <c r="AL3713" s="177"/>
      <c r="AM3713" s="178"/>
      <c r="AN3713" s="173"/>
      <c r="AO3713" s="173"/>
      <c r="AP3713" s="173"/>
      <c r="AQ3713" s="178"/>
      <c r="AR3713" s="173"/>
      <c r="AS3713" s="173"/>
      <c r="AT3713" s="140"/>
      <c r="AX3713" s="140"/>
      <c r="BB3713" s="173"/>
      <c r="BC3713" s="173"/>
    </row>
    <row r="3714" spans="2:55" s="134" customFormat="1" x14ac:dyDescent="0.2">
      <c r="B3714" s="145"/>
      <c r="D3714" s="145"/>
      <c r="Z3714" s="177"/>
      <c r="AA3714" s="178"/>
      <c r="AB3714" s="139"/>
      <c r="AC3714" s="173"/>
      <c r="AD3714" s="177"/>
      <c r="AE3714" s="177"/>
      <c r="AF3714" s="139"/>
      <c r="AG3714" s="139"/>
      <c r="AH3714" s="177"/>
      <c r="AI3714" s="178"/>
      <c r="AJ3714" s="139"/>
      <c r="AK3714" s="173"/>
      <c r="AL3714" s="177"/>
      <c r="AM3714" s="178"/>
      <c r="AN3714" s="173"/>
      <c r="AO3714" s="173"/>
      <c r="AP3714" s="173"/>
      <c r="AQ3714" s="178"/>
      <c r="AR3714" s="173"/>
      <c r="AS3714" s="173"/>
      <c r="AT3714" s="140"/>
      <c r="AX3714" s="140"/>
      <c r="BB3714" s="173"/>
      <c r="BC3714" s="173"/>
    </row>
    <row r="3715" spans="2:55" s="134" customFormat="1" x14ac:dyDescent="0.2">
      <c r="B3715" s="145"/>
      <c r="D3715" s="145"/>
      <c r="Z3715" s="177"/>
      <c r="AA3715" s="178"/>
      <c r="AB3715" s="139"/>
      <c r="AC3715" s="173"/>
      <c r="AD3715" s="177"/>
      <c r="AE3715" s="177"/>
      <c r="AF3715" s="139"/>
      <c r="AG3715" s="139"/>
      <c r="AH3715" s="177"/>
      <c r="AI3715" s="178"/>
      <c r="AJ3715" s="139"/>
      <c r="AK3715" s="173"/>
      <c r="AL3715" s="177"/>
      <c r="AM3715" s="178"/>
      <c r="AN3715" s="173"/>
      <c r="AO3715" s="173"/>
      <c r="AP3715" s="173"/>
      <c r="AQ3715" s="178"/>
      <c r="AR3715" s="173"/>
      <c r="AS3715" s="173"/>
      <c r="AT3715" s="140"/>
      <c r="AX3715" s="140"/>
      <c r="BB3715" s="173"/>
      <c r="BC3715" s="173"/>
    </row>
    <row r="3716" spans="2:55" s="134" customFormat="1" x14ac:dyDescent="0.2">
      <c r="B3716" s="145"/>
      <c r="D3716" s="145"/>
      <c r="Z3716" s="177"/>
      <c r="AA3716" s="178"/>
      <c r="AB3716" s="139"/>
      <c r="AC3716" s="173"/>
      <c r="AD3716" s="177"/>
      <c r="AE3716" s="177"/>
      <c r="AF3716" s="139"/>
      <c r="AG3716" s="139"/>
      <c r="AH3716" s="177"/>
      <c r="AI3716" s="178"/>
      <c r="AJ3716" s="139"/>
      <c r="AK3716" s="173"/>
      <c r="AL3716" s="177"/>
      <c r="AM3716" s="178"/>
      <c r="AN3716" s="173"/>
      <c r="AO3716" s="173"/>
      <c r="AP3716" s="173"/>
      <c r="AQ3716" s="178"/>
      <c r="AR3716" s="173"/>
      <c r="AS3716" s="173"/>
      <c r="AT3716" s="140"/>
      <c r="AX3716" s="140"/>
      <c r="BB3716" s="173"/>
      <c r="BC3716" s="173"/>
    </row>
    <row r="3717" spans="2:55" s="134" customFormat="1" x14ac:dyDescent="0.2">
      <c r="B3717" s="145"/>
      <c r="D3717" s="145"/>
      <c r="Z3717" s="177"/>
      <c r="AA3717" s="178"/>
      <c r="AB3717" s="139"/>
      <c r="AC3717" s="173"/>
      <c r="AD3717" s="177"/>
      <c r="AE3717" s="177"/>
      <c r="AF3717" s="139"/>
      <c r="AG3717" s="139"/>
      <c r="AH3717" s="177"/>
      <c r="AI3717" s="178"/>
      <c r="AJ3717" s="139"/>
      <c r="AK3717" s="173"/>
      <c r="AL3717" s="177"/>
      <c r="AM3717" s="178"/>
      <c r="AN3717" s="173"/>
      <c r="AO3717" s="173"/>
      <c r="AP3717" s="173"/>
      <c r="AQ3717" s="178"/>
      <c r="AR3717" s="173"/>
      <c r="AS3717" s="173"/>
      <c r="AT3717" s="140"/>
      <c r="AX3717" s="140"/>
      <c r="BB3717" s="173"/>
      <c r="BC3717" s="173"/>
    </row>
    <row r="3718" spans="2:55" s="134" customFormat="1" x14ac:dyDescent="0.2">
      <c r="B3718" s="145"/>
      <c r="D3718" s="145"/>
      <c r="Z3718" s="177"/>
      <c r="AA3718" s="178"/>
      <c r="AB3718" s="139"/>
      <c r="AC3718" s="173"/>
      <c r="AD3718" s="177"/>
      <c r="AE3718" s="177"/>
      <c r="AF3718" s="139"/>
      <c r="AG3718" s="139"/>
      <c r="AH3718" s="177"/>
      <c r="AI3718" s="178"/>
      <c r="AJ3718" s="139"/>
      <c r="AK3718" s="173"/>
      <c r="AL3718" s="177"/>
      <c r="AM3718" s="178"/>
      <c r="AN3718" s="173"/>
      <c r="AO3718" s="173"/>
      <c r="AP3718" s="173"/>
      <c r="AQ3718" s="178"/>
      <c r="AR3718" s="173"/>
      <c r="AS3718" s="173"/>
      <c r="AT3718" s="140"/>
      <c r="AX3718" s="140"/>
      <c r="BB3718" s="173"/>
      <c r="BC3718" s="173"/>
    </row>
    <row r="3719" spans="2:55" s="134" customFormat="1" x14ac:dyDescent="0.2">
      <c r="B3719" s="145"/>
      <c r="D3719" s="145"/>
      <c r="Z3719" s="177"/>
      <c r="AA3719" s="178"/>
      <c r="AB3719" s="139"/>
      <c r="AC3719" s="173"/>
      <c r="AD3719" s="177"/>
      <c r="AE3719" s="177"/>
      <c r="AF3719" s="139"/>
      <c r="AG3719" s="139"/>
      <c r="AH3719" s="177"/>
      <c r="AI3719" s="178"/>
      <c r="AJ3719" s="139"/>
      <c r="AK3719" s="173"/>
      <c r="AL3719" s="177"/>
      <c r="AM3719" s="178"/>
      <c r="AN3719" s="173"/>
      <c r="AO3719" s="173"/>
      <c r="AP3719" s="173"/>
      <c r="AQ3719" s="178"/>
      <c r="AR3719" s="173"/>
      <c r="AS3719" s="173"/>
      <c r="AT3719" s="140"/>
      <c r="AX3719" s="140"/>
      <c r="BB3719" s="173"/>
      <c r="BC3719" s="173"/>
    </row>
    <row r="3720" spans="2:55" s="134" customFormat="1" x14ac:dyDescent="0.2">
      <c r="B3720" s="145"/>
      <c r="D3720" s="145"/>
      <c r="Z3720" s="177"/>
      <c r="AA3720" s="178"/>
      <c r="AB3720" s="139"/>
      <c r="AC3720" s="173"/>
      <c r="AD3720" s="177"/>
      <c r="AE3720" s="177"/>
      <c r="AF3720" s="139"/>
      <c r="AG3720" s="139"/>
      <c r="AH3720" s="177"/>
      <c r="AI3720" s="178"/>
      <c r="AJ3720" s="139"/>
      <c r="AK3720" s="173"/>
      <c r="AL3720" s="177"/>
      <c r="AM3720" s="178"/>
      <c r="AN3720" s="173"/>
      <c r="AO3720" s="173"/>
      <c r="AP3720" s="173"/>
      <c r="AQ3720" s="178"/>
      <c r="AR3720" s="173"/>
      <c r="AS3720" s="173"/>
      <c r="AT3720" s="140"/>
      <c r="AX3720" s="140"/>
      <c r="BB3720" s="173"/>
      <c r="BC3720" s="173"/>
    </row>
    <row r="3721" spans="2:55" s="134" customFormat="1" x14ac:dyDescent="0.2">
      <c r="B3721" s="145"/>
      <c r="D3721" s="145"/>
      <c r="Z3721" s="177"/>
      <c r="AA3721" s="178"/>
      <c r="AB3721" s="139"/>
      <c r="AC3721" s="173"/>
      <c r="AD3721" s="177"/>
      <c r="AE3721" s="177"/>
      <c r="AF3721" s="139"/>
      <c r="AG3721" s="139"/>
      <c r="AH3721" s="177"/>
      <c r="AI3721" s="178"/>
      <c r="AJ3721" s="139"/>
      <c r="AK3721" s="173"/>
      <c r="AL3721" s="177"/>
      <c r="AM3721" s="178"/>
      <c r="AN3721" s="173"/>
      <c r="AO3721" s="173"/>
      <c r="AP3721" s="173"/>
      <c r="AQ3721" s="178"/>
      <c r="AR3721" s="173"/>
      <c r="AS3721" s="173"/>
      <c r="AT3721" s="140"/>
      <c r="AX3721" s="140"/>
      <c r="BB3721" s="173"/>
      <c r="BC3721" s="173"/>
    </row>
    <row r="3722" spans="2:55" s="134" customFormat="1" x14ac:dyDescent="0.2">
      <c r="B3722" s="145"/>
      <c r="D3722" s="145"/>
      <c r="Z3722" s="177"/>
      <c r="AA3722" s="178"/>
      <c r="AB3722" s="139"/>
      <c r="AC3722" s="173"/>
      <c r="AD3722" s="177"/>
      <c r="AE3722" s="177"/>
      <c r="AF3722" s="139"/>
      <c r="AG3722" s="139"/>
      <c r="AH3722" s="177"/>
      <c r="AI3722" s="178"/>
      <c r="AJ3722" s="139"/>
      <c r="AK3722" s="173"/>
      <c r="AL3722" s="177"/>
      <c r="AM3722" s="178"/>
      <c r="AN3722" s="173"/>
      <c r="AO3722" s="173"/>
      <c r="AP3722" s="173"/>
      <c r="AQ3722" s="178"/>
      <c r="AR3722" s="173"/>
      <c r="AS3722" s="173"/>
      <c r="AT3722" s="140"/>
      <c r="AX3722" s="140"/>
      <c r="BB3722" s="173"/>
      <c r="BC3722" s="173"/>
    </row>
    <row r="3723" spans="2:55" s="134" customFormat="1" x14ac:dyDescent="0.2">
      <c r="B3723" s="145"/>
      <c r="D3723" s="145"/>
      <c r="Z3723" s="177"/>
      <c r="AA3723" s="178"/>
      <c r="AB3723" s="139"/>
      <c r="AC3723" s="173"/>
      <c r="AD3723" s="177"/>
      <c r="AE3723" s="177"/>
      <c r="AF3723" s="139"/>
      <c r="AG3723" s="139"/>
      <c r="AH3723" s="177"/>
      <c r="AI3723" s="178"/>
      <c r="AJ3723" s="139"/>
      <c r="AK3723" s="173"/>
      <c r="AL3723" s="177"/>
      <c r="AM3723" s="178"/>
      <c r="AN3723" s="173"/>
      <c r="AO3723" s="173"/>
      <c r="AP3723" s="173"/>
      <c r="AQ3723" s="178"/>
      <c r="AR3723" s="173"/>
      <c r="AS3723" s="173"/>
      <c r="AT3723" s="140"/>
      <c r="AX3723" s="140"/>
      <c r="BB3723" s="173"/>
      <c r="BC3723" s="173"/>
    </row>
    <row r="3724" spans="2:55" s="134" customFormat="1" x14ac:dyDescent="0.2">
      <c r="B3724" s="145"/>
      <c r="D3724" s="145"/>
      <c r="Z3724" s="177"/>
      <c r="AA3724" s="178"/>
      <c r="AB3724" s="139"/>
      <c r="AC3724" s="173"/>
      <c r="AD3724" s="177"/>
      <c r="AE3724" s="177"/>
      <c r="AF3724" s="139"/>
      <c r="AG3724" s="139"/>
      <c r="AH3724" s="177"/>
      <c r="AI3724" s="178"/>
      <c r="AJ3724" s="139"/>
      <c r="AK3724" s="173"/>
      <c r="AL3724" s="177"/>
      <c r="AM3724" s="178"/>
      <c r="AN3724" s="173"/>
      <c r="AO3724" s="173"/>
      <c r="AP3724" s="173"/>
      <c r="AQ3724" s="178"/>
      <c r="AR3724" s="173"/>
      <c r="AS3724" s="173"/>
      <c r="AT3724" s="140"/>
      <c r="AX3724" s="140"/>
      <c r="BB3724" s="173"/>
      <c r="BC3724" s="173"/>
    </row>
    <row r="3725" spans="2:55" s="134" customFormat="1" x14ac:dyDescent="0.2">
      <c r="B3725" s="145"/>
      <c r="D3725" s="145"/>
      <c r="Z3725" s="177"/>
      <c r="AA3725" s="178"/>
      <c r="AB3725" s="139"/>
      <c r="AC3725" s="173"/>
      <c r="AD3725" s="177"/>
      <c r="AE3725" s="177"/>
      <c r="AF3725" s="139"/>
      <c r="AG3725" s="139"/>
      <c r="AH3725" s="177"/>
      <c r="AI3725" s="178"/>
      <c r="AJ3725" s="139"/>
      <c r="AK3725" s="173"/>
      <c r="AL3725" s="177"/>
      <c r="AM3725" s="178"/>
      <c r="AN3725" s="173"/>
      <c r="AO3725" s="173"/>
      <c r="AP3725" s="173"/>
      <c r="AQ3725" s="178"/>
      <c r="AR3725" s="173"/>
      <c r="AS3725" s="173"/>
      <c r="AT3725" s="140"/>
      <c r="AX3725" s="140"/>
      <c r="BB3725" s="173"/>
      <c r="BC3725" s="173"/>
    </row>
    <row r="3726" spans="2:55" s="134" customFormat="1" x14ac:dyDescent="0.2">
      <c r="B3726" s="145"/>
      <c r="D3726" s="145"/>
      <c r="Z3726" s="177"/>
      <c r="AA3726" s="178"/>
      <c r="AB3726" s="139"/>
      <c r="AC3726" s="173"/>
      <c r="AD3726" s="177"/>
      <c r="AE3726" s="177"/>
      <c r="AF3726" s="139"/>
      <c r="AG3726" s="139"/>
      <c r="AH3726" s="177"/>
      <c r="AI3726" s="178"/>
      <c r="AJ3726" s="139"/>
      <c r="AK3726" s="173"/>
      <c r="AL3726" s="177"/>
      <c r="AM3726" s="178"/>
      <c r="AN3726" s="173"/>
      <c r="AO3726" s="173"/>
      <c r="AP3726" s="173"/>
      <c r="AQ3726" s="178"/>
      <c r="AR3726" s="173"/>
      <c r="AS3726" s="173"/>
      <c r="AT3726" s="140"/>
      <c r="AX3726" s="140"/>
      <c r="BB3726" s="173"/>
      <c r="BC3726" s="173"/>
    </row>
    <row r="3727" spans="2:55" s="134" customFormat="1" x14ac:dyDescent="0.2">
      <c r="B3727" s="145"/>
      <c r="D3727" s="145"/>
      <c r="Z3727" s="177"/>
      <c r="AA3727" s="178"/>
      <c r="AB3727" s="139"/>
      <c r="AC3727" s="173"/>
      <c r="AD3727" s="177"/>
      <c r="AE3727" s="177"/>
      <c r="AF3727" s="139"/>
      <c r="AG3727" s="139"/>
      <c r="AH3727" s="177"/>
      <c r="AI3727" s="178"/>
      <c r="AJ3727" s="139"/>
      <c r="AK3727" s="173"/>
      <c r="AL3727" s="177"/>
      <c r="AM3727" s="178"/>
      <c r="AN3727" s="173"/>
      <c r="AO3727" s="173"/>
      <c r="AP3727" s="173"/>
      <c r="AQ3727" s="178"/>
      <c r="AR3727" s="173"/>
      <c r="AS3727" s="173"/>
      <c r="AT3727" s="140"/>
      <c r="AX3727" s="140"/>
      <c r="BB3727" s="173"/>
      <c r="BC3727" s="173"/>
    </row>
    <row r="3728" spans="2:55" s="134" customFormat="1" x14ac:dyDescent="0.2">
      <c r="B3728" s="145"/>
      <c r="D3728" s="145"/>
      <c r="Z3728" s="177"/>
      <c r="AA3728" s="178"/>
      <c r="AB3728" s="139"/>
      <c r="AC3728" s="173"/>
      <c r="AD3728" s="177"/>
      <c r="AE3728" s="177"/>
      <c r="AF3728" s="139"/>
      <c r="AG3728" s="139"/>
      <c r="AH3728" s="177"/>
      <c r="AI3728" s="178"/>
      <c r="AJ3728" s="139"/>
      <c r="AK3728" s="173"/>
      <c r="AL3728" s="177"/>
      <c r="AM3728" s="178"/>
      <c r="AN3728" s="173"/>
      <c r="AO3728" s="173"/>
      <c r="AP3728" s="173"/>
      <c r="AQ3728" s="178"/>
      <c r="AR3728" s="173"/>
      <c r="AS3728" s="173"/>
      <c r="AT3728" s="140"/>
      <c r="AX3728" s="140"/>
      <c r="BB3728" s="173"/>
      <c r="BC3728" s="173"/>
    </row>
    <row r="3729" spans="2:55" s="134" customFormat="1" x14ac:dyDescent="0.2">
      <c r="B3729" s="145"/>
      <c r="D3729" s="145"/>
      <c r="Z3729" s="177"/>
      <c r="AA3729" s="178"/>
      <c r="AB3729" s="139"/>
      <c r="AC3729" s="173"/>
      <c r="AD3729" s="177"/>
      <c r="AE3729" s="177"/>
      <c r="AF3729" s="139"/>
      <c r="AG3729" s="139"/>
      <c r="AH3729" s="177"/>
      <c r="AI3729" s="178"/>
      <c r="AJ3729" s="139"/>
      <c r="AK3729" s="173"/>
      <c r="AL3729" s="177"/>
      <c r="AM3729" s="178"/>
      <c r="AN3729" s="173"/>
      <c r="AO3729" s="173"/>
      <c r="AP3729" s="173"/>
      <c r="AQ3729" s="178"/>
      <c r="AR3729" s="173"/>
      <c r="AS3729" s="173"/>
      <c r="AT3729" s="140"/>
      <c r="AX3729" s="140"/>
      <c r="BB3729" s="173"/>
      <c r="BC3729" s="173"/>
    </row>
    <row r="3730" spans="2:55" s="134" customFormat="1" x14ac:dyDescent="0.2">
      <c r="B3730" s="145"/>
      <c r="D3730" s="145"/>
      <c r="Z3730" s="177"/>
      <c r="AA3730" s="178"/>
      <c r="AB3730" s="139"/>
      <c r="AC3730" s="173"/>
      <c r="AD3730" s="177"/>
      <c r="AE3730" s="177"/>
      <c r="AF3730" s="139"/>
      <c r="AG3730" s="139"/>
      <c r="AH3730" s="177"/>
      <c r="AI3730" s="178"/>
      <c r="AJ3730" s="139"/>
      <c r="AK3730" s="173"/>
      <c r="AL3730" s="177"/>
      <c r="AM3730" s="178"/>
      <c r="AN3730" s="173"/>
      <c r="AO3730" s="173"/>
      <c r="AP3730" s="173"/>
      <c r="AQ3730" s="178"/>
      <c r="AR3730" s="173"/>
      <c r="AS3730" s="173"/>
      <c r="AT3730" s="140"/>
      <c r="AX3730" s="140"/>
      <c r="BB3730" s="173"/>
      <c r="BC3730" s="173"/>
    </row>
    <row r="3731" spans="2:55" s="134" customFormat="1" x14ac:dyDescent="0.2">
      <c r="B3731" s="145"/>
      <c r="D3731" s="145"/>
      <c r="Z3731" s="177"/>
      <c r="AA3731" s="178"/>
      <c r="AB3731" s="139"/>
      <c r="AC3731" s="173"/>
      <c r="AD3731" s="177"/>
      <c r="AE3731" s="177"/>
      <c r="AF3731" s="139"/>
      <c r="AG3731" s="139"/>
      <c r="AH3731" s="177"/>
      <c r="AI3731" s="178"/>
      <c r="AJ3731" s="139"/>
      <c r="AK3731" s="173"/>
      <c r="AL3731" s="177"/>
      <c r="AM3731" s="178"/>
      <c r="AN3731" s="173"/>
      <c r="AO3731" s="173"/>
      <c r="AP3731" s="173"/>
      <c r="AQ3731" s="178"/>
      <c r="AR3731" s="173"/>
      <c r="AS3731" s="173"/>
      <c r="AT3731" s="140"/>
      <c r="AX3731" s="140"/>
      <c r="BB3731" s="173"/>
      <c r="BC3731" s="173"/>
    </row>
  </sheetData>
  <mergeCells count="19">
    <mergeCell ref="B339:AC339"/>
    <mergeCell ref="AP15:AS15"/>
    <mergeCell ref="AT15:AW15"/>
    <mergeCell ref="AX15:BA15"/>
    <mergeCell ref="BB15:BC15"/>
    <mergeCell ref="B337:I337"/>
    <mergeCell ref="B338:E338"/>
    <mergeCell ref="AL15:AO15"/>
    <mergeCell ref="B9:AC10"/>
    <mergeCell ref="B11:AC11"/>
    <mergeCell ref="Z15:AC15"/>
    <mergeCell ref="AD15:AG15"/>
    <mergeCell ref="AH15:AK15"/>
    <mergeCell ref="B8:AC8"/>
    <mergeCell ref="B1:AC2"/>
    <mergeCell ref="B3:AC4"/>
    <mergeCell ref="B5:AC5"/>
    <mergeCell ref="B6:AC6"/>
    <mergeCell ref="B7:AC7"/>
  </mergeCells>
  <conditionalFormatting sqref="J17:BA17">
    <cfRule type="duplicateValues" dxfId="107" priority="6"/>
  </conditionalFormatting>
  <conditionalFormatting sqref="D17:D93 D217:D294">
    <cfRule type="duplicateValues" dxfId="106" priority="7"/>
  </conditionalFormatting>
  <conditionalFormatting sqref="M17">
    <cfRule type="duplicateValues" dxfId="105" priority="8"/>
  </conditionalFormatting>
  <conditionalFormatting sqref="D297:D304">
    <cfRule type="duplicateValues" dxfId="104" priority="5"/>
  </conditionalFormatting>
  <conditionalFormatting sqref="D295:D296">
    <cfRule type="duplicateValues" dxfId="103" priority="4"/>
  </conditionalFormatting>
  <conditionalFormatting sqref="D320">
    <cfRule type="duplicateValues" dxfId="102" priority="3"/>
  </conditionalFormatting>
  <conditionalFormatting sqref="D305:D319 D321:D333">
    <cfRule type="duplicateValues" dxfId="101" priority="9"/>
  </conditionalFormatting>
  <conditionalFormatting sqref="B334:E334">
    <cfRule type="duplicateValues" dxfId="100" priority="2"/>
  </conditionalFormatting>
  <conditionalFormatting sqref="B335:E336">
    <cfRule type="duplicateValues" dxfId="99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IC706"/>
  <sheetViews>
    <sheetView topLeftCell="AE9" workbookViewId="0">
      <selection activeCell="G13" sqref="G13"/>
    </sheetView>
  </sheetViews>
  <sheetFormatPr baseColWidth="10" defaultRowHeight="11.25" x14ac:dyDescent="0.2"/>
  <cols>
    <col min="1" max="1" width="5" style="134" customWidth="1"/>
    <col min="2" max="2" width="10.140625" style="12" customWidth="1"/>
    <col min="3" max="3" width="9.85546875" style="3" customWidth="1"/>
    <col min="4" max="4" width="11.42578125" style="12" customWidth="1"/>
    <col min="5" max="5" width="37" style="3" customWidth="1"/>
    <col min="6" max="6" width="13.140625" style="3" customWidth="1"/>
    <col min="7" max="7" width="11.28515625" style="3" customWidth="1"/>
    <col min="8" max="8" width="18.85546875" style="3" customWidth="1"/>
    <col min="9" max="9" width="9.7109375" style="3" customWidth="1"/>
    <col min="10" max="10" width="11.5703125" style="3" customWidth="1"/>
    <col min="11" max="26" width="12" style="3" customWidth="1"/>
    <col min="27" max="27" width="10.140625" style="3" customWidth="1"/>
    <col min="28" max="28" width="10.140625" style="7" customWidth="1"/>
    <col min="29" max="30" width="10.140625" style="3" customWidth="1"/>
    <col min="31" max="31" width="11.7109375" style="3" customWidth="1"/>
    <col min="32" max="32" width="10.140625" style="6" customWidth="1"/>
    <col min="33" max="35" width="10.140625" style="3" customWidth="1"/>
    <col min="36" max="36" width="10.140625" style="7" customWidth="1"/>
    <col min="37" max="39" width="10.140625" style="3" customWidth="1"/>
    <col min="40" max="40" width="10.140625" style="7" customWidth="1"/>
    <col min="41" max="43" width="10.140625" style="3" customWidth="1"/>
    <col min="44" max="44" width="10.140625" style="7" customWidth="1"/>
    <col min="45" max="46" width="10.140625" style="3" customWidth="1"/>
    <col min="47" max="48" width="11.42578125" style="3"/>
    <col min="49" max="237" width="11.42578125" style="134"/>
    <col min="238" max="16384" width="11.42578125" style="3"/>
  </cols>
  <sheetData>
    <row r="1" spans="1:237" hidden="1" x14ac:dyDescent="0.2">
      <c r="B1" s="730"/>
      <c r="C1" s="730"/>
      <c r="D1" s="731"/>
      <c r="E1" s="731"/>
      <c r="F1" s="731"/>
      <c r="G1" s="731"/>
      <c r="H1" s="731"/>
      <c r="I1" s="731"/>
      <c r="J1" s="731"/>
      <c r="K1" s="731"/>
      <c r="L1" s="731"/>
      <c r="M1" s="731"/>
      <c r="N1" s="731"/>
      <c r="O1" s="731"/>
      <c r="P1" s="731"/>
      <c r="Q1" s="731"/>
      <c r="R1" s="731"/>
      <c r="S1" s="731"/>
      <c r="T1" s="731"/>
      <c r="U1" s="731"/>
      <c r="V1" s="731"/>
      <c r="W1" s="731"/>
      <c r="X1" s="731"/>
      <c r="Y1" s="731"/>
      <c r="Z1" s="731"/>
      <c r="AA1" s="731"/>
      <c r="AB1" s="731"/>
      <c r="AC1" s="731"/>
      <c r="AD1" s="731"/>
      <c r="AE1" s="62"/>
      <c r="AF1" s="1"/>
      <c r="AG1" s="62"/>
      <c r="AH1" s="62"/>
      <c r="AI1" s="62"/>
      <c r="AJ1" s="2"/>
      <c r="AK1" s="62"/>
      <c r="AL1" s="62"/>
      <c r="AM1" s="62"/>
      <c r="AN1" s="2"/>
      <c r="AO1" s="62"/>
      <c r="AP1" s="62"/>
      <c r="AQ1" s="62"/>
      <c r="AR1" s="2"/>
      <c r="AS1" s="62"/>
      <c r="AT1" s="62"/>
    </row>
    <row r="2" spans="1:237" hidden="1" x14ac:dyDescent="0.2">
      <c r="B2" s="731"/>
      <c r="C2" s="731"/>
      <c r="D2" s="731"/>
      <c r="E2" s="731"/>
      <c r="F2" s="731"/>
      <c r="G2" s="731"/>
      <c r="H2" s="731"/>
      <c r="I2" s="731"/>
      <c r="J2" s="731"/>
      <c r="K2" s="731"/>
      <c r="L2" s="731"/>
      <c r="M2" s="731"/>
      <c r="N2" s="731"/>
      <c r="O2" s="731"/>
      <c r="P2" s="731"/>
      <c r="Q2" s="731"/>
      <c r="R2" s="731"/>
      <c r="S2" s="731"/>
      <c r="T2" s="731"/>
      <c r="U2" s="731"/>
      <c r="V2" s="731"/>
      <c r="W2" s="731"/>
      <c r="X2" s="731"/>
      <c r="Y2" s="731"/>
      <c r="Z2" s="731"/>
      <c r="AA2" s="731"/>
      <c r="AB2" s="731"/>
      <c r="AC2" s="731"/>
      <c r="AD2" s="731"/>
      <c r="AE2" s="62"/>
      <c r="AF2" s="1"/>
      <c r="AG2" s="62"/>
      <c r="AH2" s="62"/>
      <c r="AI2" s="62"/>
      <c r="AJ2" s="2"/>
      <c r="AK2" s="62"/>
      <c r="AL2" s="62"/>
      <c r="AM2" s="62"/>
      <c r="AN2" s="2"/>
      <c r="AO2" s="62"/>
      <c r="AP2" s="62"/>
      <c r="AQ2" s="62"/>
      <c r="AR2" s="2"/>
      <c r="AS2" s="62"/>
      <c r="AT2" s="62"/>
    </row>
    <row r="3" spans="1:237" ht="12.75" hidden="1" customHeight="1" x14ac:dyDescent="0.2">
      <c r="B3" s="729"/>
      <c r="C3" s="729"/>
      <c r="D3" s="729"/>
      <c r="E3" s="729"/>
      <c r="F3" s="729"/>
      <c r="G3" s="729"/>
      <c r="H3" s="729"/>
      <c r="I3" s="729"/>
      <c r="J3" s="729"/>
      <c r="K3" s="729"/>
      <c r="L3" s="729"/>
      <c r="M3" s="729"/>
      <c r="N3" s="729"/>
      <c r="O3" s="729"/>
      <c r="P3" s="729"/>
      <c r="Q3" s="729"/>
      <c r="R3" s="729"/>
      <c r="S3" s="729"/>
      <c r="T3" s="729"/>
      <c r="U3" s="729"/>
      <c r="V3" s="729"/>
      <c r="W3" s="729"/>
      <c r="X3" s="729"/>
      <c r="Y3" s="729"/>
      <c r="Z3" s="729"/>
      <c r="AA3" s="729"/>
      <c r="AB3" s="729"/>
      <c r="AC3" s="729"/>
      <c r="AD3" s="729"/>
      <c r="AE3" s="61"/>
      <c r="AF3" s="4"/>
      <c r="AG3" s="61"/>
      <c r="AH3" s="61"/>
      <c r="AI3" s="61"/>
      <c r="AJ3" s="5"/>
      <c r="AK3" s="61"/>
      <c r="AL3" s="61"/>
      <c r="AM3" s="61"/>
      <c r="AN3" s="5"/>
      <c r="AO3" s="61"/>
      <c r="AP3" s="61"/>
      <c r="AQ3" s="61"/>
      <c r="AR3" s="5"/>
      <c r="AS3" s="61"/>
      <c r="AT3" s="61"/>
    </row>
    <row r="4" spans="1:237" ht="21.75" hidden="1" customHeight="1" x14ac:dyDescent="0.2">
      <c r="B4" s="729"/>
      <c r="C4" s="729"/>
      <c r="D4" s="729"/>
      <c r="E4" s="729"/>
      <c r="F4" s="729"/>
      <c r="G4" s="729"/>
      <c r="H4" s="729"/>
      <c r="I4" s="729"/>
      <c r="J4" s="729"/>
      <c r="K4" s="729"/>
      <c r="L4" s="729"/>
      <c r="M4" s="729"/>
      <c r="N4" s="729"/>
      <c r="O4" s="729"/>
      <c r="P4" s="729"/>
      <c r="Q4" s="729"/>
      <c r="R4" s="729"/>
      <c r="S4" s="729"/>
      <c r="T4" s="729"/>
      <c r="U4" s="729"/>
      <c r="V4" s="729"/>
      <c r="W4" s="729"/>
      <c r="X4" s="729"/>
      <c r="Y4" s="729"/>
      <c r="Z4" s="729"/>
      <c r="AA4" s="729"/>
      <c r="AB4" s="729"/>
      <c r="AC4" s="729"/>
      <c r="AD4" s="729"/>
      <c r="AE4" s="61"/>
      <c r="AF4" s="4"/>
      <c r="AG4" s="61"/>
      <c r="AH4" s="61"/>
      <c r="AI4" s="61"/>
      <c r="AJ4" s="5"/>
      <c r="AK4" s="61"/>
      <c r="AL4" s="61"/>
      <c r="AM4" s="61"/>
      <c r="AN4" s="5"/>
      <c r="AO4" s="61"/>
      <c r="AP4" s="61"/>
      <c r="AQ4" s="61"/>
      <c r="AR4" s="5"/>
      <c r="AS4" s="61"/>
      <c r="AT4" s="61"/>
    </row>
    <row r="5" spans="1:237" ht="11.25" hidden="1" customHeight="1" x14ac:dyDescent="0.2">
      <c r="B5" s="729"/>
      <c r="C5" s="729"/>
      <c r="D5" s="729"/>
      <c r="E5" s="729"/>
      <c r="F5" s="729"/>
      <c r="G5" s="729"/>
      <c r="H5" s="729"/>
      <c r="I5" s="729"/>
      <c r="J5" s="729"/>
      <c r="K5" s="729"/>
      <c r="L5" s="729"/>
      <c r="M5" s="729"/>
      <c r="N5" s="729"/>
      <c r="O5" s="729"/>
      <c r="P5" s="729"/>
      <c r="Q5" s="729"/>
      <c r="R5" s="729"/>
      <c r="S5" s="729"/>
      <c r="T5" s="729"/>
      <c r="U5" s="729"/>
      <c r="V5" s="729"/>
      <c r="W5" s="729"/>
      <c r="X5" s="729"/>
      <c r="Y5" s="729"/>
      <c r="Z5" s="729"/>
      <c r="AA5" s="729"/>
      <c r="AB5" s="729"/>
      <c r="AC5" s="729"/>
      <c r="AD5" s="729"/>
      <c r="AE5" s="61"/>
      <c r="AF5" s="4"/>
      <c r="AG5" s="61"/>
      <c r="AH5" s="61"/>
      <c r="AI5" s="61"/>
      <c r="AJ5" s="5"/>
      <c r="AK5" s="61"/>
      <c r="AL5" s="61"/>
      <c r="AM5" s="61"/>
      <c r="AN5" s="5"/>
      <c r="AO5" s="61"/>
      <c r="AP5" s="61"/>
      <c r="AQ5" s="61"/>
      <c r="AR5" s="5"/>
      <c r="AS5" s="61"/>
      <c r="AT5" s="61"/>
    </row>
    <row r="6" spans="1:237" ht="15" hidden="1" customHeight="1" x14ac:dyDescent="0.2">
      <c r="B6" s="729"/>
      <c r="C6" s="729"/>
      <c r="D6" s="729"/>
      <c r="E6" s="729"/>
      <c r="F6" s="729"/>
      <c r="G6" s="729"/>
      <c r="H6" s="729"/>
      <c r="I6" s="729"/>
      <c r="J6" s="729"/>
      <c r="K6" s="729"/>
      <c r="L6" s="729"/>
      <c r="M6" s="729"/>
      <c r="N6" s="729"/>
      <c r="O6" s="729"/>
      <c r="P6" s="729"/>
      <c r="Q6" s="729"/>
      <c r="R6" s="729"/>
      <c r="S6" s="729"/>
      <c r="T6" s="729"/>
      <c r="U6" s="729"/>
      <c r="V6" s="729"/>
      <c r="W6" s="729"/>
      <c r="X6" s="729"/>
      <c r="Y6" s="729"/>
      <c r="Z6" s="729"/>
      <c r="AA6" s="729"/>
      <c r="AB6" s="729"/>
      <c r="AC6" s="729"/>
      <c r="AD6" s="729"/>
      <c r="AE6" s="61"/>
      <c r="AF6" s="4"/>
      <c r="AG6" s="61"/>
      <c r="AH6" s="61"/>
      <c r="AI6" s="61"/>
      <c r="AJ6" s="5"/>
      <c r="AK6" s="61"/>
      <c r="AL6" s="61"/>
      <c r="AM6" s="61"/>
      <c r="AN6" s="5"/>
      <c r="AO6" s="61"/>
      <c r="AP6" s="61"/>
      <c r="AQ6" s="61"/>
      <c r="AR6" s="5"/>
      <c r="AS6" s="61"/>
      <c r="AT6" s="61"/>
    </row>
    <row r="7" spans="1:237" ht="21" hidden="1" customHeight="1" x14ac:dyDescent="0.2">
      <c r="B7" s="729"/>
      <c r="C7" s="729"/>
      <c r="D7" s="729"/>
      <c r="E7" s="729"/>
      <c r="F7" s="729"/>
      <c r="G7" s="729"/>
      <c r="H7" s="729"/>
      <c r="I7" s="729"/>
      <c r="J7" s="729"/>
      <c r="K7" s="729"/>
      <c r="L7" s="729"/>
      <c r="M7" s="729"/>
      <c r="N7" s="729"/>
      <c r="O7" s="729"/>
      <c r="P7" s="729"/>
      <c r="Q7" s="729"/>
      <c r="R7" s="729"/>
      <c r="S7" s="729"/>
      <c r="T7" s="729"/>
      <c r="U7" s="729"/>
      <c r="V7" s="729"/>
      <c r="W7" s="729"/>
      <c r="X7" s="729"/>
      <c r="Y7" s="729"/>
      <c r="Z7" s="729"/>
      <c r="AA7" s="729"/>
      <c r="AB7" s="729"/>
      <c r="AC7" s="729"/>
      <c r="AD7" s="729"/>
      <c r="AE7" s="61"/>
      <c r="AF7" s="4"/>
      <c r="AG7" s="61"/>
      <c r="AH7" s="61"/>
      <c r="AI7" s="61"/>
      <c r="AJ7" s="5"/>
      <c r="AK7" s="61"/>
      <c r="AL7" s="61"/>
      <c r="AM7" s="61"/>
      <c r="AN7" s="5"/>
      <c r="AO7" s="61"/>
      <c r="AP7" s="61"/>
      <c r="AQ7" s="61"/>
      <c r="AR7" s="5"/>
      <c r="AS7" s="61"/>
      <c r="AT7" s="61"/>
    </row>
    <row r="8" spans="1:237" ht="16.5" hidden="1" customHeight="1" x14ac:dyDescent="0.2">
      <c r="B8" s="729"/>
      <c r="C8" s="729"/>
      <c r="D8" s="729"/>
      <c r="E8" s="729"/>
      <c r="F8" s="729"/>
      <c r="G8" s="729"/>
      <c r="H8" s="729"/>
      <c r="I8" s="729"/>
      <c r="J8" s="729"/>
      <c r="K8" s="729"/>
      <c r="L8" s="729"/>
      <c r="M8" s="729"/>
      <c r="N8" s="729"/>
      <c r="O8" s="729"/>
      <c r="P8" s="729"/>
      <c r="Q8" s="729"/>
      <c r="R8" s="729"/>
      <c r="S8" s="729"/>
      <c r="T8" s="729"/>
      <c r="U8" s="729"/>
      <c r="V8" s="729"/>
      <c r="W8" s="729"/>
      <c r="X8" s="729"/>
      <c r="Y8" s="729"/>
      <c r="Z8" s="729"/>
      <c r="AA8" s="729"/>
      <c r="AB8" s="729"/>
      <c r="AC8" s="729"/>
      <c r="AD8" s="729"/>
      <c r="AE8" s="61"/>
      <c r="AF8" s="4"/>
      <c r="AG8" s="61"/>
      <c r="AH8" s="61"/>
      <c r="AI8" s="61"/>
      <c r="AJ8" s="5"/>
      <c r="AK8" s="61"/>
      <c r="AL8" s="61"/>
      <c r="AM8" s="61"/>
      <c r="AN8" s="5"/>
      <c r="AO8" s="61"/>
      <c r="AP8" s="61"/>
      <c r="AQ8" s="61"/>
      <c r="AR8" s="5"/>
      <c r="AS8" s="61"/>
      <c r="AT8" s="61"/>
    </row>
    <row r="9" spans="1:237" s="134" customFormat="1" ht="18.75" customHeight="1" x14ac:dyDescent="0.2">
      <c r="B9" s="751" t="s">
        <v>0</v>
      </c>
      <c r="C9" s="751"/>
      <c r="D9" s="751"/>
      <c r="E9" s="751"/>
      <c r="F9" s="751"/>
      <c r="G9" s="751"/>
      <c r="H9" s="751"/>
      <c r="I9" s="751"/>
      <c r="J9" s="751"/>
      <c r="K9" s="751"/>
      <c r="L9" s="751"/>
      <c r="M9" s="751"/>
      <c r="N9" s="751"/>
      <c r="O9" s="751"/>
      <c r="P9" s="751"/>
      <c r="Q9" s="751"/>
      <c r="R9" s="751"/>
      <c r="S9" s="751"/>
      <c r="T9" s="751"/>
      <c r="U9" s="751"/>
      <c r="V9" s="751"/>
      <c r="W9" s="751"/>
      <c r="X9" s="751"/>
      <c r="Y9" s="751"/>
      <c r="Z9" s="751"/>
      <c r="AA9" s="751"/>
      <c r="AB9" s="751"/>
      <c r="AC9" s="751"/>
      <c r="AD9" s="751"/>
      <c r="AE9" s="137"/>
      <c r="AF9" s="136"/>
      <c r="AG9" s="137"/>
      <c r="AH9" s="137"/>
      <c r="AI9" s="137"/>
      <c r="AJ9" s="138"/>
      <c r="AK9" s="137"/>
      <c r="AL9" s="137"/>
      <c r="AM9" s="137"/>
      <c r="AN9" s="138"/>
      <c r="AO9" s="137"/>
      <c r="AP9" s="137"/>
      <c r="AQ9" s="137"/>
      <c r="AR9" s="138"/>
      <c r="AS9" s="137"/>
      <c r="AT9" s="137"/>
    </row>
    <row r="10" spans="1:237" s="134" customFormat="1" x14ac:dyDescent="0.2">
      <c r="B10" s="751"/>
      <c r="C10" s="751"/>
      <c r="D10" s="751"/>
      <c r="E10" s="751"/>
      <c r="F10" s="751"/>
      <c r="G10" s="751"/>
      <c r="H10" s="751"/>
      <c r="I10" s="751"/>
      <c r="J10" s="751"/>
      <c r="K10" s="751"/>
      <c r="L10" s="751"/>
      <c r="M10" s="751"/>
      <c r="N10" s="751"/>
      <c r="O10" s="751"/>
      <c r="P10" s="751"/>
      <c r="Q10" s="751"/>
      <c r="R10" s="751"/>
      <c r="S10" s="751"/>
      <c r="T10" s="751"/>
      <c r="U10" s="751"/>
      <c r="V10" s="751"/>
      <c r="W10" s="751"/>
      <c r="X10" s="751"/>
      <c r="Y10" s="751"/>
      <c r="Z10" s="751"/>
      <c r="AA10" s="751"/>
      <c r="AB10" s="751"/>
      <c r="AC10" s="751"/>
      <c r="AD10" s="751"/>
      <c r="AF10" s="140"/>
      <c r="AJ10" s="141"/>
      <c r="AN10" s="141"/>
      <c r="AR10" s="141"/>
    </row>
    <row r="11" spans="1:237" s="134" customFormat="1" ht="18.75" x14ac:dyDescent="0.2">
      <c r="B11" s="142"/>
      <c r="C11" s="142"/>
      <c r="D11" s="142"/>
      <c r="E11" s="142"/>
      <c r="F11" s="142"/>
      <c r="G11" s="142"/>
      <c r="H11" s="142"/>
      <c r="I11" s="142"/>
      <c r="J11" s="142"/>
      <c r="K11" s="142"/>
      <c r="L11" s="142"/>
      <c r="M11" s="142"/>
      <c r="N11" s="142"/>
      <c r="O11" s="142"/>
      <c r="P11" s="142"/>
      <c r="Q11" s="142"/>
      <c r="R11" s="142"/>
      <c r="S11" s="142"/>
      <c r="T11" s="142"/>
      <c r="U11" s="142"/>
      <c r="V11" s="142"/>
      <c r="W11" s="142"/>
      <c r="X11" s="142"/>
      <c r="Y11" s="142"/>
      <c r="Z11" s="142"/>
      <c r="AA11" s="142"/>
      <c r="AB11" s="142"/>
      <c r="AC11" s="142"/>
      <c r="AD11" s="142"/>
      <c r="AF11" s="140"/>
      <c r="AJ11" s="141"/>
      <c r="AN11" s="141"/>
      <c r="AR11" s="141"/>
    </row>
    <row r="12" spans="1:237" ht="22.5" x14ac:dyDescent="0.2">
      <c r="B12" s="8" t="s">
        <v>1</v>
      </c>
      <c r="C12" s="8" t="s">
        <v>2</v>
      </c>
      <c r="D12" s="9" t="s">
        <v>3</v>
      </c>
      <c r="E12" s="10" t="s">
        <v>4</v>
      </c>
      <c r="F12" s="119"/>
      <c r="G12" s="142"/>
      <c r="H12" s="142"/>
      <c r="I12" s="142"/>
      <c r="J12" s="142"/>
      <c r="K12" s="142"/>
      <c r="L12" s="142"/>
      <c r="M12" s="142"/>
      <c r="N12" s="142"/>
      <c r="O12" s="142"/>
      <c r="P12" s="142"/>
      <c r="Q12" s="142"/>
      <c r="R12" s="142"/>
      <c r="S12" s="142"/>
      <c r="T12" s="142"/>
      <c r="U12" s="142"/>
      <c r="V12" s="142"/>
      <c r="W12" s="142"/>
      <c r="X12" s="142"/>
      <c r="Y12" s="142"/>
      <c r="Z12" s="142"/>
      <c r="AA12" s="142"/>
      <c r="AB12" s="142"/>
      <c r="AC12" s="142"/>
      <c r="AD12" s="142"/>
      <c r="AE12" s="134"/>
      <c r="AF12" s="140"/>
      <c r="AG12" s="134"/>
      <c r="AH12" s="134"/>
      <c r="AI12" s="134"/>
      <c r="AJ12" s="141"/>
      <c r="AK12" s="134"/>
      <c r="AL12" s="134"/>
      <c r="AM12" s="134"/>
      <c r="AN12" s="141"/>
      <c r="AO12" s="134"/>
      <c r="AP12" s="134"/>
      <c r="AQ12" s="134"/>
      <c r="AR12" s="141"/>
      <c r="AS12" s="134"/>
      <c r="AT12" s="134"/>
      <c r="AU12" s="134"/>
      <c r="AV12" s="134"/>
    </row>
    <row r="13" spans="1:237" ht="18.75" x14ac:dyDescent="0.2">
      <c r="B13" s="11">
        <v>30425612</v>
      </c>
      <c r="C13" s="11">
        <v>30425612</v>
      </c>
      <c r="D13" s="11">
        <v>30425612</v>
      </c>
      <c r="E13" s="11">
        <f>+Z137</f>
        <v>12006063.761999998</v>
      </c>
      <c r="F13" s="144"/>
      <c r="G13" s="142"/>
      <c r="H13" s="142"/>
      <c r="I13" s="142"/>
      <c r="J13" s="142"/>
      <c r="K13" s="142"/>
      <c r="L13" s="142"/>
      <c r="M13" s="142"/>
      <c r="N13" s="142"/>
      <c r="O13" s="142"/>
      <c r="P13" s="142"/>
      <c r="Q13" s="142"/>
      <c r="R13" s="142"/>
      <c r="S13" s="142"/>
      <c r="T13" s="142"/>
      <c r="U13" s="142"/>
      <c r="V13" s="142"/>
      <c r="W13" s="142"/>
      <c r="X13" s="142"/>
      <c r="Y13" s="142"/>
      <c r="Z13" s="142"/>
      <c r="AA13" s="142"/>
      <c r="AB13" s="142"/>
      <c r="AC13" s="142"/>
      <c r="AD13" s="142"/>
      <c r="AE13" s="134"/>
      <c r="AF13" s="140"/>
      <c r="AG13" s="134"/>
      <c r="AH13" s="134"/>
      <c r="AI13" s="134"/>
      <c r="AJ13" s="141"/>
      <c r="AK13" s="134"/>
      <c r="AL13" s="134"/>
      <c r="AM13" s="134"/>
      <c r="AN13" s="141"/>
      <c r="AO13" s="134"/>
      <c r="AP13" s="134"/>
      <c r="AQ13" s="134"/>
      <c r="AR13" s="141"/>
      <c r="AS13" s="134"/>
      <c r="AT13" s="134"/>
      <c r="AU13" s="134"/>
      <c r="AV13" s="134"/>
    </row>
    <row r="14" spans="1:237" ht="15" customHeight="1" x14ac:dyDescent="0.2">
      <c r="C14" s="13"/>
      <c r="D14" s="14"/>
      <c r="E14" s="13"/>
      <c r="F14" s="146"/>
      <c r="G14" s="134"/>
      <c r="H14" s="134"/>
      <c r="I14" s="134"/>
      <c r="J14" s="134"/>
      <c r="K14" s="134"/>
      <c r="L14" s="134"/>
      <c r="M14" s="134"/>
      <c r="N14" s="134"/>
      <c r="O14" s="134"/>
      <c r="P14" s="134"/>
      <c r="Q14" s="134"/>
      <c r="R14" s="134"/>
      <c r="S14" s="134"/>
      <c r="T14" s="134"/>
      <c r="U14" s="134"/>
      <c r="V14" s="134"/>
      <c r="W14" s="134"/>
      <c r="X14" s="134"/>
      <c r="Y14" s="134"/>
      <c r="Z14" s="134"/>
      <c r="AA14" s="736" t="s">
        <v>5</v>
      </c>
      <c r="AB14" s="737"/>
      <c r="AC14" s="737"/>
      <c r="AD14" s="738"/>
      <c r="AE14" s="739" t="s">
        <v>6</v>
      </c>
      <c r="AF14" s="740"/>
      <c r="AG14" s="740"/>
      <c r="AH14" s="741"/>
      <c r="AI14" s="739" t="s">
        <v>6</v>
      </c>
      <c r="AJ14" s="740"/>
      <c r="AK14" s="740"/>
      <c r="AL14" s="741"/>
      <c r="AM14" s="739" t="s">
        <v>6</v>
      </c>
      <c r="AN14" s="740"/>
      <c r="AO14" s="740"/>
      <c r="AP14" s="741"/>
      <c r="AQ14" s="739" t="s">
        <v>6</v>
      </c>
      <c r="AR14" s="740"/>
      <c r="AS14" s="740"/>
      <c r="AT14" s="741"/>
      <c r="AU14" s="723" t="s">
        <v>7</v>
      </c>
      <c r="AV14" s="723"/>
    </row>
    <row r="15" spans="1:237" s="15" customFormat="1" ht="55.5" customHeight="1" x14ac:dyDescent="0.25">
      <c r="A15" s="148"/>
      <c r="B15" s="81" t="s">
        <v>8</v>
      </c>
      <c r="C15" s="81" t="s">
        <v>9</v>
      </c>
      <c r="D15" s="81" t="s">
        <v>10</v>
      </c>
      <c r="E15" s="83" t="s">
        <v>11</v>
      </c>
      <c r="F15" s="83" t="s">
        <v>12</v>
      </c>
      <c r="G15" s="83" t="s">
        <v>13</v>
      </c>
      <c r="H15" s="83" t="s">
        <v>14</v>
      </c>
      <c r="I15" s="83" t="s">
        <v>122</v>
      </c>
      <c r="J15" s="83" t="s">
        <v>15</v>
      </c>
      <c r="K15" s="83" t="s">
        <v>16</v>
      </c>
      <c r="L15" s="83" t="s">
        <v>2848</v>
      </c>
      <c r="M15" s="83" t="s">
        <v>17</v>
      </c>
      <c r="N15" s="121" t="s">
        <v>18</v>
      </c>
      <c r="O15" s="121" t="s">
        <v>19</v>
      </c>
      <c r="P15" s="121" t="s">
        <v>20</v>
      </c>
      <c r="Q15" s="121" t="s">
        <v>21</v>
      </c>
      <c r="R15" s="121" t="s">
        <v>22</v>
      </c>
      <c r="S15" s="166" t="s">
        <v>23</v>
      </c>
      <c r="T15" s="166" t="s">
        <v>24</v>
      </c>
      <c r="U15" s="166" t="s">
        <v>25</v>
      </c>
      <c r="V15" s="166" t="s">
        <v>26</v>
      </c>
      <c r="W15" s="166" t="s">
        <v>27</v>
      </c>
      <c r="X15" s="166" t="s">
        <v>28</v>
      </c>
      <c r="Y15" s="166" t="s">
        <v>29</v>
      </c>
      <c r="Z15" s="123" t="s">
        <v>30</v>
      </c>
      <c r="AA15" s="658" t="s">
        <v>31</v>
      </c>
      <c r="AB15" s="86" t="s">
        <v>32</v>
      </c>
      <c r="AC15" s="85" t="s">
        <v>33</v>
      </c>
      <c r="AD15" s="85" t="s">
        <v>34</v>
      </c>
      <c r="AE15" s="629" t="s">
        <v>35</v>
      </c>
      <c r="AF15" s="659" t="s">
        <v>32</v>
      </c>
      <c r="AG15" s="629" t="s">
        <v>33</v>
      </c>
      <c r="AH15" s="629" t="s">
        <v>34</v>
      </c>
      <c r="AI15" s="629" t="s">
        <v>35</v>
      </c>
      <c r="AJ15" s="659" t="s">
        <v>32</v>
      </c>
      <c r="AK15" s="629" t="s">
        <v>33</v>
      </c>
      <c r="AL15" s="629" t="s">
        <v>34</v>
      </c>
      <c r="AM15" s="629" t="s">
        <v>35</v>
      </c>
      <c r="AN15" s="659" t="s">
        <v>32</v>
      </c>
      <c r="AO15" s="629" t="s">
        <v>33</v>
      </c>
      <c r="AP15" s="629" t="s">
        <v>34</v>
      </c>
      <c r="AQ15" s="629" t="s">
        <v>35</v>
      </c>
      <c r="AR15" s="659" t="s">
        <v>32</v>
      </c>
      <c r="AS15" s="629" t="s">
        <v>33</v>
      </c>
      <c r="AT15" s="629" t="s">
        <v>34</v>
      </c>
      <c r="AU15" s="89" t="s">
        <v>36</v>
      </c>
      <c r="AV15" s="89" t="s">
        <v>37</v>
      </c>
      <c r="AW15" s="148"/>
      <c r="AX15" s="148"/>
      <c r="AY15" s="148"/>
      <c r="AZ15" s="148"/>
      <c r="BA15" s="148"/>
      <c r="BB15" s="148"/>
      <c r="BC15" s="148"/>
      <c r="BD15" s="148"/>
      <c r="BE15" s="148"/>
      <c r="BF15" s="148"/>
      <c r="BG15" s="148"/>
      <c r="BH15" s="148"/>
      <c r="BI15" s="148"/>
      <c r="BJ15" s="148"/>
      <c r="BK15" s="148"/>
      <c r="BL15" s="148"/>
      <c r="BM15" s="148"/>
      <c r="BN15" s="148"/>
      <c r="BO15" s="148"/>
      <c r="BP15" s="148"/>
      <c r="BQ15" s="148"/>
      <c r="BR15" s="148"/>
      <c r="BS15" s="148"/>
      <c r="BT15" s="148"/>
      <c r="BU15" s="148"/>
      <c r="BV15" s="148"/>
      <c r="BW15" s="148"/>
      <c r="BX15" s="148"/>
      <c r="BY15" s="148"/>
      <c r="BZ15" s="148"/>
      <c r="CA15" s="148"/>
      <c r="CB15" s="148"/>
      <c r="CC15" s="148"/>
      <c r="CD15" s="148"/>
      <c r="CE15" s="148"/>
      <c r="CF15" s="148"/>
      <c r="CG15" s="148"/>
      <c r="CH15" s="148"/>
      <c r="CI15" s="148"/>
      <c r="CJ15" s="148"/>
      <c r="CK15" s="148"/>
      <c r="CL15" s="148"/>
      <c r="CM15" s="148"/>
      <c r="CN15" s="148"/>
      <c r="CO15" s="148"/>
      <c r="CP15" s="148"/>
      <c r="CQ15" s="148"/>
      <c r="CR15" s="148"/>
      <c r="CS15" s="148"/>
      <c r="CT15" s="148"/>
      <c r="CU15" s="148"/>
      <c r="CV15" s="148"/>
      <c r="CW15" s="148"/>
      <c r="CX15" s="148"/>
      <c r="CY15" s="148"/>
      <c r="CZ15" s="148"/>
      <c r="DA15" s="148"/>
      <c r="DB15" s="148"/>
      <c r="DC15" s="148"/>
      <c r="DD15" s="148"/>
      <c r="DE15" s="148"/>
      <c r="DF15" s="148"/>
      <c r="DG15" s="148"/>
      <c r="DH15" s="148"/>
      <c r="DI15" s="148"/>
      <c r="DJ15" s="148"/>
      <c r="DK15" s="148"/>
      <c r="DL15" s="148"/>
      <c r="DM15" s="148"/>
      <c r="DN15" s="148"/>
      <c r="DO15" s="148"/>
      <c r="DP15" s="148"/>
      <c r="DQ15" s="148"/>
      <c r="DR15" s="148"/>
      <c r="DS15" s="148"/>
      <c r="DT15" s="148"/>
      <c r="DU15" s="148"/>
      <c r="DV15" s="148"/>
      <c r="DW15" s="148"/>
      <c r="DX15" s="148"/>
      <c r="DY15" s="148"/>
      <c r="DZ15" s="148"/>
      <c r="EA15" s="148"/>
      <c r="EB15" s="148"/>
      <c r="EC15" s="148"/>
      <c r="ED15" s="148"/>
      <c r="EE15" s="148"/>
      <c r="EF15" s="148"/>
      <c r="EG15" s="148"/>
      <c r="EH15" s="148"/>
      <c r="EI15" s="148"/>
      <c r="EJ15" s="148"/>
      <c r="EK15" s="148"/>
      <c r="EL15" s="148"/>
      <c r="EM15" s="148"/>
      <c r="EN15" s="148"/>
      <c r="EO15" s="148"/>
      <c r="EP15" s="148"/>
      <c r="EQ15" s="148"/>
      <c r="ER15" s="148"/>
      <c r="ES15" s="148"/>
      <c r="ET15" s="148"/>
      <c r="EU15" s="148"/>
      <c r="EV15" s="148"/>
      <c r="EW15" s="148"/>
      <c r="EX15" s="148"/>
      <c r="EY15" s="148"/>
      <c r="EZ15" s="148"/>
      <c r="FA15" s="148"/>
      <c r="FB15" s="148"/>
      <c r="FC15" s="148"/>
      <c r="FD15" s="148"/>
      <c r="FE15" s="148"/>
      <c r="FF15" s="148"/>
      <c r="FG15" s="148"/>
      <c r="FH15" s="148"/>
      <c r="FI15" s="148"/>
      <c r="FJ15" s="148"/>
      <c r="FK15" s="148"/>
      <c r="FL15" s="148"/>
      <c r="FM15" s="148"/>
      <c r="FN15" s="148"/>
      <c r="FO15" s="148"/>
      <c r="FP15" s="148"/>
      <c r="FQ15" s="148"/>
      <c r="FR15" s="148"/>
      <c r="FS15" s="148"/>
      <c r="FT15" s="148"/>
      <c r="FU15" s="148"/>
      <c r="FV15" s="148"/>
      <c r="FW15" s="148"/>
      <c r="FX15" s="148"/>
      <c r="FY15" s="148"/>
      <c r="FZ15" s="148"/>
      <c r="GA15" s="148"/>
      <c r="GB15" s="148"/>
      <c r="GC15" s="148"/>
      <c r="GD15" s="148"/>
      <c r="GE15" s="148"/>
      <c r="GF15" s="148"/>
      <c r="GG15" s="148"/>
      <c r="GH15" s="148"/>
      <c r="GI15" s="148"/>
      <c r="GJ15" s="148"/>
      <c r="GK15" s="148"/>
      <c r="GL15" s="148"/>
      <c r="GM15" s="148"/>
      <c r="GN15" s="148"/>
      <c r="GO15" s="148"/>
      <c r="GP15" s="148"/>
      <c r="GQ15" s="148"/>
      <c r="GR15" s="148"/>
      <c r="GS15" s="148"/>
      <c r="GT15" s="148"/>
      <c r="GU15" s="148"/>
      <c r="GV15" s="148"/>
      <c r="GW15" s="148"/>
      <c r="GX15" s="148"/>
      <c r="GY15" s="148"/>
      <c r="GZ15" s="148"/>
      <c r="HA15" s="148"/>
      <c r="HB15" s="148"/>
      <c r="HC15" s="148"/>
      <c r="HD15" s="148"/>
      <c r="HE15" s="148"/>
      <c r="HF15" s="148"/>
      <c r="HG15" s="148"/>
      <c r="HH15" s="148"/>
      <c r="HI15" s="148"/>
      <c r="HJ15" s="148"/>
      <c r="HK15" s="148"/>
      <c r="HL15" s="148"/>
      <c r="HM15" s="148"/>
      <c r="HN15" s="148"/>
      <c r="HO15" s="148"/>
      <c r="HP15" s="148"/>
      <c r="HQ15" s="148"/>
      <c r="HR15" s="148"/>
      <c r="HS15" s="148"/>
      <c r="HT15" s="148"/>
      <c r="HU15" s="148"/>
      <c r="HV15" s="148"/>
      <c r="HW15" s="148"/>
      <c r="HX15" s="148"/>
      <c r="HY15" s="148"/>
      <c r="HZ15" s="148"/>
      <c r="IA15" s="148"/>
      <c r="IB15" s="148"/>
      <c r="IC15" s="148"/>
    </row>
    <row r="16" spans="1:237" s="15" customFormat="1" ht="22.5" x14ac:dyDescent="0.25">
      <c r="A16" s="148"/>
      <c r="B16" s="307">
        <v>1</v>
      </c>
      <c r="C16" s="307" t="s">
        <v>40</v>
      </c>
      <c r="D16" s="450">
        <v>30125606</v>
      </c>
      <c r="E16" s="577" t="s">
        <v>2849</v>
      </c>
      <c r="F16" s="577" t="s">
        <v>200</v>
      </c>
      <c r="G16" s="533" t="s">
        <v>1902</v>
      </c>
      <c r="H16" s="533" t="s">
        <v>2850</v>
      </c>
      <c r="I16" s="534" t="s">
        <v>42</v>
      </c>
      <c r="J16" s="535">
        <v>41497</v>
      </c>
      <c r="K16" s="535">
        <v>34497</v>
      </c>
      <c r="L16" s="535">
        <v>0</v>
      </c>
      <c r="M16" s="535">
        <v>0</v>
      </c>
      <c r="N16" s="535">
        <v>0</v>
      </c>
      <c r="O16" s="535">
        <v>0</v>
      </c>
      <c r="P16" s="535">
        <v>0</v>
      </c>
      <c r="Q16" s="535">
        <v>0</v>
      </c>
      <c r="R16" s="535">
        <v>0</v>
      </c>
      <c r="S16" s="535">
        <v>0</v>
      </c>
      <c r="T16" s="535"/>
      <c r="U16" s="535"/>
      <c r="V16" s="535"/>
      <c r="W16" s="535"/>
      <c r="X16" s="535"/>
      <c r="Y16" s="535"/>
      <c r="Z16" s="660">
        <f>SUM(N16:Y16)</f>
        <v>0</v>
      </c>
      <c r="AA16" s="591">
        <v>7000</v>
      </c>
      <c r="AB16" s="558">
        <v>2</v>
      </c>
      <c r="AC16" s="545">
        <v>44209</v>
      </c>
      <c r="AD16" s="542">
        <v>44249</v>
      </c>
      <c r="AE16" s="454"/>
      <c r="AF16" s="459"/>
      <c r="AG16" s="457"/>
      <c r="AH16" s="458"/>
      <c r="AI16" s="454"/>
      <c r="AJ16" s="456"/>
      <c r="AK16" s="460"/>
      <c r="AL16" s="458"/>
      <c r="AM16" s="454"/>
      <c r="AN16" s="456"/>
      <c r="AO16" s="460"/>
      <c r="AP16" s="458"/>
      <c r="AQ16" s="454"/>
      <c r="AR16" s="456"/>
      <c r="AS16" s="460"/>
      <c r="AT16" s="458"/>
      <c r="AU16" s="22">
        <f t="shared" ref="AU16:AU122" si="0">+AA16+AE16+AI16+AM16+AQ16</f>
        <v>7000</v>
      </c>
      <c r="AV16" s="546">
        <f t="shared" ref="AV16:AV122" si="1">+AU16-Z16</f>
        <v>7000</v>
      </c>
      <c r="AW16" s="148"/>
      <c r="AX16" s="148"/>
      <c r="AY16" s="148"/>
      <c r="AZ16" s="148"/>
      <c r="BA16" s="148"/>
      <c r="BB16" s="148"/>
      <c r="BC16" s="148"/>
      <c r="BD16" s="148"/>
      <c r="BE16" s="148"/>
      <c r="BF16" s="148"/>
      <c r="BG16" s="148"/>
      <c r="BH16" s="148"/>
      <c r="BI16" s="148"/>
      <c r="BJ16" s="148"/>
      <c r="BK16" s="148"/>
      <c r="BL16" s="148"/>
      <c r="BM16" s="148"/>
      <c r="BN16" s="148"/>
      <c r="BO16" s="148"/>
      <c r="BP16" s="148"/>
      <c r="BQ16" s="148"/>
      <c r="BR16" s="148"/>
      <c r="BS16" s="148"/>
      <c r="BT16" s="148"/>
      <c r="BU16" s="148"/>
      <c r="BV16" s="148"/>
      <c r="BW16" s="148"/>
      <c r="BX16" s="148"/>
      <c r="BY16" s="148"/>
      <c r="BZ16" s="148"/>
      <c r="CA16" s="148"/>
      <c r="CB16" s="148"/>
      <c r="CC16" s="148"/>
      <c r="CD16" s="148"/>
      <c r="CE16" s="148"/>
      <c r="CF16" s="148"/>
      <c r="CG16" s="148"/>
      <c r="CH16" s="148"/>
      <c r="CI16" s="148"/>
      <c r="CJ16" s="148"/>
      <c r="CK16" s="148"/>
      <c r="CL16" s="148"/>
      <c r="CM16" s="148"/>
      <c r="CN16" s="148"/>
      <c r="CO16" s="148"/>
      <c r="CP16" s="148"/>
      <c r="CQ16" s="148"/>
      <c r="CR16" s="148"/>
      <c r="CS16" s="148"/>
      <c r="CT16" s="148"/>
      <c r="CU16" s="148"/>
      <c r="CV16" s="148"/>
      <c r="CW16" s="148"/>
      <c r="CX16" s="148"/>
      <c r="CY16" s="148"/>
      <c r="CZ16" s="148"/>
      <c r="DA16" s="148"/>
      <c r="DB16" s="148"/>
      <c r="DC16" s="148"/>
      <c r="DD16" s="148"/>
      <c r="DE16" s="148"/>
      <c r="DF16" s="148"/>
      <c r="DG16" s="148"/>
      <c r="DH16" s="148"/>
      <c r="DI16" s="148"/>
      <c r="DJ16" s="148"/>
      <c r="DK16" s="148"/>
      <c r="DL16" s="148"/>
      <c r="DM16" s="148"/>
      <c r="DN16" s="148"/>
      <c r="DO16" s="148"/>
      <c r="DP16" s="148"/>
      <c r="DQ16" s="148"/>
      <c r="DR16" s="148"/>
      <c r="DS16" s="148"/>
      <c r="DT16" s="148"/>
      <c r="DU16" s="148"/>
      <c r="DV16" s="148"/>
      <c r="DW16" s="148"/>
      <c r="DX16" s="148"/>
      <c r="DY16" s="148"/>
      <c r="DZ16" s="148"/>
      <c r="EA16" s="148"/>
      <c r="EB16" s="148"/>
      <c r="EC16" s="148"/>
      <c r="ED16" s="148"/>
      <c r="EE16" s="148"/>
      <c r="EF16" s="148"/>
      <c r="EG16" s="148"/>
      <c r="EH16" s="148"/>
      <c r="EI16" s="148"/>
      <c r="EJ16" s="148"/>
      <c r="EK16" s="148"/>
      <c r="EL16" s="148"/>
      <c r="EM16" s="148"/>
      <c r="EN16" s="148"/>
      <c r="EO16" s="148"/>
      <c r="EP16" s="148"/>
      <c r="EQ16" s="148"/>
      <c r="ER16" s="148"/>
      <c r="ES16" s="148"/>
      <c r="ET16" s="148"/>
      <c r="EU16" s="148"/>
      <c r="EV16" s="148"/>
      <c r="EW16" s="148"/>
      <c r="EX16" s="148"/>
      <c r="EY16" s="148"/>
      <c r="EZ16" s="148"/>
      <c r="FA16" s="148"/>
      <c r="FB16" s="148"/>
      <c r="FC16" s="148"/>
      <c r="FD16" s="148"/>
      <c r="FE16" s="148"/>
      <c r="FF16" s="148"/>
      <c r="FG16" s="148"/>
      <c r="FH16" s="148"/>
      <c r="FI16" s="148"/>
      <c r="FJ16" s="148"/>
      <c r="FK16" s="148"/>
      <c r="FL16" s="148"/>
      <c r="FM16" s="148"/>
      <c r="FN16" s="148"/>
      <c r="FO16" s="148"/>
      <c r="FP16" s="148"/>
      <c r="FQ16" s="148"/>
      <c r="FR16" s="148"/>
      <c r="FS16" s="148"/>
      <c r="FT16" s="148"/>
      <c r="FU16" s="148"/>
      <c r="FV16" s="148"/>
      <c r="FW16" s="148"/>
      <c r="FX16" s="148"/>
      <c r="FY16" s="148"/>
      <c r="FZ16" s="148"/>
      <c r="GA16" s="148"/>
      <c r="GB16" s="148"/>
      <c r="GC16" s="148"/>
      <c r="GD16" s="148"/>
      <c r="GE16" s="148"/>
      <c r="GF16" s="148"/>
      <c r="GG16" s="148"/>
      <c r="GH16" s="148"/>
      <c r="GI16" s="148"/>
      <c r="GJ16" s="148"/>
      <c r="GK16" s="148"/>
      <c r="GL16" s="148"/>
      <c r="GM16" s="148"/>
      <c r="GN16" s="148"/>
      <c r="GO16" s="148"/>
      <c r="GP16" s="148"/>
      <c r="GQ16" s="148"/>
      <c r="GR16" s="148"/>
      <c r="GS16" s="148"/>
      <c r="GT16" s="148"/>
      <c r="GU16" s="148"/>
      <c r="GV16" s="148"/>
      <c r="GW16" s="148"/>
      <c r="GX16" s="148"/>
      <c r="GY16" s="148"/>
      <c r="GZ16" s="148"/>
      <c r="HA16" s="148"/>
      <c r="HB16" s="148"/>
      <c r="HC16" s="148"/>
      <c r="HD16" s="148"/>
      <c r="HE16" s="148"/>
      <c r="HF16" s="148"/>
      <c r="HG16" s="148"/>
      <c r="HH16" s="148"/>
      <c r="HI16" s="148"/>
      <c r="HJ16" s="148"/>
      <c r="HK16" s="148"/>
      <c r="HL16" s="148"/>
      <c r="HM16" s="148"/>
      <c r="HN16" s="148"/>
      <c r="HO16" s="148"/>
      <c r="HP16" s="148"/>
      <c r="HQ16" s="148"/>
      <c r="HR16" s="148"/>
      <c r="HS16" s="148"/>
      <c r="HT16" s="148"/>
      <c r="HU16" s="148"/>
      <c r="HV16" s="148"/>
      <c r="HW16" s="148"/>
      <c r="HX16" s="148"/>
      <c r="HY16" s="148"/>
      <c r="HZ16" s="148"/>
      <c r="IA16" s="148"/>
      <c r="IB16" s="148"/>
      <c r="IC16" s="148"/>
    </row>
    <row r="17" spans="1:237" s="148" customFormat="1" ht="22.5" x14ac:dyDescent="0.25">
      <c r="B17" s="149">
        <v>2</v>
      </c>
      <c r="C17" s="149" t="s">
        <v>40</v>
      </c>
      <c r="D17" s="450">
        <v>40013851</v>
      </c>
      <c r="E17" s="451" t="s">
        <v>2851</v>
      </c>
      <c r="F17" s="451" t="s">
        <v>200</v>
      </c>
      <c r="G17" s="452" t="s">
        <v>1902</v>
      </c>
      <c r="H17" s="452" t="s">
        <v>226</v>
      </c>
      <c r="I17" s="453" t="s">
        <v>43</v>
      </c>
      <c r="J17" s="454">
        <v>241500</v>
      </c>
      <c r="K17" s="454">
        <v>0</v>
      </c>
      <c r="L17" s="454">
        <v>241499</v>
      </c>
      <c r="M17" s="454">
        <v>65775</v>
      </c>
      <c r="N17" s="454">
        <v>0</v>
      </c>
      <c r="O17" s="454">
        <v>0</v>
      </c>
      <c r="P17" s="454">
        <v>0</v>
      </c>
      <c r="Q17" s="535">
        <v>0</v>
      </c>
      <c r="R17" s="535">
        <v>0</v>
      </c>
      <c r="S17" s="535">
        <v>0</v>
      </c>
      <c r="T17" s="454"/>
      <c r="U17" s="454"/>
      <c r="V17" s="454"/>
      <c r="W17" s="454"/>
      <c r="X17" s="454"/>
      <c r="Y17" s="454"/>
      <c r="Z17" s="660">
        <f t="shared" ref="Z17:Z80" si="2">SUM(N17:Y17)</f>
        <v>0</v>
      </c>
      <c r="AA17" s="454">
        <v>1</v>
      </c>
      <c r="AB17" s="456">
        <v>2</v>
      </c>
      <c r="AC17" s="457">
        <v>44209</v>
      </c>
      <c r="AD17" s="458">
        <v>44249</v>
      </c>
      <c r="AE17" s="454"/>
      <c r="AF17" s="459"/>
      <c r="AG17" s="460"/>
      <c r="AH17" s="458"/>
      <c r="AI17" s="454"/>
      <c r="AJ17" s="456"/>
      <c r="AK17" s="460"/>
      <c r="AL17" s="458"/>
      <c r="AM17" s="454"/>
      <c r="AN17" s="456"/>
      <c r="AO17" s="460"/>
      <c r="AP17" s="458"/>
      <c r="AQ17" s="454"/>
      <c r="AR17" s="456"/>
      <c r="AS17" s="460"/>
      <c r="AT17" s="458"/>
      <c r="AU17" s="154">
        <f t="shared" si="0"/>
        <v>1</v>
      </c>
      <c r="AV17" s="461">
        <f t="shared" si="1"/>
        <v>1</v>
      </c>
    </row>
    <row r="18" spans="1:237" s="15" customFormat="1" ht="22.5" x14ac:dyDescent="0.25">
      <c r="A18" s="148"/>
      <c r="B18" s="307">
        <v>3</v>
      </c>
      <c r="C18" s="307" t="s">
        <v>38</v>
      </c>
      <c r="D18" s="450">
        <v>30062671</v>
      </c>
      <c r="E18" s="577" t="s">
        <v>2852</v>
      </c>
      <c r="F18" s="577" t="s">
        <v>897</v>
      </c>
      <c r="G18" s="533" t="s">
        <v>1902</v>
      </c>
      <c r="H18" s="533" t="s">
        <v>2853</v>
      </c>
      <c r="I18" s="534" t="s">
        <v>42</v>
      </c>
      <c r="J18" s="535">
        <v>1777543</v>
      </c>
      <c r="K18" s="535">
        <v>1761742</v>
      </c>
      <c r="L18" s="535">
        <v>236524</v>
      </c>
      <c r="M18" s="535">
        <v>0</v>
      </c>
      <c r="N18" s="454">
        <v>5078.34</v>
      </c>
      <c r="O18" s="454">
        <v>9407.2279999999992</v>
      </c>
      <c r="P18" s="535">
        <v>0</v>
      </c>
      <c r="Q18" s="535">
        <v>0</v>
      </c>
      <c r="R18" s="535">
        <v>0</v>
      </c>
      <c r="S18" s="535">
        <v>0</v>
      </c>
      <c r="T18" s="535"/>
      <c r="U18" s="535"/>
      <c r="V18" s="535"/>
      <c r="W18" s="535"/>
      <c r="X18" s="535"/>
      <c r="Y18" s="535"/>
      <c r="Z18" s="660">
        <f t="shared" si="2"/>
        <v>14485.567999999999</v>
      </c>
      <c r="AA18" s="535">
        <v>16156</v>
      </c>
      <c r="AB18" s="590">
        <v>1</v>
      </c>
      <c r="AC18" s="551">
        <v>44201</v>
      </c>
      <c r="AD18" s="552">
        <v>44229</v>
      </c>
      <c r="AE18" s="464"/>
      <c r="AF18" s="459"/>
      <c r="AG18" s="457"/>
      <c r="AH18" s="458"/>
      <c r="AI18" s="464"/>
      <c r="AJ18" s="456"/>
      <c r="AK18" s="457"/>
      <c r="AL18" s="458"/>
      <c r="AM18" s="464"/>
      <c r="AN18" s="456"/>
      <c r="AO18" s="457"/>
      <c r="AP18" s="458"/>
      <c r="AQ18" s="464"/>
      <c r="AR18" s="456"/>
      <c r="AS18" s="457"/>
      <c r="AT18" s="458"/>
      <c r="AU18" s="22">
        <f>+AA18+AE18+AI18+AM18+AQ18</f>
        <v>16156</v>
      </c>
      <c r="AV18" s="546">
        <f>+AU18-Z18</f>
        <v>1670.4320000000007</v>
      </c>
      <c r="AW18" s="148"/>
      <c r="AX18" s="148"/>
      <c r="AY18" s="148"/>
      <c r="AZ18" s="148"/>
      <c r="BA18" s="148"/>
      <c r="BB18" s="148"/>
      <c r="BC18" s="148"/>
      <c r="BD18" s="148"/>
      <c r="BE18" s="148"/>
      <c r="BF18" s="148"/>
      <c r="BG18" s="148"/>
      <c r="BH18" s="148"/>
      <c r="BI18" s="148"/>
      <c r="BJ18" s="148"/>
      <c r="BK18" s="148"/>
      <c r="BL18" s="148"/>
      <c r="BM18" s="148"/>
      <c r="BN18" s="148"/>
      <c r="BO18" s="148"/>
      <c r="BP18" s="148"/>
      <c r="BQ18" s="148"/>
      <c r="BR18" s="148"/>
      <c r="BS18" s="148"/>
      <c r="BT18" s="148"/>
      <c r="BU18" s="148"/>
      <c r="BV18" s="148"/>
      <c r="BW18" s="148"/>
      <c r="BX18" s="148"/>
      <c r="BY18" s="148"/>
      <c r="BZ18" s="148"/>
      <c r="CA18" s="148"/>
      <c r="CB18" s="148"/>
      <c r="CC18" s="148"/>
      <c r="CD18" s="148"/>
      <c r="CE18" s="148"/>
      <c r="CF18" s="148"/>
      <c r="CG18" s="148"/>
      <c r="CH18" s="148"/>
      <c r="CI18" s="148"/>
      <c r="CJ18" s="148"/>
      <c r="CK18" s="148"/>
      <c r="CL18" s="148"/>
      <c r="CM18" s="148"/>
      <c r="CN18" s="148"/>
      <c r="CO18" s="148"/>
      <c r="CP18" s="148"/>
      <c r="CQ18" s="148"/>
      <c r="CR18" s="148"/>
      <c r="CS18" s="148"/>
      <c r="CT18" s="148"/>
      <c r="CU18" s="148"/>
      <c r="CV18" s="148"/>
      <c r="CW18" s="148"/>
      <c r="CX18" s="148"/>
      <c r="CY18" s="148"/>
      <c r="CZ18" s="148"/>
      <c r="DA18" s="148"/>
      <c r="DB18" s="148"/>
      <c r="DC18" s="148"/>
      <c r="DD18" s="148"/>
      <c r="DE18" s="148"/>
      <c r="DF18" s="148"/>
      <c r="DG18" s="148"/>
      <c r="DH18" s="148"/>
      <c r="DI18" s="148"/>
      <c r="DJ18" s="148"/>
      <c r="DK18" s="148"/>
      <c r="DL18" s="148"/>
      <c r="DM18" s="148"/>
      <c r="DN18" s="148"/>
      <c r="DO18" s="148"/>
      <c r="DP18" s="148"/>
      <c r="DQ18" s="148"/>
      <c r="DR18" s="148"/>
      <c r="DS18" s="148"/>
      <c r="DT18" s="148"/>
      <c r="DU18" s="148"/>
      <c r="DV18" s="148"/>
      <c r="DW18" s="148"/>
      <c r="DX18" s="148"/>
      <c r="DY18" s="148"/>
      <c r="DZ18" s="148"/>
      <c r="EA18" s="148"/>
      <c r="EB18" s="148"/>
      <c r="EC18" s="148"/>
      <c r="ED18" s="148"/>
      <c r="EE18" s="148"/>
      <c r="EF18" s="148"/>
      <c r="EG18" s="148"/>
      <c r="EH18" s="148"/>
      <c r="EI18" s="148"/>
      <c r="EJ18" s="148"/>
      <c r="EK18" s="148"/>
      <c r="EL18" s="148"/>
      <c r="EM18" s="148"/>
      <c r="EN18" s="148"/>
      <c r="EO18" s="148"/>
      <c r="EP18" s="148"/>
      <c r="EQ18" s="148"/>
      <c r="ER18" s="148"/>
      <c r="ES18" s="148"/>
      <c r="ET18" s="148"/>
      <c r="EU18" s="148"/>
      <c r="EV18" s="148"/>
      <c r="EW18" s="148"/>
      <c r="EX18" s="148"/>
      <c r="EY18" s="148"/>
      <c r="EZ18" s="148"/>
      <c r="FA18" s="148"/>
      <c r="FB18" s="148"/>
      <c r="FC18" s="148"/>
      <c r="FD18" s="148"/>
      <c r="FE18" s="148"/>
      <c r="FF18" s="148"/>
      <c r="FG18" s="148"/>
      <c r="FH18" s="148"/>
      <c r="FI18" s="148"/>
      <c r="FJ18" s="148"/>
      <c r="FK18" s="148"/>
      <c r="FL18" s="148"/>
      <c r="FM18" s="148"/>
      <c r="FN18" s="148"/>
      <c r="FO18" s="148"/>
      <c r="FP18" s="148"/>
      <c r="FQ18" s="148"/>
      <c r="FR18" s="148"/>
      <c r="FS18" s="148"/>
      <c r="FT18" s="148"/>
      <c r="FU18" s="148"/>
      <c r="FV18" s="148"/>
      <c r="FW18" s="148"/>
      <c r="FX18" s="148"/>
      <c r="FY18" s="148"/>
      <c r="FZ18" s="148"/>
      <c r="GA18" s="148"/>
      <c r="GB18" s="148"/>
      <c r="GC18" s="148"/>
      <c r="GD18" s="148"/>
      <c r="GE18" s="148"/>
      <c r="GF18" s="148"/>
      <c r="GG18" s="148"/>
      <c r="GH18" s="148"/>
      <c r="GI18" s="148"/>
      <c r="GJ18" s="148"/>
      <c r="GK18" s="148"/>
      <c r="GL18" s="148"/>
      <c r="GM18" s="148"/>
      <c r="GN18" s="148"/>
      <c r="GO18" s="148"/>
      <c r="GP18" s="148"/>
      <c r="GQ18" s="148"/>
      <c r="GR18" s="148"/>
      <c r="GS18" s="148"/>
      <c r="GT18" s="148"/>
      <c r="GU18" s="148"/>
      <c r="GV18" s="148"/>
      <c r="GW18" s="148"/>
      <c r="GX18" s="148"/>
      <c r="GY18" s="148"/>
      <c r="GZ18" s="148"/>
      <c r="HA18" s="148"/>
      <c r="HB18" s="148"/>
      <c r="HC18" s="148"/>
      <c r="HD18" s="148"/>
      <c r="HE18" s="148"/>
      <c r="HF18" s="148"/>
      <c r="HG18" s="148"/>
      <c r="HH18" s="148"/>
      <c r="HI18" s="148"/>
      <c r="HJ18" s="148"/>
      <c r="HK18" s="148"/>
      <c r="HL18" s="148"/>
      <c r="HM18" s="148"/>
      <c r="HN18" s="148"/>
      <c r="HO18" s="148"/>
      <c r="HP18" s="148"/>
      <c r="HQ18" s="148"/>
      <c r="HR18" s="148"/>
      <c r="HS18" s="148"/>
      <c r="HT18" s="148"/>
      <c r="HU18" s="148"/>
      <c r="HV18" s="148"/>
      <c r="HW18" s="148"/>
      <c r="HX18" s="148"/>
      <c r="HY18" s="148"/>
      <c r="HZ18" s="148"/>
      <c r="IA18" s="148"/>
      <c r="IB18" s="148"/>
      <c r="IC18" s="148"/>
    </row>
    <row r="19" spans="1:237" s="15" customFormat="1" ht="22.5" x14ac:dyDescent="0.25">
      <c r="A19" s="148"/>
      <c r="B19" s="307">
        <v>4</v>
      </c>
      <c r="C19" s="307" t="s">
        <v>38</v>
      </c>
      <c r="D19" s="450">
        <v>30110114</v>
      </c>
      <c r="E19" s="577" t="s">
        <v>2854</v>
      </c>
      <c r="F19" s="577" t="s">
        <v>897</v>
      </c>
      <c r="G19" s="533" t="s">
        <v>1902</v>
      </c>
      <c r="H19" s="533" t="s">
        <v>2855</v>
      </c>
      <c r="I19" s="534" t="s">
        <v>42</v>
      </c>
      <c r="J19" s="535">
        <v>573836</v>
      </c>
      <c r="K19" s="535">
        <v>573264</v>
      </c>
      <c r="L19" s="535">
        <v>0</v>
      </c>
      <c r="M19" s="535">
        <v>1</v>
      </c>
      <c r="N19" s="454">
        <v>556.53099999999995</v>
      </c>
      <c r="O19" s="454">
        <v>0</v>
      </c>
      <c r="P19" s="535">
        <v>0</v>
      </c>
      <c r="Q19" s="535">
        <v>0</v>
      </c>
      <c r="R19" s="535">
        <v>0</v>
      </c>
      <c r="S19" s="535">
        <v>0</v>
      </c>
      <c r="T19" s="535"/>
      <c r="U19" s="535"/>
      <c r="V19" s="535"/>
      <c r="W19" s="535"/>
      <c r="X19" s="535"/>
      <c r="Y19" s="535"/>
      <c r="Z19" s="660">
        <f t="shared" si="2"/>
        <v>556.53099999999995</v>
      </c>
      <c r="AA19" s="535">
        <v>570</v>
      </c>
      <c r="AB19" s="590">
        <v>1</v>
      </c>
      <c r="AC19" s="551">
        <v>44201</v>
      </c>
      <c r="AD19" s="552">
        <v>44229</v>
      </c>
      <c r="AE19" s="454"/>
      <c r="AF19" s="459"/>
      <c r="AG19" s="457"/>
      <c r="AH19" s="458"/>
      <c r="AI19" s="454"/>
      <c r="AJ19" s="456"/>
      <c r="AK19" s="457"/>
      <c r="AL19" s="458"/>
      <c r="AM19" s="454"/>
      <c r="AN19" s="456"/>
      <c r="AO19" s="457"/>
      <c r="AP19" s="458"/>
      <c r="AQ19" s="454"/>
      <c r="AR19" s="456"/>
      <c r="AS19" s="457"/>
      <c r="AT19" s="458"/>
      <c r="AU19" s="22">
        <f t="shared" si="0"/>
        <v>570</v>
      </c>
      <c r="AV19" s="546">
        <f t="shared" si="1"/>
        <v>13.469000000000051</v>
      </c>
      <c r="AW19" s="148"/>
      <c r="AX19" s="148"/>
      <c r="AY19" s="148"/>
      <c r="AZ19" s="148"/>
      <c r="BA19" s="148"/>
      <c r="BB19" s="148"/>
      <c r="BC19" s="148"/>
      <c r="BD19" s="148"/>
      <c r="BE19" s="148"/>
      <c r="BF19" s="148"/>
      <c r="BG19" s="148"/>
      <c r="BH19" s="148"/>
      <c r="BI19" s="148"/>
      <c r="BJ19" s="148"/>
      <c r="BK19" s="148"/>
      <c r="BL19" s="148"/>
      <c r="BM19" s="148"/>
      <c r="BN19" s="148"/>
      <c r="BO19" s="148"/>
      <c r="BP19" s="148"/>
      <c r="BQ19" s="148"/>
      <c r="BR19" s="148"/>
      <c r="BS19" s="148"/>
      <c r="BT19" s="148"/>
      <c r="BU19" s="148"/>
      <c r="BV19" s="148"/>
      <c r="BW19" s="148"/>
      <c r="BX19" s="148"/>
      <c r="BY19" s="148"/>
      <c r="BZ19" s="148"/>
      <c r="CA19" s="148"/>
      <c r="CB19" s="148"/>
      <c r="CC19" s="148"/>
      <c r="CD19" s="148"/>
      <c r="CE19" s="148"/>
      <c r="CF19" s="148"/>
      <c r="CG19" s="148"/>
      <c r="CH19" s="148"/>
      <c r="CI19" s="148"/>
      <c r="CJ19" s="148"/>
      <c r="CK19" s="148"/>
      <c r="CL19" s="148"/>
      <c r="CM19" s="148"/>
      <c r="CN19" s="148"/>
      <c r="CO19" s="148"/>
      <c r="CP19" s="148"/>
      <c r="CQ19" s="148"/>
      <c r="CR19" s="148"/>
      <c r="CS19" s="148"/>
      <c r="CT19" s="148"/>
      <c r="CU19" s="148"/>
      <c r="CV19" s="148"/>
      <c r="CW19" s="148"/>
      <c r="CX19" s="148"/>
      <c r="CY19" s="148"/>
      <c r="CZ19" s="148"/>
      <c r="DA19" s="148"/>
      <c r="DB19" s="148"/>
      <c r="DC19" s="148"/>
      <c r="DD19" s="148"/>
      <c r="DE19" s="148"/>
      <c r="DF19" s="148"/>
      <c r="DG19" s="148"/>
      <c r="DH19" s="148"/>
      <c r="DI19" s="148"/>
      <c r="DJ19" s="148"/>
      <c r="DK19" s="148"/>
      <c r="DL19" s="148"/>
      <c r="DM19" s="148"/>
      <c r="DN19" s="148"/>
      <c r="DO19" s="148"/>
      <c r="DP19" s="148"/>
      <c r="DQ19" s="148"/>
      <c r="DR19" s="148"/>
      <c r="DS19" s="148"/>
      <c r="DT19" s="148"/>
      <c r="DU19" s="148"/>
      <c r="DV19" s="148"/>
      <c r="DW19" s="148"/>
      <c r="DX19" s="148"/>
      <c r="DY19" s="148"/>
      <c r="DZ19" s="148"/>
      <c r="EA19" s="148"/>
      <c r="EB19" s="148"/>
      <c r="EC19" s="148"/>
      <c r="ED19" s="148"/>
      <c r="EE19" s="148"/>
      <c r="EF19" s="148"/>
      <c r="EG19" s="148"/>
      <c r="EH19" s="148"/>
      <c r="EI19" s="148"/>
      <c r="EJ19" s="148"/>
      <c r="EK19" s="148"/>
      <c r="EL19" s="148"/>
      <c r="EM19" s="148"/>
      <c r="EN19" s="148"/>
      <c r="EO19" s="148"/>
      <c r="EP19" s="148"/>
      <c r="EQ19" s="148"/>
      <c r="ER19" s="148"/>
      <c r="ES19" s="148"/>
      <c r="ET19" s="148"/>
      <c r="EU19" s="148"/>
      <c r="EV19" s="148"/>
      <c r="EW19" s="148"/>
      <c r="EX19" s="148"/>
      <c r="EY19" s="148"/>
      <c r="EZ19" s="148"/>
      <c r="FA19" s="148"/>
      <c r="FB19" s="148"/>
      <c r="FC19" s="148"/>
      <c r="FD19" s="148"/>
      <c r="FE19" s="148"/>
      <c r="FF19" s="148"/>
      <c r="FG19" s="148"/>
      <c r="FH19" s="148"/>
      <c r="FI19" s="148"/>
      <c r="FJ19" s="148"/>
      <c r="FK19" s="148"/>
      <c r="FL19" s="148"/>
      <c r="FM19" s="148"/>
      <c r="FN19" s="148"/>
      <c r="FO19" s="148"/>
      <c r="FP19" s="148"/>
      <c r="FQ19" s="148"/>
      <c r="FR19" s="148"/>
      <c r="FS19" s="148"/>
      <c r="FT19" s="148"/>
      <c r="FU19" s="148"/>
      <c r="FV19" s="148"/>
      <c r="FW19" s="148"/>
      <c r="FX19" s="148"/>
      <c r="FY19" s="148"/>
      <c r="FZ19" s="148"/>
      <c r="GA19" s="148"/>
      <c r="GB19" s="148"/>
      <c r="GC19" s="148"/>
      <c r="GD19" s="148"/>
      <c r="GE19" s="148"/>
      <c r="GF19" s="148"/>
      <c r="GG19" s="148"/>
      <c r="GH19" s="148"/>
      <c r="GI19" s="148"/>
      <c r="GJ19" s="148"/>
      <c r="GK19" s="148"/>
      <c r="GL19" s="148"/>
      <c r="GM19" s="148"/>
      <c r="GN19" s="148"/>
      <c r="GO19" s="148"/>
      <c r="GP19" s="148"/>
      <c r="GQ19" s="148"/>
      <c r="GR19" s="148"/>
      <c r="GS19" s="148"/>
      <c r="GT19" s="148"/>
      <c r="GU19" s="148"/>
      <c r="GV19" s="148"/>
      <c r="GW19" s="148"/>
      <c r="GX19" s="148"/>
      <c r="GY19" s="148"/>
      <c r="GZ19" s="148"/>
      <c r="HA19" s="148"/>
      <c r="HB19" s="148"/>
      <c r="HC19" s="148"/>
      <c r="HD19" s="148"/>
      <c r="HE19" s="148"/>
      <c r="HF19" s="148"/>
      <c r="HG19" s="148"/>
      <c r="HH19" s="148"/>
      <c r="HI19" s="148"/>
      <c r="HJ19" s="148"/>
      <c r="HK19" s="148"/>
      <c r="HL19" s="148"/>
      <c r="HM19" s="148"/>
      <c r="HN19" s="148"/>
      <c r="HO19" s="148"/>
      <c r="HP19" s="148"/>
      <c r="HQ19" s="148"/>
      <c r="HR19" s="148"/>
      <c r="HS19" s="148"/>
      <c r="HT19" s="148"/>
      <c r="HU19" s="148"/>
      <c r="HV19" s="148"/>
      <c r="HW19" s="148"/>
      <c r="HX19" s="148"/>
      <c r="HY19" s="148"/>
      <c r="HZ19" s="148"/>
      <c r="IA19" s="148"/>
      <c r="IB19" s="148"/>
      <c r="IC19" s="148"/>
    </row>
    <row r="20" spans="1:237" s="15" customFormat="1" ht="22.5" x14ac:dyDescent="0.25">
      <c r="A20" s="148"/>
      <c r="B20" s="307">
        <v>5</v>
      </c>
      <c r="C20" s="307" t="s">
        <v>38</v>
      </c>
      <c r="D20" s="450">
        <v>30110282</v>
      </c>
      <c r="E20" s="577" t="s">
        <v>2856</v>
      </c>
      <c r="F20" s="577" t="s">
        <v>897</v>
      </c>
      <c r="G20" s="533" t="s">
        <v>1902</v>
      </c>
      <c r="H20" s="533" t="s">
        <v>2857</v>
      </c>
      <c r="I20" s="534" t="s">
        <v>42</v>
      </c>
      <c r="J20" s="535">
        <v>1534732</v>
      </c>
      <c r="K20" s="535">
        <v>1259453</v>
      </c>
      <c r="L20" s="535">
        <v>0</v>
      </c>
      <c r="M20" s="535">
        <v>1</v>
      </c>
      <c r="N20" s="454">
        <v>336.29399999999998</v>
      </c>
      <c r="O20" s="454">
        <v>0</v>
      </c>
      <c r="P20" s="535">
        <v>0</v>
      </c>
      <c r="Q20" s="535">
        <f>618633/1000</f>
        <v>618.63300000000004</v>
      </c>
      <c r="R20" s="535">
        <f>938910/1000</f>
        <v>938.91</v>
      </c>
      <c r="S20" s="535">
        <v>0</v>
      </c>
      <c r="T20" s="535"/>
      <c r="U20" s="535"/>
      <c r="V20" s="535"/>
      <c r="W20" s="535"/>
      <c r="X20" s="535"/>
      <c r="Y20" s="535"/>
      <c r="Z20" s="660">
        <f t="shared" si="2"/>
        <v>1893.837</v>
      </c>
      <c r="AA20" s="535">
        <v>14507</v>
      </c>
      <c r="AB20" s="590">
        <v>1</v>
      </c>
      <c r="AC20" s="551">
        <v>44201</v>
      </c>
      <c r="AD20" s="552">
        <v>44229</v>
      </c>
      <c r="AE20" s="454"/>
      <c r="AF20" s="459"/>
      <c r="AG20" s="457"/>
      <c r="AH20" s="458"/>
      <c r="AI20" s="454"/>
      <c r="AJ20" s="456"/>
      <c r="AK20" s="457"/>
      <c r="AL20" s="458"/>
      <c r="AM20" s="454"/>
      <c r="AN20" s="456"/>
      <c r="AO20" s="457"/>
      <c r="AP20" s="458"/>
      <c r="AQ20" s="454"/>
      <c r="AR20" s="456"/>
      <c r="AS20" s="457"/>
      <c r="AT20" s="458"/>
      <c r="AU20" s="22">
        <f t="shared" si="0"/>
        <v>14507</v>
      </c>
      <c r="AV20" s="546">
        <f t="shared" si="1"/>
        <v>12613.163</v>
      </c>
      <c r="AW20" s="148"/>
      <c r="AX20" s="148"/>
      <c r="AY20" s="148"/>
      <c r="AZ20" s="148"/>
      <c r="BA20" s="148"/>
      <c r="BB20" s="148"/>
      <c r="BC20" s="148"/>
      <c r="BD20" s="148"/>
      <c r="BE20" s="148"/>
      <c r="BF20" s="148"/>
      <c r="BG20" s="148"/>
      <c r="BH20" s="148"/>
      <c r="BI20" s="148"/>
      <c r="BJ20" s="148"/>
      <c r="BK20" s="148"/>
      <c r="BL20" s="148"/>
      <c r="BM20" s="148"/>
      <c r="BN20" s="148"/>
      <c r="BO20" s="148"/>
      <c r="BP20" s="148"/>
      <c r="BQ20" s="148"/>
      <c r="BR20" s="148"/>
      <c r="BS20" s="148"/>
      <c r="BT20" s="148"/>
      <c r="BU20" s="148"/>
      <c r="BV20" s="148"/>
      <c r="BW20" s="148"/>
      <c r="BX20" s="148"/>
      <c r="BY20" s="148"/>
      <c r="BZ20" s="148"/>
      <c r="CA20" s="148"/>
      <c r="CB20" s="148"/>
      <c r="CC20" s="148"/>
      <c r="CD20" s="148"/>
      <c r="CE20" s="148"/>
      <c r="CF20" s="148"/>
      <c r="CG20" s="148"/>
      <c r="CH20" s="148"/>
      <c r="CI20" s="148"/>
      <c r="CJ20" s="148"/>
      <c r="CK20" s="148"/>
      <c r="CL20" s="148"/>
      <c r="CM20" s="148"/>
      <c r="CN20" s="148"/>
      <c r="CO20" s="148"/>
      <c r="CP20" s="148"/>
      <c r="CQ20" s="148"/>
      <c r="CR20" s="148"/>
      <c r="CS20" s="148"/>
      <c r="CT20" s="148"/>
      <c r="CU20" s="148"/>
      <c r="CV20" s="148"/>
      <c r="CW20" s="148"/>
      <c r="CX20" s="148"/>
      <c r="CY20" s="148"/>
      <c r="CZ20" s="148"/>
      <c r="DA20" s="148"/>
      <c r="DB20" s="148"/>
      <c r="DC20" s="148"/>
      <c r="DD20" s="148"/>
      <c r="DE20" s="148"/>
      <c r="DF20" s="148"/>
      <c r="DG20" s="148"/>
      <c r="DH20" s="148"/>
      <c r="DI20" s="148"/>
      <c r="DJ20" s="148"/>
      <c r="DK20" s="148"/>
      <c r="DL20" s="148"/>
      <c r="DM20" s="148"/>
      <c r="DN20" s="148"/>
      <c r="DO20" s="148"/>
      <c r="DP20" s="148"/>
      <c r="DQ20" s="148"/>
      <c r="DR20" s="148"/>
      <c r="DS20" s="148"/>
      <c r="DT20" s="148"/>
      <c r="DU20" s="148"/>
      <c r="DV20" s="148"/>
      <c r="DW20" s="148"/>
      <c r="DX20" s="148"/>
      <c r="DY20" s="148"/>
      <c r="DZ20" s="148"/>
      <c r="EA20" s="148"/>
      <c r="EB20" s="148"/>
      <c r="EC20" s="148"/>
      <c r="ED20" s="148"/>
      <c r="EE20" s="148"/>
      <c r="EF20" s="148"/>
      <c r="EG20" s="148"/>
      <c r="EH20" s="148"/>
      <c r="EI20" s="148"/>
      <c r="EJ20" s="148"/>
      <c r="EK20" s="148"/>
      <c r="EL20" s="148"/>
      <c r="EM20" s="148"/>
      <c r="EN20" s="148"/>
      <c r="EO20" s="148"/>
      <c r="EP20" s="148"/>
      <c r="EQ20" s="148"/>
      <c r="ER20" s="148"/>
      <c r="ES20" s="148"/>
      <c r="ET20" s="148"/>
      <c r="EU20" s="148"/>
      <c r="EV20" s="148"/>
      <c r="EW20" s="148"/>
      <c r="EX20" s="148"/>
      <c r="EY20" s="148"/>
      <c r="EZ20" s="148"/>
      <c r="FA20" s="148"/>
      <c r="FB20" s="148"/>
      <c r="FC20" s="148"/>
      <c r="FD20" s="148"/>
      <c r="FE20" s="148"/>
      <c r="FF20" s="148"/>
      <c r="FG20" s="148"/>
      <c r="FH20" s="148"/>
      <c r="FI20" s="148"/>
      <c r="FJ20" s="148"/>
      <c r="FK20" s="148"/>
      <c r="FL20" s="148"/>
      <c r="FM20" s="148"/>
      <c r="FN20" s="148"/>
      <c r="FO20" s="148"/>
      <c r="FP20" s="148"/>
      <c r="FQ20" s="148"/>
      <c r="FR20" s="148"/>
      <c r="FS20" s="148"/>
      <c r="FT20" s="148"/>
      <c r="FU20" s="148"/>
      <c r="FV20" s="148"/>
      <c r="FW20" s="148"/>
      <c r="FX20" s="148"/>
      <c r="FY20" s="148"/>
      <c r="FZ20" s="148"/>
      <c r="GA20" s="148"/>
      <c r="GB20" s="148"/>
      <c r="GC20" s="148"/>
      <c r="GD20" s="148"/>
      <c r="GE20" s="148"/>
      <c r="GF20" s="148"/>
      <c r="GG20" s="148"/>
      <c r="GH20" s="148"/>
      <c r="GI20" s="148"/>
      <c r="GJ20" s="148"/>
      <c r="GK20" s="148"/>
      <c r="GL20" s="148"/>
      <c r="GM20" s="148"/>
      <c r="GN20" s="148"/>
      <c r="GO20" s="148"/>
      <c r="GP20" s="148"/>
      <c r="GQ20" s="148"/>
      <c r="GR20" s="148"/>
      <c r="GS20" s="148"/>
      <c r="GT20" s="148"/>
      <c r="GU20" s="148"/>
      <c r="GV20" s="148"/>
      <c r="GW20" s="148"/>
      <c r="GX20" s="148"/>
      <c r="GY20" s="148"/>
      <c r="GZ20" s="148"/>
      <c r="HA20" s="148"/>
      <c r="HB20" s="148"/>
      <c r="HC20" s="148"/>
      <c r="HD20" s="148"/>
      <c r="HE20" s="148"/>
      <c r="HF20" s="148"/>
      <c r="HG20" s="148"/>
      <c r="HH20" s="148"/>
      <c r="HI20" s="148"/>
      <c r="HJ20" s="148"/>
      <c r="HK20" s="148"/>
      <c r="HL20" s="148"/>
      <c r="HM20" s="148"/>
      <c r="HN20" s="148"/>
      <c r="HO20" s="148"/>
      <c r="HP20" s="148"/>
      <c r="HQ20" s="148"/>
      <c r="HR20" s="148"/>
      <c r="HS20" s="148"/>
      <c r="HT20" s="148"/>
      <c r="HU20" s="148"/>
      <c r="HV20" s="148"/>
      <c r="HW20" s="148"/>
      <c r="HX20" s="148"/>
      <c r="HY20" s="148"/>
      <c r="HZ20" s="148"/>
      <c r="IA20" s="148"/>
      <c r="IB20" s="148"/>
      <c r="IC20" s="148"/>
    </row>
    <row r="21" spans="1:237" s="15" customFormat="1" ht="22.5" x14ac:dyDescent="0.25">
      <c r="A21" s="148"/>
      <c r="B21" s="307">
        <v>6</v>
      </c>
      <c r="C21" s="307" t="s">
        <v>38</v>
      </c>
      <c r="D21" s="450">
        <v>30123681</v>
      </c>
      <c r="E21" s="577" t="s">
        <v>2858</v>
      </c>
      <c r="F21" s="577" t="s">
        <v>897</v>
      </c>
      <c r="G21" s="533" t="s">
        <v>1902</v>
      </c>
      <c r="H21" s="533" t="s">
        <v>2850</v>
      </c>
      <c r="I21" s="534" t="s">
        <v>42</v>
      </c>
      <c r="J21" s="535">
        <v>685600</v>
      </c>
      <c r="K21" s="535">
        <v>475180</v>
      </c>
      <c r="L21" s="535">
        <v>0</v>
      </c>
      <c r="M21" s="535">
        <v>0</v>
      </c>
      <c r="N21" s="454">
        <v>0</v>
      </c>
      <c r="O21" s="454">
        <v>0</v>
      </c>
      <c r="P21" s="535">
        <v>0</v>
      </c>
      <c r="Q21" s="535">
        <f>102843608/1000</f>
        <v>102843.60799999999</v>
      </c>
      <c r="R21" s="535">
        <v>0</v>
      </c>
      <c r="S21" s="535">
        <v>0</v>
      </c>
      <c r="T21" s="535"/>
      <c r="U21" s="535"/>
      <c r="V21" s="535"/>
      <c r="W21" s="535"/>
      <c r="X21" s="535"/>
      <c r="Y21" s="535"/>
      <c r="Z21" s="660">
        <f t="shared" si="2"/>
        <v>102843.60799999999</v>
      </c>
      <c r="AA21" s="535">
        <v>210420</v>
      </c>
      <c r="AB21" s="558">
        <v>1</v>
      </c>
      <c r="AC21" s="551">
        <v>44201</v>
      </c>
      <c r="AD21" s="552">
        <v>44229</v>
      </c>
      <c r="AE21" s="454"/>
      <c r="AF21" s="459"/>
      <c r="AG21" s="457"/>
      <c r="AH21" s="458"/>
      <c r="AI21" s="454"/>
      <c r="AJ21" s="456"/>
      <c r="AK21" s="457"/>
      <c r="AL21" s="458"/>
      <c r="AM21" s="454"/>
      <c r="AN21" s="456"/>
      <c r="AO21" s="457"/>
      <c r="AP21" s="458"/>
      <c r="AQ21" s="454"/>
      <c r="AR21" s="456"/>
      <c r="AS21" s="457"/>
      <c r="AT21" s="458"/>
      <c r="AU21" s="22">
        <f t="shared" si="0"/>
        <v>210420</v>
      </c>
      <c r="AV21" s="546">
        <f t="shared" si="1"/>
        <v>107576.39200000001</v>
      </c>
      <c r="AW21" s="148"/>
      <c r="AX21" s="148"/>
      <c r="AY21" s="148"/>
      <c r="AZ21" s="148"/>
      <c r="BA21" s="148"/>
      <c r="BB21" s="148"/>
      <c r="BC21" s="148"/>
      <c r="BD21" s="148"/>
      <c r="BE21" s="148"/>
      <c r="BF21" s="148"/>
      <c r="BG21" s="148"/>
      <c r="BH21" s="148"/>
      <c r="BI21" s="148"/>
      <c r="BJ21" s="148"/>
      <c r="BK21" s="148"/>
      <c r="BL21" s="148"/>
      <c r="BM21" s="148"/>
      <c r="BN21" s="148"/>
      <c r="BO21" s="148"/>
      <c r="BP21" s="148"/>
      <c r="BQ21" s="148"/>
      <c r="BR21" s="148"/>
      <c r="BS21" s="148"/>
      <c r="BT21" s="148"/>
      <c r="BU21" s="148"/>
      <c r="BV21" s="148"/>
      <c r="BW21" s="148"/>
      <c r="BX21" s="148"/>
      <c r="BY21" s="148"/>
      <c r="BZ21" s="148"/>
      <c r="CA21" s="148"/>
      <c r="CB21" s="148"/>
      <c r="CC21" s="148"/>
      <c r="CD21" s="148"/>
      <c r="CE21" s="148"/>
      <c r="CF21" s="148"/>
      <c r="CG21" s="148"/>
      <c r="CH21" s="148"/>
      <c r="CI21" s="148"/>
      <c r="CJ21" s="148"/>
      <c r="CK21" s="148"/>
      <c r="CL21" s="148"/>
      <c r="CM21" s="148"/>
      <c r="CN21" s="148"/>
      <c r="CO21" s="148"/>
      <c r="CP21" s="148"/>
      <c r="CQ21" s="148"/>
      <c r="CR21" s="148"/>
      <c r="CS21" s="148"/>
      <c r="CT21" s="148"/>
      <c r="CU21" s="148"/>
      <c r="CV21" s="148"/>
      <c r="CW21" s="148"/>
      <c r="CX21" s="148"/>
      <c r="CY21" s="148"/>
      <c r="CZ21" s="148"/>
      <c r="DA21" s="148"/>
      <c r="DB21" s="148"/>
      <c r="DC21" s="148"/>
      <c r="DD21" s="148"/>
      <c r="DE21" s="148"/>
      <c r="DF21" s="148"/>
      <c r="DG21" s="148"/>
      <c r="DH21" s="148"/>
      <c r="DI21" s="148"/>
      <c r="DJ21" s="148"/>
      <c r="DK21" s="148"/>
      <c r="DL21" s="148"/>
      <c r="DM21" s="148"/>
      <c r="DN21" s="148"/>
      <c r="DO21" s="148"/>
      <c r="DP21" s="148"/>
      <c r="DQ21" s="148"/>
      <c r="DR21" s="148"/>
      <c r="DS21" s="148"/>
      <c r="DT21" s="148"/>
      <c r="DU21" s="148"/>
      <c r="DV21" s="148"/>
      <c r="DW21" s="148"/>
      <c r="DX21" s="148"/>
      <c r="DY21" s="148"/>
      <c r="DZ21" s="148"/>
      <c r="EA21" s="148"/>
      <c r="EB21" s="148"/>
      <c r="EC21" s="148"/>
      <c r="ED21" s="148"/>
      <c r="EE21" s="148"/>
      <c r="EF21" s="148"/>
      <c r="EG21" s="148"/>
      <c r="EH21" s="148"/>
      <c r="EI21" s="148"/>
      <c r="EJ21" s="148"/>
      <c r="EK21" s="148"/>
      <c r="EL21" s="148"/>
      <c r="EM21" s="148"/>
      <c r="EN21" s="148"/>
      <c r="EO21" s="148"/>
      <c r="EP21" s="148"/>
      <c r="EQ21" s="148"/>
      <c r="ER21" s="148"/>
      <c r="ES21" s="148"/>
      <c r="ET21" s="148"/>
      <c r="EU21" s="148"/>
      <c r="EV21" s="148"/>
      <c r="EW21" s="148"/>
      <c r="EX21" s="148"/>
      <c r="EY21" s="148"/>
      <c r="EZ21" s="148"/>
      <c r="FA21" s="148"/>
      <c r="FB21" s="148"/>
      <c r="FC21" s="148"/>
      <c r="FD21" s="148"/>
      <c r="FE21" s="148"/>
      <c r="FF21" s="148"/>
      <c r="FG21" s="148"/>
      <c r="FH21" s="148"/>
      <c r="FI21" s="148"/>
      <c r="FJ21" s="148"/>
      <c r="FK21" s="148"/>
      <c r="FL21" s="148"/>
      <c r="FM21" s="148"/>
      <c r="FN21" s="148"/>
      <c r="FO21" s="148"/>
      <c r="FP21" s="148"/>
      <c r="FQ21" s="148"/>
      <c r="FR21" s="148"/>
      <c r="FS21" s="148"/>
      <c r="FT21" s="148"/>
      <c r="FU21" s="148"/>
      <c r="FV21" s="148"/>
      <c r="FW21" s="148"/>
      <c r="FX21" s="148"/>
      <c r="FY21" s="148"/>
      <c r="FZ21" s="148"/>
      <c r="GA21" s="148"/>
      <c r="GB21" s="148"/>
      <c r="GC21" s="148"/>
      <c r="GD21" s="148"/>
      <c r="GE21" s="148"/>
      <c r="GF21" s="148"/>
      <c r="GG21" s="148"/>
      <c r="GH21" s="148"/>
      <c r="GI21" s="148"/>
      <c r="GJ21" s="148"/>
      <c r="GK21" s="148"/>
      <c r="GL21" s="148"/>
      <c r="GM21" s="148"/>
      <c r="GN21" s="148"/>
      <c r="GO21" s="148"/>
      <c r="GP21" s="148"/>
      <c r="GQ21" s="148"/>
      <c r="GR21" s="148"/>
      <c r="GS21" s="148"/>
      <c r="GT21" s="148"/>
      <c r="GU21" s="148"/>
      <c r="GV21" s="148"/>
      <c r="GW21" s="148"/>
      <c r="GX21" s="148"/>
      <c r="GY21" s="148"/>
      <c r="GZ21" s="148"/>
      <c r="HA21" s="148"/>
      <c r="HB21" s="148"/>
      <c r="HC21" s="148"/>
      <c r="HD21" s="148"/>
      <c r="HE21" s="148"/>
      <c r="HF21" s="148"/>
      <c r="HG21" s="148"/>
      <c r="HH21" s="148"/>
      <c r="HI21" s="148"/>
      <c r="HJ21" s="148"/>
      <c r="HK21" s="148"/>
      <c r="HL21" s="148"/>
      <c r="HM21" s="148"/>
      <c r="HN21" s="148"/>
      <c r="HO21" s="148"/>
      <c r="HP21" s="148"/>
      <c r="HQ21" s="148"/>
      <c r="HR21" s="148"/>
      <c r="HS21" s="148"/>
      <c r="HT21" s="148"/>
      <c r="HU21" s="148"/>
      <c r="HV21" s="148"/>
      <c r="HW21" s="148"/>
      <c r="HX21" s="148"/>
      <c r="HY21" s="148"/>
      <c r="HZ21" s="148"/>
      <c r="IA21" s="148"/>
      <c r="IB21" s="148"/>
      <c r="IC21" s="148"/>
    </row>
    <row r="22" spans="1:237" s="15" customFormat="1" ht="22.5" x14ac:dyDescent="0.25">
      <c r="A22" s="148"/>
      <c r="B22" s="307">
        <v>7</v>
      </c>
      <c r="C22" s="307" t="s">
        <v>38</v>
      </c>
      <c r="D22" s="450">
        <v>30132810</v>
      </c>
      <c r="E22" s="577" t="s">
        <v>2859</v>
      </c>
      <c r="F22" s="577" t="s">
        <v>204</v>
      </c>
      <c r="G22" s="533" t="s">
        <v>1902</v>
      </c>
      <c r="H22" s="533" t="s">
        <v>2860</v>
      </c>
      <c r="I22" s="534" t="s">
        <v>42</v>
      </c>
      <c r="J22" s="535">
        <v>251889</v>
      </c>
      <c r="K22" s="535">
        <v>101385</v>
      </c>
      <c r="L22" s="535">
        <v>0</v>
      </c>
      <c r="M22" s="535">
        <v>0</v>
      </c>
      <c r="N22" s="454">
        <v>49063.89</v>
      </c>
      <c r="O22" s="454">
        <v>0</v>
      </c>
      <c r="P22" s="535">
        <v>0</v>
      </c>
      <c r="Q22" s="535">
        <v>0</v>
      </c>
      <c r="R22" s="535">
        <v>0</v>
      </c>
      <c r="S22" s="535">
        <v>0</v>
      </c>
      <c r="T22" s="535"/>
      <c r="U22" s="535"/>
      <c r="V22" s="535"/>
      <c r="W22" s="535"/>
      <c r="X22" s="535"/>
      <c r="Y22" s="535"/>
      <c r="Z22" s="660">
        <f t="shared" si="2"/>
        <v>49063.89</v>
      </c>
      <c r="AA22" s="535">
        <v>150504</v>
      </c>
      <c r="AB22" s="558">
        <v>1</v>
      </c>
      <c r="AC22" s="551">
        <v>44201</v>
      </c>
      <c r="AD22" s="552">
        <v>44229</v>
      </c>
      <c r="AE22" s="454"/>
      <c r="AF22" s="459"/>
      <c r="AG22" s="460"/>
      <c r="AH22" s="458"/>
      <c r="AI22" s="454"/>
      <c r="AJ22" s="456"/>
      <c r="AK22" s="460"/>
      <c r="AL22" s="458"/>
      <c r="AM22" s="454"/>
      <c r="AN22" s="456"/>
      <c r="AO22" s="460"/>
      <c r="AP22" s="458"/>
      <c r="AQ22" s="454"/>
      <c r="AR22" s="456"/>
      <c r="AS22" s="460"/>
      <c r="AT22" s="458"/>
      <c r="AU22" s="22">
        <f t="shared" si="0"/>
        <v>150504</v>
      </c>
      <c r="AV22" s="546">
        <f t="shared" si="1"/>
        <v>101440.11</v>
      </c>
      <c r="AW22" s="148"/>
      <c r="AX22" s="148"/>
      <c r="AY22" s="148"/>
      <c r="AZ22" s="148"/>
      <c r="BA22" s="148"/>
      <c r="BB22" s="148"/>
      <c r="BC22" s="148"/>
      <c r="BD22" s="148"/>
      <c r="BE22" s="148"/>
      <c r="BF22" s="148"/>
      <c r="BG22" s="148"/>
      <c r="BH22" s="148"/>
      <c r="BI22" s="148"/>
      <c r="BJ22" s="148"/>
      <c r="BK22" s="148"/>
      <c r="BL22" s="148"/>
      <c r="BM22" s="148"/>
      <c r="BN22" s="148"/>
      <c r="BO22" s="148"/>
      <c r="BP22" s="148"/>
      <c r="BQ22" s="148"/>
      <c r="BR22" s="148"/>
      <c r="BS22" s="148"/>
      <c r="BT22" s="148"/>
      <c r="BU22" s="148"/>
      <c r="BV22" s="148"/>
      <c r="BW22" s="148"/>
      <c r="BX22" s="148"/>
      <c r="BY22" s="148"/>
      <c r="BZ22" s="148"/>
      <c r="CA22" s="148"/>
      <c r="CB22" s="148"/>
      <c r="CC22" s="148"/>
      <c r="CD22" s="148"/>
      <c r="CE22" s="148"/>
      <c r="CF22" s="148"/>
      <c r="CG22" s="148"/>
      <c r="CH22" s="148"/>
      <c r="CI22" s="148"/>
      <c r="CJ22" s="148"/>
      <c r="CK22" s="148"/>
      <c r="CL22" s="148"/>
      <c r="CM22" s="148"/>
      <c r="CN22" s="148"/>
      <c r="CO22" s="148"/>
      <c r="CP22" s="148"/>
      <c r="CQ22" s="148"/>
      <c r="CR22" s="148"/>
      <c r="CS22" s="148"/>
      <c r="CT22" s="148"/>
      <c r="CU22" s="148"/>
      <c r="CV22" s="148"/>
      <c r="CW22" s="148"/>
      <c r="CX22" s="148"/>
      <c r="CY22" s="148"/>
      <c r="CZ22" s="148"/>
      <c r="DA22" s="148"/>
      <c r="DB22" s="148"/>
      <c r="DC22" s="148"/>
      <c r="DD22" s="148"/>
      <c r="DE22" s="148"/>
      <c r="DF22" s="148"/>
      <c r="DG22" s="148"/>
      <c r="DH22" s="148"/>
      <c r="DI22" s="148"/>
      <c r="DJ22" s="148"/>
      <c r="DK22" s="148"/>
      <c r="DL22" s="148"/>
      <c r="DM22" s="148"/>
      <c r="DN22" s="148"/>
      <c r="DO22" s="148"/>
      <c r="DP22" s="148"/>
      <c r="DQ22" s="148"/>
      <c r="DR22" s="148"/>
      <c r="DS22" s="148"/>
      <c r="DT22" s="148"/>
      <c r="DU22" s="148"/>
      <c r="DV22" s="148"/>
      <c r="DW22" s="148"/>
      <c r="DX22" s="148"/>
      <c r="DY22" s="148"/>
      <c r="DZ22" s="148"/>
      <c r="EA22" s="148"/>
      <c r="EB22" s="148"/>
      <c r="EC22" s="148"/>
      <c r="ED22" s="148"/>
      <c r="EE22" s="148"/>
      <c r="EF22" s="148"/>
      <c r="EG22" s="148"/>
      <c r="EH22" s="148"/>
      <c r="EI22" s="148"/>
      <c r="EJ22" s="148"/>
      <c r="EK22" s="148"/>
      <c r="EL22" s="148"/>
      <c r="EM22" s="148"/>
      <c r="EN22" s="148"/>
      <c r="EO22" s="148"/>
      <c r="EP22" s="148"/>
      <c r="EQ22" s="148"/>
      <c r="ER22" s="148"/>
      <c r="ES22" s="148"/>
      <c r="ET22" s="148"/>
      <c r="EU22" s="148"/>
      <c r="EV22" s="148"/>
      <c r="EW22" s="148"/>
      <c r="EX22" s="148"/>
      <c r="EY22" s="148"/>
      <c r="EZ22" s="148"/>
      <c r="FA22" s="148"/>
      <c r="FB22" s="148"/>
      <c r="FC22" s="148"/>
      <c r="FD22" s="148"/>
      <c r="FE22" s="148"/>
      <c r="FF22" s="148"/>
      <c r="FG22" s="148"/>
      <c r="FH22" s="148"/>
      <c r="FI22" s="148"/>
      <c r="FJ22" s="148"/>
      <c r="FK22" s="148"/>
      <c r="FL22" s="148"/>
      <c r="FM22" s="148"/>
      <c r="FN22" s="148"/>
      <c r="FO22" s="148"/>
      <c r="FP22" s="148"/>
      <c r="FQ22" s="148"/>
      <c r="FR22" s="148"/>
      <c r="FS22" s="148"/>
      <c r="FT22" s="148"/>
      <c r="FU22" s="148"/>
      <c r="FV22" s="148"/>
      <c r="FW22" s="148"/>
      <c r="FX22" s="148"/>
      <c r="FY22" s="148"/>
      <c r="FZ22" s="148"/>
      <c r="GA22" s="148"/>
      <c r="GB22" s="148"/>
      <c r="GC22" s="148"/>
      <c r="GD22" s="148"/>
      <c r="GE22" s="148"/>
      <c r="GF22" s="148"/>
      <c r="GG22" s="148"/>
      <c r="GH22" s="148"/>
      <c r="GI22" s="148"/>
      <c r="GJ22" s="148"/>
      <c r="GK22" s="148"/>
      <c r="GL22" s="148"/>
      <c r="GM22" s="148"/>
      <c r="GN22" s="148"/>
      <c r="GO22" s="148"/>
      <c r="GP22" s="148"/>
      <c r="GQ22" s="148"/>
      <c r="GR22" s="148"/>
      <c r="GS22" s="148"/>
      <c r="GT22" s="148"/>
      <c r="GU22" s="148"/>
      <c r="GV22" s="148"/>
      <c r="GW22" s="148"/>
      <c r="GX22" s="148"/>
      <c r="GY22" s="148"/>
      <c r="GZ22" s="148"/>
      <c r="HA22" s="148"/>
      <c r="HB22" s="148"/>
      <c r="HC22" s="148"/>
      <c r="HD22" s="148"/>
      <c r="HE22" s="148"/>
      <c r="HF22" s="148"/>
      <c r="HG22" s="148"/>
      <c r="HH22" s="148"/>
      <c r="HI22" s="148"/>
      <c r="HJ22" s="148"/>
      <c r="HK22" s="148"/>
      <c r="HL22" s="148"/>
      <c r="HM22" s="148"/>
      <c r="HN22" s="148"/>
      <c r="HO22" s="148"/>
      <c r="HP22" s="148"/>
      <c r="HQ22" s="148"/>
      <c r="HR22" s="148"/>
      <c r="HS22" s="148"/>
      <c r="HT22" s="148"/>
      <c r="HU22" s="148"/>
      <c r="HV22" s="148"/>
      <c r="HW22" s="148"/>
      <c r="HX22" s="148"/>
      <c r="HY22" s="148"/>
      <c r="HZ22" s="148"/>
      <c r="IA22" s="148"/>
      <c r="IB22" s="148"/>
      <c r="IC22" s="148"/>
    </row>
    <row r="23" spans="1:237" s="15" customFormat="1" x14ac:dyDescent="0.25">
      <c r="A23" s="148"/>
      <c r="B23" s="307">
        <v>30</v>
      </c>
      <c r="C23" s="307" t="s">
        <v>38</v>
      </c>
      <c r="D23" s="450">
        <v>30100763</v>
      </c>
      <c r="E23" s="577" t="s">
        <v>2861</v>
      </c>
      <c r="F23" s="577" t="s">
        <v>897</v>
      </c>
      <c r="G23" s="533" t="s">
        <v>1902</v>
      </c>
      <c r="H23" s="553" t="s">
        <v>2862</v>
      </c>
      <c r="I23" s="534" t="s">
        <v>42</v>
      </c>
      <c r="J23" s="535">
        <v>812062</v>
      </c>
      <c r="K23" s="535">
        <v>625461</v>
      </c>
      <c r="L23" s="535">
        <v>0</v>
      </c>
      <c r="M23" s="535">
        <v>6424</v>
      </c>
      <c r="N23" s="454">
        <v>0</v>
      </c>
      <c r="O23" s="454">
        <v>39980.881000000001</v>
      </c>
      <c r="P23" s="535">
        <v>32400.802</v>
      </c>
      <c r="Q23" s="535">
        <f>28813501/1000</f>
        <v>28813.501</v>
      </c>
      <c r="R23" s="535">
        <v>0</v>
      </c>
      <c r="S23" s="535">
        <v>0</v>
      </c>
      <c r="T23" s="535"/>
      <c r="U23" s="535"/>
      <c r="V23" s="535"/>
      <c r="W23" s="535"/>
      <c r="X23" s="535"/>
      <c r="Y23" s="535"/>
      <c r="Z23" s="660">
        <f t="shared" si="2"/>
        <v>101195.18400000001</v>
      </c>
      <c r="AA23" s="554">
        <v>180175</v>
      </c>
      <c r="AB23" s="558">
        <v>2</v>
      </c>
      <c r="AC23" s="545">
        <v>44209</v>
      </c>
      <c r="AD23" s="542">
        <v>44249</v>
      </c>
      <c r="AE23" s="454">
        <v>3536</v>
      </c>
      <c r="AF23" s="459">
        <v>11</v>
      </c>
      <c r="AG23" s="457">
        <v>44307</v>
      </c>
      <c r="AH23" s="458">
        <v>44328</v>
      </c>
      <c r="AI23" s="454"/>
      <c r="AJ23" s="456"/>
      <c r="AK23" s="460"/>
      <c r="AL23" s="458"/>
      <c r="AM23" s="454"/>
      <c r="AN23" s="456"/>
      <c r="AO23" s="460"/>
      <c r="AP23" s="458"/>
      <c r="AQ23" s="454"/>
      <c r="AR23" s="456"/>
      <c r="AS23" s="460"/>
      <c r="AT23" s="458"/>
      <c r="AU23" s="22">
        <f t="shared" si="0"/>
        <v>183711</v>
      </c>
      <c r="AV23" s="546">
        <f t="shared" si="1"/>
        <v>82515.815999999992</v>
      </c>
      <c r="AW23" s="148"/>
      <c r="AX23" s="148"/>
      <c r="AY23" s="148"/>
      <c r="AZ23" s="148"/>
      <c r="BA23" s="148"/>
      <c r="BB23" s="148"/>
      <c r="BC23" s="148"/>
      <c r="BD23" s="148"/>
      <c r="BE23" s="148"/>
      <c r="BF23" s="148"/>
      <c r="BG23" s="148"/>
      <c r="BH23" s="148"/>
      <c r="BI23" s="148"/>
      <c r="BJ23" s="148"/>
      <c r="BK23" s="148"/>
      <c r="BL23" s="148"/>
      <c r="BM23" s="148"/>
      <c r="BN23" s="148"/>
      <c r="BO23" s="148"/>
      <c r="BP23" s="148"/>
      <c r="BQ23" s="148"/>
      <c r="BR23" s="148"/>
      <c r="BS23" s="148"/>
      <c r="BT23" s="148"/>
      <c r="BU23" s="148"/>
      <c r="BV23" s="148"/>
      <c r="BW23" s="148"/>
      <c r="BX23" s="148"/>
      <c r="BY23" s="148"/>
      <c r="BZ23" s="148"/>
      <c r="CA23" s="148"/>
      <c r="CB23" s="148"/>
      <c r="CC23" s="148"/>
      <c r="CD23" s="148"/>
      <c r="CE23" s="148"/>
      <c r="CF23" s="148"/>
      <c r="CG23" s="148"/>
      <c r="CH23" s="148"/>
      <c r="CI23" s="148"/>
      <c r="CJ23" s="148"/>
      <c r="CK23" s="148"/>
      <c r="CL23" s="148"/>
      <c r="CM23" s="148"/>
      <c r="CN23" s="148"/>
      <c r="CO23" s="148"/>
      <c r="CP23" s="148"/>
      <c r="CQ23" s="148"/>
      <c r="CR23" s="148"/>
      <c r="CS23" s="148"/>
      <c r="CT23" s="148"/>
      <c r="CU23" s="148"/>
      <c r="CV23" s="148"/>
      <c r="CW23" s="148"/>
      <c r="CX23" s="148"/>
      <c r="CY23" s="148"/>
      <c r="CZ23" s="148"/>
      <c r="DA23" s="148"/>
      <c r="DB23" s="148"/>
      <c r="DC23" s="148"/>
      <c r="DD23" s="148"/>
      <c r="DE23" s="148"/>
      <c r="DF23" s="148"/>
      <c r="DG23" s="148"/>
      <c r="DH23" s="148"/>
      <c r="DI23" s="148"/>
      <c r="DJ23" s="148"/>
      <c r="DK23" s="148"/>
      <c r="DL23" s="148"/>
      <c r="DM23" s="148"/>
      <c r="DN23" s="148"/>
      <c r="DO23" s="148"/>
      <c r="DP23" s="148"/>
      <c r="DQ23" s="148"/>
      <c r="DR23" s="148"/>
      <c r="DS23" s="148"/>
      <c r="DT23" s="148"/>
      <c r="DU23" s="148"/>
      <c r="DV23" s="148"/>
      <c r="DW23" s="148"/>
      <c r="DX23" s="148"/>
      <c r="DY23" s="148"/>
      <c r="DZ23" s="148"/>
      <c r="EA23" s="148"/>
      <c r="EB23" s="148"/>
      <c r="EC23" s="148"/>
      <c r="ED23" s="148"/>
      <c r="EE23" s="148"/>
      <c r="EF23" s="148"/>
      <c r="EG23" s="148"/>
      <c r="EH23" s="148"/>
      <c r="EI23" s="148"/>
      <c r="EJ23" s="148"/>
      <c r="EK23" s="148"/>
      <c r="EL23" s="148"/>
      <c r="EM23" s="148"/>
      <c r="EN23" s="148"/>
      <c r="EO23" s="148"/>
      <c r="EP23" s="148"/>
      <c r="EQ23" s="148"/>
      <c r="ER23" s="148"/>
      <c r="ES23" s="148"/>
      <c r="ET23" s="148"/>
      <c r="EU23" s="148"/>
      <c r="EV23" s="148"/>
      <c r="EW23" s="148"/>
      <c r="EX23" s="148"/>
      <c r="EY23" s="148"/>
      <c r="EZ23" s="148"/>
      <c r="FA23" s="148"/>
      <c r="FB23" s="148"/>
      <c r="FC23" s="148"/>
      <c r="FD23" s="148"/>
      <c r="FE23" s="148"/>
      <c r="FF23" s="148"/>
      <c r="FG23" s="148"/>
      <c r="FH23" s="148"/>
      <c r="FI23" s="148"/>
      <c r="FJ23" s="148"/>
      <c r="FK23" s="148"/>
      <c r="FL23" s="148"/>
      <c r="FM23" s="148"/>
      <c r="FN23" s="148"/>
      <c r="FO23" s="148"/>
      <c r="FP23" s="148"/>
      <c r="FQ23" s="148"/>
      <c r="FR23" s="148"/>
      <c r="FS23" s="148"/>
      <c r="FT23" s="148"/>
      <c r="FU23" s="148"/>
      <c r="FV23" s="148"/>
      <c r="FW23" s="148"/>
      <c r="FX23" s="148"/>
      <c r="FY23" s="148"/>
      <c r="FZ23" s="148"/>
      <c r="GA23" s="148"/>
      <c r="GB23" s="148"/>
      <c r="GC23" s="148"/>
      <c r="GD23" s="148"/>
      <c r="GE23" s="148"/>
      <c r="GF23" s="148"/>
      <c r="GG23" s="148"/>
      <c r="GH23" s="148"/>
      <c r="GI23" s="148"/>
      <c r="GJ23" s="148"/>
      <c r="GK23" s="148"/>
      <c r="GL23" s="148"/>
      <c r="GM23" s="148"/>
      <c r="GN23" s="148"/>
      <c r="GO23" s="148"/>
      <c r="GP23" s="148"/>
      <c r="GQ23" s="148"/>
      <c r="GR23" s="148"/>
      <c r="GS23" s="148"/>
      <c r="GT23" s="148"/>
      <c r="GU23" s="148"/>
      <c r="GV23" s="148"/>
      <c r="GW23" s="148"/>
      <c r="GX23" s="148"/>
      <c r="GY23" s="148"/>
      <c r="GZ23" s="148"/>
      <c r="HA23" s="148"/>
      <c r="HB23" s="148"/>
      <c r="HC23" s="148"/>
      <c r="HD23" s="148"/>
      <c r="HE23" s="148"/>
      <c r="HF23" s="148"/>
      <c r="HG23" s="148"/>
      <c r="HH23" s="148"/>
      <c r="HI23" s="148"/>
      <c r="HJ23" s="148"/>
      <c r="HK23" s="148"/>
      <c r="HL23" s="148"/>
      <c r="HM23" s="148"/>
      <c r="HN23" s="148"/>
      <c r="HO23" s="148"/>
      <c r="HP23" s="148"/>
      <c r="HQ23" s="148"/>
      <c r="HR23" s="148"/>
      <c r="HS23" s="148"/>
      <c r="HT23" s="148"/>
      <c r="HU23" s="148"/>
      <c r="HV23" s="148"/>
      <c r="HW23" s="148"/>
      <c r="HX23" s="148"/>
      <c r="HY23" s="148"/>
      <c r="HZ23" s="148"/>
      <c r="IA23" s="148"/>
      <c r="IB23" s="148"/>
      <c r="IC23" s="148"/>
    </row>
    <row r="24" spans="1:237" s="15" customFormat="1" ht="23.25" customHeight="1" x14ac:dyDescent="0.25">
      <c r="A24" s="148"/>
      <c r="B24" s="307">
        <v>8</v>
      </c>
      <c r="C24" s="307" t="s">
        <v>38</v>
      </c>
      <c r="D24" s="450">
        <v>30134179</v>
      </c>
      <c r="E24" s="577" t="s">
        <v>2863</v>
      </c>
      <c r="F24" s="577" t="s">
        <v>897</v>
      </c>
      <c r="G24" s="533" t="s">
        <v>1902</v>
      </c>
      <c r="H24" s="553" t="s">
        <v>2860</v>
      </c>
      <c r="I24" s="534" t="s">
        <v>42</v>
      </c>
      <c r="J24" s="535">
        <v>4306344</v>
      </c>
      <c r="K24" s="535">
        <v>3716715</v>
      </c>
      <c r="L24" s="535">
        <v>229489</v>
      </c>
      <c r="M24" s="535">
        <v>0</v>
      </c>
      <c r="N24" s="454">
        <v>375112.84399999998</v>
      </c>
      <c r="O24" s="454">
        <v>0</v>
      </c>
      <c r="P24" s="535">
        <v>0</v>
      </c>
      <c r="Q24" s="535">
        <f>194833267/1000</f>
        <v>194833.26699999999</v>
      </c>
      <c r="R24" s="535">
        <v>0</v>
      </c>
      <c r="S24" s="535">
        <v>0</v>
      </c>
      <c r="T24" s="535"/>
      <c r="U24" s="535"/>
      <c r="V24" s="535"/>
      <c r="W24" s="535"/>
      <c r="X24" s="535"/>
      <c r="Y24" s="535"/>
      <c r="Z24" s="660">
        <f t="shared" si="2"/>
        <v>569946.11100000003</v>
      </c>
      <c r="AA24" s="535">
        <v>589629</v>
      </c>
      <c r="AB24" s="558">
        <v>1</v>
      </c>
      <c r="AC24" s="551">
        <v>44201</v>
      </c>
      <c r="AD24" s="552">
        <v>44229</v>
      </c>
      <c r="AE24" s="454">
        <v>4547</v>
      </c>
      <c r="AF24" s="459">
        <v>11</v>
      </c>
      <c r="AG24" s="457">
        <v>44307</v>
      </c>
      <c r="AH24" s="458">
        <v>44328</v>
      </c>
      <c r="AI24" s="454"/>
      <c r="AJ24" s="456"/>
      <c r="AK24" s="460"/>
      <c r="AL24" s="458"/>
      <c r="AM24" s="454"/>
      <c r="AN24" s="456"/>
      <c r="AO24" s="460"/>
      <c r="AP24" s="458"/>
      <c r="AQ24" s="454"/>
      <c r="AR24" s="456"/>
      <c r="AS24" s="460"/>
      <c r="AT24" s="458"/>
      <c r="AU24" s="22">
        <f t="shared" si="0"/>
        <v>594176</v>
      </c>
      <c r="AV24" s="546">
        <f t="shared" si="1"/>
        <v>24229.888999999966</v>
      </c>
      <c r="AW24" s="148"/>
      <c r="AX24" s="148"/>
      <c r="AY24" s="148"/>
      <c r="AZ24" s="148"/>
      <c r="BA24" s="148"/>
      <c r="BB24" s="148"/>
      <c r="BC24" s="148"/>
      <c r="BD24" s="148"/>
      <c r="BE24" s="148"/>
      <c r="BF24" s="148"/>
      <c r="BG24" s="148"/>
      <c r="BH24" s="148"/>
      <c r="BI24" s="148"/>
      <c r="BJ24" s="148"/>
      <c r="BK24" s="148"/>
      <c r="BL24" s="148"/>
      <c r="BM24" s="148"/>
      <c r="BN24" s="148"/>
      <c r="BO24" s="148"/>
      <c r="BP24" s="148"/>
      <c r="BQ24" s="148"/>
      <c r="BR24" s="148"/>
      <c r="BS24" s="148"/>
      <c r="BT24" s="148"/>
      <c r="BU24" s="148"/>
      <c r="BV24" s="148"/>
      <c r="BW24" s="148"/>
      <c r="BX24" s="148"/>
      <c r="BY24" s="148"/>
      <c r="BZ24" s="148"/>
      <c r="CA24" s="148"/>
      <c r="CB24" s="148"/>
      <c r="CC24" s="148"/>
      <c r="CD24" s="148"/>
      <c r="CE24" s="148"/>
      <c r="CF24" s="148"/>
      <c r="CG24" s="148"/>
      <c r="CH24" s="148"/>
      <c r="CI24" s="148"/>
      <c r="CJ24" s="148"/>
      <c r="CK24" s="148"/>
      <c r="CL24" s="148"/>
      <c r="CM24" s="148"/>
      <c r="CN24" s="148"/>
      <c r="CO24" s="148"/>
      <c r="CP24" s="148"/>
      <c r="CQ24" s="148"/>
      <c r="CR24" s="148"/>
      <c r="CS24" s="148"/>
      <c r="CT24" s="148"/>
      <c r="CU24" s="148"/>
      <c r="CV24" s="148"/>
      <c r="CW24" s="148"/>
      <c r="CX24" s="148"/>
      <c r="CY24" s="148"/>
      <c r="CZ24" s="148"/>
      <c r="DA24" s="148"/>
      <c r="DB24" s="148"/>
      <c r="DC24" s="148"/>
      <c r="DD24" s="148"/>
      <c r="DE24" s="148"/>
      <c r="DF24" s="148"/>
      <c r="DG24" s="148"/>
      <c r="DH24" s="148"/>
      <c r="DI24" s="148"/>
      <c r="DJ24" s="148"/>
      <c r="DK24" s="148"/>
      <c r="DL24" s="148"/>
      <c r="DM24" s="148"/>
      <c r="DN24" s="148"/>
      <c r="DO24" s="148"/>
      <c r="DP24" s="148"/>
      <c r="DQ24" s="148"/>
      <c r="DR24" s="148"/>
      <c r="DS24" s="148"/>
      <c r="DT24" s="148"/>
      <c r="DU24" s="148"/>
      <c r="DV24" s="148"/>
      <c r="DW24" s="148"/>
      <c r="DX24" s="148"/>
      <c r="DY24" s="148"/>
      <c r="DZ24" s="148"/>
      <c r="EA24" s="148"/>
      <c r="EB24" s="148"/>
      <c r="EC24" s="148"/>
      <c r="ED24" s="148"/>
      <c r="EE24" s="148"/>
      <c r="EF24" s="148"/>
      <c r="EG24" s="148"/>
      <c r="EH24" s="148"/>
      <c r="EI24" s="148"/>
      <c r="EJ24" s="148"/>
      <c r="EK24" s="148"/>
      <c r="EL24" s="148"/>
      <c r="EM24" s="148"/>
      <c r="EN24" s="148"/>
      <c r="EO24" s="148"/>
      <c r="EP24" s="148"/>
      <c r="EQ24" s="148"/>
      <c r="ER24" s="148"/>
      <c r="ES24" s="148"/>
      <c r="ET24" s="148"/>
      <c r="EU24" s="148"/>
      <c r="EV24" s="148"/>
      <c r="EW24" s="148"/>
      <c r="EX24" s="148"/>
      <c r="EY24" s="148"/>
      <c r="EZ24" s="148"/>
      <c r="FA24" s="148"/>
      <c r="FB24" s="148"/>
      <c r="FC24" s="148"/>
      <c r="FD24" s="148"/>
      <c r="FE24" s="148"/>
      <c r="FF24" s="148"/>
      <c r="FG24" s="148"/>
      <c r="FH24" s="148"/>
      <c r="FI24" s="148"/>
      <c r="FJ24" s="148"/>
      <c r="FK24" s="148"/>
      <c r="FL24" s="148"/>
      <c r="FM24" s="148"/>
      <c r="FN24" s="148"/>
      <c r="FO24" s="148"/>
      <c r="FP24" s="148"/>
      <c r="FQ24" s="148"/>
      <c r="FR24" s="148"/>
      <c r="FS24" s="148"/>
      <c r="FT24" s="148"/>
      <c r="FU24" s="148"/>
      <c r="FV24" s="148"/>
      <c r="FW24" s="148"/>
      <c r="FX24" s="148"/>
      <c r="FY24" s="148"/>
      <c r="FZ24" s="148"/>
      <c r="GA24" s="148"/>
      <c r="GB24" s="148"/>
      <c r="GC24" s="148"/>
      <c r="GD24" s="148"/>
      <c r="GE24" s="148"/>
      <c r="GF24" s="148"/>
      <c r="GG24" s="148"/>
      <c r="GH24" s="148"/>
      <c r="GI24" s="148"/>
      <c r="GJ24" s="148"/>
      <c r="GK24" s="148"/>
      <c r="GL24" s="148"/>
      <c r="GM24" s="148"/>
      <c r="GN24" s="148"/>
      <c r="GO24" s="148"/>
      <c r="GP24" s="148"/>
      <c r="GQ24" s="148"/>
      <c r="GR24" s="148"/>
      <c r="GS24" s="148"/>
      <c r="GT24" s="148"/>
      <c r="GU24" s="148"/>
      <c r="GV24" s="148"/>
      <c r="GW24" s="148"/>
      <c r="GX24" s="148"/>
      <c r="GY24" s="148"/>
      <c r="GZ24" s="148"/>
      <c r="HA24" s="148"/>
      <c r="HB24" s="148"/>
      <c r="HC24" s="148"/>
      <c r="HD24" s="148"/>
      <c r="HE24" s="148"/>
      <c r="HF24" s="148"/>
      <c r="HG24" s="148"/>
      <c r="HH24" s="148"/>
      <c r="HI24" s="148"/>
      <c r="HJ24" s="148"/>
      <c r="HK24" s="148"/>
      <c r="HL24" s="148"/>
      <c r="HM24" s="148"/>
      <c r="HN24" s="148"/>
      <c r="HO24" s="148"/>
      <c r="HP24" s="148"/>
      <c r="HQ24" s="148"/>
      <c r="HR24" s="148"/>
      <c r="HS24" s="148"/>
      <c r="HT24" s="148"/>
      <c r="HU24" s="148"/>
      <c r="HV24" s="148"/>
      <c r="HW24" s="148"/>
      <c r="HX24" s="148"/>
      <c r="HY24" s="148"/>
      <c r="HZ24" s="148"/>
      <c r="IA24" s="148"/>
      <c r="IB24" s="148"/>
      <c r="IC24" s="148"/>
    </row>
    <row r="25" spans="1:237" s="15" customFormat="1" ht="22.5" x14ac:dyDescent="0.25">
      <c r="A25" s="148"/>
      <c r="B25" s="307">
        <v>56</v>
      </c>
      <c r="C25" s="307" t="s">
        <v>38</v>
      </c>
      <c r="D25" s="450">
        <v>30210123</v>
      </c>
      <c r="E25" s="577" t="s">
        <v>2864</v>
      </c>
      <c r="F25" s="577" t="s">
        <v>897</v>
      </c>
      <c r="G25" s="533" t="s">
        <v>1902</v>
      </c>
      <c r="H25" s="553" t="s">
        <v>2865</v>
      </c>
      <c r="I25" s="534" t="s">
        <v>43</v>
      </c>
      <c r="J25" s="535">
        <v>1246724</v>
      </c>
      <c r="K25" s="535">
        <v>0</v>
      </c>
      <c r="L25" s="535">
        <v>1219200</v>
      </c>
      <c r="M25" s="535">
        <v>1008550</v>
      </c>
      <c r="N25" s="454">
        <v>0</v>
      </c>
      <c r="O25" s="454">
        <v>0</v>
      </c>
      <c r="P25" s="535">
        <v>0</v>
      </c>
      <c r="Q25" s="535">
        <v>0</v>
      </c>
      <c r="R25" s="535">
        <v>0</v>
      </c>
      <c r="S25" s="535">
        <v>0</v>
      </c>
      <c r="T25" s="535" t="s">
        <v>2866</v>
      </c>
      <c r="U25" s="535"/>
      <c r="V25" s="535"/>
      <c r="W25" s="535"/>
      <c r="X25" s="535"/>
      <c r="Y25" s="535"/>
      <c r="Z25" s="660">
        <f t="shared" si="2"/>
        <v>0</v>
      </c>
      <c r="AA25" s="554">
        <v>1</v>
      </c>
      <c r="AB25" s="558">
        <v>3</v>
      </c>
      <c r="AC25" s="545">
        <v>44210</v>
      </c>
      <c r="AD25" s="542">
        <v>44237</v>
      </c>
      <c r="AE25" s="454">
        <v>165000</v>
      </c>
      <c r="AF25" s="459">
        <v>11</v>
      </c>
      <c r="AG25" s="457">
        <v>44307</v>
      </c>
      <c r="AH25" s="458">
        <v>44328</v>
      </c>
      <c r="AI25" s="454"/>
      <c r="AJ25" s="456"/>
      <c r="AK25" s="460"/>
      <c r="AL25" s="458"/>
      <c r="AM25" s="454"/>
      <c r="AN25" s="456"/>
      <c r="AO25" s="460"/>
      <c r="AP25" s="458"/>
      <c r="AQ25" s="454"/>
      <c r="AR25" s="456"/>
      <c r="AS25" s="460"/>
      <c r="AT25" s="458"/>
      <c r="AU25" s="22">
        <f t="shared" si="0"/>
        <v>165001</v>
      </c>
      <c r="AV25" s="546">
        <f t="shared" si="1"/>
        <v>165001</v>
      </c>
      <c r="AW25" s="148"/>
      <c r="AX25" s="148"/>
      <c r="AY25" s="148"/>
      <c r="AZ25" s="148"/>
      <c r="BA25" s="148"/>
      <c r="BB25" s="148"/>
      <c r="BC25" s="148"/>
      <c r="BD25" s="148"/>
      <c r="BE25" s="148"/>
      <c r="BF25" s="148"/>
      <c r="BG25" s="148"/>
      <c r="BH25" s="148"/>
      <c r="BI25" s="148"/>
      <c r="BJ25" s="148"/>
      <c r="BK25" s="148"/>
      <c r="BL25" s="148"/>
      <c r="BM25" s="148"/>
      <c r="BN25" s="148"/>
      <c r="BO25" s="148"/>
      <c r="BP25" s="148"/>
      <c r="BQ25" s="148"/>
      <c r="BR25" s="148"/>
      <c r="BS25" s="148"/>
      <c r="BT25" s="148"/>
      <c r="BU25" s="148"/>
      <c r="BV25" s="148"/>
      <c r="BW25" s="148"/>
      <c r="BX25" s="148"/>
      <c r="BY25" s="148"/>
      <c r="BZ25" s="148"/>
      <c r="CA25" s="148"/>
      <c r="CB25" s="148"/>
      <c r="CC25" s="148"/>
      <c r="CD25" s="148"/>
      <c r="CE25" s="148"/>
      <c r="CF25" s="148"/>
      <c r="CG25" s="148"/>
      <c r="CH25" s="148"/>
      <c r="CI25" s="148"/>
      <c r="CJ25" s="148"/>
      <c r="CK25" s="148"/>
      <c r="CL25" s="148"/>
      <c r="CM25" s="148"/>
      <c r="CN25" s="148"/>
      <c r="CO25" s="148"/>
      <c r="CP25" s="148"/>
      <c r="CQ25" s="148"/>
      <c r="CR25" s="148"/>
      <c r="CS25" s="148"/>
      <c r="CT25" s="148"/>
      <c r="CU25" s="148"/>
      <c r="CV25" s="148"/>
      <c r="CW25" s="148"/>
      <c r="CX25" s="148"/>
      <c r="CY25" s="148"/>
      <c r="CZ25" s="148"/>
      <c r="DA25" s="148"/>
      <c r="DB25" s="148"/>
      <c r="DC25" s="148"/>
      <c r="DD25" s="148"/>
      <c r="DE25" s="148"/>
      <c r="DF25" s="148"/>
      <c r="DG25" s="148"/>
      <c r="DH25" s="148"/>
      <c r="DI25" s="148"/>
      <c r="DJ25" s="148"/>
      <c r="DK25" s="148"/>
      <c r="DL25" s="148"/>
      <c r="DM25" s="148"/>
      <c r="DN25" s="148"/>
      <c r="DO25" s="148"/>
      <c r="DP25" s="148"/>
      <c r="DQ25" s="148"/>
      <c r="DR25" s="148"/>
      <c r="DS25" s="148"/>
      <c r="DT25" s="148"/>
      <c r="DU25" s="148"/>
      <c r="DV25" s="148"/>
      <c r="DW25" s="148"/>
      <c r="DX25" s="148"/>
      <c r="DY25" s="148"/>
      <c r="DZ25" s="148"/>
      <c r="EA25" s="148"/>
      <c r="EB25" s="148"/>
      <c r="EC25" s="148"/>
      <c r="ED25" s="148"/>
      <c r="EE25" s="148"/>
      <c r="EF25" s="148"/>
      <c r="EG25" s="148"/>
      <c r="EH25" s="148"/>
      <c r="EI25" s="148"/>
      <c r="EJ25" s="148"/>
      <c r="EK25" s="148"/>
      <c r="EL25" s="148"/>
      <c r="EM25" s="148"/>
      <c r="EN25" s="148"/>
      <c r="EO25" s="148"/>
      <c r="EP25" s="148"/>
      <c r="EQ25" s="148"/>
      <c r="ER25" s="148"/>
      <c r="ES25" s="148"/>
      <c r="ET25" s="148"/>
      <c r="EU25" s="148"/>
      <c r="EV25" s="148"/>
      <c r="EW25" s="148"/>
      <c r="EX25" s="148"/>
      <c r="EY25" s="148"/>
      <c r="EZ25" s="148"/>
      <c r="FA25" s="148"/>
      <c r="FB25" s="148"/>
      <c r="FC25" s="148"/>
      <c r="FD25" s="148"/>
      <c r="FE25" s="148"/>
      <c r="FF25" s="148"/>
      <c r="FG25" s="148"/>
      <c r="FH25" s="148"/>
      <c r="FI25" s="148"/>
      <c r="FJ25" s="148"/>
      <c r="FK25" s="148"/>
      <c r="FL25" s="148"/>
      <c r="FM25" s="148"/>
      <c r="FN25" s="148"/>
      <c r="FO25" s="148"/>
      <c r="FP25" s="148"/>
      <c r="FQ25" s="148"/>
      <c r="FR25" s="148"/>
      <c r="FS25" s="148"/>
      <c r="FT25" s="148"/>
      <c r="FU25" s="148"/>
      <c r="FV25" s="148"/>
      <c r="FW25" s="148"/>
      <c r="FX25" s="148"/>
      <c r="FY25" s="148"/>
      <c r="FZ25" s="148"/>
      <c r="GA25" s="148"/>
      <c r="GB25" s="148"/>
      <c r="GC25" s="148"/>
      <c r="GD25" s="148"/>
      <c r="GE25" s="148"/>
      <c r="GF25" s="148"/>
      <c r="GG25" s="148"/>
      <c r="GH25" s="148"/>
      <c r="GI25" s="148"/>
      <c r="GJ25" s="148"/>
      <c r="GK25" s="148"/>
      <c r="GL25" s="148"/>
      <c r="GM25" s="148"/>
      <c r="GN25" s="148"/>
      <c r="GO25" s="148"/>
      <c r="GP25" s="148"/>
      <c r="GQ25" s="148"/>
      <c r="GR25" s="148"/>
      <c r="GS25" s="148"/>
      <c r="GT25" s="148"/>
      <c r="GU25" s="148"/>
      <c r="GV25" s="148"/>
      <c r="GW25" s="148"/>
      <c r="GX25" s="148"/>
      <c r="GY25" s="148"/>
      <c r="GZ25" s="148"/>
      <c r="HA25" s="148"/>
      <c r="HB25" s="148"/>
      <c r="HC25" s="148"/>
      <c r="HD25" s="148"/>
      <c r="HE25" s="148"/>
      <c r="HF25" s="148"/>
      <c r="HG25" s="148"/>
      <c r="HH25" s="148"/>
      <c r="HI25" s="148"/>
      <c r="HJ25" s="148"/>
      <c r="HK25" s="148"/>
      <c r="HL25" s="148"/>
      <c r="HM25" s="148"/>
      <c r="HN25" s="148"/>
      <c r="HO25" s="148"/>
      <c r="HP25" s="148"/>
      <c r="HQ25" s="148"/>
      <c r="HR25" s="148"/>
      <c r="HS25" s="148"/>
      <c r="HT25" s="148"/>
      <c r="HU25" s="148"/>
      <c r="HV25" s="148"/>
      <c r="HW25" s="148"/>
      <c r="HX25" s="148"/>
      <c r="HY25" s="148"/>
      <c r="HZ25" s="148"/>
      <c r="IA25" s="148"/>
      <c r="IB25" s="148"/>
      <c r="IC25" s="148"/>
    </row>
    <row r="26" spans="1:237" s="15" customFormat="1" ht="22.5" x14ac:dyDescent="0.25">
      <c r="A26" s="148"/>
      <c r="B26" s="307">
        <v>11</v>
      </c>
      <c r="C26" s="307" t="s">
        <v>38</v>
      </c>
      <c r="D26" s="450">
        <v>30388625</v>
      </c>
      <c r="E26" s="577" t="s">
        <v>2867</v>
      </c>
      <c r="F26" s="577" t="s">
        <v>897</v>
      </c>
      <c r="G26" s="533" t="s">
        <v>1902</v>
      </c>
      <c r="H26" s="553" t="s">
        <v>2868</v>
      </c>
      <c r="I26" s="534" t="s">
        <v>42</v>
      </c>
      <c r="J26" s="535">
        <v>541101</v>
      </c>
      <c r="K26" s="535">
        <v>488324</v>
      </c>
      <c r="L26" s="535">
        <v>28938</v>
      </c>
      <c r="M26" s="535">
        <v>75</v>
      </c>
      <c r="N26" s="454">
        <v>40227.160000000003</v>
      </c>
      <c r="O26" s="454">
        <v>0</v>
      </c>
      <c r="P26" s="535">
        <v>0</v>
      </c>
      <c r="Q26" s="535">
        <v>0</v>
      </c>
      <c r="R26" s="535">
        <v>0</v>
      </c>
      <c r="S26" s="535">
        <v>0</v>
      </c>
      <c r="T26" s="535"/>
      <c r="U26" s="535"/>
      <c r="V26" s="535"/>
      <c r="W26" s="535"/>
      <c r="X26" s="535"/>
      <c r="Y26" s="535"/>
      <c r="Z26" s="660">
        <f t="shared" si="2"/>
        <v>40227.160000000003</v>
      </c>
      <c r="AA26" s="535">
        <v>53607</v>
      </c>
      <c r="AB26" s="558">
        <v>1</v>
      </c>
      <c r="AC26" s="551">
        <v>44201</v>
      </c>
      <c r="AD26" s="552">
        <v>44229</v>
      </c>
      <c r="AE26" s="454"/>
      <c r="AF26" s="459"/>
      <c r="AG26" s="460"/>
      <c r="AH26" s="458"/>
      <c r="AI26" s="454"/>
      <c r="AJ26" s="456"/>
      <c r="AK26" s="460"/>
      <c r="AL26" s="458"/>
      <c r="AM26" s="454"/>
      <c r="AN26" s="456"/>
      <c r="AO26" s="460"/>
      <c r="AP26" s="458"/>
      <c r="AQ26" s="454"/>
      <c r="AR26" s="456"/>
      <c r="AS26" s="460"/>
      <c r="AT26" s="458"/>
      <c r="AU26" s="22">
        <f t="shared" si="0"/>
        <v>53607</v>
      </c>
      <c r="AV26" s="546">
        <f t="shared" si="1"/>
        <v>13379.839999999997</v>
      </c>
      <c r="AW26" s="148"/>
      <c r="AX26" s="148"/>
      <c r="AY26" s="148"/>
      <c r="AZ26" s="148"/>
      <c r="BA26" s="148"/>
      <c r="BB26" s="148"/>
      <c r="BC26" s="148"/>
      <c r="BD26" s="148"/>
      <c r="BE26" s="148"/>
      <c r="BF26" s="148"/>
      <c r="BG26" s="148"/>
      <c r="BH26" s="148"/>
      <c r="BI26" s="148"/>
      <c r="BJ26" s="148"/>
      <c r="BK26" s="148"/>
      <c r="BL26" s="148"/>
      <c r="BM26" s="148"/>
      <c r="BN26" s="148"/>
      <c r="BO26" s="148"/>
      <c r="BP26" s="148"/>
      <c r="BQ26" s="148"/>
      <c r="BR26" s="148"/>
      <c r="BS26" s="148"/>
      <c r="BT26" s="148"/>
      <c r="BU26" s="148"/>
      <c r="BV26" s="148"/>
      <c r="BW26" s="148"/>
      <c r="BX26" s="148"/>
      <c r="BY26" s="148"/>
      <c r="BZ26" s="148"/>
      <c r="CA26" s="148"/>
      <c r="CB26" s="148"/>
      <c r="CC26" s="148"/>
      <c r="CD26" s="148"/>
      <c r="CE26" s="148"/>
      <c r="CF26" s="148"/>
      <c r="CG26" s="148"/>
      <c r="CH26" s="148"/>
      <c r="CI26" s="148"/>
      <c r="CJ26" s="148"/>
      <c r="CK26" s="148"/>
      <c r="CL26" s="148"/>
      <c r="CM26" s="148"/>
      <c r="CN26" s="148"/>
      <c r="CO26" s="148"/>
      <c r="CP26" s="148"/>
      <c r="CQ26" s="148"/>
      <c r="CR26" s="148"/>
      <c r="CS26" s="148"/>
      <c r="CT26" s="148"/>
      <c r="CU26" s="148"/>
      <c r="CV26" s="148"/>
      <c r="CW26" s="148"/>
      <c r="CX26" s="148"/>
      <c r="CY26" s="148"/>
      <c r="CZ26" s="148"/>
      <c r="DA26" s="148"/>
      <c r="DB26" s="148"/>
      <c r="DC26" s="148"/>
      <c r="DD26" s="148"/>
      <c r="DE26" s="148"/>
      <c r="DF26" s="148"/>
      <c r="DG26" s="148"/>
      <c r="DH26" s="148"/>
      <c r="DI26" s="148"/>
      <c r="DJ26" s="148"/>
      <c r="DK26" s="148"/>
      <c r="DL26" s="148"/>
      <c r="DM26" s="148"/>
      <c r="DN26" s="148"/>
      <c r="DO26" s="148"/>
      <c r="DP26" s="148"/>
      <c r="DQ26" s="148"/>
      <c r="DR26" s="148"/>
      <c r="DS26" s="148"/>
      <c r="DT26" s="148"/>
      <c r="DU26" s="148"/>
      <c r="DV26" s="148"/>
      <c r="DW26" s="148"/>
      <c r="DX26" s="148"/>
      <c r="DY26" s="148"/>
      <c r="DZ26" s="148"/>
      <c r="EA26" s="148"/>
      <c r="EB26" s="148"/>
      <c r="EC26" s="148"/>
      <c r="ED26" s="148"/>
      <c r="EE26" s="148"/>
      <c r="EF26" s="148"/>
      <c r="EG26" s="148"/>
      <c r="EH26" s="148"/>
      <c r="EI26" s="148"/>
      <c r="EJ26" s="148"/>
      <c r="EK26" s="148"/>
      <c r="EL26" s="148"/>
      <c r="EM26" s="148"/>
      <c r="EN26" s="148"/>
      <c r="EO26" s="148"/>
      <c r="EP26" s="148"/>
      <c r="EQ26" s="148"/>
      <c r="ER26" s="148"/>
      <c r="ES26" s="148"/>
      <c r="ET26" s="148"/>
      <c r="EU26" s="148"/>
      <c r="EV26" s="148"/>
      <c r="EW26" s="148"/>
      <c r="EX26" s="148"/>
      <c r="EY26" s="148"/>
      <c r="EZ26" s="148"/>
      <c r="FA26" s="148"/>
      <c r="FB26" s="148"/>
      <c r="FC26" s="148"/>
      <c r="FD26" s="148"/>
      <c r="FE26" s="148"/>
      <c r="FF26" s="148"/>
      <c r="FG26" s="148"/>
      <c r="FH26" s="148"/>
      <c r="FI26" s="148"/>
      <c r="FJ26" s="148"/>
      <c r="FK26" s="148"/>
      <c r="FL26" s="148"/>
      <c r="FM26" s="148"/>
      <c r="FN26" s="148"/>
      <c r="FO26" s="148"/>
      <c r="FP26" s="148"/>
      <c r="FQ26" s="148"/>
      <c r="FR26" s="148"/>
      <c r="FS26" s="148"/>
      <c r="FT26" s="148"/>
      <c r="FU26" s="148"/>
      <c r="FV26" s="148"/>
      <c r="FW26" s="148"/>
      <c r="FX26" s="148"/>
      <c r="FY26" s="148"/>
      <c r="FZ26" s="148"/>
      <c r="GA26" s="148"/>
      <c r="GB26" s="148"/>
      <c r="GC26" s="148"/>
      <c r="GD26" s="148"/>
      <c r="GE26" s="148"/>
      <c r="GF26" s="148"/>
      <c r="GG26" s="148"/>
      <c r="GH26" s="148"/>
      <c r="GI26" s="148"/>
      <c r="GJ26" s="148"/>
      <c r="GK26" s="148"/>
      <c r="GL26" s="148"/>
      <c r="GM26" s="148"/>
      <c r="GN26" s="148"/>
      <c r="GO26" s="148"/>
      <c r="GP26" s="148"/>
      <c r="GQ26" s="148"/>
      <c r="GR26" s="148"/>
      <c r="GS26" s="148"/>
      <c r="GT26" s="148"/>
      <c r="GU26" s="148"/>
      <c r="GV26" s="148"/>
      <c r="GW26" s="148"/>
      <c r="GX26" s="148"/>
      <c r="GY26" s="148"/>
      <c r="GZ26" s="148"/>
      <c r="HA26" s="148"/>
      <c r="HB26" s="148"/>
      <c r="HC26" s="148"/>
      <c r="HD26" s="148"/>
      <c r="HE26" s="148"/>
      <c r="HF26" s="148"/>
      <c r="HG26" s="148"/>
      <c r="HH26" s="148"/>
      <c r="HI26" s="148"/>
      <c r="HJ26" s="148"/>
      <c r="HK26" s="148"/>
      <c r="HL26" s="148"/>
      <c r="HM26" s="148"/>
      <c r="HN26" s="148"/>
      <c r="HO26" s="148"/>
      <c r="HP26" s="148"/>
      <c r="HQ26" s="148"/>
      <c r="HR26" s="148"/>
      <c r="HS26" s="148"/>
      <c r="HT26" s="148"/>
      <c r="HU26" s="148"/>
      <c r="HV26" s="148"/>
      <c r="HW26" s="148"/>
      <c r="HX26" s="148"/>
      <c r="HY26" s="148"/>
      <c r="HZ26" s="148"/>
      <c r="IA26" s="148"/>
      <c r="IB26" s="148"/>
      <c r="IC26" s="148"/>
    </row>
    <row r="27" spans="1:237" s="15" customFormat="1" ht="22.5" x14ac:dyDescent="0.25">
      <c r="A27" s="148"/>
      <c r="B27" s="307">
        <v>12</v>
      </c>
      <c r="C27" s="307" t="s">
        <v>38</v>
      </c>
      <c r="D27" s="450">
        <v>30482642</v>
      </c>
      <c r="E27" s="577" t="s">
        <v>2869</v>
      </c>
      <c r="F27" s="577" t="s">
        <v>897</v>
      </c>
      <c r="G27" s="533" t="s">
        <v>1902</v>
      </c>
      <c r="H27" s="553" t="s">
        <v>2870</v>
      </c>
      <c r="I27" s="534" t="s">
        <v>42</v>
      </c>
      <c r="J27" s="535">
        <v>1025021</v>
      </c>
      <c r="K27" s="535">
        <v>257574</v>
      </c>
      <c r="L27" s="535">
        <v>0</v>
      </c>
      <c r="M27" s="535">
        <v>0</v>
      </c>
      <c r="N27" s="454">
        <v>75698.111999999994</v>
      </c>
      <c r="O27" s="454">
        <v>72306.267000000007</v>
      </c>
      <c r="P27" s="535">
        <v>51809.983999999997</v>
      </c>
      <c r="Q27" s="535">
        <f>46171457/1000</f>
        <v>46171.457000000002</v>
      </c>
      <c r="R27" s="535">
        <f>25024316/1000</f>
        <v>25024.315999999999</v>
      </c>
      <c r="S27" s="535">
        <f>27938820/1000</f>
        <v>27938.82</v>
      </c>
      <c r="T27" s="535"/>
      <c r="U27" s="535"/>
      <c r="V27" s="535"/>
      <c r="W27" s="535"/>
      <c r="X27" s="535"/>
      <c r="Y27" s="535"/>
      <c r="Z27" s="660">
        <f t="shared" si="2"/>
        <v>298948.95600000001</v>
      </c>
      <c r="AA27" s="535">
        <v>679545</v>
      </c>
      <c r="AB27" s="558">
        <v>1</v>
      </c>
      <c r="AC27" s="551">
        <v>44201</v>
      </c>
      <c r="AD27" s="552">
        <v>44229</v>
      </c>
      <c r="AE27" s="454"/>
      <c r="AF27" s="459"/>
      <c r="AG27" s="460"/>
      <c r="AH27" s="458"/>
      <c r="AI27" s="454"/>
      <c r="AJ27" s="456"/>
      <c r="AK27" s="460"/>
      <c r="AL27" s="458"/>
      <c r="AM27" s="454"/>
      <c r="AN27" s="456"/>
      <c r="AO27" s="460"/>
      <c r="AP27" s="458"/>
      <c r="AQ27" s="454"/>
      <c r="AR27" s="456"/>
      <c r="AS27" s="460"/>
      <c r="AT27" s="458"/>
      <c r="AU27" s="22">
        <f t="shared" si="0"/>
        <v>679545</v>
      </c>
      <c r="AV27" s="546">
        <f t="shared" si="1"/>
        <v>380596.04399999999</v>
      </c>
      <c r="AW27" s="148"/>
      <c r="AX27" s="148"/>
      <c r="AY27" s="148"/>
      <c r="AZ27" s="148"/>
      <c r="BA27" s="148"/>
      <c r="BB27" s="148"/>
      <c r="BC27" s="148"/>
      <c r="BD27" s="148"/>
      <c r="BE27" s="148"/>
      <c r="BF27" s="148"/>
      <c r="BG27" s="148"/>
      <c r="BH27" s="148"/>
      <c r="BI27" s="148"/>
      <c r="BJ27" s="148"/>
      <c r="BK27" s="148"/>
      <c r="BL27" s="148"/>
      <c r="BM27" s="148"/>
      <c r="BN27" s="148"/>
      <c r="BO27" s="148"/>
      <c r="BP27" s="148"/>
      <c r="BQ27" s="148"/>
      <c r="BR27" s="148"/>
      <c r="BS27" s="148"/>
      <c r="BT27" s="148"/>
      <c r="BU27" s="148"/>
      <c r="BV27" s="148"/>
      <c r="BW27" s="148"/>
      <c r="BX27" s="148"/>
      <c r="BY27" s="148"/>
      <c r="BZ27" s="148"/>
      <c r="CA27" s="148"/>
      <c r="CB27" s="148"/>
      <c r="CC27" s="148"/>
      <c r="CD27" s="148"/>
      <c r="CE27" s="148"/>
      <c r="CF27" s="148"/>
      <c r="CG27" s="148"/>
      <c r="CH27" s="148"/>
      <c r="CI27" s="148"/>
      <c r="CJ27" s="148"/>
      <c r="CK27" s="148"/>
      <c r="CL27" s="148"/>
      <c r="CM27" s="148"/>
      <c r="CN27" s="148"/>
      <c r="CO27" s="148"/>
      <c r="CP27" s="148"/>
      <c r="CQ27" s="148"/>
      <c r="CR27" s="148"/>
      <c r="CS27" s="148"/>
      <c r="CT27" s="148"/>
      <c r="CU27" s="148"/>
      <c r="CV27" s="148"/>
      <c r="CW27" s="148"/>
      <c r="CX27" s="148"/>
      <c r="CY27" s="148"/>
      <c r="CZ27" s="148"/>
      <c r="DA27" s="148"/>
      <c r="DB27" s="148"/>
      <c r="DC27" s="148"/>
      <c r="DD27" s="148"/>
      <c r="DE27" s="148"/>
      <c r="DF27" s="148"/>
      <c r="DG27" s="148"/>
      <c r="DH27" s="148"/>
      <c r="DI27" s="148"/>
      <c r="DJ27" s="148"/>
      <c r="DK27" s="148"/>
      <c r="DL27" s="148"/>
      <c r="DM27" s="148"/>
      <c r="DN27" s="148"/>
      <c r="DO27" s="148"/>
      <c r="DP27" s="148"/>
      <c r="DQ27" s="148"/>
      <c r="DR27" s="148"/>
      <c r="DS27" s="148"/>
      <c r="DT27" s="148"/>
      <c r="DU27" s="148"/>
      <c r="DV27" s="148"/>
      <c r="DW27" s="148"/>
      <c r="DX27" s="148"/>
      <c r="DY27" s="148"/>
      <c r="DZ27" s="148"/>
      <c r="EA27" s="148"/>
      <c r="EB27" s="148"/>
      <c r="EC27" s="148"/>
      <c r="ED27" s="148"/>
      <c r="EE27" s="148"/>
      <c r="EF27" s="148"/>
      <c r="EG27" s="148"/>
      <c r="EH27" s="148"/>
      <c r="EI27" s="148"/>
      <c r="EJ27" s="148"/>
      <c r="EK27" s="148"/>
      <c r="EL27" s="148"/>
      <c r="EM27" s="148"/>
      <c r="EN27" s="148"/>
      <c r="EO27" s="148"/>
      <c r="EP27" s="148"/>
      <c r="EQ27" s="148"/>
      <c r="ER27" s="148"/>
      <c r="ES27" s="148"/>
      <c r="ET27" s="148"/>
      <c r="EU27" s="148"/>
      <c r="EV27" s="148"/>
      <c r="EW27" s="148"/>
      <c r="EX27" s="148"/>
      <c r="EY27" s="148"/>
      <c r="EZ27" s="148"/>
      <c r="FA27" s="148"/>
      <c r="FB27" s="148"/>
      <c r="FC27" s="148"/>
      <c r="FD27" s="148"/>
      <c r="FE27" s="148"/>
      <c r="FF27" s="148"/>
      <c r="FG27" s="148"/>
      <c r="FH27" s="148"/>
      <c r="FI27" s="148"/>
      <c r="FJ27" s="148"/>
      <c r="FK27" s="148"/>
      <c r="FL27" s="148"/>
      <c r="FM27" s="148"/>
      <c r="FN27" s="148"/>
      <c r="FO27" s="148"/>
      <c r="FP27" s="148"/>
      <c r="FQ27" s="148"/>
      <c r="FR27" s="148"/>
      <c r="FS27" s="148"/>
      <c r="FT27" s="148"/>
      <c r="FU27" s="148"/>
      <c r="FV27" s="148"/>
      <c r="FW27" s="148"/>
      <c r="FX27" s="148"/>
      <c r="FY27" s="148"/>
      <c r="FZ27" s="148"/>
      <c r="GA27" s="148"/>
      <c r="GB27" s="148"/>
      <c r="GC27" s="148"/>
      <c r="GD27" s="148"/>
      <c r="GE27" s="148"/>
      <c r="GF27" s="148"/>
      <c r="GG27" s="148"/>
      <c r="GH27" s="148"/>
      <c r="GI27" s="148"/>
      <c r="GJ27" s="148"/>
      <c r="GK27" s="148"/>
      <c r="GL27" s="148"/>
      <c r="GM27" s="148"/>
      <c r="GN27" s="148"/>
      <c r="GO27" s="148"/>
      <c r="GP27" s="148"/>
      <c r="GQ27" s="148"/>
      <c r="GR27" s="148"/>
      <c r="GS27" s="148"/>
      <c r="GT27" s="148"/>
      <c r="GU27" s="148"/>
      <c r="GV27" s="148"/>
      <c r="GW27" s="148"/>
      <c r="GX27" s="148"/>
      <c r="GY27" s="148"/>
      <c r="GZ27" s="148"/>
      <c r="HA27" s="148"/>
      <c r="HB27" s="148"/>
      <c r="HC27" s="148"/>
      <c r="HD27" s="148"/>
      <c r="HE27" s="148"/>
      <c r="HF27" s="148"/>
      <c r="HG27" s="148"/>
      <c r="HH27" s="148"/>
      <c r="HI27" s="148"/>
      <c r="HJ27" s="148"/>
      <c r="HK27" s="148"/>
      <c r="HL27" s="148"/>
      <c r="HM27" s="148"/>
      <c r="HN27" s="148"/>
      <c r="HO27" s="148"/>
      <c r="HP27" s="148"/>
      <c r="HQ27" s="148"/>
      <c r="HR27" s="148"/>
      <c r="HS27" s="148"/>
      <c r="HT27" s="148"/>
      <c r="HU27" s="148"/>
      <c r="HV27" s="148"/>
      <c r="HW27" s="148"/>
      <c r="HX27" s="148"/>
      <c r="HY27" s="148"/>
      <c r="HZ27" s="148"/>
      <c r="IA27" s="148"/>
      <c r="IB27" s="148"/>
      <c r="IC27" s="148"/>
    </row>
    <row r="28" spans="1:237" s="15" customFormat="1" x14ac:dyDescent="0.25">
      <c r="A28" s="148"/>
      <c r="B28" s="307">
        <v>9</v>
      </c>
      <c r="C28" s="307" t="s">
        <v>38</v>
      </c>
      <c r="D28" s="450">
        <v>30352123</v>
      </c>
      <c r="E28" s="577" t="s">
        <v>2871</v>
      </c>
      <c r="F28" s="577" t="s">
        <v>897</v>
      </c>
      <c r="G28" s="533" t="s">
        <v>1902</v>
      </c>
      <c r="H28" s="553" t="s">
        <v>2872</v>
      </c>
      <c r="I28" s="534" t="s">
        <v>42</v>
      </c>
      <c r="J28" s="535">
        <v>1284130</v>
      </c>
      <c r="K28" s="535">
        <v>902622</v>
      </c>
      <c r="L28" s="535">
        <v>0</v>
      </c>
      <c r="M28" s="535">
        <v>0</v>
      </c>
      <c r="N28" s="454">
        <v>143017.95699999999</v>
      </c>
      <c r="O28" s="454">
        <v>32782.601000000002</v>
      </c>
      <c r="P28" s="535">
        <v>0</v>
      </c>
      <c r="Q28" s="535">
        <v>0</v>
      </c>
      <c r="R28" s="535">
        <v>0</v>
      </c>
      <c r="S28" s="535">
        <v>0</v>
      </c>
      <c r="T28" s="535"/>
      <c r="U28" s="535"/>
      <c r="V28" s="535"/>
      <c r="W28" s="535"/>
      <c r="X28" s="535"/>
      <c r="Y28" s="535"/>
      <c r="Z28" s="660">
        <f t="shared" si="2"/>
        <v>175800.55799999999</v>
      </c>
      <c r="AA28" s="535">
        <v>515487</v>
      </c>
      <c r="AB28" s="558">
        <v>1</v>
      </c>
      <c r="AC28" s="551">
        <v>44201</v>
      </c>
      <c r="AD28" s="552">
        <v>44229</v>
      </c>
      <c r="AE28" s="454">
        <v>-250849</v>
      </c>
      <c r="AF28" s="459">
        <v>11</v>
      </c>
      <c r="AG28" s="457">
        <v>44307</v>
      </c>
      <c r="AH28" s="458">
        <v>44328</v>
      </c>
      <c r="AI28" s="454">
        <v>122237</v>
      </c>
      <c r="AJ28" s="456">
        <v>15</v>
      </c>
      <c r="AK28" s="457">
        <v>44333</v>
      </c>
      <c r="AL28" s="458">
        <v>44355</v>
      </c>
      <c r="AM28" s="454"/>
      <c r="AN28" s="456"/>
      <c r="AO28" s="460"/>
      <c r="AP28" s="458"/>
      <c r="AQ28" s="454"/>
      <c r="AR28" s="456"/>
      <c r="AS28" s="460"/>
      <c r="AT28" s="458"/>
      <c r="AU28" s="22">
        <f t="shared" si="0"/>
        <v>386875</v>
      </c>
      <c r="AV28" s="546">
        <f t="shared" si="1"/>
        <v>211074.44200000001</v>
      </c>
      <c r="AW28" s="148"/>
      <c r="AX28" s="148"/>
      <c r="AY28" s="148"/>
      <c r="AZ28" s="148"/>
      <c r="BA28" s="148"/>
      <c r="BB28" s="148"/>
      <c r="BC28" s="148"/>
      <c r="BD28" s="148"/>
      <c r="BE28" s="148"/>
      <c r="BF28" s="148"/>
      <c r="BG28" s="148"/>
      <c r="BH28" s="148"/>
      <c r="BI28" s="148"/>
      <c r="BJ28" s="148"/>
      <c r="BK28" s="148"/>
      <c r="BL28" s="148"/>
      <c r="BM28" s="148"/>
      <c r="BN28" s="148"/>
      <c r="BO28" s="148"/>
      <c r="BP28" s="148"/>
      <c r="BQ28" s="148"/>
      <c r="BR28" s="148"/>
      <c r="BS28" s="148"/>
      <c r="BT28" s="148"/>
      <c r="BU28" s="148"/>
      <c r="BV28" s="148"/>
      <c r="BW28" s="148"/>
      <c r="BX28" s="148"/>
      <c r="BY28" s="148"/>
      <c r="BZ28" s="148"/>
      <c r="CA28" s="148"/>
      <c r="CB28" s="148"/>
      <c r="CC28" s="148"/>
      <c r="CD28" s="148"/>
      <c r="CE28" s="148"/>
      <c r="CF28" s="148"/>
      <c r="CG28" s="148"/>
      <c r="CH28" s="148"/>
      <c r="CI28" s="148"/>
      <c r="CJ28" s="148"/>
      <c r="CK28" s="148"/>
      <c r="CL28" s="148"/>
      <c r="CM28" s="148"/>
      <c r="CN28" s="148"/>
      <c r="CO28" s="148"/>
      <c r="CP28" s="148"/>
      <c r="CQ28" s="148"/>
      <c r="CR28" s="148"/>
      <c r="CS28" s="148"/>
      <c r="CT28" s="148"/>
      <c r="CU28" s="148"/>
      <c r="CV28" s="148"/>
      <c r="CW28" s="148"/>
      <c r="CX28" s="148"/>
      <c r="CY28" s="148"/>
      <c r="CZ28" s="148"/>
      <c r="DA28" s="148"/>
      <c r="DB28" s="148"/>
      <c r="DC28" s="148"/>
      <c r="DD28" s="148"/>
      <c r="DE28" s="148"/>
      <c r="DF28" s="148"/>
      <c r="DG28" s="148"/>
      <c r="DH28" s="148"/>
      <c r="DI28" s="148"/>
      <c r="DJ28" s="148"/>
      <c r="DK28" s="148"/>
      <c r="DL28" s="148"/>
      <c r="DM28" s="148"/>
      <c r="DN28" s="148"/>
      <c r="DO28" s="148"/>
      <c r="DP28" s="148"/>
      <c r="DQ28" s="148"/>
      <c r="DR28" s="148"/>
      <c r="DS28" s="148"/>
      <c r="DT28" s="148"/>
      <c r="DU28" s="148"/>
      <c r="DV28" s="148"/>
      <c r="DW28" s="148"/>
      <c r="DX28" s="148"/>
      <c r="DY28" s="148"/>
      <c r="DZ28" s="148"/>
      <c r="EA28" s="148"/>
      <c r="EB28" s="148"/>
      <c r="EC28" s="148"/>
      <c r="ED28" s="148"/>
      <c r="EE28" s="148"/>
      <c r="EF28" s="148"/>
      <c r="EG28" s="148"/>
      <c r="EH28" s="148"/>
      <c r="EI28" s="148"/>
      <c r="EJ28" s="148"/>
      <c r="EK28" s="148"/>
      <c r="EL28" s="148"/>
      <c r="EM28" s="148"/>
      <c r="EN28" s="148"/>
      <c r="EO28" s="148"/>
      <c r="EP28" s="148"/>
      <c r="EQ28" s="148"/>
      <c r="ER28" s="148"/>
      <c r="ES28" s="148"/>
      <c r="ET28" s="148"/>
      <c r="EU28" s="148"/>
      <c r="EV28" s="148"/>
      <c r="EW28" s="148"/>
      <c r="EX28" s="148"/>
      <c r="EY28" s="148"/>
      <c r="EZ28" s="148"/>
      <c r="FA28" s="148"/>
      <c r="FB28" s="148"/>
      <c r="FC28" s="148"/>
      <c r="FD28" s="148"/>
      <c r="FE28" s="148"/>
      <c r="FF28" s="148"/>
      <c r="FG28" s="148"/>
      <c r="FH28" s="148"/>
      <c r="FI28" s="148"/>
      <c r="FJ28" s="148"/>
      <c r="FK28" s="148"/>
      <c r="FL28" s="148"/>
      <c r="FM28" s="148"/>
      <c r="FN28" s="148"/>
      <c r="FO28" s="148"/>
      <c r="FP28" s="148"/>
      <c r="FQ28" s="148"/>
      <c r="FR28" s="148"/>
      <c r="FS28" s="148"/>
      <c r="FT28" s="148"/>
      <c r="FU28" s="148"/>
      <c r="FV28" s="148"/>
      <c r="FW28" s="148"/>
      <c r="FX28" s="148"/>
      <c r="FY28" s="148"/>
      <c r="FZ28" s="148"/>
      <c r="GA28" s="148"/>
      <c r="GB28" s="148"/>
      <c r="GC28" s="148"/>
      <c r="GD28" s="148"/>
      <c r="GE28" s="148"/>
      <c r="GF28" s="148"/>
      <c r="GG28" s="148"/>
      <c r="GH28" s="148"/>
      <c r="GI28" s="148"/>
      <c r="GJ28" s="148"/>
      <c r="GK28" s="148"/>
      <c r="GL28" s="148"/>
      <c r="GM28" s="148"/>
      <c r="GN28" s="148"/>
      <c r="GO28" s="148"/>
      <c r="GP28" s="148"/>
      <c r="GQ28" s="148"/>
      <c r="GR28" s="148"/>
      <c r="GS28" s="148"/>
      <c r="GT28" s="148"/>
      <c r="GU28" s="148"/>
      <c r="GV28" s="148"/>
      <c r="GW28" s="148"/>
      <c r="GX28" s="148"/>
      <c r="GY28" s="148"/>
      <c r="GZ28" s="148"/>
      <c r="HA28" s="148"/>
      <c r="HB28" s="148"/>
      <c r="HC28" s="148"/>
      <c r="HD28" s="148"/>
      <c r="HE28" s="148"/>
      <c r="HF28" s="148"/>
      <c r="HG28" s="148"/>
      <c r="HH28" s="148"/>
      <c r="HI28" s="148"/>
      <c r="HJ28" s="148"/>
      <c r="HK28" s="148"/>
      <c r="HL28" s="148"/>
      <c r="HM28" s="148"/>
      <c r="HN28" s="148"/>
      <c r="HO28" s="148"/>
      <c r="HP28" s="148"/>
      <c r="HQ28" s="148"/>
      <c r="HR28" s="148"/>
      <c r="HS28" s="148"/>
      <c r="HT28" s="148"/>
      <c r="HU28" s="148"/>
      <c r="HV28" s="148"/>
      <c r="HW28" s="148"/>
      <c r="HX28" s="148"/>
      <c r="HY28" s="148"/>
      <c r="HZ28" s="148"/>
      <c r="IA28" s="148"/>
      <c r="IB28" s="148"/>
      <c r="IC28" s="148"/>
    </row>
    <row r="29" spans="1:237" s="15" customFormat="1" ht="22.5" x14ac:dyDescent="0.25">
      <c r="A29" s="148"/>
      <c r="B29" s="307">
        <v>10</v>
      </c>
      <c r="C29" s="307" t="s">
        <v>38</v>
      </c>
      <c r="D29" s="450">
        <v>30374724</v>
      </c>
      <c r="E29" s="577" t="s">
        <v>2873</v>
      </c>
      <c r="F29" s="577" t="s">
        <v>897</v>
      </c>
      <c r="G29" s="533" t="s">
        <v>1902</v>
      </c>
      <c r="H29" s="553" t="s">
        <v>2853</v>
      </c>
      <c r="I29" s="534" t="s">
        <v>42</v>
      </c>
      <c r="J29" s="535">
        <v>2270852</v>
      </c>
      <c r="K29" s="535">
        <v>628864</v>
      </c>
      <c r="L29" s="535">
        <v>0</v>
      </c>
      <c r="M29" s="535">
        <v>2</v>
      </c>
      <c r="N29" s="454">
        <v>669365.99300000002</v>
      </c>
      <c r="O29" s="454">
        <v>14000</v>
      </c>
      <c r="P29" s="535">
        <v>525303.6</v>
      </c>
      <c r="Q29" s="535">
        <f>174046516/1000</f>
        <v>174046.516</v>
      </c>
      <c r="R29" s="535">
        <f>70097933/1000</f>
        <v>70097.933000000005</v>
      </c>
      <c r="S29" s="535">
        <v>0</v>
      </c>
      <c r="T29" s="535"/>
      <c r="U29" s="535"/>
      <c r="V29" s="535"/>
      <c r="W29" s="535"/>
      <c r="X29" s="535"/>
      <c r="Y29" s="535"/>
      <c r="Z29" s="660">
        <f t="shared" si="2"/>
        <v>1452814.0419999999</v>
      </c>
      <c r="AA29" s="535">
        <v>1641440</v>
      </c>
      <c r="AB29" s="558">
        <v>1</v>
      </c>
      <c r="AC29" s="551">
        <v>44201</v>
      </c>
      <c r="AD29" s="552">
        <v>44229</v>
      </c>
      <c r="AE29" s="454">
        <v>-90365</v>
      </c>
      <c r="AF29" s="459">
        <v>11</v>
      </c>
      <c r="AG29" s="457">
        <v>44307</v>
      </c>
      <c r="AH29" s="458">
        <v>44328</v>
      </c>
      <c r="AI29" s="454"/>
      <c r="AJ29" s="456"/>
      <c r="AK29" s="460"/>
      <c r="AL29" s="458"/>
      <c r="AM29" s="454"/>
      <c r="AN29" s="456"/>
      <c r="AO29" s="460"/>
      <c r="AP29" s="458"/>
      <c r="AQ29" s="454"/>
      <c r="AR29" s="456"/>
      <c r="AS29" s="460"/>
      <c r="AT29" s="458"/>
      <c r="AU29" s="22">
        <f t="shared" si="0"/>
        <v>1551075</v>
      </c>
      <c r="AV29" s="546">
        <f t="shared" si="1"/>
        <v>98260.958000000101</v>
      </c>
      <c r="AW29" s="148"/>
      <c r="AX29" s="148"/>
      <c r="AY29" s="148"/>
      <c r="AZ29" s="148"/>
      <c r="BA29" s="148"/>
      <c r="BB29" s="148"/>
      <c r="BC29" s="148"/>
      <c r="BD29" s="148"/>
      <c r="BE29" s="148"/>
      <c r="BF29" s="148"/>
      <c r="BG29" s="148"/>
      <c r="BH29" s="148"/>
      <c r="BI29" s="148"/>
      <c r="BJ29" s="148"/>
      <c r="BK29" s="148"/>
      <c r="BL29" s="148"/>
      <c r="BM29" s="148"/>
      <c r="BN29" s="148"/>
      <c r="BO29" s="148"/>
      <c r="BP29" s="148"/>
      <c r="BQ29" s="148"/>
      <c r="BR29" s="148"/>
      <c r="BS29" s="148"/>
      <c r="BT29" s="148"/>
      <c r="BU29" s="148"/>
      <c r="BV29" s="148"/>
      <c r="BW29" s="148"/>
      <c r="BX29" s="148"/>
      <c r="BY29" s="148"/>
      <c r="BZ29" s="148"/>
      <c r="CA29" s="148"/>
      <c r="CB29" s="148"/>
      <c r="CC29" s="148"/>
      <c r="CD29" s="148"/>
      <c r="CE29" s="148"/>
      <c r="CF29" s="148"/>
      <c r="CG29" s="148"/>
      <c r="CH29" s="148"/>
      <c r="CI29" s="148"/>
      <c r="CJ29" s="148"/>
      <c r="CK29" s="148"/>
      <c r="CL29" s="148"/>
      <c r="CM29" s="148"/>
      <c r="CN29" s="148"/>
      <c r="CO29" s="148"/>
      <c r="CP29" s="148"/>
      <c r="CQ29" s="148"/>
      <c r="CR29" s="148"/>
      <c r="CS29" s="148"/>
      <c r="CT29" s="148"/>
      <c r="CU29" s="148"/>
      <c r="CV29" s="148"/>
      <c r="CW29" s="148"/>
      <c r="CX29" s="148"/>
      <c r="CY29" s="148"/>
      <c r="CZ29" s="148"/>
      <c r="DA29" s="148"/>
      <c r="DB29" s="148"/>
      <c r="DC29" s="148"/>
      <c r="DD29" s="148"/>
      <c r="DE29" s="148"/>
      <c r="DF29" s="148"/>
      <c r="DG29" s="148"/>
      <c r="DH29" s="148"/>
      <c r="DI29" s="148"/>
      <c r="DJ29" s="148"/>
      <c r="DK29" s="148"/>
      <c r="DL29" s="148"/>
      <c r="DM29" s="148"/>
      <c r="DN29" s="148"/>
      <c r="DO29" s="148"/>
      <c r="DP29" s="148"/>
      <c r="DQ29" s="148"/>
      <c r="DR29" s="148"/>
      <c r="DS29" s="148"/>
      <c r="DT29" s="148"/>
      <c r="DU29" s="148"/>
      <c r="DV29" s="148"/>
      <c r="DW29" s="148"/>
      <c r="DX29" s="148"/>
      <c r="DY29" s="148"/>
      <c r="DZ29" s="148"/>
      <c r="EA29" s="148"/>
      <c r="EB29" s="148"/>
      <c r="EC29" s="148"/>
      <c r="ED29" s="148"/>
      <c r="EE29" s="148"/>
      <c r="EF29" s="148"/>
      <c r="EG29" s="148"/>
      <c r="EH29" s="148"/>
      <c r="EI29" s="148"/>
      <c r="EJ29" s="148"/>
      <c r="EK29" s="148"/>
      <c r="EL29" s="148"/>
      <c r="EM29" s="148"/>
      <c r="EN29" s="148"/>
      <c r="EO29" s="148"/>
      <c r="EP29" s="148"/>
      <c r="EQ29" s="148"/>
      <c r="ER29" s="148"/>
      <c r="ES29" s="148"/>
      <c r="ET29" s="148"/>
      <c r="EU29" s="148"/>
      <c r="EV29" s="148"/>
      <c r="EW29" s="148"/>
      <c r="EX29" s="148"/>
      <c r="EY29" s="148"/>
      <c r="EZ29" s="148"/>
      <c r="FA29" s="148"/>
      <c r="FB29" s="148"/>
      <c r="FC29" s="148"/>
      <c r="FD29" s="148"/>
      <c r="FE29" s="148"/>
      <c r="FF29" s="148"/>
      <c r="FG29" s="148"/>
      <c r="FH29" s="148"/>
      <c r="FI29" s="148"/>
      <c r="FJ29" s="148"/>
      <c r="FK29" s="148"/>
      <c r="FL29" s="148"/>
      <c r="FM29" s="148"/>
      <c r="FN29" s="148"/>
      <c r="FO29" s="148"/>
      <c r="FP29" s="148"/>
      <c r="FQ29" s="148"/>
      <c r="FR29" s="148"/>
      <c r="FS29" s="148"/>
      <c r="FT29" s="148"/>
      <c r="FU29" s="148"/>
      <c r="FV29" s="148"/>
      <c r="FW29" s="148"/>
      <c r="FX29" s="148"/>
      <c r="FY29" s="148"/>
      <c r="FZ29" s="148"/>
      <c r="GA29" s="148"/>
      <c r="GB29" s="148"/>
      <c r="GC29" s="148"/>
      <c r="GD29" s="148"/>
      <c r="GE29" s="148"/>
      <c r="GF29" s="148"/>
      <c r="GG29" s="148"/>
      <c r="GH29" s="148"/>
      <c r="GI29" s="148"/>
      <c r="GJ29" s="148"/>
      <c r="GK29" s="148"/>
      <c r="GL29" s="148"/>
      <c r="GM29" s="148"/>
      <c r="GN29" s="148"/>
      <c r="GO29" s="148"/>
      <c r="GP29" s="148"/>
      <c r="GQ29" s="148"/>
      <c r="GR29" s="148"/>
      <c r="GS29" s="148"/>
      <c r="GT29" s="148"/>
      <c r="GU29" s="148"/>
      <c r="GV29" s="148"/>
      <c r="GW29" s="148"/>
      <c r="GX29" s="148"/>
      <c r="GY29" s="148"/>
      <c r="GZ29" s="148"/>
      <c r="HA29" s="148"/>
      <c r="HB29" s="148"/>
      <c r="HC29" s="148"/>
      <c r="HD29" s="148"/>
      <c r="HE29" s="148"/>
      <c r="HF29" s="148"/>
      <c r="HG29" s="148"/>
      <c r="HH29" s="148"/>
      <c r="HI29" s="148"/>
      <c r="HJ29" s="148"/>
      <c r="HK29" s="148"/>
      <c r="HL29" s="148"/>
      <c r="HM29" s="148"/>
      <c r="HN29" s="148"/>
      <c r="HO29" s="148"/>
      <c r="HP29" s="148"/>
      <c r="HQ29" s="148"/>
      <c r="HR29" s="148"/>
      <c r="HS29" s="148"/>
      <c r="HT29" s="148"/>
      <c r="HU29" s="148"/>
      <c r="HV29" s="148"/>
      <c r="HW29" s="148"/>
      <c r="HX29" s="148"/>
      <c r="HY29" s="148"/>
      <c r="HZ29" s="148"/>
      <c r="IA29" s="148"/>
      <c r="IB29" s="148"/>
      <c r="IC29" s="148"/>
    </row>
    <row r="30" spans="1:237" s="15" customFormat="1" ht="22.5" x14ac:dyDescent="0.25">
      <c r="A30" s="148"/>
      <c r="B30" s="307">
        <v>15</v>
      </c>
      <c r="C30" s="307" t="s">
        <v>38</v>
      </c>
      <c r="D30" s="450">
        <v>30486833</v>
      </c>
      <c r="E30" s="577" t="s">
        <v>2874</v>
      </c>
      <c r="F30" s="577" t="s">
        <v>897</v>
      </c>
      <c r="G30" s="533" t="s">
        <v>1902</v>
      </c>
      <c r="H30" s="553" t="s">
        <v>2870</v>
      </c>
      <c r="I30" s="534" t="s">
        <v>42</v>
      </c>
      <c r="J30" s="535">
        <v>232035</v>
      </c>
      <c r="K30" s="535">
        <v>201537</v>
      </c>
      <c r="L30" s="535">
        <v>1358</v>
      </c>
      <c r="M30" s="535">
        <v>0</v>
      </c>
      <c r="N30" s="454">
        <v>0</v>
      </c>
      <c r="O30" s="454">
        <v>9556.33</v>
      </c>
      <c r="P30" s="535">
        <v>0</v>
      </c>
      <c r="Q30" s="535">
        <f>9317626/1000</f>
        <v>9317.6260000000002</v>
      </c>
      <c r="R30" s="535">
        <v>0</v>
      </c>
      <c r="S30" s="535">
        <v>0</v>
      </c>
      <c r="T30" s="535"/>
      <c r="U30" s="535"/>
      <c r="V30" s="535"/>
      <c r="W30" s="535"/>
      <c r="X30" s="535"/>
      <c r="Y30" s="535"/>
      <c r="Z30" s="660">
        <f t="shared" si="2"/>
        <v>18873.955999999998</v>
      </c>
      <c r="AA30" s="535">
        <v>30498</v>
      </c>
      <c r="AB30" s="558">
        <v>1</v>
      </c>
      <c r="AC30" s="551">
        <v>44201</v>
      </c>
      <c r="AD30" s="552">
        <v>44229</v>
      </c>
      <c r="AE30" s="454"/>
      <c r="AF30" s="459"/>
      <c r="AG30" s="460"/>
      <c r="AH30" s="458"/>
      <c r="AI30" s="454"/>
      <c r="AJ30" s="456"/>
      <c r="AK30" s="460"/>
      <c r="AL30" s="458"/>
      <c r="AM30" s="454"/>
      <c r="AN30" s="456"/>
      <c r="AO30" s="460"/>
      <c r="AP30" s="458"/>
      <c r="AQ30" s="454"/>
      <c r="AR30" s="456"/>
      <c r="AS30" s="460"/>
      <c r="AT30" s="458"/>
      <c r="AU30" s="22">
        <f t="shared" si="0"/>
        <v>30498</v>
      </c>
      <c r="AV30" s="546">
        <f t="shared" si="1"/>
        <v>11624.044000000002</v>
      </c>
      <c r="AW30" s="148"/>
      <c r="AX30" s="148"/>
      <c r="AY30" s="148"/>
      <c r="AZ30" s="148"/>
      <c r="BA30" s="148"/>
      <c r="BB30" s="148"/>
      <c r="BC30" s="148"/>
      <c r="BD30" s="148"/>
      <c r="BE30" s="148"/>
      <c r="BF30" s="148"/>
      <c r="BG30" s="148"/>
      <c r="BH30" s="148"/>
      <c r="BI30" s="148"/>
      <c r="BJ30" s="148"/>
      <c r="BK30" s="148"/>
      <c r="BL30" s="148"/>
      <c r="BM30" s="148"/>
      <c r="BN30" s="148"/>
      <c r="BO30" s="148"/>
      <c r="BP30" s="148"/>
      <c r="BQ30" s="148"/>
      <c r="BR30" s="148"/>
      <c r="BS30" s="148"/>
      <c r="BT30" s="148"/>
      <c r="BU30" s="148"/>
      <c r="BV30" s="148"/>
      <c r="BW30" s="148"/>
      <c r="BX30" s="148"/>
      <c r="BY30" s="148"/>
      <c r="BZ30" s="148"/>
      <c r="CA30" s="148"/>
      <c r="CB30" s="148"/>
      <c r="CC30" s="148"/>
      <c r="CD30" s="148"/>
      <c r="CE30" s="148"/>
      <c r="CF30" s="148"/>
      <c r="CG30" s="148"/>
      <c r="CH30" s="148"/>
      <c r="CI30" s="148"/>
      <c r="CJ30" s="148"/>
      <c r="CK30" s="148"/>
      <c r="CL30" s="148"/>
      <c r="CM30" s="148"/>
      <c r="CN30" s="148"/>
      <c r="CO30" s="148"/>
      <c r="CP30" s="148"/>
      <c r="CQ30" s="148"/>
      <c r="CR30" s="148"/>
      <c r="CS30" s="148"/>
      <c r="CT30" s="148"/>
      <c r="CU30" s="148"/>
      <c r="CV30" s="148"/>
      <c r="CW30" s="148"/>
      <c r="CX30" s="148"/>
      <c r="CY30" s="148"/>
      <c r="CZ30" s="148"/>
      <c r="DA30" s="148"/>
      <c r="DB30" s="148"/>
      <c r="DC30" s="148"/>
      <c r="DD30" s="148"/>
      <c r="DE30" s="148"/>
      <c r="DF30" s="148"/>
      <c r="DG30" s="148"/>
      <c r="DH30" s="148"/>
      <c r="DI30" s="148"/>
      <c r="DJ30" s="148"/>
      <c r="DK30" s="148"/>
      <c r="DL30" s="148"/>
      <c r="DM30" s="148"/>
      <c r="DN30" s="148"/>
      <c r="DO30" s="148"/>
      <c r="DP30" s="148"/>
      <c r="DQ30" s="148"/>
      <c r="DR30" s="148"/>
      <c r="DS30" s="148"/>
      <c r="DT30" s="148"/>
      <c r="DU30" s="148"/>
      <c r="DV30" s="148"/>
      <c r="DW30" s="148"/>
      <c r="DX30" s="148"/>
      <c r="DY30" s="148"/>
      <c r="DZ30" s="148"/>
      <c r="EA30" s="148"/>
      <c r="EB30" s="148"/>
      <c r="EC30" s="148"/>
      <c r="ED30" s="148"/>
      <c r="EE30" s="148"/>
      <c r="EF30" s="148"/>
      <c r="EG30" s="148"/>
      <c r="EH30" s="148"/>
      <c r="EI30" s="148"/>
      <c r="EJ30" s="148"/>
      <c r="EK30" s="148"/>
      <c r="EL30" s="148"/>
      <c r="EM30" s="148"/>
      <c r="EN30" s="148"/>
      <c r="EO30" s="148"/>
      <c r="EP30" s="148"/>
      <c r="EQ30" s="148"/>
      <c r="ER30" s="148"/>
      <c r="ES30" s="148"/>
      <c r="ET30" s="148"/>
      <c r="EU30" s="148"/>
      <c r="EV30" s="148"/>
      <c r="EW30" s="148"/>
      <c r="EX30" s="148"/>
      <c r="EY30" s="148"/>
      <c r="EZ30" s="148"/>
      <c r="FA30" s="148"/>
      <c r="FB30" s="148"/>
      <c r="FC30" s="148"/>
      <c r="FD30" s="148"/>
      <c r="FE30" s="148"/>
      <c r="FF30" s="148"/>
      <c r="FG30" s="148"/>
      <c r="FH30" s="148"/>
      <c r="FI30" s="148"/>
      <c r="FJ30" s="148"/>
      <c r="FK30" s="148"/>
      <c r="FL30" s="148"/>
      <c r="FM30" s="148"/>
      <c r="FN30" s="148"/>
      <c r="FO30" s="148"/>
      <c r="FP30" s="148"/>
      <c r="FQ30" s="148"/>
      <c r="FR30" s="148"/>
      <c r="FS30" s="148"/>
      <c r="FT30" s="148"/>
      <c r="FU30" s="148"/>
      <c r="FV30" s="148"/>
      <c r="FW30" s="148"/>
      <c r="FX30" s="148"/>
      <c r="FY30" s="148"/>
      <c r="FZ30" s="148"/>
      <c r="GA30" s="148"/>
      <c r="GB30" s="148"/>
      <c r="GC30" s="148"/>
      <c r="GD30" s="148"/>
      <c r="GE30" s="148"/>
      <c r="GF30" s="148"/>
      <c r="GG30" s="148"/>
      <c r="GH30" s="148"/>
      <c r="GI30" s="148"/>
      <c r="GJ30" s="148"/>
      <c r="GK30" s="148"/>
      <c r="GL30" s="148"/>
      <c r="GM30" s="148"/>
      <c r="GN30" s="148"/>
      <c r="GO30" s="148"/>
      <c r="GP30" s="148"/>
      <c r="GQ30" s="148"/>
      <c r="GR30" s="148"/>
      <c r="GS30" s="148"/>
      <c r="GT30" s="148"/>
      <c r="GU30" s="148"/>
      <c r="GV30" s="148"/>
      <c r="GW30" s="148"/>
      <c r="GX30" s="148"/>
      <c r="GY30" s="148"/>
      <c r="GZ30" s="148"/>
      <c r="HA30" s="148"/>
      <c r="HB30" s="148"/>
      <c r="HC30" s="148"/>
      <c r="HD30" s="148"/>
      <c r="HE30" s="148"/>
      <c r="HF30" s="148"/>
      <c r="HG30" s="148"/>
      <c r="HH30" s="148"/>
      <c r="HI30" s="148"/>
      <c r="HJ30" s="148"/>
      <c r="HK30" s="148"/>
      <c r="HL30" s="148"/>
      <c r="HM30" s="148"/>
      <c r="HN30" s="148"/>
      <c r="HO30" s="148"/>
      <c r="HP30" s="148"/>
      <c r="HQ30" s="148"/>
      <c r="HR30" s="148"/>
      <c r="HS30" s="148"/>
      <c r="HT30" s="148"/>
      <c r="HU30" s="148"/>
      <c r="HV30" s="148"/>
      <c r="HW30" s="148"/>
      <c r="HX30" s="148"/>
      <c r="HY30" s="148"/>
      <c r="HZ30" s="148"/>
      <c r="IA30" s="148"/>
      <c r="IB30" s="148"/>
      <c r="IC30" s="148"/>
    </row>
    <row r="31" spans="1:237" s="15" customFormat="1" ht="22.5" x14ac:dyDescent="0.25">
      <c r="A31" s="148"/>
      <c r="B31" s="307">
        <v>16</v>
      </c>
      <c r="C31" s="307" t="s">
        <v>38</v>
      </c>
      <c r="D31" s="450">
        <v>30486989</v>
      </c>
      <c r="E31" s="577" t="s">
        <v>2875</v>
      </c>
      <c r="F31" s="577" t="s">
        <v>897</v>
      </c>
      <c r="G31" s="533" t="s">
        <v>1902</v>
      </c>
      <c r="H31" s="553" t="s">
        <v>2876</v>
      </c>
      <c r="I31" s="534" t="s">
        <v>42</v>
      </c>
      <c r="J31" s="535">
        <v>240159</v>
      </c>
      <c r="K31" s="535">
        <v>209450</v>
      </c>
      <c r="L31" s="535">
        <v>0</v>
      </c>
      <c r="M31" s="535">
        <v>0</v>
      </c>
      <c r="N31" s="454">
        <v>982.13400000000001</v>
      </c>
      <c r="O31" s="454">
        <v>23859.981</v>
      </c>
      <c r="P31" s="535">
        <v>0</v>
      </c>
      <c r="Q31" s="535">
        <v>0</v>
      </c>
      <c r="R31" s="535">
        <v>0</v>
      </c>
      <c r="S31" s="535">
        <v>0</v>
      </c>
      <c r="T31" s="535"/>
      <c r="U31" s="535"/>
      <c r="V31" s="535"/>
      <c r="W31" s="535"/>
      <c r="X31" s="535"/>
      <c r="Y31" s="535"/>
      <c r="Z31" s="660">
        <f t="shared" si="2"/>
        <v>24842.114999999998</v>
      </c>
      <c r="AA31" s="535">
        <v>30709</v>
      </c>
      <c r="AB31" s="558">
        <v>1</v>
      </c>
      <c r="AC31" s="551">
        <v>44201</v>
      </c>
      <c r="AD31" s="552">
        <v>44229</v>
      </c>
      <c r="AE31" s="454"/>
      <c r="AF31" s="459"/>
      <c r="AG31" s="460"/>
      <c r="AH31" s="458"/>
      <c r="AI31" s="454"/>
      <c r="AJ31" s="456"/>
      <c r="AK31" s="460"/>
      <c r="AL31" s="458"/>
      <c r="AM31" s="454"/>
      <c r="AN31" s="456"/>
      <c r="AO31" s="460"/>
      <c r="AP31" s="458"/>
      <c r="AQ31" s="454"/>
      <c r="AR31" s="456"/>
      <c r="AS31" s="460"/>
      <c r="AT31" s="458"/>
      <c r="AU31" s="22">
        <f t="shared" si="0"/>
        <v>30709</v>
      </c>
      <c r="AV31" s="546">
        <f t="shared" si="1"/>
        <v>5866.885000000002</v>
      </c>
      <c r="AW31" s="148"/>
      <c r="AX31" s="148"/>
      <c r="AY31" s="148"/>
      <c r="AZ31" s="148"/>
      <c r="BA31" s="148"/>
      <c r="BB31" s="148"/>
      <c r="BC31" s="148"/>
      <c r="BD31" s="148"/>
      <c r="BE31" s="148"/>
      <c r="BF31" s="148"/>
      <c r="BG31" s="148"/>
      <c r="BH31" s="148"/>
      <c r="BI31" s="148"/>
      <c r="BJ31" s="148"/>
      <c r="BK31" s="148"/>
      <c r="BL31" s="148"/>
      <c r="BM31" s="148"/>
      <c r="BN31" s="148"/>
      <c r="BO31" s="148"/>
      <c r="BP31" s="148"/>
      <c r="BQ31" s="148"/>
      <c r="BR31" s="148"/>
      <c r="BS31" s="148"/>
      <c r="BT31" s="148"/>
      <c r="BU31" s="148"/>
      <c r="BV31" s="148"/>
      <c r="BW31" s="148"/>
      <c r="BX31" s="148"/>
      <c r="BY31" s="148"/>
      <c r="BZ31" s="148"/>
      <c r="CA31" s="148"/>
      <c r="CB31" s="148"/>
      <c r="CC31" s="148"/>
      <c r="CD31" s="148"/>
      <c r="CE31" s="148"/>
      <c r="CF31" s="148"/>
      <c r="CG31" s="148"/>
      <c r="CH31" s="148"/>
      <c r="CI31" s="148"/>
      <c r="CJ31" s="148"/>
      <c r="CK31" s="148"/>
      <c r="CL31" s="148"/>
      <c r="CM31" s="148"/>
      <c r="CN31" s="148"/>
      <c r="CO31" s="148"/>
      <c r="CP31" s="148"/>
      <c r="CQ31" s="148"/>
      <c r="CR31" s="148"/>
      <c r="CS31" s="148"/>
      <c r="CT31" s="148"/>
      <c r="CU31" s="148"/>
      <c r="CV31" s="148"/>
      <c r="CW31" s="148"/>
      <c r="CX31" s="148"/>
      <c r="CY31" s="148"/>
      <c r="CZ31" s="148"/>
      <c r="DA31" s="148"/>
      <c r="DB31" s="148"/>
      <c r="DC31" s="148"/>
      <c r="DD31" s="148"/>
      <c r="DE31" s="148"/>
      <c r="DF31" s="148"/>
      <c r="DG31" s="148"/>
      <c r="DH31" s="148"/>
      <c r="DI31" s="148"/>
      <c r="DJ31" s="148"/>
      <c r="DK31" s="148"/>
      <c r="DL31" s="148"/>
      <c r="DM31" s="148"/>
      <c r="DN31" s="148"/>
      <c r="DO31" s="148"/>
      <c r="DP31" s="148"/>
      <c r="DQ31" s="148"/>
      <c r="DR31" s="148"/>
      <c r="DS31" s="148"/>
      <c r="DT31" s="148"/>
      <c r="DU31" s="148"/>
      <c r="DV31" s="148"/>
      <c r="DW31" s="148"/>
      <c r="DX31" s="148"/>
      <c r="DY31" s="148"/>
      <c r="DZ31" s="148"/>
      <c r="EA31" s="148"/>
      <c r="EB31" s="148"/>
      <c r="EC31" s="148"/>
      <c r="ED31" s="148"/>
      <c r="EE31" s="148"/>
      <c r="EF31" s="148"/>
      <c r="EG31" s="148"/>
      <c r="EH31" s="148"/>
      <c r="EI31" s="148"/>
      <c r="EJ31" s="148"/>
      <c r="EK31" s="148"/>
      <c r="EL31" s="148"/>
      <c r="EM31" s="148"/>
      <c r="EN31" s="148"/>
      <c r="EO31" s="148"/>
      <c r="EP31" s="148"/>
      <c r="EQ31" s="148"/>
      <c r="ER31" s="148"/>
      <c r="ES31" s="148"/>
      <c r="ET31" s="148"/>
      <c r="EU31" s="148"/>
      <c r="EV31" s="148"/>
      <c r="EW31" s="148"/>
      <c r="EX31" s="148"/>
      <c r="EY31" s="148"/>
      <c r="EZ31" s="148"/>
      <c r="FA31" s="148"/>
      <c r="FB31" s="148"/>
      <c r="FC31" s="148"/>
      <c r="FD31" s="148"/>
      <c r="FE31" s="148"/>
      <c r="FF31" s="148"/>
      <c r="FG31" s="148"/>
      <c r="FH31" s="148"/>
      <c r="FI31" s="148"/>
      <c r="FJ31" s="148"/>
      <c r="FK31" s="148"/>
      <c r="FL31" s="148"/>
      <c r="FM31" s="148"/>
      <c r="FN31" s="148"/>
      <c r="FO31" s="148"/>
      <c r="FP31" s="148"/>
      <c r="FQ31" s="148"/>
      <c r="FR31" s="148"/>
      <c r="FS31" s="148"/>
      <c r="FT31" s="148"/>
      <c r="FU31" s="148"/>
      <c r="FV31" s="148"/>
      <c r="FW31" s="148"/>
      <c r="FX31" s="148"/>
      <c r="FY31" s="148"/>
      <c r="FZ31" s="148"/>
      <c r="GA31" s="148"/>
      <c r="GB31" s="148"/>
      <c r="GC31" s="148"/>
      <c r="GD31" s="148"/>
      <c r="GE31" s="148"/>
      <c r="GF31" s="148"/>
      <c r="GG31" s="148"/>
      <c r="GH31" s="148"/>
      <c r="GI31" s="148"/>
      <c r="GJ31" s="148"/>
      <c r="GK31" s="148"/>
      <c r="GL31" s="148"/>
      <c r="GM31" s="148"/>
      <c r="GN31" s="148"/>
      <c r="GO31" s="148"/>
      <c r="GP31" s="148"/>
      <c r="GQ31" s="148"/>
      <c r="GR31" s="148"/>
      <c r="GS31" s="148"/>
      <c r="GT31" s="148"/>
      <c r="GU31" s="148"/>
      <c r="GV31" s="148"/>
      <c r="GW31" s="148"/>
      <c r="GX31" s="148"/>
      <c r="GY31" s="148"/>
      <c r="GZ31" s="148"/>
      <c r="HA31" s="148"/>
      <c r="HB31" s="148"/>
      <c r="HC31" s="148"/>
      <c r="HD31" s="148"/>
      <c r="HE31" s="148"/>
      <c r="HF31" s="148"/>
      <c r="HG31" s="148"/>
      <c r="HH31" s="148"/>
      <c r="HI31" s="148"/>
      <c r="HJ31" s="148"/>
      <c r="HK31" s="148"/>
      <c r="HL31" s="148"/>
      <c r="HM31" s="148"/>
      <c r="HN31" s="148"/>
      <c r="HO31" s="148"/>
      <c r="HP31" s="148"/>
      <c r="HQ31" s="148"/>
      <c r="HR31" s="148"/>
      <c r="HS31" s="148"/>
      <c r="HT31" s="148"/>
      <c r="HU31" s="148"/>
      <c r="HV31" s="148"/>
      <c r="HW31" s="148"/>
      <c r="HX31" s="148"/>
      <c r="HY31" s="148"/>
      <c r="HZ31" s="148"/>
      <c r="IA31" s="148"/>
      <c r="IB31" s="148"/>
      <c r="IC31" s="148"/>
    </row>
    <row r="32" spans="1:237" s="15" customFormat="1" ht="22.5" x14ac:dyDescent="0.25">
      <c r="A32" s="148"/>
      <c r="B32" s="307">
        <v>13</v>
      </c>
      <c r="C32" s="307" t="s">
        <v>38</v>
      </c>
      <c r="D32" s="450">
        <v>30482664</v>
      </c>
      <c r="E32" s="577" t="s">
        <v>2877</v>
      </c>
      <c r="F32" s="577" t="s">
        <v>897</v>
      </c>
      <c r="G32" s="533" t="s">
        <v>1902</v>
      </c>
      <c r="H32" s="553" t="s">
        <v>2865</v>
      </c>
      <c r="I32" s="534" t="s">
        <v>42</v>
      </c>
      <c r="J32" s="535">
        <v>899034</v>
      </c>
      <c r="K32" s="535">
        <v>701247</v>
      </c>
      <c r="L32" s="535">
        <v>0</v>
      </c>
      <c r="M32" s="535">
        <v>0</v>
      </c>
      <c r="N32" s="454">
        <v>154625.68299999999</v>
      </c>
      <c r="O32" s="454">
        <v>1403.7650000000001</v>
      </c>
      <c r="P32" s="535">
        <v>40259.131000000001</v>
      </c>
      <c r="Q32" s="535">
        <v>0</v>
      </c>
      <c r="R32" s="535">
        <v>0</v>
      </c>
      <c r="S32" s="535">
        <v>0</v>
      </c>
      <c r="T32" s="535"/>
      <c r="U32" s="535"/>
      <c r="V32" s="535"/>
      <c r="W32" s="535"/>
      <c r="X32" s="535"/>
      <c r="Y32" s="535"/>
      <c r="Z32" s="660">
        <f t="shared" si="2"/>
        <v>196288.579</v>
      </c>
      <c r="AA32" s="535">
        <v>329910</v>
      </c>
      <c r="AB32" s="558">
        <v>1</v>
      </c>
      <c r="AC32" s="551">
        <v>44201</v>
      </c>
      <c r="AD32" s="552">
        <v>44229</v>
      </c>
      <c r="AE32" s="454">
        <v>-128307</v>
      </c>
      <c r="AF32" s="459">
        <v>11</v>
      </c>
      <c r="AG32" s="457">
        <v>44307</v>
      </c>
      <c r="AH32" s="458">
        <v>44328</v>
      </c>
      <c r="AI32" s="454"/>
      <c r="AJ32" s="456"/>
      <c r="AK32" s="460"/>
      <c r="AL32" s="458"/>
      <c r="AM32" s="454"/>
      <c r="AN32" s="456"/>
      <c r="AO32" s="460"/>
      <c r="AP32" s="458"/>
      <c r="AQ32" s="454"/>
      <c r="AR32" s="456"/>
      <c r="AS32" s="460"/>
      <c r="AT32" s="458"/>
      <c r="AU32" s="22">
        <f t="shared" si="0"/>
        <v>201603</v>
      </c>
      <c r="AV32" s="546">
        <f t="shared" si="1"/>
        <v>5314.4210000000021</v>
      </c>
      <c r="AW32" s="148"/>
      <c r="AX32" s="148"/>
      <c r="AY32" s="148"/>
      <c r="AZ32" s="148"/>
      <c r="BA32" s="148"/>
      <c r="BB32" s="148"/>
      <c r="BC32" s="148"/>
      <c r="BD32" s="148"/>
      <c r="BE32" s="148"/>
      <c r="BF32" s="148"/>
      <c r="BG32" s="148"/>
      <c r="BH32" s="148"/>
      <c r="BI32" s="148"/>
      <c r="BJ32" s="148"/>
      <c r="BK32" s="148"/>
      <c r="BL32" s="148"/>
      <c r="BM32" s="148"/>
      <c r="BN32" s="148"/>
      <c r="BO32" s="148"/>
      <c r="BP32" s="148"/>
      <c r="BQ32" s="148"/>
      <c r="BR32" s="148"/>
      <c r="BS32" s="148"/>
      <c r="BT32" s="148"/>
      <c r="BU32" s="148"/>
      <c r="BV32" s="148"/>
      <c r="BW32" s="148"/>
      <c r="BX32" s="148"/>
      <c r="BY32" s="148"/>
      <c r="BZ32" s="148"/>
      <c r="CA32" s="148"/>
      <c r="CB32" s="148"/>
      <c r="CC32" s="148"/>
      <c r="CD32" s="148"/>
      <c r="CE32" s="148"/>
      <c r="CF32" s="148"/>
      <c r="CG32" s="148"/>
      <c r="CH32" s="148"/>
      <c r="CI32" s="148"/>
      <c r="CJ32" s="148"/>
      <c r="CK32" s="148"/>
      <c r="CL32" s="148"/>
      <c r="CM32" s="148"/>
      <c r="CN32" s="148"/>
      <c r="CO32" s="148"/>
      <c r="CP32" s="148"/>
      <c r="CQ32" s="148"/>
      <c r="CR32" s="148"/>
      <c r="CS32" s="148"/>
      <c r="CT32" s="148"/>
      <c r="CU32" s="148"/>
      <c r="CV32" s="148"/>
      <c r="CW32" s="148"/>
      <c r="CX32" s="148"/>
      <c r="CY32" s="148"/>
      <c r="CZ32" s="148"/>
      <c r="DA32" s="148"/>
      <c r="DB32" s="148"/>
      <c r="DC32" s="148"/>
      <c r="DD32" s="148"/>
      <c r="DE32" s="148"/>
      <c r="DF32" s="148"/>
      <c r="DG32" s="148"/>
      <c r="DH32" s="148"/>
      <c r="DI32" s="148"/>
      <c r="DJ32" s="148"/>
      <c r="DK32" s="148"/>
      <c r="DL32" s="148"/>
      <c r="DM32" s="148"/>
      <c r="DN32" s="148"/>
      <c r="DO32" s="148"/>
      <c r="DP32" s="148"/>
      <c r="DQ32" s="148"/>
      <c r="DR32" s="148"/>
      <c r="DS32" s="148"/>
      <c r="DT32" s="148"/>
      <c r="DU32" s="148"/>
      <c r="DV32" s="148"/>
      <c r="DW32" s="148"/>
      <c r="DX32" s="148"/>
      <c r="DY32" s="148"/>
      <c r="DZ32" s="148"/>
      <c r="EA32" s="148"/>
      <c r="EB32" s="148"/>
      <c r="EC32" s="148"/>
      <c r="ED32" s="148"/>
      <c r="EE32" s="148"/>
      <c r="EF32" s="148"/>
      <c r="EG32" s="148"/>
      <c r="EH32" s="148"/>
      <c r="EI32" s="148"/>
      <c r="EJ32" s="148"/>
      <c r="EK32" s="148"/>
      <c r="EL32" s="148"/>
      <c r="EM32" s="148"/>
      <c r="EN32" s="148"/>
      <c r="EO32" s="148"/>
      <c r="EP32" s="148"/>
      <c r="EQ32" s="148"/>
      <c r="ER32" s="148"/>
      <c r="ES32" s="148"/>
      <c r="ET32" s="148"/>
      <c r="EU32" s="148"/>
      <c r="EV32" s="148"/>
      <c r="EW32" s="148"/>
      <c r="EX32" s="148"/>
      <c r="EY32" s="148"/>
      <c r="EZ32" s="148"/>
      <c r="FA32" s="148"/>
      <c r="FB32" s="148"/>
      <c r="FC32" s="148"/>
      <c r="FD32" s="148"/>
      <c r="FE32" s="148"/>
      <c r="FF32" s="148"/>
      <c r="FG32" s="148"/>
      <c r="FH32" s="148"/>
      <c r="FI32" s="148"/>
      <c r="FJ32" s="148"/>
      <c r="FK32" s="148"/>
      <c r="FL32" s="148"/>
      <c r="FM32" s="148"/>
      <c r="FN32" s="148"/>
      <c r="FO32" s="148"/>
      <c r="FP32" s="148"/>
      <c r="FQ32" s="148"/>
      <c r="FR32" s="148"/>
      <c r="FS32" s="148"/>
      <c r="FT32" s="148"/>
      <c r="FU32" s="148"/>
      <c r="FV32" s="148"/>
      <c r="FW32" s="148"/>
      <c r="FX32" s="148"/>
      <c r="FY32" s="148"/>
      <c r="FZ32" s="148"/>
      <c r="GA32" s="148"/>
      <c r="GB32" s="148"/>
      <c r="GC32" s="148"/>
      <c r="GD32" s="148"/>
      <c r="GE32" s="148"/>
      <c r="GF32" s="148"/>
      <c r="GG32" s="148"/>
      <c r="GH32" s="148"/>
      <c r="GI32" s="148"/>
      <c r="GJ32" s="148"/>
      <c r="GK32" s="148"/>
      <c r="GL32" s="148"/>
      <c r="GM32" s="148"/>
      <c r="GN32" s="148"/>
      <c r="GO32" s="148"/>
      <c r="GP32" s="148"/>
      <c r="GQ32" s="148"/>
      <c r="GR32" s="148"/>
      <c r="GS32" s="148"/>
      <c r="GT32" s="148"/>
      <c r="GU32" s="148"/>
      <c r="GV32" s="148"/>
      <c r="GW32" s="148"/>
      <c r="GX32" s="148"/>
      <c r="GY32" s="148"/>
      <c r="GZ32" s="148"/>
      <c r="HA32" s="148"/>
      <c r="HB32" s="148"/>
      <c r="HC32" s="148"/>
      <c r="HD32" s="148"/>
      <c r="HE32" s="148"/>
      <c r="HF32" s="148"/>
      <c r="HG32" s="148"/>
      <c r="HH32" s="148"/>
      <c r="HI32" s="148"/>
      <c r="HJ32" s="148"/>
      <c r="HK32" s="148"/>
      <c r="HL32" s="148"/>
      <c r="HM32" s="148"/>
      <c r="HN32" s="148"/>
      <c r="HO32" s="148"/>
      <c r="HP32" s="148"/>
      <c r="HQ32" s="148"/>
      <c r="HR32" s="148"/>
      <c r="HS32" s="148"/>
      <c r="HT32" s="148"/>
      <c r="HU32" s="148"/>
      <c r="HV32" s="148"/>
      <c r="HW32" s="148"/>
      <c r="HX32" s="148"/>
      <c r="HY32" s="148"/>
      <c r="HZ32" s="148"/>
      <c r="IA32" s="148"/>
      <c r="IB32" s="148"/>
      <c r="IC32" s="148"/>
    </row>
    <row r="33" spans="1:237" s="15" customFormat="1" ht="22.5" x14ac:dyDescent="0.25">
      <c r="A33" s="148"/>
      <c r="B33" s="307">
        <v>18</v>
      </c>
      <c r="C33" s="307" t="s">
        <v>38</v>
      </c>
      <c r="D33" s="450">
        <v>30487301</v>
      </c>
      <c r="E33" s="577" t="s">
        <v>2878</v>
      </c>
      <c r="F33" s="577" t="s">
        <v>204</v>
      </c>
      <c r="G33" s="533" t="s">
        <v>1902</v>
      </c>
      <c r="H33" s="553" t="s">
        <v>2860</v>
      </c>
      <c r="I33" s="534" t="s">
        <v>42</v>
      </c>
      <c r="J33" s="535">
        <v>243038</v>
      </c>
      <c r="K33" s="535">
        <v>209296</v>
      </c>
      <c r="L33" s="535">
        <v>334585</v>
      </c>
      <c r="M33" s="535">
        <v>0</v>
      </c>
      <c r="N33" s="454">
        <v>0</v>
      </c>
      <c r="O33" s="454">
        <v>32988.756000000001</v>
      </c>
      <c r="P33" s="535">
        <v>0</v>
      </c>
      <c r="Q33" s="535">
        <v>0</v>
      </c>
      <c r="R33" s="535">
        <v>0</v>
      </c>
      <c r="S33" s="535">
        <v>0</v>
      </c>
      <c r="T33" s="535"/>
      <c r="U33" s="535"/>
      <c r="V33" s="535"/>
      <c r="W33" s="535"/>
      <c r="X33" s="535"/>
      <c r="Y33" s="535"/>
      <c r="Z33" s="660">
        <f t="shared" si="2"/>
        <v>32988.756000000001</v>
      </c>
      <c r="AA33" s="535">
        <v>33742</v>
      </c>
      <c r="AB33" s="558">
        <v>1</v>
      </c>
      <c r="AC33" s="551">
        <v>44201</v>
      </c>
      <c r="AD33" s="552">
        <v>44229</v>
      </c>
      <c r="AE33" s="454"/>
      <c r="AF33" s="459"/>
      <c r="AG33" s="460"/>
      <c r="AH33" s="458"/>
      <c r="AI33" s="454"/>
      <c r="AJ33" s="456"/>
      <c r="AK33" s="460"/>
      <c r="AL33" s="458"/>
      <c r="AM33" s="454"/>
      <c r="AN33" s="456"/>
      <c r="AO33" s="460"/>
      <c r="AP33" s="458"/>
      <c r="AQ33" s="454"/>
      <c r="AR33" s="456"/>
      <c r="AS33" s="460"/>
      <c r="AT33" s="458"/>
      <c r="AU33" s="22">
        <f t="shared" si="0"/>
        <v>33742</v>
      </c>
      <c r="AV33" s="546">
        <f t="shared" si="1"/>
        <v>753.24399999999878</v>
      </c>
      <c r="AW33" s="148"/>
      <c r="AX33" s="148"/>
      <c r="AY33" s="148"/>
      <c r="AZ33" s="148"/>
      <c r="BA33" s="148"/>
      <c r="BB33" s="148"/>
      <c r="BC33" s="148"/>
      <c r="BD33" s="148"/>
      <c r="BE33" s="148"/>
      <c r="BF33" s="148"/>
      <c r="BG33" s="148"/>
      <c r="BH33" s="148"/>
      <c r="BI33" s="148"/>
      <c r="BJ33" s="148"/>
      <c r="BK33" s="148"/>
      <c r="BL33" s="148"/>
      <c r="BM33" s="148"/>
      <c r="BN33" s="148"/>
      <c r="BO33" s="148"/>
      <c r="BP33" s="148"/>
      <c r="BQ33" s="148"/>
      <c r="BR33" s="148"/>
      <c r="BS33" s="148"/>
      <c r="BT33" s="148"/>
      <c r="BU33" s="148"/>
      <c r="BV33" s="148"/>
      <c r="BW33" s="148"/>
      <c r="BX33" s="148"/>
      <c r="BY33" s="148"/>
      <c r="BZ33" s="148"/>
      <c r="CA33" s="148"/>
      <c r="CB33" s="148"/>
      <c r="CC33" s="148"/>
      <c r="CD33" s="148"/>
      <c r="CE33" s="148"/>
      <c r="CF33" s="148"/>
      <c r="CG33" s="148"/>
      <c r="CH33" s="148"/>
      <c r="CI33" s="148"/>
      <c r="CJ33" s="148"/>
      <c r="CK33" s="148"/>
      <c r="CL33" s="148"/>
      <c r="CM33" s="148"/>
      <c r="CN33" s="148"/>
      <c r="CO33" s="148"/>
      <c r="CP33" s="148"/>
      <c r="CQ33" s="148"/>
      <c r="CR33" s="148"/>
      <c r="CS33" s="148"/>
      <c r="CT33" s="148"/>
      <c r="CU33" s="148"/>
      <c r="CV33" s="148"/>
      <c r="CW33" s="148"/>
      <c r="CX33" s="148"/>
      <c r="CY33" s="148"/>
      <c r="CZ33" s="148"/>
      <c r="DA33" s="148"/>
      <c r="DB33" s="148"/>
      <c r="DC33" s="148"/>
      <c r="DD33" s="148"/>
      <c r="DE33" s="148"/>
      <c r="DF33" s="148"/>
      <c r="DG33" s="148"/>
      <c r="DH33" s="148"/>
      <c r="DI33" s="148"/>
      <c r="DJ33" s="148"/>
      <c r="DK33" s="148"/>
      <c r="DL33" s="148"/>
      <c r="DM33" s="148"/>
      <c r="DN33" s="148"/>
      <c r="DO33" s="148"/>
      <c r="DP33" s="148"/>
      <c r="DQ33" s="148"/>
      <c r="DR33" s="148"/>
      <c r="DS33" s="148"/>
      <c r="DT33" s="148"/>
      <c r="DU33" s="148"/>
      <c r="DV33" s="148"/>
      <c r="DW33" s="148"/>
      <c r="DX33" s="148"/>
      <c r="DY33" s="148"/>
      <c r="DZ33" s="148"/>
      <c r="EA33" s="148"/>
      <c r="EB33" s="148"/>
      <c r="EC33" s="148"/>
      <c r="ED33" s="148"/>
      <c r="EE33" s="148"/>
      <c r="EF33" s="148"/>
      <c r="EG33" s="148"/>
      <c r="EH33" s="148"/>
      <c r="EI33" s="148"/>
      <c r="EJ33" s="148"/>
      <c r="EK33" s="148"/>
      <c r="EL33" s="148"/>
      <c r="EM33" s="148"/>
      <c r="EN33" s="148"/>
      <c r="EO33" s="148"/>
      <c r="EP33" s="148"/>
      <c r="EQ33" s="148"/>
      <c r="ER33" s="148"/>
      <c r="ES33" s="148"/>
      <c r="ET33" s="148"/>
      <c r="EU33" s="148"/>
      <c r="EV33" s="148"/>
      <c r="EW33" s="148"/>
      <c r="EX33" s="148"/>
      <c r="EY33" s="148"/>
      <c r="EZ33" s="148"/>
      <c r="FA33" s="148"/>
      <c r="FB33" s="148"/>
      <c r="FC33" s="148"/>
      <c r="FD33" s="148"/>
      <c r="FE33" s="148"/>
      <c r="FF33" s="148"/>
      <c r="FG33" s="148"/>
      <c r="FH33" s="148"/>
      <c r="FI33" s="148"/>
      <c r="FJ33" s="148"/>
      <c r="FK33" s="148"/>
      <c r="FL33" s="148"/>
      <c r="FM33" s="148"/>
      <c r="FN33" s="148"/>
      <c r="FO33" s="148"/>
      <c r="FP33" s="148"/>
      <c r="FQ33" s="148"/>
      <c r="FR33" s="148"/>
      <c r="FS33" s="148"/>
      <c r="FT33" s="148"/>
      <c r="FU33" s="148"/>
      <c r="FV33" s="148"/>
      <c r="FW33" s="148"/>
      <c r="FX33" s="148"/>
      <c r="FY33" s="148"/>
      <c r="FZ33" s="148"/>
      <c r="GA33" s="148"/>
      <c r="GB33" s="148"/>
      <c r="GC33" s="148"/>
      <c r="GD33" s="148"/>
      <c r="GE33" s="148"/>
      <c r="GF33" s="148"/>
      <c r="GG33" s="148"/>
      <c r="GH33" s="148"/>
      <c r="GI33" s="148"/>
      <c r="GJ33" s="148"/>
      <c r="GK33" s="148"/>
      <c r="GL33" s="148"/>
      <c r="GM33" s="148"/>
      <c r="GN33" s="148"/>
      <c r="GO33" s="148"/>
      <c r="GP33" s="148"/>
      <c r="GQ33" s="148"/>
      <c r="GR33" s="148"/>
      <c r="GS33" s="148"/>
      <c r="GT33" s="148"/>
      <c r="GU33" s="148"/>
      <c r="GV33" s="148"/>
      <c r="GW33" s="148"/>
      <c r="GX33" s="148"/>
      <c r="GY33" s="148"/>
      <c r="GZ33" s="148"/>
      <c r="HA33" s="148"/>
      <c r="HB33" s="148"/>
      <c r="HC33" s="148"/>
      <c r="HD33" s="148"/>
      <c r="HE33" s="148"/>
      <c r="HF33" s="148"/>
      <c r="HG33" s="148"/>
      <c r="HH33" s="148"/>
      <c r="HI33" s="148"/>
      <c r="HJ33" s="148"/>
      <c r="HK33" s="148"/>
      <c r="HL33" s="148"/>
      <c r="HM33" s="148"/>
      <c r="HN33" s="148"/>
      <c r="HO33" s="148"/>
      <c r="HP33" s="148"/>
      <c r="HQ33" s="148"/>
      <c r="HR33" s="148"/>
      <c r="HS33" s="148"/>
      <c r="HT33" s="148"/>
      <c r="HU33" s="148"/>
      <c r="HV33" s="148"/>
      <c r="HW33" s="148"/>
      <c r="HX33" s="148"/>
      <c r="HY33" s="148"/>
      <c r="HZ33" s="148"/>
      <c r="IA33" s="148"/>
      <c r="IB33" s="148"/>
      <c r="IC33" s="148"/>
    </row>
    <row r="34" spans="1:237" s="15" customFormat="1" ht="22.5" x14ac:dyDescent="0.25">
      <c r="A34" s="148"/>
      <c r="B34" s="307">
        <v>19</v>
      </c>
      <c r="C34" s="307" t="s">
        <v>38</v>
      </c>
      <c r="D34" s="450">
        <v>40000311</v>
      </c>
      <c r="E34" s="577" t="s">
        <v>2879</v>
      </c>
      <c r="F34" s="577" t="s">
        <v>897</v>
      </c>
      <c r="G34" s="533" t="s">
        <v>1902</v>
      </c>
      <c r="H34" s="553" t="s">
        <v>2868</v>
      </c>
      <c r="I34" s="534" t="s">
        <v>42</v>
      </c>
      <c r="J34" s="535">
        <v>241080</v>
      </c>
      <c r="K34" s="535">
        <v>191264</v>
      </c>
      <c r="L34" s="535">
        <v>0</v>
      </c>
      <c r="M34" s="535">
        <v>0</v>
      </c>
      <c r="N34" s="454">
        <v>0</v>
      </c>
      <c r="O34" s="454">
        <v>0</v>
      </c>
      <c r="P34" s="535">
        <v>0</v>
      </c>
      <c r="Q34" s="535">
        <v>0</v>
      </c>
      <c r="R34" s="535">
        <v>0</v>
      </c>
      <c r="S34" s="535">
        <v>0</v>
      </c>
      <c r="T34" s="535"/>
      <c r="U34" s="535"/>
      <c r="V34" s="535"/>
      <c r="W34" s="535"/>
      <c r="X34" s="535"/>
      <c r="Y34" s="535"/>
      <c r="Z34" s="660">
        <f t="shared" si="2"/>
        <v>0</v>
      </c>
      <c r="AA34" s="535">
        <v>49816</v>
      </c>
      <c r="AB34" s="558">
        <v>1</v>
      </c>
      <c r="AC34" s="551">
        <v>44201</v>
      </c>
      <c r="AD34" s="552">
        <v>44229</v>
      </c>
      <c r="AE34" s="454"/>
      <c r="AF34" s="459"/>
      <c r="AG34" s="460"/>
      <c r="AH34" s="458"/>
      <c r="AI34" s="454"/>
      <c r="AJ34" s="456"/>
      <c r="AK34" s="460"/>
      <c r="AL34" s="458"/>
      <c r="AM34" s="454"/>
      <c r="AN34" s="456"/>
      <c r="AO34" s="460"/>
      <c r="AP34" s="458"/>
      <c r="AQ34" s="454"/>
      <c r="AR34" s="456"/>
      <c r="AS34" s="460"/>
      <c r="AT34" s="458"/>
      <c r="AU34" s="22">
        <f t="shared" si="0"/>
        <v>49816</v>
      </c>
      <c r="AV34" s="546">
        <f t="shared" si="1"/>
        <v>49816</v>
      </c>
      <c r="AW34" s="148"/>
      <c r="AX34" s="148"/>
      <c r="AY34" s="148"/>
      <c r="AZ34" s="148"/>
      <c r="BA34" s="148"/>
      <c r="BB34" s="148"/>
      <c r="BC34" s="148"/>
      <c r="BD34" s="148"/>
      <c r="BE34" s="148"/>
      <c r="BF34" s="148"/>
      <c r="BG34" s="148"/>
      <c r="BH34" s="148"/>
      <c r="BI34" s="148"/>
      <c r="BJ34" s="148"/>
      <c r="BK34" s="148"/>
      <c r="BL34" s="148"/>
      <c r="BM34" s="148"/>
      <c r="BN34" s="148"/>
      <c r="BO34" s="148"/>
      <c r="BP34" s="148"/>
      <c r="BQ34" s="148"/>
      <c r="BR34" s="148"/>
      <c r="BS34" s="148"/>
      <c r="BT34" s="148"/>
      <c r="BU34" s="148"/>
      <c r="BV34" s="148"/>
      <c r="BW34" s="148"/>
      <c r="BX34" s="148"/>
      <c r="BY34" s="148"/>
      <c r="BZ34" s="148"/>
      <c r="CA34" s="148"/>
      <c r="CB34" s="148"/>
      <c r="CC34" s="148"/>
      <c r="CD34" s="148"/>
      <c r="CE34" s="148"/>
      <c r="CF34" s="148"/>
      <c r="CG34" s="148"/>
      <c r="CH34" s="148"/>
      <c r="CI34" s="148"/>
      <c r="CJ34" s="148"/>
      <c r="CK34" s="148"/>
      <c r="CL34" s="148"/>
      <c r="CM34" s="148"/>
      <c r="CN34" s="148"/>
      <c r="CO34" s="148"/>
      <c r="CP34" s="148"/>
      <c r="CQ34" s="148"/>
      <c r="CR34" s="148"/>
      <c r="CS34" s="148"/>
      <c r="CT34" s="148"/>
      <c r="CU34" s="148"/>
      <c r="CV34" s="148"/>
      <c r="CW34" s="148"/>
      <c r="CX34" s="148"/>
      <c r="CY34" s="148"/>
      <c r="CZ34" s="148"/>
      <c r="DA34" s="148"/>
      <c r="DB34" s="148"/>
      <c r="DC34" s="148"/>
      <c r="DD34" s="148"/>
      <c r="DE34" s="148"/>
      <c r="DF34" s="148"/>
      <c r="DG34" s="148"/>
      <c r="DH34" s="148"/>
      <c r="DI34" s="148"/>
      <c r="DJ34" s="148"/>
      <c r="DK34" s="148"/>
      <c r="DL34" s="148"/>
      <c r="DM34" s="148"/>
      <c r="DN34" s="148"/>
      <c r="DO34" s="148"/>
      <c r="DP34" s="148"/>
      <c r="DQ34" s="148"/>
      <c r="DR34" s="148"/>
      <c r="DS34" s="148"/>
      <c r="DT34" s="148"/>
      <c r="DU34" s="148"/>
      <c r="DV34" s="148"/>
      <c r="DW34" s="148"/>
      <c r="DX34" s="148"/>
      <c r="DY34" s="148"/>
      <c r="DZ34" s="148"/>
      <c r="EA34" s="148"/>
      <c r="EB34" s="148"/>
      <c r="EC34" s="148"/>
      <c r="ED34" s="148"/>
      <c r="EE34" s="148"/>
      <c r="EF34" s="148"/>
      <c r="EG34" s="148"/>
      <c r="EH34" s="148"/>
      <c r="EI34" s="148"/>
      <c r="EJ34" s="148"/>
      <c r="EK34" s="148"/>
      <c r="EL34" s="148"/>
      <c r="EM34" s="148"/>
      <c r="EN34" s="148"/>
      <c r="EO34" s="148"/>
      <c r="EP34" s="148"/>
      <c r="EQ34" s="148"/>
      <c r="ER34" s="148"/>
      <c r="ES34" s="148"/>
      <c r="ET34" s="148"/>
      <c r="EU34" s="148"/>
      <c r="EV34" s="148"/>
      <c r="EW34" s="148"/>
      <c r="EX34" s="148"/>
      <c r="EY34" s="148"/>
      <c r="EZ34" s="148"/>
      <c r="FA34" s="148"/>
      <c r="FB34" s="148"/>
      <c r="FC34" s="148"/>
      <c r="FD34" s="148"/>
      <c r="FE34" s="148"/>
      <c r="FF34" s="148"/>
      <c r="FG34" s="148"/>
      <c r="FH34" s="148"/>
      <c r="FI34" s="148"/>
      <c r="FJ34" s="148"/>
      <c r="FK34" s="148"/>
      <c r="FL34" s="148"/>
      <c r="FM34" s="148"/>
      <c r="FN34" s="148"/>
      <c r="FO34" s="148"/>
      <c r="FP34" s="148"/>
      <c r="FQ34" s="148"/>
      <c r="FR34" s="148"/>
      <c r="FS34" s="148"/>
      <c r="FT34" s="148"/>
      <c r="FU34" s="148"/>
      <c r="FV34" s="148"/>
      <c r="FW34" s="148"/>
      <c r="FX34" s="148"/>
      <c r="FY34" s="148"/>
      <c r="FZ34" s="148"/>
      <c r="GA34" s="148"/>
      <c r="GB34" s="148"/>
      <c r="GC34" s="148"/>
      <c r="GD34" s="148"/>
      <c r="GE34" s="148"/>
      <c r="GF34" s="148"/>
      <c r="GG34" s="148"/>
      <c r="GH34" s="148"/>
      <c r="GI34" s="148"/>
      <c r="GJ34" s="148"/>
      <c r="GK34" s="148"/>
      <c r="GL34" s="148"/>
      <c r="GM34" s="148"/>
      <c r="GN34" s="148"/>
      <c r="GO34" s="148"/>
      <c r="GP34" s="148"/>
      <c r="GQ34" s="148"/>
      <c r="GR34" s="148"/>
      <c r="GS34" s="148"/>
      <c r="GT34" s="148"/>
      <c r="GU34" s="148"/>
      <c r="GV34" s="148"/>
      <c r="GW34" s="148"/>
      <c r="GX34" s="148"/>
      <c r="GY34" s="148"/>
      <c r="GZ34" s="148"/>
      <c r="HA34" s="148"/>
      <c r="HB34" s="148"/>
      <c r="HC34" s="148"/>
      <c r="HD34" s="148"/>
      <c r="HE34" s="148"/>
      <c r="HF34" s="148"/>
      <c r="HG34" s="148"/>
      <c r="HH34" s="148"/>
      <c r="HI34" s="148"/>
      <c r="HJ34" s="148"/>
      <c r="HK34" s="148"/>
      <c r="HL34" s="148"/>
      <c r="HM34" s="148"/>
      <c r="HN34" s="148"/>
      <c r="HO34" s="148"/>
      <c r="HP34" s="148"/>
      <c r="HQ34" s="148"/>
      <c r="HR34" s="148"/>
      <c r="HS34" s="148"/>
      <c r="HT34" s="148"/>
      <c r="HU34" s="148"/>
      <c r="HV34" s="148"/>
      <c r="HW34" s="148"/>
      <c r="HX34" s="148"/>
      <c r="HY34" s="148"/>
      <c r="HZ34" s="148"/>
      <c r="IA34" s="148"/>
      <c r="IB34" s="148"/>
      <c r="IC34" s="148"/>
    </row>
    <row r="35" spans="1:237" s="15" customFormat="1" ht="22.5" x14ac:dyDescent="0.25">
      <c r="A35" s="148"/>
      <c r="B35" s="307">
        <v>14</v>
      </c>
      <c r="C35" s="307" t="s">
        <v>38</v>
      </c>
      <c r="D35" s="450">
        <v>30484745</v>
      </c>
      <c r="E35" s="577" t="s">
        <v>2880</v>
      </c>
      <c r="F35" s="577" t="s">
        <v>897</v>
      </c>
      <c r="G35" s="533" t="s">
        <v>1902</v>
      </c>
      <c r="H35" s="553" t="s">
        <v>44</v>
      </c>
      <c r="I35" s="534" t="s">
        <v>42</v>
      </c>
      <c r="J35" s="535">
        <v>3235355</v>
      </c>
      <c r="K35" s="535">
        <v>1700616</v>
      </c>
      <c r="L35" s="535">
        <v>0</v>
      </c>
      <c r="M35" s="535">
        <v>0</v>
      </c>
      <c r="N35" s="454">
        <v>283257.66899999999</v>
      </c>
      <c r="O35" s="454">
        <v>102907.836</v>
      </c>
      <c r="P35" s="535">
        <v>74733.342000000004</v>
      </c>
      <c r="Q35" s="535">
        <v>0</v>
      </c>
      <c r="R35" s="535">
        <v>0</v>
      </c>
      <c r="S35" s="535">
        <f>35528844/1000</f>
        <v>35528.843999999997</v>
      </c>
      <c r="T35" s="535"/>
      <c r="U35" s="535"/>
      <c r="V35" s="535"/>
      <c r="W35" s="535"/>
      <c r="X35" s="535"/>
      <c r="Y35" s="535"/>
      <c r="Z35" s="660">
        <f t="shared" si="2"/>
        <v>496427.69099999999</v>
      </c>
      <c r="AA35" s="535">
        <v>1534739</v>
      </c>
      <c r="AB35" s="558">
        <v>1</v>
      </c>
      <c r="AC35" s="551">
        <v>44201</v>
      </c>
      <c r="AD35" s="552">
        <v>44229</v>
      </c>
      <c r="AE35" s="454">
        <v>-231194</v>
      </c>
      <c r="AF35" s="459">
        <v>11</v>
      </c>
      <c r="AG35" s="457">
        <v>44307</v>
      </c>
      <c r="AH35" s="458">
        <v>44328</v>
      </c>
      <c r="AI35" s="454"/>
      <c r="AJ35" s="456"/>
      <c r="AK35" s="460"/>
      <c r="AL35" s="458"/>
      <c r="AM35" s="454"/>
      <c r="AN35" s="456"/>
      <c r="AO35" s="460"/>
      <c r="AP35" s="458"/>
      <c r="AQ35" s="454"/>
      <c r="AR35" s="456"/>
      <c r="AS35" s="460"/>
      <c r="AT35" s="458"/>
      <c r="AU35" s="22">
        <f t="shared" si="0"/>
        <v>1303545</v>
      </c>
      <c r="AV35" s="546">
        <f t="shared" si="1"/>
        <v>807117.30900000001</v>
      </c>
      <c r="AW35" s="148"/>
      <c r="AX35" s="148"/>
      <c r="AY35" s="148"/>
      <c r="AZ35" s="148"/>
      <c r="BA35" s="148"/>
      <c r="BB35" s="148"/>
      <c r="BC35" s="148"/>
      <c r="BD35" s="148"/>
      <c r="BE35" s="148"/>
      <c r="BF35" s="148"/>
      <c r="BG35" s="148"/>
      <c r="BH35" s="148"/>
      <c r="BI35" s="148"/>
      <c r="BJ35" s="148"/>
      <c r="BK35" s="148"/>
      <c r="BL35" s="148"/>
      <c r="BM35" s="148"/>
      <c r="BN35" s="148"/>
      <c r="BO35" s="148"/>
      <c r="BP35" s="148"/>
      <c r="BQ35" s="148"/>
      <c r="BR35" s="148"/>
      <c r="BS35" s="148"/>
      <c r="BT35" s="148"/>
      <c r="BU35" s="148"/>
      <c r="BV35" s="148"/>
      <c r="BW35" s="148"/>
      <c r="BX35" s="148"/>
      <c r="BY35" s="148"/>
      <c r="BZ35" s="148"/>
      <c r="CA35" s="148"/>
      <c r="CB35" s="148"/>
      <c r="CC35" s="148"/>
      <c r="CD35" s="148"/>
      <c r="CE35" s="148"/>
      <c r="CF35" s="148"/>
      <c r="CG35" s="148"/>
      <c r="CH35" s="148"/>
      <c r="CI35" s="148"/>
      <c r="CJ35" s="148"/>
      <c r="CK35" s="148"/>
      <c r="CL35" s="148"/>
      <c r="CM35" s="148"/>
      <c r="CN35" s="148"/>
      <c r="CO35" s="148"/>
      <c r="CP35" s="148"/>
      <c r="CQ35" s="148"/>
      <c r="CR35" s="148"/>
      <c r="CS35" s="148"/>
      <c r="CT35" s="148"/>
      <c r="CU35" s="148"/>
      <c r="CV35" s="148"/>
      <c r="CW35" s="148"/>
      <c r="CX35" s="148"/>
      <c r="CY35" s="148"/>
      <c r="CZ35" s="148"/>
      <c r="DA35" s="148"/>
      <c r="DB35" s="148"/>
      <c r="DC35" s="148"/>
      <c r="DD35" s="148"/>
      <c r="DE35" s="148"/>
      <c r="DF35" s="148"/>
      <c r="DG35" s="148"/>
      <c r="DH35" s="148"/>
      <c r="DI35" s="148"/>
      <c r="DJ35" s="148"/>
      <c r="DK35" s="148"/>
      <c r="DL35" s="148"/>
      <c r="DM35" s="148"/>
      <c r="DN35" s="148"/>
      <c r="DO35" s="148"/>
      <c r="DP35" s="148"/>
      <c r="DQ35" s="148"/>
      <c r="DR35" s="148"/>
      <c r="DS35" s="148"/>
      <c r="DT35" s="148"/>
      <c r="DU35" s="148"/>
      <c r="DV35" s="148"/>
      <c r="DW35" s="148"/>
      <c r="DX35" s="148"/>
      <c r="DY35" s="148"/>
      <c r="DZ35" s="148"/>
      <c r="EA35" s="148"/>
      <c r="EB35" s="148"/>
      <c r="EC35" s="148"/>
      <c r="ED35" s="148"/>
      <c r="EE35" s="148"/>
      <c r="EF35" s="148"/>
      <c r="EG35" s="148"/>
      <c r="EH35" s="148"/>
      <c r="EI35" s="148"/>
      <c r="EJ35" s="148"/>
      <c r="EK35" s="148"/>
      <c r="EL35" s="148"/>
      <c r="EM35" s="148"/>
      <c r="EN35" s="148"/>
      <c r="EO35" s="148"/>
      <c r="EP35" s="148"/>
      <c r="EQ35" s="148"/>
      <c r="ER35" s="148"/>
      <c r="ES35" s="148"/>
      <c r="ET35" s="148"/>
      <c r="EU35" s="148"/>
      <c r="EV35" s="148"/>
      <c r="EW35" s="148"/>
      <c r="EX35" s="148"/>
      <c r="EY35" s="148"/>
      <c r="EZ35" s="148"/>
      <c r="FA35" s="148"/>
      <c r="FB35" s="148"/>
      <c r="FC35" s="148"/>
      <c r="FD35" s="148"/>
      <c r="FE35" s="148"/>
      <c r="FF35" s="148"/>
      <c r="FG35" s="148"/>
      <c r="FH35" s="148"/>
      <c r="FI35" s="148"/>
      <c r="FJ35" s="148"/>
      <c r="FK35" s="148"/>
      <c r="FL35" s="148"/>
      <c r="FM35" s="148"/>
      <c r="FN35" s="148"/>
      <c r="FO35" s="148"/>
      <c r="FP35" s="148"/>
      <c r="FQ35" s="148"/>
      <c r="FR35" s="148"/>
      <c r="FS35" s="148"/>
      <c r="FT35" s="148"/>
      <c r="FU35" s="148"/>
      <c r="FV35" s="148"/>
      <c r="FW35" s="148"/>
      <c r="FX35" s="148"/>
      <c r="FY35" s="148"/>
      <c r="FZ35" s="148"/>
      <c r="GA35" s="148"/>
      <c r="GB35" s="148"/>
      <c r="GC35" s="148"/>
      <c r="GD35" s="148"/>
      <c r="GE35" s="148"/>
      <c r="GF35" s="148"/>
      <c r="GG35" s="148"/>
      <c r="GH35" s="148"/>
      <c r="GI35" s="148"/>
      <c r="GJ35" s="148"/>
      <c r="GK35" s="148"/>
      <c r="GL35" s="148"/>
      <c r="GM35" s="148"/>
      <c r="GN35" s="148"/>
      <c r="GO35" s="148"/>
      <c r="GP35" s="148"/>
      <c r="GQ35" s="148"/>
      <c r="GR35" s="148"/>
      <c r="GS35" s="148"/>
      <c r="GT35" s="148"/>
      <c r="GU35" s="148"/>
      <c r="GV35" s="148"/>
      <c r="GW35" s="148"/>
      <c r="GX35" s="148"/>
      <c r="GY35" s="148"/>
      <c r="GZ35" s="148"/>
      <c r="HA35" s="148"/>
      <c r="HB35" s="148"/>
      <c r="HC35" s="148"/>
      <c r="HD35" s="148"/>
      <c r="HE35" s="148"/>
      <c r="HF35" s="148"/>
      <c r="HG35" s="148"/>
      <c r="HH35" s="148"/>
      <c r="HI35" s="148"/>
      <c r="HJ35" s="148"/>
      <c r="HK35" s="148"/>
      <c r="HL35" s="148"/>
      <c r="HM35" s="148"/>
      <c r="HN35" s="148"/>
      <c r="HO35" s="148"/>
      <c r="HP35" s="148"/>
      <c r="HQ35" s="148"/>
      <c r="HR35" s="148"/>
      <c r="HS35" s="148"/>
      <c r="HT35" s="148"/>
      <c r="HU35" s="148"/>
      <c r="HV35" s="148"/>
      <c r="HW35" s="148"/>
      <c r="HX35" s="148"/>
      <c r="HY35" s="148"/>
      <c r="HZ35" s="148"/>
      <c r="IA35" s="148"/>
      <c r="IB35" s="148"/>
      <c r="IC35" s="148"/>
    </row>
    <row r="36" spans="1:237" s="15" customFormat="1" ht="22.5" x14ac:dyDescent="0.25">
      <c r="A36" s="148"/>
      <c r="B36" s="307">
        <v>78</v>
      </c>
      <c r="C36" s="307" t="s">
        <v>38</v>
      </c>
      <c r="D36" s="450">
        <v>30485225</v>
      </c>
      <c r="E36" s="577" t="s">
        <v>2881</v>
      </c>
      <c r="F36" s="577" t="s">
        <v>897</v>
      </c>
      <c r="G36" s="533" t="s">
        <v>1902</v>
      </c>
      <c r="H36" s="553" t="s">
        <v>2882</v>
      </c>
      <c r="I36" s="534" t="s">
        <v>43</v>
      </c>
      <c r="J36" s="535">
        <v>1899207</v>
      </c>
      <c r="K36" s="535">
        <v>3325</v>
      </c>
      <c r="L36" s="535">
        <v>1850764</v>
      </c>
      <c r="M36" s="535">
        <v>1639882</v>
      </c>
      <c r="N36" s="454">
        <v>0</v>
      </c>
      <c r="O36" s="454">
        <v>0</v>
      </c>
      <c r="P36" s="535">
        <v>0</v>
      </c>
      <c r="Q36" s="535">
        <v>0</v>
      </c>
      <c r="R36" s="535">
        <v>0</v>
      </c>
      <c r="S36" s="535">
        <v>0</v>
      </c>
      <c r="T36" s="535"/>
      <c r="U36" s="535"/>
      <c r="V36" s="535"/>
      <c r="W36" s="535"/>
      <c r="X36" s="535"/>
      <c r="Y36" s="535"/>
      <c r="Z36" s="660">
        <f t="shared" si="2"/>
        <v>0</v>
      </c>
      <c r="AA36" s="591">
        <v>3325</v>
      </c>
      <c r="AB36" s="558">
        <v>4</v>
      </c>
      <c r="AC36" s="545">
        <v>44232</v>
      </c>
      <c r="AD36" s="542">
        <v>44252</v>
      </c>
      <c r="AE36" s="454">
        <v>6000</v>
      </c>
      <c r="AF36" s="459">
        <v>11</v>
      </c>
      <c r="AG36" s="457">
        <v>44307</v>
      </c>
      <c r="AH36" s="458">
        <v>44328</v>
      </c>
      <c r="AI36" s="454"/>
      <c r="AJ36" s="456"/>
      <c r="AK36" s="460"/>
      <c r="AL36" s="458"/>
      <c r="AM36" s="454"/>
      <c r="AN36" s="456"/>
      <c r="AO36" s="460"/>
      <c r="AP36" s="458"/>
      <c r="AQ36" s="454"/>
      <c r="AR36" s="456"/>
      <c r="AS36" s="460"/>
      <c r="AT36" s="458"/>
      <c r="AU36" s="22">
        <f t="shared" si="0"/>
        <v>9325</v>
      </c>
      <c r="AV36" s="546">
        <f t="shared" si="1"/>
        <v>9325</v>
      </c>
      <c r="AW36" s="148"/>
      <c r="AX36" s="148"/>
      <c r="AY36" s="148"/>
      <c r="AZ36" s="148"/>
      <c r="BA36" s="148"/>
      <c r="BB36" s="148"/>
      <c r="BC36" s="148"/>
      <c r="BD36" s="148"/>
      <c r="BE36" s="148"/>
      <c r="BF36" s="148"/>
      <c r="BG36" s="148"/>
      <c r="BH36" s="148"/>
      <c r="BI36" s="148"/>
      <c r="BJ36" s="148"/>
      <c r="BK36" s="148"/>
      <c r="BL36" s="148"/>
      <c r="BM36" s="148"/>
      <c r="BN36" s="148"/>
      <c r="BO36" s="148"/>
      <c r="BP36" s="148"/>
      <c r="BQ36" s="148"/>
      <c r="BR36" s="148"/>
      <c r="BS36" s="148"/>
      <c r="BT36" s="148"/>
      <c r="BU36" s="148"/>
      <c r="BV36" s="148"/>
      <c r="BW36" s="148"/>
      <c r="BX36" s="148"/>
      <c r="BY36" s="148"/>
      <c r="BZ36" s="148"/>
      <c r="CA36" s="148"/>
      <c r="CB36" s="148"/>
      <c r="CC36" s="148"/>
      <c r="CD36" s="148"/>
      <c r="CE36" s="148"/>
      <c r="CF36" s="148"/>
      <c r="CG36" s="148"/>
      <c r="CH36" s="148"/>
      <c r="CI36" s="148"/>
      <c r="CJ36" s="148"/>
      <c r="CK36" s="148"/>
      <c r="CL36" s="148"/>
      <c r="CM36" s="148"/>
      <c r="CN36" s="148"/>
      <c r="CO36" s="148"/>
      <c r="CP36" s="148"/>
      <c r="CQ36" s="148"/>
      <c r="CR36" s="148"/>
      <c r="CS36" s="148"/>
      <c r="CT36" s="148"/>
      <c r="CU36" s="148"/>
      <c r="CV36" s="148"/>
      <c r="CW36" s="148"/>
      <c r="CX36" s="148"/>
      <c r="CY36" s="148"/>
      <c r="CZ36" s="148"/>
      <c r="DA36" s="148"/>
      <c r="DB36" s="148"/>
      <c r="DC36" s="148"/>
      <c r="DD36" s="148"/>
      <c r="DE36" s="148"/>
      <c r="DF36" s="148"/>
      <c r="DG36" s="148"/>
      <c r="DH36" s="148"/>
      <c r="DI36" s="148"/>
      <c r="DJ36" s="148"/>
      <c r="DK36" s="148"/>
      <c r="DL36" s="148"/>
      <c r="DM36" s="148"/>
      <c r="DN36" s="148"/>
      <c r="DO36" s="148"/>
      <c r="DP36" s="148"/>
      <c r="DQ36" s="148"/>
      <c r="DR36" s="148"/>
      <c r="DS36" s="148"/>
      <c r="DT36" s="148"/>
      <c r="DU36" s="148"/>
      <c r="DV36" s="148"/>
      <c r="DW36" s="148"/>
      <c r="DX36" s="148"/>
      <c r="DY36" s="148"/>
      <c r="DZ36" s="148"/>
      <c r="EA36" s="148"/>
      <c r="EB36" s="148"/>
      <c r="EC36" s="148"/>
      <c r="ED36" s="148"/>
      <c r="EE36" s="148"/>
      <c r="EF36" s="148"/>
      <c r="EG36" s="148"/>
      <c r="EH36" s="148"/>
      <c r="EI36" s="148"/>
      <c r="EJ36" s="148"/>
      <c r="EK36" s="148"/>
      <c r="EL36" s="148"/>
      <c r="EM36" s="148"/>
      <c r="EN36" s="148"/>
      <c r="EO36" s="148"/>
      <c r="EP36" s="148"/>
      <c r="EQ36" s="148"/>
      <c r="ER36" s="148"/>
      <c r="ES36" s="148"/>
      <c r="ET36" s="148"/>
      <c r="EU36" s="148"/>
      <c r="EV36" s="148"/>
      <c r="EW36" s="148"/>
      <c r="EX36" s="148"/>
      <c r="EY36" s="148"/>
      <c r="EZ36" s="148"/>
      <c r="FA36" s="148"/>
      <c r="FB36" s="148"/>
      <c r="FC36" s="148"/>
      <c r="FD36" s="148"/>
      <c r="FE36" s="148"/>
      <c r="FF36" s="148"/>
      <c r="FG36" s="148"/>
      <c r="FH36" s="148"/>
      <c r="FI36" s="148"/>
      <c r="FJ36" s="148"/>
      <c r="FK36" s="148"/>
      <c r="FL36" s="148"/>
      <c r="FM36" s="148"/>
      <c r="FN36" s="148"/>
      <c r="FO36" s="148"/>
      <c r="FP36" s="148"/>
      <c r="FQ36" s="148"/>
      <c r="FR36" s="148"/>
      <c r="FS36" s="148"/>
      <c r="FT36" s="148"/>
      <c r="FU36" s="148"/>
      <c r="FV36" s="148"/>
      <c r="FW36" s="148"/>
      <c r="FX36" s="148"/>
      <c r="FY36" s="148"/>
      <c r="FZ36" s="148"/>
      <c r="GA36" s="148"/>
      <c r="GB36" s="148"/>
      <c r="GC36" s="148"/>
      <c r="GD36" s="148"/>
      <c r="GE36" s="148"/>
      <c r="GF36" s="148"/>
      <c r="GG36" s="148"/>
      <c r="GH36" s="148"/>
      <c r="GI36" s="148"/>
      <c r="GJ36" s="148"/>
      <c r="GK36" s="148"/>
      <c r="GL36" s="148"/>
      <c r="GM36" s="148"/>
      <c r="GN36" s="148"/>
      <c r="GO36" s="148"/>
      <c r="GP36" s="148"/>
      <c r="GQ36" s="148"/>
      <c r="GR36" s="148"/>
      <c r="GS36" s="148"/>
      <c r="GT36" s="148"/>
      <c r="GU36" s="148"/>
      <c r="GV36" s="148"/>
      <c r="GW36" s="148"/>
      <c r="GX36" s="148"/>
      <c r="GY36" s="148"/>
      <c r="GZ36" s="148"/>
      <c r="HA36" s="148"/>
      <c r="HB36" s="148"/>
      <c r="HC36" s="148"/>
      <c r="HD36" s="148"/>
      <c r="HE36" s="148"/>
      <c r="HF36" s="148"/>
      <c r="HG36" s="148"/>
      <c r="HH36" s="148"/>
      <c r="HI36" s="148"/>
      <c r="HJ36" s="148"/>
      <c r="HK36" s="148"/>
      <c r="HL36" s="148"/>
      <c r="HM36" s="148"/>
      <c r="HN36" s="148"/>
      <c r="HO36" s="148"/>
      <c r="HP36" s="148"/>
      <c r="HQ36" s="148"/>
      <c r="HR36" s="148"/>
      <c r="HS36" s="148"/>
      <c r="HT36" s="148"/>
      <c r="HU36" s="148"/>
      <c r="HV36" s="148"/>
      <c r="HW36" s="148"/>
      <c r="HX36" s="148"/>
      <c r="HY36" s="148"/>
      <c r="HZ36" s="148"/>
      <c r="IA36" s="148"/>
      <c r="IB36" s="148"/>
      <c r="IC36" s="148"/>
    </row>
    <row r="37" spans="1:237" s="15" customFormat="1" ht="22.5" x14ac:dyDescent="0.25">
      <c r="A37" s="148"/>
      <c r="B37" s="307">
        <v>22</v>
      </c>
      <c r="C37" s="307" t="s">
        <v>38</v>
      </c>
      <c r="D37" s="450">
        <v>40002924</v>
      </c>
      <c r="E37" s="577" t="s">
        <v>2883</v>
      </c>
      <c r="F37" s="577" t="s">
        <v>897</v>
      </c>
      <c r="G37" s="533" t="s">
        <v>1902</v>
      </c>
      <c r="H37" s="553" t="s">
        <v>2884</v>
      </c>
      <c r="I37" s="534" t="s">
        <v>42</v>
      </c>
      <c r="J37" s="535">
        <v>622421</v>
      </c>
      <c r="K37" s="535">
        <v>225988</v>
      </c>
      <c r="L37" s="535">
        <v>0</v>
      </c>
      <c r="M37" s="535">
        <v>0</v>
      </c>
      <c r="N37" s="454">
        <v>131168.109</v>
      </c>
      <c r="O37" s="454">
        <v>83594.175000000003</v>
      </c>
      <c r="P37" s="535">
        <v>91092.346000000005</v>
      </c>
      <c r="Q37" s="535">
        <f>20922822/1000</f>
        <v>20922.822</v>
      </c>
      <c r="R37" s="535">
        <v>0</v>
      </c>
      <c r="S37" s="535">
        <v>0</v>
      </c>
      <c r="T37" s="535"/>
      <c r="U37" s="535"/>
      <c r="V37" s="535"/>
      <c r="W37" s="535"/>
      <c r="X37" s="535"/>
      <c r="Y37" s="535"/>
      <c r="Z37" s="660">
        <f t="shared" si="2"/>
        <v>326777.45199999999</v>
      </c>
      <c r="AA37" s="535">
        <v>396433</v>
      </c>
      <c r="AB37" s="558">
        <v>1</v>
      </c>
      <c r="AC37" s="551">
        <v>44201</v>
      </c>
      <c r="AD37" s="552">
        <v>44229</v>
      </c>
      <c r="AE37" s="454"/>
      <c r="AF37" s="459"/>
      <c r="AG37" s="460"/>
      <c r="AH37" s="458"/>
      <c r="AI37" s="454"/>
      <c r="AJ37" s="456"/>
      <c r="AK37" s="460"/>
      <c r="AL37" s="458"/>
      <c r="AM37" s="454"/>
      <c r="AN37" s="456"/>
      <c r="AO37" s="460"/>
      <c r="AP37" s="458"/>
      <c r="AQ37" s="454"/>
      <c r="AR37" s="456"/>
      <c r="AS37" s="460"/>
      <c r="AT37" s="458"/>
      <c r="AU37" s="22">
        <f t="shared" si="0"/>
        <v>396433</v>
      </c>
      <c r="AV37" s="546">
        <f t="shared" si="1"/>
        <v>69655.54800000001</v>
      </c>
      <c r="AW37" s="148"/>
      <c r="AX37" s="148"/>
      <c r="AY37" s="148"/>
      <c r="AZ37" s="148"/>
      <c r="BA37" s="148"/>
      <c r="BB37" s="148"/>
      <c r="BC37" s="148"/>
      <c r="BD37" s="148"/>
      <c r="BE37" s="148"/>
      <c r="BF37" s="148"/>
      <c r="BG37" s="148"/>
      <c r="BH37" s="148"/>
      <c r="BI37" s="148"/>
      <c r="BJ37" s="148"/>
      <c r="BK37" s="148"/>
      <c r="BL37" s="148"/>
      <c r="BM37" s="148"/>
      <c r="BN37" s="148"/>
      <c r="BO37" s="148"/>
      <c r="BP37" s="148"/>
      <c r="BQ37" s="148"/>
      <c r="BR37" s="148"/>
      <c r="BS37" s="148"/>
      <c r="BT37" s="148"/>
      <c r="BU37" s="148"/>
      <c r="BV37" s="148"/>
      <c r="BW37" s="148"/>
      <c r="BX37" s="148"/>
      <c r="BY37" s="148"/>
      <c r="BZ37" s="148"/>
      <c r="CA37" s="148"/>
      <c r="CB37" s="148"/>
      <c r="CC37" s="148"/>
      <c r="CD37" s="148"/>
      <c r="CE37" s="148"/>
      <c r="CF37" s="148"/>
      <c r="CG37" s="148"/>
      <c r="CH37" s="148"/>
      <c r="CI37" s="148"/>
      <c r="CJ37" s="148"/>
      <c r="CK37" s="148"/>
      <c r="CL37" s="148"/>
      <c r="CM37" s="148"/>
      <c r="CN37" s="148"/>
      <c r="CO37" s="148"/>
      <c r="CP37" s="148"/>
      <c r="CQ37" s="148"/>
      <c r="CR37" s="148"/>
      <c r="CS37" s="148"/>
      <c r="CT37" s="148"/>
      <c r="CU37" s="148"/>
      <c r="CV37" s="148"/>
      <c r="CW37" s="148"/>
      <c r="CX37" s="148"/>
      <c r="CY37" s="148"/>
      <c r="CZ37" s="148"/>
      <c r="DA37" s="148"/>
      <c r="DB37" s="148"/>
      <c r="DC37" s="148"/>
      <c r="DD37" s="148"/>
      <c r="DE37" s="148"/>
      <c r="DF37" s="148"/>
      <c r="DG37" s="148"/>
      <c r="DH37" s="148"/>
      <c r="DI37" s="148"/>
      <c r="DJ37" s="148"/>
      <c r="DK37" s="148"/>
      <c r="DL37" s="148"/>
      <c r="DM37" s="148"/>
      <c r="DN37" s="148"/>
      <c r="DO37" s="148"/>
      <c r="DP37" s="148"/>
      <c r="DQ37" s="148"/>
      <c r="DR37" s="148"/>
      <c r="DS37" s="148"/>
      <c r="DT37" s="148"/>
      <c r="DU37" s="148"/>
      <c r="DV37" s="148"/>
      <c r="DW37" s="148"/>
      <c r="DX37" s="148"/>
      <c r="DY37" s="148"/>
      <c r="DZ37" s="148"/>
      <c r="EA37" s="148"/>
      <c r="EB37" s="148"/>
      <c r="EC37" s="148"/>
      <c r="ED37" s="148"/>
      <c r="EE37" s="148"/>
      <c r="EF37" s="148"/>
      <c r="EG37" s="148"/>
      <c r="EH37" s="148"/>
      <c r="EI37" s="148"/>
      <c r="EJ37" s="148"/>
      <c r="EK37" s="148"/>
      <c r="EL37" s="148"/>
      <c r="EM37" s="148"/>
      <c r="EN37" s="148"/>
      <c r="EO37" s="148"/>
      <c r="EP37" s="148"/>
      <c r="EQ37" s="148"/>
      <c r="ER37" s="148"/>
      <c r="ES37" s="148"/>
      <c r="ET37" s="148"/>
      <c r="EU37" s="148"/>
      <c r="EV37" s="148"/>
      <c r="EW37" s="148"/>
      <c r="EX37" s="148"/>
      <c r="EY37" s="148"/>
      <c r="EZ37" s="148"/>
      <c r="FA37" s="148"/>
      <c r="FB37" s="148"/>
      <c r="FC37" s="148"/>
      <c r="FD37" s="148"/>
      <c r="FE37" s="148"/>
      <c r="FF37" s="148"/>
      <c r="FG37" s="148"/>
      <c r="FH37" s="148"/>
      <c r="FI37" s="148"/>
      <c r="FJ37" s="148"/>
      <c r="FK37" s="148"/>
      <c r="FL37" s="148"/>
      <c r="FM37" s="148"/>
      <c r="FN37" s="148"/>
      <c r="FO37" s="148"/>
      <c r="FP37" s="148"/>
      <c r="FQ37" s="148"/>
      <c r="FR37" s="148"/>
      <c r="FS37" s="148"/>
      <c r="FT37" s="148"/>
      <c r="FU37" s="148"/>
      <c r="FV37" s="148"/>
      <c r="FW37" s="148"/>
      <c r="FX37" s="148"/>
      <c r="FY37" s="148"/>
      <c r="FZ37" s="148"/>
      <c r="GA37" s="148"/>
      <c r="GB37" s="148"/>
      <c r="GC37" s="148"/>
      <c r="GD37" s="148"/>
      <c r="GE37" s="148"/>
      <c r="GF37" s="148"/>
      <c r="GG37" s="148"/>
      <c r="GH37" s="148"/>
      <c r="GI37" s="148"/>
      <c r="GJ37" s="148"/>
      <c r="GK37" s="148"/>
      <c r="GL37" s="148"/>
      <c r="GM37" s="148"/>
      <c r="GN37" s="148"/>
      <c r="GO37" s="148"/>
      <c r="GP37" s="148"/>
      <c r="GQ37" s="148"/>
      <c r="GR37" s="148"/>
      <c r="GS37" s="148"/>
      <c r="GT37" s="148"/>
      <c r="GU37" s="148"/>
      <c r="GV37" s="148"/>
      <c r="GW37" s="148"/>
      <c r="GX37" s="148"/>
      <c r="GY37" s="148"/>
      <c r="GZ37" s="148"/>
      <c r="HA37" s="148"/>
      <c r="HB37" s="148"/>
      <c r="HC37" s="148"/>
      <c r="HD37" s="148"/>
      <c r="HE37" s="148"/>
      <c r="HF37" s="148"/>
      <c r="HG37" s="148"/>
      <c r="HH37" s="148"/>
      <c r="HI37" s="148"/>
      <c r="HJ37" s="148"/>
      <c r="HK37" s="148"/>
      <c r="HL37" s="148"/>
      <c r="HM37" s="148"/>
      <c r="HN37" s="148"/>
      <c r="HO37" s="148"/>
      <c r="HP37" s="148"/>
      <c r="HQ37" s="148"/>
      <c r="HR37" s="148"/>
      <c r="HS37" s="148"/>
      <c r="HT37" s="148"/>
      <c r="HU37" s="148"/>
      <c r="HV37" s="148"/>
      <c r="HW37" s="148"/>
      <c r="HX37" s="148"/>
      <c r="HY37" s="148"/>
      <c r="HZ37" s="148"/>
      <c r="IA37" s="148"/>
      <c r="IB37" s="148"/>
      <c r="IC37" s="148"/>
    </row>
    <row r="38" spans="1:237" s="15" customFormat="1" ht="22.5" x14ac:dyDescent="0.25">
      <c r="A38" s="148"/>
      <c r="B38" s="307">
        <v>23</v>
      </c>
      <c r="C38" s="307" t="s">
        <v>38</v>
      </c>
      <c r="D38" s="450">
        <v>40002930</v>
      </c>
      <c r="E38" s="577" t="s">
        <v>2885</v>
      </c>
      <c r="F38" s="577" t="s">
        <v>2886</v>
      </c>
      <c r="G38" s="533" t="s">
        <v>1902</v>
      </c>
      <c r="H38" s="553" t="s">
        <v>2882</v>
      </c>
      <c r="I38" s="534" t="s">
        <v>42</v>
      </c>
      <c r="J38" s="535">
        <v>1388232</v>
      </c>
      <c r="K38" s="535">
        <v>470065</v>
      </c>
      <c r="L38" s="535">
        <v>0</v>
      </c>
      <c r="M38" s="535">
        <v>0</v>
      </c>
      <c r="N38" s="454">
        <v>30000</v>
      </c>
      <c r="O38" s="454">
        <v>0</v>
      </c>
      <c r="P38" s="535">
        <v>264236</v>
      </c>
      <c r="Q38" s="535">
        <v>0</v>
      </c>
      <c r="R38" s="535">
        <v>187500</v>
      </c>
      <c r="S38" s="535">
        <v>0</v>
      </c>
      <c r="T38" s="535"/>
      <c r="U38" s="535"/>
      <c r="V38" s="535"/>
      <c r="W38" s="535"/>
      <c r="X38" s="535"/>
      <c r="Y38" s="535"/>
      <c r="Z38" s="660">
        <f t="shared" si="2"/>
        <v>481736</v>
      </c>
      <c r="AA38" s="535">
        <v>918167</v>
      </c>
      <c r="AB38" s="558">
        <v>1</v>
      </c>
      <c r="AC38" s="551">
        <v>44201</v>
      </c>
      <c r="AD38" s="552">
        <v>44229</v>
      </c>
      <c r="AE38" s="454"/>
      <c r="AF38" s="459"/>
      <c r="AG38" s="460"/>
      <c r="AH38" s="458"/>
      <c r="AI38" s="454"/>
      <c r="AJ38" s="456"/>
      <c r="AK38" s="460"/>
      <c r="AL38" s="458"/>
      <c r="AM38" s="454"/>
      <c r="AN38" s="456"/>
      <c r="AO38" s="460"/>
      <c r="AP38" s="458"/>
      <c r="AQ38" s="454"/>
      <c r="AR38" s="456"/>
      <c r="AS38" s="460"/>
      <c r="AT38" s="458"/>
      <c r="AU38" s="22">
        <f t="shared" si="0"/>
        <v>918167</v>
      </c>
      <c r="AV38" s="546">
        <f t="shared" si="1"/>
        <v>436431</v>
      </c>
      <c r="AW38" s="148"/>
      <c r="AX38" s="148"/>
      <c r="AY38" s="148"/>
      <c r="AZ38" s="148"/>
      <c r="BA38" s="148"/>
      <c r="BB38" s="148"/>
      <c r="BC38" s="148"/>
      <c r="BD38" s="148"/>
      <c r="BE38" s="148"/>
      <c r="BF38" s="148"/>
      <c r="BG38" s="148"/>
      <c r="BH38" s="148"/>
      <c r="BI38" s="148"/>
      <c r="BJ38" s="148"/>
      <c r="BK38" s="148"/>
      <c r="BL38" s="148"/>
      <c r="BM38" s="148"/>
      <c r="BN38" s="148"/>
      <c r="BO38" s="148"/>
      <c r="BP38" s="148"/>
      <c r="BQ38" s="148"/>
      <c r="BR38" s="148"/>
      <c r="BS38" s="148"/>
      <c r="BT38" s="148"/>
      <c r="BU38" s="148"/>
      <c r="BV38" s="148"/>
      <c r="BW38" s="148"/>
      <c r="BX38" s="148"/>
      <c r="BY38" s="148"/>
      <c r="BZ38" s="148"/>
      <c r="CA38" s="148"/>
      <c r="CB38" s="148"/>
      <c r="CC38" s="148"/>
      <c r="CD38" s="148"/>
      <c r="CE38" s="148"/>
      <c r="CF38" s="148"/>
      <c r="CG38" s="148"/>
      <c r="CH38" s="148"/>
      <c r="CI38" s="148"/>
      <c r="CJ38" s="148"/>
      <c r="CK38" s="148"/>
      <c r="CL38" s="148"/>
      <c r="CM38" s="148"/>
      <c r="CN38" s="148"/>
      <c r="CO38" s="148"/>
      <c r="CP38" s="148"/>
      <c r="CQ38" s="148"/>
      <c r="CR38" s="148"/>
      <c r="CS38" s="148"/>
      <c r="CT38" s="148"/>
      <c r="CU38" s="148"/>
      <c r="CV38" s="148"/>
      <c r="CW38" s="148"/>
      <c r="CX38" s="148"/>
      <c r="CY38" s="148"/>
      <c r="CZ38" s="148"/>
      <c r="DA38" s="148"/>
      <c r="DB38" s="148"/>
      <c r="DC38" s="148"/>
      <c r="DD38" s="148"/>
      <c r="DE38" s="148"/>
      <c r="DF38" s="148"/>
      <c r="DG38" s="148"/>
      <c r="DH38" s="148"/>
      <c r="DI38" s="148"/>
      <c r="DJ38" s="148"/>
      <c r="DK38" s="148"/>
      <c r="DL38" s="148"/>
      <c r="DM38" s="148"/>
      <c r="DN38" s="148"/>
      <c r="DO38" s="148"/>
      <c r="DP38" s="148"/>
      <c r="DQ38" s="148"/>
      <c r="DR38" s="148"/>
      <c r="DS38" s="148"/>
      <c r="DT38" s="148"/>
      <c r="DU38" s="148"/>
      <c r="DV38" s="148"/>
      <c r="DW38" s="148"/>
      <c r="DX38" s="148"/>
      <c r="DY38" s="148"/>
      <c r="DZ38" s="148"/>
      <c r="EA38" s="148"/>
      <c r="EB38" s="148"/>
      <c r="EC38" s="148"/>
      <c r="ED38" s="148"/>
      <c r="EE38" s="148"/>
      <c r="EF38" s="148"/>
      <c r="EG38" s="148"/>
      <c r="EH38" s="148"/>
      <c r="EI38" s="148"/>
      <c r="EJ38" s="148"/>
      <c r="EK38" s="148"/>
      <c r="EL38" s="148"/>
      <c r="EM38" s="148"/>
      <c r="EN38" s="148"/>
      <c r="EO38" s="148"/>
      <c r="EP38" s="148"/>
      <c r="EQ38" s="148"/>
      <c r="ER38" s="148"/>
      <c r="ES38" s="148"/>
      <c r="ET38" s="148"/>
      <c r="EU38" s="148"/>
      <c r="EV38" s="148"/>
      <c r="EW38" s="148"/>
      <c r="EX38" s="148"/>
      <c r="EY38" s="148"/>
      <c r="EZ38" s="148"/>
      <c r="FA38" s="148"/>
      <c r="FB38" s="148"/>
      <c r="FC38" s="148"/>
      <c r="FD38" s="148"/>
      <c r="FE38" s="148"/>
      <c r="FF38" s="148"/>
      <c r="FG38" s="148"/>
      <c r="FH38" s="148"/>
      <c r="FI38" s="148"/>
      <c r="FJ38" s="148"/>
      <c r="FK38" s="148"/>
      <c r="FL38" s="148"/>
      <c r="FM38" s="148"/>
      <c r="FN38" s="148"/>
      <c r="FO38" s="148"/>
      <c r="FP38" s="148"/>
      <c r="FQ38" s="148"/>
      <c r="FR38" s="148"/>
      <c r="FS38" s="148"/>
      <c r="FT38" s="148"/>
      <c r="FU38" s="148"/>
      <c r="FV38" s="148"/>
      <c r="FW38" s="148"/>
      <c r="FX38" s="148"/>
      <c r="FY38" s="148"/>
      <c r="FZ38" s="148"/>
      <c r="GA38" s="148"/>
      <c r="GB38" s="148"/>
      <c r="GC38" s="148"/>
      <c r="GD38" s="148"/>
      <c r="GE38" s="148"/>
      <c r="GF38" s="148"/>
      <c r="GG38" s="148"/>
      <c r="GH38" s="148"/>
      <c r="GI38" s="148"/>
      <c r="GJ38" s="148"/>
      <c r="GK38" s="148"/>
      <c r="GL38" s="148"/>
      <c r="GM38" s="148"/>
      <c r="GN38" s="148"/>
      <c r="GO38" s="148"/>
      <c r="GP38" s="148"/>
      <c r="GQ38" s="148"/>
      <c r="GR38" s="148"/>
      <c r="GS38" s="148"/>
      <c r="GT38" s="148"/>
      <c r="GU38" s="148"/>
      <c r="GV38" s="148"/>
      <c r="GW38" s="148"/>
      <c r="GX38" s="148"/>
      <c r="GY38" s="148"/>
      <c r="GZ38" s="148"/>
      <c r="HA38" s="148"/>
      <c r="HB38" s="148"/>
      <c r="HC38" s="148"/>
      <c r="HD38" s="148"/>
      <c r="HE38" s="148"/>
      <c r="HF38" s="148"/>
      <c r="HG38" s="148"/>
      <c r="HH38" s="148"/>
      <c r="HI38" s="148"/>
      <c r="HJ38" s="148"/>
      <c r="HK38" s="148"/>
      <c r="HL38" s="148"/>
      <c r="HM38" s="148"/>
      <c r="HN38" s="148"/>
      <c r="HO38" s="148"/>
      <c r="HP38" s="148"/>
      <c r="HQ38" s="148"/>
      <c r="HR38" s="148"/>
      <c r="HS38" s="148"/>
      <c r="HT38" s="148"/>
      <c r="HU38" s="148"/>
      <c r="HV38" s="148"/>
      <c r="HW38" s="148"/>
      <c r="HX38" s="148"/>
      <c r="HY38" s="148"/>
      <c r="HZ38" s="148"/>
      <c r="IA38" s="148"/>
      <c r="IB38" s="148"/>
      <c r="IC38" s="148"/>
    </row>
    <row r="39" spans="1:237" s="15" customFormat="1" ht="22.5" x14ac:dyDescent="0.25">
      <c r="A39" s="148"/>
      <c r="B39" s="307">
        <v>24</v>
      </c>
      <c r="C39" s="307" t="s">
        <v>38</v>
      </c>
      <c r="D39" s="450">
        <v>40003248</v>
      </c>
      <c r="E39" s="577" t="s">
        <v>2887</v>
      </c>
      <c r="F39" s="577" t="s">
        <v>897</v>
      </c>
      <c r="G39" s="533" t="s">
        <v>1902</v>
      </c>
      <c r="H39" s="553" t="s">
        <v>2888</v>
      </c>
      <c r="I39" s="534" t="s">
        <v>42</v>
      </c>
      <c r="J39" s="535">
        <v>1215651</v>
      </c>
      <c r="K39" s="535">
        <v>589320</v>
      </c>
      <c r="L39" s="535">
        <v>0</v>
      </c>
      <c r="M39" s="535">
        <v>0</v>
      </c>
      <c r="N39" s="454">
        <v>319510.94900000002</v>
      </c>
      <c r="O39" s="454">
        <v>64189.851999999999</v>
      </c>
      <c r="P39" s="535">
        <v>0</v>
      </c>
      <c r="Q39" s="535">
        <f>88884104/1000</f>
        <v>88884.104000000007</v>
      </c>
      <c r="R39" s="535">
        <v>0</v>
      </c>
      <c r="S39" s="535">
        <f>22777134/1000</f>
        <v>22777.133999999998</v>
      </c>
      <c r="T39" s="535"/>
      <c r="U39" s="535"/>
      <c r="V39" s="535"/>
      <c r="W39" s="535"/>
      <c r="X39" s="535"/>
      <c r="Y39" s="535"/>
      <c r="Z39" s="660">
        <f t="shared" si="2"/>
        <v>495362.03900000005</v>
      </c>
      <c r="AA39" s="535">
        <v>626331</v>
      </c>
      <c r="AB39" s="558">
        <v>1</v>
      </c>
      <c r="AC39" s="551">
        <v>44201</v>
      </c>
      <c r="AD39" s="552">
        <v>44229</v>
      </c>
      <c r="AE39" s="454"/>
      <c r="AF39" s="459"/>
      <c r="AG39" s="460"/>
      <c r="AH39" s="458"/>
      <c r="AI39" s="454"/>
      <c r="AJ39" s="456"/>
      <c r="AK39" s="460"/>
      <c r="AL39" s="458"/>
      <c r="AM39" s="454"/>
      <c r="AN39" s="456"/>
      <c r="AO39" s="460"/>
      <c r="AP39" s="458"/>
      <c r="AQ39" s="454"/>
      <c r="AR39" s="456"/>
      <c r="AS39" s="460"/>
      <c r="AT39" s="458"/>
      <c r="AU39" s="22">
        <f t="shared" si="0"/>
        <v>626331</v>
      </c>
      <c r="AV39" s="546">
        <f t="shared" si="1"/>
        <v>130968.96099999995</v>
      </c>
      <c r="AW39" s="148"/>
      <c r="AX39" s="148"/>
      <c r="AY39" s="148"/>
      <c r="AZ39" s="148"/>
      <c r="BA39" s="148"/>
      <c r="BB39" s="148"/>
      <c r="BC39" s="148"/>
      <c r="BD39" s="148"/>
      <c r="BE39" s="148"/>
      <c r="BF39" s="148"/>
      <c r="BG39" s="148"/>
      <c r="BH39" s="148"/>
      <c r="BI39" s="148"/>
      <c r="BJ39" s="148"/>
      <c r="BK39" s="148"/>
      <c r="BL39" s="148"/>
      <c r="BM39" s="148"/>
      <c r="BN39" s="148"/>
      <c r="BO39" s="148"/>
      <c r="BP39" s="148"/>
      <c r="BQ39" s="148"/>
      <c r="BR39" s="148"/>
      <c r="BS39" s="148"/>
      <c r="BT39" s="148"/>
      <c r="BU39" s="148"/>
      <c r="BV39" s="148"/>
      <c r="BW39" s="148"/>
      <c r="BX39" s="148"/>
      <c r="BY39" s="148"/>
      <c r="BZ39" s="148"/>
      <c r="CA39" s="148"/>
      <c r="CB39" s="148"/>
      <c r="CC39" s="148"/>
      <c r="CD39" s="148"/>
      <c r="CE39" s="148"/>
      <c r="CF39" s="148"/>
      <c r="CG39" s="148"/>
      <c r="CH39" s="148"/>
      <c r="CI39" s="148"/>
      <c r="CJ39" s="148"/>
      <c r="CK39" s="148"/>
      <c r="CL39" s="148"/>
      <c r="CM39" s="148"/>
      <c r="CN39" s="148"/>
      <c r="CO39" s="148"/>
      <c r="CP39" s="148"/>
      <c r="CQ39" s="148"/>
      <c r="CR39" s="148"/>
      <c r="CS39" s="148"/>
      <c r="CT39" s="148"/>
      <c r="CU39" s="148"/>
      <c r="CV39" s="148"/>
      <c r="CW39" s="148"/>
      <c r="CX39" s="148"/>
      <c r="CY39" s="148"/>
      <c r="CZ39" s="148"/>
      <c r="DA39" s="148"/>
      <c r="DB39" s="148"/>
      <c r="DC39" s="148"/>
      <c r="DD39" s="148"/>
      <c r="DE39" s="148"/>
      <c r="DF39" s="148"/>
      <c r="DG39" s="148"/>
      <c r="DH39" s="148"/>
      <c r="DI39" s="148"/>
      <c r="DJ39" s="148"/>
      <c r="DK39" s="148"/>
      <c r="DL39" s="148"/>
      <c r="DM39" s="148"/>
      <c r="DN39" s="148"/>
      <c r="DO39" s="148"/>
      <c r="DP39" s="148"/>
      <c r="DQ39" s="148"/>
      <c r="DR39" s="148"/>
      <c r="DS39" s="148"/>
      <c r="DT39" s="148"/>
      <c r="DU39" s="148"/>
      <c r="DV39" s="148"/>
      <c r="DW39" s="148"/>
      <c r="DX39" s="148"/>
      <c r="DY39" s="148"/>
      <c r="DZ39" s="148"/>
      <c r="EA39" s="148"/>
      <c r="EB39" s="148"/>
      <c r="EC39" s="148"/>
      <c r="ED39" s="148"/>
      <c r="EE39" s="148"/>
      <c r="EF39" s="148"/>
      <c r="EG39" s="148"/>
      <c r="EH39" s="148"/>
      <c r="EI39" s="148"/>
      <c r="EJ39" s="148"/>
      <c r="EK39" s="148"/>
      <c r="EL39" s="148"/>
      <c r="EM39" s="148"/>
      <c r="EN39" s="148"/>
      <c r="EO39" s="148"/>
      <c r="EP39" s="148"/>
      <c r="EQ39" s="148"/>
      <c r="ER39" s="148"/>
      <c r="ES39" s="148"/>
      <c r="ET39" s="148"/>
      <c r="EU39" s="148"/>
      <c r="EV39" s="148"/>
      <c r="EW39" s="148"/>
      <c r="EX39" s="148"/>
      <c r="EY39" s="148"/>
      <c r="EZ39" s="148"/>
      <c r="FA39" s="148"/>
      <c r="FB39" s="148"/>
      <c r="FC39" s="148"/>
      <c r="FD39" s="148"/>
      <c r="FE39" s="148"/>
      <c r="FF39" s="148"/>
      <c r="FG39" s="148"/>
      <c r="FH39" s="148"/>
      <c r="FI39" s="148"/>
      <c r="FJ39" s="148"/>
      <c r="FK39" s="148"/>
      <c r="FL39" s="148"/>
      <c r="FM39" s="148"/>
      <c r="FN39" s="148"/>
      <c r="FO39" s="148"/>
      <c r="FP39" s="148"/>
      <c r="FQ39" s="148"/>
      <c r="FR39" s="148"/>
      <c r="FS39" s="148"/>
      <c r="FT39" s="148"/>
      <c r="FU39" s="148"/>
      <c r="FV39" s="148"/>
      <c r="FW39" s="148"/>
      <c r="FX39" s="148"/>
      <c r="FY39" s="148"/>
      <c r="FZ39" s="148"/>
      <c r="GA39" s="148"/>
      <c r="GB39" s="148"/>
      <c r="GC39" s="148"/>
      <c r="GD39" s="148"/>
      <c r="GE39" s="148"/>
      <c r="GF39" s="148"/>
      <c r="GG39" s="148"/>
      <c r="GH39" s="148"/>
      <c r="GI39" s="148"/>
      <c r="GJ39" s="148"/>
      <c r="GK39" s="148"/>
      <c r="GL39" s="148"/>
      <c r="GM39" s="148"/>
      <c r="GN39" s="148"/>
      <c r="GO39" s="148"/>
      <c r="GP39" s="148"/>
      <c r="GQ39" s="148"/>
      <c r="GR39" s="148"/>
      <c r="GS39" s="148"/>
      <c r="GT39" s="148"/>
      <c r="GU39" s="148"/>
      <c r="GV39" s="148"/>
      <c r="GW39" s="148"/>
      <c r="GX39" s="148"/>
      <c r="GY39" s="148"/>
      <c r="GZ39" s="148"/>
      <c r="HA39" s="148"/>
      <c r="HB39" s="148"/>
      <c r="HC39" s="148"/>
      <c r="HD39" s="148"/>
      <c r="HE39" s="148"/>
      <c r="HF39" s="148"/>
      <c r="HG39" s="148"/>
      <c r="HH39" s="148"/>
      <c r="HI39" s="148"/>
      <c r="HJ39" s="148"/>
      <c r="HK39" s="148"/>
      <c r="HL39" s="148"/>
      <c r="HM39" s="148"/>
      <c r="HN39" s="148"/>
      <c r="HO39" s="148"/>
      <c r="HP39" s="148"/>
      <c r="HQ39" s="148"/>
      <c r="HR39" s="148"/>
      <c r="HS39" s="148"/>
      <c r="HT39" s="148"/>
      <c r="HU39" s="148"/>
      <c r="HV39" s="148"/>
      <c r="HW39" s="148"/>
      <c r="HX39" s="148"/>
      <c r="HY39" s="148"/>
      <c r="HZ39" s="148"/>
      <c r="IA39" s="148"/>
      <c r="IB39" s="148"/>
      <c r="IC39" s="148"/>
    </row>
    <row r="40" spans="1:237" s="15" customFormat="1" ht="22.5" x14ac:dyDescent="0.25">
      <c r="A40" s="148"/>
      <c r="B40" s="307">
        <v>25</v>
      </c>
      <c r="C40" s="307" t="s">
        <v>38</v>
      </c>
      <c r="D40" s="450">
        <v>40003439</v>
      </c>
      <c r="E40" s="577" t="s">
        <v>2889</v>
      </c>
      <c r="F40" s="577" t="s">
        <v>897</v>
      </c>
      <c r="G40" s="533" t="s">
        <v>1902</v>
      </c>
      <c r="H40" s="553" t="s">
        <v>2890</v>
      </c>
      <c r="I40" s="534" t="s">
        <v>42</v>
      </c>
      <c r="J40" s="535">
        <v>812682</v>
      </c>
      <c r="K40" s="535">
        <v>103908</v>
      </c>
      <c r="L40" s="535">
        <v>0</v>
      </c>
      <c r="M40" s="535">
        <v>69550</v>
      </c>
      <c r="N40" s="454">
        <v>108743.94899999999</v>
      </c>
      <c r="O40" s="454">
        <v>47562.239000000001</v>
      </c>
      <c r="P40" s="535">
        <v>34398.311000000002</v>
      </c>
      <c r="Q40" s="535">
        <f>17248894/1000</f>
        <v>17248.894</v>
      </c>
      <c r="R40" s="535">
        <f>25978864/1000</f>
        <v>25978.864000000001</v>
      </c>
      <c r="S40" s="535">
        <f>30891837/1000</f>
        <v>30891.837</v>
      </c>
      <c r="T40" s="535"/>
      <c r="U40" s="535"/>
      <c r="V40" s="535"/>
      <c r="W40" s="535"/>
      <c r="X40" s="535"/>
      <c r="Y40" s="535"/>
      <c r="Z40" s="660">
        <f t="shared" si="2"/>
        <v>264824.09400000004</v>
      </c>
      <c r="AA40" s="535">
        <v>623178</v>
      </c>
      <c r="AB40" s="558">
        <v>1</v>
      </c>
      <c r="AC40" s="551">
        <v>44201</v>
      </c>
      <c r="AD40" s="552">
        <v>44229</v>
      </c>
      <c r="AE40" s="454"/>
      <c r="AF40" s="459"/>
      <c r="AG40" s="460"/>
      <c r="AH40" s="458"/>
      <c r="AI40" s="454"/>
      <c r="AJ40" s="456"/>
      <c r="AK40" s="460"/>
      <c r="AL40" s="458"/>
      <c r="AM40" s="454"/>
      <c r="AN40" s="456"/>
      <c r="AO40" s="460"/>
      <c r="AP40" s="458"/>
      <c r="AQ40" s="454"/>
      <c r="AR40" s="456"/>
      <c r="AS40" s="460"/>
      <c r="AT40" s="458"/>
      <c r="AU40" s="22">
        <f t="shared" si="0"/>
        <v>623178</v>
      </c>
      <c r="AV40" s="546">
        <f t="shared" si="1"/>
        <v>358353.90599999996</v>
      </c>
      <c r="AW40" s="148"/>
      <c r="AX40" s="148"/>
      <c r="AY40" s="148"/>
      <c r="AZ40" s="148"/>
      <c r="BA40" s="148"/>
      <c r="BB40" s="148"/>
      <c r="BC40" s="148"/>
      <c r="BD40" s="148"/>
      <c r="BE40" s="148"/>
      <c r="BF40" s="148"/>
      <c r="BG40" s="148"/>
      <c r="BH40" s="148"/>
      <c r="BI40" s="148"/>
      <c r="BJ40" s="148"/>
      <c r="BK40" s="148"/>
      <c r="BL40" s="148"/>
      <c r="BM40" s="148"/>
      <c r="BN40" s="148"/>
      <c r="BO40" s="148"/>
      <c r="BP40" s="148"/>
      <c r="BQ40" s="148"/>
      <c r="BR40" s="148"/>
      <c r="BS40" s="148"/>
      <c r="BT40" s="148"/>
      <c r="BU40" s="148"/>
      <c r="BV40" s="148"/>
      <c r="BW40" s="148"/>
      <c r="BX40" s="148"/>
      <c r="BY40" s="148"/>
      <c r="BZ40" s="148"/>
      <c r="CA40" s="148"/>
      <c r="CB40" s="148"/>
      <c r="CC40" s="148"/>
      <c r="CD40" s="148"/>
      <c r="CE40" s="148"/>
      <c r="CF40" s="148"/>
      <c r="CG40" s="148"/>
      <c r="CH40" s="148"/>
      <c r="CI40" s="148"/>
      <c r="CJ40" s="148"/>
      <c r="CK40" s="148"/>
      <c r="CL40" s="148"/>
      <c r="CM40" s="148"/>
      <c r="CN40" s="148"/>
      <c r="CO40" s="148"/>
      <c r="CP40" s="148"/>
      <c r="CQ40" s="148"/>
      <c r="CR40" s="148"/>
      <c r="CS40" s="148"/>
      <c r="CT40" s="148"/>
      <c r="CU40" s="148"/>
      <c r="CV40" s="148"/>
      <c r="CW40" s="148"/>
      <c r="CX40" s="148"/>
      <c r="CY40" s="148"/>
      <c r="CZ40" s="148"/>
      <c r="DA40" s="148"/>
      <c r="DB40" s="148"/>
      <c r="DC40" s="148"/>
      <c r="DD40" s="148"/>
      <c r="DE40" s="148"/>
      <c r="DF40" s="148"/>
      <c r="DG40" s="148"/>
      <c r="DH40" s="148"/>
      <c r="DI40" s="148"/>
      <c r="DJ40" s="148"/>
      <c r="DK40" s="148"/>
      <c r="DL40" s="148"/>
      <c r="DM40" s="148"/>
      <c r="DN40" s="148"/>
      <c r="DO40" s="148"/>
      <c r="DP40" s="148"/>
      <c r="DQ40" s="148"/>
      <c r="DR40" s="148"/>
      <c r="DS40" s="148"/>
      <c r="DT40" s="148"/>
      <c r="DU40" s="148"/>
      <c r="DV40" s="148"/>
      <c r="DW40" s="148"/>
      <c r="DX40" s="148"/>
      <c r="DY40" s="148"/>
      <c r="DZ40" s="148"/>
      <c r="EA40" s="148"/>
      <c r="EB40" s="148"/>
      <c r="EC40" s="148"/>
      <c r="ED40" s="148"/>
      <c r="EE40" s="148"/>
      <c r="EF40" s="148"/>
      <c r="EG40" s="148"/>
      <c r="EH40" s="148"/>
      <c r="EI40" s="148"/>
      <c r="EJ40" s="148"/>
      <c r="EK40" s="148"/>
      <c r="EL40" s="148"/>
      <c r="EM40" s="148"/>
      <c r="EN40" s="148"/>
      <c r="EO40" s="148"/>
      <c r="EP40" s="148"/>
      <c r="EQ40" s="148"/>
      <c r="ER40" s="148"/>
      <c r="ES40" s="148"/>
      <c r="ET40" s="148"/>
      <c r="EU40" s="148"/>
      <c r="EV40" s="148"/>
      <c r="EW40" s="148"/>
      <c r="EX40" s="148"/>
      <c r="EY40" s="148"/>
      <c r="EZ40" s="148"/>
      <c r="FA40" s="148"/>
      <c r="FB40" s="148"/>
      <c r="FC40" s="148"/>
      <c r="FD40" s="148"/>
      <c r="FE40" s="148"/>
      <c r="FF40" s="148"/>
      <c r="FG40" s="148"/>
      <c r="FH40" s="148"/>
      <c r="FI40" s="148"/>
      <c r="FJ40" s="148"/>
      <c r="FK40" s="148"/>
      <c r="FL40" s="148"/>
      <c r="FM40" s="148"/>
      <c r="FN40" s="148"/>
      <c r="FO40" s="148"/>
      <c r="FP40" s="148"/>
      <c r="FQ40" s="148"/>
      <c r="FR40" s="148"/>
      <c r="FS40" s="148"/>
      <c r="FT40" s="148"/>
      <c r="FU40" s="148"/>
      <c r="FV40" s="148"/>
      <c r="FW40" s="148"/>
      <c r="FX40" s="148"/>
      <c r="FY40" s="148"/>
      <c r="FZ40" s="148"/>
      <c r="GA40" s="148"/>
      <c r="GB40" s="148"/>
      <c r="GC40" s="148"/>
      <c r="GD40" s="148"/>
      <c r="GE40" s="148"/>
      <c r="GF40" s="148"/>
      <c r="GG40" s="148"/>
      <c r="GH40" s="148"/>
      <c r="GI40" s="148"/>
      <c r="GJ40" s="148"/>
      <c r="GK40" s="148"/>
      <c r="GL40" s="148"/>
      <c r="GM40" s="148"/>
      <c r="GN40" s="148"/>
      <c r="GO40" s="148"/>
      <c r="GP40" s="148"/>
      <c r="GQ40" s="148"/>
      <c r="GR40" s="148"/>
      <c r="GS40" s="148"/>
      <c r="GT40" s="148"/>
      <c r="GU40" s="148"/>
      <c r="GV40" s="148"/>
      <c r="GW40" s="148"/>
      <c r="GX40" s="148"/>
      <c r="GY40" s="148"/>
      <c r="GZ40" s="148"/>
      <c r="HA40" s="148"/>
      <c r="HB40" s="148"/>
      <c r="HC40" s="148"/>
      <c r="HD40" s="148"/>
      <c r="HE40" s="148"/>
      <c r="HF40" s="148"/>
      <c r="HG40" s="148"/>
      <c r="HH40" s="148"/>
      <c r="HI40" s="148"/>
      <c r="HJ40" s="148"/>
      <c r="HK40" s="148"/>
      <c r="HL40" s="148"/>
      <c r="HM40" s="148"/>
      <c r="HN40" s="148"/>
      <c r="HO40" s="148"/>
      <c r="HP40" s="148"/>
      <c r="HQ40" s="148"/>
      <c r="HR40" s="148"/>
      <c r="HS40" s="148"/>
      <c r="HT40" s="148"/>
      <c r="HU40" s="148"/>
      <c r="HV40" s="148"/>
      <c r="HW40" s="148"/>
      <c r="HX40" s="148"/>
      <c r="HY40" s="148"/>
      <c r="HZ40" s="148"/>
      <c r="IA40" s="148"/>
      <c r="IB40" s="148"/>
      <c r="IC40" s="148"/>
    </row>
    <row r="41" spans="1:237" s="15" customFormat="1" ht="22.5" x14ac:dyDescent="0.25">
      <c r="A41" s="148"/>
      <c r="B41" s="307">
        <v>26</v>
      </c>
      <c r="C41" s="307" t="s">
        <v>38</v>
      </c>
      <c r="D41" s="450">
        <v>40005548</v>
      </c>
      <c r="E41" s="577" t="s">
        <v>2891</v>
      </c>
      <c r="F41" s="577" t="s">
        <v>897</v>
      </c>
      <c r="G41" s="533" t="s">
        <v>1902</v>
      </c>
      <c r="H41" s="553" t="s">
        <v>2892</v>
      </c>
      <c r="I41" s="534" t="s">
        <v>42</v>
      </c>
      <c r="J41" s="535">
        <v>500068</v>
      </c>
      <c r="K41" s="535">
        <v>130891</v>
      </c>
      <c r="L41" s="535">
        <v>0</v>
      </c>
      <c r="M41" s="535">
        <v>0</v>
      </c>
      <c r="N41" s="454">
        <v>106807.96799999999</v>
      </c>
      <c r="O41" s="454">
        <v>44048.565000000002</v>
      </c>
      <c r="P41" s="535">
        <v>29181.713</v>
      </c>
      <c r="Q41" s="535">
        <f>65341323/1000</f>
        <v>65341.322999999997</v>
      </c>
      <c r="R41" s="535">
        <f>51108502/1000</f>
        <v>51108.502</v>
      </c>
      <c r="S41" s="535">
        <f>38264462/1000</f>
        <v>38264.462</v>
      </c>
      <c r="T41" s="535"/>
      <c r="U41" s="535"/>
      <c r="V41" s="535"/>
      <c r="W41" s="535"/>
      <c r="X41" s="535"/>
      <c r="Y41" s="535"/>
      <c r="Z41" s="660">
        <f t="shared" si="2"/>
        <v>334752.533</v>
      </c>
      <c r="AA41" s="535">
        <v>377217</v>
      </c>
      <c r="AB41" s="558">
        <v>1</v>
      </c>
      <c r="AC41" s="551">
        <v>44201</v>
      </c>
      <c r="AD41" s="552">
        <v>44229</v>
      </c>
      <c r="AE41" s="454"/>
      <c r="AF41" s="459"/>
      <c r="AG41" s="460"/>
      <c r="AH41" s="458"/>
      <c r="AI41" s="454"/>
      <c r="AJ41" s="456"/>
      <c r="AK41" s="460"/>
      <c r="AL41" s="458"/>
      <c r="AM41" s="454"/>
      <c r="AN41" s="456"/>
      <c r="AO41" s="460"/>
      <c r="AP41" s="458"/>
      <c r="AQ41" s="454"/>
      <c r="AR41" s="456"/>
      <c r="AS41" s="460"/>
      <c r="AT41" s="458"/>
      <c r="AU41" s="22">
        <f t="shared" si="0"/>
        <v>377217</v>
      </c>
      <c r="AV41" s="546">
        <f t="shared" si="1"/>
        <v>42464.467000000004</v>
      </c>
      <c r="AW41" s="148"/>
      <c r="AX41" s="148"/>
      <c r="AY41" s="148"/>
      <c r="AZ41" s="148"/>
      <c r="BA41" s="148"/>
      <c r="BB41" s="148"/>
      <c r="BC41" s="148"/>
      <c r="BD41" s="148"/>
      <c r="BE41" s="148"/>
      <c r="BF41" s="148"/>
      <c r="BG41" s="148"/>
      <c r="BH41" s="148"/>
      <c r="BI41" s="148"/>
      <c r="BJ41" s="148"/>
      <c r="BK41" s="148"/>
      <c r="BL41" s="148"/>
      <c r="BM41" s="148"/>
      <c r="BN41" s="148"/>
      <c r="BO41" s="148"/>
      <c r="BP41" s="148"/>
      <c r="BQ41" s="148"/>
      <c r="BR41" s="148"/>
      <c r="BS41" s="148"/>
      <c r="BT41" s="148"/>
      <c r="BU41" s="148"/>
      <c r="BV41" s="148"/>
      <c r="BW41" s="148"/>
      <c r="BX41" s="148"/>
      <c r="BY41" s="148"/>
      <c r="BZ41" s="148"/>
      <c r="CA41" s="148"/>
      <c r="CB41" s="148"/>
      <c r="CC41" s="148"/>
      <c r="CD41" s="148"/>
      <c r="CE41" s="148"/>
      <c r="CF41" s="148"/>
      <c r="CG41" s="148"/>
      <c r="CH41" s="148"/>
      <c r="CI41" s="148"/>
      <c r="CJ41" s="148"/>
      <c r="CK41" s="148"/>
      <c r="CL41" s="148"/>
      <c r="CM41" s="148"/>
      <c r="CN41" s="148"/>
      <c r="CO41" s="148"/>
      <c r="CP41" s="148"/>
      <c r="CQ41" s="148"/>
      <c r="CR41" s="148"/>
      <c r="CS41" s="148"/>
      <c r="CT41" s="148"/>
      <c r="CU41" s="148"/>
      <c r="CV41" s="148"/>
      <c r="CW41" s="148"/>
      <c r="CX41" s="148"/>
      <c r="CY41" s="148"/>
      <c r="CZ41" s="148"/>
      <c r="DA41" s="148"/>
      <c r="DB41" s="148"/>
      <c r="DC41" s="148"/>
      <c r="DD41" s="148"/>
      <c r="DE41" s="148"/>
      <c r="DF41" s="148"/>
      <c r="DG41" s="148"/>
      <c r="DH41" s="148"/>
      <c r="DI41" s="148"/>
      <c r="DJ41" s="148"/>
      <c r="DK41" s="148"/>
      <c r="DL41" s="148"/>
      <c r="DM41" s="148"/>
      <c r="DN41" s="148"/>
      <c r="DO41" s="148"/>
      <c r="DP41" s="148"/>
      <c r="DQ41" s="148"/>
      <c r="DR41" s="148"/>
      <c r="DS41" s="148"/>
      <c r="DT41" s="148"/>
      <c r="DU41" s="148"/>
      <c r="DV41" s="148"/>
      <c r="DW41" s="148"/>
      <c r="DX41" s="148"/>
      <c r="DY41" s="148"/>
      <c r="DZ41" s="148"/>
      <c r="EA41" s="148"/>
      <c r="EB41" s="148"/>
      <c r="EC41" s="148"/>
      <c r="ED41" s="148"/>
      <c r="EE41" s="148"/>
      <c r="EF41" s="148"/>
      <c r="EG41" s="148"/>
      <c r="EH41" s="148"/>
      <c r="EI41" s="148"/>
      <c r="EJ41" s="148"/>
      <c r="EK41" s="148"/>
      <c r="EL41" s="148"/>
      <c r="EM41" s="148"/>
      <c r="EN41" s="148"/>
      <c r="EO41" s="148"/>
      <c r="EP41" s="148"/>
      <c r="EQ41" s="148"/>
      <c r="ER41" s="148"/>
      <c r="ES41" s="148"/>
      <c r="ET41" s="148"/>
      <c r="EU41" s="148"/>
      <c r="EV41" s="148"/>
      <c r="EW41" s="148"/>
      <c r="EX41" s="148"/>
      <c r="EY41" s="148"/>
      <c r="EZ41" s="148"/>
      <c r="FA41" s="148"/>
      <c r="FB41" s="148"/>
      <c r="FC41" s="148"/>
      <c r="FD41" s="148"/>
      <c r="FE41" s="148"/>
      <c r="FF41" s="148"/>
      <c r="FG41" s="148"/>
      <c r="FH41" s="148"/>
      <c r="FI41" s="148"/>
      <c r="FJ41" s="148"/>
      <c r="FK41" s="148"/>
      <c r="FL41" s="148"/>
      <c r="FM41" s="148"/>
      <c r="FN41" s="148"/>
      <c r="FO41" s="148"/>
      <c r="FP41" s="148"/>
      <c r="FQ41" s="148"/>
      <c r="FR41" s="148"/>
      <c r="FS41" s="148"/>
      <c r="FT41" s="148"/>
      <c r="FU41" s="148"/>
      <c r="FV41" s="148"/>
      <c r="FW41" s="148"/>
      <c r="FX41" s="148"/>
      <c r="FY41" s="148"/>
      <c r="FZ41" s="148"/>
      <c r="GA41" s="148"/>
      <c r="GB41" s="148"/>
      <c r="GC41" s="148"/>
      <c r="GD41" s="148"/>
      <c r="GE41" s="148"/>
      <c r="GF41" s="148"/>
      <c r="GG41" s="148"/>
      <c r="GH41" s="148"/>
      <c r="GI41" s="148"/>
      <c r="GJ41" s="148"/>
      <c r="GK41" s="148"/>
      <c r="GL41" s="148"/>
      <c r="GM41" s="148"/>
      <c r="GN41" s="148"/>
      <c r="GO41" s="148"/>
      <c r="GP41" s="148"/>
      <c r="GQ41" s="148"/>
      <c r="GR41" s="148"/>
      <c r="GS41" s="148"/>
      <c r="GT41" s="148"/>
      <c r="GU41" s="148"/>
      <c r="GV41" s="148"/>
      <c r="GW41" s="148"/>
      <c r="GX41" s="148"/>
      <c r="GY41" s="148"/>
      <c r="GZ41" s="148"/>
      <c r="HA41" s="148"/>
      <c r="HB41" s="148"/>
      <c r="HC41" s="148"/>
      <c r="HD41" s="148"/>
      <c r="HE41" s="148"/>
      <c r="HF41" s="148"/>
      <c r="HG41" s="148"/>
      <c r="HH41" s="148"/>
      <c r="HI41" s="148"/>
      <c r="HJ41" s="148"/>
      <c r="HK41" s="148"/>
      <c r="HL41" s="148"/>
      <c r="HM41" s="148"/>
      <c r="HN41" s="148"/>
      <c r="HO41" s="148"/>
      <c r="HP41" s="148"/>
      <c r="HQ41" s="148"/>
      <c r="HR41" s="148"/>
      <c r="HS41" s="148"/>
      <c r="HT41" s="148"/>
      <c r="HU41" s="148"/>
      <c r="HV41" s="148"/>
      <c r="HW41" s="148"/>
      <c r="HX41" s="148"/>
      <c r="HY41" s="148"/>
      <c r="HZ41" s="148"/>
      <c r="IA41" s="148"/>
      <c r="IB41" s="148"/>
      <c r="IC41" s="148"/>
    </row>
    <row r="42" spans="1:237" s="15" customFormat="1" ht="22.5" x14ac:dyDescent="0.25">
      <c r="A42" s="148"/>
      <c r="B42" s="307">
        <v>27</v>
      </c>
      <c r="C42" s="307" t="s">
        <v>38</v>
      </c>
      <c r="D42" s="450">
        <v>40005659</v>
      </c>
      <c r="E42" s="577" t="s">
        <v>2893</v>
      </c>
      <c r="F42" s="577" t="s">
        <v>897</v>
      </c>
      <c r="G42" s="533" t="s">
        <v>1902</v>
      </c>
      <c r="H42" s="553" t="s">
        <v>2894</v>
      </c>
      <c r="I42" s="534" t="s">
        <v>42</v>
      </c>
      <c r="J42" s="535">
        <v>601046</v>
      </c>
      <c r="K42" s="535">
        <v>421833</v>
      </c>
      <c r="L42" s="535">
        <v>0</v>
      </c>
      <c r="M42" s="535">
        <v>0</v>
      </c>
      <c r="N42" s="454">
        <v>0</v>
      </c>
      <c r="O42" s="454">
        <v>135114.80100000001</v>
      </c>
      <c r="P42" s="535">
        <v>0</v>
      </c>
      <c r="Q42" s="535">
        <v>0</v>
      </c>
      <c r="R42" s="535">
        <v>0</v>
      </c>
      <c r="S42" s="535">
        <v>0</v>
      </c>
      <c r="T42" s="535"/>
      <c r="U42" s="535"/>
      <c r="V42" s="535"/>
      <c r="W42" s="535"/>
      <c r="X42" s="535"/>
      <c r="Y42" s="535"/>
      <c r="Z42" s="660">
        <f t="shared" si="2"/>
        <v>135114.80100000001</v>
      </c>
      <c r="AA42" s="535">
        <v>179213</v>
      </c>
      <c r="AB42" s="558">
        <v>1</v>
      </c>
      <c r="AC42" s="551">
        <v>44201</v>
      </c>
      <c r="AD42" s="552">
        <v>44229</v>
      </c>
      <c r="AE42" s="454"/>
      <c r="AF42" s="459"/>
      <c r="AG42" s="460"/>
      <c r="AH42" s="458"/>
      <c r="AI42" s="454"/>
      <c r="AJ42" s="456"/>
      <c r="AK42" s="460"/>
      <c r="AL42" s="458"/>
      <c r="AM42" s="454"/>
      <c r="AN42" s="456"/>
      <c r="AO42" s="460"/>
      <c r="AP42" s="458"/>
      <c r="AQ42" s="454"/>
      <c r="AR42" s="456"/>
      <c r="AS42" s="460"/>
      <c r="AT42" s="458"/>
      <c r="AU42" s="22">
        <f t="shared" si="0"/>
        <v>179213</v>
      </c>
      <c r="AV42" s="546">
        <f t="shared" si="1"/>
        <v>44098.198999999993</v>
      </c>
      <c r="AW42" s="148"/>
      <c r="AX42" s="148"/>
      <c r="AY42" s="148"/>
      <c r="AZ42" s="148"/>
      <c r="BA42" s="148"/>
      <c r="BB42" s="148"/>
      <c r="BC42" s="148"/>
      <c r="BD42" s="148"/>
      <c r="BE42" s="148"/>
      <c r="BF42" s="148"/>
      <c r="BG42" s="148"/>
      <c r="BH42" s="148"/>
      <c r="BI42" s="148"/>
      <c r="BJ42" s="148"/>
      <c r="BK42" s="148"/>
      <c r="BL42" s="148"/>
      <c r="BM42" s="148"/>
      <c r="BN42" s="148"/>
      <c r="BO42" s="148"/>
      <c r="BP42" s="148"/>
      <c r="BQ42" s="148"/>
      <c r="BR42" s="148"/>
      <c r="BS42" s="148"/>
      <c r="BT42" s="148"/>
      <c r="BU42" s="148"/>
      <c r="BV42" s="148"/>
      <c r="BW42" s="148"/>
      <c r="BX42" s="148"/>
      <c r="BY42" s="148"/>
      <c r="BZ42" s="148"/>
      <c r="CA42" s="148"/>
      <c r="CB42" s="148"/>
      <c r="CC42" s="148"/>
      <c r="CD42" s="148"/>
      <c r="CE42" s="148"/>
      <c r="CF42" s="148"/>
      <c r="CG42" s="148"/>
      <c r="CH42" s="148"/>
      <c r="CI42" s="148"/>
      <c r="CJ42" s="148"/>
      <c r="CK42" s="148"/>
      <c r="CL42" s="148"/>
      <c r="CM42" s="148"/>
      <c r="CN42" s="148"/>
      <c r="CO42" s="148"/>
      <c r="CP42" s="148"/>
      <c r="CQ42" s="148"/>
      <c r="CR42" s="148"/>
      <c r="CS42" s="148"/>
      <c r="CT42" s="148"/>
      <c r="CU42" s="148"/>
      <c r="CV42" s="148"/>
      <c r="CW42" s="148"/>
      <c r="CX42" s="148"/>
      <c r="CY42" s="148"/>
      <c r="CZ42" s="148"/>
      <c r="DA42" s="148"/>
      <c r="DB42" s="148"/>
      <c r="DC42" s="148"/>
      <c r="DD42" s="148"/>
      <c r="DE42" s="148"/>
      <c r="DF42" s="148"/>
      <c r="DG42" s="148"/>
      <c r="DH42" s="148"/>
      <c r="DI42" s="148"/>
      <c r="DJ42" s="148"/>
      <c r="DK42" s="148"/>
      <c r="DL42" s="148"/>
      <c r="DM42" s="148"/>
      <c r="DN42" s="148"/>
      <c r="DO42" s="148"/>
      <c r="DP42" s="148"/>
      <c r="DQ42" s="148"/>
      <c r="DR42" s="148"/>
      <c r="DS42" s="148"/>
      <c r="DT42" s="148"/>
      <c r="DU42" s="148"/>
      <c r="DV42" s="148"/>
      <c r="DW42" s="148"/>
      <c r="DX42" s="148"/>
      <c r="DY42" s="148"/>
      <c r="DZ42" s="148"/>
      <c r="EA42" s="148"/>
      <c r="EB42" s="148"/>
      <c r="EC42" s="148"/>
      <c r="ED42" s="148"/>
      <c r="EE42" s="148"/>
      <c r="EF42" s="148"/>
      <c r="EG42" s="148"/>
      <c r="EH42" s="148"/>
      <c r="EI42" s="148"/>
      <c r="EJ42" s="148"/>
      <c r="EK42" s="148"/>
      <c r="EL42" s="148"/>
      <c r="EM42" s="148"/>
      <c r="EN42" s="148"/>
      <c r="EO42" s="148"/>
      <c r="EP42" s="148"/>
      <c r="EQ42" s="148"/>
      <c r="ER42" s="148"/>
      <c r="ES42" s="148"/>
      <c r="ET42" s="148"/>
      <c r="EU42" s="148"/>
      <c r="EV42" s="148"/>
      <c r="EW42" s="148"/>
      <c r="EX42" s="148"/>
      <c r="EY42" s="148"/>
      <c r="EZ42" s="148"/>
      <c r="FA42" s="148"/>
      <c r="FB42" s="148"/>
      <c r="FC42" s="148"/>
      <c r="FD42" s="148"/>
      <c r="FE42" s="148"/>
      <c r="FF42" s="148"/>
      <c r="FG42" s="148"/>
      <c r="FH42" s="148"/>
      <c r="FI42" s="148"/>
      <c r="FJ42" s="148"/>
      <c r="FK42" s="148"/>
      <c r="FL42" s="148"/>
      <c r="FM42" s="148"/>
      <c r="FN42" s="148"/>
      <c r="FO42" s="148"/>
      <c r="FP42" s="148"/>
      <c r="FQ42" s="148"/>
      <c r="FR42" s="148"/>
      <c r="FS42" s="148"/>
      <c r="FT42" s="148"/>
      <c r="FU42" s="148"/>
      <c r="FV42" s="148"/>
      <c r="FW42" s="148"/>
      <c r="FX42" s="148"/>
      <c r="FY42" s="148"/>
      <c r="FZ42" s="148"/>
      <c r="GA42" s="148"/>
      <c r="GB42" s="148"/>
      <c r="GC42" s="148"/>
      <c r="GD42" s="148"/>
      <c r="GE42" s="148"/>
      <c r="GF42" s="148"/>
      <c r="GG42" s="148"/>
      <c r="GH42" s="148"/>
      <c r="GI42" s="148"/>
      <c r="GJ42" s="148"/>
      <c r="GK42" s="148"/>
      <c r="GL42" s="148"/>
      <c r="GM42" s="148"/>
      <c r="GN42" s="148"/>
      <c r="GO42" s="148"/>
      <c r="GP42" s="148"/>
      <c r="GQ42" s="148"/>
      <c r="GR42" s="148"/>
      <c r="GS42" s="148"/>
      <c r="GT42" s="148"/>
      <c r="GU42" s="148"/>
      <c r="GV42" s="148"/>
      <c r="GW42" s="148"/>
      <c r="GX42" s="148"/>
      <c r="GY42" s="148"/>
      <c r="GZ42" s="148"/>
      <c r="HA42" s="148"/>
      <c r="HB42" s="148"/>
      <c r="HC42" s="148"/>
      <c r="HD42" s="148"/>
      <c r="HE42" s="148"/>
      <c r="HF42" s="148"/>
      <c r="HG42" s="148"/>
      <c r="HH42" s="148"/>
      <c r="HI42" s="148"/>
      <c r="HJ42" s="148"/>
      <c r="HK42" s="148"/>
      <c r="HL42" s="148"/>
      <c r="HM42" s="148"/>
      <c r="HN42" s="148"/>
      <c r="HO42" s="148"/>
      <c r="HP42" s="148"/>
      <c r="HQ42" s="148"/>
      <c r="HR42" s="148"/>
      <c r="HS42" s="148"/>
      <c r="HT42" s="148"/>
      <c r="HU42" s="148"/>
      <c r="HV42" s="148"/>
      <c r="HW42" s="148"/>
      <c r="HX42" s="148"/>
      <c r="HY42" s="148"/>
      <c r="HZ42" s="148"/>
      <c r="IA42" s="148"/>
      <c r="IB42" s="148"/>
      <c r="IC42" s="148"/>
    </row>
    <row r="43" spans="1:237" s="15" customFormat="1" ht="22.5" x14ac:dyDescent="0.25">
      <c r="A43" s="148"/>
      <c r="B43" s="307">
        <v>28</v>
      </c>
      <c r="C43" s="307" t="s">
        <v>38</v>
      </c>
      <c r="D43" s="450">
        <v>40009251</v>
      </c>
      <c r="E43" s="577" t="s">
        <v>2895</v>
      </c>
      <c r="F43" s="577" t="s">
        <v>204</v>
      </c>
      <c r="G43" s="533" t="s">
        <v>1902</v>
      </c>
      <c r="H43" s="553" t="s">
        <v>2896</v>
      </c>
      <c r="I43" s="534" t="s">
        <v>42</v>
      </c>
      <c r="J43" s="535">
        <v>80780</v>
      </c>
      <c r="K43" s="535">
        <v>10225</v>
      </c>
      <c r="L43" s="535">
        <v>0</v>
      </c>
      <c r="M43" s="535">
        <v>0</v>
      </c>
      <c r="N43" s="454">
        <v>0</v>
      </c>
      <c r="O43" s="454">
        <v>2000</v>
      </c>
      <c r="P43" s="535">
        <v>27080</v>
      </c>
      <c r="Q43" s="535">
        <v>9720</v>
      </c>
      <c r="R43" s="535">
        <v>2000</v>
      </c>
      <c r="S43" s="535">
        <v>2000</v>
      </c>
      <c r="T43" s="535"/>
      <c r="U43" s="535"/>
      <c r="V43" s="535"/>
      <c r="W43" s="535"/>
      <c r="X43" s="535"/>
      <c r="Y43" s="535"/>
      <c r="Z43" s="660">
        <f t="shared" si="2"/>
        <v>42800</v>
      </c>
      <c r="AA43" s="535">
        <v>70555</v>
      </c>
      <c r="AB43" s="558">
        <v>1</v>
      </c>
      <c r="AC43" s="551">
        <v>44201</v>
      </c>
      <c r="AD43" s="552">
        <v>44229</v>
      </c>
      <c r="AE43" s="454"/>
      <c r="AF43" s="459"/>
      <c r="AG43" s="460"/>
      <c r="AH43" s="458"/>
      <c r="AI43" s="454"/>
      <c r="AJ43" s="456"/>
      <c r="AK43" s="460"/>
      <c r="AL43" s="458"/>
      <c r="AM43" s="454"/>
      <c r="AN43" s="456"/>
      <c r="AO43" s="460"/>
      <c r="AP43" s="458"/>
      <c r="AQ43" s="454"/>
      <c r="AR43" s="456"/>
      <c r="AS43" s="460"/>
      <c r="AT43" s="458"/>
      <c r="AU43" s="22">
        <f t="shared" si="0"/>
        <v>70555</v>
      </c>
      <c r="AV43" s="546">
        <f t="shared" si="1"/>
        <v>27755</v>
      </c>
      <c r="AW43" s="148"/>
      <c r="AX43" s="148"/>
      <c r="AY43" s="148"/>
      <c r="AZ43" s="148"/>
      <c r="BA43" s="148"/>
      <c r="BB43" s="148"/>
      <c r="BC43" s="148"/>
      <c r="BD43" s="148"/>
      <c r="BE43" s="148"/>
      <c r="BF43" s="148"/>
      <c r="BG43" s="148"/>
      <c r="BH43" s="148"/>
      <c r="BI43" s="148"/>
      <c r="BJ43" s="148"/>
      <c r="BK43" s="148"/>
      <c r="BL43" s="148"/>
      <c r="BM43" s="148"/>
      <c r="BN43" s="148"/>
      <c r="BO43" s="148"/>
      <c r="BP43" s="148"/>
      <c r="BQ43" s="148"/>
      <c r="BR43" s="148"/>
      <c r="BS43" s="148"/>
      <c r="BT43" s="148"/>
      <c r="BU43" s="148"/>
      <c r="BV43" s="148"/>
      <c r="BW43" s="148"/>
      <c r="BX43" s="148"/>
      <c r="BY43" s="148"/>
      <c r="BZ43" s="148"/>
      <c r="CA43" s="148"/>
      <c r="CB43" s="148"/>
      <c r="CC43" s="148"/>
      <c r="CD43" s="148"/>
      <c r="CE43" s="148"/>
      <c r="CF43" s="148"/>
      <c r="CG43" s="148"/>
      <c r="CH43" s="148"/>
      <c r="CI43" s="148"/>
      <c r="CJ43" s="148"/>
      <c r="CK43" s="148"/>
      <c r="CL43" s="148"/>
      <c r="CM43" s="148"/>
      <c r="CN43" s="148"/>
      <c r="CO43" s="148"/>
      <c r="CP43" s="148"/>
      <c r="CQ43" s="148"/>
      <c r="CR43" s="148"/>
      <c r="CS43" s="148"/>
      <c r="CT43" s="148"/>
      <c r="CU43" s="148"/>
      <c r="CV43" s="148"/>
      <c r="CW43" s="148"/>
      <c r="CX43" s="148"/>
      <c r="CY43" s="148"/>
      <c r="CZ43" s="148"/>
      <c r="DA43" s="148"/>
      <c r="DB43" s="148"/>
      <c r="DC43" s="148"/>
      <c r="DD43" s="148"/>
      <c r="DE43" s="148"/>
      <c r="DF43" s="148"/>
      <c r="DG43" s="148"/>
      <c r="DH43" s="148"/>
      <c r="DI43" s="148"/>
      <c r="DJ43" s="148"/>
      <c r="DK43" s="148"/>
      <c r="DL43" s="148"/>
      <c r="DM43" s="148"/>
      <c r="DN43" s="148"/>
      <c r="DO43" s="148"/>
      <c r="DP43" s="148"/>
      <c r="DQ43" s="148"/>
      <c r="DR43" s="148"/>
      <c r="DS43" s="148"/>
      <c r="DT43" s="148"/>
      <c r="DU43" s="148"/>
      <c r="DV43" s="148"/>
      <c r="DW43" s="148"/>
      <c r="DX43" s="148"/>
      <c r="DY43" s="148"/>
      <c r="DZ43" s="148"/>
      <c r="EA43" s="148"/>
      <c r="EB43" s="148"/>
      <c r="EC43" s="148"/>
      <c r="ED43" s="148"/>
      <c r="EE43" s="148"/>
      <c r="EF43" s="148"/>
      <c r="EG43" s="148"/>
      <c r="EH43" s="148"/>
      <c r="EI43" s="148"/>
      <c r="EJ43" s="148"/>
      <c r="EK43" s="148"/>
      <c r="EL43" s="148"/>
      <c r="EM43" s="148"/>
      <c r="EN43" s="148"/>
      <c r="EO43" s="148"/>
      <c r="EP43" s="148"/>
      <c r="EQ43" s="148"/>
      <c r="ER43" s="148"/>
      <c r="ES43" s="148"/>
      <c r="ET43" s="148"/>
      <c r="EU43" s="148"/>
      <c r="EV43" s="148"/>
      <c r="EW43" s="148"/>
      <c r="EX43" s="148"/>
      <c r="EY43" s="148"/>
      <c r="EZ43" s="148"/>
      <c r="FA43" s="148"/>
      <c r="FB43" s="148"/>
      <c r="FC43" s="148"/>
      <c r="FD43" s="148"/>
      <c r="FE43" s="148"/>
      <c r="FF43" s="148"/>
      <c r="FG43" s="148"/>
      <c r="FH43" s="148"/>
      <c r="FI43" s="148"/>
      <c r="FJ43" s="148"/>
      <c r="FK43" s="148"/>
      <c r="FL43" s="148"/>
      <c r="FM43" s="148"/>
      <c r="FN43" s="148"/>
      <c r="FO43" s="148"/>
      <c r="FP43" s="148"/>
      <c r="FQ43" s="148"/>
      <c r="FR43" s="148"/>
      <c r="FS43" s="148"/>
      <c r="FT43" s="148"/>
      <c r="FU43" s="148"/>
      <c r="FV43" s="148"/>
      <c r="FW43" s="148"/>
      <c r="FX43" s="148"/>
      <c r="FY43" s="148"/>
      <c r="FZ43" s="148"/>
      <c r="GA43" s="148"/>
      <c r="GB43" s="148"/>
      <c r="GC43" s="148"/>
      <c r="GD43" s="148"/>
      <c r="GE43" s="148"/>
      <c r="GF43" s="148"/>
      <c r="GG43" s="148"/>
      <c r="GH43" s="148"/>
      <c r="GI43" s="148"/>
      <c r="GJ43" s="148"/>
      <c r="GK43" s="148"/>
      <c r="GL43" s="148"/>
      <c r="GM43" s="148"/>
      <c r="GN43" s="148"/>
      <c r="GO43" s="148"/>
      <c r="GP43" s="148"/>
      <c r="GQ43" s="148"/>
      <c r="GR43" s="148"/>
      <c r="GS43" s="148"/>
      <c r="GT43" s="148"/>
      <c r="GU43" s="148"/>
      <c r="GV43" s="148"/>
      <c r="GW43" s="148"/>
      <c r="GX43" s="148"/>
      <c r="GY43" s="148"/>
      <c r="GZ43" s="148"/>
      <c r="HA43" s="148"/>
      <c r="HB43" s="148"/>
      <c r="HC43" s="148"/>
      <c r="HD43" s="148"/>
      <c r="HE43" s="148"/>
      <c r="HF43" s="148"/>
      <c r="HG43" s="148"/>
      <c r="HH43" s="148"/>
      <c r="HI43" s="148"/>
      <c r="HJ43" s="148"/>
      <c r="HK43" s="148"/>
      <c r="HL43" s="148"/>
      <c r="HM43" s="148"/>
      <c r="HN43" s="148"/>
      <c r="HO43" s="148"/>
      <c r="HP43" s="148"/>
      <c r="HQ43" s="148"/>
      <c r="HR43" s="148"/>
      <c r="HS43" s="148"/>
      <c r="HT43" s="148"/>
      <c r="HU43" s="148"/>
      <c r="HV43" s="148"/>
      <c r="HW43" s="148"/>
      <c r="HX43" s="148"/>
      <c r="HY43" s="148"/>
      <c r="HZ43" s="148"/>
      <c r="IA43" s="148"/>
      <c r="IB43" s="148"/>
      <c r="IC43" s="148"/>
    </row>
    <row r="44" spans="1:237" s="15" customFormat="1" x14ac:dyDescent="0.25">
      <c r="A44" s="148"/>
      <c r="B44" s="307">
        <v>29</v>
      </c>
      <c r="C44" s="307" t="s">
        <v>38</v>
      </c>
      <c r="D44" s="450">
        <v>30091783</v>
      </c>
      <c r="E44" s="577" t="s">
        <v>2897</v>
      </c>
      <c r="F44" s="577" t="s">
        <v>204</v>
      </c>
      <c r="G44" s="533" t="s">
        <v>1902</v>
      </c>
      <c r="H44" s="553" t="s">
        <v>2898</v>
      </c>
      <c r="I44" s="534" t="s">
        <v>42</v>
      </c>
      <c r="J44" s="535">
        <v>151123</v>
      </c>
      <c r="K44" s="535">
        <v>24045</v>
      </c>
      <c r="L44" s="535">
        <v>36396</v>
      </c>
      <c r="M44" s="535">
        <v>0</v>
      </c>
      <c r="N44" s="454">
        <v>0</v>
      </c>
      <c r="O44" s="454">
        <v>21932.1</v>
      </c>
      <c r="P44" s="535">
        <v>0</v>
      </c>
      <c r="Q44" s="535">
        <v>0</v>
      </c>
      <c r="R44" s="535">
        <v>0</v>
      </c>
      <c r="S44" s="535">
        <f>36553500/1000</f>
        <v>36553.5</v>
      </c>
      <c r="T44" s="535"/>
      <c r="U44" s="535"/>
      <c r="V44" s="535"/>
      <c r="W44" s="535"/>
      <c r="X44" s="535"/>
      <c r="Y44" s="535"/>
      <c r="Z44" s="660">
        <f t="shared" si="2"/>
        <v>58485.599999999999</v>
      </c>
      <c r="AA44" s="554">
        <v>124282</v>
      </c>
      <c r="AB44" s="558">
        <v>2</v>
      </c>
      <c r="AC44" s="545">
        <v>44209</v>
      </c>
      <c r="AD44" s="542">
        <v>44249</v>
      </c>
      <c r="AE44" s="454"/>
      <c r="AF44" s="459"/>
      <c r="AG44" s="460"/>
      <c r="AH44" s="458"/>
      <c r="AI44" s="454"/>
      <c r="AJ44" s="456"/>
      <c r="AK44" s="460"/>
      <c r="AL44" s="458"/>
      <c r="AM44" s="454"/>
      <c r="AN44" s="456"/>
      <c r="AO44" s="460"/>
      <c r="AP44" s="458"/>
      <c r="AQ44" s="454"/>
      <c r="AR44" s="456"/>
      <c r="AS44" s="460"/>
      <c r="AT44" s="458"/>
      <c r="AU44" s="22">
        <f t="shared" si="0"/>
        <v>124282</v>
      </c>
      <c r="AV44" s="546">
        <f t="shared" si="1"/>
        <v>65796.399999999994</v>
      </c>
      <c r="AW44" s="148"/>
      <c r="AX44" s="148"/>
      <c r="AY44" s="148"/>
      <c r="AZ44" s="148"/>
      <c r="BA44" s="148"/>
      <c r="BB44" s="148"/>
      <c r="BC44" s="148"/>
      <c r="BD44" s="148"/>
      <c r="BE44" s="148"/>
      <c r="BF44" s="148"/>
      <c r="BG44" s="148"/>
      <c r="BH44" s="148"/>
      <c r="BI44" s="148"/>
      <c r="BJ44" s="148"/>
      <c r="BK44" s="148"/>
      <c r="BL44" s="148"/>
      <c r="BM44" s="148"/>
      <c r="BN44" s="148"/>
      <c r="BO44" s="148"/>
      <c r="BP44" s="148"/>
      <c r="BQ44" s="148"/>
      <c r="BR44" s="148"/>
      <c r="BS44" s="148"/>
      <c r="BT44" s="148"/>
      <c r="BU44" s="148"/>
      <c r="BV44" s="148"/>
      <c r="BW44" s="148"/>
      <c r="BX44" s="148"/>
      <c r="BY44" s="148"/>
      <c r="BZ44" s="148"/>
      <c r="CA44" s="148"/>
      <c r="CB44" s="148"/>
      <c r="CC44" s="148"/>
      <c r="CD44" s="148"/>
      <c r="CE44" s="148"/>
      <c r="CF44" s="148"/>
      <c r="CG44" s="148"/>
      <c r="CH44" s="148"/>
      <c r="CI44" s="148"/>
      <c r="CJ44" s="148"/>
      <c r="CK44" s="148"/>
      <c r="CL44" s="148"/>
      <c r="CM44" s="148"/>
      <c r="CN44" s="148"/>
      <c r="CO44" s="148"/>
      <c r="CP44" s="148"/>
      <c r="CQ44" s="148"/>
      <c r="CR44" s="148"/>
      <c r="CS44" s="148"/>
      <c r="CT44" s="148"/>
      <c r="CU44" s="148"/>
      <c r="CV44" s="148"/>
      <c r="CW44" s="148"/>
      <c r="CX44" s="148"/>
      <c r="CY44" s="148"/>
      <c r="CZ44" s="148"/>
      <c r="DA44" s="148"/>
      <c r="DB44" s="148"/>
      <c r="DC44" s="148"/>
      <c r="DD44" s="148"/>
      <c r="DE44" s="148"/>
      <c r="DF44" s="148"/>
      <c r="DG44" s="148"/>
      <c r="DH44" s="148"/>
      <c r="DI44" s="148"/>
      <c r="DJ44" s="148"/>
      <c r="DK44" s="148"/>
      <c r="DL44" s="148"/>
      <c r="DM44" s="148"/>
      <c r="DN44" s="148"/>
      <c r="DO44" s="148"/>
      <c r="DP44" s="148"/>
      <c r="DQ44" s="148"/>
      <c r="DR44" s="148"/>
      <c r="DS44" s="148"/>
      <c r="DT44" s="148"/>
      <c r="DU44" s="148"/>
      <c r="DV44" s="148"/>
      <c r="DW44" s="148"/>
      <c r="DX44" s="148"/>
      <c r="DY44" s="148"/>
      <c r="DZ44" s="148"/>
      <c r="EA44" s="148"/>
      <c r="EB44" s="148"/>
      <c r="EC44" s="148"/>
      <c r="ED44" s="148"/>
      <c r="EE44" s="148"/>
      <c r="EF44" s="148"/>
      <c r="EG44" s="148"/>
      <c r="EH44" s="148"/>
      <c r="EI44" s="148"/>
      <c r="EJ44" s="148"/>
      <c r="EK44" s="148"/>
      <c r="EL44" s="148"/>
      <c r="EM44" s="148"/>
      <c r="EN44" s="148"/>
      <c r="EO44" s="148"/>
      <c r="EP44" s="148"/>
      <c r="EQ44" s="148"/>
      <c r="ER44" s="148"/>
      <c r="ES44" s="148"/>
      <c r="ET44" s="148"/>
      <c r="EU44" s="148"/>
      <c r="EV44" s="148"/>
      <c r="EW44" s="148"/>
      <c r="EX44" s="148"/>
      <c r="EY44" s="148"/>
      <c r="EZ44" s="148"/>
      <c r="FA44" s="148"/>
      <c r="FB44" s="148"/>
      <c r="FC44" s="148"/>
      <c r="FD44" s="148"/>
      <c r="FE44" s="148"/>
      <c r="FF44" s="148"/>
      <c r="FG44" s="148"/>
      <c r="FH44" s="148"/>
      <c r="FI44" s="148"/>
      <c r="FJ44" s="148"/>
      <c r="FK44" s="148"/>
      <c r="FL44" s="148"/>
      <c r="FM44" s="148"/>
      <c r="FN44" s="148"/>
      <c r="FO44" s="148"/>
      <c r="FP44" s="148"/>
      <c r="FQ44" s="148"/>
      <c r="FR44" s="148"/>
      <c r="FS44" s="148"/>
      <c r="FT44" s="148"/>
      <c r="FU44" s="148"/>
      <c r="FV44" s="148"/>
      <c r="FW44" s="148"/>
      <c r="FX44" s="148"/>
      <c r="FY44" s="148"/>
      <c r="FZ44" s="148"/>
      <c r="GA44" s="148"/>
      <c r="GB44" s="148"/>
      <c r="GC44" s="148"/>
      <c r="GD44" s="148"/>
      <c r="GE44" s="148"/>
      <c r="GF44" s="148"/>
      <c r="GG44" s="148"/>
      <c r="GH44" s="148"/>
      <c r="GI44" s="148"/>
      <c r="GJ44" s="148"/>
      <c r="GK44" s="148"/>
      <c r="GL44" s="148"/>
      <c r="GM44" s="148"/>
      <c r="GN44" s="148"/>
      <c r="GO44" s="148"/>
      <c r="GP44" s="148"/>
      <c r="GQ44" s="148"/>
      <c r="GR44" s="148"/>
      <c r="GS44" s="148"/>
      <c r="GT44" s="148"/>
      <c r="GU44" s="148"/>
      <c r="GV44" s="148"/>
      <c r="GW44" s="148"/>
      <c r="GX44" s="148"/>
      <c r="GY44" s="148"/>
      <c r="GZ44" s="148"/>
      <c r="HA44" s="148"/>
      <c r="HB44" s="148"/>
      <c r="HC44" s="148"/>
      <c r="HD44" s="148"/>
      <c r="HE44" s="148"/>
      <c r="HF44" s="148"/>
      <c r="HG44" s="148"/>
      <c r="HH44" s="148"/>
      <c r="HI44" s="148"/>
      <c r="HJ44" s="148"/>
      <c r="HK44" s="148"/>
      <c r="HL44" s="148"/>
      <c r="HM44" s="148"/>
      <c r="HN44" s="148"/>
      <c r="HO44" s="148"/>
      <c r="HP44" s="148"/>
      <c r="HQ44" s="148"/>
      <c r="HR44" s="148"/>
      <c r="HS44" s="148"/>
      <c r="HT44" s="148"/>
      <c r="HU44" s="148"/>
      <c r="HV44" s="148"/>
      <c r="HW44" s="148"/>
      <c r="HX44" s="148"/>
      <c r="HY44" s="148"/>
      <c r="HZ44" s="148"/>
      <c r="IA44" s="148"/>
      <c r="IB44" s="148"/>
      <c r="IC44" s="148"/>
    </row>
    <row r="45" spans="1:237" s="15" customFormat="1" ht="33.75" x14ac:dyDescent="0.25">
      <c r="A45" s="148"/>
      <c r="B45" s="307">
        <v>17</v>
      </c>
      <c r="C45" s="307" t="s">
        <v>38</v>
      </c>
      <c r="D45" s="450">
        <v>30487109</v>
      </c>
      <c r="E45" s="577" t="s">
        <v>2899</v>
      </c>
      <c r="F45" s="577" t="s">
        <v>897</v>
      </c>
      <c r="G45" s="533" t="s">
        <v>1902</v>
      </c>
      <c r="H45" s="553" t="s">
        <v>2860</v>
      </c>
      <c r="I45" s="534" t="s">
        <v>42</v>
      </c>
      <c r="J45" s="535">
        <v>2991366</v>
      </c>
      <c r="K45" s="535">
        <v>1234884</v>
      </c>
      <c r="L45" s="535">
        <v>313346</v>
      </c>
      <c r="M45" s="535">
        <v>0</v>
      </c>
      <c r="N45" s="454">
        <v>1063502.9950000001</v>
      </c>
      <c r="O45" s="454">
        <v>242724.07399999999</v>
      </c>
      <c r="P45" s="535">
        <v>84989.61</v>
      </c>
      <c r="Q45" s="535">
        <f>149284285/1000</f>
        <v>149284.285</v>
      </c>
      <c r="R45" s="535">
        <v>0</v>
      </c>
      <c r="S45" s="535">
        <f>215981083/1000</f>
        <v>215981.08300000001</v>
      </c>
      <c r="T45" s="535"/>
      <c r="U45" s="535"/>
      <c r="V45" s="535"/>
      <c r="W45" s="535"/>
      <c r="X45" s="535"/>
      <c r="Y45" s="535"/>
      <c r="Z45" s="660">
        <f t="shared" si="2"/>
        <v>1756482.0470000003</v>
      </c>
      <c r="AA45" s="535">
        <v>1743874</v>
      </c>
      <c r="AB45" s="558">
        <v>1</v>
      </c>
      <c r="AC45" s="551">
        <v>44201</v>
      </c>
      <c r="AD45" s="552">
        <v>44229</v>
      </c>
      <c r="AE45" s="454">
        <v>12609</v>
      </c>
      <c r="AF45" s="459">
        <v>11</v>
      </c>
      <c r="AG45" s="457">
        <v>44307</v>
      </c>
      <c r="AH45" s="458">
        <v>44328</v>
      </c>
      <c r="AI45" s="454"/>
      <c r="AJ45" s="456"/>
      <c r="AK45" s="460"/>
      <c r="AL45" s="458"/>
      <c r="AM45" s="454"/>
      <c r="AN45" s="456"/>
      <c r="AO45" s="460"/>
      <c r="AP45" s="458"/>
      <c r="AQ45" s="454"/>
      <c r="AR45" s="456"/>
      <c r="AS45" s="460"/>
      <c r="AT45" s="458"/>
      <c r="AU45" s="22">
        <f t="shared" si="0"/>
        <v>1756483</v>
      </c>
      <c r="AV45" s="546">
        <f t="shared" si="1"/>
        <v>0.95299999974668026</v>
      </c>
      <c r="AW45" s="148"/>
      <c r="AX45" s="148"/>
      <c r="AY45" s="148"/>
      <c r="AZ45" s="148"/>
      <c r="BA45" s="148"/>
      <c r="BB45" s="148"/>
      <c r="BC45" s="148"/>
      <c r="BD45" s="148"/>
      <c r="BE45" s="148"/>
      <c r="BF45" s="148"/>
      <c r="BG45" s="148"/>
      <c r="BH45" s="148"/>
      <c r="BI45" s="148"/>
      <c r="BJ45" s="148"/>
      <c r="BK45" s="148"/>
      <c r="BL45" s="148"/>
      <c r="BM45" s="148"/>
      <c r="BN45" s="148"/>
      <c r="BO45" s="148"/>
      <c r="BP45" s="148"/>
      <c r="BQ45" s="148"/>
      <c r="BR45" s="148"/>
      <c r="BS45" s="148"/>
      <c r="BT45" s="148"/>
      <c r="BU45" s="148"/>
      <c r="BV45" s="148"/>
      <c r="BW45" s="148"/>
      <c r="BX45" s="148"/>
      <c r="BY45" s="148"/>
      <c r="BZ45" s="148"/>
      <c r="CA45" s="148"/>
      <c r="CB45" s="148"/>
      <c r="CC45" s="148"/>
      <c r="CD45" s="148"/>
      <c r="CE45" s="148"/>
      <c r="CF45" s="148"/>
      <c r="CG45" s="148"/>
      <c r="CH45" s="148"/>
      <c r="CI45" s="148"/>
      <c r="CJ45" s="148"/>
      <c r="CK45" s="148"/>
      <c r="CL45" s="148"/>
      <c r="CM45" s="148"/>
      <c r="CN45" s="148"/>
      <c r="CO45" s="148"/>
      <c r="CP45" s="148"/>
      <c r="CQ45" s="148"/>
      <c r="CR45" s="148"/>
      <c r="CS45" s="148"/>
      <c r="CT45" s="148"/>
      <c r="CU45" s="148"/>
      <c r="CV45" s="148"/>
      <c r="CW45" s="148"/>
      <c r="CX45" s="148"/>
      <c r="CY45" s="148"/>
      <c r="CZ45" s="148"/>
      <c r="DA45" s="148"/>
      <c r="DB45" s="148"/>
      <c r="DC45" s="148"/>
      <c r="DD45" s="148"/>
      <c r="DE45" s="148"/>
      <c r="DF45" s="148"/>
      <c r="DG45" s="148"/>
      <c r="DH45" s="148"/>
      <c r="DI45" s="148"/>
      <c r="DJ45" s="148"/>
      <c r="DK45" s="148"/>
      <c r="DL45" s="148"/>
      <c r="DM45" s="148"/>
      <c r="DN45" s="148"/>
      <c r="DO45" s="148"/>
      <c r="DP45" s="148"/>
      <c r="DQ45" s="148"/>
      <c r="DR45" s="148"/>
      <c r="DS45" s="148"/>
      <c r="DT45" s="148"/>
      <c r="DU45" s="148"/>
      <c r="DV45" s="148"/>
      <c r="DW45" s="148"/>
      <c r="DX45" s="148"/>
      <c r="DY45" s="148"/>
      <c r="DZ45" s="148"/>
      <c r="EA45" s="148"/>
      <c r="EB45" s="148"/>
      <c r="EC45" s="148"/>
      <c r="ED45" s="148"/>
      <c r="EE45" s="148"/>
      <c r="EF45" s="148"/>
      <c r="EG45" s="148"/>
      <c r="EH45" s="148"/>
      <c r="EI45" s="148"/>
      <c r="EJ45" s="148"/>
      <c r="EK45" s="148"/>
      <c r="EL45" s="148"/>
      <c r="EM45" s="148"/>
      <c r="EN45" s="148"/>
      <c r="EO45" s="148"/>
      <c r="EP45" s="148"/>
      <c r="EQ45" s="148"/>
      <c r="ER45" s="148"/>
      <c r="ES45" s="148"/>
      <c r="ET45" s="148"/>
      <c r="EU45" s="148"/>
      <c r="EV45" s="148"/>
      <c r="EW45" s="148"/>
      <c r="EX45" s="148"/>
      <c r="EY45" s="148"/>
      <c r="EZ45" s="148"/>
      <c r="FA45" s="148"/>
      <c r="FB45" s="148"/>
      <c r="FC45" s="148"/>
      <c r="FD45" s="148"/>
      <c r="FE45" s="148"/>
      <c r="FF45" s="148"/>
      <c r="FG45" s="148"/>
      <c r="FH45" s="148"/>
      <c r="FI45" s="148"/>
      <c r="FJ45" s="148"/>
      <c r="FK45" s="148"/>
      <c r="FL45" s="148"/>
      <c r="FM45" s="148"/>
      <c r="FN45" s="148"/>
      <c r="FO45" s="148"/>
      <c r="FP45" s="148"/>
      <c r="FQ45" s="148"/>
      <c r="FR45" s="148"/>
      <c r="FS45" s="148"/>
      <c r="FT45" s="148"/>
      <c r="FU45" s="148"/>
      <c r="FV45" s="148"/>
      <c r="FW45" s="148"/>
      <c r="FX45" s="148"/>
      <c r="FY45" s="148"/>
      <c r="FZ45" s="148"/>
      <c r="GA45" s="148"/>
      <c r="GB45" s="148"/>
      <c r="GC45" s="148"/>
      <c r="GD45" s="148"/>
      <c r="GE45" s="148"/>
      <c r="GF45" s="148"/>
      <c r="GG45" s="148"/>
      <c r="GH45" s="148"/>
      <c r="GI45" s="148"/>
      <c r="GJ45" s="148"/>
      <c r="GK45" s="148"/>
      <c r="GL45" s="148"/>
      <c r="GM45" s="148"/>
      <c r="GN45" s="148"/>
      <c r="GO45" s="148"/>
      <c r="GP45" s="148"/>
      <c r="GQ45" s="148"/>
      <c r="GR45" s="148"/>
      <c r="GS45" s="148"/>
      <c r="GT45" s="148"/>
      <c r="GU45" s="148"/>
      <c r="GV45" s="148"/>
      <c r="GW45" s="148"/>
      <c r="GX45" s="148"/>
      <c r="GY45" s="148"/>
      <c r="GZ45" s="148"/>
      <c r="HA45" s="148"/>
      <c r="HB45" s="148"/>
      <c r="HC45" s="148"/>
      <c r="HD45" s="148"/>
      <c r="HE45" s="148"/>
      <c r="HF45" s="148"/>
      <c r="HG45" s="148"/>
      <c r="HH45" s="148"/>
      <c r="HI45" s="148"/>
      <c r="HJ45" s="148"/>
      <c r="HK45" s="148"/>
      <c r="HL45" s="148"/>
      <c r="HM45" s="148"/>
      <c r="HN45" s="148"/>
      <c r="HO45" s="148"/>
      <c r="HP45" s="148"/>
      <c r="HQ45" s="148"/>
      <c r="HR45" s="148"/>
      <c r="HS45" s="148"/>
      <c r="HT45" s="148"/>
      <c r="HU45" s="148"/>
      <c r="HV45" s="148"/>
      <c r="HW45" s="148"/>
      <c r="HX45" s="148"/>
      <c r="HY45" s="148"/>
      <c r="HZ45" s="148"/>
      <c r="IA45" s="148"/>
      <c r="IB45" s="148"/>
      <c r="IC45" s="148"/>
    </row>
    <row r="46" spans="1:237" s="15" customFormat="1" ht="22.5" x14ac:dyDescent="0.25">
      <c r="A46" s="148"/>
      <c r="B46" s="307">
        <v>31</v>
      </c>
      <c r="C46" s="307" t="s">
        <v>38</v>
      </c>
      <c r="D46" s="450">
        <v>30110324</v>
      </c>
      <c r="E46" s="577" t="s">
        <v>2900</v>
      </c>
      <c r="F46" s="577" t="s">
        <v>897</v>
      </c>
      <c r="G46" s="533" t="s">
        <v>1902</v>
      </c>
      <c r="H46" s="553" t="s">
        <v>2882</v>
      </c>
      <c r="I46" s="534" t="s">
        <v>42</v>
      </c>
      <c r="J46" s="535">
        <v>5623750</v>
      </c>
      <c r="K46" s="535">
        <v>0</v>
      </c>
      <c r="L46" s="535">
        <v>5642983</v>
      </c>
      <c r="M46" s="535">
        <v>4345625</v>
      </c>
      <c r="N46" s="454">
        <v>0</v>
      </c>
      <c r="O46" s="454">
        <v>0</v>
      </c>
      <c r="P46" s="535">
        <v>0</v>
      </c>
      <c r="Q46" s="535">
        <v>0</v>
      </c>
      <c r="R46" s="535">
        <v>0</v>
      </c>
      <c r="S46" s="535">
        <v>0</v>
      </c>
      <c r="T46" s="535"/>
      <c r="U46" s="535"/>
      <c r="V46" s="535"/>
      <c r="W46" s="535"/>
      <c r="X46" s="535"/>
      <c r="Y46" s="535"/>
      <c r="Z46" s="660">
        <f t="shared" si="2"/>
        <v>0</v>
      </c>
      <c r="AA46" s="554">
        <v>1</v>
      </c>
      <c r="AB46" s="558">
        <v>2</v>
      </c>
      <c r="AC46" s="545">
        <v>44209</v>
      </c>
      <c r="AD46" s="542">
        <v>44249</v>
      </c>
      <c r="AE46" s="454"/>
      <c r="AF46" s="459"/>
      <c r="AG46" s="460"/>
      <c r="AH46" s="458"/>
      <c r="AI46" s="454"/>
      <c r="AJ46" s="456"/>
      <c r="AK46" s="460"/>
      <c r="AL46" s="458"/>
      <c r="AM46" s="454"/>
      <c r="AN46" s="456"/>
      <c r="AO46" s="460"/>
      <c r="AP46" s="458"/>
      <c r="AQ46" s="454"/>
      <c r="AR46" s="456"/>
      <c r="AS46" s="460"/>
      <c r="AT46" s="458"/>
      <c r="AU46" s="22">
        <f t="shared" si="0"/>
        <v>1</v>
      </c>
      <c r="AV46" s="546">
        <f t="shared" si="1"/>
        <v>1</v>
      </c>
      <c r="AW46" s="148"/>
      <c r="AX46" s="148"/>
      <c r="AY46" s="148"/>
      <c r="AZ46" s="148"/>
      <c r="BA46" s="148"/>
      <c r="BB46" s="148"/>
      <c r="BC46" s="148"/>
      <c r="BD46" s="148"/>
      <c r="BE46" s="148"/>
      <c r="BF46" s="148"/>
      <c r="BG46" s="148"/>
      <c r="BH46" s="148"/>
      <c r="BI46" s="148"/>
      <c r="BJ46" s="148"/>
      <c r="BK46" s="148"/>
      <c r="BL46" s="148"/>
      <c r="BM46" s="148"/>
      <c r="BN46" s="148"/>
      <c r="BO46" s="148"/>
      <c r="BP46" s="148"/>
      <c r="BQ46" s="148"/>
      <c r="BR46" s="148"/>
      <c r="BS46" s="148"/>
      <c r="BT46" s="148"/>
      <c r="BU46" s="148"/>
      <c r="BV46" s="148"/>
      <c r="BW46" s="148"/>
      <c r="BX46" s="148"/>
      <c r="BY46" s="148"/>
      <c r="BZ46" s="148"/>
      <c r="CA46" s="148"/>
      <c r="CB46" s="148"/>
      <c r="CC46" s="148"/>
      <c r="CD46" s="148"/>
      <c r="CE46" s="148"/>
      <c r="CF46" s="148"/>
      <c r="CG46" s="148"/>
      <c r="CH46" s="148"/>
      <c r="CI46" s="148"/>
      <c r="CJ46" s="148"/>
      <c r="CK46" s="148"/>
      <c r="CL46" s="148"/>
      <c r="CM46" s="148"/>
      <c r="CN46" s="148"/>
      <c r="CO46" s="148"/>
      <c r="CP46" s="148"/>
      <c r="CQ46" s="148"/>
      <c r="CR46" s="148"/>
      <c r="CS46" s="148"/>
      <c r="CT46" s="148"/>
      <c r="CU46" s="148"/>
      <c r="CV46" s="148"/>
      <c r="CW46" s="148"/>
      <c r="CX46" s="148"/>
      <c r="CY46" s="148"/>
      <c r="CZ46" s="148"/>
      <c r="DA46" s="148"/>
      <c r="DB46" s="148"/>
      <c r="DC46" s="148"/>
      <c r="DD46" s="148"/>
      <c r="DE46" s="148"/>
      <c r="DF46" s="148"/>
      <c r="DG46" s="148"/>
      <c r="DH46" s="148"/>
      <c r="DI46" s="148"/>
      <c r="DJ46" s="148"/>
      <c r="DK46" s="148"/>
      <c r="DL46" s="148"/>
      <c r="DM46" s="148"/>
      <c r="DN46" s="148"/>
      <c r="DO46" s="148"/>
      <c r="DP46" s="148"/>
      <c r="DQ46" s="148"/>
      <c r="DR46" s="148"/>
      <c r="DS46" s="148"/>
      <c r="DT46" s="148"/>
      <c r="DU46" s="148"/>
      <c r="DV46" s="148"/>
      <c r="DW46" s="148"/>
      <c r="DX46" s="148"/>
      <c r="DY46" s="148"/>
      <c r="DZ46" s="148"/>
      <c r="EA46" s="148"/>
      <c r="EB46" s="148"/>
      <c r="EC46" s="148"/>
      <c r="ED46" s="148"/>
      <c r="EE46" s="148"/>
      <c r="EF46" s="148"/>
      <c r="EG46" s="148"/>
      <c r="EH46" s="148"/>
      <c r="EI46" s="148"/>
      <c r="EJ46" s="148"/>
      <c r="EK46" s="148"/>
      <c r="EL46" s="148"/>
      <c r="EM46" s="148"/>
      <c r="EN46" s="148"/>
      <c r="EO46" s="148"/>
      <c r="EP46" s="148"/>
      <c r="EQ46" s="148"/>
      <c r="ER46" s="148"/>
      <c r="ES46" s="148"/>
      <c r="ET46" s="148"/>
      <c r="EU46" s="148"/>
      <c r="EV46" s="148"/>
      <c r="EW46" s="148"/>
      <c r="EX46" s="148"/>
      <c r="EY46" s="148"/>
      <c r="EZ46" s="148"/>
      <c r="FA46" s="148"/>
      <c r="FB46" s="148"/>
      <c r="FC46" s="148"/>
      <c r="FD46" s="148"/>
      <c r="FE46" s="148"/>
      <c r="FF46" s="148"/>
      <c r="FG46" s="148"/>
      <c r="FH46" s="148"/>
      <c r="FI46" s="148"/>
      <c r="FJ46" s="148"/>
      <c r="FK46" s="148"/>
      <c r="FL46" s="148"/>
      <c r="FM46" s="148"/>
      <c r="FN46" s="148"/>
      <c r="FO46" s="148"/>
      <c r="FP46" s="148"/>
      <c r="FQ46" s="148"/>
      <c r="FR46" s="148"/>
      <c r="FS46" s="148"/>
      <c r="FT46" s="148"/>
      <c r="FU46" s="148"/>
      <c r="FV46" s="148"/>
      <c r="FW46" s="148"/>
      <c r="FX46" s="148"/>
      <c r="FY46" s="148"/>
      <c r="FZ46" s="148"/>
      <c r="GA46" s="148"/>
      <c r="GB46" s="148"/>
      <c r="GC46" s="148"/>
      <c r="GD46" s="148"/>
      <c r="GE46" s="148"/>
      <c r="GF46" s="148"/>
      <c r="GG46" s="148"/>
      <c r="GH46" s="148"/>
      <c r="GI46" s="148"/>
      <c r="GJ46" s="148"/>
      <c r="GK46" s="148"/>
      <c r="GL46" s="148"/>
      <c r="GM46" s="148"/>
      <c r="GN46" s="148"/>
      <c r="GO46" s="148"/>
      <c r="GP46" s="148"/>
      <c r="GQ46" s="148"/>
      <c r="GR46" s="148"/>
      <c r="GS46" s="148"/>
      <c r="GT46" s="148"/>
      <c r="GU46" s="148"/>
      <c r="GV46" s="148"/>
      <c r="GW46" s="148"/>
      <c r="GX46" s="148"/>
      <c r="GY46" s="148"/>
      <c r="GZ46" s="148"/>
      <c r="HA46" s="148"/>
      <c r="HB46" s="148"/>
      <c r="HC46" s="148"/>
      <c r="HD46" s="148"/>
      <c r="HE46" s="148"/>
      <c r="HF46" s="148"/>
      <c r="HG46" s="148"/>
      <c r="HH46" s="148"/>
      <c r="HI46" s="148"/>
      <c r="HJ46" s="148"/>
      <c r="HK46" s="148"/>
      <c r="HL46" s="148"/>
      <c r="HM46" s="148"/>
      <c r="HN46" s="148"/>
      <c r="HO46" s="148"/>
      <c r="HP46" s="148"/>
      <c r="HQ46" s="148"/>
      <c r="HR46" s="148"/>
      <c r="HS46" s="148"/>
      <c r="HT46" s="148"/>
      <c r="HU46" s="148"/>
      <c r="HV46" s="148"/>
      <c r="HW46" s="148"/>
      <c r="HX46" s="148"/>
      <c r="HY46" s="148"/>
      <c r="HZ46" s="148"/>
      <c r="IA46" s="148"/>
      <c r="IB46" s="148"/>
      <c r="IC46" s="148"/>
    </row>
    <row r="47" spans="1:237" s="15" customFormat="1" x14ac:dyDescent="0.25">
      <c r="A47" s="148"/>
      <c r="B47" s="307">
        <v>32</v>
      </c>
      <c r="C47" s="307" t="s">
        <v>38</v>
      </c>
      <c r="D47" s="450">
        <v>30123960</v>
      </c>
      <c r="E47" s="577" t="s">
        <v>2901</v>
      </c>
      <c r="F47" s="577" t="s">
        <v>897</v>
      </c>
      <c r="G47" s="533" t="s">
        <v>1902</v>
      </c>
      <c r="H47" s="553" t="s">
        <v>2902</v>
      </c>
      <c r="I47" s="534" t="s">
        <v>43</v>
      </c>
      <c r="J47" s="535">
        <v>977413</v>
      </c>
      <c r="K47" s="535">
        <v>1907</v>
      </c>
      <c r="L47" s="535">
        <v>823559</v>
      </c>
      <c r="M47" s="535">
        <v>0</v>
      </c>
      <c r="N47" s="454">
        <v>0</v>
      </c>
      <c r="O47" s="454">
        <v>0</v>
      </c>
      <c r="P47" s="535">
        <v>0</v>
      </c>
      <c r="Q47" s="535">
        <v>0</v>
      </c>
      <c r="R47" s="535">
        <v>0</v>
      </c>
      <c r="S47" s="535">
        <v>0</v>
      </c>
      <c r="T47" s="535"/>
      <c r="U47" s="535"/>
      <c r="V47" s="535"/>
      <c r="W47" s="535"/>
      <c r="X47" s="535"/>
      <c r="Y47" s="535"/>
      <c r="Z47" s="660">
        <f t="shared" si="2"/>
        <v>0</v>
      </c>
      <c r="AA47" s="554">
        <v>86140</v>
      </c>
      <c r="AB47" s="558">
        <v>2</v>
      </c>
      <c r="AC47" s="545">
        <v>44209</v>
      </c>
      <c r="AD47" s="542">
        <v>44249</v>
      </c>
      <c r="AE47" s="454"/>
      <c r="AF47" s="459"/>
      <c r="AG47" s="460"/>
      <c r="AH47" s="458"/>
      <c r="AI47" s="454"/>
      <c r="AJ47" s="456"/>
      <c r="AK47" s="460"/>
      <c r="AL47" s="458"/>
      <c r="AM47" s="454"/>
      <c r="AN47" s="456"/>
      <c r="AO47" s="460"/>
      <c r="AP47" s="458"/>
      <c r="AQ47" s="454"/>
      <c r="AR47" s="456"/>
      <c r="AS47" s="460"/>
      <c r="AT47" s="458"/>
      <c r="AU47" s="22">
        <f t="shared" si="0"/>
        <v>86140</v>
      </c>
      <c r="AV47" s="546">
        <f t="shared" si="1"/>
        <v>86140</v>
      </c>
      <c r="AW47" s="148"/>
      <c r="AX47" s="148"/>
      <c r="AY47" s="148"/>
      <c r="AZ47" s="148"/>
      <c r="BA47" s="148"/>
      <c r="BB47" s="148"/>
      <c r="BC47" s="148"/>
      <c r="BD47" s="148"/>
      <c r="BE47" s="148"/>
      <c r="BF47" s="148"/>
      <c r="BG47" s="148"/>
      <c r="BH47" s="148"/>
      <c r="BI47" s="148"/>
      <c r="BJ47" s="148"/>
      <c r="BK47" s="148"/>
      <c r="BL47" s="148"/>
      <c r="BM47" s="148"/>
      <c r="BN47" s="148"/>
      <c r="BO47" s="148"/>
      <c r="BP47" s="148"/>
      <c r="BQ47" s="148"/>
      <c r="BR47" s="148"/>
      <c r="BS47" s="148"/>
      <c r="BT47" s="148"/>
      <c r="BU47" s="148"/>
      <c r="BV47" s="148"/>
      <c r="BW47" s="148"/>
      <c r="BX47" s="148"/>
      <c r="BY47" s="148"/>
      <c r="BZ47" s="148"/>
      <c r="CA47" s="148"/>
      <c r="CB47" s="148"/>
      <c r="CC47" s="148"/>
      <c r="CD47" s="148"/>
      <c r="CE47" s="148"/>
      <c r="CF47" s="148"/>
      <c r="CG47" s="148"/>
      <c r="CH47" s="148"/>
      <c r="CI47" s="148"/>
      <c r="CJ47" s="148"/>
      <c r="CK47" s="148"/>
      <c r="CL47" s="148"/>
      <c r="CM47" s="148"/>
      <c r="CN47" s="148"/>
      <c r="CO47" s="148"/>
      <c r="CP47" s="148"/>
      <c r="CQ47" s="148"/>
      <c r="CR47" s="148"/>
      <c r="CS47" s="148"/>
      <c r="CT47" s="148"/>
      <c r="CU47" s="148"/>
      <c r="CV47" s="148"/>
      <c r="CW47" s="148"/>
      <c r="CX47" s="148"/>
      <c r="CY47" s="148"/>
      <c r="CZ47" s="148"/>
      <c r="DA47" s="148"/>
      <c r="DB47" s="148"/>
      <c r="DC47" s="148"/>
      <c r="DD47" s="148"/>
      <c r="DE47" s="148"/>
      <c r="DF47" s="148"/>
      <c r="DG47" s="148"/>
      <c r="DH47" s="148"/>
      <c r="DI47" s="148"/>
      <c r="DJ47" s="148"/>
      <c r="DK47" s="148"/>
      <c r="DL47" s="148"/>
      <c r="DM47" s="148"/>
      <c r="DN47" s="148"/>
      <c r="DO47" s="148"/>
      <c r="DP47" s="148"/>
      <c r="DQ47" s="148"/>
      <c r="DR47" s="148"/>
      <c r="DS47" s="148"/>
      <c r="DT47" s="148"/>
      <c r="DU47" s="148"/>
      <c r="DV47" s="148"/>
      <c r="DW47" s="148"/>
      <c r="DX47" s="148"/>
      <c r="DY47" s="148"/>
      <c r="DZ47" s="148"/>
      <c r="EA47" s="148"/>
      <c r="EB47" s="148"/>
      <c r="EC47" s="148"/>
      <c r="ED47" s="148"/>
      <c r="EE47" s="148"/>
      <c r="EF47" s="148"/>
      <c r="EG47" s="148"/>
      <c r="EH47" s="148"/>
      <c r="EI47" s="148"/>
      <c r="EJ47" s="148"/>
      <c r="EK47" s="148"/>
      <c r="EL47" s="148"/>
      <c r="EM47" s="148"/>
      <c r="EN47" s="148"/>
      <c r="EO47" s="148"/>
      <c r="EP47" s="148"/>
      <c r="EQ47" s="148"/>
      <c r="ER47" s="148"/>
      <c r="ES47" s="148"/>
      <c r="ET47" s="148"/>
      <c r="EU47" s="148"/>
      <c r="EV47" s="148"/>
      <c r="EW47" s="148"/>
      <c r="EX47" s="148"/>
      <c r="EY47" s="148"/>
      <c r="EZ47" s="148"/>
      <c r="FA47" s="148"/>
      <c r="FB47" s="148"/>
      <c r="FC47" s="148"/>
      <c r="FD47" s="148"/>
      <c r="FE47" s="148"/>
      <c r="FF47" s="148"/>
      <c r="FG47" s="148"/>
      <c r="FH47" s="148"/>
      <c r="FI47" s="148"/>
      <c r="FJ47" s="148"/>
      <c r="FK47" s="148"/>
      <c r="FL47" s="148"/>
      <c r="FM47" s="148"/>
      <c r="FN47" s="148"/>
      <c r="FO47" s="148"/>
      <c r="FP47" s="148"/>
      <c r="FQ47" s="148"/>
      <c r="FR47" s="148"/>
      <c r="FS47" s="148"/>
      <c r="FT47" s="148"/>
      <c r="FU47" s="148"/>
      <c r="FV47" s="148"/>
      <c r="FW47" s="148"/>
      <c r="FX47" s="148"/>
      <c r="FY47" s="148"/>
      <c r="FZ47" s="148"/>
      <c r="GA47" s="148"/>
      <c r="GB47" s="148"/>
      <c r="GC47" s="148"/>
      <c r="GD47" s="148"/>
      <c r="GE47" s="148"/>
      <c r="GF47" s="148"/>
      <c r="GG47" s="148"/>
      <c r="GH47" s="148"/>
      <c r="GI47" s="148"/>
      <c r="GJ47" s="148"/>
      <c r="GK47" s="148"/>
      <c r="GL47" s="148"/>
      <c r="GM47" s="148"/>
      <c r="GN47" s="148"/>
      <c r="GO47" s="148"/>
      <c r="GP47" s="148"/>
      <c r="GQ47" s="148"/>
      <c r="GR47" s="148"/>
      <c r="GS47" s="148"/>
      <c r="GT47" s="148"/>
      <c r="GU47" s="148"/>
      <c r="GV47" s="148"/>
      <c r="GW47" s="148"/>
      <c r="GX47" s="148"/>
      <c r="GY47" s="148"/>
      <c r="GZ47" s="148"/>
      <c r="HA47" s="148"/>
      <c r="HB47" s="148"/>
      <c r="HC47" s="148"/>
      <c r="HD47" s="148"/>
      <c r="HE47" s="148"/>
      <c r="HF47" s="148"/>
      <c r="HG47" s="148"/>
      <c r="HH47" s="148"/>
      <c r="HI47" s="148"/>
      <c r="HJ47" s="148"/>
      <c r="HK47" s="148"/>
      <c r="HL47" s="148"/>
      <c r="HM47" s="148"/>
      <c r="HN47" s="148"/>
      <c r="HO47" s="148"/>
      <c r="HP47" s="148"/>
      <c r="HQ47" s="148"/>
      <c r="HR47" s="148"/>
      <c r="HS47" s="148"/>
      <c r="HT47" s="148"/>
      <c r="HU47" s="148"/>
      <c r="HV47" s="148"/>
      <c r="HW47" s="148"/>
      <c r="HX47" s="148"/>
      <c r="HY47" s="148"/>
      <c r="HZ47" s="148"/>
      <c r="IA47" s="148"/>
      <c r="IB47" s="148"/>
      <c r="IC47" s="148"/>
    </row>
    <row r="48" spans="1:237" s="15" customFormat="1" ht="22.5" x14ac:dyDescent="0.25">
      <c r="A48" s="148"/>
      <c r="B48" s="307">
        <v>33</v>
      </c>
      <c r="C48" s="307" t="s">
        <v>38</v>
      </c>
      <c r="D48" s="450">
        <v>30126944</v>
      </c>
      <c r="E48" s="577" t="s">
        <v>2903</v>
      </c>
      <c r="F48" s="577" t="s">
        <v>897</v>
      </c>
      <c r="G48" s="533" t="s">
        <v>1902</v>
      </c>
      <c r="H48" s="553" t="s">
        <v>2904</v>
      </c>
      <c r="I48" s="534" t="s">
        <v>43</v>
      </c>
      <c r="J48" s="535">
        <v>603229</v>
      </c>
      <c r="K48" s="535">
        <v>0</v>
      </c>
      <c r="L48" s="535">
        <v>557745</v>
      </c>
      <c r="M48" s="535">
        <v>0</v>
      </c>
      <c r="N48" s="454">
        <v>0</v>
      </c>
      <c r="O48" s="454">
        <v>0</v>
      </c>
      <c r="P48" s="535">
        <v>0</v>
      </c>
      <c r="Q48" s="535">
        <v>0</v>
      </c>
      <c r="R48" s="535">
        <v>0</v>
      </c>
      <c r="S48" s="535">
        <v>0</v>
      </c>
      <c r="T48" s="535"/>
      <c r="U48" s="535"/>
      <c r="V48" s="535"/>
      <c r="W48" s="535"/>
      <c r="X48" s="535"/>
      <c r="Y48" s="535"/>
      <c r="Z48" s="660">
        <f t="shared" si="2"/>
        <v>0</v>
      </c>
      <c r="AA48" s="554">
        <v>32210</v>
      </c>
      <c r="AB48" s="558">
        <v>2</v>
      </c>
      <c r="AC48" s="545">
        <v>44209</v>
      </c>
      <c r="AD48" s="542">
        <v>44249</v>
      </c>
      <c r="AE48" s="454"/>
      <c r="AF48" s="459"/>
      <c r="AG48" s="460"/>
      <c r="AH48" s="458"/>
      <c r="AI48" s="454"/>
      <c r="AJ48" s="456"/>
      <c r="AK48" s="460"/>
      <c r="AL48" s="458"/>
      <c r="AM48" s="454"/>
      <c r="AN48" s="456"/>
      <c r="AO48" s="460"/>
      <c r="AP48" s="458"/>
      <c r="AQ48" s="454"/>
      <c r="AR48" s="456"/>
      <c r="AS48" s="460"/>
      <c r="AT48" s="458"/>
      <c r="AU48" s="22">
        <f t="shared" si="0"/>
        <v>32210</v>
      </c>
      <c r="AV48" s="546">
        <f t="shared" si="1"/>
        <v>32210</v>
      </c>
      <c r="AW48" s="148"/>
      <c r="AX48" s="148"/>
      <c r="AY48" s="148"/>
      <c r="AZ48" s="148"/>
      <c r="BA48" s="148"/>
      <c r="BB48" s="148"/>
      <c r="BC48" s="148"/>
      <c r="BD48" s="148"/>
      <c r="BE48" s="148"/>
      <c r="BF48" s="148"/>
      <c r="BG48" s="148"/>
      <c r="BH48" s="148"/>
      <c r="BI48" s="148"/>
      <c r="BJ48" s="148"/>
      <c r="BK48" s="148"/>
      <c r="BL48" s="148"/>
      <c r="BM48" s="148"/>
      <c r="BN48" s="148"/>
      <c r="BO48" s="148"/>
      <c r="BP48" s="148"/>
      <c r="BQ48" s="148"/>
      <c r="BR48" s="148"/>
      <c r="BS48" s="148"/>
      <c r="BT48" s="148"/>
      <c r="BU48" s="148"/>
      <c r="BV48" s="148"/>
      <c r="BW48" s="148"/>
      <c r="BX48" s="148"/>
      <c r="BY48" s="148"/>
      <c r="BZ48" s="148"/>
      <c r="CA48" s="148"/>
      <c r="CB48" s="148"/>
      <c r="CC48" s="148"/>
      <c r="CD48" s="148"/>
      <c r="CE48" s="148"/>
      <c r="CF48" s="148"/>
      <c r="CG48" s="148"/>
      <c r="CH48" s="148"/>
      <c r="CI48" s="148"/>
      <c r="CJ48" s="148"/>
      <c r="CK48" s="148"/>
      <c r="CL48" s="148"/>
      <c r="CM48" s="148"/>
      <c r="CN48" s="148"/>
      <c r="CO48" s="148"/>
      <c r="CP48" s="148"/>
      <c r="CQ48" s="148"/>
      <c r="CR48" s="148"/>
      <c r="CS48" s="148"/>
      <c r="CT48" s="148"/>
      <c r="CU48" s="148"/>
      <c r="CV48" s="148"/>
      <c r="CW48" s="148"/>
      <c r="CX48" s="148"/>
      <c r="CY48" s="148"/>
      <c r="CZ48" s="148"/>
      <c r="DA48" s="148"/>
      <c r="DB48" s="148"/>
      <c r="DC48" s="148"/>
      <c r="DD48" s="148"/>
      <c r="DE48" s="148"/>
      <c r="DF48" s="148"/>
      <c r="DG48" s="148"/>
      <c r="DH48" s="148"/>
      <c r="DI48" s="148"/>
      <c r="DJ48" s="148"/>
      <c r="DK48" s="148"/>
      <c r="DL48" s="148"/>
      <c r="DM48" s="148"/>
      <c r="DN48" s="148"/>
      <c r="DO48" s="148"/>
      <c r="DP48" s="148"/>
      <c r="DQ48" s="148"/>
      <c r="DR48" s="148"/>
      <c r="DS48" s="148"/>
      <c r="DT48" s="148"/>
      <c r="DU48" s="148"/>
      <c r="DV48" s="148"/>
      <c r="DW48" s="148"/>
      <c r="DX48" s="148"/>
      <c r="DY48" s="148"/>
      <c r="DZ48" s="148"/>
      <c r="EA48" s="148"/>
      <c r="EB48" s="148"/>
      <c r="EC48" s="148"/>
      <c r="ED48" s="148"/>
      <c r="EE48" s="148"/>
      <c r="EF48" s="148"/>
      <c r="EG48" s="148"/>
      <c r="EH48" s="148"/>
      <c r="EI48" s="148"/>
      <c r="EJ48" s="148"/>
      <c r="EK48" s="148"/>
      <c r="EL48" s="148"/>
      <c r="EM48" s="148"/>
      <c r="EN48" s="148"/>
      <c r="EO48" s="148"/>
      <c r="EP48" s="148"/>
      <c r="EQ48" s="148"/>
      <c r="ER48" s="148"/>
      <c r="ES48" s="148"/>
      <c r="ET48" s="148"/>
      <c r="EU48" s="148"/>
      <c r="EV48" s="148"/>
      <c r="EW48" s="148"/>
      <c r="EX48" s="148"/>
      <c r="EY48" s="148"/>
      <c r="EZ48" s="148"/>
      <c r="FA48" s="148"/>
      <c r="FB48" s="148"/>
      <c r="FC48" s="148"/>
      <c r="FD48" s="148"/>
      <c r="FE48" s="148"/>
      <c r="FF48" s="148"/>
      <c r="FG48" s="148"/>
      <c r="FH48" s="148"/>
      <c r="FI48" s="148"/>
      <c r="FJ48" s="148"/>
      <c r="FK48" s="148"/>
      <c r="FL48" s="148"/>
      <c r="FM48" s="148"/>
      <c r="FN48" s="148"/>
      <c r="FO48" s="148"/>
      <c r="FP48" s="148"/>
      <c r="FQ48" s="148"/>
      <c r="FR48" s="148"/>
      <c r="FS48" s="148"/>
      <c r="FT48" s="148"/>
      <c r="FU48" s="148"/>
      <c r="FV48" s="148"/>
      <c r="FW48" s="148"/>
      <c r="FX48" s="148"/>
      <c r="FY48" s="148"/>
      <c r="FZ48" s="148"/>
      <c r="GA48" s="148"/>
      <c r="GB48" s="148"/>
      <c r="GC48" s="148"/>
      <c r="GD48" s="148"/>
      <c r="GE48" s="148"/>
      <c r="GF48" s="148"/>
      <c r="GG48" s="148"/>
      <c r="GH48" s="148"/>
      <c r="GI48" s="148"/>
      <c r="GJ48" s="148"/>
      <c r="GK48" s="148"/>
      <c r="GL48" s="148"/>
      <c r="GM48" s="148"/>
      <c r="GN48" s="148"/>
      <c r="GO48" s="148"/>
      <c r="GP48" s="148"/>
      <c r="GQ48" s="148"/>
      <c r="GR48" s="148"/>
      <c r="GS48" s="148"/>
      <c r="GT48" s="148"/>
      <c r="GU48" s="148"/>
      <c r="GV48" s="148"/>
      <c r="GW48" s="148"/>
      <c r="GX48" s="148"/>
      <c r="GY48" s="148"/>
      <c r="GZ48" s="148"/>
      <c r="HA48" s="148"/>
      <c r="HB48" s="148"/>
      <c r="HC48" s="148"/>
      <c r="HD48" s="148"/>
      <c r="HE48" s="148"/>
      <c r="HF48" s="148"/>
      <c r="HG48" s="148"/>
      <c r="HH48" s="148"/>
      <c r="HI48" s="148"/>
      <c r="HJ48" s="148"/>
      <c r="HK48" s="148"/>
      <c r="HL48" s="148"/>
      <c r="HM48" s="148"/>
      <c r="HN48" s="148"/>
      <c r="HO48" s="148"/>
      <c r="HP48" s="148"/>
      <c r="HQ48" s="148"/>
      <c r="HR48" s="148"/>
      <c r="HS48" s="148"/>
      <c r="HT48" s="148"/>
      <c r="HU48" s="148"/>
      <c r="HV48" s="148"/>
      <c r="HW48" s="148"/>
      <c r="HX48" s="148"/>
      <c r="HY48" s="148"/>
      <c r="HZ48" s="148"/>
      <c r="IA48" s="148"/>
      <c r="IB48" s="148"/>
      <c r="IC48" s="148"/>
    </row>
    <row r="49" spans="1:237" s="15" customFormat="1" x14ac:dyDescent="0.25">
      <c r="A49" s="148"/>
      <c r="B49" s="307">
        <v>34</v>
      </c>
      <c r="C49" s="307" t="s">
        <v>38</v>
      </c>
      <c r="D49" s="450">
        <v>30133146</v>
      </c>
      <c r="E49" s="577" t="s">
        <v>2905</v>
      </c>
      <c r="F49" s="577" t="s">
        <v>897</v>
      </c>
      <c r="G49" s="533" t="s">
        <v>1902</v>
      </c>
      <c r="H49" s="553" t="s">
        <v>2906</v>
      </c>
      <c r="I49" s="534" t="s">
        <v>43</v>
      </c>
      <c r="J49" s="535">
        <v>1250263</v>
      </c>
      <c r="K49" s="535">
        <v>3878</v>
      </c>
      <c r="L49" s="535">
        <v>661768</v>
      </c>
      <c r="M49" s="535">
        <v>597307</v>
      </c>
      <c r="N49" s="454">
        <v>0</v>
      </c>
      <c r="O49" s="454">
        <v>10659.281999999999</v>
      </c>
      <c r="P49" s="535">
        <v>106592.823</v>
      </c>
      <c r="Q49" s="535">
        <v>0</v>
      </c>
      <c r="R49" s="535">
        <f>159889234/1000</f>
        <v>159889.234</v>
      </c>
      <c r="S49" s="535">
        <v>0</v>
      </c>
      <c r="T49" s="535"/>
      <c r="U49" s="535"/>
      <c r="V49" s="535"/>
      <c r="W49" s="535"/>
      <c r="X49" s="535"/>
      <c r="Y49" s="535"/>
      <c r="Z49" s="660">
        <f t="shared" si="2"/>
        <v>277141.33900000004</v>
      </c>
      <c r="AA49" s="554">
        <v>291442</v>
      </c>
      <c r="AB49" s="558">
        <v>2</v>
      </c>
      <c r="AC49" s="545">
        <v>44209</v>
      </c>
      <c r="AD49" s="542">
        <v>44249</v>
      </c>
      <c r="AE49" s="454"/>
      <c r="AF49" s="459"/>
      <c r="AG49" s="460"/>
      <c r="AH49" s="458"/>
      <c r="AI49" s="454"/>
      <c r="AJ49" s="456"/>
      <c r="AK49" s="460"/>
      <c r="AL49" s="458"/>
      <c r="AM49" s="454"/>
      <c r="AN49" s="456"/>
      <c r="AO49" s="460"/>
      <c r="AP49" s="458"/>
      <c r="AQ49" s="454"/>
      <c r="AR49" s="456"/>
      <c r="AS49" s="460"/>
      <c r="AT49" s="458"/>
      <c r="AU49" s="22">
        <f t="shared" si="0"/>
        <v>291442</v>
      </c>
      <c r="AV49" s="546">
        <f t="shared" si="1"/>
        <v>14300.660999999964</v>
      </c>
      <c r="AW49" s="148"/>
      <c r="AX49" s="148"/>
      <c r="AY49" s="148"/>
      <c r="AZ49" s="148"/>
      <c r="BA49" s="148"/>
      <c r="BB49" s="148"/>
      <c r="BC49" s="148"/>
      <c r="BD49" s="148"/>
      <c r="BE49" s="148"/>
      <c r="BF49" s="148"/>
      <c r="BG49" s="148"/>
      <c r="BH49" s="148"/>
      <c r="BI49" s="148"/>
      <c r="BJ49" s="148"/>
      <c r="BK49" s="148"/>
      <c r="BL49" s="148"/>
      <c r="BM49" s="148"/>
      <c r="BN49" s="148"/>
      <c r="BO49" s="148"/>
      <c r="BP49" s="148"/>
      <c r="BQ49" s="148"/>
      <c r="BR49" s="148"/>
      <c r="BS49" s="148"/>
      <c r="BT49" s="148"/>
      <c r="BU49" s="148"/>
      <c r="BV49" s="148"/>
      <c r="BW49" s="148"/>
      <c r="BX49" s="148"/>
      <c r="BY49" s="148"/>
      <c r="BZ49" s="148"/>
      <c r="CA49" s="148"/>
      <c r="CB49" s="148"/>
      <c r="CC49" s="148"/>
      <c r="CD49" s="148"/>
      <c r="CE49" s="148"/>
      <c r="CF49" s="148"/>
      <c r="CG49" s="148"/>
      <c r="CH49" s="148"/>
      <c r="CI49" s="148"/>
      <c r="CJ49" s="148"/>
      <c r="CK49" s="148"/>
      <c r="CL49" s="148"/>
      <c r="CM49" s="148"/>
      <c r="CN49" s="148"/>
      <c r="CO49" s="148"/>
      <c r="CP49" s="148"/>
      <c r="CQ49" s="148"/>
      <c r="CR49" s="148"/>
      <c r="CS49" s="148"/>
      <c r="CT49" s="148"/>
      <c r="CU49" s="148"/>
      <c r="CV49" s="148"/>
      <c r="CW49" s="148"/>
      <c r="CX49" s="148"/>
      <c r="CY49" s="148"/>
      <c r="CZ49" s="148"/>
      <c r="DA49" s="148"/>
      <c r="DB49" s="148"/>
      <c r="DC49" s="148"/>
      <c r="DD49" s="148"/>
      <c r="DE49" s="148"/>
      <c r="DF49" s="148"/>
      <c r="DG49" s="148"/>
      <c r="DH49" s="148"/>
      <c r="DI49" s="148"/>
      <c r="DJ49" s="148"/>
      <c r="DK49" s="148"/>
      <c r="DL49" s="148"/>
      <c r="DM49" s="148"/>
      <c r="DN49" s="148"/>
      <c r="DO49" s="148"/>
      <c r="DP49" s="148"/>
      <c r="DQ49" s="148"/>
      <c r="DR49" s="148"/>
      <c r="DS49" s="148"/>
      <c r="DT49" s="148"/>
      <c r="DU49" s="148"/>
      <c r="DV49" s="148"/>
      <c r="DW49" s="148"/>
      <c r="DX49" s="148"/>
      <c r="DY49" s="148"/>
      <c r="DZ49" s="148"/>
      <c r="EA49" s="148"/>
      <c r="EB49" s="148"/>
      <c r="EC49" s="148"/>
      <c r="ED49" s="148"/>
      <c r="EE49" s="148"/>
      <c r="EF49" s="148"/>
      <c r="EG49" s="148"/>
      <c r="EH49" s="148"/>
      <c r="EI49" s="148"/>
      <c r="EJ49" s="148"/>
      <c r="EK49" s="148"/>
      <c r="EL49" s="148"/>
      <c r="EM49" s="148"/>
      <c r="EN49" s="148"/>
      <c r="EO49" s="148"/>
      <c r="EP49" s="148"/>
      <c r="EQ49" s="148"/>
      <c r="ER49" s="148"/>
      <c r="ES49" s="148"/>
      <c r="ET49" s="148"/>
      <c r="EU49" s="148"/>
      <c r="EV49" s="148"/>
      <c r="EW49" s="148"/>
      <c r="EX49" s="148"/>
      <c r="EY49" s="148"/>
      <c r="EZ49" s="148"/>
      <c r="FA49" s="148"/>
      <c r="FB49" s="148"/>
      <c r="FC49" s="148"/>
      <c r="FD49" s="148"/>
      <c r="FE49" s="148"/>
      <c r="FF49" s="148"/>
      <c r="FG49" s="148"/>
      <c r="FH49" s="148"/>
      <c r="FI49" s="148"/>
      <c r="FJ49" s="148"/>
      <c r="FK49" s="148"/>
      <c r="FL49" s="148"/>
      <c r="FM49" s="148"/>
      <c r="FN49" s="148"/>
      <c r="FO49" s="148"/>
      <c r="FP49" s="148"/>
      <c r="FQ49" s="148"/>
      <c r="FR49" s="148"/>
      <c r="FS49" s="148"/>
      <c r="FT49" s="148"/>
      <c r="FU49" s="148"/>
      <c r="FV49" s="148"/>
      <c r="FW49" s="148"/>
      <c r="FX49" s="148"/>
      <c r="FY49" s="148"/>
      <c r="FZ49" s="148"/>
      <c r="GA49" s="148"/>
      <c r="GB49" s="148"/>
      <c r="GC49" s="148"/>
      <c r="GD49" s="148"/>
      <c r="GE49" s="148"/>
      <c r="GF49" s="148"/>
      <c r="GG49" s="148"/>
      <c r="GH49" s="148"/>
      <c r="GI49" s="148"/>
      <c r="GJ49" s="148"/>
      <c r="GK49" s="148"/>
      <c r="GL49" s="148"/>
      <c r="GM49" s="148"/>
      <c r="GN49" s="148"/>
      <c r="GO49" s="148"/>
      <c r="GP49" s="148"/>
      <c r="GQ49" s="148"/>
      <c r="GR49" s="148"/>
      <c r="GS49" s="148"/>
      <c r="GT49" s="148"/>
      <c r="GU49" s="148"/>
      <c r="GV49" s="148"/>
      <c r="GW49" s="148"/>
      <c r="GX49" s="148"/>
      <c r="GY49" s="148"/>
      <c r="GZ49" s="148"/>
      <c r="HA49" s="148"/>
      <c r="HB49" s="148"/>
      <c r="HC49" s="148"/>
      <c r="HD49" s="148"/>
      <c r="HE49" s="148"/>
      <c r="HF49" s="148"/>
      <c r="HG49" s="148"/>
      <c r="HH49" s="148"/>
      <c r="HI49" s="148"/>
      <c r="HJ49" s="148"/>
      <c r="HK49" s="148"/>
      <c r="HL49" s="148"/>
      <c r="HM49" s="148"/>
      <c r="HN49" s="148"/>
      <c r="HO49" s="148"/>
      <c r="HP49" s="148"/>
      <c r="HQ49" s="148"/>
      <c r="HR49" s="148"/>
      <c r="HS49" s="148"/>
      <c r="HT49" s="148"/>
      <c r="HU49" s="148"/>
      <c r="HV49" s="148"/>
      <c r="HW49" s="148"/>
      <c r="HX49" s="148"/>
      <c r="HY49" s="148"/>
      <c r="HZ49" s="148"/>
      <c r="IA49" s="148"/>
      <c r="IB49" s="148"/>
      <c r="IC49" s="148"/>
    </row>
    <row r="50" spans="1:237" s="15" customFormat="1" ht="22.5" x14ac:dyDescent="0.25">
      <c r="A50" s="148"/>
      <c r="B50" s="307">
        <v>35</v>
      </c>
      <c r="C50" s="307" t="s">
        <v>38</v>
      </c>
      <c r="D50" s="450">
        <v>30135425</v>
      </c>
      <c r="E50" s="577" t="s">
        <v>2907</v>
      </c>
      <c r="F50" s="577" t="s">
        <v>897</v>
      </c>
      <c r="G50" s="533" t="s">
        <v>1902</v>
      </c>
      <c r="H50" s="553" t="s">
        <v>2908</v>
      </c>
      <c r="I50" s="534" t="s">
        <v>42</v>
      </c>
      <c r="J50" s="535">
        <v>823828</v>
      </c>
      <c r="K50" s="535">
        <v>33244</v>
      </c>
      <c r="L50" s="535">
        <v>93635</v>
      </c>
      <c r="M50" s="535">
        <v>0</v>
      </c>
      <c r="N50" s="454">
        <v>0</v>
      </c>
      <c r="O50" s="454">
        <v>0</v>
      </c>
      <c r="P50" s="535">
        <v>0</v>
      </c>
      <c r="Q50" s="535">
        <v>0</v>
      </c>
      <c r="R50" s="535">
        <v>0</v>
      </c>
      <c r="S50" s="535">
        <v>0</v>
      </c>
      <c r="T50" s="535"/>
      <c r="U50" s="535"/>
      <c r="V50" s="535"/>
      <c r="W50" s="535"/>
      <c r="X50" s="535"/>
      <c r="Y50" s="535"/>
      <c r="Z50" s="660">
        <f t="shared" si="2"/>
        <v>0</v>
      </c>
      <c r="AA50" s="554">
        <v>661260</v>
      </c>
      <c r="AB50" s="558">
        <v>2</v>
      </c>
      <c r="AC50" s="545">
        <v>44209</v>
      </c>
      <c r="AD50" s="542">
        <v>44249</v>
      </c>
      <c r="AE50" s="454"/>
      <c r="AF50" s="459"/>
      <c r="AG50" s="460"/>
      <c r="AH50" s="458"/>
      <c r="AI50" s="454"/>
      <c r="AJ50" s="456"/>
      <c r="AK50" s="460"/>
      <c r="AL50" s="458"/>
      <c r="AM50" s="454"/>
      <c r="AN50" s="456"/>
      <c r="AO50" s="460"/>
      <c r="AP50" s="458"/>
      <c r="AQ50" s="454"/>
      <c r="AR50" s="456"/>
      <c r="AS50" s="460"/>
      <c r="AT50" s="458"/>
      <c r="AU50" s="22">
        <f t="shared" si="0"/>
        <v>661260</v>
      </c>
      <c r="AV50" s="546">
        <f t="shared" si="1"/>
        <v>661260</v>
      </c>
      <c r="AW50" s="148"/>
      <c r="AX50" s="148"/>
      <c r="AY50" s="148"/>
      <c r="AZ50" s="148"/>
      <c r="BA50" s="148"/>
      <c r="BB50" s="148"/>
      <c r="BC50" s="148"/>
      <c r="BD50" s="148"/>
      <c r="BE50" s="148"/>
      <c r="BF50" s="148"/>
      <c r="BG50" s="148"/>
      <c r="BH50" s="148"/>
      <c r="BI50" s="148"/>
      <c r="BJ50" s="148"/>
      <c r="BK50" s="148"/>
      <c r="BL50" s="148"/>
      <c r="BM50" s="148"/>
      <c r="BN50" s="148"/>
      <c r="BO50" s="148"/>
      <c r="BP50" s="148"/>
      <c r="BQ50" s="148"/>
      <c r="BR50" s="148"/>
      <c r="BS50" s="148"/>
      <c r="BT50" s="148"/>
      <c r="BU50" s="148"/>
      <c r="BV50" s="148"/>
      <c r="BW50" s="148"/>
      <c r="BX50" s="148"/>
      <c r="BY50" s="148"/>
      <c r="BZ50" s="148"/>
      <c r="CA50" s="148"/>
      <c r="CB50" s="148"/>
      <c r="CC50" s="148"/>
      <c r="CD50" s="148"/>
      <c r="CE50" s="148"/>
      <c r="CF50" s="148"/>
      <c r="CG50" s="148"/>
      <c r="CH50" s="148"/>
      <c r="CI50" s="148"/>
      <c r="CJ50" s="148"/>
      <c r="CK50" s="148"/>
      <c r="CL50" s="148"/>
      <c r="CM50" s="148"/>
      <c r="CN50" s="148"/>
      <c r="CO50" s="148"/>
      <c r="CP50" s="148"/>
      <c r="CQ50" s="148"/>
      <c r="CR50" s="148"/>
      <c r="CS50" s="148"/>
      <c r="CT50" s="148"/>
      <c r="CU50" s="148"/>
      <c r="CV50" s="148"/>
      <c r="CW50" s="148"/>
      <c r="CX50" s="148"/>
      <c r="CY50" s="148"/>
      <c r="CZ50" s="148"/>
      <c r="DA50" s="148"/>
      <c r="DB50" s="148"/>
      <c r="DC50" s="148"/>
      <c r="DD50" s="148"/>
      <c r="DE50" s="148"/>
      <c r="DF50" s="148"/>
      <c r="DG50" s="148"/>
      <c r="DH50" s="148"/>
      <c r="DI50" s="148"/>
      <c r="DJ50" s="148"/>
      <c r="DK50" s="148"/>
      <c r="DL50" s="148"/>
      <c r="DM50" s="148"/>
      <c r="DN50" s="148"/>
      <c r="DO50" s="148"/>
      <c r="DP50" s="148"/>
      <c r="DQ50" s="148"/>
      <c r="DR50" s="148"/>
      <c r="DS50" s="148"/>
      <c r="DT50" s="148"/>
      <c r="DU50" s="148"/>
      <c r="DV50" s="148"/>
      <c r="DW50" s="148"/>
      <c r="DX50" s="148"/>
      <c r="DY50" s="148"/>
      <c r="DZ50" s="148"/>
      <c r="EA50" s="148"/>
      <c r="EB50" s="148"/>
      <c r="EC50" s="148"/>
      <c r="ED50" s="148"/>
      <c r="EE50" s="148"/>
      <c r="EF50" s="148"/>
      <c r="EG50" s="148"/>
      <c r="EH50" s="148"/>
      <c r="EI50" s="148"/>
      <c r="EJ50" s="148"/>
      <c r="EK50" s="148"/>
      <c r="EL50" s="148"/>
      <c r="EM50" s="148"/>
      <c r="EN50" s="148"/>
      <c r="EO50" s="148"/>
      <c r="EP50" s="148"/>
      <c r="EQ50" s="148"/>
      <c r="ER50" s="148"/>
      <c r="ES50" s="148"/>
      <c r="ET50" s="148"/>
      <c r="EU50" s="148"/>
      <c r="EV50" s="148"/>
      <c r="EW50" s="148"/>
      <c r="EX50" s="148"/>
      <c r="EY50" s="148"/>
      <c r="EZ50" s="148"/>
      <c r="FA50" s="148"/>
      <c r="FB50" s="148"/>
      <c r="FC50" s="148"/>
      <c r="FD50" s="148"/>
      <c r="FE50" s="148"/>
      <c r="FF50" s="148"/>
      <c r="FG50" s="148"/>
      <c r="FH50" s="148"/>
      <c r="FI50" s="148"/>
      <c r="FJ50" s="148"/>
      <c r="FK50" s="148"/>
      <c r="FL50" s="148"/>
      <c r="FM50" s="148"/>
      <c r="FN50" s="148"/>
      <c r="FO50" s="148"/>
      <c r="FP50" s="148"/>
      <c r="FQ50" s="148"/>
      <c r="FR50" s="148"/>
      <c r="FS50" s="148"/>
      <c r="FT50" s="148"/>
      <c r="FU50" s="148"/>
      <c r="FV50" s="148"/>
      <c r="FW50" s="148"/>
      <c r="FX50" s="148"/>
      <c r="FY50" s="148"/>
      <c r="FZ50" s="148"/>
      <c r="GA50" s="148"/>
      <c r="GB50" s="148"/>
      <c r="GC50" s="148"/>
      <c r="GD50" s="148"/>
      <c r="GE50" s="148"/>
      <c r="GF50" s="148"/>
      <c r="GG50" s="148"/>
      <c r="GH50" s="148"/>
      <c r="GI50" s="148"/>
      <c r="GJ50" s="148"/>
      <c r="GK50" s="148"/>
      <c r="GL50" s="148"/>
      <c r="GM50" s="148"/>
      <c r="GN50" s="148"/>
      <c r="GO50" s="148"/>
      <c r="GP50" s="148"/>
      <c r="GQ50" s="148"/>
      <c r="GR50" s="148"/>
      <c r="GS50" s="148"/>
      <c r="GT50" s="148"/>
      <c r="GU50" s="148"/>
      <c r="GV50" s="148"/>
      <c r="GW50" s="148"/>
      <c r="GX50" s="148"/>
      <c r="GY50" s="148"/>
      <c r="GZ50" s="148"/>
      <c r="HA50" s="148"/>
      <c r="HB50" s="148"/>
      <c r="HC50" s="148"/>
      <c r="HD50" s="148"/>
      <c r="HE50" s="148"/>
      <c r="HF50" s="148"/>
      <c r="HG50" s="148"/>
      <c r="HH50" s="148"/>
      <c r="HI50" s="148"/>
      <c r="HJ50" s="148"/>
      <c r="HK50" s="148"/>
      <c r="HL50" s="148"/>
      <c r="HM50" s="148"/>
      <c r="HN50" s="148"/>
      <c r="HO50" s="148"/>
      <c r="HP50" s="148"/>
      <c r="HQ50" s="148"/>
      <c r="HR50" s="148"/>
      <c r="HS50" s="148"/>
      <c r="HT50" s="148"/>
      <c r="HU50" s="148"/>
      <c r="HV50" s="148"/>
      <c r="HW50" s="148"/>
      <c r="HX50" s="148"/>
      <c r="HY50" s="148"/>
      <c r="HZ50" s="148"/>
      <c r="IA50" s="148"/>
      <c r="IB50" s="148"/>
      <c r="IC50" s="148"/>
    </row>
    <row r="51" spans="1:237" s="15" customFormat="1" ht="22.5" x14ac:dyDescent="0.25">
      <c r="A51" s="148"/>
      <c r="B51" s="307">
        <v>36</v>
      </c>
      <c r="C51" s="307" t="s">
        <v>38</v>
      </c>
      <c r="D51" s="450">
        <v>30135429</v>
      </c>
      <c r="E51" s="577" t="s">
        <v>2909</v>
      </c>
      <c r="F51" s="577" t="s">
        <v>897</v>
      </c>
      <c r="G51" s="533" t="s">
        <v>1902</v>
      </c>
      <c r="H51" s="553" t="s">
        <v>2850</v>
      </c>
      <c r="I51" s="534" t="s">
        <v>43</v>
      </c>
      <c r="J51" s="535">
        <v>719930</v>
      </c>
      <c r="K51" s="535">
        <v>1081</v>
      </c>
      <c r="L51" s="535">
        <v>515415</v>
      </c>
      <c r="M51" s="535">
        <v>100000</v>
      </c>
      <c r="N51" s="454">
        <v>0</v>
      </c>
      <c r="O51" s="454">
        <v>0</v>
      </c>
      <c r="P51" s="535">
        <v>0</v>
      </c>
      <c r="Q51" s="535">
        <v>0</v>
      </c>
      <c r="R51" s="535">
        <v>0</v>
      </c>
      <c r="S51" s="535">
        <v>0</v>
      </c>
      <c r="T51" s="535"/>
      <c r="U51" s="535"/>
      <c r="V51" s="535"/>
      <c r="W51" s="535"/>
      <c r="X51" s="535"/>
      <c r="Y51" s="535"/>
      <c r="Z51" s="660">
        <f t="shared" si="2"/>
        <v>0</v>
      </c>
      <c r="AA51" s="554">
        <v>152792</v>
      </c>
      <c r="AB51" s="558">
        <v>2</v>
      </c>
      <c r="AC51" s="545">
        <v>44209</v>
      </c>
      <c r="AD51" s="542">
        <v>44249</v>
      </c>
      <c r="AE51" s="454"/>
      <c r="AF51" s="459"/>
      <c r="AG51" s="460"/>
      <c r="AH51" s="458"/>
      <c r="AI51" s="454"/>
      <c r="AJ51" s="456"/>
      <c r="AK51" s="460"/>
      <c r="AL51" s="458"/>
      <c r="AM51" s="454"/>
      <c r="AN51" s="456"/>
      <c r="AO51" s="460"/>
      <c r="AP51" s="458"/>
      <c r="AQ51" s="454"/>
      <c r="AR51" s="456"/>
      <c r="AS51" s="460"/>
      <c r="AT51" s="458"/>
      <c r="AU51" s="22">
        <f t="shared" si="0"/>
        <v>152792</v>
      </c>
      <c r="AV51" s="546">
        <f t="shared" si="1"/>
        <v>152792</v>
      </c>
      <c r="AW51" s="148"/>
      <c r="AX51" s="148"/>
      <c r="AY51" s="148"/>
      <c r="AZ51" s="148"/>
      <c r="BA51" s="148"/>
      <c r="BB51" s="148"/>
      <c r="BC51" s="148"/>
      <c r="BD51" s="148"/>
      <c r="BE51" s="148"/>
      <c r="BF51" s="148"/>
      <c r="BG51" s="148"/>
      <c r="BH51" s="148"/>
      <c r="BI51" s="148"/>
      <c r="BJ51" s="148"/>
      <c r="BK51" s="148"/>
      <c r="BL51" s="148"/>
      <c r="BM51" s="148"/>
      <c r="BN51" s="148"/>
      <c r="BO51" s="148"/>
      <c r="BP51" s="148"/>
      <c r="BQ51" s="148"/>
      <c r="BR51" s="148"/>
      <c r="BS51" s="148"/>
      <c r="BT51" s="148"/>
      <c r="BU51" s="148"/>
      <c r="BV51" s="148"/>
      <c r="BW51" s="148"/>
      <c r="BX51" s="148"/>
      <c r="BY51" s="148"/>
      <c r="BZ51" s="148"/>
      <c r="CA51" s="148"/>
      <c r="CB51" s="148"/>
      <c r="CC51" s="148"/>
      <c r="CD51" s="148"/>
      <c r="CE51" s="148"/>
      <c r="CF51" s="148"/>
      <c r="CG51" s="148"/>
      <c r="CH51" s="148"/>
      <c r="CI51" s="148"/>
      <c r="CJ51" s="148"/>
      <c r="CK51" s="148"/>
      <c r="CL51" s="148"/>
      <c r="CM51" s="148"/>
      <c r="CN51" s="148"/>
      <c r="CO51" s="148"/>
      <c r="CP51" s="148"/>
      <c r="CQ51" s="148"/>
      <c r="CR51" s="148"/>
      <c r="CS51" s="148"/>
      <c r="CT51" s="148"/>
      <c r="CU51" s="148"/>
      <c r="CV51" s="148"/>
      <c r="CW51" s="148"/>
      <c r="CX51" s="148"/>
      <c r="CY51" s="148"/>
      <c r="CZ51" s="148"/>
      <c r="DA51" s="148"/>
      <c r="DB51" s="148"/>
      <c r="DC51" s="148"/>
      <c r="DD51" s="148"/>
      <c r="DE51" s="148"/>
      <c r="DF51" s="148"/>
      <c r="DG51" s="148"/>
      <c r="DH51" s="148"/>
      <c r="DI51" s="148"/>
      <c r="DJ51" s="148"/>
      <c r="DK51" s="148"/>
      <c r="DL51" s="148"/>
      <c r="DM51" s="148"/>
      <c r="DN51" s="148"/>
      <c r="DO51" s="148"/>
      <c r="DP51" s="148"/>
      <c r="DQ51" s="148"/>
      <c r="DR51" s="148"/>
      <c r="DS51" s="148"/>
      <c r="DT51" s="148"/>
      <c r="DU51" s="148"/>
      <c r="DV51" s="148"/>
      <c r="DW51" s="148"/>
      <c r="DX51" s="148"/>
      <c r="DY51" s="148"/>
      <c r="DZ51" s="148"/>
      <c r="EA51" s="148"/>
      <c r="EB51" s="148"/>
      <c r="EC51" s="148"/>
      <c r="ED51" s="148"/>
      <c r="EE51" s="148"/>
      <c r="EF51" s="148"/>
      <c r="EG51" s="148"/>
      <c r="EH51" s="148"/>
      <c r="EI51" s="148"/>
      <c r="EJ51" s="148"/>
      <c r="EK51" s="148"/>
      <c r="EL51" s="148"/>
      <c r="EM51" s="148"/>
      <c r="EN51" s="148"/>
      <c r="EO51" s="148"/>
      <c r="EP51" s="148"/>
      <c r="EQ51" s="148"/>
      <c r="ER51" s="148"/>
      <c r="ES51" s="148"/>
      <c r="ET51" s="148"/>
      <c r="EU51" s="148"/>
      <c r="EV51" s="148"/>
      <c r="EW51" s="148"/>
      <c r="EX51" s="148"/>
      <c r="EY51" s="148"/>
      <c r="EZ51" s="148"/>
      <c r="FA51" s="148"/>
      <c r="FB51" s="148"/>
      <c r="FC51" s="148"/>
      <c r="FD51" s="148"/>
      <c r="FE51" s="148"/>
      <c r="FF51" s="148"/>
      <c r="FG51" s="148"/>
      <c r="FH51" s="148"/>
      <c r="FI51" s="148"/>
      <c r="FJ51" s="148"/>
      <c r="FK51" s="148"/>
      <c r="FL51" s="148"/>
      <c r="FM51" s="148"/>
      <c r="FN51" s="148"/>
      <c r="FO51" s="148"/>
      <c r="FP51" s="148"/>
      <c r="FQ51" s="148"/>
      <c r="FR51" s="148"/>
      <c r="FS51" s="148"/>
      <c r="FT51" s="148"/>
      <c r="FU51" s="148"/>
      <c r="FV51" s="148"/>
      <c r="FW51" s="148"/>
      <c r="FX51" s="148"/>
      <c r="FY51" s="148"/>
      <c r="FZ51" s="148"/>
      <c r="GA51" s="148"/>
      <c r="GB51" s="148"/>
      <c r="GC51" s="148"/>
      <c r="GD51" s="148"/>
      <c r="GE51" s="148"/>
      <c r="GF51" s="148"/>
      <c r="GG51" s="148"/>
      <c r="GH51" s="148"/>
      <c r="GI51" s="148"/>
      <c r="GJ51" s="148"/>
      <c r="GK51" s="148"/>
      <c r="GL51" s="148"/>
      <c r="GM51" s="148"/>
      <c r="GN51" s="148"/>
      <c r="GO51" s="148"/>
      <c r="GP51" s="148"/>
      <c r="GQ51" s="148"/>
      <c r="GR51" s="148"/>
      <c r="GS51" s="148"/>
      <c r="GT51" s="148"/>
      <c r="GU51" s="148"/>
      <c r="GV51" s="148"/>
      <c r="GW51" s="148"/>
      <c r="GX51" s="148"/>
      <c r="GY51" s="148"/>
      <c r="GZ51" s="148"/>
      <c r="HA51" s="148"/>
      <c r="HB51" s="148"/>
      <c r="HC51" s="148"/>
      <c r="HD51" s="148"/>
      <c r="HE51" s="148"/>
      <c r="HF51" s="148"/>
      <c r="HG51" s="148"/>
      <c r="HH51" s="148"/>
      <c r="HI51" s="148"/>
      <c r="HJ51" s="148"/>
      <c r="HK51" s="148"/>
      <c r="HL51" s="148"/>
      <c r="HM51" s="148"/>
      <c r="HN51" s="148"/>
      <c r="HO51" s="148"/>
      <c r="HP51" s="148"/>
      <c r="HQ51" s="148"/>
      <c r="HR51" s="148"/>
      <c r="HS51" s="148"/>
      <c r="HT51" s="148"/>
      <c r="HU51" s="148"/>
      <c r="HV51" s="148"/>
      <c r="HW51" s="148"/>
      <c r="HX51" s="148"/>
      <c r="HY51" s="148"/>
      <c r="HZ51" s="148"/>
      <c r="IA51" s="148"/>
      <c r="IB51" s="148"/>
      <c r="IC51" s="148"/>
    </row>
    <row r="52" spans="1:237" s="15" customFormat="1" x14ac:dyDescent="0.25">
      <c r="A52" s="148"/>
      <c r="B52" s="307">
        <v>37</v>
      </c>
      <c r="C52" s="307" t="s">
        <v>38</v>
      </c>
      <c r="D52" s="450">
        <v>30298074</v>
      </c>
      <c r="E52" s="577" t="s">
        <v>2910</v>
      </c>
      <c r="F52" s="577" t="s">
        <v>897</v>
      </c>
      <c r="G52" s="533" t="s">
        <v>1902</v>
      </c>
      <c r="H52" s="553" t="s">
        <v>2872</v>
      </c>
      <c r="I52" s="534" t="s">
        <v>42</v>
      </c>
      <c r="J52" s="535">
        <v>1170990</v>
      </c>
      <c r="K52" s="535">
        <v>73149</v>
      </c>
      <c r="L52" s="535">
        <v>372119</v>
      </c>
      <c r="M52" s="535">
        <v>0</v>
      </c>
      <c r="N52" s="454">
        <v>0</v>
      </c>
      <c r="O52" s="454">
        <v>229378.87400000001</v>
      </c>
      <c r="P52" s="535">
        <v>210497.51199999999</v>
      </c>
      <c r="Q52" s="535">
        <f>45230612/1000</f>
        <v>45230.612000000001</v>
      </c>
      <c r="R52" s="535">
        <f>87110498/1000</f>
        <v>87110.498000000007</v>
      </c>
      <c r="S52" s="535">
        <f>51416615/1000</f>
        <v>51416.614999999998</v>
      </c>
      <c r="T52" s="535"/>
      <c r="U52" s="535"/>
      <c r="V52" s="535"/>
      <c r="W52" s="535"/>
      <c r="X52" s="535"/>
      <c r="Y52" s="535"/>
      <c r="Z52" s="660">
        <f t="shared" si="2"/>
        <v>623634.11100000003</v>
      </c>
      <c r="AA52" s="554">
        <v>700000</v>
      </c>
      <c r="AB52" s="558">
        <v>2</v>
      </c>
      <c r="AC52" s="545">
        <v>44209</v>
      </c>
      <c r="AD52" s="542">
        <v>44249</v>
      </c>
      <c r="AE52" s="454"/>
      <c r="AF52" s="459"/>
      <c r="AG52" s="460"/>
      <c r="AH52" s="458"/>
      <c r="AI52" s="454"/>
      <c r="AJ52" s="456"/>
      <c r="AK52" s="460"/>
      <c r="AL52" s="458"/>
      <c r="AM52" s="454"/>
      <c r="AN52" s="456"/>
      <c r="AO52" s="460"/>
      <c r="AP52" s="458"/>
      <c r="AQ52" s="454"/>
      <c r="AR52" s="456"/>
      <c r="AS52" s="460"/>
      <c r="AT52" s="458"/>
      <c r="AU52" s="22">
        <f t="shared" si="0"/>
        <v>700000</v>
      </c>
      <c r="AV52" s="546">
        <f t="shared" si="1"/>
        <v>76365.888999999966</v>
      </c>
      <c r="AW52" s="148"/>
      <c r="AX52" s="148"/>
      <c r="AY52" s="148"/>
      <c r="AZ52" s="148"/>
      <c r="BA52" s="148"/>
      <c r="BB52" s="148"/>
      <c r="BC52" s="148"/>
      <c r="BD52" s="148"/>
      <c r="BE52" s="148"/>
      <c r="BF52" s="148"/>
      <c r="BG52" s="148"/>
      <c r="BH52" s="148"/>
      <c r="BI52" s="148"/>
      <c r="BJ52" s="148"/>
      <c r="BK52" s="148"/>
      <c r="BL52" s="148"/>
      <c r="BM52" s="148"/>
      <c r="BN52" s="148"/>
      <c r="BO52" s="148"/>
      <c r="BP52" s="148"/>
      <c r="BQ52" s="148"/>
      <c r="BR52" s="148"/>
      <c r="BS52" s="148"/>
      <c r="BT52" s="148"/>
      <c r="BU52" s="148"/>
      <c r="BV52" s="148"/>
      <c r="BW52" s="148"/>
      <c r="BX52" s="148"/>
      <c r="BY52" s="148"/>
      <c r="BZ52" s="148"/>
      <c r="CA52" s="148"/>
      <c r="CB52" s="148"/>
      <c r="CC52" s="148"/>
      <c r="CD52" s="148"/>
      <c r="CE52" s="148"/>
      <c r="CF52" s="148"/>
      <c r="CG52" s="148"/>
      <c r="CH52" s="148"/>
      <c r="CI52" s="148"/>
      <c r="CJ52" s="148"/>
      <c r="CK52" s="148"/>
      <c r="CL52" s="148"/>
      <c r="CM52" s="148"/>
      <c r="CN52" s="148"/>
      <c r="CO52" s="148"/>
      <c r="CP52" s="148"/>
      <c r="CQ52" s="148"/>
      <c r="CR52" s="148"/>
      <c r="CS52" s="148"/>
      <c r="CT52" s="148"/>
      <c r="CU52" s="148"/>
      <c r="CV52" s="148"/>
      <c r="CW52" s="148"/>
      <c r="CX52" s="148"/>
      <c r="CY52" s="148"/>
      <c r="CZ52" s="148"/>
      <c r="DA52" s="148"/>
      <c r="DB52" s="148"/>
      <c r="DC52" s="148"/>
      <c r="DD52" s="148"/>
      <c r="DE52" s="148"/>
      <c r="DF52" s="148"/>
      <c r="DG52" s="148"/>
      <c r="DH52" s="148"/>
      <c r="DI52" s="148"/>
      <c r="DJ52" s="148"/>
      <c r="DK52" s="148"/>
      <c r="DL52" s="148"/>
      <c r="DM52" s="148"/>
      <c r="DN52" s="148"/>
      <c r="DO52" s="148"/>
      <c r="DP52" s="148"/>
      <c r="DQ52" s="148"/>
      <c r="DR52" s="148"/>
      <c r="DS52" s="148"/>
      <c r="DT52" s="148"/>
      <c r="DU52" s="148"/>
      <c r="DV52" s="148"/>
      <c r="DW52" s="148"/>
      <c r="DX52" s="148"/>
      <c r="DY52" s="148"/>
      <c r="DZ52" s="148"/>
      <c r="EA52" s="148"/>
      <c r="EB52" s="148"/>
      <c r="EC52" s="148"/>
      <c r="ED52" s="148"/>
      <c r="EE52" s="148"/>
      <c r="EF52" s="148"/>
      <c r="EG52" s="148"/>
      <c r="EH52" s="148"/>
      <c r="EI52" s="148"/>
      <c r="EJ52" s="148"/>
      <c r="EK52" s="148"/>
      <c r="EL52" s="148"/>
      <c r="EM52" s="148"/>
      <c r="EN52" s="148"/>
      <c r="EO52" s="148"/>
      <c r="EP52" s="148"/>
      <c r="EQ52" s="148"/>
      <c r="ER52" s="148"/>
      <c r="ES52" s="148"/>
      <c r="ET52" s="148"/>
      <c r="EU52" s="148"/>
      <c r="EV52" s="148"/>
      <c r="EW52" s="148"/>
      <c r="EX52" s="148"/>
      <c r="EY52" s="148"/>
      <c r="EZ52" s="148"/>
      <c r="FA52" s="148"/>
      <c r="FB52" s="148"/>
      <c r="FC52" s="148"/>
      <c r="FD52" s="148"/>
      <c r="FE52" s="148"/>
      <c r="FF52" s="148"/>
      <c r="FG52" s="148"/>
      <c r="FH52" s="148"/>
      <c r="FI52" s="148"/>
      <c r="FJ52" s="148"/>
      <c r="FK52" s="148"/>
      <c r="FL52" s="148"/>
      <c r="FM52" s="148"/>
      <c r="FN52" s="148"/>
      <c r="FO52" s="148"/>
      <c r="FP52" s="148"/>
      <c r="FQ52" s="148"/>
      <c r="FR52" s="148"/>
      <c r="FS52" s="148"/>
      <c r="FT52" s="148"/>
      <c r="FU52" s="148"/>
      <c r="FV52" s="148"/>
      <c r="FW52" s="148"/>
      <c r="FX52" s="148"/>
      <c r="FY52" s="148"/>
      <c r="FZ52" s="148"/>
      <c r="GA52" s="148"/>
      <c r="GB52" s="148"/>
      <c r="GC52" s="148"/>
      <c r="GD52" s="148"/>
      <c r="GE52" s="148"/>
      <c r="GF52" s="148"/>
      <c r="GG52" s="148"/>
      <c r="GH52" s="148"/>
      <c r="GI52" s="148"/>
      <c r="GJ52" s="148"/>
      <c r="GK52" s="148"/>
      <c r="GL52" s="148"/>
      <c r="GM52" s="148"/>
      <c r="GN52" s="148"/>
      <c r="GO52" s="148"/>
      <c r="GP52" s="148"/>
      <c r="GQ52" s="148"/>
      <c r="GR52" s="148"/>
      <c r="GS52" s="148"/>
      <c r="GT52" s="148"/>
      <c r="GU52" s="148"/>
      <c r="GV52" s="148"/>
      <c r="GW52" s="148"/>
      <c r="GX52" s="148"/>
      <c r="GY52" s="148"/>
      <c r="GZ52" s="148"/>
      <c r="HA52" s="148"/>
      <c r="HB52" s="148"/>
      <c r="HC52" s="148"/>
      <c r="HD52" s="148"/>
      <c r="HE52" s="148"/>
      <c r="HF52" s="148"/>
      <c r="HG52" s="148"/>
      <c r="HH52" s="148"/>
      <c r="HI52" s="148"/>
      <c r="HJ52" s="148"/>
      <c r="HK52" s="148"/>
      <c r="HL52" s="148"/>
      <c r="HM52" s="148"/>
      <c r="HN52" s="148"/>
      <c r="HO52" s="148"/>
      <c r="HP52" s="148"/>
      <c r="HQ52" s="148"/>
      <c r="HR52" s="148"/>
      <c r="HS52" s="148"/>
      <c r="HT52" s="148"/>
      <c r="HU52" s="148"/>
      <c r="HV52" s="148"/>
      <c r="HW52" s="148"/>
      <c r="HX52" s="148"/>
      <c r="HY52" s="148"/>
      <c r="HZ52" s="148"/>
      <c r="IA52" s="148"/>
      <c r="IB52" s="148"/>
      <c r="IC52" s="148"/>
    </row>
    <row r="53" spans="1:237" s="15" customFormat="1" ht="22.5" x14ac:dyDescent="0.25">
      <c r="A53" s="148"/>
      <c r="B53" s="307">
        <v>38</v>
      </c>
      <c r="C53" s="307" t="s">
        <v>38</v>
      </c>
      <c r="D53" s="450">
        <v>30395225</v>
      </c>
      <c r="E53" s="577" t="s">
        <v>2911</v>
      </c>
      <c r="F53" s="577" t="s">
        <v>204</v>
      </c>
      <c r="G53" s="533" t="s">
        <v>1902</v>
      </c>
      <c r="H53" s="553" t="s">
        <v>2902</v>
      </c>
      <c r="I53" s="534" t="s">
        <v>43</v>
      </c>
      <c r="J53" s="535">
        <v>164476</v>
      </c>
      <c r="K53" s="535">
        <v>5746</v>
      </c>
      <c r="L53" s="535">
        <v>108036</v>
      </c>
      <c r="M53" s="535">
        <v>76782</v>
      </c>
      <c r="N53" s="454">
        <v>0</v>
      </c>
      <c r="O53" s="454">
        <v>14300</v>
      </c>
      <c r="P53" s="535">
        <v>0</v>
      </c>
      <c r="Q53" s="535">
        <v>0</v>
      </c>
      <c r="R53" s="535">
        <v>0</v>
      </c>
      <c r="S53" s="535">
        <v>0</v>
      </c>
      <c r="T53" s="535"/>
      <c r="U53" s="535"/>
      <c r="V53" s="535"/>
      <c r="W53" s="535"/>
      <c r="X53" s="535"/>
      <c r="Y53" s="535"/>
      <c r="Z53" s="660">
        <f t="shared" si="2"/>
        <v>14300</v>
      </c>
      <c r="AA53" s="554">
        <v>43000</v>
      </c>
      <c r="AB53" s="558">
        <v>2</v>
      </c>
      <c r="AC53" s="545">
        <v>44209</v>
      </c>
      <c r="AD53" s="542">
        <v>44249</v>
      </c>
      <c r="AE53" s="454"/>
      <c r="AF53" s="459"/>
      <c r="AG53" s="460"/>
      <c r="AH53" s="458"/>
      <c r="AI53" s="454"/>
      <c r="AJ53" s="456"/>
      <c r="AK53" s="460"/>
      <c r="AL53" s="458"/>
      <c r="AM53" s="454"/>
      <c r="AN53" s="456"/>
      <c r="AO53" s="460"/>
      <c r="AP53" s="458"/>
      <c r="AQ53" s="454"/>
      <c r="AR53" s="456"/>
      <c r="AS53" s="460"/>
      <c r="AT53" s="458"/>
      <c r="AU53" s="22">
        <f t="shared" si="0"/>
        <v>43000</v>
      </c>
      <c r="AV53" s="546">
        <f t="shared" si="1"/>
        <v>28700</v>
      </c>
      <c r="AW53" s="148"/>
      <c r="AX53" s="148"/>
      <c r="AY53" s="148"/>
      <c r="AZ53" s="148"/>
      <c r="BA53" s="148"/>
      <c r="BB53" s="148"/>
      <c r="BC53" s="148"/>
      <c r="BD53" s="148"/>
      <c r="BE53" s="148"/>
      <c r="BF53" s="148"/>
      <c r="BG53" s="148"/>
      <c r="BH53" s="148"/>
      <c r="BI53" s="148"/>
      <c r="BJ53" s="148"/>
      <c r="BK53" s="148"/>
      <c r="BL53" s="148"/>
      <c r="BM53" s="148"/>
      <c r="BN53" s="148"/>
      <c r="BO53" s="148"/>
      <c r="BP53" s="148"/>
      <c r="BQ53" s="148"/>
      <c r="BR53" s="148"/>
      <c r="BS53" s="148"/>
      <c r="BT53" s="148"/>
      <c r="BU53" s="148"/>
      <c r="BV53" s="148"/>
      <c r="BW53" s="148"/>
      <c r="BX53" s="148"/>
      <c r="BY53" s="148"/>
      <c r="BZ53" s="148"/>
      <c r="CA53" s="148"/>
      <c r="CB53" s="148"/>
      <c r="CC53" s="148"/>
      <c r="CD53" s="148"/>
      <c r="CE53" s="148"/>
      <c r="CF53" s="148"/>
      <c r="CG53" s="148"/>
      <c r="CH53" s="148"/>
      <c r="CI53" s="148"/>
      <c r="CJ53" s="148"/>
      <c r="CK53" s="148"/>
      <c r="CL53" s="148"/>
      <c r="CM53" s="148"/>
      <c r="CN53" s="148"/>
      <c r="CO53" s="148"/>
      <c r="CP53" s="148"/>
      <c r="CQ53" s="148"/>
      <c r="CR53" s="148"/>
      <c r="CS53" s="148"/>
      <c r="CT53" s="148"/>
      <c r="CU53" s="148"/>
      <c r="CV53" s="148"/>
      <c r="CW53" s="148"/>
      <c r="CX53" s="148"/>
      <c r="CY53" s="148"/>
      <c r="CZ53" s="148"/>
      <c r="DA53" s="148"/>
      <c r="DB53" s="148"/>
      <c r="DC53" s="148"/>
      <c r="DD53" s="148"/>
      <c r="DE53" s="148"/>
      <c r="DF53" s="148"/>
      <c r="DG53" s="148"/>
      <c r="DH53" s="148"/>
      <c r="DI53" s="148"/>
      <c r="DJ53" s="148"/>
      <c r="DK53" s="148"/>
      <c r="DL53" s="148"/>
      <c r="DM53" s="148"/>
      <c r="DN53" s="148"/>
      <c r="DO53" s="148"/>
      <c r="DP53" s="148"/>
      <c r="DQ53" s="148"/>
      <c r="DR53" s="148"/>
      <c r="DS53" s="148"/>
      <c r="DT53" s="148"/>
      <c r="DU53" s="148"/>
      <c r="DV53" s="148"/>
      <c r="DW53" s="148"/>
      <c r="DX53" s="148"/>
      <c r="DY53" s="148"/>
      <c r="DZ53" s="148"/>
      <c r="EA53" s="148"/>
      <c r="EB53" s="148"/>
      <c r="EC53" s="148"/>
      <c r="ED53" s="148"/>
      <c r="EE53" s="148"/>
      <c r="EF53" s="148"/>
      <c r="EG53" s="148"/>
      <c r="EH53" s="148"/>
      <c r="EI53" s="148"/>
      <c r="EJ53" s="148"/>
      <c r="EK53" s="148"/>
      <c r="EL53" s="148"/>
      <c r="EM53" s="148"/>
      <c r="EN53" s="148"/>
      <c r="EO53" s="148"/>
      <c r="EP53" s="148"/>
      <c r="EQ53" s="148"/>
      <c r="ER53" s="148"/>
      <c r="ES53" s="148"/>
      <c r="ET53" s="148"/>
      <c r="EU53" s="148"/>
      <c r="EV53" s="148"/>
      <c r="EW53" s="148"/>
      <c r="EX53" s="148"/>
      <c r="EY53" s="148"/>
      <c r="EZ53" s="148"/>
      <c r="FA53" s="148"/>
      <c r="FB53" s="148"/>
      <c r="FC53" s="148"/>
      <c r="FD53" s="148"/>
      <c r="FE53" s="148"/>
      <c r="FF53" s="148"/>
      <c r="FG53" s="148"/>
      <c r="FH53" s="148"/>
      <c r="FI53" s="148"/>
      <c r="FJ53" s="148"/>
      <c r="FK53" s="148"/>
      <c r="FL53" s="148"/>
      <c r="FM53" s="148"/>
      <c r="FN53" s="148"/>
      <c r="FO53" s="148"/>
      <c r="FP53" s="148"/>
      <c r="FQ53" s="148"/>
      <c r="FR53" s="148"/>
      <c r="FS53" s="148"/>
      <c r="FT53" s="148"/>
      <c r="FU53" s="148"/>
      <c r="FV53" s="148"/>
      <c r="FW53" s="148"/>
      <c r="FX53" s="148"/>
      <c r="FY53" s="148"/>
      <c r="FZ53" s="148"/>
      <c r="GA53" s="148"/>
      <c r="GB53" s="148"/>
      <c r="GC53" s="148"/>
      <c r="GD53" s="148"/>
      <c r="GE53" s="148"/>
      <c r="GF53" s="148"/>
      <c r="GG53" s="148"/>
      <c r="GH53" s="148"/>
      <c r="GI53" s="148"/>
      <c r="GJ53" s="148"/>
      <c r="GK53" s="148"/>
      <c r="GL53" s="148"/>
      <c r="GM53" s="148"/>
      <c r="GN53" s="148"/>
      <c r="GO53" s="148"/>
      <c r="GP53" s="148"/>
      <c r="GQ53" s="148"/>
      <c r="GR53" s="148"/>
      <c r="GS53" s="148"/>
      <c r="GT53" s="148"/>
      <c r="GU53" s="148"/>
      <c r="GV53" s="148"/>
      <c r="GW53" s="148"/>
      <c r="GX53" s="148"/>
      <c r="GY53" s="148"/>
      <c r="GZ53" s="148"/>
      <c r="HA53" s="148"/>
      <c r="HB53" s="148"/>
      <c r="HC53" s="148"/>
      <c r="HD53" s="148"/>
      <c r="HE53" s="148"/>
      <c r="HF53" s="148"/>
      <c r="HG53" s="148"/>
      <c r="HH53" s="148"/>
      <c r="HI53" s="148"/>
      <c r="HJ53" s="148"/>
      <c r="HK53" s="148"/>
      <c r="HL53" s="148"/>
      <c r="HM53" s="148"/>
      <c r="HN53" s="148"/>
      <c r="HO53" s="148"/>
      <c r="HP53" s="148"/>
      <c r="HQ53" s="148"/>
      <c r="HR53" s="148"/>
      <c r="HS53" s="148"/>
      <c r="HT53" s="148"/>
      <c r="HU53" s="148"/>
      <c r="HV53" s="148"/>
      <c r="HW53" s="148"/>
      <c r="HX53" s="148"/>
      <c r="HY53" s="148"/>
      <c r="HZ53" s="148"/>
      <c r="IA53" s="148"/>
      <c r="IB53" s="148"/>
      <c r="IC53" s="148"/>
    </row>
    <row r="54" spans="1:237" s="15" customFormat="1" ht="22.5" x14ac:dyDescent="0.25">
      <c r="A54" s="148"/>
      <c r="B54" s="307">
        <v>39</v>
      </c>
      <c r="C54" s="307" t="s">
        <v>38</v>
      </c>
      <c r="D54" s="450">
        <v>30396674</v>
      </c>
      <c r="E54" s="577" t="s">
        <v>2912</v>
      </c>
      <c r="F54" s="577" t="s">
        <v>204</v>
      </c>
      <c r="G54" s="533" t="s">
        <v>1902</v>
      </c>
      <c r="H54" s="553" t="s">
        <v>2890</v>
      </c>
      <c r="I54" s="534" t="s">
        <v>42</v>
      </c>
      <c r="J54" s="535">
        <v>288882</v>
      </c>
      <c r="K54" s="535">
        <v>248513</v>
      </c>
      <c r="L54" s="535">
        <v>31559</v>
      </c>
      <c r="M54" s="535">
        <v>0</v>
      </c>
      <c r="N54" s="454">
        <v>0</v>
      </c>
      <c r="O54" s="454">
        <v>0</v>
      </c>
      <c r="P54" s="535">
        <v>0</v>
      </c>
      <c r="Q54" s="535">
        <v>0</v>
      </c>
      <c r="R54" s="535">
        <v>0</v>
      </c>
      <c r="S54" s="535">
        <f>40368960/1000</f>
        <v>40368.959999999999</v>
      </c>
      <c r="T54" s="535"/>
      <c r="U54" s="535"/>
      <c r="V54" s="535"/>
      <c r="W54" s="535"/>
      <c r="X54" s="535"/>
      <c r="Y54" s="535"/>
      <c r="Z54" s="660">
        <f t="shared" si="2"/>
        <v>40368.959999999999</v>
      </c>
      <c r="AA54" s="554">
        <v>40369</v>
      </c>
      <c r="AB54" s="558">
        <v>2</v>
      </c>
      <c r="AC54" s="545">
        <v>44209</v>
      </c>
      <c r="AD54" s="542">
        <v>44249</v>
      </c>
      <c r="AE54" s="454"/>
      <c r="AF54" s="459"/>
      <c r="AG54" s="460"/>
      <c r="AH54" s="458"/>
      <c r="AI54" s="454"/>
      <c r="AJ54" s="456"/>
      <c r="AK54" s="460"/>
      <c r="AL54" s="458"/>
      <c r="AM54" s="454"/>
      <c r="AN54" s="456"/>
      <c r="AO54" s="460"/>
      <c r="AP54" s="458"/>
      <c r="AQ54" s="454"/>
      <c r="AR54" s="456"/>
      <c r="AS54" s="460"/>
      <c r="AT54" s="458"/>
      <c r="AU54" s="22">
        <f t="shared" si="0"/>
        <v>40369</v>
      </c>
      <c r="AV54" s="546">
        <f t="shared" si="1"/>
        <v>4.0000000000873115E-2</v>
      </c>
      <c r="AW54" s="148"/>
      <c r="AX54" s="148"/>
      <c r="AY54" s="148"/>
      <c r="AZ54" s="148"/>
      <c r="BA54" s="148"/>
      <c r="BB54" s="148"/>
      <c r="BC54" s="148"/>
      <c r="BD54" s="148"/>
      <c r="BE54" s="148"/>
      <c r="BF54" s="148"/>
      <c r="BG54" s="148"/>
      <c r="BH54" s="148"/>
      <c r="BI54" s="148"/>
      <c r="BJ54" s="148"/>
      <c r="BK54" s="148"/>
      <c r="BL54" s="148"/>
      <c r="BM54" s="148"/>
      <c r="BN54" s="148"/>
      <c r="BO54" s="148"/>
      <c r="BP54" s="148"/>
      <c r="BQ54" s="148"/>
      <c r="BR54" s="148"/>
      <c r="BS54" s="148"/>
      <c r="BT54" s="148"/>
      <c r="BU54" s="148"/>
      <c r="BV54" s="148"/>
      <c r="BW54" s="148"/>
      <c r="BX54" s="148"/>
      <c r="BY54" s="148"/>
      <c r="BZ54" s="148"/>
      <c r="CA54" s="148"/>
      <c r="CB54" s="148"/>
      <c r="CC54" s="148"/>
      <c r="CD54" s="148"/>
      <c r="CE54" s="148"/>
      <c r="CF54" s="148"/>
      <c r="CG54" s="148"/>
      <c r="CH54" s="148"/>
      <c r="CI54" s="148"/>
      <c r="CJ54" s="148"/>
      <c r="CK54" s="148"/>
      <c r="CL54" s="148"/>
      <c r="CM54" s="148"/>
      <c r="CN54" s="148"/>
      <c r="CO54" s="148"/>
      <c r="CP54" s="148"/>
      <c r="CQ54" s="148"/>
      <c r="CR54" s="148"/>
      <c r="CS54" s="148"/>
      <c r="CT54" s="148"/>
      <c r="CU54" s="148"/>
      <c r="CV54" s="148"/>
      <c r="CW54" s="148"/>
      <c r="CX54" s="148"/>
      <c r="CY54" s="148"/>
      <c r="CZ54" s="148"/>
      <c r="DA54" s="148"/>
      <c r="DB54" s="148"/>
      <c r="DC54" s="148"/>
      <c r="DD54" s="148"/>
      <c r="DE54" s="148"/>
      <c r="DF54" s="148"/>
      <c r="DG54" s="148"/>
      <c r="DH54" s="148"/>
      <c r="DI54" s="148"/>
      <c r="DJ54" s="148"/>
      <c r="DK54" s="148"/>
      <c r="DL54" s="148"/>
      <c r="DM54" s="148"/>
      <c r="DN54" s="148"/>
      <c r="DO54" s="148"/>
      <c r="DP54" s="148"/>
      <c r="DQ54" s="148"/>
      <c r="DR54" s="148"/>
      <c r="DS54" s="148"/>
      <c r="DT54" s="148"/>
      <c r="DU54" s="148"/>
      <c r="DV54" s="148"/>
      <c r="DW54" s="148"/>
      <c r="DX54" s="148"/>
      <c r="DY54" s="148"/>
      <c r="DZ54" s="148"/>
      <c r="EA54" s="148"/>
      <c r="EB54" s="148"/>
      <c r="EC54" s="148"/>
      <c r="ED54" s="148"/>
      <c r="EE54" s="148"/>
      <c r="EF54" s="148"/>
      <c r="EG54" s="148"/>
      <c r="EH54" s="148"/>
      <c r="EI54" s="148"/>
      <c r="EJ54" s="148"/>
      <c r="EK54" s="148"/>
      <c r="EL54" s="148"/>
      <c r="EM54" s="148"/>
      <c r="EN54" s="148"/>
      <c r="EO54" s="148"/>
      <c r="EP54" s="148"/>
      <c r="EQ54" s="148"/>
      <c r="ER54" s="148"/>
      <c r="ES54" s="148"/>
      <c r="ET54" s="148"/>
      <c r="EU54" s="148"/>
      <c r="EV54" s="148"/>
      <c r="EW54" s="148"/>
      <c r="EX54" s="148"/>
      <c r="EY54" s="148"/>
      <c r="EZ54" s="148"/>
      <c r="FA54" s="148"/>
      <c r="FB54" s="148"/>
      <c r="FC54" s="148"/>
      <c r="FD54" s="148"/>
      <c r="FE54" s="148"/>
      <c r="FF54" s="148"/>
      <c r="FG54" s="148"/>
      <c r="FH54" s="148"/>
      <c r="FI54" s="148"/>
      <c r="FJ54" s="148"/>
      <c r="FK54" s="148"/>
      <c r="FL54" s="148"/>
      <c r="FM54" s="148"/>
      <c r="FN54" s="148"/>
      <c r="FO54" s="148"/>
      <c r="FP54" s="148"/>
      <c r="FQ54" s="148"/>
      <c r="FR54" s="148"/>
      <c r="FS54" s="148"/>
      <c r="FT54" s="148"/>
      <c r="FU54" s="148"/>
      <c r="FV54" s="148"/>
      <c r="FW54" s="148"/>
      <c r="FX54" s="148"/>
      <c r="FY54" s="148"/>
      <c r="FZ54" s="148"/>
      <c r="GA54" s="148"/>
      <c r="GB54" s="148"/>
      <c r="GC54" s="148"/>
      <c r="GD54" s="148"/>
      <c r="GE54" s="148"/>
      <c r="GF54" s="148"/>
      <c r="GG54" s="148"/>
      <c r="GH54" s="148"/>
      <c r="GI54" s="148"/>
      <c r="GJ54" s="148"/>
      <c r="GK54" s="148"/>
      <c r="GL54" s="148"/>
      <c r="GM54" s="148"/>
      <c r="GN54" s="148"/>
      <c r="GO54" s="148"/>
      <c r="GP54" s="148"/>
      <c r="GQ54" s="148"/>
      <c r="GR54" s="148"/>
      <c r="GS54" s="148"/>
      <c r="GT54" s="148"/>
      <c r="GU54" s="148"/>
      <c r="GV54" s="148"/>
      <c r="GW54" s="148"/>
      <c r="GX54" s="148"/>
      <c r="GY54" s="148"/>
      <c r="GZ54" s="148"/>
      <c r="HA54" s="148"/>
      <c r="HB54" s="148"/>
      <c r="HC54" s="148"/>
      <c r="HD54" s="148"/>
      <c r="HE54" s="148"/>
      <c r="HF54" s="148"/>
      <c r="HG54" s="148"/>
      <c r="HH54" s="148"/>
      <c r="HI54" s="148"/>
      <c r="HJ54" s="148"/>
      <c r="HK54" s="148"/>
      <c r="HL54" s="148"/>
      <c r="HM54" s="148"/>
      <c r="HN54" s="148"/>
      <c r="HO54" s="148"/>
      <c r="HP54" s="148"/>
      <c r="HQ54" s="148"/>
      <c r="HR54" s="148"/>
      <c r="HS54" s="148"/>
      <c r="HT54" s="148"/>
      <c r="HU54" s="148"/>
      <c r="HV54" s="148"/>
      <c r="HW54" s="148"/>
      <c r="HX54" s="148"/>
      <c r="HY54" s="148"/>
      <c r="HZ54" s="148"/>
      <c r="IA54" s="148"/>
      <c r="IB54" s="148"/>
      <c r="IC54" s="148"/>
    </row>
    <row r="55" spans="1:237" s="15" customFormat="1" ht="22.5" x14ac:dyDescent="0.25">
      <c r="A55" s="148"/>
      <c r="B55" s="307">
        <v>40</v>
      </c>
      <c r="C55" s="307" t="s">
        <v>38</v>
      </c>
      <c r="D55" s="450">
        <v>30434978</v>
      </c>
      <c r="E55" s="577" t="s">
        <v>2913</v>
      </c>
      <c r="F55" s="577" t="s">
        <v>897</v>
      </c>
      <c r="G55" s="533" t="s">
        <v>1902</v>
      </c>
      <c r="H55" s="553" t="s">
        <v>2865</v>
      </c>
      <c r="I55" s="534" t="s">
        <v>42</v>
      </c>
      <c r="J55" s="535">
        <v>1519025</v>
      </c>
      <c r="K55" s="535">
        <v>1173316</v>
      </c>
      <c r="L55" s="535">
        <v>0</v>
      </c>
      <c r="M55" s="535">
        <v>0</v>
      </c>
      <c r="N55" s="454">
        <v>0</v>
      </c>
      <c r="O55" s="454">
        <v>144470.71799999999</v>
      </c>
      <c r="P55" s="535">
        <v>0</v>
      </c>
      <c r="Q55" s="535">
        <v>0</v>
      </c>
      <c r="R55" s="535">
        <v>0</v>
      </c>
      <c r="S55" s="535">
        <v>0</v>
      </c>
      <c r="T55" s="535"/>
      <c r="U55" s="535"/>
      <c r="V55" s="535"/>
      <c r="W55" s="535"/>
      <c r="X55" s="535"/>
      <c r="Y55" s="535"/>
      <c r="Z55" s="660">
        <f t="shared" si="2"/>
        <v>144470.71799999999</v>
      </c>
      <c r="AA55" s="554">
        <v>345709</v>
      </c>
      <c r="AB55" s="558">
        <v>2</v>
      </c>
      <c r="AC55" s="545">
        <v>44209</v>
      </c>
      <c r="AD55" s="542">
        <v>44249</v>
      </c>
      <c r="AE55" s="454"/>
      <c r="AF55" s="459"/>
      <c r="AG55" s="460"/>
      <c r="AH55" s="458"/>
      <c r="AI55" s="454"/>
      <c r="AJ55" s="456"/>
      <c r="AK55" s="460"/>
      <c r="AL55" s="458"/>
      <c r="AM55" s="454"/>
      <c r="AN55" s="456"/>
      <c r="AO55" s="460"/>
      <c r="AP55" s="458"/>
      <c r="AQ55" s="454"/>
      <c r="AR55" s="456"/>
      <c r="AS55" s="460"/>
      <c r="AT55" s="458"/>
      <c r="AU55" s="22">
        <f t="shared" si="0"/>
        <v>345709</v>
      </c>
      <c r="AV55" s="546">
        <f t="shared" si="1"/>
        <v>201238.28200000001</v>
      </c>
      <c r="AW55" s="148"/>
      <c r="AX55" s="148"/>
      <c r="AY55" s="148"/>
      <c r="AZ55" s="148"/>
      <c r="BA55" s="148"/>
      <c r="BB55" s="148"/>
      <c r="BC55" s="148"/>
      <c r="BD55" s="148"/>
      <c r="BE55" s="148"/>
      <c r="BF55" s="148"/>
      <c r="BG55" s="148"/>
      <c r="BH55" s="148"/>
      <c r="BI55" s="148"/>
      <c r="BJ55" s="148"/>
      <c r="BK55" s="148"/>
      <c r="BL55" s="148"/>
      <c r="BM55" s="148"/>
      <c r="BN55" s="148"/>
      <c r="BO55" s="148"/>
      <c r="BP55" s="148"/>
      <c r="BQ55" s="148"/>
      <c r="BR55" s="148"/>
      <c r="BS55" s="148"/>
      <c r="BT55" s="148"/>
      <c r="BU55" s="148"/>
      <c r="BV55" s="148"/>
      <c r="BW55" s="148"/>
      <c r="BX55" s="148"/>
      <c r="BY55" s="148"/>
      <c r="BZ55" s="148"/>
      <c r="CA55" s="148"/>
      <c r="CB55" s="148"/>
      <c r="CC55" s="148"/>
      <c r="CD55" s="148"/>
      <c r="CE55" s="148"/>
      <c r="CF55" s="148"/>
      <c r="CG55" s="148"/>
      <c r="CH55" s="148"/>
      <c r="CI55" s="148"/>
      <c r="CJ55" s="148"/>
      <c r="CK55" s="148"/>
      <c r="CL55" s="148"/>
      <c r="CM55" s="148"/>
      <c r="CN55" s="148"/>
      <c r="CO55" s="148"/>
      <c r="CP55" s="148"/>
      <c r="CQ55" s="148"/>
      <c r="CR55" s="148"/>
      <c r="CS55" s="148"/>
      <c r="CT55" s="148"/>
      <c r="CU55" s="148"/>
      <c r="CV55" s="148"/>
      <c r="CW55" s="148"/>
      <c r="CX55" s="148"/>
      <c r="CY55" s="148"/>
      <c r="CZ55" s="148"/>
      <c r="DA55" s="148"/>
      <c r="DB55" s="148"/>
      <c r="DC55" s="148"/>
      <c r="DD55" s="148"/>
      <c r="DE55" s="148"/>
      <c r="DF55" s="148"/>
      <c r="DG55" s="148"/>
      <c r="DH55" s="148"/>
      <c r="DI55" s="148"/>
      <c r="DJ55" s="148"/>
      <c r="DK55" s="148"/>
      <c r="DL55" s="148"/>
      <c r="DM55" s="148"/>
      <c r="DN55" s="148"/>
      <c r="DO55" s="148"/>
      <c r="DP55" s="148"/>
      <c r="DQ55" s="148"/>
      <c r="DR55" s="148"/>
      <c r="DS55" s="148"/>
      <c r="DT55" s="148"/>
      <c r="DU55" s="148"/>
      <c r="DV55" s="148"/>
      <c r="DW55" s="148"/>
      <c r="DX55" s="148"/>
      <c r="DY55" s="148"/>
      <c r="DZ55" s="148"/>
      <c r="EA55" s="148"/>
      <c r="EB55" s="148"/>
      <c r="EC55" s="148"/>
      <c r="ED55" s="148"/>
      <c r="EE55" s="148"/>
      <c r="EF55" s="148"/>
      <c r="EG55" s="148"/>
      <c r="EH55" s="148"/>
      <c r="EI55" s="148"/>
      <c r="EJ55" s="148"/>
      <c r="EK55" s="148"/>
      <c r="EL55" s="148"/>
      <c r="EM55" s="148"/>
      <c r="EN55" s="148"/>
      <c r="EO55" s="148"/>
      <c r="EP55" s="148"/>
      <c r="EQ55" s="148"/>
      <c r="ER55" s="148"/>
      <c r="ES55" s="148"/>
      <c r="ET55" s="148"/>
      <c r="EU55" s="148"/>
      <c r="EV55" s="148"/>
      <c r="EW55" s="148"/>
      <c r="EX55" s="148"/>
      <c r="EY55" s="148"/>
      <c r="EZ55" s="148"/>
      <c r="FA55" s="148"/>
      <c r="FB55" s="148"/>
      <c r="FC55" s="148"/>
      <c r="FD55" s="148"/>
      <c r="FE55" s="148"/>
      <c r="FF55" s="148"/>
      <c r="FG55" s="148"/>
      <c r="FH55" s="148"/>
      <c r="FI55" s="148"/>
      <c r="FJ55" s="148"/>
      <c r="FK55" s="148"/>
      <c r="FL55" s="148"/>
      <c r="FM55" s="148"/>
      <c r="FN55" s="148"/>
      <c r="FO55" s="148"/>
      <c r="FP55" s="148"/>
      <c r="FQ55" s="148"/>
      <c r="FR55" s="148"/>
      <c r="FS55" s="148"/>
      <c r="FT55" s="148"/>
      <c r="FU55" s="148"/>
      <c r="FV55" s="148"/>
      <c r="FW55" s="148"/>
      <c r="FX55" s="148"/>
      <c r="FY55" s="148"/>
      <c r="FZ55" s="148"/>
      <c r="GA55" s="148"/>
      <c r="GB55" s="148"/>
      <c r="GC55" s="148"/>
      <c r="GD55" s="148"/>
      <c r="GE55" s="148"/>
      <c r="GF55" s="148"/>
      <c r="GG55" s="148"/>
      <c r="GH55" s="148"/>
      <c r="GI55" s="148"/>
      <c r="GJ55" s="148"/>
      <c r="GK55" s="148"/>
      <c r="GL55" s="148"/>
      <c r="GM55" s="148"/>
      <c r="GN55" s="148"/>
      <c r="GO55" s="148"/>
      <c r="GP55" s="148"/>
      <c r="GQ55" s="148"/>
      <c r="GR55" s="148"/>
      <c r="GS55" s="148"/>
      <c r="GT55" s="148"/>
      <c r="GU55" s="148"/>
      <c r="GV55" s="148"/>
      <c r="GW55" s="148"/>
      <c r="GX55" s="148"/>
      <c r="GY55" s="148"/>
      <c r="GZ55" s="148"/>
      <c r="HA55" s="148"/>
      <c r="HB55" s="148"/>
      <c r="HC55" s="148"/>
      <c r="HD55" s="148"/>
      <c r="HE55" s="148"/>
      <c r="HF55" s="148"/>
      <c r="HG55" s="148"/>
      <c r="HH55" s="148"/>
      <c r="HI55" s="148"/>
      <c r="HJ55" s="148"/>
      <c r="HK55" s="148"/>
      <c r="HL55" s="148"/>
      <c r="HM55" s="148"/>
      <c r="HN55" s="148"/>
      <c r="HO55" s="148"/>
      <c r="HP55" s="148"/>
      <c r="HQ55" s="148"/>
      <c r="HR55" s="148"/>
      <c r="HS55" s="148"/>
      <c r="HT55" s="148"/>
      <c r="HU55" s="148"/>
      <c r="HV55" s="148"/>
      <c r="HW55" s="148"/>
      <c r="HX55" s="148"/>
      <c r="HY55" s="148"/>
      <c r="HZ55" s="148"/>
      <c r="IA55" s="148"/>
      <c r="IB55" s="148"/>
      <c r="IC55" s="148"/>
    </row>
    <row r="56" spans="1:237" s="15" customFormat="1" ht="22.5" x14ac:dyDescent="0.25">
      <c r="A56" s="148"/>
      <c r="B56" s="307">
        <v>41</v>
      </c>
      <c r="C56" s="307" t="s">
        <v>38</v>
      </c>
      <c r="D56" s="450">
        <v>30436222</v>
      </c>
      <c r="E56" s="577" t="s">
        <v>2914</v>
      </c>
      <c r="F56" s="577" t="s">
        <v>897</v>
      </c>
      <c r="G56" s="533" t="s">
        <v>1902</v>
      </c>
      <c r="H56" s="553" t="s">
        <v>2860</v>
      </c>
      <c r="I56" s="534" t="s">
        <v>43</v>
      </c>
      <c r="J56" s="535">
        <v>1179549</v>
      </c>
      <c r="K56" s="535">
        <v>0</v>
      </c>
      <c r="L56" s="535">
        <v>409000</v>
      </c>
      <c r="M56" s="535">
        <v>520520</v>
      </c>
      <c r="N56" s="454">
        <v>0</v>
      </c>
      <c r="O56" s="454">
        <v>0</v>
      </c>
      <c r="P56" s="535">
        <v>0</v>
      </c>
      <c r="Q56" s="535">
        <v>0</v>
      </c>
      <c r="R56" s="535">
        <v>0</v>
      </c>
      <c r="S56" s="535">
        <v>0</v>
      </c>
      <c r="T56" s="535"/>
      <c r="U56" s="535"/>
      <c r="V56" s="535"/>
      <c r="W56" s="535"/>
      <c r="X56" s="535"/>
      <c r="Y56" s="535"/>
      <c r="Z56" s="660">
        <f t="shared" si="2"/>
        <v>0</v>
      </c>
      <c r="AA56" s="554">
        <v>190000</v>
      </c>
      <c r="AB56" s="558">
        <v>2</v>
      </c>
      <c r="AC56" s="545">
        <v>44209</v>
      </c>
      <c r="AD56" s="542">
        <v>44249</v>
      </c>
      <c r="AE56" s="454"/>
      <c r="AF56" s="459"/>
      <c r="AG56" s="460"/>
      <c r="AH56" s="458"/>
      <c r="AI56" s="454"/>
      <c r="AJ56" s="456"/>
      <c r="AK56" s="460"/>
      <c r="AL56" s="458"/>
      <c r="AM56" s="454"/>
      <c r="AN56" s="456"/>
      <c r="AO56" s="460"/>
      <c r="AP56" s="458"/>
      <c r="AQ56" s="454"/>
      <c r="AR56" s="456"/>
      <c r="AS56" s="460"/>
      <c r="AT56" s="458"/>
      <c r="AU56" s="22">
        <f t="shared" si="0"/>
        <v>190000</v>
      </c>
      <c r="AV56" s="546">
        <f t="shared" si="1"/>
        <v>190000</v>
      </c>
      <c r="AW56" s="148"/>
      <c r="AX56" s="148"/>
      <c r="AY56" s="148"/>
      <c r="AZ56" s="148"/>
      <c r="BA56" s="148"/>
      <c r="BB56" s="148"/>
      <c r="BC56" s="148"/>
      <c r="BD56" s="148"/>
      <c r="BE56" s="148"/>
      <c r="BF56" s="148"/>
      <c r="BG56" s="148"/>
      <c r="BH56" s="148"/>
      <c r="BI56" s="148"/>
      <c r="BJ56" s="148"/>
      <c r="BK56" s="148"/>
      <c r="BL56" s="148"/>
      <c r="BM56" s="148"/>
      <c r="BN56" s="148"/>
      <c r="BO56" s="148"/>
      <c r="BP56" s="148"/>
      <c r="BQ56" s="148"/>
      <c r="BR56" s="148"/>
      <c r="BS56" s="148"/>
      <c r="BT56" s="148"/>
      <c r="BU56" s="148"/>
      <c r="BV56" s="148"/>
      <c r="BW56" s="148"/>
      <c r="BX56" s="148"/>
      <c r="BY56" s="148"/>
      <c r="BZ56" s="148"/>
      <c r="CA56" s="148"/>
      <c r="CB56" s="148"/>
      <c r="CC56" s="148"/>
      <c r="CD56" s="148"/>
      <c r="CE56" s="148"/>
      <c r="CF56" s="148"/>
      <c r="CG56" s="148"/>
      <c r="CH56" s="148"/>
      <c r="CI56" s="148"/>
      <c r="CJ56" s="148"/>
      <c r="CK56" s="148"/>
      <c r="CL56" s="148"/>
      <c r="CM56" s="148"/>
      <c r="CN56" s="148"/>
      <c r="CO56" s="148"/>
      <c r="CP56" s="148"/>
      <c r="CQ56" s="148"/>
      <c r="CR56" s="148"/>
      <c r="CS56" s="148"/>
      <c r="CT56" s="148"/>
      <c r="CU56" s="148"/>
      <c r="CV56" s="148"/>
      <c r="CW56" s="148"/>
      <c r="CX56" s="148"/>
      <c r="CY56" s="148"/>
      <c r="CZ56" s="148"/>
      <c r="DA56" s="148"/>
      <c r="DB56" s="148"/>
      <c r="DC56" s="148"/>
      <c r="DD56" s="148"/>
      <c r="DE56" s="148"/>
      <c r="DF56" s="148"/>
      <c r="DG56" s="148"/>
      <c r="DH56" s="148"/>
      <c r="DI56" s="148"/>
      <c r="DJ56" s="148"/>
      <c r="DK56" s="148"/>
      <c r="DL56" s="148"/>
      <c r="DM56" s="148"/>
      <c r="DN56" s="148"/>
      <c r="DO56" s="148"/>
      <c r="DP56" s="148"/>
      <c r="DQ56" s="148"/>
      <c r="DR56" s="148"/>
      <c r="DS56" s="148"/>
      <c r="DT56" s="148"/>
      <c r="DU56" s="148"/>
      <c r="DV56" s="148"/>
      <c r="DW56" s="148"/>
      <c r="DX56" s="148"/>
      <c r="DY56" s="148"/>
      <c r="DZ56" s="148"/>
      <c r="EA56" s="148"/>
      <c r="EB56" s="148"/>
      <c r="EC56" s="148"/>
      <c r="ED56" s="148"/>
      <c r="EE56" s="148"/>
      <c r="EF56" s="148"/>
      <c r="EG56" s="148"/>
      <c r="EH56" s="148"/>
      <c r="EI56" s="148"/>
      <c r="EJ56" s="148"/>
      <c r="EK56" s="148"/>
      <c r="EL56" s="148"/>
      <c r="EM56" s="148"/>
      <c r="EN56" s="148"/>
      <c r="EO56" s="148"/>
      <c r="EP56" s="148"/>
      <c r="EQ56" s="148"/>
      <c r="ER56" s="148"/>
      <c r="ES56" s="148"/>
      <c r="ET56" s="148"/>
      <c r="EU56" s="148"/>
      <c r="EV56" s="148"/>
      <c r="EW56" s="148"/>
      <c r="EX56" s="148"/>
      <c r="EY56" s="148"/>
      <c r="EZ56" s="148"/>
      <c r="FA56" s="148"/>
      <c r="FB56" s="148"/>
      <c r="FC56" s="148"/>
      <c r="FD56" s="148"/>
      <c r="FE56" s="148"/>
      <c r="FF56" s="148"/>
      <c r="FG56" s="148"/>
      <c r="FH56" s="148"/>
      <c r="FI56" s="148"/>
      <c r="FJ56" s="148"/>
      <c r="FK56" s="148"/>
      <c r="FL56" s="148"/>
      <c r="FM56" s="148"/>
      <c r="FN56" s="148"/>
      <c r="FO56" s="148"/>
      <c r="FP56" s="148"/>
      <c r="FQ56" s="148"/>
      <c r="FR56" s="148"/>
      <c r="FS56" s="148"/>
      <c r="FT56" s="148"/>
      <c r="FU56" s="148"/>
      <c r="FV56" s="148"/>
      <c r="FW56" s="148"/>
      <c r="FX56" s="148"/>
      <c r="FY56" s="148"/>
      <c r="FZ56" s="148"/>
      <c r="GA56" s="148"/>
      <c r="GB56" s="148"/>
      <c r="GC56" s="148"/>
      <c r="GD56" s="148"/>
      <c r="GE56" s="148"/>
      <c r="GF56" s="148"/>
      <c r="GG56" s="148"/>
      <c r="GH56" s="148"/>
      <c r="GI56" s="148"/>
      <c r="GJ56" s="148"/>
      <c r="GK56" s="148"/>
      <c r="GL56" s="148"/>
      <c r="GM56" s="148"/>
      <c r="GN56" s="148"/>
      <c r="GO56" s="148"/>
      <c r="GP56" s="148"/>
      <c r="GQ56" s="148"/>
      <c r="GR56" s="148"/>
      <c r="GS56" s="148"/>
      <c r="GT56" s="148"/>
      <c r="GU56" s="148"/>
      <c r="GV56" s="148"/>
      <c r="GW56" s="148"/>
      <c r="GX56" s="148"/>
      <c r="GY56" s="148"/>
      <c r="GZ56" s="148"/>
      <c r="HA56" s="148"/>
      <c r="HB56" s="148"/>
      <c r="HC56" s="148"/>
      <c r="HD56" s="148"/>
      <c r="HE56" s="148"/>
      <c r="HF56" s="148"/>
      <c r="HG56" s="148"/>
      <c r="HH56" s="148"/>
      <c r="HI56" s="148"/>
      <c r="HJ56" s="148"/>
      <c r="HK56" s="148"/>
      <c r="HL56" s="148"/>
      <c r="HM56" s="148"/>
      <c r="HN56" s="148"/>
      <c r="HO56" s="148"/>
      <c r="HP56" s="148"/>
      <c r="HQ56" s="148"/>
      <c r="HR56" s="148"/>
      <c r="HS56" s="148"/>
      <c r="HT56" s="148"/>
      <c r="HU56" s="148"/>
      <c r="HV56" s="148"/>
      <c r="HW56" s="148"/>
      <c r="HX56" s="148"/>
      <c r="HY56" s="148"/>
      <c r="HZ56" s="148"/>
      <c r="IA56" s="148"/>
      <c r="IB56" s="148"/>
      <c r="IC56" s="148"/>
    </row>
    <row r="57" spans="1:237" s="15" customFormat="1" ht="22.5" x14ac:dyDescent="0.25">
      <c r="A57" s="148"/>
      <c r="B57" s="307">
        <v>42</v>
      </c>
      <c r="C57" s="307" t="s">
        <v>38</v>
      </c>
      <c r="D57" s="450">
        <v>30437973</v>
      </c>
      <c r="E57" s="577" t="s">
        <v>2915</v>
      </c>
      <c r="F57" s="577" t="s">
        <v>204</v>
      </c>
      <c r="G57" s="533" t="s">
        <v>1902</v>
      </c>
      <c r="H57" s="553" t="s">
        <v>2916</v>
      </c>
      <c r="I57" s="534" t="s">
        <v>42</v>
      </c>
      <c r="J57" s="535">
        <v>84358</v>
      </c>
      <c r="K57" s="535">
        <v>12167</v>
      </c>
      <c r="L57" s="535">
        <v>0</v>
      </c>
      <c r="M57" s="535">
        <v>3600</v>
      </c>
      <c r="N57" s="454">
        <v>0</v>
      </c>
      <c r="O57" s="454">
        <v>0</v>
      </c>
      <c r="P57" s="535">
        <v>0</v>
      </c>
      <c r="Q57" s="535">
        <f>15242360/1000</f>
        <v>15242.36</v>
      </c>
      <c r="R57" s="535">
        <v>0</v>
      </c>
      <c r="S57" s="535">
        <v>0</v>
      </c>
      <c r="T57" s="535"/>
      <c r="U57" s="535"/>
      <c r="V57" s="535"/>
      <c r="W57" s="535"/>
      <c r="X57" s="535"/>
      <c r="Y57" s="535"/>
      <c r="Z57" s="660">
        <f t="shared" si="2"/>
        <v>15242.36</v>
      </c>
      <c r="AA57" s="554">
        <v>68591</v>
      </c>
      <c r="AB57" s="558">
        <v>2</v>
      </c>
      <c r="AC57" s="545">
        <v>44209</v>
      </c>
      <c r="AD57" s="542">
        <v>44249</v>
      </c>
      <c r="AE57" s="454"/>
      <c r="AF57" s="459"/>
      <c r="AG57" s="460"/>
      <c r="AH57" s="458"/>
      <c r="AI57" s="454"/>
      <c r="AJ57" s="456"/>
      <c r="AK57" s="460"/>
      <c r="AL57" s="458"/>
      <c r="AM57" s="454"/>
      <c r="AN57" s="456"/>
      <c r="AO57" s="460"/>
      <c r="AP57" s="458"/>
      <c r="AQ57" s="454"/>
      <c r="AR57" s="456"/>
      <c r="AS57" s="460"/>
      <c r="AT57" s="458"/>
      <c r="AU57" s="22">
        <f t="shared" si="0"/>
        <v>68591</v>
      </c>
      <c r="AV57" s="546">
        <f t="shared" si="1"/>
        <v>53348.639999999999</v>
      </c>
      <c r="AW57" s="148"/>
      <c r="AX57" s="148"/>
      <c r="AY57" s="148"/>
      <c r="AZ57" s="148"/>
      <c r="BA57" s="148"/>
      <c r="BB57" s="148"/>
      <c r="BC57" s="148"/>
      <c r="BD57" s="148"/>
      <c r="BE57" s="148"/>
      <c r="BF57" s="148"/>
      <c r="BG57" s="148"/>
      <c r="BH57" s="148"/>
      <c r="BI57" s="148"/>
      <c r="BJ57" s="148"/>
      <c r="BK57" s="148"/>
      <c r="BL57" s="148"/>
      <c r="BM57" s="148"/>
      <c r="BN57" s="148"/>
      <c r="BO57" s="148"/>
      <c r="BP57" s="148"/>
      <c r="BQ57" s="148"/>
      <c r="BR57" s="148"/>
      <c r="BS57" s="148"/>
      <c r="BT57" s="148"/>
      <c r="BU57" s="148"/>
      <c r="BV57" s="148"/>
      <c r="BW57" s="148"/>
      <c r="BX57" s="148"/>
      <c r="BY57" s="148"/>
      <c r="BZ57" s="148"/>
      <c r="CA57" s="148"/>
      <c r="CB57" s="148"/>
      <c r="CC57" s="148"/>
      <c r="CD57" s="148"/>
      <c r="CE57" s="148"/>
      <c r="CF57" s="148"/>
      <c r="CG57" s="148"/>
      <c r="CH57" s="148"/>
      <c r="CI57" s="148"/>
      <c r="CJ57" s="148"/>
      <c r="CK57" s="148"/>
      <c r="CL57" s="148"/>
      <c r="CM57" s="148"/>
      <c r="CN57" s="148"/>
      <c r="CO57" s="148"/>
      <c r="CP57" s="148"/>
      <c r="CQ57" s="148"/>
      <c r="CR57" s="148"/>
      <c r="CS57" s="148"/>
      <c r="CT57" s="148"/>
      <c r="CU57" s="148"/>
      <c r="CV57" s="148"/>
      <c r="CW57" s="148"/>
      <c r="CX57" s="148"/>
      <c r="CY57" s="148"/>
      <c r="CZ57" s="148"/>
      <c r="DA57" s="148"/>
      <c r="DB57" s="148"/>
      <c r="DC57" s="148"/>
      <c r="DD57" s="148"/>
      <c r="DE57" s="148"/>
      <c r="DF57" s="148"/>
      <c r="DG57" s="148"/>
      <c r="DH57" s="148"/>
      <c r="DI57" s="148"/>
      <c r="DJ57" s="148"/>
      <c r="DK57" s="148"/>
      <c r="DL57" s="148"/>
      <c r="DM57" s="148"/>
      <c r="DN57" s="148"/>
      <c r="DO57" s="148"/>
      <c r="DP57" s="148"/>
      <c r="DQ57" s="148"/>
      <c r="DR57" s="148"/>
      <c r="DS57" s="148"/>
      <c r="DT57" s="148"/>
      <c r="DU57" s="148"/>
      <c r="DV57" s="148"/>
      <c r="DW57" s="148"/>
      <c r="DX57" s="148"/>
      <c r="DY57" s="148"/>
      <c r="DZ57" s="148"/>
      <c r="EA57" s="148"/>
      <c r="EB57" s="148"/>
      <c r="EC57" s="148"/>
      <c r="ED57" s="148"/>
      <c r="EE57" s="148"/>
      <c r="EF57" s="148"/>
      <c r="EG57" s="148"/>
      <c r="EH57" s="148"/>
      <c r="EI57" s="148"/>
      <c r="EJ57" s="148"/>
      <c r="EK57" s="148"/>
      <c r="EL57" s="148"/>
      <c r="EM57" s="148"/>
      <c r="EN57" s="148"/>
      <c r="EO57" s="148"/>
      <c r="EP57" s="148"/>
      <c r="EQ57" s="148"/>
      <c r="ER57" s="148"/>
      <c r="ES57" s="148"/>
      <c r="ET57" s="148"/>
      <c r="EU57" s="148"/>
      <c r="EV57" s="148"/>
      <c r="EW57" s="148"/>
      <c r="EX57" s="148"/>
      <c r="EY57" s="148"/>
      <c r="EZ57" s="148"/>
      <c r="FA57" s="148"/>
      <c r="FB57" s="148"/>
      <c r="FC57" s="148"/>
      <c r="FD57" s="148"/>
      <c r="FE57" s="148"/>
      <c r="FF57" s="148"/>
      <c r="FG57" s="148"/>
      <c r="FH57" s="148"/>
      <c r="FI57" s="148"/>
      <c r="FJ57" s="148"/>
      <c r="FK57" s="148"/>
      <c r="FL57" s="148"/>
      <c r="FM57" s="148"/>
      <c r="FN57" s="148"/>
      <c r="FO57" s="148"/>
      <c r="FP57" s="148"/>
      <c r="FQ57" s="148"/>
      <c r="FR57" s="148"/>
      <c r="FS57" s="148"/>
      <c r="FT57" s="148"/>
      <c r="FU57" s="148"/>
      <c r="FV57" s="148"/>
      <c r="FW57" s="148"/>
      <c r="FX57" s="148"/>
      <c r="FY57" s="148"/>
      <c r="FZ57" s="148"/>
      <c r="GA57" s="148"/>
      <c r="GB57" s="148"/>
      <c r="GC57" s="148"/>
      <c r="GD57" s="148"/>
      <c r="GE57" s="148"/>
      <c r="GF57" s="148"/>
      <c r="GG57" s="148"/>
      <c r="GH57" s="148"/>
      <c r="GI57" s="148"/>
      <c r="GJ57" s="148"/>
      <c r="GK57" s="148"/>
      <c r="GL57" s="148"/>
      <c r="GM57" s="148"/>
      <c r="GN57" s="148"/>
      <c r="GO57" s="148"/>
      <c r="GP57" s="148"/>
      <c r="GQ57" s="148"/>
      <c r="GR57" s="148"/>
      <c r="GS57" s="148"/>
      <c r="GT57" s="148"/>
      <c r="GU57" s="148"/>
      <c r="GV57" s="148"/>
      <c r="GW57" s="148"/>
      <c r="GX57" s="148"/>
      <c r="GY57" s="148"/>
      <c r="GZ57" s="148"/>
      <c r="HA57" s="148"/>
      <c r="HB57" s="148"/>
      <c r="HC57" s="148"/>
      <c r="HD57" s="148"/>
      <c r="HE57" s="148"/>
      <c r="HF57" s="148"/>
      <c r="HG57" s="148"/>
      <c r="HH57" s="148"/>
      <c r="HI57" s="148"/>
      <c r="HJ57" s="148"/>
      <c r="HK57" s="148"/>
      <c r="HL57" s="148"/>
      <c r="HM57" s="148"/>
      <c r="HN57" s="148"/>
      <c r="HO57" s="148"/>
      <c r="HP57" s="148"/>
      <c r="HQ57" s="148"/>
      <c r="HR57" s="148"/>
      <c r="HS57" s="148"/>
      <c r="HT57" s="148"/>
      <c r="HU57" s="148"/>
      <c r="HV57" s="148"/>
      <c r="HW57" s="148"/>
      <c r="HX57" s="148"/>
      <c r="HY57" s="148"/>
      <c r="HZ57" s="148"/>
      <c r="IA57" s="148"/>
      <c r="IB57" s="148"/>
      <c r="IC57" s="148"/>
    </row>
    <row r="58" spans="1:237" s="15" customFormat="1" ht="22.5" x14ac:dyDescent="0.25">
      <c r="A58" s="148"/>
      <c r="B58" s="307">
        <v>43</v>
      </c>
      <c r="C58" s="307" t="s">
        <v>38</v>
      </c>
      <c r="D58" s="450">
        <v>30460086</v>
      </c>
      <c r="E58" s="577" t="s">
        <v>2917</v>
      </c>
      <c r="F58" s="577" t="s">
        <v>897</v>
      </c>
      <c r="G58" s="533" t="s">
        <v>1902</v>
      </c>
      <c r="H58" s="553" t="s">
        <v>2918</v>
      </c>
      <c r="I58" s="534" t="s">
        <v>42</v>
      </c>
      <c r="J58" s="535">
        <v>1281879</v>
      </c>
      <c r="K58" s="535">
        <v>1223644</v>
      </c>
      <c r="L58" s="535">
        <v>0</v>
      </c>
      <c r="M58" s="535">
        <v>0</v>
      </c>
      <c r="N58" s="454">
        <v>0</v>
      </c>
      <c r="O58" s="454">
        <v>0</v>
      </c>
      <c r="P58" s="535">
        <v>0</v>
      </c>
      <c r="Q58" s="535">
        <v>0</v>
      </c>
      <c r="R58" s="535">
        <v>0</v>
      </c>
      <c r="S58" s="535">
        <v>0</v>
      </c>
      <c r="T58" s="535"/>
      <c r="U58" s="535"/>
      <c r="V58" s="535"/>
      <c r="W58" s="535"/>
      <c r="X58" s="535"/>
      <c r="Y58" s="535"/>
      <c r="Z58" s="660">
        <f t="shared" si="2"/>
        <v>0</v>
      </c>
      <c r="AA58" s="554">
        <v>25000</v>
      </c>
      <c r="AB58" s="558">
        <v>2</v>
      </c>
      <c r="AC58" s="545">
        <v>44209</v>
      </c>
      <c r="AD58" s="542">
        <v>44249</v>
      </c>
      <c r="AE58" s="454">
        <v>41000</v>
      </c>
      <c r="AF58" s="459">
        <v>7</v>
      </c>
      <c r="AG58" s="457">
        <v>44260</v>
      </c>
      <c r="AH58" s="458">
        <v>44287</v>
      </c>
      <c r="AI58" s="454"/>
      <c r="AJ58" s="456"/>
      <c r="AK58" s="460"/>
      <c r="AL58" s="458"/>
      <c r="AM58" s="454"/>
      <c r="AN58" s="456"/>
      <c r="AO58" s="460"/>
      <c r="AP58" s="458"/>
      <c r="AQ58" s="454"/>
      <c r="AR58" s="456"/>
      <c r="AS58" s="460"/>
      <c r="AT58" s="458"/>
      <c r="AU58" s="22">
        <f t="shared" si="0"/>
        <v>66000</v>
      </c>
      <c r="AV58" s="546">
        <f t="shared" si="1"/>
        <v>66000</v>
      </c>
      <c r="AW58" s="148"/>
      <c r="AX58" s="148"/>
      <c r="AY58" s="148"/>
      <c r="AZ58" s="148"/>
      <c r="BA58" s="148"/>
      <c r="BB58" s="148"/>
      <c r="BC58" s="148"/>
      <c r="BD58" s="148"/>
      <c r="BE58" s="148"/>
      <c r="BF58" s="148"/>
      <c r="BG58" s="148"/>
      <c r="BH58" s="148"/>
      <c r="BI58" s="148"/>
      <c r="BJ58" s="148"/>
      <c r="BK58" s="148"/>
      <c r="BL58" s="148"/>
      <c r="BM58" s="148"/>
      <c r="BN58" s="148"/>
      <c r="BO58" s="148"/>
      <c r="BP58" s="148"/>
      <c r="BQ58" s="148"/>
      <c r="BR58" s="148"/>
      <c r="BS58" s="148"/>
      <c r="BT58" s="148"/>
      <c r="BU58" s="148"/>
      <c r="BV58" s="148"/>
      <c r="BW58" s="148"/>
      <c r="BX58" s="148"/>
      <c r="BY58" s="148"/>
      <c r="BZ58" s="148"/>
      <c r="CA58" s="148"/>
      <c r="CB58" s="148"/>
      <c r="CC58" s="148"/>
      <c r="CD58" s="148"/>
      <c r="CE58" s="148"/>
      <c r="CF58" s="148"/>
      <c r="CG58" s="148"/>
      <c r="CH58" s="148"/>
      <c r="CI58" s="148"/>
      <c r="CJ58" s="148"/>
      <c r="CK58" s="148"/>
      <c r="CL58" s="148"/>
      <c r="CM58" s="148"/>
      <c r="CN58" s="148"/>
      <c r="CO58" s="148"/>
      <c r="CP58" s="148"/>
      <c r="CQ58" s="148"/>
      <c r="CR58" s="148"/>
      <c r="CS58" s="148"/>
      <c r="CT58" s="148"/>
      <c r="CU58" s="148"/>
      <c r="CV58" s="148"/>
      <c r="CW58" s="148"/>
      <c r="CX58" s="148"/>
      <c r="CY58" s="148"/>
      <c r="CZ58" s="148"/>
      <c r="DA58" s="148"/>
      <c r="DB58" s="148"/>
      <c r="DC58" s="148"/>
      <c r="DD58" s="148"/>
      <c r="DE58" s="148"/>
      <c r="DF58" s="148"/>
      <c r="DG58" s="148"/>
      <c r="DH58" s="148"/>
      <c r="DI58" s="148"/>
      <c r="DJ58" s="148"/>
      <c r="DK58" s="148"/>
      <c r="DL58" s="148"/>
      <c r="DM58" s="148"/>
      <c r="DN58" s="148"/>
      <c r="DO58" s="148"/>
      <c r="DP58" s="148"/>
      <c r="DQ58" s="148"/>
      <c r="DR58" s="148"/>
      <c r="DS58" s="148"/>
      <c r="DT58" s="148"/>
      <c r="DU58" s="148"/>
      <c r="DV58" s="148"/>
      <c r="DW58" s="148"/>
      <c r="DX58" s="148"/>
      <c r="DY58" s="148"/>
      <c r="DZ58" s="148"/>
      <c r="EA58" s="148"/>
      <c r="EB58" s="148"/>
      <c r="EC58" s="148"/>
      <c r="ED58" s="148"/>
      <c r="EE58" s="148"/>
      <c r="EF58" s="148"/>
      <c r="EG58" s="148"/>
      <c r="EH58" s="148"/>
      <c r="EI58" s="148"/>
      <c r="EJ58" s="148"/>
      <c r="EK58" s="148"/>
      <c r="EL58" s="148"/>
      <c r="EM58" s="148"/>
      <c r="EN58" s="148"/>
      <c r="EO58" s="148"/>
      <c r="EP58" s="148"/>
      <c r="EQ58" s="148"/>
      <c r="ER58" s="148"/>
      <c r="ES58" s="148"/>
      <c r="ET58" s="148"/>
      <c r="EU58" s="148"/>
      <c r="EV58" s="148"/>
      <c r="EW58" s="148"/>
      <c r="EX58" s="148"/>
      <c r="EY58" s="148"/>
      <c r="EZ58" s="148"/>
      <c r="FA58" s="148"/>
      <c r="FB58" s="148"/>
      <c r="FC58" s="148"/>
      <c r="FD58" s="148"/>
      <c r="FE58" s="148"/>
      <c r="FF58" s="148"/>
      <c r="FG58" s="148"/>
      <c r="FH58" s="148"/>
      <c r="FI58" s="148"/>
      <c r="FJ58" s="148"/>
      <c r="FK58" s="148"/>
      <c r="FL58" s="148"/>
      <c r="FM58" s="148"/>
      <c r="FN58" s="148"/>
      <c r="FO58" s="148"/>
      <c r="FP58" s="148"/>
      <c r="FQ58" s="148"/>
      <c r="FR58" s="148"/>
      <c r="FS58" s="148"/>
      <c r="FT58" s="148"/>
      <c r="FU58" s="148"/>
      <c r="FV58" s="148"/>
      <c r="FW58" s="148"/>
      <c r="FX58" s="148"/>
      <c r="FY58" s="148"/>
      <c r="FZ58" s="148"/>
      <c r="GA58" s="148"/>
      <c r="GB58" s="148"/>
      <c r="GC58" s="148"/>
      <c r="GD58" s="148"/>
      <c r="GE58" s="148"/>
      <c r="GF58" s="148"/>
      <c r="GG58" s="148"/>
      <c r="GH58" s="148"/>
      <c r="GI58" s="148"/>
      <c r="GJ58" s="148"/>
      <c r="GK58" s="148"/>
      <c r="GL58" s="148"/>
      <c r="GM58" s="148"/>
      <c r="GN58" s="148"/>
      <c r="GO58" s="148"/>
      <c r="GP58" s="148"/>
      <c r="GQ58" s="148"/>
      <c r="GR58" s="148"/>
      <c r="GS58" s="148"/>
      <c r="GT58" s="148"/>
      <c r="GU58" s="148"/>
      <c r="GV58" s="148"/>
      <c r="GW58" s="148"/>
      <c r="GX58" s="148"/>
      <c r="GY58" s="148"/>
      <c r="GZ58" s="148"/>
      <c r="HA58" s="148"/>
      <c r="HB58" s="148"/>
      <c r="HC58" s="148"/>
      <c r="HD58" s="148"/>
      <c r="HE58" s="148"/>
      <c r="HF58" s="148"/>
      <c r="HG58" s="148"/>
      <c r="HH58" s="148"/>
      <c r="HI58" s="148"/>
      <c r="HJ58" s="148"/>
      <c r="HK58" s="148"/>
      <c r="HL58" s="148"/>
      <c r="HM58" s="148"/>
      <c r="HN58" s="148"/>
      <c r="HO58" s="148"/>
      <c r="HP58" s="148"/>
      <c r="HQ58" s="148"/>
      <c r="HR58" s="148"/>
      <c r="HS58" s="148"/>
      <c r="HT58" s="148"/>
      <c r="HU58" s="148"/>
      <c r="HV58" s="148"/>
      <c r="HW58" s="148"/>
      <c r="HX58" s="148"/>
      <c r="HY58" s="148"/>
      <c r="HZ58" s="148"/>
      <c r="IA58" s="148"/>
      <c r="IB58" s="148"/>
      <c r="IC58" s="148"/>
    </row>
    <row r="59" spans="1:237" s="15" customFormat="1" ht="22.5" x14ac:dyDescent="0.25">
      <c r="A59" s="148"/>
      <c r="B59" s="307">
        <v>44</v>
      </c>
      <c r="C59" s="307" t="s">
        <v>38</v>
      </c>
      <c r="D59" s="450">
        <v>30461624</v>
      </c>
      <c r="E59" s="577" t="s">
        <v>2919</v>
      </c>
      <c r="F59" s="577" t="s">
        <v>204</v>
      </c>
      <c r="G59" s="533" t="s">
        <v>1902</v>
      </c>
      <c r="H59" s="553" t="s">
        <v>2920</v>
      </c>
      <c r="I59" s="534" t="s">
        <v>42</v>
      </c>
      <c r="J59" s="535">
        <v>43590</v>
      </c>
      <c r="K59" s="535">
        <v>12866</v>
      </c>
      <c r="L59" s="535">
        <v>3483</v>
      </c>
      <c r="M59" s="535">
        <v>0</v>
      </c>
      <c r="N59" s="454">
        <v>0</v>
      </c>
      <c r="O59" s="454">
        <v>0</v>
      </c>
      <c r="P59" s="535">
        <v>10800</v>
      </c>
      <c r="Q59" s="535">
        <v>0</v>
      </c>
      <c r="R59" s="535">
        <v>0</v>
      </c>
      <c r="S59" s="535">
        <v>7200</v>
      </c>
      <c r="T59" s="535"/>
      <c r="U59" s="535"/>
      <c r="V59" s="535"/>
      <c r="W59" s="535"/>
      <c r="X59" s="535"/>
      <c r="Y59" s="535"/>
      <c r="Z59" s="660">
        <f t="shared" si="2"/>
        <v>18000</v>
      </c>
      <c r="AA59" s="554">
        <v>25200</v>
      </c>
      <c r="AB59" s="558">
        <v>2</v>
      </c>
      <c r="AC59" s="545">
        <v>44209</v>
      </c>
      <c r="AD59" s="542">
        <v>44249</v>
      </c>
      <c r="AE59" s="454"/>
      <c r="AF59" s="459"/>
      <c r="AG59" s="460"/>
      <c r="AH59" s="458"/>
      <c r="AI59" s="454"/>
      <c r="AJ59" s="456"/>
      <c r="AK59" s="460"/>
      <c r="AL59" s="458"/>
      <c r="AM59" s="454"/>
      <c r="AN59" s="456"/>
      <c r="AO59" s="460"/>
      <c r="AP59" s="458"/>
      <c r="AQ59" s="454"/>
      <c r="AR59" s="456"/>
      <c r="AS59" s="460"/>
      <c r="AT59" s="458"/>
      <c r="AU59" s="22">
        <f t="shared" si="0"/>
        <v>25200</v>
      </c>
      <c r="AV59" s="546">
        <f t="shared" si="1"/>
        <v>7200</v>
      </c>
      <c r="AW59" s="148"/>
      <c r="AX59" s="148"/>
      <c r="AY59" s="148"/>
      <c r="AZ59" s="148"/>
      <c r="BA59" s="148"/>
      <c r="BB59" s="148"/>
      <c r="BC59" s="148"/>
      <c r="BD59" s="148"/>
      <c r="BE59" s="148"/>
      <c r="BF59" s="148"/>
      <c r="BG59" s="148"/>
      <c r="BH59" s="148"/>
      <c r="BI59" s="148"/>
      <c r="BJ59" s="148"/>
      <c r="BK59" s="148"/>
      <c r="BL59" s="148"/>
      <c r="BM59" s="148"/>
      <c r="BN59" s="148"/>
      <c r="BO59" s="148"/>
      <c r="BP59" s="148"/>
      <c r="BQ59" s="148"/>
      <c r="BR59" s="148"/>
      <c r="BS59" s="148"/>
      <c r="BT59" s="148"/>
      <c r="BU59" s="148"/>
      <c r="BV59" s="148"/>
      <c r="BW59" s="148"/>
      <c r="BX59" s="148"/>
      <c r="BY59" s="148"/>
      <c r="BZ59" s="148"/>
      <c r="CA59" s="148"/>
      <c r="CB59" s="148"/>
      <c r="CC59" s="148"/>
      <c r="CD59" s="148"/>
      <c r="CE59" s="148"/>
      <c r="CF59" s="148"/>
      <c r="CG59" s="148"/>
      <c r="CH59" s="148"/>
      <c r="CI59" s="148"/>
      <c r="CJ59" s="148"/>
      <c r="CK59" s="148"/>
      <c r="CL59" s="148"/>
      <c r="CM59" s="148"/>
      <c r="CN59" s="148"/>
      <c r="CO59" s="148"/>
      <c r="CP59" s="148"/>
      <c r="CQ59" s="148"/>
      <c r="CR59" s="148"/>
      <c r="CS59" s="148"/>
      <c r="CT59" s="148"/>
      <c r="CU59" s="148"/>
      <c r="CV59" s="148"/>
      <c r="CW59" s="148"/>
      <c r="CX59" s="148"/>
      <c r="CY59" s="148"/>
      <c r="CZ59" s="148"/>
      <c r="DA59" s="148"/>
      <c r="DB59" s="148"/>
      <c r="DC59" s="148"/>
      <c r="DD59" s="148"/>
      <c r="DE59" s="148"/>
      <c r="DF59" s="148"/>
      <c r="DG59" s="148"/>
      <c r="DH59" s="148"/>
      <c r="DI59" s="148"/>
      <c r="DJ59" s="148"/>
      <c r="DK59" s="148"/>
      <c r="DL59" s="148"/>
      <c r="DM59" s="148"/>
      <c r="DN59" s="148"/>
      <c r="DO59" s="148"/>
      <c r="DP59" s="148"/>
      <c r="DQ59" s="148"/>
      <c r="DR59" s="148"/>
      <c r="DS59" s="148"/>
      <c r="DT59" s="148"/>
      <c r="DU59" s="148"/>
      <c r="DV59" s="148"/>
      <c r="DW59" s="148"/>
      <c r="DX59" s="148"/>
      <c r="DY59" s="148"/>
      <c r="DZ59" s="148"/>
      <c r="EA59" s="148"/>
      <c r="EB59" s="148"/>
      <c r="EC59" s="148"/>
      <c r="ED59" s="148"/>
      <c r="EE59" s="148"/>
      <c r="EF59" s="148"/>
      <c r="EG59" s="148"/>
      <c r="EH59" s="148"/>
      <c r="EI59" s="148"/>
      <c r="EJ59" s="148"/>
      <c r="EK59" s="148"/>
      <c r="EL59" s="148"/>
      <c r="EM59" s="148"/>
      <c r="EN59" s="148"/>
      <c r="EO59" s="148"/>
      <c r="EP59" s="148"/>
      <c r="EQ59" s="148"/>
      <c r="ER59" s="148"/>
      <c r="ES59" s="148"/>
      <c r="ET59" s="148"/>
      <c r="EU59" s="148"/>
      <c r="EV59" s="148"/>
      <c r="EW59" s="148"/>
      <c r="EX59" s="148"/>
      <c r="EY59" s="148"/>
      <c r="EZ59" s="148"/>
      <c r="FA59" s="148"/>
      <c r="FB59" s="148"/>
      <c r="FC59" s="148"/>
      <c r="FD59" s="148"/>
      <c r="FE59" s="148"/>
      <c r="FF59" s="148"/>
      <c r="FG59" s="148"/>
      <c r="FH59" s="148"/>
      <c r="FI59" s="148"/>
      <c r="FJ59" s="148"/>
      <c r="FK59" s="148"/>
      <c r="FL59" s="148"/>
      <c r="FM59" s="148"/>
      <c r="FN59" s="148"/>
      <c r="FO59" s="148"/>
      <c r="FP59" s="148"/>
      <c r="FQ59" s="148"/>
      <c r="FR59" s="148"/>
      <c r="FS59" s="148"/>
      <c r="FT59" s="148"/>
      <c r="FU59" s="148"/>
      <c r="FV59" s="148"/>
      <c r="FW59" s="148"/>
      <c r="FX59" s="148"/>
      <c r="FY59" s="148"/>
      <c r="FZ59" s="148"/>
      <c r="GA59" s="148"/>
      <c r="GB59" s="148"/>
      <c r="GC59" s="148"/>
      <c r="GD59" s="148"/>
      <c r="GE59" s="148"/>
      <c r="GF59" s="148"/>
      <c r="GG59" s="148"/>
      <c r="GH59" s="148"/>
      <c r="GI59" s="148"/>
      <c r="GJ59" s="148"/>
      <c r="GK59" s="148"/>
      <c r="GL59" s="148"/>
      <c r="GM59" s="148"/>
      <c r="GN59" s="148"/>
      <c r="GO59" s="148"/>
      <c r="GP59" s="148"/>
      <c r="GQ59" s="148"/>
      <c r="GR59" s="148"/>
      <c r="GS59" s="148"/>
      <c r="GT59" s="148"/>
      <c r="GU59" s="148"/>
      <c r="GV59" s="148"/>
      <c r="GW59" s="148"/>
      <c r="GX59" s="148"/>
      <c r="GY59" s="148"/>
      <c r="GZ59" s="148"/>
      <c r="HA59" s="148"/>
      <c r="HB59" s="148"/>
      <c r="HC59" s="148"/>
      <c r="HD59" s="148"/>
      <c r="HE59" s="148"/>
      <c r="HF59" s="148"/>
      <c r="HG59" s="148"/>
      <c r="HH59" s="148"/>
      <c r="HI59" s="148"/>
      <c r="HJ59" s="148"/>
      <c r="HK59" s="148"/>
      <c r="HL59" s="148"/>
      <c r="HM59" s="148"/>
      <c r="HN59" s="148"/>
      <c r="HO59" s="148"/>
      <c r="HP59" s="148"/>
      <c r="HQ59" s="148"/>
      <c r="HR59" s="148"/>
      <c r="HS59" s="148"/>
      <c r="HT59" s="148"/>
      <c r="HU59" s="148"/>
      <c r="HV59" s="148"/>
      <c r="HW59" s="148"/>
      <c r="HX59" s="148"/>
      <c r="HY59" s="148"/>
      <c r="HZ59" s="148"/>
      <c r="IA59" s="148"/>
      <c r="IB59" s="148"/>
      <c r="IC59" s="148"/>
    </row>
    <row r="60" spans="1:237" s="15" customFormat="1" ht="22.5" x14ac:dyDescent="0.25">
      <c r="A60" s="148"/>
      <c r="B60" s="307">
        <v>45</v>
      </c>
      <c r="C60" s="307" t="s">
        <v>38</v>
      </c>
      <c r="D60" s="450">
        <v>30462076</v>
      </c>
      <c r="E60" s="577" t="s">
        <v>2921</v>
      </c>
      <c r="F60" s="577" t="s">
        <v>204</v>
      </c>
      <c r="G60" s="533" t="s">
        <v>1902</v>
      </c>
      <c r="H60" s="553" t="s">
        <v>2916</v>
      </c>
      <c r="I60" s="534" t="s">
        <v>42</v>
      </c>
      <c r="J60" s="535">
        <v>47975</v>
      </c>
      <c r="K60" s="535">
        <v>15086</v>
      </c>
      <c r="L60" s="535">
        <v>0</v>
      </c>
      <c r="M60" s="535">
        <v>0</v>
      </c>
      <c r="N60" s="454">
        <v>0</v>
      </c>
      <c r="O60" s="454">
        <v>0</v>
      </c>
      <c r="P60" s="535">
        <v>13170</v>
      </c>
      <c r="Q60" s="535">
        <v>0</v>
      </c>
      <c r="R60" s="535">
        <v>0</v>
      </c>
      <c r="S60" s="535">
        <v>0</v>
      </c>
      <c r="T60" s="535"/>
      <c r="U60" s="535"/>
      <c r="V60" s="535"/>
      <c r="W60" s="535"/>
      <c r="X60" s="535"/>
      <c r="Y60" s="535"/>
      <c r="Z60" s="660">
        <f t="shared" si="2"/>
        <v>13170</v>
      </c>
      <c r="AA60" s="554">
        <v>32889</v>
      </c>
      <c r="AB60" s="558">
        <v>2</v>
      </c>
      <c r="AC60" s="545">
        <v>44209</v>
      </c>
      <c r="AD60" s="542">
        <v>44249</v>
      </c>
      <c r="AE60" s="454"/>
      <c r="AF60" s="459"/>
      <c r="AG60" s="460"/>
      <c r="AH60" s="458"/>
      <c r="AI60" s="454"/>
      <c r="AJ60" s="456"/>
      <c r="AK60" s="460"/>
      <c r="AL60" s="458"/>
      <c r="AM60" s="454"/>
      <c r="AN60" s="456"/>
      <c r="AO60" s="460"/>
      <c r="AP60" s="458"/>
      <c r="AQ60" s="454"/>
      <c r="AR60" s="456"/>
      <c r="AS60" s="460"/>
      <c r="AT60" s="458"/>
      <c r="AU60" s="22">
        <f t="shared" si="0"/>
        <v>32889</v>
      </c>
      <c r="AV60" s="546">
        <f t="shared" si="1"/>
        <v>19719</v>
      </c>
      <c r="AW60" s="148"/>
      <c r="AX60" s="148"/>
      <c r="AY60" s="148"/>
      <c r="AZ60" s="148"/>
      <c r="BA60" s="148"/>
      <c r="BB60" s="148"/>
      <c r="BC60" s="148"/>
      <c r="BD60" s="148"/>
      <c r="BE60" s="148"/>
      <c r="BF60" s="148"/>
      <c r="BG60" s="148"/>
      <c r="BH60" s="148"/>
      <c r="BI60" s="148"/>
      <c r="BJ60" s="148"/>
      <c r="BK60" s="148"/>
      <c r="BL60" s="148"/>
      <c r="BM60" s="148"/>
      <c r="BN60" s="148"/>
      <c r="BO60" s="148"/>
      <c r="BP60" s="148"/>
      <c r="BQ60" s="148"/>
      <c r="BR60" s="148"/>
      <c r="BS60" s="148"/>
      <c r="BT60" s="148"/>
      <c r="BU60" s="148"/>
      <c r="BV60" s="148"/>
      <c r="BW60" s="148"/>
      <c r="BX60" s="148"/>
      <c r="BY60" s="148"/>
      <c r="BZ60" s="148"/>
      <c r="CA60" s="148"/>
      <c r="CB60" s="148"/>
      <c r="CC60" s="148"/>
      <c r="CD60" s="148"/>
      <c r="CE60" s="148"/>
      <c r="CF60" s="148"/>
      <c r="CG60" s="148"/>
      <c r="CH60" s="148"/>
      <c r="CI60" s="148"/>
      <c r="CJ60" s="148"/>
      <c r="CK60" s="148"/>
      <c r="CL60" s="148"/>
      <c r="CM60" s="148"/>
      <c r="CN60" s="148"/>
      <c r="CO60" s="148"/>
      <c r="CP60" s="148"/>
      <c r="CQ60" s="148"/>
      <c r="CR60" s="148"/>
      <c r="CS60" s="148"/>
      <c r="CT60" s="148"/>
      <c r="CU60" s="148"/>
      <c r="CV60" s="148"/>
      <c r="CW60" s="148"/>
      <c r="CX60" s="148"/>
      <c r="CY60" s="148"/>
      <c r="CZ60" s="148"/>
      <c r="DA60" s="148"/>
      <c r="DB60" s="148"/>
      <c r="DC60" s="148"/>
      <c r="DD60" s="148"/>
      <c r="DE60" s="148"/>
      <c r="DF60" s="148"/>
      <c r="DG60" s="148"/>
      <c r="DH60" s="148"/>
      <c r="DI60" s="148"/>
      <c r="DJ60" s="148"/>
      <c r="DK60" s="148"/>
      <c r="DL60" s="148"/>
      <c r="DM60" s="148"/>
      <c r="DN60" s="148"/>
      <c r="DO60" s="148"/>
      <c r="DP60" s="148"/>
      <c r="DQ60" s="148"/>
      <c r="DR60" s="148"/>
      <c r="DS60" s="148"/>
      <c r="DT60" s="148"/>
      <c r="DU60" s="148"/>
      <c r="DV60" s="148"/>
      <c r="DW60" s="148"/>
      <c r="DX60" s="148"/>
      <c r="DY60" s="148"/>
      <c r="DZ60" s="148"/>
      <c r="EA60" s="148"/>
      <c r="EB60" s="148"/>
      <c r="EC60" s="148"/>
      <c r="ED60" s="148"/>
      <c r="EE60" s="148"/>
      <c r="EF60" s="148"/>
      <c r="EG60" s="148"/>
      <c r="EH60" s="148"/>
      <c r="EI60" s="148"/>
      <c r="EJ60" s="148"/>
      <c r="EK60" s="148"/>
      <c r="EL60" s="148"/>
      <c r="EM60" s="148"/>
      <c r="EN60" s="148"/>
      <c r="EO60" s="148"/>
      <c r="EP60" s="148"/>
      <c r="EQ60" s="148"/>
      <c r="ER60" s="148"/>
      <c r="ES60" s="148"/>
      <c r="ET60" s="148"/>
      <c r="EU60" s="148"/>
      <c r="EV60" s="148"/>
      <c r="EW60" s="148"/>
      <c r="EX60" s="148"/>
      <c r="EY60" s="148"/>
      <c r="EZ60" s="148"/>
      <c r="FA60" s="148"/>
      <c r="FB60" s="148"/>
      <c r="FC60" s="148"/>
      <c r="FD60" s="148"/>
      <c r="FE60" s="148"/>
      <c r="FF60" s="148"/>
      <c r="FG60" s="148"/>
      <c r="FH60" s="148"/>
      <c r="FI60" s="148"/>
      <c r="FJ60" s="148"/>
      <c r="FK60" s="148"/>
      <c r="FL60" s="148"/>
      <c r="FM60" s="148"/>
      <c r="FN60" s="148"/>
      <c r="FO60" s="148"/>
      <c r="FP60" s="148"/>
      <c r="FQ60" s="148"/>
      <c r="FR60" s="148"/>
      <c r="FS60" s="148"/>
      <c r="FT60" s="148"/>
      <c r="FU60" s="148"/>
      <c r="FV60" s="148"/>
      <c r="FW60" s="148"/>
      <c r="FX60" s="148"/>
      <c r="FY60" s="148"/>
      <c r="FZ60" s="148"/>
      <c r="GA60" s="148"/>
      <c r="GB60" s="148"/>
      <c r="GC60" s="148"/>
      <c r="GD60" s="148"/>
      <c r="GE60" s="148"/>
      <c r="GF60" s="148"/>
      <c r="GG60" s="148"/>
      <c r="GH60" s="148"/>
      <c r="GI60" s="148"/>
      <c r="GJ60" s="148"/>
      <c r="GK60" s="148"/>
      <c r="GL60" s="148"/>
      <c r="GM60" s="148"/>
      <c r="GN60" s="148"/>
      <c r="GO60" s="148"/>
      <c r="GP60" s="148"/>
      <c r="GQ60" s="148"/>
      <c r="GR60" s="148"/>
      <c r="GS60" s="148"/>
      <c r="GT60" s="148"/>
      <c r="GU60" s="148"/>
      <c r="GV60" s="148"/>
      <c r="GW60" s="148"/>
      <c r="GX60" s="148"/>
      <c r="GY60" s="148"/>
      <c r="GZ60" s="148"/>
      <c r="HA60" s="148"/>
      <c r="HB60" s="148"/>
      <c r="HC60" s="148"/>
      <c r="HD60" s="148"/>
      <c r="HE60" s="148"/>
      <c r="HF60" s="148"/>
      <c r="HG60" s="148"/>
      <c r="HH60" s="148"/>
      <c r="HI60" s="148"/>
      <c r="HJ60" s="148"/>
      <c r="HK60" s="148"/>
      <c r="HL60" s="148"/>
      <c r="HM60" s="148"/>
      <c r="HN60" s="148"/>
      <c r="HO60" s="148"/>
      <c r="HP60" s="148"/>
      <c r="HQ60" s="148"/>
      <c r="HR60" s="148"/>
      <c r="HS60" s="148"/>
      <c r="HT60" s="148"/>
      <c r="HU60" s="148"/>
      <c r="HV60" s="148"/>
      <c r="HW60" s="148"/>
      <c r="HX60" s="148"/>
      <c r="HY60" s="148"/>
      <c r="HZ60" s="148"/>
      <c r="IA60" s="148"/>
      <c r="IB60" s="148"/>
      <c r="IC60" s="148"/>
    </row>
    <row r="61" spans="1:237" s="15" customFormat="1" ht="22.5" x14ac:dyDescent="0.25">
      <c r="A61" s="148"/>
      <c r="B61" s="307">
        <v>46</v>
      </c>
      <c r="C61" s="307" t="s">
        <v>38</v>
      </c>
      <c r="D61" s="450">
        <v>30462674</v>
      </c>
      <c r="E61" s="577" t="s">
        <v>2922</v>
      </c>
      <c r="F61" s="577" t="s">
        <v>204</v>
      </c>
      <c r="G61" s="533" t="s">
        <v>1902</v>
      </c>
      <c r="H61" s="553" t="s">
        <v>2904</v>
      </c>
      <c r="I61" s="534" t="s">
        <v>42</v>
      </c>
      <c r="J61" s="535">
        <v>512298</v>
      </c>
      <c r="K61" s="535">
        <v>421731</v>
      </c>
      <c r="L61" s="535">
        <v>0</v>
      </c>
      <c r="M61" s="535">
        <v>0</v>
      </c>
      <c r="N61" s="454">
        <v>0</v>
      </c>
      <c r="O61" s="454">
        <v>0</v>
      </c>
      <c r="P61" s="535">
        <v>0</v>
      </c>
      <c r="Q61" s="535">
        <v>0</v>
      </c>
      <c r="R61" s="535">
        <v>0</v>
      </c>
      <c r="S61" s="535">
        <v>0</v>
      </c>
      <c r="T61" s="535"/>
      <c r="U61" s="535"/>
      <c r="V61" s="535"/>
      <c r="W61" s="535"/>
      <c r="X61" s="535"/>
      <c r="Y61" s="535"/>
      <c r="Z61" s="660">
        <f t="shared" si="2"/>
        <v>0</v>
      </c>
      <c r="AA61" s="554">
        <v>90567</v>
      </c>
      <c r="AB61" s="558">
        <v>2</v>
      </c>
      <c r="AC61" s="545">
        <v>44209</v>
      </c>
      <c r="AD61" s="542">
        <v>44249</v>
      </c>
      <c r="AE61" s="454"/>
      <c r="AF61" s="459"/>
      <c r="AG61" s="460"/>
      <c r="AH61" s="458"/>
      <c r="AI61" s="454"/>
      <c r="AJ61" s="456"/>
      <c r="AK61" s="460"/>
      <c r="AL61" s="458"/>
      <c r="AM61" s="454"/>
      <c r="AN61" s="456"/>
      <c r="AO61" s="460"/>
      <c r="AP61" s="458"/>
      <c r="AQ61" s="454"/>
      <c r="AR61" s="456"/>
      <c r="AS61" s="460"/>
      <c r="AT61" s="458"/>
      <c r="AU61" s="22">
        <f t="shared" si="0"/>
        <v>90567</v>
      </c>
      <c r="AV61" s="546">
        <f t="shared" si="1"/>
        <v>90567</v>
      </c>
      <c r="AW61" s="148"/>
      <c r="AX61" s="148"/>
      <c r="AY61" s="148"/>
      <c r="AZ61" s="148"/>
      <c r="BA61" s="148"/>
      <c r="BB61" s="148"/>
      <c r="BC61" s="148"/>
      <c r="BD61" s="148"/>
      <c r="BE61" s="148"/>
      <c r="BF61" s="148"/>
      <c r="BG61" s="148"/>
      <c r="BH61" s="148"/>
      <c r="BI61" s="148"/>
      <c r="BJ61" s="148"/>
      <c r="BK61" s="148"/>
      <c r="BL61" s="148"/>
      <c r="BM61" s="148"/>
      <c r="BN61" s="148"/>
      <c r="BO61" s="148"/>
      <c r="BP61" s="148"/>
      <c r="BQ61" s="148"/>
      <c r="BR61" s="148"/>
      <c r="BS61" s="148"/>
      <c r="BT61" s="148"/>
      <c r="BU61" s="148"/>
      <c r="BV61" s="148"/>
      <c r="BW61" s="148"/>
      <c r="BX61" s="148"/>
      <c r="BY61" s="148"/>
      <c r="BZ61" s="148"/>
      <c r="CA61" s="148"/>
      <c r="CB61" s="148"/>
      <c r="CC61" s="148"/>
      <c r="CD61" s="148"/>
      <c r="CE61" s="148"/>
      <c r="CF61" s="148"/>
      <c r="CG61" s="148"/>
      <c r="CH61" s="148"/>
      <c r="CI61" s="148"/>
      <c r="CJ61" s="148"/>
      <c r="CK61" s="148"/>
      <c r="CL61" s="148"/>
      <c r="CM61" s="148"/>
      <c r="CN61" s="148"/>
      <c r="CO61" s="148"/>
      <c r="CP61" s="148"/>
      <c r="CQ61" s="148"/>
      <c r="CR61" s="148"/>
      <c r="CS61" s="148"/>
      <c r="CT61" s="148"/>
      <c r="CU61" s="148"/>
      <c r="CV61" s="148"/>
      <c r="CW61" s="148"/>
      <c r="CX61" s="148"/>
      <c r="CY61" s="148"/>
      <c r="CZ61" s="148"/>
      <c r="DA61" s="148"/>
      <c r="DB61" s="148"/>
      <c r="DC61" s="148"/>
      <c r="DD61" s="148"/>
      <c r="DE61" s="148"/>
      <c r="DF61" s="148"/>
      <c r="DG61" s="148"/>
      <c r="DH61" s="148"/>
      <c r="DI61" s="148"/>
      <c r="DJ61" s="148"/>
      <c r="DK61" s="148"/>
      <c r="DL61" s="148"/>
      <c r="DM61" s="148"/>
      <c r="DN61" s="148"/>
      <c r="DO61" s="148"/>
      <c r="DP61" s="148"/>
      <c r="DQ61" s="148"/>
      <c r="DR61" s="148"/>
      <c r="DS61" s="148"/>
      <c r="DT61" s="148"/>
      <c r="DU61" s="148"/>
      <c r="DV61" s="148"/>
      <c r="DW61" s="148"/>
      <c r="DX61" s="148"/>
      <c r="DY61" s="148"/>
      <c r="DZ61" s="148"/>
      <c r="EA61" s="148"/>
      <c r="EB61" s="148"/>
      <c r="EC61" s="148"/>
      <c r="ED61" s="148"/>
      <c r="EE61" s="148"/>
      <c r="EF61" s="148"/>
      <c r="EG61" s="148"/>
      <c r="EH61" s="148"/>
      <c r="EI61" s="148"/>
      <c r="EJ61" s="148"/>
      <c r="EK61" s="148"/>
      <c r="EL61" s="148"/>
      <c r="EM61" s="148"/>
      <c r="EN61" s="148"/>
      <c r="EO61" s="148"/>
      <c r="EP61" s="148"/>
      <c r="EQ61" s="148"/>
      <c r="ER61" s="148"/>
      <c r="ES61" s="148"/>
      <c r="ET61" s="148"/>
      <c r="EU61" s="148"/>
      <c r="EV61" s="148"/>
      <c r="EW61" s="148"/>
      <c r="EX61" s="148"/>
      <c r="EY61" s="148"/>
      <c r="EZ61" s="148"/>
      <c r="FA61" s="148"/>
      <c r="FB61" s="148"/>
      <c r="FC61" s="148"/>
      <c r="FD61" s="148"/>
      <c r="FE61" s="148"/>
      <c r="FF61" s="148"/>
      <c r="FG61" s="148"/>
      <c r="FH61" s="148"/>
      <c r="FI61" s="148"/>
      <c r="FJ61" s="148"/>
      <c r="FK61" s="148"/>
      <c r="FL61" s="148"/>
      <c r="FM61" s="148"/>
      <c r="FN61" s="148"/>
      <c r="FO61" s="148"/>
      <c r="FP61" s="148"/>
      <c r="FQ61" s="148"/>
      <c r="FR61" s="148"/>
      <c r="FS61" s="148"/>
      <c r="FT61" s="148"/>
      <c r="FU61" s="148"/>
      <c r="FV61" s="148"/>
      <c r="FW61" s="148"/>
      <c r="FX61" s="148"/>
      <c r="FY61" s="148"/>
      <c r="FZ61" s="148"/>
      <c r="GA61" s="148"/>
      <c r="GB61" s="148"/>
      <c r="GC61" s="148"/>
      <c r="GD61" s="148"/>
      <c r="GE61" s="148"/>
      <c r="GF61" s="148"/>
      <c r="GG61" s="148"/>
      <c r="GH61" s="148"/>
      <c r="GI61" s="148"/>
      <c r="GJ61" s="148"/>
      <c r="GK61" s="148"/>
      <c r="GL61" s="148"/>
      <c r="GM61" s="148"/>
      <c r="GN61" s="148"/>
      <c r="GO61" s="148"/>
      <c r="GP61" s="148"/>
      <c r="GQ61" s="148"/>
      <c r="GR61" s="148"/>
      <c r="GS61" s="148"/>
      <c r="GT61" s="148"/>
      <c r="GU61" s="148"/>
      <c r="GV61" s="148"/>
      <c r="GW61" s="148"/>
      <c r="GX61" s="148"/>
      <c r="GY61" s="148"/>
      <c r="GZ61" s="148"/>
      <c r="HA61" s="148"/>
      <c r="HB61" s="148"/>
      <c r="HC61" s="148"/>
      <c r="HD61" s="148"/>
      <c r="HE61" s="148"/>
      <c r="HF61" s="148"/>
      <c r="HG61" s="148"/>
      <c r="HH61" s="148"/>
      <c r="HI61" s="148"/>
      <c r="HJ61" s="148"/>
      <c r="HK61" s="148"/>
      <c r="HL61" s="148"/>
      <c r="HM61" s="148"/>
      <c r="HN61" s="148"/>
      <c r="HO61" s="148"/>
      <c r="HP61" s="148"/>
      <c r="HQ61" s="148"/>
      <c r="HR61" s="148"/>
      <c r="HS61" s="148"/>
      <c r="HT61" s="148"/>
      <c r="HU61" s="148"/>
      <c r="HV61" s="148"/>
      <c r="HW61" s="148"/>
      <c r="HX61" s="148"/>
      <c r="HY61" s="148"/>
      <c r="HZ61" s="148"/>
      <c r="IA61" s="148"/>
      <c r="IB61" s="148"/>
      <c r="IC61" s="148"/>
    </row>
    <row r="62" spans="1:237" s="15" customFormat="1" ht="22.5" x14ac:dyDescent="0.25">
      <c r="A62" s="148"/>
      <c r="B62" s="307">
        <v>47</v>
      </c>
      <c r="C62" s="307" t="s">
        <v>38</v>
      </c>
      <c r="D62" s="450">
        <v>30475641</v>
      </c>
      <c r="E62" s="577" t="s">
        <v>2923</v>
      </c>
      <c r="F62" s="577" t="s">
        <v>204</v>
      </c>
      <c r="G62" s="533" t="s">
        <v>1902</v>
      </c>
      <c r="H62" s="553" t="s">
        <v>2924</v>
      </c>
      <c r="I62" s="534" t="s">
        <v>43</v>
      </c>
      <c r="J62" s="535">
        <v>105095</v>
      </c>
      <c r="K62" s="535">
        <v>1621</v>
      </c>
      <c r="L62" s="535">
        <v>58555</v>
      </c>
      <c r="M62" s="535">
        <v>1</v>
      </c>
      <c r="N62" s="454">
        <v>0</v>
      </c>
      <c r="O62" s="454">
        <v>0</v>
      </c>
      <c r="P62" s="535">
        <v>0</v>
      </c>
      <c r="Q62" s="535">
        <v>0</v>
      </c>
      <c r="R62" s="535">
        <v>0</v>
      </c>
      <c r="S62" s="535">
        <v>0</v>
      </c>
      <c r="T62" s="535"/>
      <c r="U62" s="535"/>
      <c r="V62" s="535"/>
      <c r="W62" s="535"/>
      <c r="X62" s="535"/>
      <c r="Y62" s="535"/>
      <c r="Z62" s="660">
        <f t="shared" si="2"/>
        <v>0</v>
      </c>
      <c r="AA62" s="554">
        <v>40000</v>
      </c>
      <c r="AB62" s="558">
        <v>2</v>
      </c>
      <c r="AC62" s="545">
        <v>44209</v>
      </c>
      <c r="AD62" s="542">
        <v>44249</v>
      </c>
      <c r="AE62" s="454"/>
      <c r="AF62" s="459"/>
      <c r="AG62" s="460"/>
      <c r="AH62" s="458"/>
      <c r="AI62" s="454"/>
      <c r="AJ62" s="456"/>
      <c r="AK62" s="460"/>
      <c r="AL62" s="458"/>
      <c r="AM62" s="454"/>
      <c r="AN62" s="456"/>
      <c r="AO62" s="460"/>
      <c r="AP62" s="458"/>
      <c r="AQ62" s="454"/>
      <c r="AR62" s="456"/>
      <c r="AS62" s="460"/>
      <c r="AT62" s="458"/>
      <c r="AU62" s="22">
        <f t="shared" si="0"/>
        <v>40000</v>
      </c>
      <c r="AV62" s="546">
        <f t="shared" si="1"/>
        <v>40000</v>
      </c>
      <c r="AW62" s="148"/>
      <c r="AX62" s="148"/>
      <c r="AY62" s="148"/>
      <c r="AZ62" s="148"/>
      <c r="BA62" s="148"/>
      <c r="BB62" s="148"/>
      <c r="BC62" s="148"/>
      <c r="BD62" s="148"/>
      <c r="BE62" s="148"/>
      <c r="BF62" s="148"/>
      <c r="BG62" s="148"/>
      <c r="BH62" s="148"/>
      <c r="BI62" s="148"/>
      <c r="BJ62" s="148"/>
      <c r="BK62" s="148"/>
      <c r="BL62" s="148"/>
      <c r="BM62" s="148"/>
      <c r="BN62" s="148"/>
      <c r="BO62" s="148"/>
      <c r="BP62" s="148"/>
      <c r="BQ62" s="148"/>
      <c r="BR62" s="148"/>
      <c r="BS62" s="148"/>
      <c r="BT62" s="148"/>
      <c r="BU62" s="148"/>
      <c r="BV62" s="148"/>
      <c r="BW62" s="148"/>
      <c r="BX62" s="148"/>
      <c r="BY62" s="148"/>
      <c r="BZ62" s="148"/>
      <c r="CA62" s="148"/>
      <c r="CB62" s="148"/>
      <c r="CC62" s="148"/>
      <c r="CD62" s="148"/>
      <c r="CE62" s="148"/>
      <c r="CF62" s="148"/>
      <c r="CG62" s="148"/>
      <c r="CH62" s="148"/>
      <c r="CI62" s="148"/>
      <c r="CJ62" s="148"/>
      <c r="CK62" s="148"/>
      <c r="CL62" s="148"/>
      <c r="CM62" s="148"/>
      <c r="CN62" s="148"/>
      <c r="CO62" s="148"/>
      <c r="CP62" s="148"/>
      <c r="CQ62" s="148"/>
      <c r="CR62" s="148"/>
      <c r="CS62" s="148"/>
      <c r="CT62" s="148"/>
      <c r="CU62" s="148"/>
      <c r="CV62" s="148"/>
      <c r="CW62" s="148"/>
      <c r="CX62" s="148"/>
      <c r="CY62" s="148"/>
      <c r="CZ62" s="148"/>
      <c r="DA62" s="148"/>
      <c r="DB62" s="148"/>
      <c r="DC62" s="148"/>
      <c r="DD62" s="148"/>
      <c r="DE62" s="148"/>
      <c r="DF62" s="148"/>
      <c r="DG62" s="148"/>
      <c r="DH62" s="148"/>
      <c r="DI62" s="148"/>
      <c r="DJ62" s="148"/>
      <c r="DK62" s="148"/>
      <c r="DL62" s="148"/>
      <c r="DM62" s="148"/>
      <c r="DN62" s="148"/>
      <c r="DO62" s="148"/>
      <c r="DP62" s="148"/>
      <c r="DQ62" s="148"/>
      <c r="DR62" s="148"/>
      <c r="DS62" s="148"/>
      <c r="DT62" s="148"/>
      <c r="DU62" s="148"/>
      <c r="DV62" s="148"/>
      <c r="DW62" s="148"/>
      <c r="DX62" s="148"/>
      <c r="DY62" s="148"/>
      <c r="DZ62" s="148"/>
      <c r="EA62" s="148"/>
      <c r="EB62" s="148"/>
      <c r="EC62" s="148"/>
      <c r="ED62" s="148"/>
      <c r="EE62" s="148"/>
      <c r="EF62" s="148"/>
      <c r="EG62" s="148"/>
      <c r="EH62" s="148"/>
      <c r="EI62" s="148"/>
      <c r="EJ62" s="148"/>
      <c r="EK62" s="148"/>
      <c r="EL62" s="148"/>
      <c r="EM62" s="148"/>
      <c r="EN62" s="148"/>
      <c r="EO62" s="148"/>
      <c r="EP62" s="148"/>
      <c r="EQ62" s="148"/>
      <c r="ER62" s="148"/>
      <c r="ES62" s="148"/>
      <c r="ET62" s="148"/>
      <c r="EU62" s="148"/>
      <c r="EV62" s="148"/>
      <c r="EW62" s="148"/>
      <c r="EX62" s="148"/>
      <c r="EY62" s="148"/>
      <c r="EZ62" s="148"/>
      <c r="FA62" s="148"/>
      <c r="FB62" s="148"/>
      <c r="FC62" s="148"/>
      <c r="FD62" s="148"/>
      <c r="FE62" s="148"/>
      <c r="FF62" s="148"/>
      <c r="FG62" s="148"/>
      <c r="FH62" s="148"/>
      <c r="FI62" s="148"/>
      <c r="FJ62" s="148"/>
      <c r="FK62" s="148"/>
      <c r="FL62" s="148"/>
      <c r="FM62" s="148"/>
      <c r="FN62" s="148"/>
      <c r="FO62" s="148"/>
      <c r="FP62" s="148"/>
      <c r="FQ62" s="148"/>
      <c r="FR62" s="148"/>
      <c r="FS62" s="148"/>
      <c r="FT62" s="148"/>
      <c r="FU62" s="148"/>
      <c r="FV62" s="148"/>
      <c r="FW62" s="148"/>
      <c r="FX62" s="148"/>
      <c r="FY62" s="148"/>
      <c r="FZ62" s="148"/>
      <c r="GA62" s="148"/>
      <c r="GB62" s="148"/>
      <c r="GC62" s="148"/>
      <c r="GD62" s="148"/>
      <c r="GE62" s="148"/>
      <c r="GF62" s="148"/>
      <c r="GG62" s="148"/>
      <c r="GH62" s="148"/>
      <c r="GI62" s="148"/>
      <c r="GJ62" s="148"/>
      <c r="GK62" s="148"/>
      <c r="GL62" s="148"/>
      <c r="GM62" s="148"/>
      <c r="GN62" s="148"/>
      <c r="GO62" s="148"/>
      <c r="GP62" s="148"/>
      <c r="GQ62" s="148"/>
      <c r="GR62" s="148"/>
      <c r="GS62" s="148"/>
      <c r="GT62" s="148"/>
      <c r="GU62" s="148"/>
      <c r="GV62" s="148"/>
      <c r="GW62" s="148"/>
      <c r="GX62" s="148"/>
      <c r="GY62" s="148"/>
      <c r="GZ62" s="148"/>
      <c r="HA62" s="148"/>
      <c r="HB62" s="148"/>
      <c r="HC62" s="148"/>
      <c r="HD62" s="148"/>
      <c r="HE62" s="148"/>
      <c r="HF62" s="148"/>
      <c r="HG62" s="148"/>
      <c r="HH62" s="148"/>
      <c r="HI62" s="148"/>
      <c r="HJ62" s="148"/>
      <c r="HK62" s="148"/>
      <c r="HL62" s="148"/>
      <c r="HM62" s="148"/>
      <c r="HN62" s="148"/>
      <c r="HO62" s="148"/>
      <c r="HP62" s="148"/>
      <c r="HQ62" s="148"/>
      <c r="HR62" s="148"/>
      <c r="HS62" s="148"/>
      <c r="HT62" s="148"/>
      <c r="HU62" s="148"/>
      <c r="HV62" s="148"/>
      <c r="HW62" s="148"/>
      <c r="HX62" s="148"/>
      <c r="HY62" s="148"/>
      <c r="HZ62" s="148"/>
      <c r="IA62" s="148"/>
      <c r="IB62" s="148"/>
      <c r="IC62" s="148"/>
    </row>
    <row r="63" spans="1:237" s="15" customFormat="1" ht="22.5" x14ac:dyDescent="0.25">
      <c r="A63" s="148"/>
      <c r="B63" s="307">
        <v>48</v>
      </c>
      <c r="C63" s="307" t="s">
        <v>38</v>
      </c>
      <c r="D63" s="450">
        <v>30485165</v>
      </c>
      <c r="E63" s="577" t="s">
        <v>2925</v>
      </c>
      <c r="F63" s="577" t="s">
        <v>897</v>
      </c>
      <c r="G63" s="533" t="s">
        <v>1902</v>
      </c>
      <c r="H63" s="553" t="s">
        <v>2884</v>
      </c>
      <c r="I63" s="534" t="s">
        <v>43</v>
      </c>
      <c r="J63" s="535">
        <v>896775</v>
      </c>
      <c r="K63" s="535">
        <v>6421</v>
      </c>
      <c r="L63" s="535">
        <v>600000</v>
      </c>
      <c r="M63" s="535">
        <v>374128</v>
      </c>
      <c r="N63" s="454">
        <v>0</v>
      </c>
      <c r="O63" s="454">
        <v>0</v>
      </c>
      <c r="P63" s="535">
        <v>0</v>
      </c>
      <c r="Q63" s="535">
        <v>0</v>
      </c>
      <c r="R63" s="535">
        <v>0</v>
      </c>
      <c r="S63" s="535">
        <v>0</v>
      </c>
      <c r="T63" s="535"/>
      <c r="U63" s="535"/>
      <c r="V63" s="535"/>
      <c r="W63" s="535"/>
      <c r="X63" s="535"/>
      <c r="Y63" s="535"/>
      <c r="Z63" s="660">
        <f t="shared" si="2"/>
        <v>0</v>
      </c>
      <c r="AA63" s="554">
        <v>266226</v>
      </c>
      <c r="AB63" s="558">
        <v>2</v>
      </c>
      <c r="AC63" s="545">
        <v>44209</v>
      </c>
      <c r="AD63" s="542">
        <v>44249</v>
      </c>
      <c r="AE63" s="454"/>
      <c r="AF63" s="459"/>
      <c r="AG63" s="460"/>
      <c r="AH63" s="458"/>
      <c r="AI63" s="454"/>
      <c r="AJ63" s="456"/>
      <c r="AK63" s="460"/>
      <c r="AL63" s="458"/>
      <c r="AM63" s="454"/>
      <c r="AN63" s="456"/>
      <c r="AO63" s="460"/>
      <c r="AP63" s="458"/>
      <c r="AQ63" s="454"/>
      <c r="AR63" s="456"/>
      <c r="AS63" s="460"/>
      <c r="AT63" s="458"/>
      <c r="AU63" s="22">
        <f t="shared" si="0"/>
        <v>266226</v>
      </c>
      <c r="AV63" s="546">
        <f t="shared" si="1"/>
        <v>266226</v>
      </c>
      <c r="AW63" s="148"/>
      <c r="AX63" s="148"/>
      <c r="AY63" s="148"/>
      <c r="AZ63" s="148"/>
      <c r="BA63" s="148"/>
      <c r="BB63" s="148"/>
      <c r="BC63" s="148"/>
      <c r="BD63" s="148"/>
      <c r="BE63" s="148"/>
      <c r="BF63" s="148"/>
      <c r="BG63" s="148"/>
      <c r="BH63" s="148"/>
      <c r="BI63" s="148"/>
      <c r="BJ63" s="148"/>
      <c r="BK63" s="148"/>
      <c r="BL63" s="148"/>
      <c r="BM63" s="148"/>
      <c r="BN63" s="148"/>
      <c r="BO63" s="148"/>
      <c r="BP63" s="148"/>
      <c r="BQ63" s="148"/>
      <c r="BR63" s="148"/>
      <c r="BS63" s="148"/>
      <c r="BT63" s="148"/>
      <c r="BU63" s="148"/>
      <c r="BV63" s="148"/>
      <c r="BW63" s="148"/>
      <c r="BX63" s="148"/>
      <c r="BY63" s="148"/>
      <c r="BZ63" s="148"/>
      <c r="CA63" s="148"/>
      <c r="CB63" s="148"/>
      <c r="CC63" s="148"/>
      <c r="CD63" s="148"/>
      <c r="CE63" s="148"/>
      <c r="CF63" s="148"/>
      <c r="CG63" s="148"/>
      <c r="CH63" s="148"/>
      <c r="CI63" s="148"/>
      <c r="CJ63" s="148"/>
      <c r="CK63" s="148"/>
      <c r="CL63" s="148"/>
      <c r="CM63" s="148"/>
      <c r="CN63" s="148"/>
      <c r="CO63" s="148"/>
      <c r="CP63" s="148"/>
      <c r="CQ63" s="148"/>
      <c r="CR63" s="148"/>
      <c r="CS63" s="148"/>
      <c r="CT63" s="148"/>
      <c r="CU63" s="148"/>
      <c r="CV63" s="148"/>
      <c r="CW63" s="148"/>
      <c r="CX63" s="148"/>
      <c r="CY63" s="148"/>
      <c r="CZ63" s="148"/>
      <c r="DA63" s="148"/>
      <c r="DB63" s="148"/>
      <c r="DC63" s="148"/>
      <c r="DD63" s="148"/>
      <c r="DE63" s="148"/>
      <c r="DF63" s="148"/>
      <c r="DG63" s="148"/>
      <c r="DH63" s="148"/>
      <c r="DI63" s="148"/>
      <c r="DJ63" s="148"/>
      <c r="DK63" s="148"/>
      <c r="DL63" s="148"/>
      <c r="DM63" s="148"/>
      <c r="DN63" s="148"/>
      <c r="DO63" s="148"/>
      <c r="DP63" s="148"/>
      <c r="DQ63" s="148"/>
      <c r="DR63" s="148"/>
      <c r="DS63" s="148"/>
      <c r="DT63" s="148"/>
      <c r="DU63" s="148"/>
      <c r="DV63" s="148"/>
      <c r="DW63" s="148"/>
      <c r="DX63" s="148"/>
      <c r="DY63" s="148"/>
      <c r="DZ63" s="148"/>
      <c r="EA63" s="148"/>
      <c r="EB63" s="148"/>
      <c r="EC63" s="148"/>
      <c r="ED63" s="148"/>
      <c r="EE63" s="148"/>
      <c r="EF63" s="148"/>
      <c r="EG63" s="148"/>
      <c r="EH63" s="148"/>
      <c r="EI63" s="148"/>
      <c r="EJ63" s="148"/>
      <c r="EK63" s="148"/>
      <c r="EL63" s="148"/>
      <c r="EM63" s="148"/>
      <c r="EN63" s="148"/>
      <c r="EO63" s="148"/>
      <c r="EP63" s="148"/>
      <c r="EQ63" s="148"/>
      <c r="ER63" s="148"/>
      <c r="ES63" s="148"/>
      <c r="ET63" s="148"/>
      <c r="EU63" s="148"/>
      <c r="EV63" s="148"/>
      <c r="EW63" s="148"/>
      <c r="EX63" s="148"/>
      <c r="EY63" s="148"/>
      <c r="EZ63" s="148"/>
      <c r="FA63" s="148"/>
      <c r="FB63" s="148"/>
      <c r="FC63" s="148"/>
      <c r="FD63" s="148"/>
      <c r="FE63" s="148"/>
      <c r="FF63" s="148"/>
      <c r="FG63" s="148"/>
      <c r="FH63" s="148"/>
      <c r="FI63" s="148"/>
      <c r="FJ63" s="148"/>
      <c r="FK63" s="148"/>
      <c r="FL63" s="148"/>
      <c r="FM63" s="148"/>
      <c r="FN63" s="148"/>
      <c r="FO63" s="148"/>
      <c r="FP63" s="148"/>
      <c r="FQ63" s="148"/>
      <c r="FR63" s="148"/>
      <c r="FS63" s="148"/>
      <c r="FT63" s="148"/>
      <c r="FU63" s="148"/>
      <c r="FV63" s="148"/>
      <c r="FW63" s="148"/>
      <c r="FX63" s="148"/>
      <c r="FY63" s="148"/>
      <c r="FZ63" s="148"/>
      <c r="GA63" s="148"/>
      <c r="GB63" s="148"/>
      <c r="GC63" s="148"/>
      <c r="GD63" s="148"/>
      <c r="GE63" s="148"/>
      <c r="GF63" s="148"/>
      <c r="GG63" s="148"/>
      <c r="GH63" s="148"/>
      <c r="GI63" s="148"/>
      <c r="GJ63" s="148"/>
      <c r="GK63" s="148"/>
      <c r="GL63" s="148"/>
      <c r="GM63" s="148"/>
      <c r="GN63" s="148"/>
      <c r="GO63" s="148"/>
      <c r="GP63" s="148"/>
      <c r="GQ63" s="148"/>
      <c r="GR63" s="148"/>
      <c r="GS63" s="148"/>
      <c r="GT63" s="148"/>
      <c r="GU63" s="148"/>
      <c r="GV63" s="148"/>
      <c r="GW63" s="148"/>
      <c r="GX63" s="148"/>
      <c r="GY63" s="148"/>
      <c r="GZ63" s="148"/>
      <c r="HA63" s="148"/>
      <c r="HB63" s="148"/>
      <c r="HC63" s="148"/>
      <c r="HD63" s="148"/>
      <c r="HE63" s="148"/>
      <c r="HF63" s="148"/>
      <c r="HG63" s="148"/>
      <c r="HH63" s="148"/>
      <c r="HI63" s="148"/>
      <c r="HJ63" s="148"/>
      <c r="HK63" s="148"/>
      <c r="HL63" s="148"/>
      <c r="HM63" s="148"/>
      <c r="HN63" s="148"/>
      <c r="HO63" s="148"/>
      <c r="HP63" s="148"/>
      <c r="HQ63" s="148"/>
      <c r="HR63" s="148"/>
      <c r="HS63" s="148"/>
      <c r="HT63" s="148"/>
      <c r="HU63" s="148"/>
      <c r="HV63" s="148"/>
      <c r="HW63" s="148"/>
      <c r="HX63" s="148"/>
      <c r="HY63" s="148"/>
      <c r="HZ63" s="148"/>
      <c r="IA63" s="148"/>
      <c r="IB63" s="148"/>
      <c r="IC63" s="148"/>
    </row>
    <row r="64" spans="1:237" s="15" customFormat="1" ht="33.75" x14ac:dyDescent="0.25">
      <c r="A64" s="148"/>
      <c r="B64" s="307">
        <v>49</v>
      </c>
      <c r="C64" s="307" t="s">
        <v>38</v>
      </c>
      <c r="D64" s="450">
        <v>30485246</v>
      </c>
      <c r="E64" s="577" t="s">
        <v>2926</v>
      </c>
      <c r="F64" s="577" t="s">
        <v>204</v>
      </c>
      <c r="G64" s="533" t="s">
        <v>1902</v>
      </c>
      <c r="H64" s="553" t="s">
        <v>2927</v>
      </c>
      <c r="I64" s="534" t="s">
        <v>43</v>
      </c>
      <c r="J64" s="535">
        <v>735100</v>
      </c>
      <c r="K64" s="535">
        <v>0</v>
      </c>
      <c r="L64" s="535">
        <v>409493</v>
      </c>
      <c r="M64" s="535">
        <v>408839</v>
      </c>
      <c r="N64" s="454">
        <v>0</v>
      </c>
      <c r="O64" s="454">
        <v>0</v>
      </c>
      <c r="P64" s="535">
        <v>0</v>
      </c>
      <c r="Q64" s="535">
        <v>0</v>
      </c>
      <c r="R64" s="535">
        <v>0</v>
      </c>
      <c r="S64" s="535">
        <v>0</v>
      </c>
      <c r="T64" s="535"/>
      <c r="U64" s="535"/>
      <c r="V64" s="535"/>
      <c r="W64" s="535"/>
      <c r="X64" s="535"/>
      <c r="Y64" s="535"/>
      <c r="Z64" s="660">
        <f t="shared" si="2"/>
        <v>0</v>
      </c>
      <c r="AA64" s="554">
        <v>326261</v>
      </c>
      <c r="AB64" s="558">
        <v>2</v>
      </c>
      <c r="AC64" s="545">
        <v>44209</v>
      </c>
      <c r="AD64" s="542">
        <v>44249</v>
      </c>
      <c r="AE64" s="454"/>
      <c r="AF64" s="459"/>
      <c r="AG64" s="460"/>
      <c r="AH64" s="458"/>
      <c r="AI64" s="454"/>
      <c r="AJ64" s="456"/>
      <c r="AK64" s="460"/>
      <c r="AL64" s="458"/>
      <c r="AM64" s="454"/>
      <c r="AN64" s="456"/>
      <c r="AO64" s="460"/>
      <c r="AP64" s="458"/>
      <c r="AQ64" s="454"/>
      <c r="AR64" s="456"/>
      <c r="AS64" s="460"/>
      <c r="AT64" s="458"/>
      <c r="AU64" s="22">
        <f t="shared" si="0"/>
        <v>326261</v>
      </c>
      <c r="AV64" s="546">
        <f t="shared" si="1"/>
        <v>326261</v>
      </c>
      <c r="AW64" s="148"/>
      <c r="AX64" s="148"/>
      <c r="AY64" s="148"/>
      <c r="AZ64" s="148"/>
      <c r="BA64" s="148"/>
      <c r="BB64" s="148"/>
      <c r="BC64" s="148"/>
      <c r="BD64" s="148"/>
      <c r="BE64" s="148"/>
      <c r="BF64" s="148"/>
      <c r="BG64" s="148"/>
      <c r="BH64" s="148"/>
      <c r="BI64" s="148"/>
      <c r="BJ64" s="148"/>
      <c r="BK64" s="148"/>
      <c r="BL64" s="148"/>
      <c r="BM64" s="148"/>
      <c r="BN64" s="148"/>
      <c r="BO64" s="148"/>
      <c r="BP64" s="148"/>
      <c r="BQ64" s="148"/>
      <c r="BR64" s="148"/>
      <c r="BS64" s="148"/>
      <c r="BT64" s="148"/>
      <c r="BU64" s="148"/>
      <c r="BV64" s="148"/>
      <c r="BW64" s="148"/>
      <c r="BX64" s="148"/>
      <c r="BY64" s="148"/>
      <c r="BZ64" s="148"/>
      <c r="CA64" s="148"/>
      <c r="CB64" s="148"/>
      <c r="CC64" s="148"/>
      <c r="CD64" s="148"/>
      <c r="CE64" s="148"/>
      <c r="CF64" s="148"/>
      <c r="CG64" s="148"/>
      <c r="CH64" s="148"/>
      <c r="CI64" s="148"/>
      <c r="CJ64" s="148"/>
      <c r="CK64" s="148"/>
      <c r="CL64" s="148"/>
      <c r="CM64" s="148"/>
      <c r="CN64" s="148"/>
      <c r="CO64" s="148"/>
      <c r="CP64" s="148"/>
      <c r="CQ64" s="148"/>
      <c r="CR64" s="148"/>
      <c r="CS64" s="148"/>
      <c r="CT64" s="148"/>
      <c r="CU64" s="148"/>
      <c r="CV64" s="148"/>
      <c r="CW64" s="148"/>
      <c r="CX64" s="148"/>
      <c r="CY64" s="148"/>
      <c r="CZ64" s="148"/>
      <c r="DA64" s="148"/>
      <c r="DB64" s="148"/>
      <c r="DC64" s="148"/>
      <c r="DD64" s="148"/>
      <c r="DE64" s="148"/>
      <c r="DF64" s="148"/>
      <c r="DG64" s="148"/>
      <c r="DH64" s="148"/>
      <c r="DI64" s="148"/>
      <c r="DJ64" s="148"/>
      <c r="DK64" s="148"/>
      <c r="DL64" s="148"/>
      <c r="DM64" s="148"/>
      <c r="DN64" s="148"/>
      <c r="DO64" s="148"/>
      <c r="DP64" s="148"/>
      <c r="DQ64" s="148"/>
      <c r="DR64" s="148"/>
      <c r="DS64" s="148"/>
      <c r="DT64" s="148"/>
      <c r="DU64" s="148"/>
      <c r="DV64" s="148"/>
      <c r="DW64" s="148"/>
      <c r="DX64" s="148"/>
      <c r="DY64" s="148"/>
      <c r="DZ64" s="148"/>
      <c r="EA64" s="148"/>
      <c r="EB64" s="148"/>
      <c r="EC64" s="148"/>
      <c r="ED64" s="148"/>
      <c r="EE64" s="148"/>
      <c r="EF64" s="148"/>
      <c r="EG64" s="148"/>
      <c r="EH64" s="148"/>
      <c r="EI64" s="148"/>
      <c r="EJ64" s="148"/>
      <c r="EK64" s="148"/>
      <c r="EL64" s="148"/>
      <c r="EM64" s="148"/>
      <c r="EN64" s="148"/>
      <c r="EO64" s="148"/>
      <c r="EP64" s="148"/>
      <c r="EQ64" s="148"/>
      <c r="ER64" s="148"/>
      <c r="ES64" s="148"/>
      <c r="ET64" s="148"/>
      <c r="EU64" s="148"/>
      <c r="EV64" s="148"/>
      <c r="EW64" s="148"/>
      <c r="EX64" s="148"/>
      <c r="EY64" s="148"/>
      <c r="EZ64" s="148"/>
      <c r="FA64" s="148"/>
      <c r="FB64" s="148"/>
      <c r="FC64" s="148"/>
      <c r="FD64" s="148"/>
      <c r="FE64" s="148"/>
      <c r="FF64" s="148"/>
      <c r="FG64" s="148"/>
      <c r="FH64" s="148"/>
      <c r="FI64" s="148"/>
      <c r="FJ64" s="148"/>
      <c r="FK64" s="148"/>
      <c r="FL64" s="148"/>
      <c r="FM64" s="148"/>
      <c r="FN64" s="148"/>
      <c r="FO64" s="148"/>
      <c r="FP64" s="148"/>
      <c r="FQ64" s="148"/>
      <c r="FR64" s="148"/>
      <c r="FS64" s="148"/>
      <c r="FT64" s="148"/>
      <c r="FU64" s="148"/>
      <c r="FV64" s="148"/>
      <c r="FW64" s="148"/>
      <c r="FX64" s="148"/>
      <c r="FY64" s="148"/>
      <c r="FZ64" s="148"/>
      <c r="GA64" s="148"/>
      <c r="GB64" s="148"/>
      <c r="GC64" s="148"/>
      <c r="GD64" s="148"/>
      <c r="GE64" s="148"/>
      <c r="GF64" s="148"/>
      <c r="GG64" s="148"/>
      <c r="GH64" s="148"/>
      <c r="GI64" s="148"/>
      <c r="GJ64" s="148"/>
      <c r="GK64" s="148"/>
      <c r="GL64" s="148"/>
      <c r="GM64" s="148"/>
      <c r="GN64" s="148"/>
      <c r="GO64" s="148"/>
      <c r="GP64" s="148"/>
      <c r="GQ64" s="148"/>
      <c r="GR64" s="148"/>
      <c r="GS64" s="148"/>
      <c r="GT64" s="148"/>
      <c r="GU64" s="148"/>
      <c r="GV64" s="148"/>
      <c r="GW64" s="148"/>
      <c r="GX64" s="148"/>
      <c r="GY64" s="148"/>
      <c r="GZ64" s="148"/>
      <c r="HA64" s="148"/>
      <c r="HB64" s="148"/>
      <c r="HC64" s="148"/>
      <c r="HD64" s="148"/>
      <c r="HE64" s="148"/>
      <c r="HF64" s="148"/>
      <c r="HG64" s="148"/>
      <c r="HH64" s="148"/>
      <c r="HI64" s="148"/>
      <c r="HJ64" s="148"/>
      <c r="HK64" s="148"/>
      <c r="HL64" s="148"/>
      <c r="HM64" s="148"/>
      <c r="HN64" s="148"/>
      <c r="HO64" s="148"/>
      <c r="HP64" s="148"/>
      <c r="HQ64" s="148"/>
      <c r="HR64" s="148"/>
      <c r="HS64" s="148"/>
      <c r="HT64" s="148"/>
      <c r="HU64" s="148"/>
      <c r="HV64" s="148"/>
      <c r="HW64" s="148"/>
      <c r="HX64" s="148"/>
      <c r="HY64" s="148"/>
      <c r="HZ64" s="148"/>
      <c r="IA64" s="148"/>
      <c r="IB64" s="148"/>
      <c r="IC64" s="148"/>
    </row>
    <row r="65" spans="1:237" s="15" customFormat="1" ht="22.5" x14ac:dyDescent="0.25">
      <c r="A65" s="148"/>
      <c r="B65" s="307">
        <v>50</v>
      </c>
      <c r="C65" s="307" t="s">
        <v>38</v>
      </c>
      <c r="D65" s="450">
        <v>30485723</v>
      </c>
      <c r="E65" s="577" t="s">
        <v>2928</v>
      </c>
      <c r="F65" s="577" t="s">
        <v>897</v>
      </c>
      <c r="G65" s="533" t="s">
        <v>1902</v>
      </c>
      <c r="H65" s="553" t="s">
        <v>2890</v>
      </c>
      <c r="I65" s="534" t="s">
        <v>42</v>
      </c>
      <c r="J65" s="535">
        <v>153288</v>
      </c>
      <c r="K65" s="535">
        <v>96507</v>
      </c>
      <c r="L65" s="535">
        <v>0</v>
      </c>
      <c r="M65" s="535">
        <v>0</v>
      </c>
      <c r="N65" s="454">
        <v>0</v>
      </c>
      <c r="O65" s="454">
        <v>32227.534</v>
      </c>
      <c r="P65" s="535">
        <v>11627.496999999999</v>
      </c>
      <c r="Q65" s="535">
        <v>0</v>
      </c>
      <c r="R65" s="535">
        <f>7390334/1000</f>
        <v>7390.3339999999998</v>
      </c>
      <c r="S65" s="535">
        <v>0</v>
      </c>
      <c r="T65" s="535"/>
      <c r="U65" s="535"/>
      <c r="V65" s="535"/>
      <c r="W65" s="535"/>
      <c r="X65" s="535"/>
      <c r="Y65" s="535"/>
      <c r="Z65" s="660">
        <f t="shared" si="2"/>
        <v>51245.365000000005</v>
      </c>
      <c r="AA65" s="554">
        <v>56781</v>
      </c>
      <c r="AB65" s="558">
        <v>2</v>
      </c>
      <c r="AC65" s="545">
        <v>44209</v>
      </c>
      <c r="AD65" s="542">
        <v>44249</v>
      </c>
      <c r="AE65" s="454"/>
      <c r="AF65" s="459"/>
      <c r="AG65" s="460"/>
      <c r="AH65" s="458"/>
      <c r="AI65" s="454"/>
      <c r="AJ65" s="456"/>
      <c r="AK65" s="460"/>
      <c r="AL65" s="458"/>
      <c r="AM65" s="454"/>
      <c r="AN65" s="456"/>
      <c r="AO65" s="460"/>
      <c r="AP65" s="458"/>
      <c r="AQ65" s="454"/>
      <c r="AR65" s="456"/>
      <c r="AS65" s="460"/>
      <c r="AT65" s="458"/>
      <c r="AU65" s="22">
        <f t="shared" si="0"/>
        <v>56781</v>
      </c>
      <c r="AV65" s="546">
        <f t="shared" si="1"/>
        <v>5535.6349999999948</v>
      </c>
      <c r="AW65" s="148"/>
      <c r="AX65" s="148"/>
      <c r="AY65" s="148"/>
      <c r="AZ65" s="148"/>
      <c r="BA65" s="148"/>
      <c r="BB65" s="148"/>
      <c r="BC65" s="148"/>
      <c r="BD65" s="148"/>
      <c r="BE65" s="148"/>
      <c r="BF65" s="148"/>
      <c r="BG65" s="148"/>
      <c r="BH65" s="148"/>
      <c r="BI65" s="148"/>
      <c r="BJ65" s="148"/>
      <c r="BK65" s="148"/>
      <c r="BL65" s="148"/>
      <c r="BM65" s="148"/>
      <c r="BN65" s="148"/>
      <c r="BO65" s="148"/>
      <c r="BP65" s="148"/>
      <c r="BQ65" s="148"/>
      <c r="BR65" s="148"/>
      <c r="BS65" s="148"/>
      <c r="BT65" s="148"/>
      <c r="BU65" s="148"/>
      <c r="BV65" s="148"/>
      <c r="BW65" s="148"/>
      <c r="BX65" s="148"/>
      <c r="BY65" s="148"/>
      <c r="BZ65" s="148"/>
      <c r="CA65" s="148"/>
      <c r="CB65" s="148"/>
      <c r="CC65" s="148"/>
      <c r="CD65" s="148"/>
      <c r="CE65" s="148"/>
      <c r="CF65" s="148"/>
      <c r="CG65" s="148"/>
      <c r="CH65" s="148"/>
      <c r="CI65" s="148"/>
      <c r="CJ65" s="148"/>
      <c r="CK65" s="148"/>
      <c r="CL65" s="148"/>
      <c r="CM65" s="148"/>
      <c r="CN65" s="148"/>
      <c r="CO65" s="148"/>
      <c r="CP65" s="148"/>
      <c r="CQ65" s="148"/>
      <c r="CR65" s="148"/>
      <c r="CS65" s="148"/>
      <c r="CT65" s="148"/>
      <c r="CU65" s="148"/>
      <c r="CV65" s="148"/>
      <c r="CW65" s="148"/>
      <c r="CX65" s="148"/>
      <c r="CY65" s="148"/>
      <c r="CZ65" s="148"/>
      <c r="DA65" s="148"/>
      <c r="DB65" s="148"/>
      <c r="DC65" s="148"/>
      <c r="DD65" s="148"/>
      <c r="DE65" s="148"/>
      <c r="DF65" s="148"/>
      <c r="DG65" s="148"/>
      <c r="DH65" s="148"/>
      <c r="DI65" s="148"/>
      <c r="DJ65" s="148"/>
      <c r="DK65" s="148"/>
      <c r="DL65" s="148"/>
      <c r="DM65" s="148"/>
      <c r="DN65" s="148"/>
      <c r="DO65" s="148"/>
      <c r="DP65" s="148"/>
      <c r="DQ65" s="148"/>
      <c r="DR65" s="148"/>
      <c r="DS65" s="148"/>
      <c r="DT65" s="148"/>
      <c r="DU65" s="148"/>
      <c r="DV65" s="148"/>
      <c r="DW65" s="148"/>
      <c r="DX65" s="148"/>
      <c r="DY65" s="148"/>
      <c r="DZ65" s="148"/>
      <c r="EA65" s="148"/>
      <c r="EB65" s="148"/>
      <c r="EC65" s="148"/>
      <c r="ED65" s="148"/>
      <c r="EE65" s="148"/>
      <c r="EF65" s="148"/>
      <c r="EG65" s="148"/>
      <c r="EH65" s="148"/>
      <c r="EI65" s="148"/>
      <c r="EJ65" s="148"/>
      <c r="EK65" s="148"/>
      <c r="EL65" s="148"/>
      <c r="EM65" s="148"/>
      <c r="EN65" s="148"/>
      <c r="EO65" s="148"/>
      <c r="EP65" s="148"/>
      <c r="EQ65" s="148"/>
      <c r="ER65" s="148"/>
      <c r="ES65" s="148"/>
      <c r="ET65" s="148"/>
      <c r="EU65" s="148"/>
      <c r="EV65" s="148"/>
      <c r="EW65" s="148"/>
      <c r="EX65" s="148"/>
      <c r="EY65" s="148"/>
      <c r="EZ65" s="148"/>
      <c r="FA65" s="148"/>
      <c r="FB65" s="148"/>
      <c r="FC65" s="148"/>
      <c r="FD65" s="148"/>
      <c r="FE65" s="148"/>
      <c r="FF65" s="148"/>
      <c r="FG65" s="148"/>
      <c r="FH65" s="148"/>
      <c r="FI65" s="148"/>
      <c r="FJ65" s="148"/>
      <c r="FK65" s="148"/>
      <c r="FL65" s="148"/>
      <c r="FM65" s="148"/>
      <c r="FN65" s="148"/>
      <c r="FO65" s="148"/>
      <c r="FP65" s="148"/>
      <c r="FQ65" s="148"/>
      <c r="FR65" s="148"/>
      <c r="FS65" s="148"/>
      <c r="FT65" s="148"/>
      <c r="FU65" s="148"/>
      <c r="FV65" s="148"/>
      <c r="FW65" s="148"/>
      <c r="FX65" s="148"/>
      <c r="FY65" s="148"/>
      <c r="FZ65" s="148"/>
      <c r="GA65" s="148"/>
      <c r="GB65" s="148"/>
      <c r="GC65" s="148"/>
      <c r="GD65" s="148"/>
      <c r="GE65" s="148"/>
      <c r="GF65" s="148"/>
      <c r="GG65" s="148"/>
      <c r="GH65" s="148"/>
      <c r="GI65" s="148"/>
      <c r="GJ65" s="148"/>
      <c r="GK65" s="148"/>
      <c r="GL65" s="148"/>
      <c r="GM65" s="148"/>
      <c r="GN65" s="148"/>
      <c r="GO65" s="148"/>
      <c r="GP65" s="148"/>
      <c r="GQ65" s="148"/>
      <c r="GR65" s="148"/>
      <c r="GS65" s="148"/>
      <c r="GT65" s="148"/>
      <c r="GU65" s="148"/>
      <c r="GV65" s="148"/>
      <c r="GW65" s="148"/>
      <c r="GX65" s="148"/>
      <c r="GY65" s="148"/>
      <c r="GZ65" s="148"/>
      <c r="HA65" s="148"/>
      <c r="HB65" s="148"/>
      <c r="HC65" s="148"/>
      <c r="HD65" s="148"/>
      <c r="HE65" s="148"/>
      <c r="HF65" s="148"/>
      <c r="HG65" s="148"/>
      <c r="HH65" s="148"/>
      <c r="HI65" s="148"/>
      <c r="HJ65" s="148"/>
      <c r="HK65" s="148"/>
      <c r="HL65" s="148"/>
      <c r="HM65" s="148"/>
      <c r="HN65" s="148"/>
      <c r="HO65" s="148"/>
      <c r="HP65" s="148"/>
      <c r="HQ65" s="148"/>
      <c r="HR65" s="148"/>
      <c r="HS65" s="148"/>
      <c r="HT65" s="148"/>
      <c r="HU65" s="148"/>
      <c r="HV65" s="148"/>
      <c r="HW65" s="148"/>
      <c r="HX65" s="148"/>
      <c r="HY65" s="148"/>
      <c r="HZ65" s="148"/>
      <c r="IA65" s="148"/>
      <c r="IB65" s="148"/>
      <c r="IC65" s="148"/>
    </row>
    <row r="66" spans="1:237" s="15" customFormat="1" ht="22.5" x14ac:dyDescent="0.25">
      <c r="A66" s="148"/>
      <c r="B66" s="307">
        <v>51</v>
      </c>
      <c r="C66" s="307" t="s">
        <v>38</v>
      </c>
      <c r="D66" s="450">
        <v>40000189</v>
      </c>
      <c r="E66" s="577" t="s">
        <v>2929</v>
      </c>
      <c r="F66" s="577" t="s">
        <v>897</v>
      </c>
      <c r="G66" s="533" t="s">
        <v>1902</v>
      </c>
      <c r="H66" s="553" t="s">
        <v>2930</v>
      </c>
      <c r="I66" s="534" t="s">
        <v>42</v>
      </c>
      <c r="J66" s="535">
        <v>272856</v>
      </c>
      <c r="K66" s="535">
        <v>252623</v>
      </c>
      <c r="L66" s="535">
        <v>0</v>
      </c>
      <c r="M66" s="535">
        <v>0</v>
      </c>
      <c r="N66" s="454">
        <v>0</v>
      </c>
      <c r="O66" s="454">
        <v>0</v>
      </c>
      <c r="P66" s="535">
        <v>0</v>
      </c>
      <c r="Q66" s="535">
        <v>0</v>
      </c>
      <c r="R66" s="535">
        <v>0</v>
      </c>
      <c r="S66" s="535">
        <v>0</v>
      </c>
      <c r="T66" s="535"/>
      <c r="U66" s="535"/>
      <c r="V66" s="535"/>
      <c r="W66" s="535"/>
      <c r="X66" s="535"/>
      <c r="Y66" s="535"/>
      <c r="Z66" s="660">
        <f t="shared" si="2"/>
        <v>0</v>
      </c>
      <c r="AA66" s="554">
        <v>10000</v>
      </c>
      <c r="AB66" s="558">
        <v>2</v>
      </c>
      <c r="AC66" s="545">
        <v>44209</v>
      </c>
      <c r="AD66" s="542">
        <v>44249</v>
      </c>
      <c r="AE66" s="454"/>
      <c r="AF66" s="459"/>
      <c r="AG66" s="460"/>
      <c r="AH66" s="458"/>
      <c r="AI66" s="454"/>
      <c r="AJ66" s="456"/>
      <c r="AK66" s="460"/>
      <c r="AL66" s="458"/>
      <c r="AM66" s="454"/>
      <c r="AN66" s="456"/>
      <c r="AO66" s="460"/>
      <c r="AP66" s="458"/>
      <c r="AQ66" s="454"/>
      <c r="AR66" s="456"/>
      <c r="AS66" s="460"/>
      <c r="AT66" s="458"/>
      <c r="AU66" s="22">
        <f t="shared" si="0"/>
        <v>10000</v>
      </c>
      <c r="AV66" s="546">
        <f t="shared" si="1"/>
        <v>10000</v>
      </c>
      <c r="AW66" s="148"/>
      <c r="AX66" s="148"/>
      <c r="AY66" s="148"/>
      <c r="AZ66" s="148"/>
      <c r="BA66" s="148"/>
      <c r="BB66" s="148"/>
      <c r="BC66" s="148"/>
      <c r="BD66" s="148"/>
      <c r="BE66" s="148"/>
      <c r="BF66" s="148"/>
      <c r="BG66" s="148"/>
      <c r="BH66" s="148"/>
      <c r="BI66" s="148"/>
      <c r="BJ66" s="148"/>
      <c r="BK66" s="148"/>
      <c r="BL66" s="148"/>
      <c r="BM66" s="148"/>
      <c r="BN66" s="148"/>
      <c r="BO66" s="148"/>
      <c r="BP66" s="148"/>
      <c r="BQ66" s="148"/>
      <c r="BR66" s="148"/>
      <c r="BS66" s="148"/>
      <c r="BT66" s="148"/>
      <c r="BU66" s="148"/>
      <c r="BV66" s="148"/>
      <c r="BW66" s="148"/>
      <c r="BX66" s="148"/>
      <c r="BY66" s="148"/>
      <c r="BZ66" s="148"/>
      <c r="CA66" s="148"/>
      <c r="CB66" s="148"/>
      <c r="CC66" s="148"/>
      <c r="CD66" s="148"/>
      <c r="CE66" s="148"/>
      <c r="CF66" s="148"/>
      <c r="CG66" s="148"/>
      <c r="CH66" s="148"/>
      <c r="CI66" s="148"/>
      <c r="CJ66" s="148"/>
      <c r="CK66" s="148"/>
      <c r="CL66" s="148"/>
      <c r="CM66" s="148"/>
      <c r="CN66" s="148"/>
      <c r="CO66" s="148"/>
      <c r="CP66" s="148"/>
      <c r="CQ66" s="148"/>
      <c r="CR66" s="148"/>
      <c r="CS66" s="148"/>
      <c r="CT66" s="148"/>
      <c r="CU66" s="148"/>
      <c r="CV66" s="148"/>
      <c r="CW66" s="148"/>
      <c r="CX66" s="148"/>
      <c r="CY66" s="148"/>
      <c r="CZ66" s="148"/>
      <c r="DA66" s="148"/>
      <c r="DB66" s="148"/>
      <c r="DC66" s="148"/>
      <c r="DD66" s="148"/>
      <c r="DE66" s="148"/>
      <c r="DF66" s="148"/>
      <c r="DG66" s="148"/>
      <c r="DH66" s="148"/>
      <c r="DI66" s="148"/>
      <c r="DJ66" s="148"/>
      <c r="DK66" s="148"/>
      <c r="DL66" s="148"/>
      <c r="DM66" s="148"/>
      <c r="DN66" s="148"/>
      <c r="DO66" s="148"/>
      <c r="DP66" s="148"/>
      <c r="DQ66" s="148"/>
      <c r="DR66" s="148"/>
      <c r="DS66" s="148"/>
      <c r="DT66" s="148"/>
      <c r="DU66" s="148"/>
      <c r="DV66" s="148"/>
      <c r="DW66" s="148"/>
      <c r="DX66" s="148"/>
      <c r="DY66" s="148"/>
      <c r="DZ66" s="148"/>
      <c r="EA66" s="148"/>
      <c r="EB66" s="148"/>
      <c r="EC66" s="148"/>
      <c r="ED66" s="148"/>
      <c r="EE66" s="148"/>
      <c r="EF66" s="148"/>
      <c r="EG66" s="148"/>
      <c r="EH66" s="148"/>
      <c r="EI66" s="148"/>
      <c r="EJ66" s="148"/>
      <c r="EK66" s="148"/>
      <c r="EL66" s="148"/>
      <c r="EM66" s="148"/>
      <c r="EN66" s="148"/>
      <c r="EO66" s="148"/>
      <c r="EP66" s="148"/>
      <c r="EQ66" s="148"/>
      <c r="ER66" s="148"/>
      <c r="ES66" s="148"/>
      <c r="ET66" s="148"/>
      <c r="EU66" s="148"/>
      <c r="EV66" s="148"/>
      <c r="EW66" s="148"/>
      <c r="EX66" s="148"/>
      <c r="EY66" s="148"/>
      <c r="EZ66" s="148"/>
      <c r="FA66" s="148"/>
      <c r="FB66" s="148"/>
      <c r="FC66" s="148"/>
      <c r="FD66" s="148"/>
      <c r="FE66" s="148"/>
      <c r="FF66" s="148"/>
      <c r="FG66" s="148"/>
      <c r="FH66" s="148"/>
      <c r="FI66" s="148"/>
      <c r="FJ66" s="148"/>
      <c r="FK66" s="148"/>
      <c r="FL66" s="148"/>
      <c r="FM66" s="148"/>
      <c r="FN66" s="148"/>
      <c r="FO66" s="148"/>
      <c r="FP66" s="148"/>
      <c r="FQ66" s="148"/>
      <c r="FR66" s="148"/>
      <c r="FS66" s="148"/>
      <c r="FT66" s="148"/>
      <c r="FU66" s="148"/>
      <c r="FV66" s="148"/>
      <c r="FW66" s="148"/>
      <c r="FX66" s="148"/>
      <c r="FY66" s="148"/>
      <c r="FZ66" s="148"/>
      <c r="GA66" s="148"/>
      <c r="GB66" s="148"/>
      <c r="GC66" s="148"/>
      <c r="GD66" s="148"/>
      <c r="GE66" s="148"/>
      <c r="GF66" s="148"/>
      <c r="GG66" s="148"/>
      <c r="GH66" s="148"/>
      <c r="GI66" s="148"/>
      <c r="GJ66" s="148"/>
      <c r="GK66" s="148"/>
      <c r="GL66" s="148"/>
      <c r="GM66" s="148"/>
      <c r="GN66" s="148"/>
      <c r="GO66" s="148"/>
      <c r="GP66" s="148"/>
      <c r="GQ66" s="148"/>
      <c r="GR66" s="148"/>
      <c r="GS66" s="148"/>
      <c r="GT66" s="148"/>
      <c r="GU66" s="148"/>
      <c r="GV66" s="148"/>
      <c r="GW66" s="148"/>
      <c r="GX66" s="148"/>
      <c r="GY66" s="148"/>
      <c r="GZ66" s="148"/>
      <c r="HA66" s="148"/>
      <c r="HB66" s="148"/>
      <c r="HC66" s="148"/>
      <c r="HD66" s="148"/>
      <c r="HE66" s="148"/>
      <c r="HF66" s="148"/>
      <c r="HG66" s="148"/>
      <c r="HH66" s="148"/>
      <c r="HI66" s="148"/>
      <c r="HJ66" s="148"/>
      <c r="HK66" s="148"/>
      <c r="HL66" s="148"/>
      <c r="HM66" s="148"/>
      <c r="HN66" s="148"/>
      <c r="HO66" s="148"/>
      <c r="HP66" s="148"/>
      <c r="HQ66" s="148"/>
      <c r="HR66" s="148"/>
      <c r="HS66" s="148"/>
      <c r="HT66" s="148"/>
      <c r="HU66" s="148"/>
      <c r="HV66" s="148"/>
      <c r="HW66" s="148"/>
      <c r="HX66" s="148"/>
      <c r="HY66" s="148"/>
      <c r="HZ66" s="148"/>
      <c r="IA66" s="148"/>
      <c r="IB66" s="148"/>
      <c r="IC66" s="148"/>
    </row>
    <row r="67" spans="1:237" s="15" customFormat="1" ht="22.5" x14ac:dyDescent="0.25">
      <c r="A67" s="148"/>
      <c r="B67" s="307">
        <v>52</v>
      </c>
      <c r="C67" s="307" t="s">
        <v>38</v>
      </c>
      <c r="D67" s="450">
        <v>40001803</v>
      </c>
      <c r="E67" s="577" t="s">
        <v>2931</v>
      </c>
      <c r="F67" s="577" t="s">
        <v>897</v>
      </c>
      <c r="G67" s="533" t="s">
        <v>1902</v>
      </c>
      <c r="H67" s="553" t="s">
        <v>2932</v>
      </c>
      <c r="I67" s="534" t="s">
        <v>42</v>
      </c>
      <c r="J67" s="535">
        <v>3973887</v>
      </c>
      <c r="K67" s="535">
        <v>16953</v>
      </c>
      <c r="L67" s="535">
        <v>3100226</v>
      </c>
      <c r="M67" s="535">
        <v>2102655</v>
      </c>
      <c r="N67" s="454">
        <v>0</v>
      </c>
      <c r="O67" s="454">
        <v>0</v>
      </c>
      <c r="P67" s="535">
        <v>0</v>
      </c>
      <c r="Q67" s="535">
        <v>0</v>
      </c>
      <c r="R67" s="535">
        <v>0</v>
      </c>
      <c r="S67" s="535">
        <f>20287471/1000</f>
        <v>20287.471000000001</v>
      </c>
      <c r="T67" s="535"/>
      <c r="U67" s="535"/>
      <c r="V67" s="535"/>
      <c r="W67" s="535"/>
      <c r="X67" s="535"/>
      <c r="Y67" s="535"/>
      <c r="Z67" s="660">
        <f t="shared" si="2"/>
        <v>20287.471000000001</v>
      </c>
      <c r="AA67" s="554">
        <v>800000</v>
      </c>
      <c r="AB67" s="558">
        <v>2</v>
      </c>
      <c r="AC67" s="545">
        <v>44209</v>
      </c>
      <c r="AD67" s="542">
        <v>44249</v>
      </c>
      <c r="AE67" s="454"/>
      <c r="AF67" s="459"/>
      <c r="AG67" s="460"/>
      <c r="AH67" s="458"/>
      <c r="AI67" s="454"/>
      <c r="AJ67" s="456"/>
      <c r="AK67" s="460"/>
      <c r="AL67" s="458"/>
      <c r="AM67" s="454"/>
      <c r="AN67" s="456"/>
      <c r="AO67" s="460"/>
      <c r="AP67" s="458"/>
      <c r="AQ67" s="454"/>
      <c r="AR67" s="456"/>
      <c r="AS67" s="460"/>
      <c r="AT67" s="458"/>
      <c r="AU67" s="22">
        <f t="shared" si="0"/>
        <v>800000</v>
      </c>
      <c r="AV67" s="546">
        <f t="shared" si="1"/>
        <v>779712.52899999998</v>
      </c>
      <c r="AW67" s="148"/>
      <c r="AX67" s="148"/>
      <c r="AY67" s="148"/>
      <c r="AZ67" s="148"/>
      <c r="BA67" s="148"/>
      <c r="BB67" s="148"/>
      <c r="BC67" s="148"/>
      <c r="BD67" s="148"/>
      <c r="BE67" s="148"/>
      <c r="BF67" s="148"/>
      <c r="BG67" s="148"/>
      <c r="BH67" s="148"/>
      <c r="BI67" s="148"/>
      <c r="BJ67" s="148"/>
      <c r="BK67" s="148"/>
      <c r="BL67" s="148"/>
      <c r="BM67" s="148"/>
      <c r="BN67" s="148"/>
      <c r="BO67" s="148"/>
      <c r="BP67" s="148"/>
      <c r="BQ67" s="148"/>
      <c r="BR67" s="148"/>
      <c r="BS67" s="148"/>
      <c r="BT67" s="148"/>
      <c r="BU67" s="148"/>
      <c r="BV67" s="148"/>
      <c r="BW67" s="148"/>
      <c r="BX67" s="148"/>
      <c r="BY67" s="148"/>
      <c r="BZ67" s="148"/>
      <c r="CA67" s="148"/>
      <c r="CB67" s="148"/>
      <c r="CC67" s="148"/>
      <c r="CD67" s="148"/>
      <c r="CE67" s="148"/>
      <c r="CF67" s="148"/>
      <c r="CG67" s="148"/>
      <c r="CH67" s="148"/>
      <c r="CI67" s="148"/>
      <c r="CJ67" s="148"/>
      <c r="CK67" s="148"/>
      <c r="CL67" s="148"/>
      <c r="CM67" s="148"/>
      <c r="CN67" s="148"/>
      <c r="CO67" s="148"/>
      <c r="CP67" s="148"/>
      <c r="CQ67" s="148"/>
      <c r="CR67" s="148"/>
      <c r="CS67" s="148"/>
      <c r="CT67" s="148"/>
      <c r="CU67" s="148"/>
      <c r="CV67" s="148"/>
      <c r="CW67" s="148"/>
      <c r="CX67" s="148"/>
      <c r="CY67" s="148"/>
      <c r="CZ67" s="148"/>
      <c r="DA67" s="148"/>
      <c r="DB67" s="148"/>
      <c r="DC67" s="148"/>
      <c r="DD67" s="148"/>
      <c r="DE67" s="148"/>
      <c r="DF67" s="148"/>
      <c r="DG67" s="148"/>
      <c r="DH67" s="148"/>
      <c r="DI67" s="148"/>
      <c r="DJ67" s="148"/>
      <c r="DK67" s="148"/>
      <c r="DL67" s="148"/>
      <c r="DM67" s="148"/>
      <c r="DN67" s="148"/>
      <c r="DO67" s="148"/>
      <c r="DP67" s="148"/>
      <c r="DQ67" s="148"/>
      <c r="DR67" s="148"/>
      <c r="DS67" s="148"/>
      <c r="DT67" s="148"/>
      <c r="DU67" s="148"/>
      <c r="DV67" s="148"/>
      <c r="DW67" s="148"/>
      <c r="DX67" s="148"/>
      <c r="DY67" s="148"/>
      <c r="DZ67" s="148"/>
      <c r="EA67" s="148"/>
      <c r="EB67" s="148"/>
      <c r="EC67" s="148"/>
      <c r="ED67" s="148"/>
      <c r="EE67" s="148"/>
      <c r="EF67" s="148"/>
      <c r="EG67" s="148"/>
      <c r="EH67" s="148"/>
      <c r="EI67" s="148"/>
      <c r="EJ67" s="148"/>
      <c r="EK67" s="148"/>
      <c r="EL67" s="148"/>
      <c r="EM67" s="148"/>
      <c r="EN67" s="148"/>
      <c r="EO67" s="148"/>
      <c r="EP67" s="148"/>
      <c r="EQ67" s="148"/>
      <c r="ER67" s="148"/>
      <c r="ES67" s="148"/>
      <c r="ET67" s="148"/>
      <c r="EU67" s="148"/>
      <c r="EV67" s="148"/>
      <c r="EW67" s="148"/>
      <c r="EX67" s="148"/>
      <c r="EY67" s="148"/>
      <c r="EZ67" s="148"/>
      <c r="FA67" s="148"/>
      <c r="FB67" s="148"/>
      <c r="FC67" s="148"/>
      <c r="FD67" s="148"/>
      <c r="FE67" s="148"/>
      <c r="FF67" s="148"/>
      <c r="FG67" s="148"/>
      <c r="FH67" s="148"/>
      <c r="FI67" s="148"/>
      <c r="FJ67" s="148"/>
      <c r="FK67" s="148"/>
      <c r="FL67" s="148"/>
      <c r="FM67" s="148"/>
      <c r="FN67" s="148"/>
      <c r="FO67" s="148"/>
      <c r="FP67" s="148"/>
      <c r="FQ67" s="148"/>
      <c r="FR67" s="148"/>
      <c r="FS67" s="148"/>
      <c r="FT67" s="148"/>
      <c r="FU67" s="148"/>
      <c r="FV67" s="148"/>
      <c r="FW67" s="148"/>
      <c r="FX67" s="148"/>
      <c r="FY67" s="148"/>
      <c r="FZ67" s="148"/>
      <c r="GA67" s="148"/>
      <c r="GB67" s="148"/>
      <c r="GC67" s="148"/>
      <c r="GD67" s="148"/>
      <c r="GE67" s="148"/>
      <c r="GF67" s="148"/>
      <c r="GG67" s="148"/>
      <c r="GH67" s="148"/>
      <c r="GI67" s="148"/>
      <c r="GJ67" s="148"/>
      <c r="GK67" s="148"/>
      <c r="GL67" s="148"/>
      <c r="GM67" s="148"/>
      <c r="GN67" s="148"/>
      <c r="GO67" s="148"/>
      <c r="GP67" s="148"/>
      <c r="GQ67" s="148"/>
      <c r="GR67" s="148"/>
      <c r="GS67" s="148"/>
      <c r="GT67" s="148"/>
      <c r="GU67" s="148"/>
      <c r="GV67" s="148"/>
      <c r="GW67" s="148"/>
      <c r="GX67" s="148"/>
      <c r="GY67" s="148"/>
      <c r="GZ67" s="148"/>
      <c r="HA67" s="148"/>
      <c r="HB67" s="148"/>
      <c r="HC67" s="148"/>
      <c r="HD67" s="148"/>
      <c r="HE67" s="148"/>
      <c r="HF67" s="148"/>
      <c r="HG67" s="148"/>
      <c r="HH67" s="148"/>
      <c r="HI67" s="148"/>
      <c r="HJ67" s="148"/>
      <c r="HK67" s="148"/>
      <c r="HL67" s="148"/>
      <c r="HM67" s="148"/>
      <c r="HN67" s="148"/>
      <c r="HO67" s="148"/>
      <c r="HP67" s="148"/>
      <c r="HQ67" s="148"/>
      <c r="HR67" s="148"/>
      <c r="HS67" s="148"/>
      <c r="HT67" s="148"/>
      <c r="HU67" s="148"/>
      <c r="HV67" s="148"/>
      <c r="HW67" s="148"/>
      <c r="HX67" s="148"/>
      <c r="HY67" s="148"/>
      <c r="HZ67" s="148"/>
      <c r="IA67" s="148"/>
      <c r="IB67" s="148"/>
      <c r="IC67" s="148"/>
    </row>
    <row r="68" spans="1:237" s="15" customFormat="1" ht="22.5" x14ac:dyDescent="0.25">
      <c r="A68" s="148"/>
      <c r="B68" s="307">
        <v>53</v>
      </c>
      <c r="C68" s="307" t="s">
        <v>38</v>
      </c>
      <c r="D68" s="450">
        <v>30078105</v>
      </c>
      <c r="E68" s="577" t="s">
        <v>2933</v>
      </c>
      <c r="F68" s="577" t="s">
        <v>897</v>
      </c>
      <c r="G68" s="533" t="s">
        <v>1902</v>
      </c>
      <c r="H68" s="553" t="s">
        <v>2865</v>
      </c>
      <c r="I68" s="534" t="s">
        <v>43</v>
      </c>
      <c r="J68" s="535">
        <v>2696505</v>
      </c>
      <c r="K68" s="535">
        <v>14348</v>
      </c>
      <c r="L68" s="535">
        <v>2613512</v>
      </c>
      <c r="M68" s="535">
        <v>2146110</v>
      </c>
      <c r="N68" s="454">
        <v>0</v>
      </c>
      <c r="O68" s="454">
        <v>0</v>
      </c>
      <c r="P68" s="535">
        <v>0</v>
      </c>
      <c r="Q68" s="535">
        <v>0</v>
      </c>
      <c r="R68" s="535">
        <v>0</v>
      </c>
      <c r="S68" s="535">
        <v>0</v>
      </c>
      <c r="T68" s="535"/>
      <c r="U68" s="535"/>
      <c r="V68" s="535"/>
      <c r="W68" s="535"/>
      <c r="X68" s="535"/>
      <c r="Y68" s="535"/>
      <c r="Z68" s="660">
        <f t="shared" si="2"/>
        <v>0</v>
      </c>
      <c r="AA68" s="554">
        <v>1</v>
      </c>
      <c r="AB68" s="558">
        <v>3</v>
      </c>
      <c r="AC68" s="545">
        <v>44210</v>
      </c>
      <c r="AD68" s="542">
        <v>44237</v>
      </c>
      <c r="AE68" s="454"/>
      <c r="AF68" s="459"/>
      <c r="AG68" s="460"/>
      <c r="AH68" s="458"/>
      <c r="AI68" s="454"/>
      <c r="AJ68" s="456"/>
      <c r="AK68" s="460"/>
      <c r="AL68" s="458"/>
      <c r="AM68" s="454"/>
      <c r="AN68" s="456"/>
      <c r="AO68" s="460"/>
      <c r="AP68" s="458"/>
      <c r="AQ68" s="454"/>
      <c r="AR68" s="456"/>
      <c r="AS68" s="460"/>
      <c r="AT68" s="458"/>
      <c r="AU68" s="22">
        <f t="shared" si="0"/>
        <v>1</v>
      </c>
      <c r="AV68" s="546">
        <f t="shared" si="1"/>
        <v>1</v>
      </c>
      <c r="AW68" s="148"/>
      <c r="AX68" s="148"/>
      <c r="AY68" s="148"/>
      <c r="AZ68" s="148"/>
      <c r="BA68" s="148"/>
      <c r="BB68" s="148"/>
      <c r="BC68" s="148"/>
      <c r="BD68" s="148"/>
      <c r="BE68" s="148"/>
      <c r="BF68" s="148"/>
      <c r="BG68" s="148"/>
      <c r="BH68" s="148"/>
      <c r="BI68" s="148"/>
      <c r="BJ68" s="148"/>
      <c r="BK68" s="148"/>
      <c r="BL68" s="148"/>
      <c r="BM68" s="148"/>
      <c r="BN68" s="148"/>
      <c r="BO68" s="148"/>
      <c r="BP68" s="148"/>
      <c r="BQ68" s="148"/>
      <c r="BR68" s="148"/>
      <c r="BS68" s="148"/>
      <c r="BT68" s="148"/>
      <c r="BU68" s="148"/>
      <c r="BV68" s="148"/>
      <c r="BW68" s="148"/>
      <c r="BX68" s="148"/>
      <c r="BY68" s="148"/>
      <c r="BZ68" s="148"/>
      <c r="CA68" s="148"/>
      <c r="CB68" s="148"/>
      <c r="CC68" s="148"/>
      <c r="CD68" s="148"/>
      <c r="CE68" s="148"/>
      <c r="CF68" s="148"/>
      <c r="CG68" s="148"/>
      <c r="CH68" s="148"/>
      <c r="CI68" s="148"/>
      <c r="CJ68" s="148"/>
      <c r="CK68" s="148"/>
      <c r="CL68" s="148"/>
      <c r="CM68" s="148"/>
      <c r="CN68" s="148"/>
      <c r="CO68" s="148"/>
      <c r="CP68" s="148"/>
      <c r="CQ68" s="148"/>
      <c r="CR68" s="148"/>
      <c r="CS68" s="148"/>
      <c r="CT68" s="148"/>
      <c r="CU68" s="148"/>
      <c r="CV68" s="148"/>
      <c r="CW68" s="148"/>
      <c r="CX68" s="148"/>
      <c r="CY68" s="148"/>
      <c r="CZ68" s="148"/>
      <c r="DA68" s="148"/>
      <c r="DB68" s="148"/>
      <c r="DC68" s="148"/>
      <c r="DD68" s="148"/>
      <c r="DE68" s="148"/>
      <c r="DF68" s="148"/>
      <c r="DG68" s="148"/>
      <c r="DH68" s="148"/>
      <c r="DI68" s="148"/>
      <c r="DJ68" s="148"/>
      <c r="DK68" s="148"/>
      <c r="DL68" s="148"/>
      <c r="DM68" s="148"/>
      <c r="DN68" s="148"/>
      <c r="DO68" s="148"/>
      <c r="DP68" s="148"/>
      <c r="DQ68" s="148"/>
      <c r="DR68" s="148"/>
      <c r="DS68" s="148"/>
      <c r="DT68" s="148"/>
      <c r="DU68" s="148"/>
      <c r="DV68" s="148"/>
      <c r="DW68" s="148"/>
      <c r="DX68" s="148"/>
      <c r="DY68" s="148"/>
      <c r="DZ68" s="148"/>
      <c r="EA68" s="148"/>
      <c r="EB68" s="148"/>
      <c r="EC68" s="148"/>
      <c r="ED68" s="148"/>
      <c r="EE68" s="148"/>
      <c r="EF68" s="148"/>
      <c r="EG68" s="148"/>
      <c r="EH68" s="148"/>
      <c r="EI68" s="148"/>
      <c r="EJ68" s="148"/>
      <c r="EK68" s="148"/>
      <c r="EL68" s="148"/>
      <c r="EM68" s="148"/>
      <c r="EN68" s="148"/>
      <c r="EO68" s="148"/>
      <c r="EP68" s="148"/>
      <c r="EQ68" s="148"/>
      <c r="ER68" s="148"/>
      <c r="ES68" s="148"/>
      <c r="ET68" s="148"/>
      <c r="EU68" s="148"/>
      <c r="EV68" s="148"/>
      <c r="EW68" s="148"/>
      <c r="EX68" s="148"/>
      <c r="EY68" s="148"/>
      <c r="EZ68" s="148"/>
      <c r="FA68" s="148"/>
      <c r="FB68" s="148"/>
      <c r="FC68" s="148"/>
      <c r="FD68" s="148"/>
      <c r="FE68" s="148"/>
      <c r="FF68" s="148"/>
      <c r="FG68" s="148"/>
      <c r="FH68" s="148"/>
      <c r="FI68" s="148"/>
      <c r="FJ68" s="148"/>
      <c r="FK68" s="148"/>
      <c r="FL68" s="148"/>
      <c r="FM68" s="148"/>
      <c r="FN68" s="148"/>
      <c r="FO68" s="148"/>
      <c r="FP68" s="148"/>
      <c r="FQ68" s="148"/>
      <c r="FR68" s="148"/>
      <c r="FS68" s="148"/>
      <c r="FT68" s="148"/>
      <c r="FU68" s="148"/>
      <c r="FV68" s="148"/>
      <c r="FW68" s="148"/>
      <c r="FX68" s="148"/>
      <c r="FY68" s="148"/>
      <c r="FZ68" s="148"/>
      <c r="GA68" s="148"/>
      <c r="GB68" s="148"/>
      <c r="GC68" s="148"/>
      <c r="GD68" s="148"/>
      <c r="GE68" s="148"/>
      <c r="GF68" s="148"/>
      <c r="GG68" s="148"/>
      <c r="GH68" s="148"/>
      <c r="GI68" s="148"/>
      <c r="GJ68" s="148"/>
      <c r="GK68" s="148"/>
      <c r="GL68" s="148"/>
      <c r="GM68" s="148"/>
      <c r="GN68" s="148"/>
      <c r="GO68" s="148"/>
      <c r="GP68" s="148"/>
      <c r="GQ68" s="148"/>
      <c r="GR68" s="148"/>
      <c r="GS68" s="148"/>
      <c r="GT68" s="148"/>
      <c r="GU68" s="148"/>
      <c r="GV68" s="148"/>
      <c r="GW68" s="148"/>
      <c r="GX68" s="148"/>
      <c r="GY68" s="148"/>
      <c r="GZ68" s="148"/>
      <c r="HA68" s="148"/>
      <c r="HB68" s="148"/>
      <c r="HC68" s="148"/>
      <c r="HD68" s="148"/>
      <c r="HE68" s="148"/>
      <c r="HF68" s="148"/>
      <c r="HG68" s="148"/>
      <c r="HH68" s="148"/>
      <c r="HI68" s="148"/>
      <c r="HJ68" s="148"/>
      <c r="HK68" s="148"/>
      <c r="HL68" s="148"/>
      <c r="HM68" s="148"/>
      <c r="HN68" s="148"/>
      <c r="HO68" s="148"/>
      <c r="HP68" s="148"/>
      <c r="HQ68" s="148"/>
      <c r="HR68" s="148"/>
      <c r="HS68" s="148"/>
      <c r="HT68" s="148"/>
      <c r="HU68" s="148"/>
      <c r="HV68" s="148"/>
      <c r="HW68" s="148"/>
      <c r="HX68" s="148"/>
      <c r="HY68" s="148"/>
      <c r="HZ68" s="148"/>
      <c r="IA68" s="148"/>
      <c r="IB68" s="148"/>
      <c r="IC68" s="148"/>
    </row>
    <row r="69" spans="1:237" s="15" customFormat="1" x14ac:dyDescent="0.25">
      <c r="A69" s="148"/>
      <c r="B69" s="307">
        <v>54</v>
      </c>
      <c r="C69" s="307" t="s">
        <v>38</v>
      </c>
      <c r="D69" s="450">
        <v>30110287</v>
      </c>
      <c r="E69" s="577" t="s">
        <v>2934</v>
      </c>
      <c r="F69" s="577" t="s">
        <v>204</v>
      </c>
      <c r="G69" s="533" t="s">
        <v>1902</v>
      </c>
      <c r="H69" s="553" t="s">
        <v>2857</v>
      </c>
      <c r="I69" s="534" t="s">
        <v>42</v>
      </c>
      <c r="J69" s="535">
        <v>998073</v>
      </c>
      <c r="K69" s="535">
        <v>738359</v>
      </c>
      <c r="L69" s="535">
        <v>91812</v>
      </c>
      <c r="M69" s="535">
        <v>59714</v>
      </c>
      <c r="N69" s="454">
        <v>0</v>
      </c>
      <c r="O69" s="454">
        <v>0</v>
      </c>
      <c r="P69" s="535">
        <v>0</v>
      </c>
      <c r="Q69" s="535">
        <v>0</v>
      </c>
      <c r="R69" s="535">
        <v>0</v>
      </c>
      <c r="S69" s="535">
        <v>0</v>
      </c>
      <c r="T69" s="535"/>
      <c r="U69" s="535"/>
      <c r="V69" s="535"/>
      <c r="W69" s="535"/>
      <c r="X69" s="535"/>
      <c r="Y69" s="535"/>
      <c r="Z69" s="660">
        <f t="shared" si="2"/>
        <v>0</v>
      </c>
      <c r="AA69" s="554">
        <v>10000</v>
      </c>
      <c r="AB69" s="558">
        <v>3</v>
      </c>
      <c r="AC69" s="545">
        <v>44210</v>
      </c>
      <c r="AD69" s="542">
        <v>44237</v>
      </c>
      <c r="AE69" s="454"/>
      <c r="AF69" s="459"/>
      <c r="AG69" s="460"/>
      <c r="AH69" s="458"/>
      <c r="AI69" s="454"/>
      <c r="AJ69" s="456"/>
      <c r="AK69" s="460"/>
      <c r="AL69" s="458"/>
      <c r="AM69" s="454"/>
      <c r="AN69" s="456"/>
      <c r="AO69" s="460"/>
      <c r="AP69" s="458"/>
      <c r="AQ69" s="454"/>
      <c r="AR69" s="456"/>
      <c r="AS69" s="460"/>
      <c r="AT69" s="458"/>
      <c r="AU69" s="22">
        <f t="shared" si="0"/>
        <v>10000</v>
      </c>
      <c r="AV69" s="546">
        <f t="shared" si="1"/>
        <v>10000</v>
      </c>
      <c r="AW69" s="148"/>
      <c r="AX69" s="148"/>
      <c r="AY69" s="148"/>
      <c r="AZ69" s="148"/>
      <c r="BA69" s="148"/>
      <c r="BB69" s="148"/>
      <c r="BC69" s="148"/>
      <c r="BD69" s="148"/>
      <c r="BE69" s="148"/>
      <c r="BF69" s="148"/>
      <c r="BG69" s="148"/>
      <c r="BH69" s="148"/>
      <c r="BI69" s="148"/>
      <c r="BJ69" s="148"/>
      <c r="BK69" s="148"/>
      <c r="BL69" s="148"/>
      <c r="BM69" s="148"/>
      <c r="BN69" s="148"/>
      <c r="BO69" s="148"/>
      <c r="BP69" s="148"/>
      <c r="BQ69" s="148"/>
      <c r="BR69" s="148"/>
      <c r="BS69" s="148"/>
      <c r="BT69" s="148"/>
      <c r="BU69" s="148"/>
      <c r="BV69" s="148"/>
      <c r="BW69" s="148"/>
      <c r="BX69" s="148"/>
      <c r="BY69" s="148"/>
      <c r="BZ69" s="148"/>
      <c r="CA69" s="148"/>
      <c r="CB69" s="148"/>
      <c r="CC69" s="148"/>
      <c r="CD69" s="148"/>
      <c r="CE69" s="148"/>
      <c r="CF69" s="148"/>
      <c r="CG69" s="148"/>
      <c r="CH69" s="148"/>
      <c r="CI69" s="148"/>
      <c r="CJ69" s="148"/>
      <c r="CK69" s="148"/>
      <c r="CL69" s="148"/>
      <c r="CM69" s="148"/>
      <c r="CN69" s="148"/>
      <c r="CO69" s="148"/>
      <c r="CP69" s="148"/>
      <c r="CQ69" s="148"/>
      <c r="CR69" s="148"/>
      <c r="CS69" s="148"/>
      <c r="CT69" s="148"/>
      <c r="CU69" s="148"/>
      <c r="CV69" s="148"/>
      <c r="CW69" s="148"/>
      <c r="CX69" s="148"/>
      <c r="CY69" s="148"/>
      <c r="CZ69" s="148"/>
      <c r="DA69" s="148"/>
      <c r="DB69" s="148"/>
      <c r="DC69" s="148"/>
      <c r="DD69" s="148"/>
      <c r="DE69" s="148"/>
      <c r="DF69" s="148"/>
      <c r="DG69" s="148"/>
      <c r="DH69" s="148"/>
      <c r="DI69" s="148"/>
      <c r="DJ69" s="148"/>
      <c r="DK69" s="148"/>
      <c r="DL69" s="148"/>
      <c r="DM69" s="148"/>
      <c r="DN69" s="148"/>
      <c r="DO69" s="148"/>
      <c r="DP69" s="148"/>
      <c r="DQ69" s="148"/>
      <c r="DR69" s="148"/>
      <c r="DS69" s="148"/>
      <c r="DT69" s="148"/>
      <c r="DU69" s="148"/>
      <c r="DV69" s="148"/>
      <c r="DW69" s="148"/>
      <c r="DX69" s="148"/>
      <c r="DY69" s="148"/>
      <c r="DZ69" s="148"/>
      <c r="EA69" s="148"/>
      <c r="EB69" s="148"/>
      <c r="EC69" s="148"/>
      <c r="ED69" s="148"/>
      <c r="EE69" s="148"/>
      <c r="EF69" s="148"/>
      <c r="EG69" s="148"/>
      <c r="EH69" s="148"/>
      <c r="EI69" s="148"/>
      <c r="EJ69" s="148"/>
      <c r="EK69" s="148"/>
      <c r="EL69" s="148"/>
      <c r="EM69" s="148"/>
      <c r="EN69" s="148"/>
      <c r="EO69" s="148"/>
      <c r="EP69" s="148"/>
      <c r="EQ69" s="148"/>
      <c r="ER69" s="148"/>
      <c r="ES69" s="148"/>
      <c r="ET69" s="148"/>
      <c r="EU69" s="148"/>
      <c r="EV69" s="148"/>
      <c r="EW69" s="148"/>
      <c r="EX69" s="148"/>
      <c r="EY69" s="148"/>
      <c r="EZ69" s="148"/>
      <c r="FA69" s="148"/>
      <c r="FB69" s="148"/>
      <c r="FC69" s="148"/>
      <c r="FD69" s="148"/>
      <c r="FE69" s="148"/>
      <c r="FF69" s="148"/>
      <c r="FG69" s="148"/>
      <c r="FH69" s="148"/>
      <c r="FI69" s="148"/>
      <c r="FJ69" s="148"/>
      <c r="FK69" s="148"/>
      <c r="FL69" s="148"/>
      <c r="FM69" s="148"/>
      <c r="FN69" s="148"/>
      <c r="FO69" s="148"/>
      <c r="FP69" s="148"/>
      <c r="FQ69" s="148"/>
      <c r="FR69" s="148"/>
      <c r="FS69" s="148"/>
      <c r="FT69" s="148"/>
      <c r="FU69" s="148"/>
      <c r="FV69" s="148"/>
      <c r="FW69" s="148"/>
      <c r="FX69" s="148"/>
      <c r="FY69" s="148"/>
      <c r="FZ69" s="148"/>
      <c r="GA69" s="148"/>
      <c r="GB69" s="148"/>
      <c r="GC69" s="148"/>
      <c r="GD69" s="148"/>
      <c r="GE69" s="148"/>
      <c r="GF69" s="148"/>
      <c r="GG69" s="148"/>
      <c r="GH69" s="148"/>
      <c r="GI69" s="148"/>
      <c r="GJ69" s="148"/>
      <c r="GK69" s="148"/>
      <c r="GL69" s="148"/>
      <c r="GM69" s="148"/>
      <c r="GN69" s="148"/>
      <c r="GO69" s="148"/>
      <c r="GP69" s="148"/>
      <c r="GQ69" s="148"/>
      <c r="GR69" s="148"/>
      <c r="GS69" s="148"/>
      <c r="GT69" s="148"/>
      <c r="GU69" s="148"/>
      <c r="GV69" s="148"/>
      <c r="GW69" s="148"/>
      <c r="GX69" s="148"/>
      <c r="GY69" s="148"/>
      <c r="GZ69" s="148"/>
      <c r="HA69" s="148"/>
      <c r="HB69" s="148"/>
      <c r="HC69" s="148"/>
      <c r="HD69" s="148"/>
      <c r="HE69" s="148"/>
      <c r="HF69" s="148"/>
      <c r="HG69" s="148"/>
      <c r="HH69" s="148"/>
      <c r="HI69" s="148"/>
      <c r="HJ69" s="148"/>
      <c r="HK69" s="148"/>
      <c r="HL69" s="148"/>
      <c r="HM69" s="148"/>
      <c r="HN69" s="148"/>
      <c r="HO69" s="148"/>
      <c r="HP69" s="148"/>
      <c r="HQ69" s="148"/>
      <c r="HR69" s="148"/>
      <c r="HS69" s="148"/>
      <c r="HT69" s="148"/>
      <c r="HU69" s="148"/>
      <c r="HV69" s="148"/>
      <c r="HW69" s="148"/>
      <c r="HX69" s="148"/>
      <c r="HY69" s="148"/>
      <c r="HZ69" s="148"/>
      <c r="IA69" s="148"/>
      <c r="IB69" s="148"/>
      <c r="IC69" s="148"/>
    </row>
    <row r="70" spans="1:237" s="15" customFormat="1" x14ac:dyDescent="0.25">
      <c r="A70" s="148"/>
      <c r="B70" s="307">
        <v>55</v>
      </c>
      <c r="C70" s="307" t="s">
        <v>38</v>
      </c>
      <c r="D70" s="450">
        <v>30130356</v>
      </c>
      <c r="E70" s="577" t="s">
        <v>2935</v>
      </c>
      <c r="F70" s="577" t="s">
        <v>204</v>
      </c>
      <c r="G70" s="533" t="s">
        <v>1902</v>
      </c>
      <c r="H70" s="553" t="s">
        <v>2936</v>
      </c>
      <c r="I70" s="534" t="s">
        <v>43</v>
      </c>
      <c r="J70" s="535">
        <v>145139</v>
      </c>
      <c r="K70" s="535">
        <v>1573</v>
      </c>
      <c r="L70" s="535">
        <v>111372</v>
      </c>
      <c r="M70" s="535">
        <v>63566</v>
      </c>
      <c r="N70" s="454">
        <v>0</v>
      </c>
      <c r="O70" s="454">
        <v>0</v>
      </c>
      <c r="P70" s="535">
        <v>0</v>
      </c>
      <c r="Q70" s="535">
        <v>0</v>
      </c>
      <c r="R70" s="535">
        <v>0</v>
      </c>
      <c r="S70" s="535">
        <v>0</v>
      </c>
      <c r="T70" s="535"/>
      <c r="U70" s="535"/>
      <c r="V70" s="535"/>
      <c r="W70" s="535"/>
      <c r="X70" s="535"/>
      <c r="Y70" s="535"/>
      <c r="Z70" s="660">
        <f t="shared" si="2"/>
        <v>0</v>
      </c>
      <c r="AA70" s="554">
        <v>29000</v>
      </c>
      <c r="AB70" s="558">
        <v>3</v>
      </c>
      <c r="AC70" s="545">
        <v>44210</v>
      </c>
      <c r="AD70" s="542">
        <v>44237</v>
      </c>
      <c r="AE70" s="454"/>
      <c r="AF70" s="459"/>
      <c r="AG70" s="460"/>
      <c r="AH70" s="458"/>
      <c r="AI70" s="454"/>
      <c r="AJ70" s="456"/>
      <c r="AK70" s="460"/>
      <c r="AL70" s="458"/>
      <c r="AM70" s="454"/>
      <c r="AN70" s="456"/>
      <c r="AO70" s="460"/>
      <c r="AP70" s="458"/>
      <c r="AQ70" s="454"/>
      <c r="AR70" s="456"/>
      <c r="AS70" s="460"/>
      <c r="AT70" s="458"/>
      <c r="AU70" s="22">
        <f t="shared" si="0"/>
        <v>29000</v>
      </c>
      <c r="AV70" s="546">
        <f t="shared" si="1"/>
        <v>29000</v>
      </c>
      <c r="AW70" s="148"/>
      <c r="AX70" s="148"/>
      <c r="AY70" s="148"/>
      <c r="AZ70" s="148"/>
      <c r="BA70" s="148"/>
      <c r="BB70" s="148"/>
      <c r="BC70" s="148"/>
      <c r="BD70" s="148"/>
      <c r="BE70" s="148"/>
      <c r="BF70" s="148"/>
      <c r="BG70" s="148"/>
      <c r="BH70" s="148"/>
      <c r="BI70" s="148"/>
      <c r="BJ70" s="148"/>
      <c r="BK70" s="148"/>
      <c r="BL70" s="148"/>
      <c r="BM70" s="148"/>
      <c r="BN70" s="148"/>
      <c r="BO70" s="148"/>
      <c r="BP70" s="148"/>
      <c r="BQ70" s="148"/>
      <c r="BR70" s="148"/>
      <c r="BS70" s="148"/>
      <c r="BT70" s="148"/>
      <c r="BU70" s="148"/>
      <c r="BV70" s="148"/>
      <c r="BW70" s="148"/>
      <c r="BX70" s="148"/>
      <c r="BY70" s="148"/>
      <c r="BZ70" s="148"/>
      <c r="CA70" s="148"/>
      <c r="CB70" s="148"/>
      <c r="CC70" s="148"/>
      <c r="CD70" s="148"/>
      <c r="CE70" s="148"/>
      <c r="CF70" s="148"/>
      <c r="CG70" s="148"/>
      <c r="CH70" s="148"/>
      <c r="CI70" s="148"/>
      <c r="CJ70" s="148"/>
      <c r="CK70" s="148"/>
      <c r="CL70" s="148"/>
      <c r="CM70" s="148"/>
      <c r="CN70" s="148"/>
      <c r="CO70" s="148"/>
      <c r="CP70" s="148"/>
      <c r="CQ70" s="148"/>
      <c r="CR70" s="148"/>
      <c r="CS70" s="148"/>
      <c r="CT70" s="148"/>
      <c r="CU70" s="148"/>
      <c r="CV70" s="148"/>
      <c r="CW70" s="148"/>
      <c r="CX70" s="148"/>
      <c r="CY70" s="148"/>
      <c r="CZ70" s="148"/>
      <c r="DA70" s="148"/>
      <c r="DB70" s="148"/>
      <c r="DC70" s="148"/>
      <c r="DD70" s="148"/>
      <c r="DE70" s="148"/>
      <c r="DF70" s="148"/>
      <c r="DG70" s="148"/>
      <c r="DH70" s="148"/>
      <c r="DI70" s="148"/>
      <c r="DJ70" s="148"/>
      <c r="DK70" s="148"/>
      <c r="DL70" s="148"/>
      <c r="DM70" s="148"/>
      <c r="DN70" s="148"/>
      <c r="DO70" s="148"/>
      <c r="DP70" s="148"/>
      <c r="DQ70" s="148"/>
      <c r="DR70" s="148"/>
      <c r="DS70" s="148"/>
      <c r="DT70" s="148"/>
      <c r="DU70" s="148"/>
      <c r="DV70" s="148"/>
      <c r="DW70" s="148"/>
      <c r="DX70" s="148"/>
      <c r="DY70" s="148"/>
      <c r="DZ70" s="148"/>
      <c r="EA70" s="148"/>
      <c r="EB70" s="148"/>
      <c r="EC70" s="148"/>
      <c r="ED70" s="148"/>
      <c r="EE70" s="148"/>
      <c r="EF70" s="148"/>
      <c r="EG70" s="148"/>
      <c r="EH70" s="148"/>
      <c r="EI70" s="148"/>
      <c r="EJ70" s="148"/>
      <c r="EK70" s="148"/>
      <c r="EL70" s="148"/>
      <c r="EM70" s="148"/>
      <c r="EN70" s="148"/>
      <c r="EO70" s="148"/>
      <c r="EP70" s="148"/>
      <c r="EQ70" s="148"/>
      <c r="ER70" s="148"/>
      <c r="ES70" s="148"/>
      <c r="ET70" s="148"/>
      <c r="EU70" s="148"/>
      <c r="EV70" s="148"/>
      <c r="EW70" s="148"/>
      <c r="EX70" s="148"/>
      <c r="EY70" s="148"/>
      <c r="EZ70" s="148"/>
      <c r="FA70" s="148"/>
      <c r="FB70" s="148"/>
      <c r="FC70" s="148"/>
      <c r="FD70" s="148"/>
      <c r="FE70" s="148"/>
      <c r="FF70" s="148"/>
      <c r="FG70" s="148"/>
      <c r="FH70" s="148"/>
      <c r="FI70" s="148"/>
      <c r="FJ70" s="148"/>
      <c r="FK70" s="148"/>
      <c r="FL70" s="148"/>
      <c r="FM70" s="148"/>
      <c r="FN70" s="148"/>
      <c r="FO70" s="148"/>
      <c r="FP70" s="148"/>
      <c r="FQ70" s="148"/>
      <c r="FR70" s="148"/>
      <c r="FS70" s="148"/>
      <c r="FT70" s="148"/>
      <c r="FU70" s="148"/>
      <c r="FV70" s="148"/>
      <c r="FW70" s="148"/>
      <c r="FX70" s="148"/>
      <c r="FY70" s="148"/>
      <c r="FZ70" s="148"/>
      <c r="GA70" s="148"/>
      <c r="GB70" s="148"/>
      <c r="GC70" s="148"/>
      <c r="GD70" s="148"/>
      <c r="GE70" s="148"/>
      <c r="GF70" s="148"/>
      <c r="GG70" s="148"/>
      <c r="GH70" s="148"/>
      <c r="GI70" s="148"/>
      <c r="GJ70" s="148"/>
      <c r="GK70" s="148"/>
      <c r="GL70" s="148"/>
      <c r="GM70" s="148"/>
      <c r="GN70" s="148"/>
      <c r="GO70" s="148"/>
      <c r="GP70" s="148"/>
      <c r="GQ70" s="148"/>
      <c r="GR70" s="148"/>
      <c r="GS70" s="148"/>
      <c r="GT70" s="148"/>
      <c r="GU70" s="148"/>
      <c r="GV70" s="148"/>
      <c r="GW70" s="148"/>
      <c r="GX70" s="148"/>
      <c r="GY70" s="148"/>
      <c r="GZ70" s="148"/>
      <c r="HA70" s="148"/>
      <c r="HB70" s="148"/>
      <c r="HC70" s="148"/>
      <c r="HD70" s="148"/>
      <c r="HE70" s="148"/>
      <c r="HF70" s="148"/>
      <c r="HG70" s="148"/>
      <c r="HH70" s="148"/>
      <c r="HI70" s="148"/>
      <c r="HJ70" s="148"/>
      <c r="HK70" s="148"/>
      <c r="HL70" s="148"/>
      <c r="HM70" s="148"/>
      <c r="HN70" s="148"/>
      <c r="HO70" s="148"/>
      <c r="HP70" s="148"/>
      <c r="HQ70" s="148"/>
      <c r="HR70" s="148"/>
      <c r="HS70" s="148"/>
      <c r="HT70" s="148"/>
      <c r="HU70" s="148"/>
      <c r="HV70" s="148"/>
      <c r="HW70" s="148"/>
      <c r="HX70" s="148"/>
      <c r="HY70" s="148"/>
      <c r="HZ70" s="148"/>
      <c r="IA70" s="148"/>
      <c r="IB70" s="148"/>
      <c r="IC70" s="148"/>
    </row>
    <row r="71" spans="1:237" s="15" customFormat="1" ht="22.5" x14ac:dyDescent="0.25">
      <c r="A71" s="148"/>
      <c r="B71" s="307">
        <v>20</v>
      </c>
      <c r="C71" s="307" t="s">
        <v>38</v>
      </c>
      <c r="D71" s="450">
        <v>40002328</v>
      </c>
      <c r="E71" s="577" t="s">
        <v>2937</v>
      </c>
      <c r="F71" s="577" t="s">
        <v>897</v>
      </c>
      <c r="G71" s="533" t="s">
        <v>1902</v>
      </c>
      <c r="H71" s="553" t="s">
        <v>2938</v>
      </c>
      <c r="I71" s="534" t="s">
        <v>42</v>
      </c>
      <c r="J71" s="535">
        <v>1782095</v>
      </c>
      <c r="K71" s="535">
        <v>1165828</v>
      </c>
      <c r="L71" s="535">
        <v>0</v>
      </c>
      <c r="M71" s="535">
        <v>0</v>
      </c>
      <c r="N71" s="454">
        <v>162011.29399999999</v>
      </c>
      <c r="O71" s="454">
        <v>305641.06599999999</v>
      </c>
      <c r="P71" s="535">
        <v>13624.324000000001</v>
      </c>
      <c r="Q71" s="535">
        <v>0</v>
      </c>
      <c r="R71" s="535">
        <v>0</v>
      </c>
      <c r="S71" s="535">
        <v>0</v>
      </c>
      <c r="T71" s="535"/>
      <c r="U71" s="535"/>
      <c r="V71" s="535"/>
      <c r="W71" s="535"/>
      <c r="X71" s="535"/>
      <c r="Y71" s="535"/>
      <c r="Z71" s="660">
        <f t="shared" si="2"/>
        <v>481276.68400000001</v>
      </c>
      <c r="AA71" s="535">
        <v>616267</v>
      </c>
      <c r="AB71" s="558">
        <v>1</v>
      </c>
      <c r="AC71" s="551">
        <v>44201</v>
      </c>
      <c r="AD71" s="552">
        <v>44229</v>
      </c>
      <c r="AE71" s="454">
        <v>-134989</v>
      </c>
      <c r="AF71" s="459">
        <v>11</v>
      </c>
      <c r="AG71" s="457">
        <v>44307</v>
      </c>
      <c r="AH71" s="458">
        <v>44328</v>
      </c>
      <c r="AI71" s="454"/>
      <c r="AJ71" s="456"/>
      <c r="AK71" s="460"/>
      <c r="AL71" s="458"/>
      <c r="AM71" s="454"/>
      <c r="AN71" s="456"/>
      <c r="AO71" s="460"/>
      <c r="AP71" s="458"/>
      <c r="AQ71" s="454"/>
      <c r="AR71" s="456"/>
      <c r="AS71" s="460"/>
      <c r="AT71" s="458"/>
      <c r="AU71" s="22">
        <f t="shared" si="0"/>
        <v>481278</v>
      </c>
      <c r="AV71" s="546">
        <f t="shared" si="1"/>
        <v>1.3159999999916181</v>
      </c>
      <c r="AW71" s="148"/>
      <c r="AX71" s="148"/>
      <c r="AY71" s="148"/>
      <c r="AZ71" s="148"/>
      <c r="BA71" s="148"/>
      <c r="BB71" s="148"/>
      <c r="BC71" s="148"/>
      <c r="BD71" s="148"/>
      <c r="BE71" s="148"/>
      <c r="BF71" s="148"/>
      <c r="BG71" s="148"/>
      <c r="BH71" s="148"/>
      <c r="BI71" s="148"/>
      <c r="BJ71" s="148"/>
      <c r="BK71" s="148"/>
      <c r="BL71" s="148"/>
      <c r="BM71" s="148"/>
      <c r="BN71" s="148"/>
      <c r="BO71" s="148"/>
      <c r="BP71" s="148"/>
      <c r="BQ71" s="148"/>
      <c r="BR71" s="148"/>
      <c r="BS71" s="148"/>
      <c r="BT71" s="148"/>
      <c r="BU71" s="148"/>
      <c r="BV71" s="148"/>
      <c r="BW71" s="148"/>
      <c r="BX71" s="148"/>
      <c r="BY71" s="148"/>
      <c r="BZ71" s="148"/>
      <c r="CA71" s="148"/>
      <c r="CB71" s="148"/>
      <c r="CC71" s="148"/>
      <c r="CD71" s="148"/>
      <c r="CE71" s="148"/>
      <c r="CF71" s="148"/>
      <c r="CG71" s="148"/>
      <c r="CH71" s="148"/>
      <c r="CI71" s="148"/>
      <c r="CJ71" s="148"/>
      <c r="CK71" s="148"/>
      <c r="CL71" s="148"/>
      <c r="CM71" s="148"/>
      <c r="CN71" s="148"/>
      <c r="CO71" s="148"/>
      <c r="CP71" s="148"/>
      <c r="CQ71" s="148"/>
      <c r="CR71" s="148"/>
      <c r="CS71" s="148"/>
      <c r="CT71" s="148"/>
      <c r="CU71" s="148"/>
      <c r="CV71" s="148"/>
      <c r="CW71" s="148"/>
      <c r="CX71" s="148"/>
      <c r="CY71" s="148"/>
      <c r="CZ71" s="148"/>
      <c r="DA71" s="148"/>
      <c r="DB71" s="148"/>
      <c r="DC71" s="148"/>
      <c r="DD71" s="148"/>
      <c r="DE71" s="148"/>
      <c r="DF71" s="148"/>
      <c r="DG71" s="148"/>
      <c r="DH71" s="148"/>
      <c r="DI71" s="148"/>
      <c r="DJ71" s="148"/>
      <c r="DK71" s="148"/>
      <c r="DL71" s="148"/>
      <c r="DM71" s="148"/>
      <c r="DN71" s="148"/>
      <c r="DO71" s="148"/>
      <c r="DP71" s="148"/>
      <c r="DQ71" s="148"/>
      <c r="DR71" s="148"/>
      <c r="DS71" s="148"/>
      <c r="DT71" s="148"/>
      <c r="DU71" s="148"/>
      <c r="DV71" s="148"/>
      <c r="DW71" s="148"/>
      <c r="DX71" s="148"/>
      <c r="DY71" s="148"/>
      <c r="DZ71" s="148"/>
      <c r="EA71" s="148"/>
      <c r="EB71" s="148"/>
      <c r="EC71" s="148"/>
      <c r="ED71" s="148"/>
      <c r="EE71" s="148"/>
      <c r="EF71" s="148"/>
      <c r="EG71" s="148"/>
      <c r="EH71" s="148"/>
      <c r="EI71" s="148"/>
      <c r="EJ71" s="148"/>
      <c r="EK71" s="148"/>
      <c r="EL71" s="148"/>
      <c r="EM71" s="148"/>
      <c r="EN71" s="148"/>
      <c r="EO71" s="148"/>
      <c r="EP71" s="148"/>
      <c r="EQ71" s="148"/>
      <c r="ER71" s="148"/>
      <c r="ES71" s="148"/>
      <c r="ET71" s="148"/>
      <c r="EU71" s="148"/>
      <c r="EV71" s="148"/>
      <c r="EW71" s="148"/>
      <c r="EX71" s="148"/>
      <c r="EY71" s="148"/>
      <c r="EZ71" s="148"/>
      <c r="FA71" s="148"/>
      <c r="FB71" s="148"/>
      <c r="FC71" s="148"/>
      <c r="FD71" s="148"/>
      <c r="FE71" s="148"/>
      <c r="FF71" s="148"/>
      <c r="FG71" s="148"/>
      <c r="FH71" s="148"/>
      <c r="FI71" s="148"/>
      <c r="FJ71" s="148"/>
      <c r="FK71" s="148"/>
      <c r="FL71" s="148"/>
      <c r="FM71" s="148"/>
      <c r="FN71" s="148"/>
      <c r="FO71" s="148"/>
      <c r="FP71" s="148"/>
      <c r="FQ71" s="148"/>
      <c r="FR71" s="148"/>
      <c r="FS71" s="148"/>
      <c r="FT71" s="148"/>
      <c r="FU71" s="148"/>
      <c r="FV71" s="148"/>
      <c r="FW71" s="148"/>
      <c r="FX71" s="148"/>
      <c r="FY71" s="148"/>
      <c r="FZ71" s="148"/>
      <c r="GA71" s="148"/>
      <c r="GB71" s="148"/>
      <c r="GC71" s="148"/>
      <c r="GD71" s="148"/>
      <c r="GE71" s="148"/>
      <c r="GF71" s="148"/>
      <c r="GG71" s="148"/>
      <c r="GH71" s="148"/>
      <c r="GI71" s="148"/>
      <c r="GJ71" s="148"/>
      <c r="GK71" s="148"/>
      <c r="GL71" s="148"/>
      <c r="GM71" s="148"/>
      <c r="GN71" s="148"/>
      <c r="GO71" s="148"/>
      <c r="GP71" s="148"/>
      <c r="GQ71" s="148"/>
      <c r="GR71" s="148"/>
      <c r="GS71" s="148"/>
      <c r="GT71" s="148"/>
      <c r="GU71" s="148"/>
      <c r="GV71" s="148"/>
      <c r="GW71" s="148"/>
      <c r="GX71" s="148"/>
      <c r="GY71" s="148"/>
      <c r="GZ71" s="148"/>
      <c r="HA71" s="148"/>
      <c r="HB71" s="148"/>
      <c r="HC71" s="148"/>
      <c r="HD71" s="148"/>
      <c r="HE71" s="148"/>
      <c r="HF71" s="148"/>
      <c r="HG71" s="148"/>
      <c r="HH71" s="148"/>
      <c r="HI71" s="148"/>
      <c r="HJ71" s="148"/>
      <c r="HK71" s="148"/>
      <c r="HL71" s="148"/>
      <c r="HM71" s="148"/>
      <c r="HN71" s="148"/>
      <c r="HO71" s="148"/>
      <c r="HP71" s="148"/>
      <c r="HQ71" s="148"/>
      <c r="HR71" s="148"/>
      <c r="HS71" s="148"/>
      <c r="HT71" s="148"/>
      <c r="HU71" s="148"/>
      <c r="HV71" s="148"/>
      <c r="HW71" s="148"/>
      <c r="HX71" s="148"/>
      <c r="HY71" s="148"/>
      <c r="HZ71" s="148"/>
      <c r="IA71" s="148"/>
      <c r="IB71" s="148"/>
      <c r="IC71" s="148"/>
    </row>
    <row r="72" spans="1:237" s="15" customFormat="1" ht="22.5" x14ac:dyDescent="0.25">
      <c r="A72" s="148"/>
      <c r="B72" s="307">
        <v>57</v>
      </c>
      <c r="C72" s="307" t="s">
        <v>38</v>
      </c>
      <c r="D72" s="450">
        <v>30277573</v>
      </c>
      <c r="E72" s="577" t="s">
        <v>2939</v>
      </c>
      <c r="F72" s="577" t="s">
        <v>897</v>
      </c>
      <c r="G72" s="533" t="s">
        <v>1902</v>
      </c>
      <c r="H72" s="553" t="s">
        <v>2940</v>
      </c>
      <c r="I72" s="534" t="s">
        <v>43</v>
      </c>
      <c r="J72" s="535">
        <v>1307477</v>
      </c>
      <c r="K72" s="535">
        <v>0</v>
      </c>
      <c r="L72" s="535">
        <v>1232395</v>
      </c>
      <c r="M72" s="535">
        <v>1079115</v>
      </c>
      <c r="N72" s="454">
        <v>0</v>
      </c>
      <c r="O72" s="454">
        <v>0</v>
      </c>
      <c r="P72" s="535">
        <v>0</v>
      </c>
      <c r="Q72" s="535">
        <v>0</v>
      </c>
      <c r="R72" s="535">
        <v>0</v>
      </c>
      <c r="S72" s="535">
        <v>0</v>
      </c>
      <c r="T72" s="535"/>
      <c r="U72" s="535"/>
      <c r="V72" s="535"/>
      <c r="W72" s="535"/>
      <c r="X72" s="535"/>
      <c r="Y72" s="535"/>
      <c r="Z72" s="660">
        <f t="shared" si="2"/>
        <v>0</v>
      </c>
      <c r="AA72" s="554">
        <v>8056</v>
      </c>
      <c r="AB72" s="558">
        <v>3</v>
      </c>
      <c r="AC72" s="545">
        <v>44210</v>
      </c>
      <c r="AD72" s="542">
        <v>44237</v>
      </c>
      <c r="AE72" s="454"/>
      <c r="AF72" s="459"/>
      <c r="AG72" s="460"/>
      <c r="AH72" s="458"/>
      <c r="AI72" s="454"/>
      <c r="AJ72" s="456"/>
      <c r="AK72" s="460"/>
      <c r="AL72" s="458"/>
      <c r="AM72" s="454"/>
      <c r="AN72" s="456"/>
      <c r="AO72" s="460"/>
      <c r="AP72" s="458"/>
      <c r="AQ72" s="454"/>
      <c r="AR72" s="456"/>
      <c r="AS72" s="460"/>
      <c r="AT72" s="458"/>
      <c r="AU72" s="22">
        <f t="shared" si="0"/>
        <v>8056</v>
      </c>
      <c r="AV72" s="546">
        <f t="shared" si="1"/>
        <v>8056</v>
      </c>
      <c r="AW72" s="148"/>
      <c r="AX72" s="148"/>
      <c r="AY72" s="148"/>
      <c r="AZ72" s="148"/>
      <c r="BA72" s="148"/>
      <c r="BB72" s="148"/>
      <c r="BC72" s="148"/>
      <c r="BD72" s="148"/>
      <c r="BE72" s="148"/>
      <c r="BF72" s="148"/>
      <c r="BG72" s="148"/>
      <c r="BH72" s="148"/>
      <c r="BI72" s="148"/>
      <c r="BJ72" s="148"/>
      <c r="BK72" s="148"/>
      <c r="BL72" s="148"/>
      <c r="BM72" s="148"/>
      <c r="BN72" s="148"/>
      <c r="BO72" s="148"/>
      <c r="BP72" s="148"/>
      <c r="BQ72" s="148"/>
      <c r="BR72" s="148"/>
      <c r="BS72" s="148"/>
      <c r="BT72" s="148"/>
      <c r="BU72" s="148"/>
      <c r="BV72" s="148"/>
      <c r="BW72" s="148"/>
      <c r="BX72" s="148"/>
      <c r="BY72" s="148"/>
      <c r="BZ72" s="148"/>
      <c r="CA72" s="148"/>
      <c r="CB72" s="148"/>
      <c r="CC72" s="148"/>
      <c r="CD72" s="148"/>
      <c r="CE72" s="148"/>
      <c r="CF72" s="148"/>
      <c r="CG72" s="148"/>
      <c r="CH72" s="148"/>
      <c r="CI72" s="148"/>
      <c r="CJ72" s="148"/>
      <c r="CK72" s="148"/>
      <c r="CL72" s="148"/>
      <c r="CM72" s="148"/>
      <c r="CN72" s="148"/>
      <c r="CO72" s="148"/>
      <c r="CP72" s="148"/>
      <c r="CQ72" s="148"/>
      <c r="CR72" s="148"/>
      <c r="CS72" s="148"/>
      <c r="CT72" s="148"/>
      <c r="CU72" s="148"/>
      <c r="CV72" s="148"/>
      <c r="CW72" s="148"/>
      <c r="CX72" s="148"/>
      <c r="CY72" s="148"/>
      <c r="CZ72" s="148"/>
      <c r="DA72" s="148"/>
      <c r="DB72" s="148"/>
      <c r="DC72" s="148"/>
      <c r="DD72" s="148"/>
      <c r="DE72" s="148"/>
      <c r="DF72" s="148"/>
      <c r="DG72" s="148"/>
      <c r="DH72" s="148"/>
      <c r="DI72" s="148"/>
      <c r="DJ72" s="148"/>
      <c r="DK72" s="148"/>
      <c r="DL72" s="148"/>
      <c r="DM72" s="148"/>
      <c r="DN72" s="148"/>
      <c r="DO72" s="148"/>
      <c r="DP72" s="148"/>
      <c r="DQ72" s="148"/>
      <c r="DR72" s="148"/>
      <c r="DS72" s="148"/>
      <c r="DT72" s="148"/>
      <c r="DU72" s="148"/>
      <c r="DV72" s="148"/>
      <c r="DW72" s="148"/>
      <c r="DX72" s="148"/>
      <c r="DY72" s="148"/>
      <c r="DZ72" s="148"/>
      <c r="EA72" s="148"/>
      <c r="EB72" s="148"/>
      <c r="EC72" s="148"/>
      <c r="ED72" s="148"/>
      <c r="EE72" s="148"/>
      <c r="EF72" s="148"/>
      <c r="EG72" s="148"/>
      <c r="EH72" s="148"/>
      <c r="EI72" s="148"/>
      <c r="EJ72" s="148"/>
      <c r="EK72" s="148"/>
      <c r="EL72" s="148"/>
      <c r="EM72" s="148"/>
      <c r="EN72" s="148"/>
      <c r="EO72" s="148"/>
      <c r="EP72" s="148"/>
      <c r="EQ72" s="148"/>
      <c r="ER72" s="148"/>
      <c r="ES72" s="148"/>
      <c r="ET72" s="148"/>
      <c r="EU72" s="148"/>
      <c r="EV72" s="148"/>
      <c r="EW72" s="148"/>
      <c r="EX72" s="148"/>
      <c r="EY72" s="148"/>
      <c r="EZ72" s="148"/>
      <c r="FA72" s="148"/>
      <c r="FB72" s="148"/>
      <c r="FC72" s="148"/>
      <c r="FD72" s="148"/>
      <c r="FE72" s="148"/>
      <c r="FF72" s="148"/>
      <c r="FG72" s="148"/>
      <c r="FH72" s="148"/>
      <c r="FI72" s="148"/>
      <c r="FJ72" s="148"/>
      <c r="FK72" s="148"/>
      <c r="FL72" s="148"/>
      <c r="FM72" s="148"/>
      <c r="FN72" s="148"/>
      <c r="FO72" s="148"/>
      <c r="FP72" s="148"/>
      <c r="FQ72" s="148"/>
      <c r="FR72" s="148"/>
      <c r="FS72" s="148"/>
      <c r="FT72" s="148"/>
      <c r="FU72" s="148"/>
      <c r="FV72" s="148"/>
      <c r="FW72" s="148"/>
      <c r="FX72" s="148"/>
      <c r="FY72" s="148"/>
      <c r="FZ72" s="148"/>
      <c r="GA72" s="148"/>
      <c r="GB72" s="148"/>
      <c r="GC72" s="148"/>
      <c r="GD72" s="148"/>
      <c r="GE72" s="148"/>
      <c r="GF72" s="148"/>
      <c r="GG72" s="148"/>
      <c r="GH72" s="148"/>
      <c r="GI72" s="148"/>
      <c r="GJ72" s="148"/>
      <c r="GK72" s="148"/>
      <c r="GL72" s="148"/>
      <c r="GM72" s="148"/>
      <c r="GN72" s="148"/>
      <c r="GO72" s="148"/>
      <c r="GP72" s="148"/>
      <c r="GQ72" s="148"/>
      <c r="GR72" s="148"/>
      <c r="GS72" s="148"/>
      <c r="GT72" s="148"/>
      <c r="GU72" s="148"/>
      <c r="GV72" s="148"/>
      <c r="GW72" s="148"/>
      <c r="GX72" s="148"/>
      <c r="GY72" s="148"/>
      <c r="GZ72" s="148"/>
      <c r="HA72" s="148"/>
      <c r="HB72" s="148"/>
      <c r="HC72" s="148"/>
      <c r="HD72" s="148"/>
      <c r="HE72" s="148"/>
      <c r="HF72" s="148"/>
      <c r="HG72" s="148"/>
      <c r="HH72" s="148"/>
      <c r="HI72" s="148"/>
      <c r="HJ72" s="148"/>
      <c r="HK72" s="148"/>
      <c r="HL72" s="148"/>
      <c r="HM72" s="148"/>
      <c r="HN72" s="148"/>
      <c r="HO72" s="148"/>
      <c r="HP72" s="148"/>
      <c r="HQ72" s="148"/>
      <c r="HR72" s="148"/>
      <c r="HS72" s="148"/>
      <c r="HT72" s="148"/>
      <c r="HU72" s="148"/>
      <c r="HV72" s="148"/>
      <c r="HW72" s="148"/>
      <c r="HX72" s="148"/>
      <c r="HY72" s="148"/>
      <c r="HZ72" s="148"/>
      <c r="IA72" s="148"/>
      <c r="IB72" s="148"/>
      <c r="IC72" s="148"/>
    </row>
    <row r="73" spans="1:237" s="15" customFormat="1" ht="22.5" x14ac:dyDescent="0.25">
      <c r="A73" s="148"/>
      <c r="B73" s="307">
        <v>58</v>
      </c>
      <c r="C73" s="307" t="s">
        <v>38</v>
      </c>
      <c r="D73" s="450">
        <v>30474255</v>
      </c>
      <c r="E73" s="577" t="s">
        <v>2941</v>
      </c>
      <c r="F73" s="577" t="s">
        <v>204</v>
      </c>
      <c r="G73" s="533" t="s">
        <v>1902</v>
      </c>
      <c r="H73" s="553" t="s">
        <v>2930</v>
      </c>
      <c r="I73" s="534" t="s">
        <v>43</v>
      </c>
      <c r="J73" s="535">
        <v>84867</v>
      </c>
      <c r="K73" s="535">
        <v>0</v>
      </c>
      <c r="L73" s="535">
        <v>66799</v>
      </c>
      <c r="M73" s="535">
        <v>0</v>
      </c>
      <c r="N73" s="454">
        <v>0</v>
      </c>
      <c r="O73" s="454">
        <v>0</v>
      </c>
      <c r="P73" s="535">
        <v>0</v>
      </c>
      <c r="Q73" s="535">
        <v>0</v>
      </c>
      <c r="R73" s="535">
        <v>0</v>
      </c>
      <c r="S73" s="535">
        <v>0</v>
      </c>
      <c r="T73" s="535"/>
      <c r="U73" s="535"/>
      <c r="V73" s="535"/>
      <c r="W73" s="535"/>
      <c r="X73" s="535"/>
      <c r="Y73" s="535"/>
      <c r="Z73" s="660">
        <f t="shared" si="2"/>
        <v>0</v>
      </c>
      <c r="AA73" s="554">
        <v>16200</v>
      </c>
      <c r="AB73" s="558">
        <v>3</v>
      </c>
      <c r="AC73" s="545">
        <v>44210</v>
      </c>
      <c r="AD73" s="542">
        <v>44237</v>
      </c>
      <c r="AE73" s="454"/>
      <c r="AF73" s="459"/>
      <c r="AG73" s="460"/>
      <c r="AH73" s="458"/>
      <c r="AI73" s="454"/>
      <c r="AJ73" s="456"/>
      <c r="AK73" s="460"/>
      <c r="AL73" s="458"/>
      <c r="AM73" s="454"/>
      <c r="AN73" s="456"/>
      <c r="AO73" s="460"/>
      <c r="AP73" s="458"/>
      <c r="AQ73" s="454"/>
      <c r="AR73" s="456"/>
      <c r="AS73" s="460"/>
      <c r="AT73" s="458"/>
      <c r="AU73" s="22">
        <f t="shared" si="0"/>
        <v>16200</v>
      </c>
      <c r="AV73" s="546">
        <f t="shared" si="1"/>
        <v>16200</v>
      </c>
      <c r="AW73" s="148"/>
      <c r="AX73" s="148"/>
      <c r="AY73" s="148"/>
      <c r="AZ73" s="148"/>
      <c r="BA73" s="148"/>
      <c r="BB73" s="148"/>
      <c r="BC73" s="148"/>
      <c r="BD73" s="148"/>
      <c r="BE73" s="148"/>
      <c r="BF73" s="148"/>
      <c r="BG73" s="148"/>
      <c r="BH73" s="148"/>
      <c r="BI73" s="148"/>
      <c r="BJ73" s="148"/>
      <c r="BK73" s="148"/>
      <c r="BL73" s="148"/>
      <c r="BM73" s="148"/>
      <c r="BN73" s="148"/>
      <c r="BO73" s="148"/>
      <c r="BP73" s="148"/>
      <c r="BQ73" s="148"/>
      <c r="BR73" s="148"/>
      <c r="BS73" s="148"/>
      <c r="BT73" s="148"/>
      <c r="BU73" s="148"/>
      <c r="BV73" s="148"/>
      <c r="BW73" s="148"/>
      <c r="BX73" s="148"/>
      <c r="BY73" s="148"/>
      <c r="BZ73" s="148"/>
      <c r="CA73" s="148"/>
      <c r="CB73" s="148"/>
      <c r="CC73" s="148"/>
      <c r="CD73" s="148"/>
      <c r="CE73" s="148"/>
      <c r="CF73" s="148"/>
      <c r="CG73" s="148"/>
      <c r="CH73" s="148"/>
      <c r="CI73" s="148"/>
      <c r="CJ73" s="148"/>
      <c r="CK73" s="148"/>
      <c r="CL73" s="148"/>
      <c r="CM73" s="148"/>
      <c r="CN73" s="148"/>
      <c r="CO73" s="148"/>
      <c r="CP73" s="148"/>
      <c r="CQ73" s="148"/>
      <c r="CR73" s="148"/>
      <c r="CS73" s="148"/>
      <c r="CT73" s="148"/>
      <c r="CU73" s="148"/>
      <c r="CV73" s="148"/>
      <c r="CW73" s="148"/>
      <c r="CX73" s="148"/>
      <c r="CY73" s="148"/>
      <c r="CZ73" s="148"/>
      <c r="DA73" s="148"/>
      <c r="DB73" s="148"/>
      <c r="DC73" s="148"/>
      <c r="DD73" s="148"/>
      <c r="DE73" s="148"/>
      <c r="DF73" s="148"/>
      <c r="DG73" s="148"/>
      <c r="DH73" s="148"/>
      <c r="DI73" s="148"/>
      <c r="DJ73" s="148"/>
      <c r="DK73" s="148"/>
      <c r="DL73" s="148"/>
      <c r="DM73" s="148"/>
      <c r="DN73" s="148"/>
      <c r="DO73" s="148"/>
      <c r="DP73" s="148"/>
      <c r="DQ73" s="148"/>
      <c r="DR73" s="148"/>
      <c r="DS73" s="148"/>
      <c r="DT73" s="148"/>
      <c r="DU73" s="148"/>
      <c r="DV73" s="148"/>
      <c r="DW73" s="148"/>
      <c r="DX73" s="148"/>
      <c r="DY73" s="148"/>
      <c r="DZ73" s="148"/>
      <c r="EA73" s="148"/>
      <c r="EB73" s="148"/>
      <c r="EC73" s="148"/>
      <c r="ED73" s="148"/>
      <c r="EE73" s="148"/>
      <c r="EF73" s="148"/>
      <c r="EG73" s="148"/>
      <c r="EH73" s="148"/>
      <c r="EI73" s="148"/>
      <c r="EJ73" s="148"/>
      <c r="EK73" s="148"/>
      <c r="EL73" s="148"/>
      <c r="EM73" s="148"/>
      <c r="EN73" s="148"/>
      <c r="EO73" s="148"/>
      <c r="EP73" s="148"/>
      <c r="EQ73" s="148"/>
      <c r="ER73" s="148"/>
      <c r="ES73" s="148"/>
      <c r="ET73" s="148"/>
      <c r="EU73" s="148"/>
      <c r="EV73" s="148"/>
      <c r="EW73" s="148"/>
      <c r="EX73" s="148"/>
      <c r="EY73" s="148"/>
      <c r="EZ73" s="148"/>
      <c r="FA73" s="148"/>
      <c r="FB73" s="148"/>
      <c r="FC73" s="148"/>
      <c r="FD73" s="148"/>
      <c r="FE73" s="148"/>
      <c r="FF73" s="148"/>
      <c r="FG73" s="148"/>
      <c r="FH73" s="148"/>
      <c r="FI73" s="148"/>
      <c r="FJ73" s="148"/>
      <c r="FK73" s="148"/>
      <c r="FL73" s="148"/>
      <c r="FM73" s="148"/>
      <c r="FN73" s="148"/>
      <c r="FO73" s="148"/>
      <c r="FP73" s="148"/>
      <c r="FQ73" s="148"/>
      <c r="FR73" s="148"/>
      <c r="FS73" s="148"/>
      <c r="FT73" s="148"/>
      <c r="FU73" s="148"/>
      <c r="FV73" s="148"/>
      <c r="FW73" s="148"/>
      <c r="FX73" s="148"/>
      <c r="FY73" s="148"/>
      <c r="FZ73" s="148"/>
      <c r="GA73" s="148"/>
      <c r="GB73" s="148"/>
      <c r="GC73" s="148"/>
      <c r="GD73" s="148"/>
      <c r="GE73" s="148"/>
      <c r="GF73" s="148"/>
      <c r="GG73" s="148"/>
      <c r="GH73" s="148"/>
      <c r="GI73" s="148"/>
      <c r="GJ73" s="148"/>
      <c r="GK73" s="148"/>
      <c r="GL73" s="148"/>
      <c r="GM73" s="148"/>
      <c r="GN73" s="148"/>
      <c r="GO73" s="148"/>
      <c r="GP73" s="148"/>
      <c r="GQ73" s="148"/>
      <c r="GR73" s="148"/>
      <c r="GS73" s="148"/>
      <c r="GT73" s="148"/>
      <c r="GU73" s="148"/>
      <c r="GV73" s="148"/>
      <c r="GW73" s="148"/>
      <c r="GX73" s="148"/>
      <c r="GY73" s="148"/>
      <c r="GZ73" s="148"/>
      <c r="HA73" s="148"/>
      <c r="HB73" s="148"/>
      <c r="HC73" s="148"/>
      <c r="HD73" s="148"/>
      <c r="HE73" s="148"/>
      <c r="HF73" s="148"/>
      <c r="HG73" s="148"/>
      <c r="HH73" s="148"/>
      <c r="HI73" s="148"/>
      <c r="HJ73" s="148"/>
      <c r="HK73" s="148"/>
      <c r="HL73" s="148"/>
      <c r="HM73" s="148"/>
      <c r="HN73" s="148"/>
      <c r="HO73" s="148"/>
      <c r="HP73" s="148"/>
      <c r="HQ73" s="148"/>
      <c r="HR73" s="148"/>
      <c r="HS73" s="148"/>
      <c r="HT73" s="148"/>
      <c r="HU73" s="148"/>
      <c r="HV73" s="148"/>
      <c r="HW73" s="148"/>
      <c r="HX73" s="148"/>
      <c r="HY73" s="148"/>
      <c r="HZ73" s="148"/>
      <c r="IA73" s="148"/>
      <c r="IB73" s="148"/>
      <c r="IC73" s="148"/>
    </row>
    <row r="74" spans="1:237" s="15" customFormat="1" ht="22.5" x14ac:dyDescent="0.25">
      <c r="A74" s="148"/>
      <c r="B74" s="307">
        <v>59</v>
      </c>
      <c r="C74" s="307" t="s">
        <v>38</v>
      </c>
      <c r="D74" s="450">
        <v>40002317</v>
      </c>
      <c r="E74" s="577" t="s">
        <v>2942</v>
      </c>
      <c r="F74" s="577" t="s">
        <v>897</v>
      </c>
      <c r="G74" s="533" t="s">
        <v>1902</v>
      </c>
      <c r="H74" s="553" t="s">
        <v>2943</v>
      </c>
      <c r="I74" s="534" t="s">
        <v>42</v>
      </c>
      <c r="J74" s="535">
        <v>1728887</v>
      </c>
      <c r="K74" s="535">
        <v>1384141</v>
      </c>
      <c r="L74" s="535">
        <v>208629</v>
      </c>
      <c r="M74" s="535">
        <v>0</v>
      </c>
      <c r="N74" s="454">
        <v>0</v>
      </c>
      <c r="O74" s="454">
        <v>0</v>
      </c>
      <c r="P74" s="535">
        <v>0</v>
      </c>
      <c r="Q74" s="535">
        <v>0</v>
      </c>
      <c r="R74" s="535">
        <v>0</v>
      </c>
      <c r="S74" s="535">
        <v>0</v>
      </c>
      <c r="T74" s="535"/>
      <c r="U74" s="535"/>
      <c r="V74" s="535"/>
      <c r="W74" s="535"/>
      <c r="X74" s="535"/>
      <c r="Y74" s="535"/>
      <c r="Z74" s="660">
        <f t="shared" si="2"/>
        <v>0</v>
      </c>
      <c r="AA74" s="554">
        <v>305000</v>
      </c>
      <c r="AB74" s="558">
        <v>3</v>
      </c>
      <c r="AC74" s="545">
        <v>44210</v>
      </c>
      <c r="AD74" s="542">
        <v>44237</v>
      </c>
      <c r="AE74" s="454"/>
      <c r="AF74" s="459"/>
      <c r="AG74" s="460"/>
      <c r="AH74" s="458"/>
      <c r="AI74" s="454"/>
      <c r="AJ74" s="456"/>
      <c r="AK74" s="460"/>
      <c r="AL74" s="458"/>
      <c r="AM74" s="454"/>
      <c r="AN74" s="456"/>
      <c r="AO74" s="460"/>
      <c r="AP74" s="458"/>
      <c r="AQ74" s="454"/>
      <c r="AR74" s="456"/>
      <c r="AS74" s="460"/>
      <c r="AT74" s="458"/>
      <c r="AU74" s="22">
        <f t="shared" si="0"/>
        <v>305000</v>
      </c>
      <c r="AV74" s="546">
        <f t="shared" si="1"/>
        <v>305000</v>
      </c>
      <c r="AW74" s="148"/>
      <c r="AX74" s="148"/>
      <c r="AY74" s="148"/>
      <c r="AZ74" s="148"/>
      <c r="BA74" s="148"/>
      <c r="BB74" s="148"/>
      <c r="BC74" s="148"/>
      <c r="BD74" s="148"/>
      <c r="BE74" s="148"/>
      <c r="BF74" s="148"/>
      <c r="BG74" s="148"/>
      <c r="BH74" s="148"/>
      <c r="BI74" s="148"/>
      <c r="BJ74" s="148"/>
      <c r="BK74" s="148"/>
      <c r="BL74" s="148"/>
      <c r="BM74" s="148"/>
      <c r="BN74" s="148"/>
      <c r="BO74" s="148"/>
      <c r="BP74" s="148"/>
      <c r="BQ74" s="148"/>
      <c r="BR74" s="148"/>
      <c r="BS74" s="148"/>
      <c r="BT74" s="148"/>
      <c r="BU74" s="148"/>
      <c r="BV74" s="148"/>
      <c r="BW74" s="148"/>
      <c r="BX74" s="148"/>
      <c r="BY74" s="148"/>
      <c r="BZ74" s="148"/>
      <c r="CA74" s="148"/>
      <c r="CB74" s="148"/>
      <c r="CC74" s="148"/>
      <c r="CD74" s="148"/>
      <c r="CE74" s="148"/>
      <c r="CF74" s="148"/>
      <c r="CG74" s="148"/>
      <c r="CH74" s="148"/>
      <c r="CI74" s="148"/>
      <c r="CJ74" s="148"/>
      <c r="CK74" s="148"/>
      <c r="CL74" s="148"/>
      <c r="CM74" s="148"/>
      <c r="CN74" s="148"/>
      <c r="CO74" s="148"/>
      <c r="CP74" s="148"/>
      <c r="CQ74" s="148"/>
      <c r="CR74" s="148"/>
      <c r="CS74" s="148"/>
      <c r="CT74" s="148"/>
      <c r="CU74" s="148"/>
      <c r="CV74" s="148"/>
      <c r="CW74" s="148"/>
      <c r="CX74" s="148"/>
      <c r="CY74" s="148"/>
      <c r="CZ74" s="148"/>
      <c r="DA74" s="148"/>
      <c r="DB74" s="148"/>
      <c r="DC74" s="148"/>
      <c r="DD74" s="148"/>
      <c r="DE74" s="148"/>
      <c r="DF74" s="148"/>
      <c r="DG74" s="148"/>
      <c r="DH74" s="148"/>
      <c r="DI74" s="148"/>
      <c r="DJ74" s="148"/>
      <c r="DK74" s="148"/>
      <c r="DL74" s="148"/>
      <c r="DM74" s="148"/>
      <c r="DN74" s="148"/>
      <c r="DO74" s="148"/>
      <c r="DP74" s="148"/>
      <c r="DQ74" s="148"/>
      <c r="DR74" s="148"/>
      <c r="DS74" s="148"/>
      <c r="DT74" s="148"/>
      <c r="DU74" s="148"/>
      <c r="DV74" s="148"/>
      <c r="DW74" s="148"/>
      <c r="DX74" s="148"/>
      <c r="DY74" s="148"/>
      <c r="DZ74" s="148"/>
      <c r="EA74" s="148"/>
      <c r="EB74" s="148"/>
      <c r="EC74" s="148"/>
      <c r="ED74" s="148"/>
      <c r="EE74" s="148"/>
      <c r="EF74" s="148"/>
      <c r="EG74" s="148"/>
      <c r="EH74" s="148"/>
      <c r="EI74" s="148"/>
      <c r="EJ74" s="148"/>
      <c r="EK74" s="148"/>
      <c r="EL74" s="148"/>
      <c r="EM74" s="148"/>
      <c r="EN74" s="148"/>
      <c r="EO74" s="148"/>
      <c r="EP74" s="148"/>
      <c r="EQ74" s="148"/>
      <c r="ER74" s="148"/>
      <c r="ES74" s="148"/>
      <c r="ET74" s="148"/>
      <c r="EU74" s="148"/>
      <c r="EV74" s="148"/>
      <c r="EW74" s="148"/>
      <c r="EX74" s="148"/>
      <c r="EY74" s="148"/>
      <c r="EZ74" s="148"/>
      <c r="FA74" s="148"/>
      <c r="FB74" s="148"/>
      <c r="FC74" s="148"/>
      <c r="FD74" s="148"/>
      <c r="FE74" s="148"/>
      <c r="FF74" s="148"/>
      <c r="FG74" s="148"/>
      <c r="FH74" s="148"/>
      <c r="FI74" s="148"/>
      <c r="FJ74" s="148"/>
      <c r="FK74" s="148"/>
      <c r="FL74" s="148"/>
      <c r="FM74" s="148"/>
      <c r="FN74" s="148"/>
      <c r="FO74" s="148"/>
      <c r="FP74" s="148"/>
      <c r="FQ74" s="148"/>
      <c r="FR74" s="148"/>
      <c r="FS74" s="148"/>
      <c r="FT74" s="148"/>
      <c r="FU74" s="148"/>
      <c r="FV74" s="148"/>
      <c r="FW74" s="148"/>
      <c r="FX74" s="148"/>
      <c r="FY74" s="148"/>
      <c r="FZ74" s="148"/>
      <c r="GA74" s="148"/>
      <c r="GB74" s="148"/>
      <c r="GC74" s="148"/>
      <c r="GD74" s="148"/>
      <c r="GE74" s="148"/>
      <c r="GF74" s="148"/>
      <c r="GG74" s="148"/>
      <c r="GH74" s="148"/>
      <c r="GI74" s="148"/>
      <c r="GJ74" s="148"/>
      <c r="GK74" s="148"/>
      <c r="GL74" s="148"/>
      <c r="GM74" s="148"/>
      <c r="GN74" s="148"/>
      <c r="GO74" s="148"/>
      <c r="GP74" s="148"/>
      <c r="GQ74" s="148"/>
      <c r="GR74" s="148"/>
      <c r="GS74" s="148"/>
      <c r="GT74" s="148"/>
      <c r="GU74" s="148"/>
      <c r="GV74" s="148"/>
      <c r="GW74" s="148"/>
      <c r="GX74" s="148"/>
      <c r="GY74" s="148"/>
      <c r="GZ74" s="148"/>
      <c r="HA74" s="148"/>
      <c r="HB74" s="148"/>
      <c r="HC74" s="148"/>
      <c r="HD74" s="148"/>
      <c r="HE74" s="148"/>
      <c r="HF74" s="148"/>
      <c r="HG74" s="148"/>
      <c r="HH74" s="148"/>
      <c r="HI74" s="148"/>
      <c r="HJ74" s="148"/>
      <c r="HK74" s="148"/>
      <c r="HL74" s="148"/>
      <c r="HM74" s="148"/>
      <c r="HN74" s="148"/>
      <c r="HO74" s="148"/>
      <c r="HP74" s="148"/>
      <c r="HQ74" s="148"/>
      <c r="HR74" s="148"/>
      <c r="HS74" s="148"/>
      <c r="HT74" s="148"/>
      <c r="HU74" s="148"/>
      <c r="HV74" s="148"/>
      <c r="HW74" s="148"/>
      <c r="HX74" s="148"/>
      <c r="HY74" s="148"/>
      <c r="HZ74" s="148"/>
      <c r="IA74" s="148"/>
      <c r="IB74" s="148"/>
      <c r="IC74" s="148"/>
    </row>
    <row r="75" spans="1:237" s="15" customFormat="1" ht="22.5" x14ac:dyDescent="0.25">
      <c r="A75" s="148"/>
      <c r="B75" s="307">
        <v>60</v>
      </c>
      <c r="C75" s="307" t="s">
        <v>38</v>
      </c>
      <c r="D75" s="450">
        <v>40002326</v>
      </c>
      <c r="E75" s="577" t="s">
        <v>2944</v>
      </c>
      <c r="F75" s="577" t="s">
        <v>897</v>
      </c>
      <c r="G75" s="533" t="s">
        <v>1902</v>
      </c>
      <c r="H75" s="553" t="s">
        <v>2888</v>
      </c>
      <c r="I75" s="534" t="s">
        <v>42</v>
      </c>
      <c r="J75" s="535">
        <v>1586569</v>
      </c>
      <c r="K75" s="535">
        <v>1101875</v>
      </c>
      <c r="L75" s="535">
        <v>164271</v>
      </c>
      <c r="M75" s="535">
        <v>0</v>
      </c>
      <c r="N75" s="454">
        <v>0</v>
      </c>
      <c r="O75" s="454">
        <v>0</v>
      </c>
      <c r="P75" s="535">
        <v>0</v>
      </c>
      <c r="Q75" s="535">
        <v>0</v>
      </c>
      <c r="R75" s="535">
        <v>0</v>
      </c>
      <c r="S75" s="535">
        <v>0</v>
      </c>
      <c r="T75" s="535"/>
      <c r="U75" s="535"/>
      <c r="V75" s="535"/>
      <c r="W75" s="535"/>
      <c r="X75" s="535"/>
      <c r="Y75" s="535"/>
      <c r="Z75" s="660">
        <f t="shared" si="2"/>
        <v>0</v>
      </c>
      <c r="AA75" s="554">
        <v>444000</v>
      </c>
      <c r="AB75" s="558">
        <v>3</v>
      </c>
      <c r="AC75" s="545">
        <v>44210</v>
      </c>
      <c r="AD75" s="542">
        <v>44237</v>
      </c>
      <c r="AE75" s="454"/>
      <c r="AF75" s="459"/>
      <c r="AG75" s="460"/>
      <c r="AH75" s="458"/>
      <c r="AI75" s="454"/>
      <c r="AJ75" s="456"/>
      <c r="AK75" s="460"/>
      <c r="AL75" s="458"/>
      <c r="AM75" s="454"/>
      <c r="AN75" s="456"/>
      <c r="AO75" s="460"/>
      <c r="AP75" s="458"/>
      <c r="AQ75" s="454"/>
      <c r="AR75" s="456"/>
      <c r="AS75" s="460"/>
      <c r="AT75" s="458"/>
      <c r="AU75" s="22">
        <f t="shared" si="0"/>
        <v>444000</v>
      </c>
      <c r="AV75" s="546">
        <f t="shared" si="1"/>
        <v>444000</v>
      </c>
      <c r="AW75" s="148"/>
      <c r="AX75" s="148"/>
      <c r="AY75" s="148"/>
      <c r="AZ75" s="148"/>
      <c r="BA75" s="148"/>
      <c r="BB75" s="148"/>
      <c r="BC75" s="148"/>
      <c r="BD75" s="148"/>
      <c r="BE75" s="148"/>
      <c r="BF75" s="148"/>
      <c r="BG75" s="148"/>
      <c r="BH75" s="148"/>
      <c r="BI75" s="148"/>
      <c r="BJ75" s="148"/>
      <c r="BK75" s="148"/>
      <c r="BL75" s="148"/>
      <c r="BM75" s="148"/>
      <c r="BN75" s="148"/>
      <c r="BO75" s="148"/>
      <c r="BP75" s="148"/>
      <c r="BQ75" s="148"/>
      <c r="BR75" s="148"/>
      <c r="BS75" s="148"/>
      <c r="BT75" s="148"/>
      <c r="BU75" s="148"/>
      <c r="BV75" s="148"/>
      <c r="BW75" s="148"/>
      <c r="BX75" s="148"/>
      <c r="BY75" s="148"/>
      <c r="BZ75" s="148"/>
      <c r="CA75" s="148"/>
      <c r="CB75" s="148"/>
      <c r="CC75" s="148"/>
      <c r="CD75" s="148"/>
      <c r="CE75" s="148"/>
      <c r="CF75" s="148"/>
      <c r="CG75" s="148"/>
      <c r="CH75" s="148"/>
      <c r="CI75" s="148"/>
      <c r="CJ75" s="148"/>
      <c r="CK75" s="148"/>
      <c r="CL75" s="148"/>
      <c r="CM75" s="148"/>
      <c r="CN75" s="148"/>
      <c r="CO75" s="148"/>
      <c r="CP75" s="148"/>
      <c r="CQ75" s="148"/>
      <c r="CR75" s="148"/>
      <c r="CS75" s="148"/>
      <c r="CT75" s="148"/>
      <c r="CU75" s="148"/>
      <c r="CV75" s="148"/>
      <c r="CW75" s="148"/>
      <c r="CX75" s="148"/>
      <c r="CY75" s="148"/>
      <c r="CZ75" s="148"/>
      <c r="DA75" s="148"/>
      <c r="DB75" s="148"/>
      <c r="DC75" s="148"/>
      <c r="DD75" s="148"/>
      <c r="DE75" s="148"/>
      <c r="DF75" s="148"/>
      <c r="DG75" s="148"/>
      <c r="DH75" s="148"/>
      <c r="DI75" s="148"/>
      <c r="DJ75" s="148"/>
      <c r="DK75" s="148"/>
      <c r="DL75" s="148"/>
      <c r="DM75" s="148"/>
      <c r="DN75" s="148"/>
      <c r="DO75" s="148"/>
      <c r="DP75" s="148"/>
      <c r="DQ75" s="148"/>
      <c r="DR75" s="148"/>
      <c r="DS75" s="148"/>
      <c r="DT75" s="148"/>
      <c r="DU75" s="148"/>
      <c r="DV75" s="148"/>
      <c r="DW75" s="148"/>
      <c r="DX75" s="148"/>
      <c r="DY75" s="148"/>
      <c r="DZ75" s="148"/>
      <c r="EA75" s="148"/>
      <c r="EB75" s="148"/>
      <c r="EC75" s="148"/>
      <c r="ED75" s="148"/>
      <c r="EE75" s="148"/>
      <c r="EF75" s="148"/>
      <c r="EG75" s="148"/>
      <c r="EH75" s="148"/>
      <c r="EI75" s="148"/>
      <c r="EJ75" s="148"/>
      <c r="EK75" s="148"/>
      <c r="EL75" s="148"/>
      <c r="EM75" s="148"/>
      <c r="EN75" s="148"/>
      <c r="EO75" s="148"/>
      <c r="EP75" s="148"/>
      <c r="EQ75" s="148"/>
      <c r="ER75" s="148"/>
      <c r="ES75" s="148"/>
      <c r="ET75" s="148"/>
      <c r="EU75" s="148"/>
      <c r="EV75" s="148"/>
      <c r="EW75" s="148"/>
      <c r="EX75" s="148"/>
      <c r="EY75" s="148"/>
      <c r="EZ75" s="148"/>
      <c r="FA75" s="148"/>
      <c r="FB75" s="148"/>
      <c r="FC75" s="148"/>
      <c r="FD75" s="148"/>
      <c r="FE75" s="148"/>
      <c r="FF75" s="148"/>
      <c r="FG75" s="148"/>
      <c r="FH75" s="148"/>
      <c r="FI75" s="148"/>
      <c r="FJ75" s="148"/>
      <c r="FK75" s="148"/>
      <c r="FL75" s="148"/>
      <c r="FM75" s="148"/>
      <c r="FN75" s="148"/>
      <c r="FO75" s="148"/>
      <c r="FP75" s="148"/>
      <c r="FQ75" s="148"/>
      <c r="FR75" s="148"/>
      <c r="FS75" s="148"/>
      <c r="FT75" s="148"/>
      <c r="FU75" s="148"/>
      <c r="FV75" s="148"/>
      <c r="FW75" s="148"/>
      <c r="FX75" s="148"/>
      <c r="FY75" s="148"/>
      <c r="FZ75" s="148"/>
      <c r="GA75" s="148"/>
      <c r="GB75" s="148"/>
      <c r="GC75" s="148"/>
      <c r="GD75" s="148"/>
      <c r="GE75" s="148"/>
      <c r="GF75" s="148"/>
      <c r="GG75" s="148"/>
      <c r="GH75" s="148"/>
      <c r="GI75" s="148"/>
      <c r="GJ75" s="148"/>
      <c r="GK75" s="148"/>
      <c r="GL75" s="148"/>
      <c r="GM75" s="148"/>
      <c r="GN75" s="148"/>
      <c r="GO75" s="148"/>
      <c r="GP75" s="148"/>
      <c r="GQ75" s="148"/>
      <c r="GR75" s="148"/>
      <c r="GS75" s="148"/>
      <c r="GT75" s="148"/>
      <c r="GU75" s="148"/>
      <c r="GV75" s="148"/>
      <c r="GW75" s="148"/>
      <c r="GX75" s="148"/>
      <c r="GY75" s="148"/>
      <c r="GZ75" s="148"/>
      <c r="HA75" s="148"/>
      <c r="HB75" s="148"/>
      <c r="HC75" s="148"/>
      <c r="HD75" s="148"/>
      <c r="HE75" s="148"/>
      <c r="HF75" s="148"/>
      <c r="HG75" s="148"/>
      <c r="HH75" s="148"/>
      <c r="HI75" s="148"/>
      <c r="HJ75" s="148"/>
      <c r="HK75" s="148"/>
      <c r="HL75" s="148"/>
      <c r="HM75" s="148"/>
      <c r="HN75" s="148"/>
      <c r="HO75" s="148"/>
      <c r="HP75" s="148"/>
      <c r="HQ75" s="148"/>
      <c r="HR75" s="148"/>
      <c r="HS75" s="148"/>
      <c r="HT75" s="148"/>
      <c r="HU75" s="148"/>
      <c r="HV75" s="148"/>
      <c r="HW75" s="148"/>
      <c r="HX75" s="148"/>
      <c r="HY75" s="148"/>
      <c r="HZ75" s="148"/>
      <c r="IA75" s="148"/>
      <c r="IB75" s="148"/>
      <c r="IC75" s="148"/>
    </row>
    <row r="76" spans="1:237" s="15" customFormat="1" ht="22.5" x14ac:dyDescent="0.25">
      <c r="A76" s="148"/>
      <c r="B76" s="307">
        <v>61</v>
      </c>
      <c r="C76" s="307" t="s">
        <v>38</v>
      </c>
      <c r="D76" s="450">
        <v>40002337</v>
      </c>
      <c r="E76" s="577" t="s">
        <v>2945</v>
      </c>
      <c r="F76" s="577" t="s">
        <v>897</v>
      </c>
      <c r="G76" s="533" t="s">
        <v>1902</v>
      </c>
      <c r="H76" s="553" t="s">
        <v>2943</v>
      </c>
      <c r="I76" s="534" t="s">
        <v>43</v>
      </c>
      <c r="J76" s="535">
        <v>705752</v>
      </c>
      <c r="K76" s="535">
        <v>4721</v>
      </c>
      <c r="L76" s="535">
        <v>38557</v>
      </c>
      <c r="M76" s="535">
        <v>1031</v>
      </c>
      <c r="N76" s="454">
        <v>0</v>
      </c>
      <c r="O76" s="454">
        <v>450489.75199999998</v>
      </c>
      <c r="P76" s="535">
        <v>160710.97399999999</v>
      </c>
      <c r="Q76" s="535">
        <v>0</v>
      </c>
      <c r="R76" s="535">
        <f>137484577/1000</f>
        <v>137484.57699999999</v>
      </c>
      <c r="S76" s="535">
        <v>0</v>
      </c>
      <c r="T76" s="535"/>
      <c r="U76" s="535"/>
      <c r="V76" s="535"/>
      <c r="W76" s="535"/>
      <c r="X76" s="535"/>
      <c r="Y76" s="535"/>
      <c r="Z76" s="660">
        <f t="shared" si="2"/>
        <v>748685.30300000007</v>
      </c>
      <c r="AA76" s="554">
        <v>542000</v>
      </c>
      <c r="AB76" s="558">
        <v>3</v>
      </c>
      <c r="AC76" s="545">
        <v>44210</v>
      </c>
      <c r="AD76" s="542">
        <v>44237</v>
      </c>
      <c r="AE76" s="454">
        <v>143858</v>
      </c>
      <c r="AF76" s="459">
        <v>7</v>
      </c>
      <c r="AG76" s="457">
        <v>44260</v>
      </c>
      <c r="AH76" s="458">
        <v>44287</v>
      </c>
      <c r="AI76" s="454">
        <v>69277</v>
      </c>
      <c r="AJ76" s="456">
        <v>14</v>
      </c>
      <c r="AK76" s="457">
        <v>44321</v>
      </c>
      <c r="AL76" s="458">
        <v>44340</v>
      </c>
      <c r="AM76" s="454"/>
      <c r="AN76" s="456"/>
      <c r="AO76" s="460"/>
      <c r="AP76" s="458"/>
      <c r="AQ76" s="454"/>
      <c r="AR76" s="456"/>
      <c r="AS76" s="460"/>
      <c r="AT76" s="458"/>
      <c r="AU76" s="22">
        <f t="shared" si="0"/>
        <v>755135</v>
      </c>
      <c r="AV76" s="546">
        <f t="shared" si="1"/>
        <v>6449.6969999999274</v>
      </c>
      <c r="AW76" s="148"/>
      <c r="AX76" s="148"/>
      <c r="AY76" s="148"/>
      <c r="AZ76" s="148"/>
      <c r="BA76" s="148"/>
      <c r="BB76" s="148"/>
      <c r="BC76" s="148"/>
      <c r="BD76" s="148"/>
      <c r="BE76" s="148"/>
      <c r="BF76" s="148"/>
      <c r="BG76" s="148"/>
      <c r="BH76" s="148"/>
      <c r="BI76" s="148"/>
      <c r="BJ76" s="148"/>
      <c r="BK76" s="148"/>
      <c r="BL76" s="148"/>
      <c r="BM76" s="148"/>
      <c r="BN76" s="148"/>
      <c r="BO76" s="148"/>
      <c r="BP76" s="148"/>
      <c r="BQ76" s="148"/>
      <c r="BR76" s="148"/>
      <c r="BS76" s="148"/>
      <c r="BT76" s="148"/>
      <c r="BU76" s="148"/>
      <c r="BV76" s="148"/>
      <c r="BW76" s="148"/>
      <c r="BX76" s="148"/>
      <c r="BY76" s="148"/>
      <c r="BZ76" s="148"/>
      <c r="CA76" s="148"/>
      <c r="CB76" s="148"/>
      <c r="CC76" s="148"/>
      <c r="CD76" s="148"/>
      <c r="CE76" s="148"/>
      <c r="CF76" s="148"/>
      <c r="CG76" s="148"/>
      <c r="CH76" s="148"/>
      <c r="CI76" s="148"/>
      <c r="CJ76" s="148"/>
      <c r="CK76" s="148"/>
      <c r="CL76" s="148"/>
      <c r="CM76" s="148"/>
      <c r="CN76" s="148"/>
      <c r="CO76" s="148"/>
      <c r="CP76" s="148"/>
      <c r="CQ76" s="148"/>
      <c r="CR76" s="148"/>
      <c r="CS76" s="148"/>
      <c r="CT76" s="148"/>
      <c r="CU76" s="148"/>
      <c r="CV76" s="148"/>
      <c r="CW76" s="148"/>
      <c r="CX76" s="148"/>
      <c r="CY76" s="148"/>
      <c r="CZ76" s="148"/>
      <c r="DA76" s="148"/>
      <c r="DB76" s="148"/>
      <c r="DC76" s="148"/>
      <c r="DD76" s="148"/>
      <c r="DE76" s="148"/>
      <c r="DF76" s="148"/>
      <c r="DG76" s="148"/>
      <c r="DH76" s="148"/>
      <c r="DI76" s="148"/>
      <c r="DJ76" s="148"/>
      <c r="DK76" s="148"/>
      <c r="DL76" s="148"/>
      <c r="DM76" s="148"/>
      <c r="DN76" s="148"/>
      <c r="DO76" s="148"/>
      <c r="DP76" s="148"/>
      <c r="DQ76" s="148"/>
      <c r="DR76" s="148"/>
      <c r="DS76" s="148"/>
      <c r="DT76" s="148"/>
      <c r="DU76" s="148"/>
      <c r="DV76" s="148"/>
      <c r="DW76" s="148"/>
      <c r="DX76" s="148"/>
      <c r="DY76" s="148"/>
      <c r="DZ76" s="148"/>
      <c r="EA76" s="148"/>
      <c r="EB76" s="148"/>
      <c r="EC76" s="148"/>
      <c r="ED76" s="148"/>
      <c r="EE76" s="148"/>
      <c r="EF76" s="148"/>
      <c r="EG76" s="148"/>
      <c r="EH76" s="148"/>
      <c r="EI76" s="148"/>
      <c r="EJ76" s="148"/>
      <c r="EK76" s="148"/>
      <c r="EL76" s="148"/>
      <c r="EM76" s="148"/>
      <c r="EN76" s="148"/>
      <c r="EO76" s="148"/>
      <c r="EP76" s="148"/>
      <c r="EQ76" s="148"/>
      <c r="ER76" s="148"/>
      <c r="ES76" s="148"/>
      <c r="ET76" s="148"/>
      <c r="EU76" s="148"/>
      <c r="EV76" s="148"/>
      <c r="EW76" s="148"/>
      <c r="EX76" s="148"/>
      <c r="EY76" s="148"/>
      <c r="EZ76" s="148"/>
      <c r="FA76" s="148"/>
      <c r="FB76" s="148"/>
      <c r="FC76" s="148"/>
      <c r="FD76" s="148"/>
      <c r="FE76" s="148"/>
      <c r="FF76" s="148"/>
      <c r="FG76" s="148"/>
      <c r="FH76" s="148"/>
      <c r="FI76" s="148"/>
      <c r="FJ76" s="148"/>
      <c r="FK76" s="148"/>
      <c r="FL76" s="148"/>
      <c r="FM76" s="148"/>
      <c r="FN76" s="148"/>
      <c r="FO76" s="148"/>
      <c r="FP76" s="148"/>
      <c r="FQ76" s="148"/>
      <c r="FR76" s="148"/>
      <c r="FS76" s="148"/>
      <c r="FT76" s="148"/>
      <c r="FU76" s="148"/>
      <c r="FV76" s="148"/>
      <c r="FW76" s="148"/>
      <c r="FX76" s="148"/>
      <c r="FY76" s="148"/>
      <c r="FZ76" s="148"/>
      <c r="GA76" s="148"/>
      <c r="GB76" s="148"/>
      <c r="GC76" s="148"/>
      <c r="GD76" s="148"/>
      <c r="GE76" s="148"/>
      <c r="GF76" s="148"/>
      <c r="GG76" s="148"/>
      <c r="GH76" s="148"/>
      <c r="GI76" s="148"/>
      <c r="GJ76" s="148"/>
      <c r="GK76" s="148"/>
      <c r="GL76" s="148"/>
      <c r="GM76" s="148"/>
      <c r="GN76" s="148"/>
      <c r="GO76" s="148"/>
      <c r="GP76" s="148"/>
      <c r="GQ76" s="148"/>
      <c r="GR76" s="148"/>
      <c r="GS76" s="148"/>
      <c r="GT76" s="148"/>
      <c r="GU76" s="148"/>
      <c r="GV76" s="148"/>
      <c r="GW76" s="148"/>
      <c r="GX76" s="148"/>
      <c r="GY76" s="148"/>
      <c r="GZ76" s="148"/>
      <c r="HA76" s="148"/>
      <c r="HB76" s="148"/>
      <c r="HC76" s="148"/>
      <c r="HD76" s="148"/>
      <c r="HE76" s="148"/>
      <c r="HF76" s="148"/>
      <c r="HG76" s="148"/>
      <c r="HH76" s="148"/>
      <c r="HI76" s="148"/>
      <c r="HJ76" s="148"/>
      <c r="HK76" s="148"/>
      <c r="HL76" s="148"/>
      <c r="HM76" s="148"/>
      <c r="HN76" s="148"/>
      <c r="HO76" s="148"/>
      <c r="HP76" s="148"/>
      <c r="HQ76" s="148"/>
      <c r="HR76" s="148"/>
      <c r="HS76" s="148"/>
      <c r="HT76" s="148"/>
      <c r="HU76" s="148"/>
      <c r="HV76" s="148"/>
      <c r="HW76" s="148"/>
      <c r="HX76" s="148"/>
      <c r="HY76" s="148"/>
      <c r="HZ76" s="148"/>
      <c r="IA76" s="148"/>
      <c r="IB76" s="148"/>
      <c r="IC76" s="148"/>
    </row>
    <row r="77" spans="1:237" s="15" customFormat="1" ht="22.5" x14ac:dyDescent="0.25">
      <c r="A77" s="148"/>
      <c r="B77" s="307">
        <v>62</v>
      </c>
      <c r="C77" s="307" t="s">
        <v>38</v>
      </c>
      <c r="D77" s="450">
        <v>40002339</v>
      </c>
      <c r="E77" s="577" t="s">
        <v>2946</v>
      </c>
      <c r="F77" s="577" t="s">
        <v>897</v>
      </c>
      <c r="G77" s="533" t="s">
        <v>1902</v>
      </c>
      <c r="H77" s="553" t="s">
        <v>2938</v>
      </c>
      <c r="I77" s="534" t="s">
        <v>42</v>
      </c>
      <c r="J77" s="535">
        <v>956569</v>
      </c>
      <c r="K77" s="535">
        <v>518506</v>
      </c>
      <c r="L77" s="535">
        <v>0</v>
      </c>
      <c r="M77" s="535">
        <v>0</v>
      </c>
      <c r="N77" s="454">
        <v>0</v>
      </c>
      <c r="O77" s="454">
        <v>256658.299</v>
      </c>
      <c r="P77" s="535">
        <v>163871.88399999999</v>
      </c>
      <c r="Q77" s="535">
        <v>0</v>
      </c>
      <c r="R77" s="535">
        <v>0</v>
      </c>
      <c r="S77" s="535">
        <v>0</v>
      </c>
      <c r="T77" s="535"/>
      <c r="U77" s="535"/>
      <c r="V77" s="535"/>
      <c r="W77" s="535"/>
      <c r="X77" s="535"/>
      <c r="Y77" s="535"/>
      <c r="Z77" s="660">
        <f t="shared" si="2"/>
        <v>420530.18299999996</v>
      </c>
      <c r="AA77" s="554">
        <v>357068</v>
      </c>
      <c r="AB77" s="558">
        <v>3</v>
      </c>
      <c r="AC77" s="545">
        <v>44210</v>
      </c>
      <c r="AD77" s="542">
        <v>44237</v>
      </c>
      <c r="AE77" s="454">
        <v>71473</v>
      </c>
      <c r="AF77" s="459">
        <v>7</v>
      </c>
      <c r="AG77" s="457">
        <v>44260</v>
      </c>
      <c r="AH77" s="458">
        <v>44287</v>
      </c>
      <c r="AI77" s="454"/>
      <c r="AJ77" s="456"/>
      <c r="AK77" s="460"/>
      <c r="AL77" s="458"/>
      <c r="AM77" s="454"/>
      <c r="AN77" s="456"/>
      <c r="AO77" s="460"/>
      <c r="AP77" s="458"/>
      <c r="AQ77" s="454"/>
      <c r="AR77" s="456"/>
      <c r="AS77" s="460"/>
      <c r="AT77" s="458"/>
      <c r="AU77" s="22">
        <f t="shared" si="0"/>
        <v>428541</v>
      </c>
      <c r="AV77" s="546">
        <f t="shared" si="1"/>
        <v>8010.8170000000391</v>
      </c>
      <c r="AW77" s="148"/>
      <c r="AX77" s="148"/>
      <c r="AY77" s="148"/>
      <c r="AZ77" s="148"/>
      <c r="BA77" s="148"/>
      <c r="BB77" s="148"/>
      <c r="BC77" s="148"/>
      <c r="BD77" s="148"/>
      <c r="BE77" s="148"/>
      <c r="BF77" s="148"/>
      <c r="BG77" s="148"/>
      <c r="BH77" s="148"/>
      <c r="BI77" s="148"/>
      <c r="BJ77" s="148"/>
      <c r="BK77" s="148"/>
      <c r="BL77" s="148"/>
      <c r="BM77" s="148"/>
      <c r="BN77" s="148"/>
      <c r="BO77" s="148"/>
      <c r="BP77" s="148"/>
      <c r="BQ77" s="148"/>
      <c r="BR77" s="148"/>
      <c r="BS77" s="148"/>
      <c r="BT77" s="148"/>
      <c r="BU77" s="148"/>
      <c r="BV77" s="148"/>
      <c r="BW77" s="148"/>
      <c r="BX77" s="148"/>
      <c r="BY77" s="148"/>
      <c r="BZ77" s="148"/>
      <c r="CA77" s="148"/>
      <c r="CB77" s="148"/>
      <c r="CC77" s="148"/>
      <c r="CD77" s="148"/>
      <c r="CE77" s="148"/>
      <c r="CF77" s="148"/>
      <c r="CG77" s="148"/>
      <c r="CH77" s="148"/>
      <c r="CI77" s="148"/>
      <c r="CJ77" s="148"/>
      <c r="CK77" s="148"/>
      <c r="CL77" s="148"/>
      <c r="CM77" s="148"/>
      <c r="CN77" s="148"/>
      <c r="CO77" s="148"/>
      <c r="CP77" s="148"/>
      <c r="CQ77" s="148"/>
      <c r="CR77" s="148"/>
      <c r="CS77" s="148"/>
      <c r="CT77" s="148"/>
      <c r="CU77" s="148"/>
      <c r="CV77" s="148"/>
      <c r="CW77" s="148"/>
      <c r="CX77" s="148"/>
      <c r="CY77" s="148"/>
      <c r="CZ77" s="148"/>
      <c r="DA77" s="148"/>
      <c r="DB77" s="148"/>
      <c r="DC77" s="148"/>
      <c r="DD77" s="148"/>
      <c r="DE77" s="148"/>
      <c r="DF77" s="148"/>
      <c r="DG77" s="148"/>
      <c r="DH77" s="148"/>
      <c r="DI77" s="148"/>
      <c r="DJ77" s="148"/>
      <c r="DK77" s="148"/>
      <c r="DL77" s="148"/>
      <c r="DM77" s="148"/>
      <c r="DN77" s="148"/>
      <c r="DO77" s="148"/>
      <c r="DP77" s="148"/>
      <c r="DQ77" s="148"/>
      <c r="DR77" s="148"/>
      <c r="DS77" s="148"/>
      <c r="DT77" s="148"/>
      <c r="DU77" s="148"/>
      <c r="DV77" s="148"/>
      <c r="DW77" s="148"/>
      <c r="DX77" s="148"/>
      <c r="DY77" s="148"/>
      <c r="DZ77" s="148"/>
      <c r="EA77" s="148"/>
      <c r="EB77" s="148"/>
      <c r="EC77" s="148"/>
      <c r="ED77" s="148"/>
      <c r="EE77" s="148"/>
      <c r="EF77" s="148"/>
      <c r="EG77" s="148"/>
      <c r="EH77" s="148"/>
      <c r="EI77" s="148"/>
      <c r="EJ77" s="148"/>
      <c r="EK77" s="148"/>
      <c r="EL77" s="148"/>
      <c r="EM77" s="148"/>
      <c r="EN77" s="148"/>
      <c r="EO77" s="148"/>
      <c r="EP77" s="148"/>
      <c r="EQ77" s="148"/>
      <c r="ER77" s="148"/>
      <c r="ES77" s="148"/>
      <c r="ET77" s="148"/>
      <c r="EU77" s="148"/>
      <c r="EV77" s="148"/>
      <c r="EW77" s="148"/>
      <c r="EX77" s="148"/>
      <c r="EY77" s="148"/>
      <c r="EZ77" s="148"/>
      <c r="FA77" s="148"/>
      <c r="FB77" s="148"/>
      <c r="FC77" s="148"/>
      <c r="FD77" s="148"/>
      <c r="FE77" s="148"/>
      <c r="FF77" s="148"/>
      <c r="FG77" s="148"/>
      <c r="FH77" s="148"/>
      <c r="FI77" s="148"/>
      <c r="FJ77" s="148"/>
      <c r="FK77" s="148"/>
      <c r="FL77" s="148"/>
      <c r="FM77" s="148"/>
      <c r="FN77" s="148"/>
      <c r="FO77" s="148"/>
      <c r="FP77" s="148"/>
      <c r="FQ77" s="148"/>
      <c r="FR77" s="148"/>
      <c r="FS77" s="148"/>
      <c r="FT77" s="148"/>
      <c r="FU77" s="148"/>
      <c r="FV77" s="148"/>
      <c r="FW77" s="148"/>
      <c r="FX77" s="148"/>
      <c r="FY77" s="148"/>
      <c r="FZ77" s="148"/>
      <c r="GA77" s="148"/>
      <c r="GB77" s="148"/>
      <c r="GC77" s="148"/>
      <c r="GD77" s="148"/>
      <c r="GE77" s="148"/>
      <c r="GF77" s="148"/>
      <c r="GG77" s="148"/>
      <c r="GH77" s="148"/>
      <c r="GI77" s="148"/>
      <c r="GJ77" s="148"/>
      <c r="GK77" s="148"/>
      <c r="GL77" s="148"/>
      <c r="GM77" s="148"/>
      <c r="GN77" s="148"/>
      <c r="GO77" s="148"/>
      <c r="GP77" s="148"/>
      <c r="GQ77" s="148"/>
      <c r="GR77" s="148"/>
      <c r="GS77" s="148"/>
      <c r="GT77" s="148"/>
      <c r="GU77" s="148"/>
      <c r="GV77" s="148"/>
      <c r="GW77" s="148"/>
      <c r="GX77" s="148"/>
      <c r="GY77" s="148"/>
      <c r="GZ77" s="148"/>
      <c r="HA77" s="148"/>
      <c r="HB77" s="148"/>
      <c r="HC77" s="148"/>
      <c r="HD77" s="148"/>
      <c r="HE77" s="148"/>
      <c r="HF77" s="148"/>
      <c r="HG77" s="148"/>
      <c r="HH77" s="148"/>
      <c r="HI77" s="148"/>
      <c r="HJ77" s="148"/>
      <c r="HK77" s="148"/>
      <c r="HL77" s="148"/>
      <c r="HM77" s="148"/>
      <c r="HN77" s="148"/>
      <c r="HO77" s="148"/>
      <c r="HP77" s="148"/>
      <c r="HQ77" s="148"/>
      <c r="HR77" s="148"/>
      <c r="HS77" s="148"/>
      <c r="HT77" s="148"/>
      <c r="HU77" s="148"/>
      <c r="HV77" s="148"/>
      <c r="HW77" s="148"/>
      <c r="HX77" s="148"/>
      <c r="HY77" s="148"/>
      <c r="HZ77" s="148"/>
      <c r="IA77" s="148"/>
      <c r="IB77" s="148"/>
      <c r="IC77" s="148"/>
    </row>
    <row r="78" spans="1:237" s="15" customFormat="1" ht="22.5" x14ac:dyDescent="0.25">
      <c r="A78" s="148"/>
      <c r="B78" s="307">
        <v>63</v>
      </c>
      <c r="C78" s="307" t="s">
        <v>38</v>
      </c>
      <c r="D78" s="450">
        <v>40003112</v>
      </c>
      <c r="E78" s="577" t="s">
        <v>2947</v>
      </c>
      <c r="F78" s="577" t="s">
        <v>897</v>
      </c>
      <c r="G78" s="533" t="s">
        <v>1902</v>
      </c>
      <c r="H78" s="553" t="s">
        <v>2948</v>
      </c>
      <c r="I78" s="534" t="s">
        <v>43</v>
      </c>
      <c r="J78" s="535">
        <v>877271</v>
      </c>
      <c r="K78" s="535">
        <v>18873</v>
      </c>
      <c r="L78" s="535">
        <v>593096</v>
      </c>
      <c r="M78" s="535">
        <v>347997</v>
      </c>
      <c r="N78" s="454">
        <v>0</v>
      </c>
      <c r="O78" s="454">
        <v>40904.504999999997</v>
      </c>
      <c r="P78" s="535">
        <v>81809.009999999995</v>
      </c>
      <c r="Q78" s="535">
        <v>0</v>
      </c>
      <c r="R78" s="535">
        <f>122713515/1000</f>
        <v>122713.515</v>
      </c>
      <c r="S78" s="535">
        <v>0</v>
      </c>
      <c r="T78" s="535"/>
      <c r="U78" s="535"/>
      <c r="V78" s="535"/>
      <c r="W78" s="535"/>
      <c r="X78" s="535"/>
      <c r="Y78" s="535"/>
      <c r="Z78" s="660">
        <f t="shared" si="2"/>
        <v>245427.02999999997</v>
      </c>
      <c r="AA78" s="554">
        <v>246000</v>
      </c>
      <c r="AB78" s="558">
        <v>3</v>
      </c>
      <c r="AC78" s="545">
        <v>44210</v>
      </c>
      <c r="AD78" s="542">
        <v>44237</v>
      </c>
      <c r="AE78" s="454"/>
      <c r="AF78" s="459"/>
      <c r="AG78" s="460"/>
      <c r="AH78" s="458"/>
      <c r="AI78" s="454"/>
      <c r="AJ78" s="456"/>
      <c r="AK78" s="460"/>
      <c r="AL78" s="458"/>
      <c r="AM78" s="454"/>
      <c r="AN78" s="456"/>
      <c r="AO78" s="460"/>
      <c r="AP78" s="458"/>
      <c r="AQ78" s="454"/>
      <c r="AR78" s="456"/>
      <c r="AS78" s="460"/>
      <c r="AT78" s="458"/>
      <c r="AU78" s="22">
        <f t="shared" si="0"/>
        <v>246000</v>
      </c>
      <c r="AV78" s="546">
        <f t="shared" si="1"/>
        <v>572.97000000003027</v>
      </c>
      <c r="AW78" s="148"/>
      <c r="AX78" s="148"/>
      <c r="AY78" s="148"/>
      <c r="AZ78" s="148"/>
      <c r="BA78" s="148"/>
      <c r="BB78" s="148"/>
      <c r="BC78" s="148"/>
      <c r="BD78" s="148"/>
      <c r="BE78" s="148"/>
      <c r="BF78" s="148"/>
      <c r="BG78" s="148"/>
      <c r="BH78" s="148"/>
      <c r="BI78" s="148"/>
      <c r="BJ78" s="148"/>
      <c r="BK78" s="148"/>
      <c r="BL78" s="148"/>
      <c r="BM78" s="148"/>
      <c r="BN78" s="148"/>
      <c r="BO78" s="148"/>
      <c r="BP78" s="148"/>
      <c r="BQ78" s="148"/>
      <c r="BR78" s="148"/>
      <c r="BS78" s="148"/>
      <c r="BT78" s="148"/>
      <c r="BU78" s="148"/>
      <c r="BV78" s="148"/>
      <c r="BW78" s="148"/>
      <c r="BX78" s="148"/>
      <c r="BY78" s="148"/>
      <c r="BZ78" s="148"/>
      <c r="CA78" s="148"/>
      <c r="CB78" s="148"/>
      <c r="CC78" s="148"/>
      <c r="CD78" s="148"/>
      <c r="CE78" s="148"/>
      <c r="CF78" s="148"/>
      <c r="CG78" s="148"/>
      <c r="CH78" s="148"/>
      <c r="CI78" s="148"/>
      <c r="CJ78" s="148"/>
      <c r="CK78" s="148"/>
      <c r="CL78" s="148"/>
      <c r="CM78" s="148"/>
      <c r="CN78" s="148"/>
      <c r="CO78" s="148"/>
      <c r="CP78" s="148"/>
      <c r="CQ78" s="148"/>
      <c r="CR78" s="148"/>
      <c r="CS78" s="148"/>
      <c r="CT78" s="148"/>
      <c r="CU78" s="148"/>
      <c r="CV78" s="148"/>
      <c r="CW78" s="148"/>
      <c r="CX78" s="148"/>
      <c r="CY78" s="148"/>
      <c r="CZ78" s="148"/>
      <c r="DA78" s="148"/>
      <c r="DB78" s="148"/>
      <c r="DC78" s="148"/>
      <c r="DD78" s="148"/>
      <c r="DE78" s="148"/>
      <c r="DF78" s="148"/>
      <c r="DG78" s="148"/>
      <c r="DH78" s="148"/>
      <c r="DI78" s="148"/>
      <c r="DJ78" s="148"/>
      <c r="DK78" s="148"/>
      <c r="DL78" s="148"/>
      <c r="DM78" s="148"/>
      <c r="DN78" s="148"/>
      <c r="DO78" s="148"/>
      <c r="DP78" s="148"/>
      <c r="DQ78" s="148"/>
      <c r="DR78" s="148"/>
      <c r="DS78" s="148"/>
      <c r="DT78" s="148"/>
      <c r="DU78" s="148"/>
      <c r="DV78" s="148"/>
      <c r="DW78" s="148"/>
      <c r="DX78" s="148"/>
      <c r="DY78" s="148"/>
      <c r="DZ78" s="148"/>
      <c r="EA78" s="148"/>
      <c r="EB78" s="148"/>
      <c r="EC78" s="148"/>
      <c r="ED78" s="148"/>
      <c r="EE78" s="148"/>
      <c r="EF78" s="148"/>
      <c r="EG78" s="148"/>
      <c r="EH78" s="148"/>
      <c r="EI78" s="148"/>
      <c r="EJ78" s="148"/>
      <c r="EK78" s="148"/>
      <c r="EL78" s="148"/>
      <c r="EM78" s="148"/>
      <c r="EN78" s="148"/>
      <c r="EO78" s="148"/>
      <c r="EP78" s="148"/>
      <c r="EQ78" s="148"/>
      <c r="ER78" s="148"/>
      <c r="ES78" s="148"/>
      <c r="ET78" s="148"/>
      <c r="EU78" s="148"/>
      <c r="EV78" s="148"/>
      <c r="EW78" s="148"/>
      <c r="EX78" s="148"/>
      <c r="EY78" s="148"/>
      <c r="EZ78" s="148"/>
      <c r="FA78" s="148"/>
      <c r="FB78" s="148"/>
      <c r="FC78" s="148"/>
      <c r="FD78" s="148"/>
      <c r="FE78" s="148"/>
      <c r="FF78" s="148"/>
      <c r="FG78" s="148"/>
      <c r="FH78" s="148"/>
      <c r="FI78" s="148"/>
      <c r="FJ78" s="148"/>
      <c r="FK78" s="148"/>
      <c r="FL78" s="148"/>
      <c r="FM78" s="148"/>
      <c r="FN78" s="148"/>
      <c r="FO78" s="148"/>
      <c r="FP78" s="148"/>
      <c r="FQ78" s="148"/>
      <c r="FR78" s="148"/>
      <c r="FS78" s="148"/>
      <c r="FT78" s="148"/>
      <c r="FU78" s="148"/>
      <c r="FV78" s="148"/>
      <c r="FW78" s="148"/>
      <c r="FX78" s="148"/>
      <c r="FY78" s="148"/>
      <c r="FZ78" s="148"/>
      <c r="GA78" s="148"/>
      <c r="GB78" s="148"/>
      <c r="GC78" s="148"/>
      <c r="GD78" s="148"/>
      <c r="GE78" s="148"/>
      <c r="GF78" s="148"/>
      <c r="GG78" s="148"/>
      <c r="GH78" s="148"/>
      <c r="GI78" s="148"/>
      <c r="GJ78" s="148"/>
      <c r="GK78" s="148"/>
      <c r="GL78" s="148"/>
      <c r="GM78" s="148"/>
      <c r="GN78" s="148"/>
      <c r="GO78" s="148"/>
      <c r="GP78" s="148"/>
      <c r="GQ78" s="148"/>
      <c r="GR78" s="148"/>
      <c r="GS78" s="148"/>
      <c r="GT78" s="148"/>
      <c r="GU78" s="148"/>
      <c r="GV78" s="148"/>
      <c r="GW78" s="148"/>
      <c r="GX78" s="148"/>
      <c r="GY78" s="148"/>
      <c r="GZ78" s="148"/>
      <c r="HA78" s="148"/>
      <c r="HB78" s="148"/>
      <c r="HC78" s="148"/>
      <c r="HD78" s="148"/>
      <c r="HE78" s="148"/>
      <c r="HF78" s="148"/>
      <c r="HG78" s="148"/>
      <c r="HH78" s="148"/>
      <c r="HI78" s="148"/>
      <c r="HJ78" s="148"/>
      <c r="HK78" s="148"/>
      <c r="HL78" s="148"/>
      <c r="HM78" s="148"/>
      <c r="HN78" s="148"/>
      <c r="HO78" s="148"/>
      <c r="HP78" s="148"/>
      <c r="HQ78" s="148"/>
      <c r="HR78" s="148"/>
      <c r="HS78" s="148"/>
      <c r="HT78" s="148"/>
      <c r="HU78" s="148"/>
      <c r="HV78" s="148"/>
      <c r="HW78" s="148"/>
      <c r="HX78" s="148"/>
      <c r="HY78" s="148"/>
      <c r="HZ78" s="148"/>
      <c r="IA78" s="148"/>
      <c r="IB78" s="148"/>
      <c r="IC78" s="148"/>
    </row>
    <row r="79" spans="1:237" s="15" customFormat="1" ht="22.5" x14ac:dyDescent="0.25">
      <c r="A79" s="148"/>
      <c r="B79" s="307">
        <v>21</v>
      </c>
      <c r="C79" s="307" t="s">
        <v>38</v>
      </c>
      <c r="D79" s="450">
        <v>40002338</v>
      </c>
      <c r="E79" s="577" t="s">
        <v>2949</v>
      </c>
      <c r="F79" s="577" t="s">
        <v>897</v>
      </c>
      <c r="G79" s="533" t="s">
        <v>1902</v>
      </c>
      <c r="H79" s="553" t="s">
        <v>2888</v>
      </c>
      <c r="I79" s="534" t="s">
        <v>42</v>
      </c>
      <c r="J79" s="535">
        <v>738545</v>
      </c>
      <c r="K79" s="535">
        <v>544637</v>
      </c>
      <c r="L79" s="535">
        <v>0</v>
      </c>
      <c r="M79" s="535">
        <v>0</v>
      </c>
      <c r="N79" s="454">
        <v>29986.504000000001</v>
      </c>
      <c r="O79" s="454">
        <v>0</v>
      </c>
      <c r="P79" s="535">
        <v>0</v>
      </c>
      <c r="Q79" s="535">
        <f>73459023/1000</f>
        <v>73459.023000000001</v>
      </c>
      <c r="R79" s="535">
        <v>0</v>
      </c>
      <c r="S79" s="535">
        <f>52525185/1000</f>
        <v>52525.184999999998</v>
      </c>
      <c r="T79" s="535"/>
      <c r="U79" s="535"/>
      <c r="V79" s="535"/>
      <c r="W79" s="535"/>
      <c r="X79" s="535"/>
      <c r="Y79" s="535"/>
      <c r="Z79" s="660">
        <f t="shared" si="2"/>
        <v>155970.712</v>
      </c>
      <c r="AA79" s="535">
        <v>131745</v>
      </c>
      <c r="AB79" s="558">
        <v>1</v>
      </c>
      <c r="AC79" s="551">
        <v>44201</v>
      </c>
      <c r="AD79" s="552">
        <v>44229</v>
      </c>
      <c r="AE79" s="454">
        <v>24227</v>
      </c>
      <c r="AF79" s="459">
        <v>11</v>
      </c>
      <c r="AG79" s="457">
        <v>44307</v>
      </c>
      <c r="AH79" s="458">
        <v>44328</v>
      </c>
      <c r="AI79" s="454"/>
      <c r="AJ79" s="456"/>
      <c r="AK79" s="460"/>
      <c r="AL79" s="458"/>
      <c r="AM79" s="454"/>
      <c r="AN79" s="456"/>
      <c r="AO79" s="460"/>
      <c r="AP79" s="458"/>
      <c r="AQ79" s="454"/>
      <c r="AR79" s="456"/>
      <c r="AS79" s="460"/>
      <c r="AT79" s="458"/>
      <c r="AU79" s="22">
        <f t="shared" si="0"/>
        <v>155972</v>
      </c>
      <c r="AV79" s="546">
        <f t="shared" si="1"/>
        <v>1.2880000000004657</v>
      </c>
      <c r="AW79" s="148"/>
      <c r="AX79" s="148"/>
      <c r="AY79" s="148"/>
      <c r="AZ79" s="148"/>
      <c r="BA79" s="148"/>
      <c r="BB79" s="148"/>
      <c r="BC79" s="148"/>
      <c r="BD79" s="148"/>
      <c r="BE79" s="148"/>
      <c r="BF79" s="148"/>
      <c r="BG79" s="148"/>
      <c r="BH79" s="148"/>
      <c r="BI79" s="148"/>
      <c r="BJ79" s="148"/>
      <c r="BK79" s="148"/>
      <c r="BL79" s="148"/>
      <c r="BM79" s="148"/>
      <c r="BN79" s="148"/>
      <c r="BO79" s="148"/>
      <c r="BP79" s="148"/>
      <c r="BQ79" s="148"/>
      <c r="BR79" s="148"/>
      <c r="BS79" s="148"/>
      <c r="BT79" s="148"/>
      <c r="BU79" s="148"/>
      <c r="BV79" s="148"/>
      <c r="BW79" s="148"/>
      <c r="BX79" s="148"/>
      <c r="BY79" s="148"/>
      <c r="BZ79" s="148"/>
      <c r="CA79" s="148"/>
      <c r="CB79" s="148"/>
      <c r="CC79" s="148"/>
      <c r="CD79" s="148"/>
      <c r="CE79" s="148"/>
      <c r="CF79" s="148"/>
      <c r="CG79" s="148"/>
      <c r="CH79" s="148"/>
      <c r="CI79" s="148"/>
      <c r="CJ79" s="148"/>
      <c r="CK79" s="148"/>
      <c r="CL79" s="148"/>
      <c r="CM79" s="148"/>
      <c r="CN79" s="148"/>
      <c r="CO79" s="148"/>
      <c r="CP79" s="148"/>
      <c r="CQ79" s="148"/>
      <c r="CR79" s="148"/>
      <c r="CS79" s="148"/>
      <c r="CT79" s="148"/>
      <c r="CU79" s="148"/>
      <c r="CV79" s="148"/>
      <c r="CW79" s="148"/>
      <c r="CX79" s="148"/>
      <c r="CY79" s="148"/>
      <c r="CZ79" s="148"/>
      <c r="DA79" s="148"/>
      <c r="DB79" s="148"/>
      <c r="DC79" s="148"/>
      <c r="DD79" s="148"/>
      <c r="DE79" s="148"/>
      <c r="DF79" s="148"/>
      <c r="DG79" s="148"/>
      <c r="DH79" s="148"/>
      <c r="DI79" s="148"/>
      <c r="DJ79" s="148"/>
      <c r="DK79" s="148"/>
      <c r="DL79" s="148"/>
      <c r="DM79" s="148"/>
      <c r="DN79" s="148"/>
      <c r="DO79" s="148"/>
      <c r="DP79" s="148"/>
      <c r="DQ79" s="148"/>
      <c r="DR79" s="148"/>
      <c r="DS79" s="148"/>
      <c r="DT79" s="148"/>
      <c r="DU79" s="148"/>
      <c r="DV79" s="148"/>
      <c r="DW79" s="148"/>
      <c r="DX79" s="148"/>
      <c r="DY79" s="148"/>
      <c r="DZ79" s="148"/>
      <c r="EA79" s="148"/>
      <c r="EB79" s="148"/>
      <c r="EC79" s="148"/>
      <c r="ED79" s="148"/>
      <c r="EE79" s="148"/>
      <c r="EF79" s="148"/>
      <c r="EG79" s="148"/>
      <c r="EH79" s="148"/>
      <c r="EI79" s="148"/>
      <c r="EJ79" s="148"/>
      <c r="EK79" s="148"/>
      <c r="EL79" s="148"/>
      <c r="EM79" s="148"/>
      <c r="EN79" s="148"/>
      <c r="EO79" s="148"/>
      <c r="EP79" s="148"/>
      <c r="EQ79" s="148"/>
      <c r="ER79" s="148"/>
      <c r="ES79" s="148"/>
      <c r="ET79" s="148"/>
      <c r="EU79" s="148"/>
      <c r="EV79" s="148"/>
      <c r="EW79" s="148"/>
      <c r="EX79" s="148"/>
      <c r="EY79" s="148"/>
      <c r="EZ79" s="148"/>
      <c r="FA79" s="148"/>
      <c r="FB79" s="148"/>
      <c r="FC79" s="148"/>
      <c r="FD79" s="148"/>
      <c r="FE79" s="148"/>
      <c r="FF79" s="148"/>
      <c r="FG79" s="148"/>
      <c r="FH79" s="148"/>
      <c r="FI79" s="148"/>
      <c r="FJ79" s="148"/>
      <c r="FK79" s="148"/>
      <c r="FL79" s="148"/>
      <c r="FM79" s="148"/>
      <c r="FN79" s="148"/>
      <c r="FO79" s="148"/>
      <c r="FP79" s="148"/>
      <c r="FQ79" s="148"/>
      <c r="FR79" s="148"/>
      <c r="FS79" s="148"/>
      <c r="FT79" s="148"/>
      <c r="FU79" s="148"/>
      <c r="FV79" s="148"/>
      <c r="FW79" s="148"/>
      <c r="FX79" s="148"/>
      <c r="FY79" s="148"/>
      <c r="FZ79" s="148"/>
      <c r="GA79" s="148"/>
      <c r="GB79" s="148"/>
      <c r="GC79" s="148"/>
      <c r="GD79" s="148"/>
      <c r="GE79" s="148"/>
      <c r="GF79" s="148"/>
      <c r="GG79" s="148"/>
      <c r="GH79" s="148"/>
      <c r="GI79" s="148"/>
      <c r="GJ79" s="148"/>
      <c r="GK79" s="148"/>
      <c r="GL79" s="148"/>
      <c r="GM79" s="148"/>
      <c r="GN79" s="148"/>
      <c r="GO79" s="148"/>
      <c r="GP79" s="148"/>
      <c r="GQ79" s="148"/>
      <c r="GR79" s="148"/>
      <c r="GS79" s="148"/>
      <c r="GT79" s="148"/>
      <c r="GU79" s="148"/>
      <c r="GV79" s="148"/>
      <c r="GW79" s="148"/>
      <c r="GX79" s="148"/>
      <c r="GY79" s="148"/>
      <c r="GZ79" s="148"/>
      <c r="HA79" s="148"/>
      <c r="HB79" s="148"/>
      <c r="HC79" s="148"/>
      <c r="HD79" s="148"/>
      <c r="HE79" s="148"/>
      <c r="HF79" s="148"/>
      <c r="HG79" s="148"/>
      <c r="HH79" s="148"/>
      <c r="HI79" s="148"/>
      <c r="HJ79" s="148"/>
      <c r="HK79" s="148"/>
      <c r="HL79" s="148"/>
      <c r="HM79" s="148"/>
      <c r="HN79" s="148"/>
      <c r="HO79" s="148"/>
      <c r="HP79" s="148"/>
      <c r="HQ79" s="148"/>
      <c r="HR79" s="148"/>
      <c r="HS79" s="148"/>
      <c r="HT79" s="148"/>
      <c r="HU79" s="148"/>
      <c r="HV79" s="148"/>
      <c r="HW79" s="148"/>
      <c r="HX79" s="148"/>
      <c r="HY79" s="148"/>
      <c r="HZ79" s="148"/>
      <c r="IA79" s="148"/>
      <c r="IB79" s="148"/>
      <c r="IC79" s="148"/>
    </row>
    <row r="80" spans="1:237" s="15" customFormat="1" x14ac:dyDescent="0.25">
      <c r="A80" s="148"/>
      <c r="B80" s="307">
        <v>65</v>
      </c>
      <c r="C80" s="307" t="s">
        <v>38</v>
      </c>
      <c r="D80" s="450">
        <v>40005541</v>
      </c>
      <c r="E80" s="577" t="s">
        <v>2950</v>
      </c>
      <c r="F80" s="577" t="s">
        <v>204</v>
      </c>
      <c r="G80" s="533" t="s">
        <v>1902</v>
      </c>
      <c r="H80" s="553" t="s">
        <v>2892</v>
      </c>
      <c r="I80" s="534" t="s">
        <v>42</v>
      </c>
      <c r="J80" s="535">
        <v>322712</v>
      </c>
      <c r="K80" s="535">
        <v>228027</v>
      </c>
      <c r="L80" s="535">
        <v>66528</v>
      </c>
      <c r="M80" s="535">
        <v>0</v>
      </c>
      <c r="N80" s="454">
        <v>0</v>
      </c>
      <c r="O80" s="454">
        <v>0</v>
      </c>
      <c r="P80" s="535">
        <v>0</v>
      </c>
      <c r="Q80" s="535">
        <v>0</v>
      </c>
      <c r="R80" s="535">
        <v>0</v>
      </c>
      <c r="S80" s="535">
        <v>0</v>
      </c>
      <c r="T80" s="535"/>
      <c r="U80" s="535"/>
      <c r="V80" s="535"/>
      <c r="W80" s="535"/>
      <c r="X80" s="535"/>
      <c r="Y80" s="535"/>
      <c r="Z80" s="660">
        <f t="shared" si="2"/>
        <v>0</v>
      </c>
      <c r="AA80" s="554">
        <v>17700</v>
      </c>
      <c r="AB80" s="558">
        <v>3</v>
      </c>
      <c r="AC80" s="545">
        <v>44210</v>
      </c>
      <c r="AD80" s="542">
        <v>44237</v>
      </c>
      <c r="AE80" s="454"/>
      <c r="AF80" s="459"/>
      <c r="AG80" s="460"/>
      <c r="AH80" s="458"/>
      <c r="AI80" s="454"/>
      <c r="AJ80" s="456"/>
      <c r="AK80" s="460"/>
      <c r="AL80" s="458"/>
      <c r="AM80" s="454"/>
      <c r="AN80" s="456"/>
      <c r="AO80" s="460"/>
      <c r="AP80" s="458"/>
      <c r="AQ80" s="454"/>
      <c r="AR80" s="456"/>
      <c r="AS80" s="460"/>
      <c r="AT80" s="458"/>
      <c r="AU80" s="22">
        <f t="shared" si="0"/>
        <v>17700</v>
      </c>
      <c r="AV80" s="546">
        <f t="shared" si="1"/>
        <v>17700</v>
      </c>
      <c r="AW80" s="148"/>
      <c r="AX80" s="148"/>
      <c r="AY80" s="148"/>
      <c r="AZ80" s="148"/>
      <c r="BA80" s="148"/>
      <c r="BB80" s="148"/>
      <c r="BC80" s="148"/>
      <c r="BD80" s="148"/>
      <c r="BE80" s="148"/>
      <c r="BF80" s="148"/>
      <c r="BG80" s="148"/>
      <c r="BH80" s="148"/>
      <c r="BI80" s="148"/>
      <c r="BJ80" s="148"/>
      <c r="BK80" s="148"/>
      <c r="BL80" s="148"/>
      <c r="BM80" s="148"/>
      <c r="BN80" s="148"/>
      <c r="BO80" s="148"/>
      <c r="BP80" s="148"/>
      <c r="BQ80" s="148"/>
      <c r="BR80" s="148"/>
      <c r="BS80" s="148"/>
      <c r="BT80" s="148"/>
      <c r="BU80" s="148"/>
      <c r="BV80" s="148"/>
      <c r="BW80" s="148"/>
      <c r="BX80" s="148"/>
      <c r="BY80" s="148"/>
      <c r="BZ80" s="148"/>
      <c r="CA80" s="148"/>
      <c r="CB80" s="148"/>
      <c r="CC80" s="148"/>
      <c r="CD80" s="148"/>
      <c r="CE80" s="148"/>
      <c r="CF80" s="148"/>
      <c r="CG80" s="148"/>
      <c r="CH80" s="148"/>
      <c r="CI80" s="148"/>
      <c r="CJ80" s="148"/>
      <c r="CK80" s="148"/>
      <c r="CL80" s="148"/>
      <c r="CM80" s="148"/>
      <c r="CN80" s="148"/>
      <c r="CO80" s="148"/>
      <c r="CP80" s="148"/>
      <c r="CQ80" s="148"/>
      <c r="CR80" s="148"/>
      <c r="CS80" s="148"/>
      <c r="CT80" s="148"/>
      <c r="CU80" s="148"/>
      <c r="CV80" s="148"/>
      <c r="CW80" s="148"/>
      <c r="CX80" s="148"/>
      <c r="CY80" s="148"/>
      <c r="CZ80" s="148"/>
      <c r="DA80" s="148"/>
      <c r="DB80" s="148"/>
      <c r="DC80" s="148"/>
      <c r="DD80" s="148"/>
      <c r="DE80" s="148"/>
      <c r="DF80" s="148"/>
      <c r="DG80" s="148"/>
      <c r="DH80" s="148"/>
      <c r="DI80" s="148"/>
      <c r="DJ80" s="148"/>
      <c r="DK80" s="148"/>
      <c r="DL80" s="148"/>
      <c r="DM80" s="148"/>
      <c r="DN80" s="148"/>
      <c r="DO80" s="148"/>
      <c r="DP80" s="148"/>
      <c r="DQ80" s="148"/>
      <c r="DR80" s="148"/>
      <c r="DS80" s="148"/>
      <c r="DT80" s="148"/>
      <c r="DU80" s="148"/>
      <c r="DV80" s="148"/>
      <c r="DW80" s="148"/>
      <c r="DX80" s="148"/>
      <c r="DY80" s="148"/>
      <c r="DZ80" s="148"/>
      <c r="EA80" s="148"/>
      <c r="EB80" s="148"/>
      <c r="EC80" s="148"/>
      <c r="ED80" s="148"/>
      <c r="EE80" s="148"/>
      <c r="EF80" s="148"/>
      <c r="EG80" s="148"/>
      <c r="EH80" s="148"/>
      <c r="EI80" s="148"/>
      <c r="EJ80" s="148"/>
      <c r="EK80" s="148"/>
      <c r="EL80" s="148"/>
      <c r="EM80" s="148"/>
      <c r="EN80" s="148"/>
      <c r="EO80" s="148"/>
      <c r="EP80" s="148"/>
      <c r="EQ80" s="148"/>
      <c r="ER80" s="148"/>
      <c r="ES80" s="148"/>
      <c r="ET80" s="148"/>
      <c r="EU80" s="148"/>
      <c r="EV80" s="148"/>
      <c r="EW80" s="148"/>
      <c r="EX80" s="148"/>
      <c r="EY80" s="148"/>
      <c r="EZ80" s="148"/>
      <c r="FA80" s="148"/>
      <c r="FB80" s="148"/>
      <c r="FC80" s="148"/>
      <c r="FD80" s="148"/>
      <c r="FE80" s="148"/>
      <c r="FF80" s="148"/>
      <c r="FG80" s="148"/>
      <c r="FH80" s="148"/>
      <c r="FI80" s="148"/>
      <c r="FJ80" s="148"/>
      <c r="FK80" s="148"/>
      <c r="FL80" s="148"/>
      <c r="FM80" s="148"/>
      <c r="FN80" s="148"/>
      <c r="FO80" s="148"/>
      <c r="FP80" s="148"/>
      <c r="FQ80" s="148"/>
      <c r="FR80" s="148"/>
      <c r="FS80" s="148"/>
      <c r="FT80" s="148"/>
      <c r="FU80" s="148"/>
      <c r="FV80" s="148"/>
      <c r="FW80" s="148"/>
      <c r="FX80" s="148"/>
      <c r="FY80" s="148"/>
      <c r="FZ80" s="148"/>
      <c r="GA80" s="148"/>
      <c r="GB80" s="148"/>
      <c r="GC80" s="148"/>
      <c r="GD80" s="148"/>
      <c r="GE80" s="148"/>
      <c r="GF80" s="148"/>
      <c r="GG80" s="148"/>
      <c r="GH80" s="148"/>
      <c r="GI80" s="148"/>
      <c r="GJ80" s="148"/>
      <c r="GK80" s="148"/>
      <c r="GL80" s="148"/>
      <c r="GM80" s="148"/>
      <c r="GN80" s="148"/>
      <c r="GO80" s="148"/>
      <c r="GP80" s="148"/>
      <c r="GQ80" s="148"/>
      <c r="GR80" s="148"/>
      <c r="GS80" s="148"/>
      <c r="GT80" s="148"/>
      <c r="GU80" s="148"/>
      <c r="GV80" s="148"/>
      <c r="GW80" s="148"/>
      <c r="GX80" s="148"/>
      <c r="GY80" s="148"/>
      <c r="GZ80" s="148"/>
      <c r="HA80" s="148"/>
      <c r="HB80" s="148"/>
      <c r="HC80" s="148"/>
      <c r="HD80" s="148"/>
      <c r="HE80" s="148"/>
      <c r="HF80" s="148"/>
      <c r="HG80" s="148"/>
      <c r="HH80" s="148"/>
      <c r="HI80" s="148"/>
      <c r="HJ80" s="148"/>
      <c r="HK80" s="148"/>
      <c r="HL80" s="148"/>
      <c r="HM80" s="148"/>
      <c r="HN80" s="148"/>
      <c r="HO80" s="148"/>
      <c r="HP80" s="148"/>
      <c r="HQ80" s="148"/>
      <c r="HR80" s="148"/>
      <c r="HS80" s="148"/>
      <c r="HT80" s="148"/>
      <c r="HU80" s="148"/>
      <c r="HV80" s="148"/>
      <c r="HW80" s="148"/>
      <c r="HX80" s="148"/>
      <c r="HY80" s="148"/>
      <c r="HZ80" s="148"/>
      <c r="IA80" s="148"/>
      <c r="IB80" s="148"/>
      <c r="IC80" s="148"/>
    </row>
    <row r="81" spans="1:237" s="15" customFormat="1" ht="22.5" x14ac:dyDescent="0.25">
      <c r="A81" s="148"/>
      <c r="B81" s="307">
        <v>66</v>
      </c>
      <c r="C81" s="307" t="s">
        <v>38</v>
      </c>
      <c r="D81" s="450">
        <v>40005672</v>
      </c>
      <c r="E81" s="577" t="s">
        <v>2951</v>
      </c>
      <c r="F81" s="577" t="s">
        <v>204</v>
      </c>
      <c r="G81" s="533" t="s">
        <v>1902</v>
      </c>
      <c r="H81" s="553" t="s">
        <v>2894</v>
      </c>
      <c r="I81" s="534" t="s">
        <v>42</v>
      </c>
      <c r="J81" s="535">
        <v>42249</v>
      </c>
      <c r="K81" s="535">
        <v>30249</v>
      </c>
      <c r="L81" s="535">
        <v>1401</v>
      </c>
      <c r="M81" s="535">
        <v>0</v>
      </c>
      <c r="N81" s="454">
        <v>0</v>
      </c>
      <c r="O81" s="454">
        <v>0</v>
      </c>
      <c r="P81" s="535">
        <v>0</v>
      </c>
      <c r="Q81" s="535">
        <v>0</v>
      </c>
      <c r="R81" s="535">
        <v>0</v>
      </c>
      <c r="S81" s="535">
        <f>11447280/1000</f>
        <v>11447.28</v>
      </c>
      <c r="T81" s="535"/>
      <c r="U81" s="535"/>
      <c r="V81" s="535"/>
      <c r="W81" s="535"/>
      <c r="X81" s="535"/>
      <c r="Y81" s="535"/>
      <c r="Z81" s="660">
        <f t="shared" ref="Z81:Z109" si="3">SUM(N81:Y81)</f>
        <v>11447.28</v>
      </c>
      <c r="AA81" s="554">
        <v>12000</v>
      </c>
      <c r="AB81" s="558">
        <v>3</v>
      </c>
      <c r="AC81" s="545">
        <v>44210</v>
      </c>
      <c r="AD81" s="542">
        <v>44237</v>
      </c>
      <c r="AE81" s="454"/>
      <c r="AF81" s="459"/>
      <c r="AG81" s="460"/>
      <c r="AH81" s="458"/>
      <c r="AI81" s="454"/>
      <c r="AJ81" s="456"/>
      <c r="AK81" s="460"/>
      <c r="AL81" s="458"/>
      <c r="AM81" s="454"/>
      <c r="AN81" s="456"/>
      <c r="AO81" s="460"/>
      <c r="AP81" s="458"/>
      <c r="AQ81" s="454"/>
      <c r="AR81" s="456"/>
      <c r="AS81" s="460"/>
      <c r="AT81" s="458"/>
      <c r="AU81" s="22">
        <f t="shared" si="0"/>
        <v>12000</v>
      </c>
      <c r="AV81" s="546">
        <f t="shared" si="1"/>
        <v>552.71999999999935</v>
      </c>
      <c r="AW81" s="148"/>
      <c r="AX81" s="148"/>
      <c r="AY81" s="148"/>
      <c r="AZ81" s="148"/>
      <c r="BA81" s="148"/>
      <c r="BB81" s="148"/>
      <c r="BC81" s="148"/>
      <c r="BD81" s="148"/>
      <c r="BE81" s="148"/>
      <c r="BF81" s="148"/>
      <c r="BG81" s="148"/>
      <c r="BH81" s="148"/>
      <c r="BI81" s="148"/>
      <c r="BJ81" s="148"/>
      <c r="BK81" s="148"/>
      <c r="BL81" s="148"/>
      <c r="BM81" s="148"/>
      <c r="BN81" s="148"/>
      <c r="BO81" s="148"/>
      <c r="BP81" s="148"/>
      <c r="BQ81" s="148"/>
      <c r="BR81" s="148"/>
      <c r="BS81" s="148"/>
      <c r="BT81" s="148"/>
      <c r="BU81" s="148"/>
      <c r="BV81" s="148"/>
      <c r="BW81" s="148"/>
      <c r="BX81" s="148"/>
      <c r="BY81" s="148"/>
      <c r="BZ81" s="148"/>
      <c r="CA81" s="148"/>
      <c r="CB81" s="148"/>
      <c r="CC81" s="148"/>
      <c r="CD81" s="148"/>
      <c r="CE81" s="148"/>
      <c r="CF81" s="148"/>
      <c r="CG81" s="148"/>
      <c r="CH81" s="148"/>
      <c r="CI81" s="148"/>
      <c r="CJ81" s="148"/>
      <c r="CK81" s="148"/>
      <c r="CL81" s="148"/>
      <c r="CM81" s="148"/>
      <c r="CN81" s="148"/>
      <c r="CO81" s="148"/>
      <c r="CP81" s="148"/>
      <c r="CQ81" s="148"/>
      <c r="CR81" s="148"/>
      <c r="CS81" s="148"/>
      <c r="CT81" s="148"/>
      <c r="CU81" s="148"/>
      <c r="CV81" s="148"/>
      <c r="CW81" s="148"/>
      <c r="CX81" s="148"/>
      <c r="CY81" s="148"/>
      <c r="CZ81" s="148"/>
      <c r="DA81" s="148"/>
      <c r="DB81" s="148"/>
      <c r="DC81" s="148"/>
      <c r="DD81" s="148"/>
      <c r="DE81" s="148"/>
      <c r="DF81" s="148"/>
      <c r="DG81" s="148"/>
      <c r="DH81" s="148"/>
      <c r="DI81" s="148"/>
      <c r="DJ81" s="148"/>
      <c r="DK81" s="148"/>
      <c r="DL81" s="148"/>
      <c r="DM81" s="148"/>
      <c r="DN81" s="148"/>
      <c r="DO81" s="148"/>
      <c r="DP81" s="148"/>
      <c r="DQ81" s="148"/>
      <c r="DR81" s="148"/>
      <c r="DS81" s="148"/>
      <c r="DT81" s="148"/>
      <c r="DU81" s="148"/>
      <c r="DV81" s="148"/>
      <c r="DW81" s="148"/>
      <c r="DX81" s="148"/>
      <c r="DY81" s="148"/>
      <c r="DZ81" s="148"/>
      <c r="EA81" s="148"/>
      <c r="EB81" s="148"/>
      <c r="EC81" s="148"/>
      <c r="ED81" s="148"/>
      <c r="EE81" s="148"/>
      <c r="EF81" s="148"/>
      <c r="EG81" s="148"/>
      <c r="EH81" s="148"/>
      <c r="EI81" s="148"/>
      <c r="EJ81" s="148"/>
      <c r="EK81" s="148"/>
      <c r="EL81" s="148"/>
      <c r="EM81" s="148"/>
      <c r="EN81" s="148"/>
      <c r="EO81" s="148"/>
      <c r="EP81" s="148"/>
      <c r="EQ81" s="148"/>
      <c r="ER81" s="148"/>
      <c r="ES81" s="148"/>
      <c r="ET81" s="148"/>
      <c r="EU81" s="148"/>
      <c r="EV81" s="148"/>
      <c r="EW81" s="148"/>
      <c r="EX81" s="148"/>
      <c r="EY81" s="148"/>
      <c r="EZ81" s="148"/>
      <c r="FA81" s="148"/>
      <c r="FB81" s="148"/>
      <c r="FC81" s="148"/>
      <c r="FD81" s="148"/>
      <c r="FE81" s="148"/>
      <c r="FF81" s="148"/>
      <c r="FG81" s="148"/>
      <c r="FH81" s="148"/>
      <c r="FI81" s="148"/>
      <c r="FJ81" s="148"/>
      <c r="FK81" s="148"/>
      <c r="FL81" s="148"/>
      <c r="FM81" s="148"/>
      <c r="FN81" s="148"/>
      <c r="FO81" s="148"/>
      <c r="FP81" s="148"/>
      <c r="FQ81" s="148"/>
      <c r="FR81" s="148"/>
      <c r="FS81" s="148"/>
      <c r="FT81" s="148"/>
      <c r="FU81" s="148"/>
      <c r="FV81" s="148"/>
      <c r="FW81" s="148"/>
      <c r="FX81" s="148"/>
      <c r="FY81" s="148"/>
      <c r="FZ81" s="148"/>
      <c r="GA81" s="148"/>
      <c r="GB81" s="148"/>
      <c r="GC81" s="148"/>
      <c r="GD81" s="148"/>
      <c r="GE81" s="148"/>
      <c r="GF81" s="148"/>
      <c r="GG81" s="148"/>
      <c r="GH81" s="148"/>
      <c r="GI81" s="148"/>
      <c r="GJ81" s="148"/>
      <c r="GK81" s="148"/>
      <c r="GL81" s="148"/>
      <c r="GM81" s="148"/>
      <c r="GN81" s="148"/>
      <c r="GO81" s="148"/>
      <c r="GP81" s="148"/>
      <c r="GQ81" s="148"/>
      <c r="GR81" s="148"/>
      <c r="GS81" s="148"/>
      <c r="GT81" s="148"/>
      <c r="GU81" s="148"/>
      <c r="GV81" s="148"/>
      <c r="GW81" s="148"/>
      <c r="GX81" s="148"/>
      <c r="GY81" s="148"/>
      <c r="GZ81" s="148"/>
      <c r="HA81" s="148"/>
      <c r="HB81" s="148"/>
      <c r="HC81" s="148"/>
      <c r="HD81" s="148"/>
      <c r="HE81" s="148"/>
      <c r="HF81" s="148"/>
      <c r="HG81" s="148"/>
      <c r="HH81" s="148"/>
      <c r="HI81" s="148"/>
      <c r="HJ81" s="148"/>
      <c r="HK81" s="148"/>
      <c r="HL81" s="148"/>
      <c r="HM81" s="148"/>
      <c r="HN81" s="148"/>
      <c r="HO81" s="148"/>
      <c r="HP81" s="148"/>
      <c r="HQ81" s="148"/>
      <c r="HR81" s="148"/>
      <c r="HS81" s="148"/>
      <c r="HT81" s="148"/>
      <c r="HU81" s="148"/>
      <c r="HV81" s="148"/>
      <c r="HW81" s="148"/>
      <c r="HX81" s="148"/>
      <c r="HY81" s="148"/>
      <c r="HZ81" s="148"/>
      <c r="IA81" s="148"/>
      <c r="IB81" s="148"/>
      <c r="IC81" s="148"/>
    </row>
    <row r="82" spans="1:237" s="15" customFormat="1" ht="22.5" x14ac:dyDescent="0.25">
      <c r="A82" s="148"/>
      <c r="B82" s="307">
        <v>64</v>
      </c>
      <c r="C82" s="307" t="s">
        <v>38</v>
      </c>
      <c r="D82" s="450">
        <v>40003261</v>
      </c>
      <c r="E82" s="577" t="s">
        <v>2952</v>
      </c>
      <c r="F82" s="577" t="s">
        <v>897</v>
      </c>
      <c r="G82" s="533" t="s">
        <v>1902</v>
      </c>
      <c r="H82" s="553" t="s">
        <v>2943</v>
      </c>
      <c r="I82" s="534" t="s">
        <v>43</v>
      </c>
      <c r="J82" s="535">
        <v>1385144</v>
      </c>
      <c r="K82" s="535">
        <v>4721</v>
      </c>
      <c r="L82" s="535">
        <v>633689</v>
      </c>
      <c r="M82" s="535">
        <v>283</v>
      </c>
      <c r="N82" s="454">
        <v>0</v>
      </c>
      <c r="O82" s="454">
        <v>341776.85399999999</v>
      </c>
      <c r="P82" s="535">
        <v>285063.005</v>
      </c>
      <c r="Q82" s="535">
        <v>0</v>
      </c>
      <c r="R82" s="535">
        <f>161227944/1000</f>
        <v>161227.94399999999</v>
      </c>
      <c r="S82" s="535">
        <f>111400442/1000</f>
        <v>111400.442</v>
      </c>
      <c r="T82" s="535"/>
      <c r="U82" s="535"/>
      <c r="V82" s="535"/>
      <c r="W82" s="535"/>
      <c r="X82" s="535"/>
      <c r="Y82" s="535"/>
      <c r="Z82" s="660">
        <f t="shared" si="3"/>
        <v>899468.245</v>
      </c>
      <c r="AA82" s="554">
        <v>716000</v>
      </c>
      <c r="AB82" s="558">
        <v>3</v>
      </c>
      <c r="AC82" s="545">
        <v>44210</v>
      </c>
      <c r="AD82" s="542">
        <v>44237</v>
      </c>
      <c r="AE82" s="454">
        <v>501504</v>
      </c>
      <c r="AF82" s="459">
        <v>11</v>
      </c>
      <c r="AG82" s="457">
        <v>44307</v>
      </c>
      <c r="AH82" s="458">
        <v>44328</v>
      </c>
      <c r="AI82" s="454"/>
      <c r="AJ82" s="456"/>
      <c r="AK82" s="460"/>
      <c r="AL82" s="458"/>
      <c r="AM82" s="454"/>
      <c r="AN82" s="456"/>
      <c r="AO82" s="460"/>
      <c r="AP82" s="458"/>
      <c r="AQ82" s="454"/>
      <c r="AR82" s="456"/>
      <c r="AS82" s="460"/>
      <c r="AT82" s="458"/>
      <c r="AU82" s="22">
        <f t="shared" si="0"/>
        <v>1217504</v>
      </c>
      <c r="AV82" s="546">
        <f t="shared" si="1"/>
        <v>318035.755</v>
      </c>
      <c r="AW82" s="148"/>
      <c r="AX82" s="148"/>
      <c r="AY82" s="148"/>
      <c r="AZ82" s="148"/>
      <c r="BA82" s="148"/>
      <c r="BB82" s="148"/>
      <c r="BC82" s="148"/>
      <c r="BD82" s="148"/>
      <c r="BE82" s="148"/>
      <c r="BF82" s="148"/>
      <c r="BG82" s="148"/>
      <c r="BH82" s="148"/>
      <c r="BI82" s="148"/>
      <c r="BJ82" s="148"/>
      <c r="BK82" s="148"/>
      <c r="BL82" s="148"/>
      <c r="BM82" s="148"/>
      <c r="BN82" s="148"/>
      <c r="BO82" s="148"/>
      <c r="BP82" s="148"/>
      <c r="BQ82" s="148"/>
      <c r="BR82" s="148"/>
      <c r="BS82" s="148"/>
      <c r="BT82" s="148"/>
      <c r="BU82" s="148"/>
      <c r="BV82" s="148"/>
      <c r="BW82" s="148"/>
      <c r="BX82" s="148"/>
      <c r="BY82" s="148"/>
      <c r="BZ82" s="148"/>
      <c r="CA82" s="148"/>
      <c r="CB82" s="148"/>
      <c r="CC82" s="148"/>
      <c r="CD82" s="148"/>
      <c r="CE82" s="148"/>
      <c r="CF82" s="148"/>
      <c r="CG82" s="148"/>
      <c r="CH82" s="148"/>
      <c r="CI82" s="148"/>
      <c r="CJ82" s="148"/>
      <c r="CK82" s="148"/>
      <c r="CL82" s="148"/>
      <c r="CM82" s="148"/>
      <c r="CN82" s="148"/>
      <c r="CO82" s="148"/>
      <c r="CP82" s="148"/>
      <c r="CQ82" s="148"/>
      <c r="CR82" s="148"/>
      <c r="CS82" s="148"/>
      <c r="CT82" s="148"/>
      <c r="CU82" s="148"/>
      <c r="CV82" s="148"/>
      <c r="CW82" s="148"/>
      <c r="CX82" s="148"/>
      <c r="CY82" s="148"/>
      <c r="CZ82" s="148"/>
      <c r="DA82" s="148"/>
      <c r="DB82" s="148"/>
      <c r="DC82" s="148"/>
      <c r="DD82" s="148"/>
      <c r="DE82" s="148"/>
      <c r="DF82" s="148"/>
      <c r="DG82" s="148"/>
      <c r="DH82" s="148"/>
      <c r="DI82" s="148"/>
      <c r="DJ82" s="148"/>
      <c r="DK82" s="148"/>
      <c r="DL82" s="148"/>
      <c r="DM82" s="148"/>
      <c r="DN82" s="148"/>
      <c r="DO82" s="148"/>
      <c r="DP82" s="148"/>
      <c r="DQ82" s="148"/>
      <c r="DR82" s="148"/>
      <c r="DS82" s="148"/>
      <c r="DT82" s="148"/>
      <c r="DU82" s="148"/>
      <c r="DV82" s="148"/>
      <c r="DW82" s="148"/>
      <c r="DX82" s="148"/>
      <c r="DY82" s="148"/>
      <c r="DZ82" s="148"/>
      <c r="EA82" s="148"/>
      <c r="EB82" s="148"/>
      <c r="EC82" s="148"/>
      <c r="ED82" s="148"/>
      <c r="EE82" s="148"/>
      <c r="EF82" s="148"/>
      <c r="EG82" s="148"/>
      <c r="EH82" s="148"/>
      <c r="EI82" s="148"/>
      <c r="EJ82" s="148"/>
      <c r="EK82" s="148"/>
      <c r="EL82" s="148"/>
      <c r="EM82" s="148"/>
      <c r="EN82" s="148"/>
      <c r="EO82" s="148"/>
      <c r="EP82" s="148"/>
      <c r="EQ82" s="148"/>
      <c r="ER82" s="148"/>
      <c r="ES82" s="148"/>
      <c r="ET82" s="148"/>
      <c r="EU82" s="148"/>
      <c r="EV82" s="148"/>
      <c r="EW82" s="148"/>
      <c r="EX82" s="148"/>
      <c r="EY82" s="148"/>
      <c r="EZ82" s="148"/>
      <c r="FA82" s="148"/>
      <c r="FB82" s="148"/>
      <c r="FC82" s="148"/>
      <c r="FD82" s="148"/>
      <c r="FE82" s="148"/>
      <c r="FF82" s="148"/>
      <c r="FG82" s="148"/>
      <c r="FH82" s="148"/>
      <c r="FI82" s="148"/>
      <c r="FJ82" s="148"/>
      <c r="FK82" s="148"/>
      <c r="FL82" s="148"/>
      <c r="FM82" s="148"/>
      <c r="FN82" s="148"/>
      <c r="FO82" s="148"/>
      <c r="FP82" s="148"/>
      <c r="FQ82" s="148"/>
      <c r="FR82" s="148"/>
      <c r="FS82" s="148"/>
      <c r="FT82" s="148"/>
      <c r="FU82" s="148"/>
      <c r="FV82" s="148"/>
      <c r="FW82" s="148"/>
      <c r="FX82" s="148"/>
      <c r="FY82" s="148"/>
      <c r="FZ82" s="148"/>
      <c r="GA82" s="148"/>
      <c r="GB82" s="148"/>
      <c r="GC82" s="148"/>
      <c r="GD82" s="148"/>
      <c r="GE82" s="148"/>
      <c r="GF82" s="148"/>
      <c r="GG82" s="148"/>
      <c r="GH82" s="148"/>
      <c r="GI82" s="148"/>
      <c r="GJ82" s="148"/>
      <c r="GK82" s="148"/>
      <c r="GL82" s="148"/>
      <c r="GM82" s="148"/>
      <c r="GN82" s="148"/>
      <c r="GO82" s="148"/>
      <c r="GP82" s="148"/>
      <c r="GQ82" s="148"/>
      <c r="GR82" s="148"/>
      <c r="GS82" s="148"/>
      <c r="GT82" s="148"/>
      <c r="GU82" s="148"/>
      <c r="GV82" s="148"/>
      <c r="GW82" s="148"/>
      <c r="GX82" s="148"/>
      <c r="GY82" s="148"/>
      <c r="GZ82" s="148"/>
      <c r="HA82" s="148"/>
      <c r="HB82" s="148"/>
      <c r="HC82" s="148"/>
      <c r="HD82" s="148"/>
      <c r="HE82" s="148"/>
      <c r="HF82" s="148"/>
      <c r="HG82" s="148"/>
      <c r="HH82" s="148"/>
      <c r="HI82" s="148"/>
      <c r="HJ82" s="148"/>
      <c r="HK82" s="148"/>
      <c r="HL82" s="148"/>
      <c r="HM82" s="148"/>
      <c r="HN82" s="148"/>
      <c r="HO82" s="148"/>
      <c r="HP82" s="148"/>
      <c r="HQ82" s="148"/>
      <c r="HR82" s="148"/>
      <c r="HS82" s="148"/>
      <c r="HT82" s="148"/>
      <c r="HU82" s="148"/>
      <c r="HV82" s="148"/>
      <c r="HW82" s="148"/>
      <c r="HX82" s="148"/>
      <c r="HY82" s="148"/>
      <c r="HZ82" s="148"/>
      <c r="IA82" s="148"/>
      <c r="IB82" s="148"/>
      <c r="IC82" s="148"/>
    </row>
    <row r="83" spans="1:237" s="15" customFormat="1" ht="22.5" x14ac:dyDescent="0.25">
      <c r="A83" s="148"/>
      <c r="B83" s="307">
        <v>68</v>
      </c>
      <c r="C83" s="307" t="s">
        <v>38</v>
      </c>
      <c r="D83" s="450">
        <v>40012170</v>
      </c>
      <c r="E83" s="577" t="s">
        <v>2953</v>
      </c>
      <c r="F83" s="577" t="s">
        <v>897</v>
      </c>
      <c r="G83" s="533" t="s">
        <v>1902</v>
      </c>
      <c r="H83" s="553" t="s">
        <v>2872</v>
      </c>
      <c r="I83" s="534" t="s">
        <v>43</v>
      </c>
      <c r="J83" s="535">
        <v>1938043</v>
      </c>
      <c r="K83" s="535">
        <v>921111</v>
      </c>
      <c r="L83" s="535">
        <v>1890406</v>
      </c>
      <c r="M83" s="535">
        <v>1016932</v>
      </c>
      <c r="N83" s="454">
        <v>0</v>
      </c>
      <c r="O83" s="454">
        <v>0</v>
      </c>
      <c r="P83" s="535">
        <v>0</v>
      </c>
      <c r="Q83" s="535">
        <v>0</v>
      </c>
      <c r="R83" s="535">
        <v>0</v>
      </c>
      <c r="S83" s="535">
        <v>0</v>
      </c>
      <c r="T83" s="535"/>
      <c r="U83" s="535"/>
      <c r="V83" s="535"/>
      <c r="W83" s="535"/>
      <c r="X83" s="535"/>
      <c r="Y83" s="535"/>
      <c r="Z83" s="660">
        <f t="shared" si="3"/>
        <v>0</v>
      </c>
      <c r="AA83" s="554">
        <v>1</v>
      </c>
      <c r="AB83" s="558">
        <v>3</v>
      </c>
      <c r="AC83" s="545">
        <v>44210</v>
      </c>
      <c r="AD83" s="542">
        <v>44237</v>
      </c>
      <c r="AE83" s="454"/>
      <c r="AF83" s="459"/>
      <c r="AG83" s="460"/>
      <c r="AH83" s="458"/>
      <c r="AI83" s="454"/>
      <c r="AJ83" s="456"/>
      <c r="AK83" s="460"/>
      <c r="AL83" s="458"/>
      <c r="AM83" s="454"/>
      <c r="AN83" s="456"/>
      <c r="AO83" s="460"/>
      <c r="AP83" s="458"/>
      <c r="AQ83" s="454"/>
      <c r="AR83" s="456"/>
      <c r="AS83" s="460"/>
      <c r="AT83" s="458"/>
      <c r="AU83" s="22">
        <f t="shared" si="0"/>
        <v>1</v>
      </c>
      <c r="AV83" s="546">
        <f t="shared" si="1"/>
        <v>1</v>
      </c>
      <c r="AW83" s="148"/>
      <c r="AX83" s="148"/>
      <c r="AY83" s="148"/>
      <c r="AZ83" s="148"/>
      <c r="BA83" s="148"/>
      <c r="BB83" s="148"/>
      <c r="BC83" s="148"/>
      <c r="BD83" s="148"/>
      <c r="BE83" s="148"/>
      <c r="BF83" s="148"/>
      <c r="BG83" s="148"/>
      <c r="BH83" s="148"/>
      <c r="BI83" s="148"/>
      <c r="BJ83" s="148"/>
      <c r="BK83" s="148"/>
      <c r="BL83" s="148"/>
      <c r="BM83" s="148"/>
      <c r="BN83" s="148"/>
      <c r="BO83" s="148"/>
      <c r="BP83" s="148"/>
      <c r="BQ83" s="148"/>
      <c r="BR83" s="148"/>
      <c r="BS83" s="148"/>
      <c r="BT83" s="148"/>
      <c r="BU83" s="148"/>
      <c r="BV83" s="148"/>
      <c r="BW83" s="148"/>
      <c r="BX83" s="148"/>
      <c r="BY83" s="148"/>
      <c r="BZ83" s="148"/>
      <c r="CA83" s="148"/>
      <c r="CB83" s="148"/>
      <c r="CC83" s="148"/>
      <c r="CD83" s="148"/>
      <c r="CE83" s="148"/>
      <c r="CF83" s="148"/>
      <c r="CG83" s="148"/>
      <c r="CH83" s="148"/>
      <c r="CI83" s="148"/>
      <c r="CJ83" s="148"/>
      <c r="CK83" s="148"/>
      <c r="CL83" s="148"/>
      <c r="CM83" s="148"/>
      <c r="CN83" s="148"/>
      <c r="CO83" s="148"/>
      <c r="CP83" s="148"/>
      <c r="CQ83" s="148"/>
      <c r="CR83" s="148"/>
      <c r="CS83" s="148"/>
      <c r="CT83" s="148"/>
      <c r="CU83" s="148"/>
      <c r="CV83" s="148"/>
      <c r="CW83" s="148"/>
      <c r="CX83" s="148"/>
      <c r="CY83" s="148"/>
      <c r="CZ83" s="148"/>
      <c r="DA83" s="148"/>
      <c r="DB83" s="148"/>
      <c r="DC83" s="148"/>
      <c r="DD83" s="148"/>
      <c r="DE83" s="148"/>
      <c r="DF83" s="148"/>
      <c r="DG83" s="148"/>
      <c r="DH83" s="148"/>
      <c r="DI83" s="148"/>
      <c r="DJ83" s="148"/>
      <c r="DK83" s="148"/>
      <c r="DL83" s="148"/>
      <c r="DM83" s="148"/>
      <c r="DN83" s="148"/>
      <c r="DO83" s="148"/>
      <c r="DP83" s="148"/>
      <c r="DQ83" s="148"/>
      <c r="DR83" s="148"/>
      <c r="DS83" s="148"/>
      <c r="DT83" s="148"/>
      <c r="DU83" s="148"/>
      <c r="DV83" s="148"/>
      <c r="DW83" s="148"/>
      <c r="DX83" s="148"/>
      <c r="DY83" s="148"/>
      <c r="DZ83" s="148"/>
      <c r="EA83" s="148"/>
      <c r="EB83" s="148"/>
      <c r="EC83" s="148"/>
      <c r="ED83" s="148"/>
      <c r="EE83" s="148"/>
      <c r="EF83" s="148"/>
      <c r="EG83" s="148"/>
      <c r="EH83" s="148"/>
      <c r="EI83" s="148"/>
      <c r="EJ83" s="148"/>
      <c r="EK83" s="148"/>
      <c r="EL83" s="148"/>
      <c r="EM83" s="148"/>
      <c r="EN83" s="148"/>
      <c r="EO83" s="148"/>
      <c r="EP83" s="148"/>
      <c r="EQ83" s="148"/>
      <c r="ER83" s="148"/>
      <c r="ES83" s="148"/>
      <c r="ET83" s="148"/>
      <c r="EU83" s="148"/>
      <c r="EV83" s="148"/>
      <c r="EW83" s="148"/>
      <c r="EX83" s="148"/>
      <c r="EY83" s="148"/>
      <c r="EZ83" s="148"/>
      <c r="FA83" s="148"/>
      <c r="FB83" s="148"/>
      <c r="FC83" s="148"/>
      <c r="FD83" s="148"/>
      <c r="FE83" s="148"/>
      <c r="FF83" s="148"/>
      <c r="FG83" s="148"/>
      <c r="FH83" s="148"/>
      <c r="FI83" s="148"/>
      <c r="FJ83" s="148"/>
      <c r="FK83" s="148"/>
      <c r="FL83" s="148"/>
      <c r="FM83" s="148"/>
      <c r="FN83" s="148"/>
      <c r="FO83" s="148"/>
      <c r="FP83" s="148"/>
      <c r="FQ83" s="148"/>
      <c r="FR83" s="148"/>
      <c r="FS83" s="148"/>
      <c r="FT83" s="148"/>
      <c r="FU83" s="148"/>
      <c r="FV83" s="148"/>
      <c r="FW83" s="148"/>
      <c r="FX83" s="148"/>
      <c r="FY83" s="148"/>
      <c r="FZ83" s="148"/>
      <c r="GA83" s="148"/>
      <c r="GB83" s="148"/>
      <c r="GC83" s="148"/>
      <c r="GD83" s="148"/>
      <c r="GE83" s="148"/>
      <c r="GF83" s="148"/>
      <c r="GG83" s="148"/>
      <c r="GH83" s="148"/>
      <c r="GI83" s="148"/>
      <c r="GJ83" s="148"/>
      <c r="GK83" s="148"/>
      <c r="GL83" s="148"/>
      <c r="GM83" s="148"/>
      <c r="GN83" s="148"/>
      <c r="GO83" s="148"/>
      <c r="GP83" s="148"/>
      <c r="GQ83" s="148"/>
      <c r="GR83" s="148"/>
      <c r="GS83" s="148"/>
      <c r="GT83" s="148"/>
      <c r="GU83" s="148"/>
      <c r="GV83" s="148"/>
      <c r="GW83" s="148"/>
      <c r="GX83" s="148"/>
      <c r="GY83" s="148"/>
      <c r="GZ83" s="148"/>
      <c r="HA83" s="148"/>
      <c r="HB83" s="148"/>
      <c r="HC83" s="148"/>
      <c r="HD83" s="148"/>
      <c r="HE83" s="148"/>
      <c r="HF83" s="148"/>
      <c r="HG83" s="148"/>
      <c r="HH83" s="148"/>
      <c r="HI83" s="148"/>
      <c r="HJ83" s="148"/>
      <c r="HK83" s="148"/>
      <c r="HL83" s="148"/>
      <c r="HM83" s="148"/>
      <c r="HN83" s="148"/>
      <c r="HO83" s="148"/>
      <c r="HP83" s="148"/>
      <c r="HQ83" s="148"/>
      <c r="HR83" s="148"/>
      <c r="HS83" s="148"/>
      <c r="HT83" s="148"/>
      <c r="HU83" s="148"/>
      <c r="HV83" s="148"/>
      <c r="HW83" s="148"/>
      <c r="HX83" s="148"/>
      <c r="HY83" s="148"/>
      <c r="HZ83" s="148"/>
      <c r="IA83" s="148"/>
      <c r="IB83" s="148"/>
      <c r="IC83" s="148"/>
    </row>
    <row r="84" spans="1:237" s="15" customFormat="1" ht="22.5" x14ac:dyDescent="0.25">
      <c r="A84" s="148"/>
      <c r="B84" s="307">
        <v>69</v>
      </c>
      <c r="C84" s="307" t="s">
        <v>38</v>
      </c>
      <c r="D84" s="450">
        <v>40017211</v>
      </c>
      <c r="E84" s="577" t="s">
        <v>2954</v>
      </c>
      <c r="F84" s="577" t="s">
        <v>897</v>
      </c>
      <c r="G84" s="533" t="s">
        <v>1902</v>
      </c>
      <c r="H84" s="553" t="s">
        <v>2902</v>
      </c>
      <c r="I84" s="534" t="s">
        <v>43</v>
      </c>
      <c r="J84" s="535">
        <v>3386067</v>
      </c>
      <c r="K84" s="535">
        <v>10842</v>
      </c>
      <c r="L84" s="535">
        <v>3300719</v>
      </c>
      <c r="M84" s="535">
        <v>2714986</v>
      </c>
      <c r="N84" s="454">
        <v>0</v>
      </c>
      <c r="O84" s="454">
        <v>0</v>
      </c>
      <c r="P84" s="535">
        <v>0</v>
      </c>
      <c r="Q84" s="535">
        <v>0</v>
      </c>
      <c r="R84" s="535">
        <v>0</v>
      </c>
      <c r="S84" s="535">
        <v>0</v>
      </c>
      <c r="T84" s="535"/>
      <c r="U84" s="535"/>
      <c r="V84" s="535"/>
      <c r="W84" s="535"/>
      <c r="X84" s="535"/>
      <c r="Y84" s="535"/>
      <c r="Z84" s="660">
        <f t="shared" si="3"/>
        <v>0</v>
      </c>
      <c r="AA84" s="554">
        <v>1</v>
      </c>
      <c r="AB84" s="558">
        <v>3</v>
      </c>
      <c r="AC84" s="545">
        <v>44210</v>
      </c>
      <c r="AD84" s="542">
        <v>44237</v>
      </c>
      <c r="AE84" s="454">
        <v>162186</v>
      </c>
      <c r="AF84" s="459">
        <v>15</v>
      </c>
      <c r="AG84" s="457">
        <v>44333</v>
      </c>
      <c r="AH84" s="458">
        <v>44355</v>
      </c>
      <c r="AI84" s="454"/>
      <c r="AJ84" s="456"/>
      <c r="AK84" s="460"/>
      <c r="AL84" s="458"/>
      <c r="AM84" s="454"/>
      <c r="AN84" s="456"/>
      <c r="AO84" s="460"/>
      <c r="AP84" s="458"/>
      <c r="AQ84" s="454"/>
      <c r="AR84" s="456"/>
      <c r="AS84" s="460"/>
      <c r="AT84" s="458"/>
      <c r="AU84" s="22">
        <f t="shared" si="0"/>
        <v>162187</v>
      </c>
      <c r="AV84" s="546">
        <f t="shared" si="1"/>
        <v>162187</v>
      </c>
      <c r="AW84" s="148"/>
      <c r="AX84" s="148"/>
      <c r="AY84" s="148"/>
      <c r="AZ84" s="148"/>
      <c r="BA84" s="148"/>
      <c r="BB84" s="148"/>
      <c r="BC84" s="148"/>
      <c r="BD84" s="148"/>
      <c r="BE84" s="148"/>
      <c r="BF84" s="148"/>
      <c r="BG84" s="148"/>
      <c r="BH84" s="148"/>
      <c r="BI84" s="148"/>
      <c r="BJ84" s="148"/>
      <c r="BK84" s="148"/>
      <c r="BL84" s="148"/>
      <c r="BM84" s="148"/>
      <c r="BN84" s="148"/>
      <c r="BO84" s="148"/>
      <c r="BP84" s="148"/>
      <c r="BQ84" s="148"/>
      <c r="BR84" s="148"/>
      <c r="BS84" s="148"/>
      <c r="BT84" s="148"/>
      <c r="BU84" s="148"/>
      <c r="BV84" s="148"/>
      <c r="BW84" s="148"/>
      <c r="BX84" s="148"/>
      <c r="BY84" s="148"/>
      <c r="BZ84" s="148"/>
      <c r="CA84" s="148"/>
      <c r="CB84" s="148"/>
      <c r="CC84" s="148"/>
      <c r="CD84" s="148"/>
      <c r="CE84" s="148"/>
      <c r="CF84" s="148"/>
      <c r="CG84" s="148"/>
      <c r="CH84" s="148"/>
      <c r="CI84" s="148"/>
      <c r="CJ84" s="148"/>
      <c r="CK84" s="148"/>
      <c r="CL84" s="148"/>
      <c r="CM84" s="148"/>
      <c r="CN84" s="148"/>
      <c r="CO84" s="148"/>
      <c r="CP84" s="148"/>
      <c r="CQ84" s="148"/>
      <c r="CR84" s="148"/>
      <c r="CS84" s="148"/>
      <c r="CT84" s="148"/>
      <c r="CU84" s="148"/>
      <c r="CV84" s="148"/>
      <c r="CW84" s="148"/>
      <c r="CX84" s="148"/>
      <c r="CY84" s="148"/>
      <c r="CZ84" s="148"/>
      <c r="DA84" s="148"/>
      <c r="DB84" s="148"/>
      <c r="DC84" s="148"/>
      <c r="DD84" s="148"/>
      <c r="DE84" s="148"/>
      <c r="DF84" s="148"/>
      <c r="DG84" s="148"/>
      <c r="DH84" s="148"/>
      <c r="DI84" s="148"/>
      <c r="DJ84" s="148"/>
      <c r="DK84" s="148"/>
      <c r="DL84" s="148"/>
      <c r="DM84" s="148"/>
      <c r="DN84" s="148"/>
      <c r="DO84" s="148"/>
      <c r="DP84" s="148"/>
      <c r="DQ84" s="148"/>
      <c r="DR84" s="148"/>
      <c r="DS84" s="148"/>
      <c r="DT84" s="148"/>
      <c r="DU84" s="148"/>
      <c r="DV84" s="148"/>
      <c r="DW84" s="148"/>
      <c r="DX84" s="148"/>
      <c r="DY84" s="148"/>
      <c r="DZ84" s="148"/>
      <c r="EA84" s="148"/>
      <c r="EB84" s="148"/>
      <c r="EC84" s="148"/>
      <c r="ED84" s="148"/>
      <c r="EE84" s="148"/>
      <c r="EF84" s="148"/>
      <c r="EG84" s="148"/>
      <c r="EH84" s="148"/>
      <c r="EI84" s="148"/>
      <c r="EJ84" s="148"/>
      <c r="EK84" s="148"/>
      <c r="EL84" s="148"/>
      <c r="EM84" s="148"/>
      <c r="EN84" s="148"/>
      <c r="EO84" s="148"/>
      <c r="EP84" s="148"/>
      <c r="EQ84" s="148"/>
      <c r="ER84" s="148"/>
      <c r="ES84" s="148"/>
      <c r="ET84" s="148"/>
      <c r="EU84" s="148"/>
      <c r="EV84" s="148"/>
      <c r="EW84" s="148"/>
      <c r="EX84" s="148"/>
      <c r="EY84" s="148"/>
      <c r="EZ84" s="148"/>
      <c r="FA84" s="148"/>
      <c r="FB84" s="148"/>
      <c r="FC84" s="148"/>
      <c r="FD84" s="148"/>
      <c r="FE84" s="148"/>
      <c r="FF84" s="148"/>
      <c r="FG84" s="148"/>
      <c r="FH84" s="148"/>
      <c r="FI84" s="148"/>
      <c r="FJ84" s="148"/>
      <c r="FK84" s="148"/>
      <c r="FL84" s="148"/>
      <c r="FM84" s="148"/>
      <c r="FN84" s="148"/>
      <c r="FO84" s="148"/>
      <c r="FP84" s="148"/>
      <c r="FQ84" s="148"/>
      <c r="FR84" s="148"/>
      <c r="FS84" s="148"/>
      <c r="FT84" s="148"/>
      <c r="FU84" s="148"/>
      <c r="FV84" s="148"/>
      <c r="FW84" s="148"/>
      <c r="FX84" s="148"/>
      <c r="FY84" s="148"/>
      <c r="FZ84" s="148"/>
      <c r="GA84" s="148"/>
      <c r="GB84" s="148"/>
      <c r="GC84" s="148"/>
      <c r="GD84" s="148"/>
      <c r="GE84" s="148"/>
      <c r="GF84" s="148"/>
      <c r="GG84" s="148"/>
      <c r="GH84" s="148"/>
      <c r="GI84" s="148"/>
      <c r="GJ84" s="148"/>
      <c r="GK84" s="148"/>
      <c r="GL84" s="148"/>
      <c r="GM84" s="148"/>
      <c r="GN84" s="148"/>
      <c r="GO84" s="148"/>
      <c r="GP84" s="148"/>
      <c r="GQ84" s="148"/>
      <c r="GR84" s="148"/>
      <c r="GS84" s="148"/>
      <c r="GT84" s="148"/>
      <c r="GU84" s="148"/>
      <c r="GV84" s="148"/>
      <c r="GW84" s="148"/>
      <c r="GX84" s="148"/>
      <c r="GY84" s="148"/>
      <c r="GZ84" s="148"/>
      <c r="HA84" s="148"/>
      <c r="HB84" s="148"/>
      <c r="HC84" s="148"/>
      <c r="HD84" s="148"/>
      <c r="HE84" s="148"/>
      <c r="HF84" s="148"/>
      <c r="HG84" s="148"/>
      <c r="HH84" s="148"/>
      <c r="HI84" s="148"/>
      <c r="HJ84" s="148"/>
      <c r="HK84" s="148"/>
      <c r="HL84" s="148"/>
      <c r="HM84" s="148"/>
      <c r="HN84" s="148"/>
      <c r="HO84" s="148"/>
      <c r="HP84" s="148"/>
      <c r="HQ84" s="148"/>
      <c r="HR84" s="148"/>
      <c r="HS84" s="148"/>
      <c r="HT84" s="148"/>
      <c r="HU84" s="148"/>
      <c r="HV84" s="148"/>
      <c r="HW84" s="148"/>
      <c r="HX84" s="148"/>
      <c r="HY84" s="148"/>
      <c r="HZ84" s="148"/>
      <c r="IA84" s="148"/>
      <c r="IB84" s="148"/>
      <c r="IC84" s="148"/>
    </row>
    <row r="85" spans="1:237" s="15" customFormat="1" ht="22.5" x14ac:dyDescent="0.25">
      <c r="A85" s="148"/>
      <c r="B85" s="307">
        <v>70</v>
      </c>
      <c r="C85" s="307" t="s">
        <v>38</v>
      </c>
      <c r="D85" s="450">
        <v>40018315</v>
      </c>
      <c r="E85" s="577" t="s">
        <v>2955</v>
      </c>
      <c r="F85" s="577" t="s">
        <v>897</v>
      </c>
      <c r="G85" s="533" t="s">
        <v>1902</v>
      </c>
      <c r="H85" s="553" t="s">
        <v>2853</v>
      </c>
      <c r="I85" s="534" t="s">
        <v>43</v>
      </c>
      <c r="J85" s="535">
        <v>531126</v>
      </c>
      <c r="K85" s="535">
        <v>0</v>
      </c>
      <c r="L85" s="535">
        <v>517938</v>
      </c>
      <c r="M85" s="535">
        <v>323090</v>
      </c>
      <c r="N85" s="454">
        <v>0</v>
      </c>
      <c r="O85" s="454">
        <v>0</v>
      </c>
      <c r="P85" s="535">
        <v>0</v>
      </c>
      <c r="Q85" s="535">
        <v>1500</v>
      </c>
      <c r="R85" s="535">
        <v>0</v>
      </c>
      <c r="S85" s="535">
        <v>0</v>
      </c>
      <c r="T85" s="535"/>
      <c r="U85" s="535"/>
      <c r="V85" s="535"/>
      <c r="W85" s="535"/>
      <c r="X85" s="535"/>
      <c r="Y85" s="535"/>
      <c r="Z85" s="660">
        <f t="shared" si="3"/>
        <v>1500</v>
      </c>
      <c r="AA85" s="554">
        <v>1500</v>
      </c>
      <c r="AB85" s="558">
        <v>3</v>
      </c>
      <c r="AC85" s="545">
        <v>44210</v>
      </c>
      <c r="AD85" s="542">
        <v>44237</v>
      </c>
      <c r="AE85" s="454">
        <v>34</v>
      </c>
      <c r="AF85" s="459">
        <v>13</v>
      </c>
      <c r="AG85" s="457">
        <v>44314</v>
      </c>
      <c r="AH85" s="458">
        <v>44340</v>
      </c>
      <c r="AI85" s="454"/>
      <c r="AJ85" s="456"/>
      <c r="AK85" s="460"/>
      <c r="AL85" s="458"/>
      <c r="AM85" s="454"/>
      <c r="AN85" s="456"/>
      <c r="AO85" s="460"/>
      <c r="AP85" s="458"/>
      <c r="AQ85" s="454"/>
      <c r="AR85" s="456"/>
      <c r="AS85" s="460"/>
      <c r="AT85" s="458"/>
      <c r="AU85" s="22">
        <f t="shared" si="0"/>
        <v>1534</v>
      </c>
      <c r="AV85" s="546">
        <f t="shared" si="1"/>
        <v>34</v>
      </c>
      <c r="AW85" s="148"/>
      <c r="AX85" s="148"/>
      <c r="AY85" s="148"/>
      <c r="AZ85" s="148"/>
      <c r="BA85" s="148"/>
      <c r="BB85" s="148"/>
      <c r="BC85" s="148"/>
      <c r="BD85" s="148"/>
      <c r="BE85" s="148"/>
      <c r="BF85" s="148"/>
      <c r="BG85" s="148"/>
      <c r="BH85" s="148"/>
      <c r="BI85" s="148"/>
      <c r="BJ85" s="148"/>
      <c r="BK85" s="148"/>
      <c r="BL85" s="148"/>
      <c r="BM85" s="148"/>
      <c r="BN85" s="148"/>
      <c r="BO85" s="148"/>
      <c r="BP85" s="148"/>
      <c r="BQ85" s="148"/>
      <c r="BR85" s="148"/>
      <c r="BS85" s="148"/>
      <c r="BT85" s="148"/>
      <c r="BU85" s="148"/>
      <c r="BV85" s="148"/>
      <c r="BW85" s="148"/>
      <c r="BX85" s="148"/>
      <c r="BY85" s="148"/>
      <c r="BZ85" s="148"/>
      <c r="CA85" s="148"/>
      <c r="CB85" s="148"/>
      <c r="CC85" s="148"/>
      <c r="CD85" s="148"/>
      <c r="CE85" s="148"/>
      <c r="CF85" s="148"/>
      <c r="CG85" s="148"/>
      <c r="CH85" s="148"/>
      <c r="CI85" s="148"/>
      <c r="CJ85" s="148"/>
      <c r="CK85" s="148"/>
      <c r="CL85" s="148"/>
      <c r="CM85" s="148"/>
      <c r="CN85" s="148"/>
      <c r="CO85" s="148"/>
      <c r="CP85" s="148"/>
      <c r="CQ85" s="148"/>
      <c r="CR85" s="148"/>
      <c r="CS85" s="148"/>
      <c r="CT85" s="148"/>
      <c r="CU85" s="148"/>
      <c r="CV85" s="148"/>
      <c r="CW85" s="148"/>
      <c r="CX85" s="148"/>
      <c r="CY85" s="148"/>
      <c r="CZ85" s="148"/>
      <c r="DA85" s="148"/>
      <c r="DB85" s="148"/>
      <c r="DC85" s="148"/>
      <c r="DD85" s="148"/>
      <c r="DE85" s="148"/>
      <c r="DF85" s="148"/>
      <c r="DG85" s="148"/>
      <c r="DH85" s="148"/>
      <c r="DI85" s="148"/>
      <c r="DJ85" s="148"/>
      <c r="DK85" s="148"/>
      <c r="DL85" s="148"/>
      <c r="DM85" s="148"/>
      <c r="DN85" s="148"/>
      <c r="DO85" s="148"/>
      <c r="DP85" s="148"/>
      <c r="DQ85" s="148"/>
      <c r="DR85" s="148"/>
      <c r="DS85" s="148"/>
      <c r="DT85" s="148"/>
      <c r="DU85" s="148"/>
      <c r="DV85" s="148"/>
      <c r="DW85" s="148"/>
      <c r="DX85" s="148"/>
      <c r="DY85" s="148"/>
      <c r="DZ85" s="148"/>
      <c r="EA85" s="148"/>
      <c r="EB85" s="148"/>
      <c r="EC85" s="148"/>
      <c r="ED85" s="148"/>
      <c r="EE85" s="148"/>
      <c r="EF85" s="148"/>
      <c r="EG85" s="148"/>
      <c r="EH85" s="148"/>
      <c r="EI85" s="148"/>
      <c r="EJ85" s="148"/>
      <c r="EK85" s="148"/>
      <c r="EL85" s="148"/>
      <c r="EM85" s="148"/>
      <c r="EN85" s="148"/>
      <c r="EO85" s="148"/>
      <c r="EP85" s="148"/>
      <c r="EQ85" s="148"/>
      <c r="ER85" s="148"/>
      <c r="ES85" s="148"/>
      <c r="ET85" s="148"/>
      <c r="EU85" s="148"/>
      <c r="EV85" s="148"/>
      <c r="EW85" s="148"/>
      <c r="EX85" s="148"/>
      <c r="EY85" s="148"/>
      <c r="EZ85" s="148"/>
      <c r="FA85" s="148"/>
      <c r="FB85" s="148"/>
      <c r="FC85" s="148"/>
      <c r="FD85" s="148"/>
      <c r="FE85" s="148"/>
      <c r="FF85" s="148"/>
      <c r="FG85" s="148"/>
      <c r="FH85" s="148"/>
      <c r="FI85" s="148"/>
      <c r="FJ85" s="148"/>
      <c r="FK85" s="148"/>
      <c r="FL85" s="148"/>
      <c r="FM85" s="148"/>
      <c r="FN85" s="148"/>
      <c r="FO85" s="148"/>
      <c r="FP85" s="148"/>
      <c r="FQ85" s="148"/>
      <c r="FR85" s="148"/>
      <c r="FS85" s="148"/>
      <c r="FT85" s="148"/>
      <c r="FU85" s="148"/>
      <c r="FV85" s="148"/>
      <c r="FW85" s="148"/>
      <c r="FX85" s="148"/>
      <c r="FY85" s="148"/>
      <c r="FZ85" s="148"/>
      <c r="GA85" s="148"/>
      <c r="GB85" s="148"/>
      <c r="GC85" s="148"/>
      <c r="GD85" s="148"/>
      <c r="GE85" s="148"/>
      <c r="GF85" s="148"/>
      <c r="GG85" s="148"/>
      <c r="GH85" s="148"/>
      <c r="GI85" s="148"/>
      <c r="GJ85" s="148"/>
      <c r="GK85" s="148"/>
      <c r="GL85" s="148"/>
      <c r="GM85" s="148"/>
      <c r="GN85" s="148"/>
      <c r="GO85" s="148"/>
      <c r="GP85" s="148"/>
      <c r="GQ85" s="148"/>
      <c r="GR85" s="148"/>
      <c r="GS85" s="148"/>
      <c r="GT85" s="148"/>
      <c r="GU85" s="148"/>
      <c r="GV85" s="148"/>
      <c r="GW85" s="148"/>
      <c r="GX85" s="148"/>
      <c r="GY85" s="148"/>
      <c r="GZ85" s="148"/>
      <c r="HA85" s="148"/>
      <c r="HB85" s="148"/>
      <c r="HC85" s="148"/>
      <c r="HD85" s="148"/>
      <c r="HE85" s="148"/>
      <c r="HF85" s="148"/>
      <c r="HG85" s="148"/>
      <c r="HH85" s="148"/>
      <c r="HI85" s="148"/>
      <c r="HJ85" s="148"/>
      <c r="HK85" s="148"/>
      <c r="HL85" s="148"/>
      <c r="HM85" s="148"/>
      <c r="HN85" s="148"/>
      <c r="HO85" s="148"/>
      <c r="HP85" s="148"/>
      <c r="HQ85" s="148"/>
      <c r="HR85" s="148"/>
      <c r="HS85" s="148"/>
      <c r="HT85" s="148"/>
      <c r="HU85" s="148"/>
      <c r="HV85" s="148"/>
      <c r="HW85" s="148"/>
      <c r="HX85" s="148"/>
      <c r="HY85" s="148"/>
      <c r="HZ85" s="148"/>
      <c r="IA85" s="148"/>
      <c r="IB85" s="148"/>
      <c r="IC85" s="148"/>
    </row>
    <row r="86" spans="1:237" s="15" customFormat="1" ht="22.5" x14ac:dyDescent="0.25">
      <c r="A86" s="148"/>
      <c r="B86" s="307">
        <v>71</v>
      </c>
      <c r="C86" s="307" t="s">
        <v>38</v>
      </c>
      <c r="D86" s="450">
        <v>30091584</v>
      </c>
      <c r="E86" s="577" t="s">
        <v>2956</v>
      </c>
      <c r="F86" s="577" t="s">
        <v>897</v>
      </c>
      <c r="G86" s="533" t="s">
        <v>1902</v>
      </c>
      <c r="H86" s="553" t="s">
        <v>2927</v>
      </c>
      <c r="I86" s="534" t="s">
        <v>43</v>
      </c>
      <c r="J86" s="535">
        <v>2919589</v>
      </c>
      <c r="K86" s="535">
        <v>0</v>
      </c>
      <c r="L86" s="535">
        <v>2890581</v>
      </c>
      <c r="M86" s="535">
        <v>2819588</v>
      </c>
      <c r="N86" s="454">
        <v>0</v>
      </c>
      <c r="O86" s="454">
        <v>0</v>
      </c>
      <c r="P86" s="535">
        <v>0</v>
      </c>
      <c r="Q86" s="535">
        <v>0</v>
      </c>
      <c r="R86" s="535">
        <v>0</v>
      </c>
      <c r="S86" s="535">
        <v>0</v>
      </c>
      <c r="T86" s="535"/>
      <c r="U86" s="535"/>
      <c r="V86" s="535"/>
      <c r="W86" s="535"/>
      <c r="X86" s="535"/>
      <c r="Y86" s="535"/>
      <c r="Z86" s="660">
        <f t="shared" si="3"/>
        <v>0</v>
      </c>
      <c r="AA86" s="591">
        <v>104908</v>
      </c>
      <c r="AB86" s="558">
        <v>4</v>
      </c>
      <c r="AC86" s="545">
        <v>44232</v>
      </c>
      <c r="AD86" s="542">
        <v>44252</v>
      </c>
      <c r="AE86" s="454"/>
      <c r="AF86" s="459"/>
      <c r="AG86" s="460"/>
      <c r="AH86" s="458"/>
      <c r="AI86" s="454"/>
      <c r="AJ86" s="456"/>
      <c r="AK86" s="460"/>
      <c r="AL86" s="458"/>
      <c r="AM86" s="454"/>
      <c r="AN86" s="456"/>
      <c r="AO86" s="460"/>
      <c r="AP86" s="458"/>
      <c r="AQ86" s="454"/>
      <c r="AR86" s="456"/>
      <c r="AS86" s="460"/>
      <c r="AT86" s="458"/>
      <c r="AU86" s="22">
        <f t="shared" si="0"/>
        <v>104908</v>
      </c>
      <c r="AV86" s="546">
        <f t="shared" si="1"/>
        <v>104908</v>
      </c>
      <c r="AW86" s="148"/>
      <c r="AX86" s="148"/>
      <c r="AY86" s="148"/>
      <c r="AZ86" s="148"/>
      <c r="BA86" s="148"/>
      <c r="BB86" s="148"/>
      <c r="BC86" s="148"/>
      <c r="BD86" s="148"/>
      <c r="BE86" s="148"/>
      <c r="BF86" s="148"/>
      <c r="BG86" s="148"/>
      <c r="BH86" s="148"/>
      <c r="BI86" s="148"/>
      <c r="BJ86" s="148"/>
      <c r="BK86" s="148"/>
      <c r="BL86" s="148"/>
      <c r="BM86" s="148"/>
      <c r="BN86" s="148"/>
      <c r="BO86" s="148"/>
      <c r="BP86" s="148"/>
      <c r="BQ86" s="148"/>
      <c r="BR86" s="148"/>
      <c r="BS86" s="148"/>
      <c r="BT86" s="148"/>
      <c r="BU86" s="148"/>
      <c r="BV86" s="148"/>
      <c r="BW86" s="148"/>
      <c r="BX86" s="148"/>
      <c r="BY86" s="148"/>
      <c r="BZ86" s="148"/>
      <c r="CA86" s="148"/>
      <c r="CB86" s="148"/>
      <c r="CC86" s="148"/>
      <c r="CD86" s="148"/>
      <c r="CE86" s="148"/>
      <c r="CF86" s="148"/>
      <c r="CG86" s="148"/>
      <c r="CH86" s="148"/>
      <c r="CI86" s="148"/>
      <c r="CJ86" s="148"/>
      <c r="CK86" s="148"/>
      <c r="CL86" s="148"/>
      <c r="CM86" s="148"/>
      <c r="CN86" s="148"/>
      <c r="CO86" s="148"/>
      <c r="CP86" s="148"/>
      <c r="CQ86" s="148"/>
      <c r="CR86" s="148"/>
      <c r="CS86" s="148"/>
      <c r="CT86" s="148"/>
      <c r="CU86" s="148"/>
      <c r="CV86" s="148"/>
      <c r="CW86" s="148"/>
      <c r="CX86" s="148"/>
      <c r="CY86" s="148"/>
      <c r="CZ86" s="148"/>
      <c r="DA86" s="148"/>
      <c r="DB86" s="148"/>
      <c r="DC86" s="148"/>
      <c r="DD86" s="148"/>
      <c r="DE86" s="148"/>
      <c r="DF86" s="148"/>
      <c r="DG86" s="148"/>
      <c r="DH86" s="148"/>
      <c r="DI86" s="148"/>
      <c r="DJ86" s="148"/>
      <c r="DK86" s="148"/>
      <c r="DL86" s="148"/>
      <c r="DM86" s="148"/>
      <c r="DN86" s="148"/>
      <c r="DO86" s="148"/>
      <c r="DP86" s="148"/>
      <c r="DQ86" s="148"/>
      <c r="DR86" s="148"/>
      <c r="DS86" s="148"/>
      <c r="DT86" s="148"/>
      <c r="DU86" s="148"/>
      <c r="DV86" s="148"/>
      <c r="DW86" s="148"/>
      <c r="DX86" s="148"/>
      <c r="DY86" s="148"/>
      <c r="DZ86" s="148"/>
      <c r="EA86" s="148"/>
      <c r="EB86" s="148"/>
      <c r="EC86" s="148"/>
      <c r="ED86" s="148"/>
      <c r="EE86" s="148"/>
      <c r="EF86" s="148"/>
      <c r="EG86" s="148"/>
      <c r="EH86" s="148"/>
      <c r="EI86" s="148"/>
      <c r="EJ86" s="148"/>
      <c r="EK86" s="148"/>
      <c r="EL86" s="148"/>
      <c r="EM86" s="148"/>
      <c r="EN86" s="148"/>
      <c r="EO86" s="148"/>
      <c r="EP86" s="148"/>
      <c r="EQ86" s="148"/>
      <c r="ER86" s="148"/>
      <c r="ES86" s="148"/>
      <c r="ET86" s="148"/>
      <c r="EU86" s="148"/>
      <c r="EV86" s="148"/>
      <c r="EW86" s="148"/>
      <c r="EX86" s="148"/>
      <c r="EY86" s="148"/>
      <c r="EZ86" s="148"/>
      <c r="FA86" s="148"/>
      <c r="FB86" s="148"/>
      <c r="FC86" s="148"/>
      <c r="FD86" s="148"/>
      <c r="FE86" s="148"/>
      <c r="FF86" s="148"/>
      <c r="FG86" s="148"/>
      <c r="FH86" s="148"/>
      <c r="FI86" s="148"/>
      <c r="FJ86" s="148"/>
      <c r="FK86" s="148"/>
      <c r="FL86" s="148"/>
      <c r="FM86" s="148"/>
      <c r="FN86" s="148"/>
      <c r="FO86" s="148"/>
      <c r="FP86" s="148"/>
      <c r="FQ86" s="148"/>
      <c r="FR86" s="148"/>
      <c r="FS86" s="148"/>
      <c r="FT86" s="148"/>
      <c r="FU86" s="148"/>
      <c r="FV86" s="148"/>
      <c r="FW86" s="148"/>
      <c r="FX86" s="148"/>
      <c r="FY86" s="148"/>
      <c r="FZ86" s="148"/>
      <c r="GA86" s="148"/>
      <c r="GB86" s="148"/>
      <c r="GC86" s="148"/>
      <c r="GD86" s="148"/>
      <c r="GE86" s="148"/>
      <c r="GF86" s="148"/>
      <c r="GG86" s="148"/>
      <c r="GH86" s="148"/>
      <c r="GI86" s="148"/>
      <c r="GJ86" s="148"/>
      <c r="GK86" s="148"/>
      <c r="GL86" s="148"/>
      <c r="GM86" s="148"/>
      <c r="GN86" s="148"/>
      <c r="GO86" s="148"/>
      <c r="GP86" s="148"/>
      <c r="GQ86" s="148"/>
      <c r="GR86" s="148"/>
      <c r="GS86" s="148"/>
      <c r="GT86" s="148"/>
      <c r="GU86" s="148"/>
      <c r="GV86" s="148"/>
      <c r="GW86" s="148"/>
      <c r="GX86" s="148"/>
      <c r="GY86" s="148"/>
      <c r="GZ86" s="148"/>
      <c r="HA86" s="148"/>
      <c r="HB86" s="148"/>
      <c r="HC86" s="148"/>
      <c r="HD86" s="148"/>
      <c r="HE86" s="148"/>
      <c r="HF86" s="148"/>
      <c r="HG86" s="148"/>
      <c r="HH86" s="148"/>
      <c r="HI86" s="148"/>
      <c r="HJ86" s="148"/>
      <c r="HK86" s="148"/>
      <c r="HL86" s="148"/>
      <c r="HM86" s="148"/>
      <c r="HN86" s="148"/>
      <c r="HO86" s="148"/>
      <c r="HP86" s="148"/>
      <c r="HQ86" s="148"/>
      <c r="HR86" s="148"/>
      <c r="HS86" s="148"/>
      <c r="HT86" s="148"/>
      <c r="HU86" s="148"/>
      <c r="HV86" s="148"/>
      <c r="HW86" s="148"/>
      <c r="HX86" s="148"/>
      <c r="HY86" s="148"/>
      <c r="HZ86" s="148"/>
      <c r="IA86" s="148"/>
      <c r="IB86" s="148"/>
      <c r="IC86" s="148"/>
    </row>
    <row r="87" spans="1:237" s="15" customFormat="1" ht="22.5" x14ac:dyDescent="0.25">
      <c r="A87" s="148"/>
      <c r="B87" s="307">
        <v>72</v>
      </c>
      <c r="C87" s="307" t="s">
        <v>38</v>
      </c>
      <c r="D87" s="450">
        <v>30110361</v>
      </c>
      <c r="E87" s="577" t="s">
        <v>2957</v>
      </c>
      <c r="F87" s="577" t="s">
        <v>897</v>
      </c>
      <c r="G87" s="533" t="s">
        <v>1902</v>
      </c>
      <c r="H87" s="553" t="s">
        <v>2902</v>
      </c>
      <c r="I87" s="534" t="s">
        <v>43</v>
      </c>
      <c r="J87" s="535">
        <v>1208181</v>
      </c>
      <c r="K87" s="535">
        <v>0</v>
      </c>
      <c r="L87" s="535">
        <v>1172761</v>
      </c>
      <c r="M87" s="535">
        <v>18405</v>
      </c>
      <c r="N87" s="454">
        <v>0</v>
      </c>
      <c r="O87" s="454">
        <v>0</v>
      </c>
      <c r="P87" s="535">
        <v>0</v>
      </c>
      <c r="Q87" s="535">
        <v>2641</v>
      </c>
      <c r="R87" s="535">
        <v>0</v>
      </c>
      <c r="S87" s="535">
        <v>0</v>
      </c>
      <c r="T87" s="535"/>
      <c r="U87" s="535"/>
      <c r="V87" s="535"/>
      <c r="W87" s="535"/>
      <c r="X87" s="535"/>
      <c r="Y87" s="535"/>
      <c r="Z87" s="660">
        <f t="shared" si="3"/>
        <v>2641</v>
      </c>
      <c r="AA87" s="591">
        <v>8835</v>
      </c>
      <c r="AB87" s="558">
        <v>4</v>
      </c>
      <c r="AC87" s="545">
        <v>44232</v>
      </c>
      <c r="AD87" s="542">
        <v>44252</v>
      </c>
      <c r="AE87" s="454"/>
      <c r="AF87" s="459"/>
      <c r="AG87" s="460"/>
      <c r="AH87" s="458"/>
      <c r="AI87" s="454"/>
      <c r="AJ87" s="456"/>
      <c r="AK87" s="460"/>
      <c r="AL87" s="458"/>
      <c r="AM87" s="454"/>
      <c r="AN87" s="456"/>
      <c r="AO87" s="460"/>
      <c r="AP87" s="458"/>
      <c r="AQ87" s="454"/>
      <c r="AR87" s="456"/>
      <c r="AS87" s="460"/>
      <c r="AT87" s="458"/>
      <c r="AU87" s="22">
        <f t="shared" si="0"/>
        <v>8835</v>
      </c>
      <c r="AV87" s="546">
        <f t="shared" si="1"/>
        <v>6194</v>
      </c>
      <c r="AW87" s="148"/>
      <c r="AX87" s="148"/>
      <c r="AY87" s="148"/>
      <c r="AZ87" s="148"/>
      <c r="BA87" s="148"/>
      <c r="BB87" s="148"/>
      <c r="BC87" s="148"/>
      <c r="BD87" s="148"/>
      <c r="BE87" s="148"/>
      <c r="BF87" s="148"/>
      <c r="BG87" s="148"/>
      <c r="BH87" s="148"/>
      <c r="BI87" s="148"/>
      <c r="BJ87" s="148"/>
      <c r="BK87" s="148"/>
      <c r="BL87" s="148"/>
      <c r="BM87" s="148"/>
      <c r="BN87" s="148"/>
      <c r="BO87" s="148"/>
      <c r="BP87" s="148"/>
      <c r="BQ87" s="148"/>
      <c r="BR87" s="148"/>
      <c r="BS87" s="148"/>
      <c r="BT87" s="148"/>
      <c r="BU87" s="148"/>
      <c r="BV87" s="148"/>
      <c r="BW87" s="148"/>
      <c r="BX87" s="148"/>
      <c r="BY87" s="148"/>
      <c r="BZ87" s="148"/>
      <c r="CA87" s="148"/>
      <c r="CB87" s="148"/>
      <c r="CC87" s="148"/>
      <c r="CD87" s="148"/>
      <c r="CE87" s="148"/>
      <c r="CF87" s="148"/>
      <c r="CG87" s="148"/>
      <c r="CH87" s="148"/>
      <c r="CI87" s="148"/>
      <c r="CJ87" s="148"/>
      <c r="CK87" s="148"/>
      <c r="CL87" s="148"/>
      <c r="CM87" s="148"/>
      <c r="CN87" s="148"/>
      <c r="CO87" s="148"/>
      <c r="CP87" s="148"/>
      <c r="CQ87" s="148"/>
      <c r="CR87" s="148"/>
      <c r="CS87" s="148"/>
      <c r="CT87" s="148"/>
      <c r="CU87" s="148"/>
      <c r="CV87" s="148"/>
      <c r="CW87" s="148"/>
      <c r="CX87" s="148"/>
      <c r="CY87" s="148"/>
      <c r="CZ87" s="148"/>
      <c r="DA87" s="148"/>
      <c r="DB87" s="148"/>
      <c r="DC87" s="148"/>
      <c r="DD87" s="148"/>
      <c r="DE87" s="148"/>
      <c r="DF87" s="148"/>
      <c r="DG87" s="148"/>
      <c r="DH87" s="148"/>
      <c r="DI87" s="148"/>
      <c r="DJ87" s="148"/>
      <c r="DK87" s="148"/>
      <c r="DL87" s="148"/>
      <c r="DM87" s="148"/>
      <c r="DN87" s="148"/>
      <c r="DO87" s="148"/>
      <c r="DP87" s="148"/>
      <c r="DQ87" s="148"/>
      <c r="DR87" s="148"/>
      <c r="DS87" s="148"/>
      <c r="DT87" s="148"/>
      <c r="DU87" s="148"/>
      <c r="DV87" s="148"/>
      <c r="DW87" s="148"/>
      <c r="DX87" s="148"/>
      <c r="DY87" s="148"/>
      <c r="DZ87" s="148"/>
      <c r="EA87" s="148"/>
      <c r="EB87" s="148"/>
      <c r="EC87" s="148"/>
      <c r="ED87" s="148"/>
      <c r="EE87" s="148"/>
      <c r="EF87" s="148"/>
      <c r="EG87" s="148"/>
      <c r="EH87" s="148"/>
      <c r="EI87" s="148"/>
      <c r="EJ87" s="148"/>
      <c r="EK87" s="148"/>
      <c r="EL87" s="148"/>
      <c r="EM87" s="148"/>
      <c r="EN87" s="148"/>
      <c r="EO87" s="148"/>
      <c r="EP87" s="148"/>
      <c r="EQ87" s="148"/>
      <c r="ER87" s="148"/>
      <c r="ES87" s="148"/>
      <c r="ET87" s="148"/>
      <c r="EU87" s="148"/>
      <c r="EV87" s="148"/>
      <c r="EW87" s="148"/>
      <c r="EX87" s="148"/>
      <c r="EY87" s="148"/>
      <c r="EZ87" s="148"/>
      <c r="FA87" s="148"/>
      <c r="FB87" s="148"/>
      <c r="FC87" s="148"/>
      <c r="FD87" s="148"/>
      <c r="FE87" s="148"/>
      <c r="FF87" s="148"/>
      <c r="FG87" s="148"/>
      <c r="FH87" s="148"/>
      <c r="FI87" s="148"/>
      <c r="FJ87" s="148"/>
      <c r="FK87" s="148"/>
      <c r="FL87" s="148"/>
      <c r="FM87" s="148"/>
      <c r="FN87" s="148"/>
      <c r="FO87" s="148"/>
      <c r="FP87" s="148"/>
      <c r="FQ87" s="148"/>
      <c r="FR87" s="148"/>
      <c r="FS87" s="148"/>
      <c r="FT87" s="148"/>
      <c r="FU87" s="148"/>
      <c r="FV87" s="148"/>
      <c r="FW87" s="148"/>
      <c r="FX87" s="148"/>
      <c r="FY87" s="148"/>
      <c r="FZ87" s="148"/>
      <c r="GA87" s="148"/>
      <c r="GB87" s="148"/>
      <c r="GC87" s="148"/>
      <c r="GD87" s="148"/>
      <c r="GE87" s="148"/>
      <c r="GF87" s="148"/>
      <c r="GG87" s="148"/>
      <c r="GH87" s="148"/>
      <c r="GI87" s="148"/>
      <c r="GJ87" s="148"/>
      <c r="GK87" s="148"/>
      <c r="GL87" s="148"/>
      <c r="GM87" s="148"/>
      <c r="GN87" s="148"/>
      <c r="GO87" s="148"/>
      <c r="GP87" s="148"/>
      <c r="GQ87" s="148"/>
      <c r="GR87" s="148"/>
      <c r="GS87" s="148"/>
      <c r="GT87" s="148"/>
      <c r="GU87" s="148"/>
      <c r="GV87" s="148"/>
      <c r="GW87" s="148"/>
      <c r="GX87" s="148"/>
      <c r="GY87" s="148"/>
      <c r="GZ87" s="148"/>
      <c r="HA87" s="148"/>
      <c r="HB87" s="148"/>
      <c r="HC87" s="148"/>
      <c r="HD87" s="148"/>
      <c r="HE87" s="148"/>
      <c r="HF87" s="148"/>
      <c r="HG87" s="148"/>
      <c r="HH87" s="148"/>
      <c r="HI87" s="148"/>
      <c r="HJ87" s="148"/>
      <c r="HK87" s="148"/>
      <c r="HL87" s="148"/>
      <c r="HM87" s="148"/>
      <c r="HN87" s="148"/>
      <c r="HO87" s="148"/>
      <c r="HP87" s="148"/>
      <c r="HQ87" s="148"/>
      <c r="HR87" s="148"/>
      <c r="HS87" s="148"/>
      <c r="HT87" s="148"/>
      <c r="HU87" s="148"/>
      <c r="HV87" s="148"/>
      <c r="HW87" s="148"/>
      <c r="HX87" s="148"/>
      <c r="HY87" s="148"/>
      <c r="HZ87" s="148"/>
      <c r="IA87" s="148"/>
      <c r="IB87" s="148"/>
      <c r="IC87" s="148"/>
    </row>
    <row r="88" spans="1:237" s="15" customFormat="1" ht="22.5" x14ac:dyDescent="0.25">
      <c r="A88" s="148"/>
      <c r="B88" s="307">
        <v>73</v>
      </c>
      <c r="C88" s="307" t="s">
        <v>38</v>
      </c>
      <c r="D88" s="450">
        <v>30133777</v>
      </c>
      <c r="E88" s="577" t="s">
        <v>2958</v>
      </c>
      <c r="F88" s="577" t="s">
        <v>897</v>
      </c>
      <c r="G88" s="533" t="s">
        <v>1902</v>
      </c>
      <c r="H88" s="553" t="s">
        <v>2857</v>
      </c>
      <c r="I88" s="534" t="s">
        <v>43</v>
      </c>
      <c r="J88" s="535">
        <v>924536</v>
      </c>
      <c r="K88" s="535">
        <v>0</v>
      </c>
      <c r="L88" s="535">
        <v>895729</v>
      </c>
      <c r="M88" s="535">
        <v>516073</v>
      </c>
      <c r="N88" s="454">
        <v>0</v>
      </c>
      <c r="O88" s="454">
        <v>0</v>
      </c>
      <c r="P88" s="535">
        <v>0</v>
      </c>
      <c r="Q88" s="535">
        <v>8463</v>
      </c>
      <c r="R88" s="535">
        <v>0</v>
      </c>
      <c r="S88" s="535">
        <v>0</v>
      </c>
      <c r="T88" s="535"/>
      <c r="U88" s="535"/>
      <c r="V88" s="535"/>
      <c r="W88" s="535"/>
      <c r="X88" s="535"/>
      <c r="Y88" s="535"/>
      <c r="Z88" s="660">
        <f t="shared" si="3"/>
        <v>8463</v>
      </c>
      <c r="AA88" s="591">
        <v>8463</v>
      </c>
      <c r="AB88" s="558">
        <v>4</v>
      </c>
      <c r="AC88" s="545">
        <v>44232</v>
      </c>
      <c r="AD88" s="542">
        <v>44252</v>
      </c>
      <c r="AE88" s="454"/>
      <c r="AF88" s="459"/>
      <c r="AG88" s="460"/>
      <c r="AH88" s="458"/>
      <c r="AI88" s="454"/>
      <c r="AJ88" s="456"/>
      <c r="AK88" s="460"/>
      <c r="AL88" s="458"/>
      <c r="AM88" s="454"/>
      <c r="AN88" s="456"/>
      <c r="AO88" s="460"/>
      <c r="AP88" s="458"/>
      <c r="AQ88" s="454"/>
      <c r="AR88" s="456"/>
      <c r="AS88" s="460"/>
      <c r="AT88" s="458"/>
      <c r="AU88" s="22">
        <f t="shared" si="0"/>
        <v>8463</v>
      </c>
      <c r="AV88" s="546">
        <f t="shared" si="1"/>
        <v>0</v>
      </c>
      <c r="AW88" s="148"/>
      <c r="AX88" s="148"/>
      <c r="AY88" s="148"/>
      <c r="AZ88" s="148"/>
      <c r="BA88" s="148"/>
      <c r="BB88" s="148"/>
      <c r="BC88" s="148"/>
      <c r="BD88" s="148"/>
      <c r="BE88" s="148"/>
      <c r="BF88" s="148"/>
      <c r="BG88" s="148"/>
      <c r="BH88" s="148"/>
      <c r="BI88" s="148"/>
      <c r="BJ88" s="148"/>
      <c r="BK88" s="148"/>
      <c r="BL88" s="148"/>
      <c r="BM88" s="148"/>
      <c r="BN88" s="148"/>
      <c r="BO88" s="148"/>
      <c r="BP88" s="148"/>
      <c r="BQ88" s="148"/>
      <c r="BR88" s="148"/>
      <c r="BS88" s="148"/>
      <c r="BT88" s="148"/>
      <c r="BU88" s="148"/>
      <c r="BV88" s="148"/>
      <c r="BW88" s="148"/>
      <c r="BX88" s="148"/>
      <c r="BY88" s="148"/>
      <c r="BZ88" s="148"/>
      <c r="CA88" s="148"/>
      <c r="CB88" s="148"/>
      <c r="CC88" s="148"/>
      <c r="CD88" s="148"/>
      <c r="CE88" s="148"/>
      <c r="CF88" s="148"/>
      <c r="CG88" s="148"/>
      <c r="CH88" s="148"/>
      <c r="CI88" s="148"/>
      <c r="CJ88" s="148"/>
      <c r="CK88" s="148"/>
      <c r="CL88" s="148"/>
      <c r="CM88" s="148"/>
      <c r="CN88" s="148"/>
      <c r="CO88" s="148"/>
      <c r="CP88" s="148"/>
      <c r="CQ88" s="148"/>
      <c r="CR88" s="148"/>
      <c r="CS88" s="148"/>
      <c r="CT88" s="148"/>
      <c r="CU88" s="148"/>
      <c r="CV88" s="148"/>
      <c r="CW88" s="148"/>
      <c r="CX88" s="148"/>
      <c r="CY88" s="148"/>
      <c r="CZ88" s="148"/>
      <c r="DA88" s="148"/>
      <c r="DB88" s="148"/>
      <c r="DC88" s="148"/>
      <c r="DD88" s="148"/>
      <c r="DE88" s="148"/>
      <c r="DF88" s="148"/>
      <c r="DG88" s="148"/>
      <c r="DH88" s="148"/>
      <c r="DI88" s="148"/>
      <c r="DJ88" s="148"/>
      <c r="DK88" s="148"/>
      <c r="DL88" s="148"/>
      <c r="DM88" s="148"/>
      <c r="DN88" s="148"/>
      <c r="DO88" s="148"/>
      <c r="DP88" s="148"/>
      <c r="DQ88" s="148"/>
      <c r="DR88" s="148"/>
      <c r="DS88" s="148"/>
      <c r="DT88" s="148"/>
      <c r="DU88" s="148"/>
      <c r="DV88" s="148"/>
      <c r="DW88" s="148"/>
      <c r="DX88" s="148"/>
      <c r="DY88" s="148"/>
      <c r="DZ88" s="148"/>
      <c r="EA88" s="148"/>
      <c r="EB88" s="148"/>
      <c r="EC88" s="148"/>
      <c r="ED88" s="148"/>
      <c r="EE88" s="148"/>
      <c r="EF88" s="148"/>
      <c r="EG88" s="148"/>
      <c r="EH88" s="148"/>
      <c r="EI88" s="148"/>
      <c r="EJ88" s="148"/>
      <c r="EK88" s="148"/>
      <c r="EL88" s="148"/>
      <c r="EM88" s="148"/>
      <c r="EN88" s="148"/>
      <c r="EO88" s="148"/>
      <c r="EP88" s="148"/>
      <c r="EQ88" s="148"/>
      <c r="ER88" s="148"/>
      <c r="ES88" s="148"/>
      <c r="ET88" s="148"/>
      <c r="EU88" s="148"/>
      <c r="EV88" s="148"/>
      <c r="EW88" s="148"/>
      <c r="EX88" s="148"/>
      <c r="EY88" s="148"/>
      <c r="EZ88" s="148"/>
      <c r="FA88" s="148"/>
      <c r="FB88" s="148"/>
      <c r="FC88" s="148"/>
      <c r="FD88" s="148"/>
      <c r="FE88" s="148"/>
      <c r="FF88" s="148"/>
      <c r="FG88" s="148"/>
      <c r="FH88" s="148"/>
      <c r="FI88" s="148"/>
      <c r="FJ88" s="148"/>
      <c r="FK88" s="148"/>
      <c r="FL88" s="148"/>
      <c r="FM88" s="148"/>
      <c r="FN88" s="148"/>
      <c r="FO88" s="148"/>
      <c r="FP88" s="148"/>
      <c r="FQ88" s="148"/>
      <c r="FR88" s="148"/>
      <c r="FS88" s="148"/>
      <c r="FT88" s="148"/>
      <c r="FU88" s="148"/>
      <c r="FV88" s="148"/>
      <c r="FW88" s="148"/>
      <c r="FX88" s="148"/>
      <c r="FY88" s="148"/>
      <c r="FZ88" s="148"/>
      <c r="GA88" s="148"/>
      <c r="GB88" s="148"/>
      <c r="GC88" s="148"/>
      <c r="GD88" s="148"/>
      <c r="GE88" s="148"/>
      <c r="GF88" s="148"/>
      <c r="GG88" s="148"/>
      <c r="GH88" s="148"/>
      <c r="GI88" s="148"/>
      <c r="GJ88" s="148"/>
      <c r="GK88" s="148"/>
      <c r="GL88" s="148"/>
      <c r="GM88" s="148"/>
      <c r="GN88" s="148"/>
      <c r="GO88" s="148"/>
      <c r="GP88" s="148"/>
      <c r="GQ88" s="148"/>
      <c r="GR88" s="148"/>
      <c r="GS88" s="148"/>
      <c r="GT88" s="148"/>
      <c r="GU88" s="148"/>
      <c r="GV88" s="148"/>
      <c r="GW88" s="148"/>
      <c r="GX88" s="148"/>
      <c r="GY88" s="148"/>
      <c r="GZ88" s="148"/>
      <c r="HA88" s="148"/>
      <c r="HB88" s="148"/>
      <c r="HC88" s="148"/>
      <c r="HD88" s="148"/>
      <c r="HE88" s="148"/>
      <c r="HF88" s="148"/>
      <c r="HG88" s="148"/>
      <c r="HH88" s="148"/>
      <c r="HI88" s="148"/>
      <c r="HJ88" s="148"/>
      <c r="HK88" s="148"/>
      <c r="HL88" s="148"/>
      <c r="HM88" s="148"/>
      <c r="HN88" s="148"/>
      <c r="HO88" s="148"/>
      <c r="HP88" s="148"/>
      <c r="HQ88" s="148"/>
      <c r="HR88" s="148"/>
      <c r="HS88" s="148"/>
      <c r="HT88" s="148"/>
      <c r="HU88" s="148"/>
      <c r="HV88" s="148"/>
      <c r="HW88" s="148"/>
      <c r="HX88" s="148"/>
      <c r="HY88" s="148"/>
      <c r="HZ88" s="148"/>
      <c r="IA88" s="148"/>
      <c r="IB88" s="148"/>
      <c r="IC88" s="148"/>
    </row>
    <row r="89" spans="1:237" s="15" customFormat="1" ht="22.5" x14ac:dyDescent="0.25">
      <c r="A89" s="148"/>
      <c r="B89" s="307">
        <v>74</v>
      </c>
      <c r="C89" s="307" t="s">
        <v>38</v>
      </c>
      <c r="D89" s="450">
        <v>30135452</v>
      </c>
      <c r="E89" s="577" t="s">
        <v>2959</v>
      </c>
      <c r="F89" s="577" t="s">
        <v>897</v>
      </c>
      <c r="G89" s="533" t="s">
        <v>1902</v>
      </c>
      <c r="H89" s="553" t="s">
        <v>2948</v>
      </c>
      <c r="I89" s="534" t="s">
        <v>43</v>
      </c>
      <c r="J89" s="535">
        <v>930401</v>
      </c>
      <c r="K89" s="535">
        <v>0</v>
      </c>
      <c r="L89" s="535">
        <v>908395</v>
      </c>
      <c r="M89" s="535">
        <v>245192</v>
      </c>
      <c r="N89" s="454">
        <v>0</v>
      </c>
      <c r="O89" s="454">
        <v>0</v>
      </c>
      <c r="P89" s="535">
        <v>0</v>
      </c>
      <c r="Q89" s="535">
        <v>0</v>
      </c>
      <c r="R89" s="535">
        <v>0</v>
      </c>
      <c r="S89" s="535">
        <v>0</v>
      </c>
      <c r="T89" s="535"/>
      <c r="U89" s="535"/>
      <c r="V89" s="535"/>
      <c r="W89" s="535"/>
      <c r="X89" s="535"/>
      <c r="Y89" s="535"/>
      <c r="Z89" s="660">
        <f t="shared" si="3"/>
        <v>0</v>
      </c>
      <c r="AA89" s="591">
        <v>1534</v>
      </c>
      <c r="AB89" s="558">
        <v>4</v>
      </c>
      <c r="AC89" s="545">
        <v>44232</v>
      </c>
      <c r="AD89" s="542">
        <v>44252</v>
      </c>
      <c r="AE89" s="454"/>
      <c r="AF89" s="459"/>
      <c r="AG89" s="460"/>
      <c r="AH89" s="458"/>
      <c r="AI89" s="454"/>
      <c r="AJ89" s="456"/>
      <c r="AK89" s="460"/>
      <c r="AL89" s="458"/>
      <c r="AM89" s="454"/>
      <c r="AN89" s="456"/>
      <c r="AO89" s="460"/>
      <c r="AP89" s="458"/>
      <c r="AQ89" s="454"/>
      <c r="AR89" s="456"/>
      <c r="AS89" s="460"/>
      <c r="AT89" s="458"/>
      <c r="AU89" s="22">
        <f t="shared" si="0"/>
        <v>1534</v>
      </c>
      <c r="AV89" s="546">
        <f t="shared" si="1"/>
        <v>1534</v>
      </c>
      <c r="AW89" s="148"/>
      <c r="AX89" s="148"/>
      <c r="AY89" s="148"/>
      <c r="AZ89" s="148"/>
      <c r="BA89" s="148"/>
      <c r="BB89" s="148"/>
      <c r="BC89" s="148"/>
      <c r="BD89" s="148"/>
      <c r="BE89" s="148"/>
      <c r="BF89" s="148"/>
      <c r="BG89" s="148"/>
      <c r="BH89" s="148"/>
      <c r="BI89" s="148"/>
      <c r="BJ89" s="148"/>
      <c r="BK89" s="148"/>
      <c r="BL89" s="148"/>
      <c r="BM89" s="148"/>
      <c r="BN89" s="148"/>
      <c r="BO89" s="148"/>
      <c r="BP89" s="148"/>
      <c r="BQ89" s="148"/>
      <c r="BR89" s="148"/>
      <c r="BS89" s="148"/>
      <c r="BT89" s="148"/>
      <c r="BU89" s="148"/>
      <c r="BV89" s="148"/>
      <c r="BW89" s="148"/>
      <c r="BX89" s="148"/>
      <c r="BY89" s="148"/>
      <c r="BZ89" s="148"/>
      <c r="CA89" s="148"/>
      <c r="CB89" s="148"/>
      <c r="CC89" s="148"/>
      <c r="CD89" s="148"/>
      <c r="CE89" s="148"/>
      <c r="CF89" s="148"/>
      <c r="CG89" s="148"/>
      <c r="CH89" s="148"/>
      <c r="CI89" s="148"/>
      <c r="CJ89" s="148"/>
      <c r="CK89" s="148"/>
      <c r="CL89" s="148"/>
      <c r="CM89" s="148"/>
      <c r="CN89" s="148"/>
      <c r="CO89" s="148"/>
      <c r="CP89" s="148"/>
      <c r="CQ89" s="148"/>
      <c r="CR89" s="148"/>
      <c r="CS89" s="148"/>
      <c r="CT89" s="148"/>
      <c r="CU89" s="148"/>
      <c r="CV89" s="148"/>
      <c r="CW89" s="148"/>
      <c r="CX89" s="148"/>
      <c r="CY89" s="148"/>
      <c r="CZ89" s="148"/>
      <c r="DA89" s="148"/>
      <c r="DB89" s="148"/>
      <c r="DC89" s="148"/>
      <c r="DD89" s="148"/>
      <c r="DE89" s="148"/>
      <c r="DF89" s="148"/>
      <c r="DG89" s="148"/>
      <c r="DH89" s="148"/>
      <c r="DI89" s="148"/>
      <c r="DJ89" s="148"/>
      <c r="DK89" s="148"/>
      <c r="DL89" s="148"/>
      <c r="DM89" s="148"/>
      <c r="DN89" s="148"/>
      <c r="DO89" s="148"/>
      <c r="DP89" s="148"/>
      <c r="DQ89" s="148"/>
      <c r="DR89" s="148"/>
      <c r="DS89" s="148"/>
      <c r="DT89" s="148"/>
      <c r="DU89" s="148"/>
      <c r="DV89" s="148"/>
      <c r="DW89" s="148"/>
      <c r="DX89" s="148"/>
      <c r="DY89" s="148"/>
      <c r="DZ89" s="148"/>
      <c r="EA89" s="148"/>
      <c r="EB89" s="148"/>
      <c r="EC89" s="148"/>
      <c r="ED89" s="148"/>
      <c r="EE89" s="148"/>
      <c r="EF89" s="148"/>
      <c r="EG89" s="148"/>
      <c r="EH89" s="148"/>
      <c r="EI89" s="148"/>
      <c r="EJ89" s="148"/>
      <c r="EK89" s="148"/>
      <c r="EL89" s="148"/>
      <c r="EM89" s="148"/>
      <c r="EN89" s="148"/>
      <c r="EO89" s="148"/>
      <c r="EP89" s="148"/>
      <c r="EQ89" s="148"/>
      <c r="ER89" s="148"/>
      <c r="ES89" s="148"/>
      <c r="ET89" s="148"/>
      <c r="EU89" s="148"/>
      <c r="EV89" s="148"/>
      <c r="EW89" s="148"/>
      <c r="EX89" s="148"/>
      <c r="EY89" s="148"/>
      <c r="EZ89" s="148"/>
      <c r="FA89" s="148"/>
      <c r="FB89" s="148"/>
      <c r="FC89" s="148"/>
      <c r="FD89" s="148"/>
      <c r="FE89" s="148"/>
      <c r="FF89" s="148"/>
      <c r="FG89" s="148"/>
      <c r="FH89" s="148"/>
      <c r="FI89" s="148"/>
      <c r="FJ89" s="148"/>
      <c r="FK89" s="148"/>
      <c r="FL89" s="148"/>
      <c r="FM89" s="148"/>
      <c r="FN89" s="148"/>
      <c r="FO89" s="148"/>
      <c r="FP89" s="148"/>
      <c r="FQ89" s="148"/>
      <c r="FR89" s="148"/>
      <c r="FS89" s="148"/>
      <c r="FT89" s="148"/>
      <c r="FU89" s="148"/>
      <c r="FV89" s="148"/>
      <c r="FW89" s="148"/>
      <c r="FX89" s="148"/>
      <c r="FY89" s="148"/>
      <c r="FZ89" s="148"/>
      <c r="GA89" s="148"/>
      <c r="GB89" s="148"/>
      <c r="GC89" s="148"/>
      <c r="GD89" s="148"/>
      <c r="GE89" s="148"/>
      <c r="GF89" s="148"/>
      <c r="GG89" s="148"/>
      <c r="GH89" s="148"/>
      <c r="GI89" s="148"/>
      <c r="GJ89" s="148"/>
      <c r="GK89" s="148"/>
      <c r="GL89" s="148"/>
      <c r="GM89" s="148"/>
      <c r="GN89" s="148"/>
      <c r="GO89" s="148"/>
      <c r="GP89" s="148"/>
      <c r="GQ89" s="148"/>
      <c r="GR89" s="148"/>
      <c r="GS89" s="148"/>
      <c r="GT89" s="148"/>
      <c r="GU89" s="148"/>
      <c r="GV89" s="148"/>
      <c r="GW89" s="148"/>
      <c r="GX89" s="148"/>
      <c r="GY89" s="148"/>
      <c r="GZ89" s="148"/>
      <c r="HA89" s="148"/>
      <c r="HB89" s="148"/>
      <c r="HC89" s="148"/>
      <c r="HD89" s="148"/>
      <c r="HE89" s="148"/>
      <c r="HF89" s="148"/>
      <c r="HG89" s="148"/>
      <c r="HH89" s="148"/>
      <c r="HI89" s="148"/>
      <c r="HJ89" s="148"/>
      <c r="HK89" s="148"/>
      <c r="HL89" s="148"/>
      <c r="HM89" s="148"/>
      <c r="HN89" s="148"/>
      <c r="HO89" s="148"/>
      <c r="HP89" s="148"/>
      <c r="HQ89" s="148"/>
      <c r="HR89" s="148"/>
      <c r="HS89" s="148"/>
      <c r="HT89" s="148"/>
      <c r="HU89" s="148"/>
      <c r="HV89" s="148"/>
      <c r="HW89" s="148"/>
      <c r="HX89" s="148"/>
      <c r="HY89" s="148"/>
      <c r="HZ89" s="148"/>
      <c r="IA89" s="148"/>
      <c r="IB89" s="148"/>
      <c r="IC89" s="148"/>
    </row>
    <row r="90" spans="1:237" s="15" customFormat="1" ht="22.5" x14ac:dyDescent="0.25">
      <c r="A90" s="148"/>
      <c r="B90" s="307">
        <v>75</v>
      </c>
      <c r="C90" s="307" t="s">
        <v>38</v>
      </c>
      <c r="D90" s="450">
        <v>30396472</v>
      </c>
      <c r="E90" s="577" t="s">
        <v>2960</v>
      </c>
      <c r="F90" s="577" t="s">
        <v>897</v>
      </c>
      <c r="G90" s="533" t="s">
        <v>1902</v>
      </c>
      <c r="H90" s="553" t="s">
        <v>2961</v>
      </c>
      <c r="I90" s="534" t="s">
        <v>43</v>
      </c>
      <c r="J90" s="535">
        <v>1003995</v>
      </c>
      <c r="K90" s="535">
        <v>0</v>
      </c>
      <c r="L90" s="535">
        <v>817255</v>
      </c>
      <c r="M90" s="535">
        <v>385861</v>
      </c>
      <c r="N90" s="454">
        <v>0</v>
      </c>
      <c r="O90" s="454">
        <v>0</v>
      </c>
      <c r="P90" s="535">
        <v>0</v>
      </c>
      <c r="Q90" s="535">
        <v>0</v>
      </c>
      <c r="R90" s="535">
        <v>0</v>
      </c>
      <c r="S90" s="535">
        <v>0</v>
      </c>
      <c r="T90" s="535"/>
      <c r="U90" s="535"/>
      <c r="V90" s="535"/>
      <c r="W90" s="535"/>
      <c r="X90" s="535"/>
      <c r="Y90" s="535"/>
      <c r="Z90" s="660">
        <f t="shared" si="3"/>
        <v>0</v>
      </c>
      <c r="AA90" s="591">
        <v>10122</v>
      </c>
      <c r="AB90" s="558">
        <v>4</v>
      </c>
      <c r="AC90" s="545">
        <v>44232</v>
      </c>
      <c r="AD90" s="542">
        <v>44252</v>
      </c>
      <c r="AE90" s="454">
        <v>1</v>
      </c>
      <c r="AF90" s="459">
        <v>13</v>
      </c>
      <c r="AG90" s="457">
        <v>44314</v>
      </c>
      <c r="AH90" s="458">
        <v>44340</v>
      </c>
      <c r="AI90" s="454">
        <v>65973</v>
      </c>
      <c r="AJ90" s="456">
        <v>15</v>
      </c>
      <c r="AK90" s="457">
        <v>44333</v>
      </c>
      <c r="AL90" s="458">
        <v>44355</v>
      </c>
      <c r="AM90" s="454"/>
      <c r="AN90" s="456"/>
      <c r="AO90" s="460"/>
      <c r="AP90" s="458"/>
      <c r="AQ90" s="454"/>
      <c r="AR90" s="456"/>
      <c r="AS90" s="460"/>
      <c r="AT90" s="458"/>
      <c r="AU90" s="22">
        <f t="shared" si="0"/>
        <v>76096</v>
      </c>
      <c r="AV90" s="546">
        <f t="shared" si="1"/>
        <v>76096</v>
      </c>
      <c r="AW90" s="148"/>
      <c r="AX90" s="148"/>
      <c r="AY90" s="148"/>
      <c r="AZ90" s="148"/>
      <c r="BA90" s="148"/>
      <c r="BB90" s="148"/>
      <c r="BC90" s="148"/>
      <c r="BD90" s="148"/>
      <c r="BE90" s="148"/>
      <c r="BF90" s="148"/>
      <c r="BG90" s="148"/>
      <c r="BH90" s="148"/>
      <c r="BI90" s="148"/>
      <c r="BJ90" s="148"/>
      <c r="BK90" s="148"/>
      <c r="BL90" s="148"/>
      <c r="BM90" s="148"/>
      <c r="BN90" s="148"/>
      <c r="BO90" s="148"/>
      <c r="BP90" s="148"/>
      <c r="BQ90" s="148"/>
      <c r="BR90" s="148"/>
      <c r="BS90" s="148"/>
      <c r="BT90" s="148"/>
      <c r="BU90" s="148"/>
      <c r="BV90" s="148"/>
      <c r="BW90" s="148"/>
      <c r="BX90" s="148"/>
      <c r="BY90" s="148"/>
      <c r="BZ90" s="148"/>
      <c r="CA90" s="148"/>
      <c r="CB90" s="148"/>
      <c r="CC90" s="148"/>
      <c r="CD90" s="148"/>
      <c r="CE90" s="148"/>
      <c r="CF90" s="148"/>
      <c r="CG90" s="148"/>
      <c r="CH90" s="148"/>
      <c r="CI90" s="148"/>
      <c r="CJ90" s="148"/>
      <c r="CK90" s="148"/>
      <c r="CL90" s="148"/>
      <c r="CM90" s="148"/>
      <c r="CN90" s="148"/>
      <c r="CO90" s="148"/>
      <c r="CP90" s="148"/>
      <c r="CQ90" s="148"/>
      <c r="CR90" s="148"/>
      <c r="CS90" s="148"/>
      <c r="CT90" s="148"/>
      <c r="CU90" s="148"/>
      <c r="CV90" s="148"/>
      <c r="CW90" s="148"/>
      <c r="CX90" s="148"/>
      <c r="CY90" s="148"/>
      <c r="CZ90" s="148"/>
      <c r="DA90" s="148"/>
      <c r="DB90" s="148"/>
      <c r="DC90" s="148"/>
      <c r="DD90" s="148"/>
      <c r="DE90" s="148"/>
      <c r="DF90" s="148"/>
      <c r="DG90" s="148"/>
      <c r="DH90" s="148"/>
      <c r="DI90" s="148"/>
      <c r="DJ90" s="148"/>
      <c r="DK90" s="148"/>
      <c r="DL90" s="148"/>
      <c r="DM90" s="148"/>
      <c r="DN90" s="148"/>
      <c r="DO90" s="148"/>
      <c r="DP90" s="148"/>
      <c r="DQ90" s="148"/>
      <c r="DR90" s="148"/>
      <c r="DS90" s="148"/>
      <c r="DT90" s="148"/>
      <c r="DU90" s="148"/>
      <c r="DV90" s="148"/>
      <c r="DW90" s="148"/>
      <c r="DX90" s="148"/>
      <c r="DY90" s="148"/>
      <c r="DZ90" s="148"/>
      <c r="EA90" s="148"/>
      <c r="EB90" s="148"/>
      <c r="EC90" s="148"/>
      <c r="ED90" s="148"/>
      <c r="EE90" s="148"/>
      <c r="EF90" s="148"/>
      <c r="EG90" s="148"/>
      <c r="EH90" s="148"/>
      <c r="EI90" s="148"/>
      <c r="EJ90" s="148"/>
      <c r="EK90" s="148"/>
      <c r="EL90" s="148"/>
      <c r="EM90" s="148"/>
      <c r="EN90" s="148"/>
      <c r="EO90" s="148"/>
      <c r="EP90" s="148"/>
      <c r="EQ90" s="148"/>
      <c r="ER90" s="148"/>
      <c r="ES90" s="148"/>
      <c r="ET90" s="148"/>
      <c r="EU90" s="148"/>
      <c r="EV90" s="148"/>
      <c r="EW90" s="148"/>
      <c r="EX90" s="148"/>
      <c r="EY90" s="148"/>
      <c r="EZ90" s="148"/>
      <c r="FA90" s="148"/>
      <c r="FB90" s="148"/>
      <c r="FC90" s="148"/>
      <c r="FD90" s="148"/>
      <c r="FE90" s="148"/>
      <c r="FF90" s="148"/>
      <c r="FG90" s="148"/>
      <c r="FH90" s="148"/>
      <c r="FI90" s="148"/>
      <c r="FJ90" s="148"/>
      <c r="FK90" s="148"/>
      <c r="FL90" s="148"/>
      <c r="FM90" s="148"/>
      <c r="FN90" s="148"/>
      <c r="FO90" s="148"/>
      <c r="FP90" s="148"/>
      <c r="FQ90" s="148"/>
      <c r="FR90" s="148"/>
      <c r="FS90" s="148"/>
      <c r="FT90" s="148"/>
      <c r="FU90" s="148"/>
      <c r="FV90" s="148"/>
      <c r="FW90" s="148"/>
      <c r="FX90" s="148"/>
      <c r="FY90" s="148"/>
      <c r="FZ90" s="148"/>
      <c r="GA90" s="148"/>
      <c r="GB90" s="148"/>
      <c r="GC90" s="148"/>
      <c r="GD90" s="148"/>
      <c r="GE90" s="148"/>
      <c r="GF90" s="148"/>
      <c r="GG90" s="148"/>
      <c r="GH90" s="148"/>
      <c r="GI90" s="148"/>
      <c r="GJ90" s="148"/>
      <c r="GK90" s="148"/>
      <c r="GL90" s="148"/>
      <c r="GM90" s="148"/>
      <c r="GN90" s="148"/>
      <c r="GO90" s="148"/>
      <c r="GP90" s="148"/>
      <c r="GQ90" s="148"/>
      <c r="GR90" s="148"/>
      <c r="GS90" s="148"/>
      <c r="GT90" s="148"/>
      <c r="GU90" s="148"/>
      <c r="GV90" s="148"/>
      <c r="GW90" s="148"/>
      <c r="GX90" s="148"/>
      <c r="GY90" s="148"/>
      <c r="GZ90" s="148"/>
      <c r="HA90" s="148"/>
      <c r="HB90" s="148"/>
      <c r="HC90" s="148"/>
      <c r="HD90" s="148"/>
      <c r="HE90" s="148"/>
      <c r="HF90" s="148"/>
      <c r="HG90" s="148"/>
      <c r="HH90" s="148"/>
      <c r="HI90" s="148"/>
      <c r="HJ90" s="148"/>
      <c r="HK90" s="148"/>
      <c r="HL90" s="148"/>
      <c r="HM90" s="148"/>
      <c r="HN90" s="148"/>
      <c r="HO90" s="148"/>
      <c r="HP90" s="148"/>
      <c r="HQ90" s="148"/>
      <c r="HR90" s="148"/>
      <c r="HS90" s="148"/>
      <c r="HT90" s="148"/>
      <c r="HU90" s="148"/>
      <c r="HV90" s="148"/>
      <c r="HW90" s="148"/>
      <c r="HX90" s="148"/>
      <c r="HY90" s="148"/>
      <c r="HZ90" s="148"/>
      <c r="IA90" s="148"/>
      <c r="IB90" s="148"/>
      <c r="IC90" s="148"/>
    </row>
    <row r="91" spans="1:237" s="15" customFormat="1" ht="22.5" x14ac:dyDescent="0.25">
      <c r="A91" s="148"/>
      <c r="B91" s="307">
        <v>76</v>
      </c>
      <c r="C91" s="307" t="s">
        <v>38</v>
      </c>
      <c r="D91" s="450">
        <v>30397143</v>
      </c>
      <c r="E91" s="577" t="s">
        <v>2962</v>
      </c>
      <c r="F91" s="577" t="s">
        <v>897</v>
      </c>
      <c r="G91" s="533" t="s">
        <v>1902</v>
      </c>
      <c r="H91" s="553" t="s">
        <v>2932</v>
      </c>
      <c r="I91" s="534" t="s">
        <v>42</v>
      </c>
      <c r="J91" s="535">
        <v>1644754</v>
      </c>
      <c r="K91" s="535">
        <v>1074044</v>
      </c>
      <c r="L91" s="535">
        <v>191157</v>
      </c>
      <c r="M91" s="535">
        <v>0</v>
      </c>
      <c r="N91" s="454">
        <v>0</v>
      </c>
      <c r="O91" s="454">
        <v>0</v>
      </c>
      <c r="P91" s="535">
        <v>0</v>
      </c>
      <c r="Q91" s="535">
        <v>0</v>
      </c>
      <c r="R91" s="535">
        <v>0</v>
      </c>
      <c r="S91" s="535">
        <v>0</v>
      </c>
      <c r="T91" s="535"/>
      <c r="U91" s="535"/>
      <c r="V91" s="535"/>
      <c r="W91" s="535"/>
      <c r="X91" s="535"/>
      <c r="Y91" s="535"/>
      <c r="Z91" s="660">
        <f t="shared" si="3"/>
        <v>0</v>
      </c>
      <c r="AA91" s="591">
        <v>83181</v>
      </c>
      <c r="AB91" s="558">
        <v>4</v>
      </c>
      <c r="AC91" s="545">
        <v>44232</v>
      </c>
      <c r="AD91" s="542">
        <v>44252</v>
      </c>
      <c r="AE91" s="454"/>
      <c r="AF91" s="459"/>
      <c r="AG91" s="460"/>
      <c r="AH91" s="458"/>
      <c r="AI91" s="454"/>
      <c r="AJ91" s="456"/>
      <c r="AK91" s="460"/>
      <c r="AL91" s="458"/>
      <c r="AM91" s="454"/>
      <c r="AN91" s="456"/>
      <c r="AO91" s="460"/>
      <c r="AP91" s="458"/>
      <c r="AQ91" s="454"/>
      <c r="AR91" s="456"/>
      <c r="AS91" s="460"/>
      <c r="AT91" s="458"/>
      <c r="AU91" s="22">
        <f t="shared" si="0"/>
        <v>83181</v>
      </c>
      <c r="AV91" s="546">
        <f t="shared" si="1"/>
        <v>83181</v>
      </c>
      <c r="AW91" s="148"/>
      <c r="AX91" s="148"/>
      <c r="AY91" s="148"/>
      <c r="AZ91" s="148"/>
      <c r="BA91" s="148"/>
      <c r="BB91" s="148"/>
      <c r="BC91" s="148"/>
      <c r="BD91" s="148"/>
      <c r="BE91" s="148"/>
      <c r="BF91" s="148"/>
      <c r="BG91" s="148"/>
      <c r="BH91" s="148"/>
      <c r="BI91" s="148"/>
      <c r="BJ91" s="148"/>
      <c r="BK91" s="148"/>
      <c r="BL91" s="148"/>
      <c r="BM91" s="148"/>
      <c r="BN91" s="148"/>
      <c r="BO91" s="148"/>
      <c r="BP91" s="148"/>
      <c r="BQ91" s="148"/>
      <c r="BR91" s="148"/>
      <c r="BS91" s="148"/>
      <c r="BT91" s="148"/>
      <c r="BU91" s="148"/>
      <c r="BV91" s="148"/>
      <c r="BW91" s="148"/>
      <c r="BX91" s="148"/>
      <c r="BY91" s="148"/>
      <c r="BZ91" s="148"/>
      <c r="CA91" s="148"/>
      <c r="CB91" s="148"/>
      <c r="CC91" s="148"/>
      <c r="CD91" s="148"/>
      <c r="CE91" s="148"/>
      <c r="CF91" s="148"/>
      <c r="CG91" s="148"/>
      <c r="CH91" s="148"/>
      <c r="CI91" s="148"/>
      <c r="CJ91" s="148"/>
      <c r="CK91" s="148"/>
      <c r="CL91" s="148"/>
      <c r="CM91" s="148"/>
      <c r="CN91" s="148"/>
      <c r="CO91" s="148"/>
      <c r="CP91" s="148"/>
      <c r="CQ91" s="148"/>
      <c r="CR91" s="148"/>
      <c r="CS91" s="148"/>
      <c r="CT91" s="148"/>
      <c r="CU91" s="148"/>
      <c r="CV91" s="148"/>
      <c r="CW91" s="148"/>
      <c r="CX91" s="148"/>
      <c r="CY91" s="148"/>
      <c r="CZ91" s="148"/>
      <c r="DA91" s="148"/>
      <c r="DB91" s="148"/>
      <c r="DC91" s="148"/>
      <c r="DD91" s="148"/>
      <c r="DE91" s="148"/>
      <c r="DF91" s="148"/>
      <c r="DG91" s="148"/>
      <c r="DH91" s="148"/>
      <c r="DI91" s="148"/>
      <c r="DJ91" s="148"/>
      <c r="DK91" s="148"/>
      <c r="DL91" s="148"/>
      <c r="DM91" s="148"/>
      <c r="DN91" s="148"/>
      <c r="DO91" s="148"/>
      <c r="DP91" s="148"/>
      <c r="DQ91" s="148"/>
      <c r="DR91" s="148"/>
      <c r="DS91" s="148"/>
      <c r="DT91" s="148"/>
      <c r="DU91" s="148"/>
      <c r="DV91" s="148"/>
      <c r="DW91" s="148"/>
      <c r="DX91" s="148"/>
      <c r="DY91" s="148"/>
      <c r="DZ91" s="148"/>
      <c r="EA91" s="148"/>
      <c r="EB91" s="148"/>
      <c r="EC91" s="148"/>
      <c r="ED91" s="148"/>
      <c r="EE91" s="148"/>
      <c r="EF91" s="148"/>
      <c r="EG91" s="148"/>
      <c r="EH91" s="148"/>
      <c r="EI91" s="148"/>
      <c r="EJ91" s="148"/>
      <c r="EK91" s="148"/>
      <c r="EL91" s="148"/>
      <c r="EM91" s="148"/>
      <c r="EN91" s="148"/>
      <c r="EO91" s="148"/>
      <c r="EP91" s="148"/>
      <c r="EQ91" s="148"/>
      <c r="ER91" s="148"/>
      <c r="ES91" s="148"/>
      <c r="ET91" s="148"/>
      <c r="EU91" s="148"/>
      <c r="EV91" s="148"/>
      <c r="EW91" s="148"/>
      <c r="EX91" s="148"/>
      <c r="EY91" s="148"/>
      <c r="EZ91" s="148"/>
      <c r="FA91" s="148"/>
      <c r="FB91" s="148"/>
      <c r="FC91" s="148"/>
      <c r="FD91" s="148"/>
      <c r="FE91" s="148"/>
      <c r="FF91" s="148"/>
      <c r="FG91" s="148"/>
      <c r="FH91" s="148"/>
      <c r="FI91" s="148"/>
      <c r="FJ91" s="148"/>
      <c r="FK91" s="148"/>
      <c r="FL91" s="148"/>
      <c r="FM91" s="148"/>
      <c r="FN91" s="148"/>
      <c r="FO91" s="148"/>
      <c r="FP91" s="148"/>
      <c r="FQ91" s="148"/>
      <c r="FR91" s="148"/>
      <c r="FS91" s="148"/>
      <c r="FT91" s="148"/>
      <c r="FU91" s="148"/>
      <c r="FV91" s="148"/>
      <c r="FW91" s="148"/>
      <c r="FX91" s="148"/>
      <c r="FY91" s="148"/>
      <c r="FZ91" s="148"/>
      <c r="GA91" s="148"/>
      <c r="GB91" s="148"/>
      <c r="GC91" s="148"/>
      <c r="GD91" s="148"/>
      <c r="GE91" s="148"/>
      <c r="GF91" s="148"/>
      <c r="GG91" s="148"/>
      <c r="GH91" s="148"/>
      <c r="GI91" s="148"/>
      <c r="GJ91" s="148"/>
      <c r="GK91" s="148"/>
      <c r="GL91" s="148"/>
      <c r="GM91" s="148"/>
      <c r="GN91" s="148"/>
      <c r="GO91" s="148"/>
      <c r="GP91" s="148"/>
      <c r="GQ91" s="148"/>
      <c r="GR91" s="148"/>
      <c r="GS91" s="148"/>
      <c r="GT91" s="148"/>
      <c r="GU91" s="148"/>
      <c r="GV91" s="148"/>
      <c r="GW91" s="148"/>
      <c r="GX91" s="148"/>
      <c r="GY91" s="148"/>
      <c r="GZ91" s="148"/>
      <c r="HA91" s="148"/>
      <c r="HB91" s="148"/>
      <c r="HC91" s="148"/>
      <c r="HD91" s="148"/>
      <c r="HE91" s="148"/>
      <c r="HF91" s="148"/>
      <c r="HG91" s="148"/>
      <c r="HH91" s="148"/>
      <c r="HI91" s="148"/>
      <c r="HJ91" s="148"/>
      <c r="HK91" s="148"/>
      <c r="HL91" s="148"/>
      <c r="HM91" s="148"/>
      <c r="HN91" s="148"/>
      <c r="HO91" s="148"/>
      <c r="HP91" s="148"/>
      <c r="HQ91" s="148"/>
      <c r="HR91" s="148"/>
      <c r="HS91" s="148"/>
      <c r="HT91" s="148"/>
      <c r="HU91" s="148"/>
      <c r="HV91" s="148"/>
      <c r="HW91" s="148"/>
      <c r="HX91" s="148"/>
      <c r="HY91" s="148"/>
      <c r="HZ91" s="148"/>
      <c r="IA91" s="148"/>
      <c r="IB91" s="148"/>
      <c r="IC91" s="148"/>
    </row>
    <row r="92" spans="1:237" s="15" customFormat="1" ht="22.5" x14ac:dyDescent="0.25">
      <c r="A92" s="148"/>
      <c r="B92" s="307">
        <v>77</v>
      </c>
      <c r="C92" s="307" t="s">
        <v>38</v>
      </c>
      <c r="D92" s="450">
        <v>30485089</v>
      </c>
      <c r="E92" s="577" t="s">
        <v>2963</v>
      </c>
      <c r="F92" s="577" t="s">
        <v>204</v>
      </c>
      <c r="G92" s="533" t="s">
        <v>1902</v>
      </c>
      <c r="H92" s="553" t="s">
        <v>2930</v>
      </c>
      <c r="I92" s="534" t="s">
        <v>42</v>
      </c>
      <c r="J92" s="535">
        <v>19768</v>
      </c>
      <c r="K92" s="535">
        <v>13687</v>
      </c>
      <c r="L92" s="535">
        <v>3079</v>
      </c>
      <c r="M92" s="535">
        <v>0</v>
      </c>
      <c r="N92" s="454">
        <v>0</v>
      </c>
      <c r="O92" s="454">
        <v>0</v>
      </c>
      <c r="P92" s="535">
        <v>0</v>
      </c>
      <c r="Q92" s="535">
        <v>0</v>
      </c>
      <c r="R92" s="535">
        <v>0</v>
      </c>
      <c r="S92" s="535">
        <v>0</v>
      </c>
      <c r="T92" s="535"/>
      <c r="U92" s="535"/>
      <c r="V92" s="535"/>
      <c r="W92" s="535"/>
      <c r="X92" s="535"/>
      <c r="Y92" s="535"/>
      <c r="Z92" s="660">
        <f t="shared" si="3"/>
        <v>0</v>
      </c>
      <c r="AA92" s="591">
        <v>6080</v>
      </c>
      <c r="AB92" s="558">
        <v>4</v>
      </c>
      <c r="AC92" s="545">
        <v>44232</v>
      </c>
      <c r="AD92" s="542">
        <v>44252</v>
      </c>
      <c r="AE92" s="454"/>
      <c r="AF92" s="459"/>
      <c r="AG92" s="460"/>
      <c r="AH92" s="458"/>
      <c r="AI92" s="454"/>
      <c r="AJ92" s="456"/>
      <c r="AK92" s="460"/>
      <c r="AL92" s="458"/>
      <c r="AM92" s="454"/>
      <c r="AN92" s="456"/>
      <c r="AO92" s="460"/>
      <c r="AP92" s="458"/>
      <c r="AQ92" s="454"/>
      <c r="AR92" s="456"/>
      <c r="AS92" s="460"/>
      <c r="AT92" s="458"/>
      <c r="AU92" s="22">
        <f t="shared" si="0"/>
        <v>6080</v>
      </c>
      <c r="AV92" s="546">
        <f t="shared" si="1"/>
        <v>6080</v>
      </c>
      <c r="AW92" s="148"/>
      <c r="AX92" s="148"/>
      <c r="AY92" s="148"/>
      <c r="AZ92" s="148"/>
      <c r="BA92" s="148"/>
      <c r="BB92" s="148"/>
      <c r="BC92" s="148"/>
      <c r="BD92" s="148"/>
      <c r="BE92" s="148"/>
      <c r="BF92" s="148"/>
      <c r="BG92" s="148"/>
      <c r="BH92" s="148"/>
      <c r="BI92" s="148"/>
      <c r="BJ92" s="148"/>
      <c r="BK92" s="148"/>
      <c r="BL92" s="148"/>
      <c r="BM92" s="148"/>
      <c r="BN92" s="148"/>
      <c r="BO92" s="148"/>
      <c r="BP92" s="148"/>
      <c r="BQ92" s="148"/>
      <c r="BR92" s="148"/>
      <c r="BS92" s="148"/>
      <c r="BT92" s="148"/>
      <c r="BU92" s="148"/>
      <c r="BV92" s="148"/>
      <c r="BW92" s="148"/>
      <c r="BX92" s="148"/>
      <c r="BY92" s="148"/>
      <c r="BZ92" s="148"/>
      <c r="CA92" s="148"/>
      <c r="CB92" s="148"/>
      <c r="CC92" s="148"/>
      <c r="CD92" s="148"/>
      <c r="CE92" s="148"/>
      <c r="CF92" s="148"/>
      <c r="CG92" s="148"/>
      <c r="CH92" s="148"/>
      <c r="CI92" s="148"/>
      <c r="CJ92" s="148"/>
      <c r="CK92" s="148"/>
      <c r="CL92" s="148"/>
      <c r="CM92" s="148"/>
      <c r="CN92" s="148"/>
      <c r="CO92" s="148"/>
      <c r="CP92" s="148"/>
      <c r="CQ92" s="148"/>
      <c r="CR92" s="148"/>
      <c r="CS92" s="148"/>
      <c r="CT92" s="148"/>
      <c r="CU92" s="148"/>
      <c r="CV92" s="148"/>
      <c r="CW92" s="148"/>
      <c r="CX92" s="148"/>
      <c r="CY92" s="148"/>
      <c r="CZ92" s="148"/>
      <c r="DA92" s="148"/>
      <c r="DB92" s="148"/>
      <c r="DC92" s="148"/>
      <c r="DD92" s="148"/>
      <c r="DE92" s="148"/>
      <c r="DF92" s="148"/>
      <c r="DG92" s="148"/>
      <c r="DH92" s="148"/>
      <c r="DI92" s="148"/>
      <c r="DJ92" s="148"/>
      <c r="DK92" s="148"/>
      <c r="DL92" s="148"/>
      <c r="DM92" s="148"/>
      <c r="DN92" s="148"/>
      <c r="DO92" s="148"/>
      <c r="DP92" s="148"/>
      <c r="DQ92" s="148"/>
      <c r="DR92" s="148"/>
      <c r="DS92" s="148"/>
      <c r="DT92" s="148"/>
      <c r="DU92" s="148"/>
      <c r="DV92" s="148"/>
      <c r="DW92" s="148"/>
      <c r="DX92" s="148"/>
      <c r="DY92" s="148"/>
      <c r="DZ92" s="148"/>
      <c r="EA92" s="148"/>
      <c r="EB92" s="148"/>
      <c r="EC92" s="148"/>
      <c r="ED92" s="148"/>
      <c r="EE92" s="148"/>
      <c r="EF92" s="148"/>
      <c r="EG92" s="148"/>
      <c r="EH92" s="148"/>
      <c r="EI92" s="148"/>
      <c r="EJ92" s="148"/>
      <c r="EK92" s="148"/>
      <c r="EL92" s="148"/>
      <c r="EM92" s="148"/>
      <c r="EN92" s="148"/>
      <c r="EO92" s="148"/>
      <c r="EP92" s="148"/>
      <c r="EQ92" s="148"/>
      <c r="ER92" s="148"/>
      <c r="ES92" s="148"/>
      <c r="ET92" s="148"/>
      <c r="EU92" s="148"/>
      <c r="EV92" s="148"/>
      <c r="EW92" s="148"/>
      <c r="EX92" s="148"/>
      <c r="EY92" s="148"/>
      <c r="EZ92" s="148"/>
      <c r="FA92" s="148"/>
      <c r="FB92" s="148"/>
      <c r="FC92" s="148"/>
      <c r="FD92" s="148"/>
      <c r="FE92" s="148"/>
      <c r="FF92" s="148"/>
      <c r="FG92" s="148"/>
      <c r="FH92" s="148"/>
      <c r="FI92" s="148"/>
      <c r="FJ92" s="148"/>
      <c r="FK92" s="148"/>
      <c r="FL92" s="148"/>
      <c r="FM92" s="148"/>
      <c r="FN92" s="148"/>
      <c r="FO92" s="148"/>
      <c r="FP92" s="148"/>
      <c r="FQ92" s="148"/>
      <c r="FR92" s="148"/>
      <c r="FS92" s="148"/>
      <c r="FT92" s="148"/>
      <c r="FU92" s="148"/>
      <c r="FV92" s="148"/>
      <c r="FW92" s="148"/>
      <c r="FX92" s="148"/>
      <c r="FY92" s="148"/>
      <c r="FZ92" s="148"/>
      <c r="GA92" s="148"/>
      <c r="GB92" s="148"/>
      <c r="GC92" s="148"/>
      <c r="GD92" s="148"/>
      <c r="GE92" s="148"/>
      <c r="GF92" s="148"/>
      <c r="GG92" s="148"/>
      <c r="GH92" s="148"/>
      <c r="GI92" s="148"/>
      <c r="GJ92" s="148"/>
      <c r="GK92" s="148"/>
      <c r="GL92" s="148"/>
      <c r="GM92" s="148"/>
      <c r="GN92" s="148"/>
      <c r="GO92" s="148"/>
      <c r="GP92" s="148"/>
      <c r="GQ92" s="148"/>
      <c r="GR92" s="148"/>
      <c r="GS92" s="148"/>
      <c r="GT92" s="148"/>
      <c r="GU92" s="148"/>
      <c r="GV92" s="148"/>
      <c r="GW92" s="148"/>
      <c r="GX92" s="148"/>
      <c r="GY92" s="148"/>
      <c r="GZ92" s="148"/>
      <c r="HA92" s="148"/>
      <c r="HB92" s="148"/>
      <c r="HC92" s="148"/>
      <c r="HD92" s="148"/>
      <c r="HE92" s="148"/>
      <c r="HF92" s="148"/>
      <c r="HG92" s="148"/>
      <c r="HH92" s="148"/>
      <c r="HI92" s="148"/>
      <c r="HJ92" s="148"/>
      <c r="HK92" s="148"/>
      <c r="HL92" s="148"/>
      <c r="HM92" s="148"/>
      <c r="HN92" s="148"/>
      <c r="HO92" s="148"/>
      <c r="HP92" s="148"/>
      <c r="HQ92" s="148"/>
      <c r="HR92" s="148"/>
      <c r="HS92" s="148"/>
      <c r="HT92" s="148"/>
      <c r="HU92" s="148"/>
      <c r="HV92" s="148"/>
      <c r="HW92" s="148"/>
      <c r="HX92" s="148"/>
      <c r="HY92" s="148"/>
      <c r="HZ92" s="148"/>
      <c r="IA92" s="148"/>
      <c r="IB92" s="148"/>
      <c r="IC92" s="148"/>
    </row>
    <row r="93" spans="1:237" s="15" customFormat="1" ht="22.5" x14ac:dyDescent="0.25">
      <c r="A93" s="148"/>
      <c r="B93" s="307">
        <v>67</v>
      </c>
      <c r="C93" s="307" t="s">
        <v>38</v>
      </c>
      <c r="D93" s="450">
        <v>40006830</v>
      </c>
      <c r="E93" s="577" t="s">
        <v>2964</v>
      </c>
      <c r="F93" s="577" t="s">
        <v>897</v>
      </c>
      <c r="G93" s="533" t="s">
        <v>1902</v>
      </c>
      <c r="H93" s="553" t="s">
        <v>2850</v>
      </c>
      <c r="I93" s="534" t="s">
        <v>42</v>
      </c>
      <c r="J93" s="535">
        <v>139481</v>
      </c>
      <c r="K93" s="535">
        <v>0</v>
      </c>
      <c r="L93" s="535">
        <v>132956</v>
      </c>
      <c r="M93" s="535">
        <v>0</v>
      </c>
      <c r="N93" s="454">
        <v>0</v>
      </c>
      <c r="O93" s="454">
        <v>0</v>
      </c>
      <c r="P93" s="535">
        <v>0</v>
      </c>
      <c r="Q93" s="535">
        <v>0</v>
      </c>
      <c r="R93" s="535">
        <v>0</v>
      </c>
      <c r="S93" s="535">
        <v>0</v>
      </c>
      <c r="T93" s="535"/>
      <c r="U93" s="535"/>
      <c r="V93" s="535"/>
      <c r="W93" s="535"/>
      <c r="X93" s="535"/>
      <c r="Y93" s="535"/>
      <c r="Z93" s="660">
        <f t="shared" si="3"/>
        <v>0</v>
      </c>
      <c r="AA93" s="554">
        <v>1</v>
      </c>
      <c r="AB93" s="558">
        <v>3</v>
      </c>
      <c r="AC93" s="545">
        <v>44210</v>
      </c>
      <c r="AD93" s="542">
        <v>44237</v>
      </c>
      <c r="AE93" s="454">
        <v>118505</v>
      </c>
      <c r="AF93" s="459">
        <v>11</v>
      </c>
      <c r="AG93" s="457">
        <v>44307</v>
      </c>
      <c r="AH93" s="458">
        <v>44328</v>
      </c>
      <c r="AI93" s="454"/>
      <c r="AJ93" s="456"/>
      <c r="AK93" s="460"/>
      <c r="AL93" s="458"/>
      <c r="AM93" s="454"/>
      <c r="AN93" s="456"/>
      <c r="AO93" s="460"/>
      <c r="AP93" s="458"/>
      <c r="AQ93" s="454"/>
      <c r="AR93" s="456"/>
      <c r="AS93" s="460"/>
      <c r="AT93" s="458"/>
      <c r="AU93" s="22">
        <f t="shared" si="0"/>
        <v>118506</v>
      </c>
      <c r="AV93" s="546">
        <f t="shared" si="1"/>
        <v>118506</v>
      </c>
      <c r="AW93" s="148"/>
      <c r="AX93" s="148"/>
      <c r="AY93" s="148"/>
      <c r="AZ93" s="148"/>
      <c r="BA93" s="148"/>
      <c r="BB93" s="148"/>
      <c r="BC93" s="148"/>
      <c r="BD93" s="148"/>
      <c r="BE93" s="148"/>
      <c r="BF93" s="148"/>
      <c r="BG93" s="148"/>
      <c r="BH93" s="148"/>
      <c r="BI93" s="148"/>
      <c r="BJ93" s="148"/>
      <c r="BK93" s="148"/>
      <c r="BL93" s="148"/>
      <c r="BM93" s="148"/>
      <c r="BN93" s="148"/>
      <c r="BO93" s="148"/>
      <c r="BP93" s="148"/>
      <c r="BQ93" s="148"/>
      <c r="BR93" s="148"/>
      <c r="BS93" s="148"/>
      <c r="BT93" s="148"/>
      <c r="BU93" s="148"/>
      <c r="BV93" s="148"/>
      <c r="BW93" s="148"/>
      <c r="BX93" s="148"/>
      <c r="BY93" s="148"/>
      <c r="BZ93" s="148"/>
      <c r="CA93" s="148"/>
      <c r="CB93" s="148"/>
      <c r="CC93" s="148"/>
      <c r="CD93" s="148"/>
      <c r="CE93" s="148"/>
      <c r="CF93" s="148"/>
      <c r="CG93" s="148"/>
      <c r="CH93" s="148"/>
      <c r="CI93" s="148"/>
      <c r="CJ93" s="148"/>
      <c r="CK93" s="148"/>
      <c r="CL93" s="148"/>
      <c r="CM93" s="148"/>
      <c r="CN93" s="148"/>
      <c r="CO93" s="148"/>
      <c r="CP93" s="148"/>
      <c r="CQ93" s="148"/>
      <c r="CR93" s="148"/>
      <c r="CS93" s="148"/>
      <c r="CT93" s="148"/>
      <c r="CU93" s="148"/>
      <c r="CV93" s="148"/>
      <c r="CW93" s="148"/>
      <c r="CX93" s="148"/>
      <c r="CY93" s="148"/>
      <c r="CZ93" s="148"/>
      <c r="DA93" s="148"/>
      <c r="DB93" s="148"/>
      <c r="DC93" s="148"/>
      <c r="DD93" s="148"/>
      <c r="DE93" s="148"/>
      <c r="DF93" s="148"/>
      <c r="DG93" s="148"/>
      <c r="DH93" s="148"/>
      <c r="DI93" s="148"/>
      <c r="DJ93" s="148"/>
      <c r="DK93" s="148"/>
      <c r="DL93" s="148"/>
      <c r="DM93" s="148"/>
      <c r="DN93" s="148"/>
      <c r="DO93" s="148"/>
      <c r="DP93" s="148"/>
      <c r="DQ93" s="148"/>
      <c r="DR93" s="148"/>
      <c r="DS93" s="148"/>
      <c r="DT93" s="148"/>
      <c r="DU93" s="148"/>
      <c r="DV93" s="148"/>
      <c r="DW93" s="148"/>
      <c r="DX93" s="148"/>
      <c r="DY93" s="148"/>
      <c r="DZ93" s="148"/>
      <c r="EA93" s="148"/>
      <c r="EB93" s="148"/>
      <c r="EC93" s="148"/>
      <c r="ED93" s="148"/>
      <c r="EE93" s="148"/>
      <c r="EF93" s="148"/>
      <c r="EG93" s="148"/>
      <c r="EH93" s="148"/>
      <c r="EI93" s="148"/>
      <c r="EJ93" s="148"/>
      <c r="EK93" s="148"/>
      <c r="EL93" s="148"/>
      <c r="EM93" s="148"/>
      <c r="EN93" s="148"/>
      <c r="EO93" s="148"/>
      <c r="EP93" s="148"/>
      <c r="EQ93" s="148"/>
      <c r="ER93" s="148"/>
      <c r="ES93" s="148"/>
      <c r="ET93" s="148"/>
      <c r="EU93" s="148"/>
      <c r="EV93" s="148"/>
      <c r="EW93" s="148"/>
      <c r="EX93" s="148"/>
      <c r="EY93" s="148"/>
      <c r="EZ93" s="148"/>
      <c r="FA93" s="148"/>
      <c r="FB93" s="148"/>
      <c r="FC93" s="148"/>
      <c r="FD93" s="148"/>
      <c r="FE93" s="148"/>
      <c r="FF93" s="148"/>
      <c r="FG93" s="148"/>
      <c r="FH93" s="148"/>
      <c r="FI93" s="148"/>
      <c r="FJ93" s="148"/>
      <c r="FK93" s="148"/>
      <c r="FL93" s="148"/>
      <c r="FM93" s="148"/>
      <c r="FN93" s="148"/>
      <c r="FO93" s="148"/>
      <c r="FP93" s="148"/>
      <c r="FQ93" s="148"/>
      <c r="FR93" s="148"/>
      <c r="FS93" s="148"/>
      <c r="FT93" s="148"/>
      <c r="FU93" s="148"/>
      <c r="FV93" s="148"/>
      <c r="FW93" s="148"/>
      <c r="FX93" s="148"/>
      <c r="FY93" s="148"/>
      <c r="FZ93" s="148"/>
      <c r="GA93" s="148"/>
      <c r="GB93" s="148"/>
      <c r="GC93" s="148"/>
      <c r="GD93" s="148"/>
      <c r="GE93" s="148"/>
      <c r="GF93" s="148"/>
      <c r="GG93" s="148"/>
      <c r="GH93" s="148"/>
      <c r="GI93" s="148"/>
      <c r="GJ93" s="148"/>
      <c r="GK93" s="148"/>
      <c r="GL93" s="148"/>
      <c r="GM93" s="148"/>
      <c r="GN93" s="148"/>
      <c r="GO93" s="148"/>
      <c r="GP93" s="148"/>
      <c r="GQ93" s="148"/>
      <c r="GR93" s="148"/>
      <c r="GS93" s="148"/>
      <c r="GT93" s="148"/>
      <c r="GU93" s="148"/>
      <c r="GV93" s="148"/>
      <c r="GW93" s="148"/>
      <c r="GX93" s="148"/>
      <c r="GY93" s="148"/>
      <c r="GZ93" s="148"/>
      <c r="HA93" s="148"/>
      <c r="HB93" s="148"/>
      <c r="HC93" s="148"/>
      <c r="HD93" s="148"/>
      <c r="HE93" s="148"/>
      <c r="HF93" s="148"/>
      <c r="HG93" s="148"/>
      <c r="HH93" s="148"/>
      <c r="HI93" s="148"/>
      <c r="HJ93" s="148"/>
      <c r="HK93" s="148"/>
      <c r="HL93" s="148"/>
      <c r="HM93" s="148"/>
      <c r="HN93" s="148"/>
      <c r="HO93" s="148"/>
      <c r="HP93" s="148"/>
      <c r="HQ93" s="148"/>
      <c r="HR93" s="148"/>
      <c r="HS93" s="148"/>
      <c r="HT93" s="148"/>
      <c r="HU93" s="148"/>
      <c r="HV93" s="148"/>
      <c r="HW93" s="148"/>
      <c r="HX93" s="148"/>
      <c r="HY93" s="148"/>
      <c r="HZ93" s="148"/>
      <c r="IA93" s="148"/>
      <c r="IB93" s="148"/>
      <c r="IC93" s="148"/>
    </row>
    <row r="94" spans="1:237" s="15" customFormat="1" ht="22.5" x14ac:dyDescent="0.25">
      <c r="A94" s="148"/>
      <c r="B94" s="307">
        <v>79</v>
      </c>
      <c r="C94" s="307" t="s">
        <v>38</v>
      </c>
      <c r="D94" s="450">
        <v>40009195</v>
      </c>
      <c r="E94" s="577" t="s">
        <v>2965</v>
      </c>
      <c r="F94" s="577" t="s">
        <v>897</v>
      </c>
      <c r="G94" s="533" t="s">
        <v>1902</v>
      </c>
      <c r="H94" s="553" t="s">
        <v>2948</v>
      </c>
      <c r="I94" s="534" t="s">
        <v>43</v>
      </c>
      <c r="J94" s="535">
        <v>630924</v>
      </c>
      <c r="K94" s="535">
        <v>1080</v>
      </c>
      <c r="L94" s="535">
        <v>615958</v>
      </c>
      <c r="M94" s="535">
        <v>44660</v>
      </c>
      <c r="N94" s="454">
        <v>0</v>
      </c>
      <c r="O94" s="454">
        <v>0</v>
      </c>
      <c r="P94" s="535">
        <v>0</v>
      </c>
      <c r="Q94" s="535">
        <v>0</v>
      </c>
      <c r="R94" s="535">
        <v>0</v>
      </c>
      <c r="S94" s="535">
        <f>329087893/1000</f>
        <v>329087.89299999998</v>
      </c>
      <c r="T94" s="535"/>
      <c r="U94" s="535"/>
      <c r="V94" s="535"/>
      <c r="W94" s="535"/>
      <c r="X94" s="535"/>
      <c r="Y94" s="535"/>
      <c r="Z94" s="660">
        <f t="shared" si="3"/>
        <v>329087.89299999998</v>
      </c>
      <c r="AA94" s="591">
        <v>1080</v>
      </c>
      <c r="AB94" s="558">
        <v>4</v>
      </c>
      <c r="AC94" s="545">
        <v>44232</v>
      </c>
      <c r="AD94" s="542">
        <v>44252</v>
      </c>
      <c r="AE94" s="454">
        <v>585183</v>
      </c>
      <c r="AF94" s="459">
        <v>7</v>
      </c>
      <c r="AG94" s="457">
        <v>44260</v>
      </c>
      <c r="AH94" s="458">
        <v>44287</v>
      </c>
      <c r="AI94" s="454"/>
      <c r="AJ94" s="456"/>
      <c r="AK94" s="460"/>
      <c r="AL94" s="458"/>
      <c r="AM94" s="454"/>
      <c r="AN94" s="456"/>
      <c r="AO94" s="460"/>
      <c r="AP94" s="458"/>
      <c r="AQ94" s="454"/>
      <c r="AR94" s="456"/>
      <c r="AS94" s="460"/>
      <c r="AT94" s="458"/>
      <c r="AU94" s="22">
        <f t="shared" si="0"/>
        <v>586263</v>
      </c>
      <c r="AV94" s="546">
        <f t="shared" si="1"/>
        <v>257175.10700000002</v>
      </c>
      <c r="AW94" s="148"/>
      <c r="AX94" s="148"/>
      <c r="AY94" s="148"/>
      <c r="AZ94" s="148"/>
      <c r="BA94" s="148"/>
      <c r="BB94" s="148"/>
      <c r="BC94" s="148"/>
      <c r="BD94" s="148"/>
      <c r="BE94" s="148"/>
      <c r="BF94" s="148"/>
      <c r="BG94" s="148"/>
      <c r="BH94" s="148"/>
      <c r="BI94" s="148"/>
      <c r="BJ94" s="148"/>
      <c r="BK94" s="148"/>
      <c r="BL94" s="148"/>
      <c r="BM94" s="148"/>
      <c r="BN94" s="148"/>
      <c r="BO94" s="148"/>
      <c r="BP94" s="148"/>
      <c r="BQ94" s="148"/>
      <c r="BR94" s="148"/>
      <c r="BS94" s="148"/>
      <c r="BT94" s="148"/>
      <c r="BU94" s="148"/>
      <c r="BV94" s="148"/>
      <c r="BW94" s="148"/>
      <c r="BX94" s="148"/>
      <c r="BY94" s="148"/>
      <c r="BZ94" s="148"/>
      <c r="CA94" s="148"/>
      <c r="CB94" s="148"/>
      <c r="CC94" s="148"/>
      <c r="CD94" s="148"/>
      <c r="CE94" s="148"/>
      <c r="CF94" s="148"/>
      <c r="CG94" s="148"/>
      <c r="CH94" s="148"/>
      <c r="CI94" s="148"/>
      <c r="CJ94" s="148"/>
      <c r="CK94" s="148"/>
      <c r="CL94" s="148"/>
      <c r="CM94" s="148"/>
      <c r="CN94" s="148"/>
      <c r="CO94" s="148"/>
      <c r="CP94" s="148"/>
      <c r="CQ94" s="148"/>
      <c r="CR94" s="148"/>
      <c r="CS94" s="148"/>
      <c r="CT94" s="148"/>
      <c r="CU94" s="148"/>
      <c r="CV94" s="148"/>
      <c r="CW94" s="148"/>
      <c r="CX94" s="148"/>
      <c r="CY94" s="148"/>
      <c r="CZ94" s="148"/>
      <c r="DA94" s="148"/>
      <c r="DB94" s="148"/>
      <c r="DC94" s="148"/>
      <c r="DD94" s="148"/>
      <c r="DE94" s="148"/>
      <c r="DF94" s="148"/>
      <c r="DG94" s="148"/>
      <c r="DH94" s="148"/>
      <c r="DI94" s="148"/>
      <c r="DJ94" s="148"/>
      <c r="DK94" s="148"/>
      <c r="DL94" s="148"/>
      <c r="DM94" s="148"/>
      <c r="DN94" s="148"/>
      <c r="DO94" s="148"/>
      <c r="DP94" s="148"/>
      <c r="DQ94" s="148"/>
      <c r="DR94" s="148"/>
      <c r="DS94" s="148"/>
      <c r="DT94" s="148"/>
      <c r="DU94" s="148"/>
      <c r="DV94" s="148"/>
      <c r="DW94" s="148"/>
      <c r="DX94" s="148"/>
      <c r="DY94" s="148"/>
      <c r="DZ94" s="148"/>
      <c r="EA94" s="148"/>
      <c r="EB94" s="148"/>
      <c r="EC94" s="148"/>
      <c r="ED94" s="148"/>
      <c r="EE94" s="148"/>
      <c r="EF94" s="148"/>
      <c r="EG94" s="148"/>
      <c r="EH94" s="148"/>
      <c r="EI94" s="148"/>
      <c r="EJ94" s="148"/>
      <c r="EK94" s="148"/>
      <c r="EL94" s="148"/>
      <c r="EM94" s="148"/>
      <c r="EN94" s="148"/>
      <c r="EO94" s="148"/>
      <c r="EP94" s="148"/>
      <c r="EQ94" s="148"/>
      <c r="ER94" s="148"/>
      <c r="ES94" s="148"/>
      <c r="ET94" s="148"/>
      <c r="EU94" s="148"/>
      <c r="EV94" s="148"/>
      <c r="EW94" s="148"/>
      <c r="EX94" s="148"/>
      <c r="EY94" s="148"/>
      <c r="EZ94" s="148"/>
      <c r="FA94" s="148"/>
      <c r="FB94" s="148"/>
      <c r="FC94" s="148"/>
      <c r="FD94" s="148"/>
      <c r="FE94" s="148"/>
      <c r="FF94" s="148"/>
      <c r="FG94" s="148"/>
      <c r="FH94" s="148"/>
      <c r="FI94" s="148"/>
      <c r="FJ94" s="148"/>
      <c r="FK94" s="148"/>
      <c r="FL94" s="148"/>
      <c r="FM94" s="148"/>
      <c r="FN94" s="148"/>
      <c r="FO94" s="148"/>
      <c r="FP94" s="148"/>
      <c r="FQ94" s="148"/>
      <c r="FR94" s="148"/>
      <c r="FS94" s="148"/>
      <c r="FT94" s="148"/>
      <c r="FU94" s="148"/>
      <c r="FV94" s="148"/>
      <c r="FW94" s="148"/>
      <c r="FX94" s="148"/>
      <c r="FY94" s="148"/>
      <c r="FZ94" s="148"/>
      <c r="GA94" s="148"/>
      <c r="GB94" s="148"/>
      <c r="GC94" s="148"/>
      <c r="GD94" s="148"/>
      <c r="GE94" s="148"/>
      <c r="GF94" s="148"/>
      <c r="GG94" s="148"/>
      <c r="GH94" s="148"/>
      <c r="GI94" s="148"/>
      <c r="GJ94" s="148"/>
      <c r="GK94" s="148"/>
      <c r="GL94" s="148"/>
      <c r="GM94" s="148"/>
      <c r="GN94" s="148"/>
      <c r="GO94" s="148"/>
      <c r="GP94" s="148"/>
      <c r="GQ94" s="148"/>
      <c r="GR94" s="148"/>
      <c r="GS94" s="148"/>
      <c r="GT94" s="148"/>
      <c r="GU94" s="148"/>
      <c r="GV94" s="148"/>
      <c r="GW94" s="148"/>
      <c r="GX94" s="148"/>
      <c r="GY94" s="148"/>
      <c r="GZ94" s="148"/>
      <c r="HA94" s="148"/>
      <c r="HB94" s="148"/>
      <c r="HC94" s="148"/>
      <c r="HD94" s="148"/>
      <c r="HE94" s="148"/>
      <c r="HF94" s="148"/>
      <c r="HG94" s="148"/>
      <c r="HH94" s="148"/>
      <c r="HI94" s="148"/>
      <c r="HJ94" s="148"/>
      <c r="HK94" s="148"/>
      <c r="HL94" s="148"/>
      <c r="HM94" s="148"/>
      <c r="HN94" s="148"/>
      <c r="HO94" s="148"/>
      <c r="HP94" s="148"/>
      <c r="HQ94" s="148"/>
      <c r="HR94" s="148"/>
      <c r="HS94" s="148"/>
      <c r="HT94" s="148"/>
      <c r="HU94" s="148"/>
      <c r="HV94" s="148"/>
      <c r="HW94" s="148"/>
      <c r="HX94" s="148"/>
      <c r="HY94" s="148"/>
      <c r="HZ94" s="148"/>
      <c r="IA94" s="148"/>
      <c r="IB94" s="148"/>
      <c r="IC94" s="148"/>
    </row>
    <row r="95" spans="1:237" s="15" customFormat="1" ht="22.5" x14ac:dyDescent="0.25">
      <c r="A95" s="148"/>
      <c r="B95" s="307">
        <v>80</v>
      </c>
      <c r="C95" s="307" t="s">
        <v>38</v>
      </c>
      <c r="D95" s="450">
        <v>40015372</v>
      </c>
      <c r="E95" s="577" t="s">
        <v>2966</v>
      </c>
      <c r="F95" s="577" t="s">
        <v>897</v>
      </c>
      <c r="G95" s="533" t="s">
        <v>1902</v>
      </c>
      <c r="H95" s="553" t="s">
        <v>2860</v>
      </c>
      <c r="I95" s="534" t="s">
        <v>43</v>
      </c>
      <c r="J95" s="535">
        <v>1207428</v>
      </c>
      <c r="K95" s="535">
        <v>0</v>
      </c>
      <c r="L95" s="535">
        <v>1157669</v>
      </c>
      <c r="M95" s="535">
        <v>641019</v>
      </c>
      <c r="N95" s="454">
        <v>0</v>
      </c>
      <c r="O95" s="454">
        <v>0</v>
      </c>
      <c r="P95" s="535">
        <v>0</v>
      </c>
      <c r="Q95" s="535">
        <v>2098</v>
      </c>
      <c r="R95" s="535">
        <v>0</v>
      </c>
      <c r="S95" s="535">
        <v>0</v>
      </c>
      <c r="T95" s="535"/>
      <c r="U95" s="535"/>
      <c r="V95" s="535"/>
      <c r="W95" s="535"/>
      <c r="X95" s="535"/>
      <c r="Y95" s="535"/>
      <c r="Z95" s="660">
        <f t="shared" si="3"/>
        <v>2098</v>
      </c>
      <c r="AA95" s="591">
        <v>2098</v>
      </c>
      <c r="AB95" s="558">
        <v>4</v>
      </c>
      <c r="AC95" s="545">
        <v>44232</v>
      </c>
      <c r="AD95" s="542">
        <v>44252</v>
      </c>
      <c r="AE95" s="454"/>
      <c r="AF95" s="459"/>
      <c r="AG95" s="460"/>
      <c r="AH95" s="458"/>
      <c r="AI95" s="454"/>
      <c r="AJ95" s="456"/>
      <c r="AK95" s="460"/>
      <c r="AL95" s="458"/>
      <c r="AM95" s="454"/>
      <c r="AN95" s="456"/>
      <c r="AO95" s="460"/>
      <c r="AP95" s="458"/>
      <c r="AQ95" s="454"/>
      <c r="AR95" s="456"/>
      <c r="AS95" s="460"/>
      <c r="AT95" s="458"/>
      <c r="AU95" s="22">
        <f t="shared" si="0"/>
        <v>2098</v>
      </c>
      <c r="AV95" s="546">
        <f t="shared" si="1"/>
        <v>0</v>
      </c>
      <c r="AW95" s="148"/>
      <c r="AX95" s="148"/>
      <c r="AY95" s="148"/>
      <c r="AZ95" s="148"/>
      <c r="BA95" s="148"/>
      <c r="BB95" s="148"/>
      <c r="BC95" s="148"/>
      <c r="BD95" s="148"/>
      <c r="BE95" s="148"/>
      <c r="BF95" s="148"/>
      <c r="BG95" s="148"/>
      <c r="BH95" s="148"/>
      <c r="BI95" s="148"/>
      <c r="BJ95" s="148"/>
      <c r="BK95" s="148"/>
      <c r="BL95" s="148"/>
      <c r="BM95" s="148"/>
      <c r="BN95" s="148"/>
      <c r="BO95" s="148"/>
      <c r="BP95" s="148"/>
      <c r="BQ95" s="148"/>
      <c r="BR95" s="148"/>
      <c r="BS95" s="148"/>
      <c r="BT95" s="148"/>
      <c r="BU95" s="148"/>
      <c r="BV95" s="148"/>
      <c r="BW95" s="148"/>
      <c r="BX95" s="148"/>
      <c r="BY95" s="148"/>
      <c r="BZ95" s="148"/>
      <c r="CA95" s="148"/>
      <c r="CB95" s="148"/>
      <c r="CC95" s="148"/>
      <c r="CD95" s="148"/>
      <c r="CE95" s="148"/>
      <c r="CF95" s="148"/>
      <c r="CG95" s="148"/>
      <c r="CH95" s="148"/>
      <c r="CI95" s="148"/>
      <c r="CJ95" s="148"/>
      <c r="CK95" s="148"/>
      <c r="CL95" s="148"/>
      <c r="CM95" s="148"/>
      <c r="CN95" s="148"/>
      <c r="CO95" s="148"/>
      <c r="CP95" s="148"/>
      <c r="CQ95" s="148"/>
      <c r="CR95" s="148"/>
      <c r="CS95" s="148"/>
      <c r="CT95" s="148"/>
      <c r="CU95" s="148"/>
      <c r="CV95" s="148"/>
      <c r="CW95" s="148"/>
      <c r="CX95" s="148"/>
      <c r="CY95" s="148"/>
      <c r="CZ95" s="148"/>
      <c r="DA95" s="148"/>
      <c r="DB95" s="148"/>
      <c r="DC95" s="148"/>
      <c r="DD95" s="148"/>
      <c r="DE95" s="148"/>
      <c r="DF95" s="148"/>
      <c r="DG95" s="148"/>
      <c r="DH95" s="148"/>
      <c r="DI95" s="148"/>
      <c r="DJ95" s="148"/>
      <c r="DK95" s="148"/>
      <c r="DL95" s="148"/>
      <c r="DM95" s="148"/>
      <c r="DN95" s="148"/>
      <c r="DO95" s="148"/>
      <c r="DP95" s="148"/>
      <c r="DQ95" s="148"/>
      <c r="DR95" s="148"/>
      <c r="DS95" s="148"/>
      <c r="DT95" s="148"/>
      <c r="DU95" s="148"/>
      <c r="DV95" s="148"/>
      <c r="DW95" s="148"/>
      <c r="DX95" s="148"/>
      <c r="DY95" s="148"/>
      <c r="DZ95" s="148"/>
      <c r="EA95" s="148"/>
      <c r="EB95" s="148"/>
      <c r="EC95" s="148"/>
      <c r="ED95" s="148"/>
      <c r="EE95" s="148"/>
      <c r="EF95" s="148"/>
      <c r="EG95" s="148"/>
      <c r="EH95" s="148"/>
      <c r="EI95" s="148"/>
      <c r="EJ95" s="148"/>
      <c r="EK95" s="148"/>
      <c r="EL95" s="148"/>
      <c r="EM95" s="148"/>
      <c r="EN95" s="148"/>
      <c r="EO95" s="148"/>
      <c r="EP95" s="148"/>
      <c r="EQ95" s="148"/>
      <c r="ER95" s="148"/>
      <c r="ES95" s="148"/>
      <c r="ET95" s="148"/>
      <c r="EU95" s="148"/>
      <c r="EV95" s="148"/>
      <c r="EW95" s="148"/>
      <c r="EX95" s="148"/>
      <c r="EY95" s="148"/>
      <c r="EZ95" s="148"/>
      <c r="FA95" s="148"/>
      <c r="FB95" s="148"/>
      <c r="FC95" s="148"/>
      <c r="FD95" s="148"/>
      <c r="FE95" s="148"/>
      <c r="FF95" s="148"/>
      <c r="FG95" s="148"/>
      <c r="FH95" s="148"/>
      <c r="FI95" s="148"/>
      <c r="FJ95" s="148"/>
      <c r="FK95" s="148"/>
      <c r="FL95" s="148"/>
      <c r="FM95" s="148"/>
      <c r="FN95" s="148"/>
      <c r="FO95" s="148"/>
      <c r="FP95" s="148"/>
      <c r="FQ95" s="148"/>
      <c r="FR95" s="148"/>
      <c r="FS95" s="148"/>
      <c r="FT95" s="148"/>
      <c r="FU95" s="148"/>
      <c r="FV95" s="148"/>
      <c r="FW95" s="148"/>
      <c r="FX95" s="148"/>
      <c r="FY95" s="148"/>
      <c r="FZ95" s="148"/>
      <c r="GA95" s="148"/>
      <c r="GB95" s="148"/>
      <c r="GC95" s="148"/>
      <c r="GD95" s="148"/>
      <c r="GE95" s="148"/>
      <c r="GF95" s="148"/>
      <c r="GG95" s="148"/>
      <c r="GH95" s="148"/>
      <c r="GI95" s="148"/>
      <c r="GJ95" s="148"/>
      <c r="GK95" s="148"/>
      <c r="GL95" s="148"/>
      <c r="GM95" s="148"/>
      <c r="GN95" s="148"/>
      <c r="GO95" s="148"/>
      <c r="GP95" s="148"/>
      <c r="GQ95" s="148"/>
      <c r="GR95" s="148"/>
      <c r="GS95" s="148"/>
      <c r="GT95" s="148"/>
      <c r="GU95" s="148"/>
      <c r="GV95" s="148"/>
      <c r="GW95" s="148"/>
      <c r="GX95" s="148"/>
      <c r="GY95" s="148"/>
      <c r="GZ95" s="148"/>
      <c r="HA95" s="148"/>
      <c r="HB95" s="148"/>
      <c r="HC95" s="148"/>
      <c r="HD95" s="148"/>
      <c r="HE95" s="148"/>
      <c r="HF95" s="148"/>
      <c r="HG95" s="148"/>
      <c r="HH95" s="148"/>
      <c r="HI95" s="148"/>
      <c r="HJ95" s="148"/>
      <c r="HK95" s="148"/>
      <c r="HL95" s="148"/>
      <c r="HM95" s="148"/>
      <c r="HN95" s="148"/>
      <c r="HO95" s="148"/>
      <c r="HP95" s="148"/>
      <c r="HQ95" s="148"/>
      <c r="HR95" s="148"/>
      <c r="HS95" s="148"/>
      <c r="HT95" s="148"/>
      <c r="HU95" s="148"/>
      <c r="HV95" s="148"/>
      <c r="HW95" s="148"/>
      <c r="HX95" s="148"/>
      <c r="HY95" s="148"/>
      <c r="HZ95" s="148"/>
      <c r="IA95" s="148"/>
      <c r="IB95" s="148"/>
      <c r="IC95" s="148"/>
    </row>
    <row r="96" spans="1:237" s="15" customFormat="1" ht="22.5" x14ac:dyDescent="0.25">
      <c r="A96" s="148"/>
      <c r="B96" s="307">
        <v>81</v>
      </c>
      <c r="C96" s="307" t="s">
        <v>38</v>
      </c>
      <c r="D96" s="450">
        <v>40015433</v>
      </c>
      <c r="E96" s="577" t="s">
        <v>2967</v>
      </c>
      <c r="F96" s="577" t="s">
        <v>897</v>
      </c>
      <c r="G96" s="533" t="s">
        <v>1902</v>
      </c>
      <c r="H96" s="553" t="s">
        <v>2882</v>
      </c>
      <c r="I96" s="534" t="s">
        <v>43</v>
      </c>
      <c r="J96" s="535">
        <v>1055611</v>
      </c>
      <c r="K96" s="535">
        <v>0</v>
      </c>
      <c r="L96" s="535">
        <v>1012256</v>
      </c>
      <c r="M96" s="535">
        <v>522091</v>
      </c>
      <c r="N96" s="454">
        <v>0</v>
      </c>
      <c r="O96" s="454">
        <v>0</v>
      </c>
      <c r="P96" s="535">
        <v>0</v>
      </c>
      <c r="Q96" s="535">
        <v>2623</v>
      </c>
      <c r="R96" s="535">
        <v>0</v>
      </c>
      <c r="S96" s="535">
        <v>0</v>
      </c>
      <c r="T96" s="535"/>
      <c r="U96" s="535"/>
      <c r="V96" s="535"/>
      <c r="W96" s="535"/>
      <c r="X96" s="535"/>
      <c r="Y96" s="535"/>
      <c r="Z96" s="660">
        <f t="shared" si="3"/>
        <v>2623</v>
      </c>
      <c r="AA96" s="591">
        <v>2623</v>
      </c>
      <c r="AB96" s="558">
        <v>4</v>
      </c>
      <c r="AC96" s="545">
        <v>44232</v>
      </c>
      <c r="AD96" s="542">
        <v>44252</v>
      </c>
      <c r="AE96" s="454"/>
      <c r="AF96" s="459"/>
      <c r="AG96" s="460"/>
      <c r="AH96" s="458"/>
      <c r="AI96" s="454"/>
      <c r="AJ96" s="456"/>
      <c r="AK96" s="460"/>
      <c r="AL96" s="458"/>
      <c r="AM96" s="454"/>
      <c r="AN96" s="456"/>
      <c r="AO96" s="460"/>
      <c r="AP96" s="458"/>
      <c r="AQ96" s="454"/>
      <c r="AR96" s="456"/>
      <c r="AS96" s="460"/>
      <c r="AT96" s="458"/>
      <c r="AU96" s="22">
        <f t="shared" si="0"/>
        <v>2623</v>
      </c>
      <c r="AV96" s="546">
        <f t="shared" si="1"/>
        <v>0</v>
      </c>
      <c r="AW96" s="148"/>
      <c r="AX96" s="148"/>
      <c r="AY96" s="148"/>
      <c r="AZ96" s="148"/>
      <c r="BA96" s="148"/>
      <c r="BB96" s="148"/>
      <c r="BC96" s="148"/>
      <c r="BD96" s="148"/>
      <c r="BE96" s="148"/>
      <c r="BF96" s="148"/>
      <c r="BG96" s="148"/>
      <c r="BH96" s="148"/>
      <c r="BI96" s="148"/>
      <c r="BJ96" s="148"/>
      <c r="BK96" s="148"/>
      <c r="BL96" s="148"/>
      <c r="BM96" s="148"/>
      <c r="BN96" s="148"/>
      <c r="BO96" s="148"/>
      <c r="BP96" s="148"/>
      <c r="BQ96" s="148"/>
      <c r="BR96" s="148"/>
      <c r="BS96" s="148"/>
      <c r="BT96" s="148"/>
      <c r="BU96" s="148"/>
      <c r="BV96" s="148"/>
      <c r="BW96" s="148"/>
      <c r="BX96" s="148"/>
      <c r="BY96" s="148"/>
      <c r="BZ96" s="148"/>
      <c r="CA96" s="148"/>
      <c r="CB96" s="148"/>
      <c r="CC96" s="148"/>
      <c r="CD96" s="148"/>
      <c r="CE96" s="148"/>
      <c r="CF96" s="148"/>
      <c r="CG96" s="148"/>
      <c r="CH96" s="148"/>
      <c r="CI96" s="148"/>
      <c r="CJ96" s="148"/>
      <c r="CK96" s="148"/>
      <c r="CL96" s="148"/>
      <c r="CM96" s="148"/>
      <c r="CN96" s="148"/>
      <c r="CO96" s="148"/>
      <c r="CP96" s="148"/>
      <c r="CQ96" s="148"/>
      <c r="CR96" s="148"/>
      <c r="CS96" s="148"/>
      <c r="CT96" s="148"/>
      <c r="CU96" s="148"/>
      <c r="CV96" s="148"/>
      <c r="CW96" s="148"/>
      <c r="CX96" s="148"/>
      <c r="CY96" s="148"/>
      <c r="CZ96" s="148"/>
      <c r="DA96" s="148"/>
      <c r="DB96" s="148"/>
      <c r="DC96" s="148"/>
      <c r="DD96" s="148"/>
      <c r="DE96" s="148"/>
      <c r="DF96" s="148"/>
      <c r="DG96" s="148"/>
      <c r="DH96" s="148"/>
      <c r="DI96" s="148"/>
      <c r="DJ96" s="148"/>
      <c r="DK96" s="148"/>
      <c r="DL96" s="148"/>
      <c r="DM96" s="148"/>
      <c r="DN96" s="148"/>
      <c r="DO96" s="148"/>
      <c r="DP96" s="148"/>
      <c r="DQ96" s="148"/>
      <c r="DR96" s="148"/>
      <c r="DS96" s="148"/>
      <c r="DT96" s="148"/>
      <c r="DU96" s="148"/>
      <c r="DV96" s="148"/>
      <c r="DW96" s="148"/>
      <c r="DX96" s="148"/>
      <c r="DY96" s="148"/>
      <c r="DZ96" s="148"/>
      <c r="EA96" s="148"/>
      <c r="EB96" s="148"/>
      <c r="EC96" s="148"/>
      <c r="ED96" s="148"/>
      <c r="EE96" s="148"/>
      <c r="EF96" s="148"/>
      <c r="EG96" s="148"/>
      <c r="EH96" s="148"/>
      <c r="EI96" s="148"/>
      <c r="EJ96" s="148"/>
      <c r="EK96" s="148"/>
      <c r="EL96" s="148"/>
      <c r="EM96" s="148"/>
      <c r="EN96" s="148"/>
      <c r="EO96" s="148"/>
      <c r="EP96" s="148"/>
      <c r="EQ96" s="148"/>
      <c r="ER96" s="148"/>
      <c r="ES96" s="148"/>
      <c r="ET96" s="148"/>
      <c r="EU96" s="148"/>
      <c r="EV96" s="148"/>
      <c r="EW96" s="148"/>
      <c r="EX96" s="148"/>
      <c r="EY96" s="148"/>
      <c r="EZ96" s="148"/>
      <c r="FA96" s="148"/>
      <c r="FB96" s="148"/>
      <c r="FC96" s="148"/>
      <c r="FD96" s="148"/>
      <c r="FE96" s="148"/>
      <c r="FF96" s="148"/>
      <c r="FG96" s="148"/>
      <c r="FH96" s="148"/>
      <c r="FI96" s="148"/>
      <c r="FJ96" s="148"/>
      <c r="FK96" s="148"/>
      <c r="FL96" s="148"/>
      <c r="FM96" s="148"/>
      <c r="FN96" s="148"/>
      <c r="FO96" s="148"/>
      <c r="FP96" s="148"/>
      <c r="FQ96" s="148"/>
      <c r="FR96" s="148"/>
      <c r="FS96" s="148"/>
      <c r="FT96" s="148"/>
      <c r="FU96" s="148"/>
      <c r="FV96" s="148"/>
      <c r="FW96" s="148"/>
      <c r="FX96" s="148"/>
      <c r="FY96" s="148"/>
      <c r="FZ96" s="148"/>
      <c r="GA96" s="148"/>
      <c r="GB96" s="148"/>
      <c r="GC96" s="148"/>
      <c r="GD96" s="148"/>
      <c r="GE96" s="148"/>
      <c r="GF96" s="148"/>
      <c r="GG96" s="148"/>
      <c r="GH96" s="148"/>
      <c r="GI96" s="148"/>
      <c r="GJ96" s="148"/>
      <c r="GK96" s="148"/>
      <c r="GL96" s="148"/>
      <c r="GM96" s="148"/>
      <c r="GN96" s="148"/>
      <c r="GO96" s="148"/>
      <c r="GP96" s="148"/>
      <c r="GQ96" s="148"/>
      <c r="GR96" s="148"/>
      <c r="GS96" s="148"/>
      <c r="GT96" s="148"/>
      <c r="GU96" s="148"/>
      <c r="GV96" s="148"/>
      <c r="GW96" s="148"/>
      <c r="GX96" s="148"/>
      <c r="GY96" s="148"/>
      <c r="GZ96" s="148"/>
      <c r="HA96" s="148"/>
      <c r="HB96" s="148"/>
      <c r="HC96" s="148"/>
      <c r="HD96" s="148"/>
      <c r="HE96" s="148"/>
      <c r="HF96" s="148"/>
      <c r="HG96" s="148"/>
      <c r="HH96" s="148"/>
      <c r="HI96" s="148"/>
      <c r="HJ96" s="148"/>
      <c r="HK96" s="148"/>
      <c r="HL96" s="148"/>
      <c r="HM96" s="148"/>
      <c r="HN96" s="148"/>
      <c r="HO96" s="148"/>
      <c r="HP96" s="148"/>
      <c r="HQ96" s="148"/>
      <c r="HR96" s="148"/>
      <c r="HS96" s="148"/>
      <c r="HT96" s="148"/>
      <c r="HU96" s="148"/>
      <c r="HV96" s="148"/>
      <c r="HW96" s="148"/>
      <c r="HX96" s="148"/>
      <c r="HY96" s="148"/>
      <c r="HZ96" s="148"/>
      <c r="IA96" s="148"/>
      <c r="IB96" s="148"/>
      <c r="IC96" s="148"/>
    </row>
    <row r="97" spans="1:237" s="15" customFormat="1" ht="22.5" x14ac:dyDescent="0.25">
      <c r="A97" s="148"/>
      <c r="B97" s="307">
        <v>82</v>
      </c>
      <c r="C97" s="307" t="s">
        <v>38</v>
      </c>
      <c r="D97" s="450">
        <v>40015818</v>
      </c>
      <c r="E97" s="577" t="s">
        <v>2968</v>
      </c>
      <c r="F97" s="577" t="s">
        <v>897</v>
      </c>
      <c r="G97" s="533" t="s">
        <v>1902</v>
      </c>
      <c r="H97" s="553" t="s">
        <v>44</v>
      </c>
      <c r="I97" s="534" t="s">
        <v>43</v>
      </c>
      <c r="J97" s="535">
        <v>3149706</v>
      </c>
      <c r="K97" s="535">
        <v>3067</v>
      </c>
      <c r="L97" s="535">
        <v>3065061</v>
      </c>
      <c r="M97" s="535">
        <v>1067908</v>
      </c>
      <c r="N97" s="454">
        <v>0</v>
      </c>
      <c r="O97" s="454">
        <v>0</v>
      </c>
      <c r="P97" s="535">
        <v>0</v>
      </c>
      <c r="Q97" s="535">
        <v>0</v>
      </c>
      <c r="R97" s="535">
        <v>0</v>
      </c>
      <c r="S97" s="535">
        <v>0</v>
      </c>
      <c r="T97" s="535"/>
      <c r="U97" s="535"/>
      <c r="V97" s="535"/>
      <c r="W97" s="535"/>
      <c r="X97" s="535"/>
      <c r="Y97" s="535"/>
      <c r="Z97" s="660">
        <f t="shared" si="3"/>
        <v>0</v>
      </c>
      <c r="AA97" s="591">
        <v>12270</v>
      </c>
      <c r="AB97" s="558">
        <v>4</v>
      </c>
      <c r="AC97" s="545">
        <v>44232</v>
      </c>
      <c r="AD97" s="542">
        <v>44252</v>
      </c>
      <c r="AE97" s="454"/>
      <c r="AF97" s="459"/>
      <c r="AG97" s="460"/>
      <c r="AH97" s="458"/>
      <c r="AI97" s="454"/>
      <c r="AJ97" s="456"/>
      <c r="AK97" s="460"/>
      <c r="AL97" s="458"/>
      <c r="AM97" s="454"/>
      <c r="AN97" s="456"/>
      <c r="AO97" s="460"/>
      <c r="AP97" s="458"/>
      <c r="AQ97" s="454"/>
      <c r="AR97" s="456"/>
      <c r="AS97" s="460"/>
      <c r="AT97" s="458"/>
      <c r="AU97" s="22">
        <f t="shared" si="0"/>
        <v>12270</v>
      </c>
      <c r="AV97" s="546">
        <f t="shared" si="1"/>
        <v>12270</v>
      </c>
      <c r="AW97" s="148"/>
      <c r="AX97" s="148"/>
      <c r="AY97" s="148"/>
      <c r="AZ97" s="148"/>
      <c r="BA97" s="148"/>
      <c r="BB97" s="148"/>
      <c r="BC97" s="148"/>
      <c r="BD97" s="148"/>
      <c r="BE97" s="148"/>
      <c r="BF97" s="148"/>
      <c r="BG97" s="148"/>
      <c r="BH97" s="148"/>
      <c r="BI97" s="148"/>
      <c r="BJ97" s="148"/>
      <c r="BK97" s="148"/>
      <c r="BL97" s="148"/>
      <c r="BM97" s="148"/>
      <c r="BN97" s="148"/>
      <c r="BO97" s="148"/>
      <c r="BP97" s="148"/>
      <c r="BQ97" s="148"/>
      <c r="BR97" s="148"/>
      <c r="BS97" s="148"/>
      <c r="BT97" s="148"/>
      <c r="BU97" s="148"/>
      <c r="BV97" s="148"/>
      <c r="BW97" s="148"/>
      <c r="BX97" s="148"/>
      <c r="BY97" s="148"/>
      <c r="BZ97" s="148"/>
      <c r="CA97" s="148"/>
      <c r="CB97" s="148"/>
      <c r="CC97" s="148"/>
      <c r="CD97" s="148"/>
      <c r="CE97" s="148"/>
      <c r="CF97" s="148"/>
      <c r="CG97" s="148"/>
      <c r="CH97" s="148"/>
      <c r="CI97" s="148"/>
      <c r="CJ97" s="148"/>
      <c r="CK97" s="148"/>
      <c r="CL97" s="148"/>
      <c r="CM97" s="148"/>
      <c r="CN97" s="148"/>
      <c r="CO97" s="148"/>
      <c r="CP97" s="148"/>
      <c r="CQ97" s="148"/>
      <c r="CR97" s="148"/>
      <c r="CS97" s="148"/>
      <c r="CT97" s="148"/>
      <c r="CU97" s="148"/>
      <c r="CV97" s="148"/>
      <c r="CW97" s="148"/>
      <c r="CX97" s="148"/>
      <c r="CY97" s="148"/>
      <c r="CZ97" s="148"/>
      <c r="DA97" s="148"/>
      <c r="DB97" s="148"/>
      <c r="DC97" s="148"/>
      <c r="DD97" s="148"/>
      <c r="DE97" s="148"/>
      <c r="DF97" s="148"/>
      <c r="DG97" s="148"/>
      <c r="DH97" s="148"/>
      <c r="DI97" s="148"/>
      <c r="DJ97" s="148"/>
      <c r="DK97" s="148"/>
      <c r="DL97" s="148"/>
      <c r="DM97" s="148"/>
      <c r="DN97" s="148"/>
      <c r="DO97" s="148"/>
      <c r="DP97" s="148"/>
      <c r="DQ97" s="148"/>
      <c r="DR97" s="148"/>
      <c r="DS97" s="148"/>
      <c r="DT97" s="148"/>
      <c r="DU97" s="148"/>
      <c r="DV97" s="148"/>
      <c r="DW97" s="148"/>
      <c r="DX97" s="148"/>
      <c r="DY97" s="148"/>
      <c r="DZ97" s="148"/>
      <c r="EA97" s="148"/>
      <c r="EB97" s="148"/>
      <c r="EC97" s="148"/>
      <c r="ED97" s="148"/>
      <c r="EE97" s="148"/>
      <c r="EF97" s="148"/>
      <c r="EG97" s="148"/>
      <c r="EH97" s="148"/>
      <c r="EI97" s="148"/>
      <c r="EJ97" s="148"/>
      <c r="EK97" s="148"/>
      <c r="EL97" s="148"/>
      <c r="EM97" s="148"/>
      <c r="EN97" s="148"/>
      <c r="EO97" s="148"/>
      <c r="EP97" s="148"/>
      <c r="EQ97" s="148"/>
      <c r="ER97" s="148"/>
      <c r="ES97" s="148"/>
      <c r="ET97" s="148"/>
      <c r="EU97" s="148"/>
      <c r="EV97" s="148"/>
      <c r="EW97" s="148"/>
      <c r="EX97" s="148"/>
      <c r="EY97" s="148"/>
      <c r="EZ97" s="148"/>
      <c r="FA97" s="148"/>
      <c r="FB97" s="148"/>
      <c r="FC97" s="148"/>
      <c r="FD97" s="148"/>
      <c r="FE97" s="148"/>
      <c r="FF97" s="148"/>
      <c r="FG97" s="148"/>
      <c r="FH97" s="148"/>
      <c r="FI97" s="148"/>
      <c r="FJ97" s="148"/>
      <c r="FK97" s="148"/>
      <c r="FL97" s="148"/>
      <c r="FM97" s="148"/>
      <c r="FN97" s="148"/>
      <c r="FO97" s="148"/>
      <c r="FP97" s="148"/>
      <c r="FQ97" s="148"/>
      <c r="FR97" s="148"/>
      <c r="FS97" s="148"/>
      <c r="FT97" s="148"/>
      <c r="FU97" s="148"/>
      <c r="FV97" s="148"/>
      <c r="FW97" s="148"/>
      <c r="FX97" s="148"/>
      <c r="FY97" s="148"/>
      <c r="FZ97" s="148"/>
      <c r="GA97" s="148"/>
      <c r="GB97" s="148"/>
      <c r="GC97" s="148"/>
      <c r="GD97" s="148"/>
      <c r="GE97" s="148"/>
      <c r="GF97" s="148"/>
      <c r="GG97" s="148"/>
      <c r="GH97" s="148"/>
      <c r="GI97" s="148"/>
      <c r="GJ97" s="148"/>
      <c r="GK97" s="148"/>
      <c r="GL97" s="148"/>
      <c r="GM97" s="148"/>
      <c r="GN97" s="148"/>
      <c r="GO97" s="148"/>
      <c r="GP97" s="148"/>
      <c r="GQ97" s="148"/>
      <c r="GR97" s="148"/>
      <c r="GS97" s="148"/>
      <c r="GT97" s="148"/>
      <c r="GU97" s="148"/>
      <c r="GV97" s="148"/>
      <c r="GW97" s="148"/>
      <c r="GX97" s="148"/>
      <c r="GY97" s="148"/>
      <c r="GZ97" s="148"/>
      <c r="HA97" s="148"/>
      <c r="HB97" s="148"/>
      <c r="HC97" s="148"/>
      <c r="HD97" s="148"/>
      <c r="HE97" s="148"/>
      <c r="HF97" s="148"/>
      <c r="HG97" s="148"/>
      <c r="HH97" s="148"/>
      <c r="HI97" s="148"/>
      <c r="HJ97" s="148"/>
      <c r="HK97" s="148"/>
      <c r="HL97" s="148"/>
      <c r="HM97" s="148"/>
      <c r="HN97" s="148"/>
      <c r="HO97" s="148"/>
      <c r="HP97" s="148"/>
      <c r="HQ97" s="148"/>
      <c r="HR97" s="148"/>
      <c r="HS97" s="148"/>
      <c r="HT97" s="148"/>
      <c r="HU97" s="148"/>
      <c r="HV97" s="148"/>
      <c r="HW97" s="148"/>
      <c r="HX97" s="148"/>
      <c r="HY97" s="148"/>
      <c r="HZ97" s="148"/>
      <c r="IA97" s="148"/>
      <c r="IB97" s="148"/>
      <c r="IC97" s="148"/>
    </row>
    <row r="98" spans="1:237" s="15" customFormat="1" ht="22.5" x14ac:dyDescent="0.25">
      <c r="A98" s="148"/>
      <c r="B98" s="307">
        <v>83</v>
      </c>
      <c r="C98" s="307" t="s">
        <v>38</v>
      </c>
      <c r="D98" s="450">
        <v>40019595</v>
      </c>
      <c r="E98" s="577" t="s">
        <v>2969</v>
      </c>
      <c r="F98" s="577" t="s">
        <v>897</v>
      </c>
      <c r="G98" s="533" t="s">
        <v>1902</v>
      </c>
      <c r="H98" s="553" t="s">
        <v>2932</v>
      </c>
      <c r="I98" s="534" t="s">
        <v>43</v>
      </c>
      <c r="J98" s="535">
        <v>1739031</v>
      </c>
      <c r="K98" s="535">
        <v>0</v>
      </c>
      <c r="L98" s="535">
        <v>1673427</v>
      </c>
      <c r="M98" s="535">
        <v>0</v>
      </c>
      <c r="N98" s="454">
        <v>0</v>
      </c>
      <c r="O98" s="454">
        <v>0</v>
      </c>
      <c r="P98" s="535">
        <v>0</v>
      </c>
      <c r="Q98" s="535">
        <v>0</v>
      </c>
      <c r="R98" s="535">
        <v>1350</v>
      </c>
      <c r="S98" s="535">
        <v>0</v>
      </c>
      <c r="T98" s="535"/>
      <c r="U98" s="535"/>
      <c r="V98" s="535"/>
      <c r="W98" s="535"/>
      <c r="X98" s="535"/>
      <c r="Y98" s="535"/>
      <c r="Z98" s="660">
        <f t="shared" si="3"/>
        <v>1350</v>
      </c>
      <c r="AA98" s="591">
        <v>27336</v>
      </c>
      <c r="AB98" s="558">
        <v>4</v>
      </c>
      <c r="AC98" s="545">
        <v>44232</v>
      </c>
      <c r="AD98" s="542">
        <v>44252</v>
      </c>
      <c r="AE98" s="454">
        <v>400000</v>
      </c>
      <c r="AF98" s="459">
        <v>15</v>
      </c>
      <c r="AG98" s="457">
        <v>44333</v>
      </c>
      <c r="AH98" s="458">
        <v>44355</v>
      </c>
      <c r="AI98" s="454"/>
      <c r="AJ98" s="456"/>
      <c r="AK98" s="460"/>
      <c r="AL98" s="458"/>
      <c r="AM98" s="454"/>
      <c r="AN98" s="456"/>
      <c r="AO98" s="460"/>
      <c r="AP98" s="458"/>
      <c r="AQ98" s="454"/>
      <c r="AR98" s="456"/>
      <c r="AS98" s="460"/>
      <c r="AT98" s="458"/>
      <c r="AU98" s="22">
        <f t="shared" si="0"/>
        <v>427336</v>
      </c>
      <c r="AV98" s="546">
        <f t="shared" si="1"/>
        <v>425986</v>
      </c>
      <c r="AW98" s="148"/>
      <c r="AX98" s="148"/>
      <c r="AY98" s="148"/>
      <c r="AZ98" s="148"/>
      <c r="BA98" s="148"/>
      <c r="BB98" s="148"/>
      <c r="BC98" s="148"/>
      <c r="BD98" s="148"/>
      <c r="BE98" s="148"/>
      <c r="BF98" s="148"/>
      <c r="BG98" s="148"/>
      <c r="BH98" s="148"/>
      <c r="BI98" s="148"/>
      <c r="BJ98" s="148"/>
      <c r="BK98" s="148"/>
      <c r="BL98" s="148"/>
      <c r="BM98" s="148"/>
      <c r="BN98" s="148"/>
      <c r="BO98" s="148"/>
      <c r="BP98" s="148"/>
      <c r="BQ98" s="148"/>
      <c r="BR98" s="148"/>
      <c r="BS98" s="148"/>
      <c r="BT98" s="148"/>
      <c r="BU98" s="148"/>
      <c r="BV98" s="148"/>
      <c r="BW98" s="148"/>
      <c r="BX98" s="148"/>
      <c r="BY98" s="148"/>
      <c r="BZ98" s="148"/>
      <c r="CA98" s="148"/>
      <c r="CB98" s="148"/>
      <c r="CC98" s="148"/>
      <c r="CD98" s="148"/>
      <c r="CE98" s="148"/>
      <c r="CF98" s="148"/>
      <c r="CG98" s="148"/>
      <c r="CH98" s="148"/>
      <c r="CI98" s="148"/>
      <c r="CJ98" s="148"/>
      <c r="CK98" s="148"/>
      <c r="CL98" s="148"/>
      <c r="CM98" s="148"/>
      <c r="CN98" s="148"/>
      <c r="CO98" s="148"/>
      <c r="CP98" s="148"/>
      <c r="CQ98" s="148"/>
      <c r="CR98" s="148"/>
      <c r="CS98" s="148"/>
      <c r="CT98" s="148"/>
      <c r="CU98" s="148"/>
      <c r="CV98" s="148"/>
      <c r="CW98" s="148"/>
      <c r="CX98" s="148"/>
      <c r="CY98" s="148"/>
      <c r="CZ98" s="148"/>
      <c r="DA98" s="148"/>
      <c r="DB98" s="148"/>
      <c r="DC98" s="148"/>
      <c r="DD98" s="148"/>
      <c r="DE98" s="148"/>
      <c r="DF98" s="148"/>
      <c r="DG98" s="148"/>
      <c r="DH98" s="148"/>
      <c r="DI98" s="148"/>
      <c r="DJ98" s="148"/>
      <c r="DK98" s="148"/>
      <c r="DL98" s="148"/>
      <c r="DM98" s="148"/>
      <c r="DN98" s="148"/>
      <c r="DO98" s="148"/>
      <c r="DP98" s="148"/>
      <c r="DQ98" s="148"/>
      <c r="DR98" s="148"/>
      <c r="DS98" s="148"/>
      <c r="DT98" s="148"/>
      <c r="DU98" s="148"/>
      <c r="DV98" s="148"/>
      <c r="DW98" s="148"/>
      <c r="DX98" s="148"/>
      <c r="DY98" s="148"/>
      <c r="DZ98" s="148"/>
      <c r="EA98" s="148"/>
      <c r="EB98" s="148"/>
      <c r="EC98" s="148"/>
      <c r="ED98" s="148"/>
      <c r="EE98" s="148"/>
      <c r="EF98" s="148"/>
      <c r="EG98" s="148"/>
      <c r="EH98" s="148"/>
      <c r="EI98" s="148"/>
      <c r="EJ98" s="148"/>
      <c r="EK98" s="148"/>
      <c r="EL98" s="148"/>
      <c r="EM98" s="148"/>
      <c r="EN98" s="148"/>
      <c r="EO98" s="148"/>
      <c r="EP98" s="148"/>
      <c r="EQ98" s="148"/>
      <c r="ER98" s="148"/>
      <c r="ES98" s="148"/>
      <c r="ET98" s="148"/>
      <c r="EU98" s="148"/>
      <c r="EV98" s="148"/>
      <c r="EW98" s="148"/>
      <c r="EX98" s="148"/>
      <c r="EY98" s="148"/>
      <c r="EZ98" s="148"/>
      <c r="FA98" s="148"/>
      <c r="FB98" s="148"/>
      <c r="FC98" s="148"/>
      <c r="FD98" s="148"/>
      <c r="FE98" s="148"/>
      <c r="FF98" s="148"/>
      <c r="FG98" s="148"/>
      <c r="FH98" s="148"/>
      <c r="FI98" s="148"/>
      <c r="FJ98" s="148"/>
      <c r="FK98" s="148"/>
      <c r="FL98" s="148"/>
      <c r="FM98" s="148"/>
      <c r="FN98" s="148"/>
      <c r="FO98" s="148"/>
      <c r="FP98" s="148"/>
      <c r="FQ98" s="148"/>
      <c r="FR98" s="148"/>
      <c r="FS98" s="148"/>
      <c r="FT98" s="148"/>
      <c r="FU98" s="148"/>
      <c r="FV98" s="148"/>
      <c r="FW98" s="148"/>
      <c r="FX98" s="148"/>
      <c r="FY98" s="148"/>
      <c r="FZ98" s="148"/>
      <c r="GA98" s="148"/>
      <c r="GB98" s="148"/>
      <c r="GC98" s="148"/>
      <c r="GD98" s="148"/>
      <c r="GE98" s="148"/>
      <c r="GF98" s="148"/>
      <c r="GG98" s="148"/>
      <c r="GH98" s="148"/>
      <c r="GI98" s="148"/>
      <c r="GJ98" s="148"/>
      <c r="GK98" s="148"/>
      <c r="GL98" s="148"/>
      <c r="GM98" s="148"/>
      <c r="GN98" s="148"/>
      <c r="GO98" s="148"/>
      <c r="GP98" s="148"/>
      <c r="GQ98" s="148"/>
      <c r="GR98" s="148"/>
      <c r="GS98" s="148"/>
      <c r="GT98" s="148"/>
      <c r="GU98" s="148"/>
      <c r="GV98" s="148"/>
      <c r="GW98" s="148"/>
      <c r="GX98" s="148"/>
      <c r="GY98" s="148"/>
      <c r="GZ98" s="148"/>
      <c r="HA98" s="148"/>
      <c r="HB98" s="148"/>
      <c r="HC98" s="148"/>
      <c r="HD98" s="148"/>
      <c r="HE98" s="148"/>
      <c r="HF98" s="148"/>
      <c r="HG98" s="148"/>
      <c r="HH98" s="148"/>
      <c r="HI98" s="148"/>
      <c r="HJ98" s="148"/>
      <c r="HK98" s="148"/>
      <c r="HL98" s="148"/>
      <c r="HM98" s="148"/>
      <c r="HN98" s="148"/>
      <c r="HO98" s="148"/>
      <c r="HP98" s="148"/>
      <c r="HQ98" s="148"/>
      <c r="HR98" s="148"/>
      <c r="HS98" s="148"/>
      <c r="HT98" s="148"/>
      <c r="HU98" s="148"/>
      <c r="HV98" s="148"/>
      <c r="HW98" s="148"/>
      <c r="HX98" s="148"/>
      <c r="HY98" s="148"/>
      <c r="HZ98" s="148"/>
      <c r="IA98" s="148"/>
      <c r="IB98" s="148"/>
      <c r="IC98" s="148"/>
    </row>
    <row r="99" spans="1:237" s="148" customFormat="1" ht="22.5" x14ac:dyDescent="0.25">
      <c r="B99" s="149">
        <v>84</v>
      </c>
      <c r="C99" s="149" t="s">
        <v>38</v>
      </c>
      <c r="D99" s="450">
        <v>40024085</v>
      </c>
      <c r="E99" s="451" t="s">
        <v>2970</v>
      </c>
      <c r="F99" s="451" t="s">
        <v>897</v>
      </c>
      <c r="G99" s="452" t="s">
        <v>1902</v>
      </c>
      <c r="H99" s="463" t="s">
        <v>2860</v>
      </c>
      <c r="I99" s="453" t="s">
        <v>43</v>
      </c>
      <c r="J99" s="454">
        <v>2471575</v>
      </c>
      <c r="K99" s="454">
        <v>0</v>
      </c>
      <c r="L99" s="454">
        <v>2471574</v>
      </c>
      <c r="M99" s="454">
        <v>2461575</v>
      </c>
      <c r="N99" s="454">
        <v>0</v>
      </c>
      <c r="O99" s="454">
        <v>0</v>
      </c>
      <c r="P99" s="454">
        <v>0</v>
      </c>
      <c r="Q99" s="454">
        <v>0</v>
      </c>
      <c r="R99" s="454">
        <v>0</v>
      </c>
      <c r="S99" s="454">
        <v>0</v>
      </c>
      <c r="T99" s="454"/>
      <c r="U99" s="454"/>
      <c r="V99" s="454"/>
      <c r="W99" s="454"/>
      <c r="X99" s="454"/>
      <c r="Y99" s="454"/>
      <c r="Z99" s="455">
        <f t="shared" si="3"/>
        <v>0</v>
      </c>
      <c r="AA99" s="454">
        <v>1</v>
      </c>
      <c r="AB99" s="456">
        <v>4</v>
      </c>
      <c r="AC99" s="457">
        <v>44232</v>
      </c>
      <c r="AD99" s="458">
        <v>44252</v>
      </c>
      <c r="AE99" s="454"/>
      <c r="AF99" s="459"/>
      <c r="AG99" s="460"/>
      <c r="AH99" s="458"/>
      <c r="AI99" s="454"/>
      <c r="AJ99" s="456"/>
      <c r="AK99" s="460"/>
      <c r="AL99" s="458"/>
      <c r="AM99" s="454"/>
      <c r="AN99" s="456"/>
      <c r="AO99" s="460"/>
      <c r="AP99" s="458"/>
      <c r="AQ99" s="454"/>
      <c r="AR99" s="456"/>
      <c r="AS99" s="460"/>
      <c r="AT99" s="458"/>
      <c r="AU99" s="154">
        <f t="shared" si="0"/>
        <v>1</v>
      </c>
      <c r="AV99" s="461">
        <f t="shared" si="1"/>
        <v>1</v>
      </c>
    </row>
    <row r="100" spans="1:237" s="148" customFormat="1" ht="22.5" x14ac:dyDescent="0.25">
      <c r="B100" s="149">
        <v>85</v>
      </c>
      <c r="C100" s="149" t="s">
        <v>38</v>
      </c>
      <c r="D100" s="450">
        <v>40024088</v>
      </c>
      <c r="E100" s="451" t="s">
        <v>2971</v>
      </c>
      <c r="F100" s="451" t="s">
        <v>897</v>
      </c>
      <c r="G100" s="452" t="s">
        <v>1902</v>
      </c>
      <c r="H100" s="463" t="s">
        <v>2868</v>
      </c>
      <c r="I100" s="453" t="s">
        <v>43</v>
      </c>
      <c r="J100" s="454">
        <v>2171507</v>
      </c>
      <c r="K100" s="454">
        <v>0</v>
      </c>
      <c r="L100" s="454">
        <v>2171506</v>
      </c>
      <c r="M100" s="454">
        <v>2161507</v>
      </c>
      <c r="N100" s="454">
        <v>0</v>
      </c>
      <c r="O100" s="454">
        <v>0</v>
      </c>
      <c r="P100" s="454">
        <v>0</v>
      </c>
      <c r="Q100" s="454">
        <v>0</v>
      </c>
      <c r="R100" s="454">
        <v>0</v>
      </c>
      <c r="S100" s="454">
        <v>0</v>
      </c>
      <c r="T100" s="454"/>
      <c r="U100" s="454"/>
      <c r="V100" s="454"/>
      <c r="W100" s="454"/>
      <c r="X100" s="454"/>
      <c r="Y100" s="454"/>
      <c r="Z100" s="455">
        <f t="shared" si="3"/>
        <v>0</v>
      </c>
      <c r="AA100" s="454">
        <v>1</v>
      </c>
      <c r="AB100" s="456">
        <v>4</v>
      </c>
      <c r="AC100" s="457">
        <v>44232</v>
      </c>
      <c r="AD100" s="458">
        <v>44252</v>
      </c>
      <c r="AE100" s="454"/>
      <c r="AF100" s="459"/>
      <c r="AG100" s="460"/>
      <c r="AH100" s="458"/>
      <c r="AI100" s="454"/>
      <c r="AJ100" s="456"/>
      <c r="AK100" s="460"/>
      <c r="AL100" s="458"/>
      <c r="AM100" s="454"/>
      <c r="AN100" s="456"/>
      <c r="AO100" s="460"/>
      <c r="AP100" s="458"/>
      <c r="AQ100" s="454"/>
      <c r="AR100" s="456"/>
      <c r="AS100" s="460"/>
      <c r="AT100" s="458"/>
      <c r="AU100" s="154">
        <f t="shared" si="0"/>
        <v>1</v>
      </c>
      <c r="AV100" s="461">
        <f t="shared" si="1"/>
        <v>1</v>
      </c>
    </row>
    <row r="101" spans="1:237" s="148" customFormat="1" x14ac:dyDescent="0.25">
      <c r="B101" s="149">
        <v>86</v>
      </c>
      <c r="C101" s="149" t="s">
        <v>38</v>
      </c>
      <c r="D101" s="450">
        <v>20141752</v>
      </c>
      <c r="E101" s="451" t="s">
        <v>2972</v>
      </c>
      <c r="F101" s="451" t="s">
        <v>897</v>
      </c>
      <c r="G101" s="452" t="s">
        <v>1902</v>
      </c>
      <c r="H101" s="463" t="s">
        <v>2860</v>
      </c>
      <c r="I101" s="453" t="s">
        <v>42</v>
      </c>
      <c r="J101" s="454">
        <v>751844</v>
      </c>
      <c r="K101" s="454">
        <v>4518</v>
      </c>
      <c r="L101" s="454">
        <v>4757896</v>
      </c>
      <c r="M101" s="454">
        <v>0</v>
      </c>
      <c r="N101" s="454">
        <v>0</v>
      </c>
      <c r="O101" s="454">
        <v>0</v>
      </c>
      <c r="P101" s="454">
        <v>0</v>
      </c>
      <c r="Q101" s="454">
        <v>0</v>
      </c>
      <c r="R101" s="454">
        <v>0</v>
      </c>
      <c r="S101" s="454">
        <v>0</v>
      </c>
      <c r="T101" s="454"/>
      <c r="U101" s="454"/>
      <c r="V101" s="454"/>
      <c r="W101" s="454"/>
      <c r="X101" s="454"/>
      <c r="Y101" s="454"/>
      <c r="Z101" s="455">
        <f t="shared" si="3"/>
        <v>0</v>
      </c>
      <c r="AA101" s="454">
        <v>1</v>
      </c>
      <c r="AB101" s="456">
        <v>7</v>
      </c>
      <c r="AC101" s="457">
        <v>44260</v>
      </c>
      <c r="AD101" s="458">
        <v>44287</v>
      </c>
      <c r="AE101" s="454"/>
      <c r="AF101" s="459"/>
      <c r="AG101" s="460"/>
      <c r="AH101" s="458"/>
      <c r="AI101" s="454"/>
      <c r="AJ101" s="456"/>
      <c r="AK101" s="460"/>
      <c r="AL101" s="458"/>
      <c r="AM101" s="454"/>
      <c r="AN101" s="456"/>
      <c r="AO101" s="460"/>
      <c r="AP101" s="458"/>
      <c r="AQ101" s="454"/>
      <c r="AR101" s="456"/>
      <c r="AS101" s="460"/>
      <c r="AT101" s="458"/>
      <c r="AU101" s="154">
        <f t="shared" si="0"/>
        <v>1</v>
      </c>
      <c r="AV101" s="461">
        <f t="shared" si="1"/>
        <v>1</v>
      </c>
    </row>
    <row r="102" spans="1:237" s="148" customFormat="1" ht="22.5" x14ac:dyDescent="0.25">
      <c r="B102" s="149">
        <v>87</v>
      </c>
      <c r="C102" s="149" t="s">
        <v>38</v>
      </c>
      <c r="D102" s="450">
        <v>30127021</v>
      </c>
      <c r="E102" s="451" t="s">
        <v>2973</v>
      </c>
      <c r="F102" s="451" t="s">
        <v>204</v>
      </c>
      <c r="G102" s="452" t="s">
        <v>1902</v>
      </c>
      <c r="H102" s="463" t="s">
        <v>2860</v>
      </c>
      <c r="I102" s="453" t="s">
        <v>43</v>
      </c>
      <c r="J102" s="454">
        <v>287628</v>
      </c>
      <c r="K102" s="454">
        <v>0</v>
      </c>
      <c r="L102" s="454">
        <v>277926</v>
      </c>
      <c r="M102" s="454">
        <v>198978</v>
      </c>
      <c r="N102" s="454">
        <v>0</v>
      </c>
      <c r="O102" s="454">
        <v>0</v>
      </c>
      <c r="P102" s="454">
        <v>0</v>
      </c>
      <c r="Q102" s="454">
        <v>0</v>
      </c>
      <c r="R102" s="454">
        <v>0</v>
      </c>
      <c r="S102" s="454">
        <v>0</v>
      </c>
      <c r="T102" s="454"/>
      <c r="U102" s="454"/>
      <c r="V102" s="454"/>
      <c r="W102" s="454"/>
      <c r="X102" s="454"/>
      <c r="Y102" s="454"/>
      <c r="Z102" s="455">
        <f t="shared" si="3"/>
        <v>0</v>
      </c>
      <c r="AA102" s="454">
        <v>3374</v>
      </c>
      <c r="AB102" s="456">
        <v>7</v>
      </c>
      <c r="AC102" s="457">
        <v>44260</v>
      </c>
      <c r="AD102" s="458">
        <v>44287</v>
      </c>
      <c r="AE102" s="454"/>
      <c r="AF102" s="459"/>
      <c r="AG102" s="460"/>
      <c r="AH102" s="458"/>
      <c r="AI102" s="454"/>
      <c r="AJ102" s="456"/>
      <c r="AK102" s="460"/>
      <c r="AL102" s="458"/>
      <c r="AM102" s="454"/>
      <c r="AN102" s="456"/>
      <c r="AO102" s="460"/>
      <c r="AP102" s="458"/>
      <c r="AQ102" s="454"/>
      <c r="AR102" s="456"/>
      <c r="AS102" s="460"/>
      <c r="AT102" s="458"/>
      <c r="AU102" s="154">
        <f t="shared" si="0"/>
        <v>3374</v>
      </c>
      <c r="AV102" s="461">
        <f t="shared" si="1"/>
        <v>3374</v>
      </c>
    </row>
    <row r="103" spans="1:237" s="148" customFormat="1" x14ac:dyDescent="0.25">
      <c r="B103" s="149">
        <v>88</v>
      </c>
      <c r="C103" s="149" t="s">
        <v>38</v>
      </c>
      <c r="D103" s="450">
        <v>30135456</v>
      </c>
      <c r="E103" s="451" t="s">
        <v>2974</v>
      </c>
      <c r="F103" s="451" t="s">
        <v>204</v>
      </c>
      <c r="G103" s="452" t="s">
        <v>1902</v>
      </c>
      <c r="H103" s="463" t="s">
        <v>2865</v>
      </c>
      <c r="I103" s="453" t="s">
        <v>43</v>
      </c>
      <c r="J103" s="454">
        <v>102613</v>
      </c>
      <c r="K103" s="454">
        <v>1878</v>
      </c>
      <c r="L103" s="454">
        <v>56000</v>
      </c>
      <c r="M103" s="454">
        <v>50368</v>
      </c>
      <c r="N103" s="454">
        <v>0</v>
      </c>
      <c r="O103" s="454">
        <v>0</v>
      </c>
      <c r="P103" s="454">
        <v>0</v>
      </c>
      <c r="Q103" s="454">
        <v>0</v>
      </c>
      <c r="R103" s="454">
        <v>0</v>
      </c>
      <c r="S103" s="454">
        <v>0</v>
      </c>
      <c r="T103" s="454"/>
      <c r="U103" s="454"/>
      <c r="V103" s="454"/>
      <c r="W103" s="454"/>
      <c r="X103" s="454"/>
      <c r="Y103" s="454"/>
      <c r="Z103" s="455">
        <f t="shared" si="3"/>
        <v>0</v>
      </c>
      <c r="AA103" s="454">
        <v>1</v>
      </c>
      <c r="AB103" s="456">
        <v>7</v>
      </c>
      <c r="AC103" s="457">
        <v>44260</v>
      </c>
      <c r="AD103" s="458">
        <v>44287</v>
      </c>
      <c r="AE103" s="454"/>
      <c r="AF103" s="459"/>
      <c r="AG103" s="460"/>
      <c r="AH103" s="458"/>
      <c r="AI103" s="454"/>
      <c r="AJ103" s="456"/>
      <c r="AK103" s="460"/>
      <c r="AL103" s="458"/>
      <c r="AM103" s="454"/>
      <c r="AN103" s="456"/>
      <c r="AO103" s="460"/>
      <c r="AP103" s="458"/>
      <c r="AQ103" s="454"/>
      <c r="AR103" s="456"/>
      <c r="AS103" s="460"/>
      <c r="AT103" s="458"/>
      <c r="AU103" s="154">
        <f t="shared" si="0"/>
        <v>1</v>
      </c>
      <c r="AV103" s="461">
        <f t="shared" si="1"/>
        <v>1</v>
      </c>
    </row>
    <row r="104" spans="1:237" s="148" customFormat="1" ht="22.5" x14ac:dyDescent="0.25">
      <c r="B104" s="149">
        <v>89</v>
      </c>
      <c r="C104" s="149" t="s">
        <v>38</v>
      </c>
      <c r="D104" s="450">
        <v>30361824</v>
      </c>
      <c r="E104" s="451" t="s">
        <v>2975</v>
      </c>
      <c r="F104" s="451" t="s">
        <v>897</v>
      </c>
      <c r="G104" s="452" t="s">
        <v>1902</v>
      </c>
      <c r="H104" s="463" t="s">
        <v>2853</v>
      </c>
      <c r="I104" s="453" t="s">
        <v>43</v>
      </c>
      <c r="J104" s="454">
        <v>668004</v>
      </c>
      <c r="K104" s="454">
        <v>0</v>
      </c>
      <c r="L104" s="454">
        <v>347670</v>
      </c>
      <c r="M104" s="454">
        <v>408004</v>
      </c>
      <c r="N104" s="454">
        <v>0</v>
      </c>
      <c r="O104" s="454">
        <v>0</v>
      </c>
      <c r="P104" s="454">
        <v>0</v>
      </c>
      <c r="Q104" s="454">
        <v>0</v>
      </c>
      <c r="R104" s="454">
        <v>0</v>
      </c>
      <c r="S104" s="454">
        <v>0</v>
      </c>
      <c r="T104" s="454"/>
      <c r="U104" s="454"/>
      <c r="V104" s="454"/>
      <c r="W104" s="454"/>
      <c r="X104" s="454"/>
      <c r="Y104" s="454"/>
      <c r="Z104" s="455">
        <f t="shared" si="3"/>
        <v>0</v>
      </c>
      <c r="AA104" s="454">
        <v>260000</v>
      </c>
      <c r="AB104" s="456">
        <v>7</v>
      </c>
      <c r="AC104" s="457">
        <v>44260</v>
      </c>
      <c r="AD104" s="458">
        <v>44287</v>
      </c>
      <c r="AE104" s="454"/>
      <c r="AF104" s="459"/>
      <c r="AG104" s="460"/>
      <c r="AH104" s="458"/>
      <c r="AI104" s="454"/>
      <c r="AJ104" s="456"/>
      <c r="AK104" s="460"/>
      <c r="AL104" s="458"/>
      <c r="AM104" s="454"/>
      <c r="AN104" s="456"/>
      <c r="AO104" s="460"/>
      <c r="AP104" s="458"/>
      <c r="AQ104" s="454"/>
      <c r="AR104" s="456"/>
      <c r="AS104" s="460"/>
      <c r="AT104" s="458"/>
      <c r="AU104" s="154">
        <f t="shared" si="0"/>
        <v>260000</v>
      </c>
      <c r="AV104" s="461">
        <f t="shared" si="1"/>
        <v>260000</v>
      </c>
    </row>
    <row r="105" spans="1:237" s="148" customFormat="1" x14ac:dyDescent="0.25">
      <c r="B105" s="149">
        <v>90</v>
      </c>
      <c r="C105" s="149" t="s">
        <v>38</v>
      </c>
      <c r="D105" s="450">
        <v>30419226</v>
      </c>
      <c r="E105" s="451" t="s">
        <v>2976</v>
      </c>
      <c r="F105" s="451" t="s">
        <v>897</v>
      </c>
      <c r="G105" s="452" t="s">
        <v>1902</v>
      </c>
      <c r="H105" s="463" t="s">
        <v>2927</v>
      </c>
      <c r="I105" s="453" t="s">
        <v>42</v>
      </c>
      <c r="J105" s="454">
        <v>1901740</v>
      </c>
      <c r="K105" s="454">
        <v>136018</v>
      </c>
      <c r="L105" s="454">
        <v>1398935</v>
      </c>
      <c r="M105" s="454">
        <v>1142798</v>
      </c>
      <c r="N105" s="454">
        <v>0</v>
      </c>
      <c r="O105" s="454">
        <v>0</v>
      </c>
      <c r="P105" s="454">
        <v>0</v>
      </c>
      <c r="Q105" s="454">
        <v>0</v>
      </c>
      <c r="R105" s="454">
        <v>0</v>
      </c>
      <c r="S105" s="454">
        <v>0</v>
      </c>
      <c r="T105" s="454"/>
      <c r="U105" s="454"/>
      <c r="V105" s="454"/>
      <c r="W105" s="454"/>
      <c r="X105" s="454"/>
      <c r="Y105" s="454"/>
      <c r="Z105" s="455">
        <f t="shared" si="3"/>
        <v>0</v>
      </c>
      <c r="AA105" s="454">
        <v>36394</v>
      </c>
      <c r="AB105" s="456">
        <v>7</v>
      </c>
      <c r="AC105" s="457">
        <v>44260</v>
      </c>
      <c r="AD105" s="458">
        <v>44287</v>
      </c>
      <c r="AE105" s="454"/>
      <c r="AF105" s="459"/>
      <c r="AG105" s="460"/>
      <c r="AH105" s="458"/>
      <c r="AI105" s="454"/>
      <c r="AJ105" s="456"/>
      <c r="AK105" s="460"/>
      <c r="AL105" s="458"/>
      <c r="AM105" s="454"/>
      <c r="AN105" s="456"/>
      <c r="AO105" s="460"/>
      <c r="AP105" s="458"/>
      <c r="AQ105" s="454"/>
      <c r="AR105" s="456"/>
      <c r="AS105" s="460"/>
      <c r="AT105" s="458"/>
      <c r="AU105" s="154">
        <f t="shared" si="0"/>
        <v>36394</v>
      </c>
      <c r="AV105" s="461">
        <f t="shared" si="1"/>
        <v>36394</v>
      </c>
    </row>
    <row r="106" spans="1:237" s="148" customFormat="1" ht="22.5" x14ac:dyDescent="0.25">
      <c r="B106" s="149">
        <v>91</v>
      </c>
      <c r="C106" s="149" t="s">
        <v>38</v>
      </c>
      <c r="D106" s="450">
        <v>30460850</v>
      </c>
      <c r="E106" s="451" t="s">
        <v>2977</v>
      </c>
      <c r="F106" s="451" t="s">
        <v>897</v>
      </c>
      <c r="G106" s="452" t="s">
        <v>1902</v>
      </c>
      <c r="H106" s="463" t="s">
        <v>2896</v>
      </c>
      <c r="I106" s="453" t="s">
        <v>43</v>
      </c>
      <c r="J106" s="454">
        <v>473666</v>
      </c>
      <c r="K106" s="454">
        <v>0</v>
      </c>
      <c r="L106" s="454">
        <v>181102</v>
      </c>
      <c r="M106" s="454">
        <v>0</v>
      </c>
      <c r="N106" s="454">
        <v>0</v>
      </c>
      <c r="O106" s="454">
        <v>0</v>
      </c>
      <c r="P106" s="454">
        <v>0</v>
      </c>
      <c r="Q106" s="454">
        <v>4104</v>
      </c>
      <c r="R106" s="454">
        <v>0</v>
      </c>
      <c r="S106" s="454">
        <v>0</v>
      </c>
      <c r="T106" s="454"/>
      <c r="U106" s="454"/>
      <c r="V106" s="454"/>
      <c r="W106" s="454"/>
      <c r="X106" s="454"/>
      <c r="Y106" s="454"/>
      <c r="Z106" s="455">
        <f t="shared" si="3"/>
        <v>4104</v>
      </c>
      <c r="AA106" s="454">
        <v>4196</v>
      </c>
      <c r="AB106" s="456">
        <v>7</v>
      </c>
      <c r="AC106" s="457">
        <v>44260</v>
      </c>
      <c r="AD106" s="458">
        <v>44287</v>
      </c>
      <c r="AE106" s="454">
        <v>63458</v>
      </c>
      <c r="AF106" s="459">
        <v>15</v>
      </c>
      <c r="AG106" s="457">
        <v>44333</v>
      </c>
      <c r="AH106" s="458">
        <v>44355</v>
      </c>
      <c r="AI106" s="454"/>
      <c r="AJ106" s="456"/>
      <c r="AK106" s="460"/>
      <c r="AL106" s="458"/>
      <c r="AM106" s="454"/>
      <c r="AN106" s="456"/>
      <c r="AO106" s="460"/>
      <c r="AP106" s="458"/>
      <c r="AQ106" s="454"/>
      <c r="AR106" s="456"/>
      <c r="AS106" s="460"/>
      <c r="AT106" s="458"/>
      <c r="AU106" s="154">
        <f t="shared" si="0"/>
        <v>67654</v>
      </c>
      <c r="AV106" s="461">
        <f t="shared" si="1"/>
        <v>63550</v>
      </c>
    </row>
    <row r="107" spans="1:237" s="148" customFormat="1" x14ac:dyDescent="0.25">
      <c r="B107" s="149">
        <v>92</v>
      </c>
      <c r="C107" s="149" t="s">
        <v>38</v>
      </c>
      <c r="D107" s="450">
        <v>40007853</v>
      </c>
      <c r="E107" s="451" t="s">
        <v>2978</v>
      </c>
      <c r="F107" s="451" t="s">
        <v>897</v>
      </c>
      <c r="G107" s="452" t="s">
        <v>1902</v>
      </c>
      <c r="H107" s="463" t="s">
        <v>2868</v>
      </c>
      <c r="I107" s="453" t="s">
        <v>43</v>
      </c>
      <c r="J107" s="454">
        <v>1699616</v>
      </c>
      <c r="K107" s="454">
        <v>1080</v>
      </c>
      <c r="L107" s="454">
        <v>1660604</v>
      </c>
      <c r="M107" s="454">
        <v>1601103</v>
      </c>
      <c r="N107" s="454">
        <v>0</v>
      </c>
      <c r="O107" s="454">
        <v>0</v>
      </c>
      <c r="P107" s="454">
        <v>0</v>
      </c>
      <c r="Q107" s="454">
        <v>0</v>
      </c>
      <c r="R107" s="454">
        <v>0</v>
      </c>
      <c r="S107" s="454">
        <v>0</v>
      </c>
      <c r="T107" s="454"/>
      <c r="U107" s="454"/>
      <c r="V107" s="454"/>
      <c r="W107" s="454"/>
      <c r="X107" s="454"/>
      <c r="Y107" s="454"/>
      <c r="Z107" s="455">
        <f t="shared" si="3"/>
        <v>0</v>
      </c>
      <c r="AA107" s="454">
        <v>527</v>
      </c>
      <c r="AB107" s="456">
        <v>7</v>
      </c>
      <c r="AC107" s="457">
        <v>44260</v>
      </c>
      <c r="AD107" s="458">
        <v>44287</v>
      </c>
      <c r="AE107" s="454">
        <v>12000</v>
      </c>
      <c r="AF107" s="459">
        <v>15</v>
      </c>
      <c r="AG107" s="457">
        <v>44333</v>
      </c>
      <c r="AH107" s="458">
        <v>44355</v>
      </c>
      <c r="AI107" s="454"/>
      <c r="AJ107" s="456"/>
      <c r="AK107" s="460"/>
      <c r="AL107" s="458"/>
      <c r="AM107" s="454"/>
      <c r="AN107" s="456"/>
      <c r="AO107" s="460"/>
      <c r="AP107" s="458"/>
      <c r="AQ107" s="454"/>
      <c r="AR107" s="456"/>
      <c r="AS107" s="460"/>
      <c r="AT107" s="458"/>
      <c r="AU107" s="154">
        <f t="shared" si="0"/>
        <v>12527</v>
      </c>
      <c r="AV107" s="461">
        <f t="shared" si="1"/>
        <v>12527</v>
      </c>
    </row>
    <row r="108" spans="1:237" s="148" customFormat="1" ht="22.5" x14ac:dyDescent="0.25">
      <c r="B108" s="149">
        <v>93</v>
      </c>
      <c r="C108" s="149" t="s">
        <v>38</v>
      </c>
      <c r="D108" s="450">
        <v>30108960</v>
      </c>
      <c r="E108" s="451" t="s">
        <v>2979</v>
      </c>
      <c r="F108" s="451" t="s">
        <v>200</v>
      </c>
      <c r="G108" s="452" t="s">
        <v>1902</v>
      </c>
      <c r="H108" s="463" t="s">
        <v>2980</v>
      </c>
      <c r="I108" s="453" t="s">
        <v>42</v>
      </c>
      <c r="J108" s="454">
        <v>31552352</v>
      </c>
      <c r="K108" s="454">
        <v>3593302</v>
      </c>
      <c r="L108" s="454">
        <v>17800000</v>
      </c>
      <c r="M108" s="454">
        <v>22956538</v>
      </c>
      <c r="N108" s="454">
        <v>0</v>
      </c>
      <c r="O108" s="454">
        <v>0</v>
      </c>
      <c r="P108" s="454">
        <v>0</v>
      </c>
      <c r="Q108" s="454">
        <v>0</v>
      </c>
      <c r="R108" s="454">
        <v>0</v>
      </c>
      <c r="S108" s="454">
        <v>0</v>
      </c>
      <c r="T108" s="454"/>
      <c r="U108" s="454"/>
      <c r="V108" s="454"/>
      <c r="W108" s="454"/>
      <c r="X108" s="454"/>
      <c r="Y108" s="454"/>
      <c r="Z108" s="455">
        <f t="shared" si="3"/>
        <v>0</v>
      </c>
      <c r="AA108" s="454">
        <v>200000</v>
      </c>
      <c r="AB108" s="456">
        <v>11</v>
      </c>
      <c r="AC108" s="457">
        <v>44307</v>
      </c>
      <c r="AD108" s="458">
        <v>44328</v>
      </c>
      <c r="AE108" s="454"/>
      <c r="AF108" s="459"/>
      <c r="AG108" s="460"/>
      <c r="AH108" s="458"/>
      <c r="AI108" s="454"/>
      <c r="AJ108" s="456"/>
      <c r="AK108" s="460"/>
      <c r="AL108" s="458"/>
      <c r="AM108" s="454"/>
      <c r="AN108" s="456"/>
      <c r="AO108" s="460"/>
      <c r="AP108" s="458"/>
      <c r="AQ108" s="454"/>
      <c r="AR108" s="456"/>
      <c r="AS108" s="460"/>
      <c r="AT108" s="458"/>
      <c r="AU108" s="154">
        <f t="shared" si="0"/>
        <v>200000</v>
      </c>
      <c r="AV108" s="461">
        <f t="shared" si="1"/>
        <v>200000</v>
      </c>
    </row>
    <row r="109" spans="1:237" s="148" customFormat="1" x14ac:dyDescent="0.25">
      <c r="B109" s="149">
        <v>94</v>
      </c>
      <c r="C109" s="149" t="s">
        <v>38</v>
      </c>
      <c r="D109" s="450">
        <v>30396076</v>
      </c>
      <c r="E109" s="451" t="s">
        <v>2981</v>
      </c>
      <c r="F109" s="451" t="s">
        <v>200</v>
      </c>
      <c r="G109" s="452" t="s">
        <v>1902</v>
      </c>
      <c r="H109" s="463" t="s">
        <v>2850</v>
      </c>
      <c r="I109" s="453" t="s">
        <v>43</v>
      </c>
      <c r="J109" s="454">
        <v>1682162</v>
      </c>
      <c r="K109" s="454">
        <v>2449</v>
      </c>
      <c r="L109" s="454">
        <v>1243514</v>
      </c>
      <c r="M109" s="454">
        <v>949001</v>
      </c>
      <c r="N109" s="454">
        <v>0</v>
      </c>
      <c r="O109" s="454">
        <v>0</v>
      </c>
      <c r="P109" s="454">
        <v>0</v>
      </c>
      <c r="Q109" s="454">
        <v>0</v>
      </c>
      <c r="R109" s="454">
        <v>0</v>
      </c>
      <c r="S109" s="454">
        <v>0</v>
      </c>
      <c r="T109" s="454"/>
      <c r="U109" s="454"/>
      <c r="V109" s="454"/>
      <c r="W109" s="454"/>
      <c r="X109" s="454"/>
      <c r="Y109" s="454"/>
      <c r="Z109" s="455">
        <f t="shared" si="3"/>
        <v>0</v>
      </c>
      <c r="AA109" s="454">
        <v>95060</v>
      </c>
      <c r="AB109" s="456">
        <v>11</v>
      </c>
      <c r="AC109" s="457">
        <v>44307</v>
      </c>
      <c r="AD109" s="458">
        <v>44328</v>
      </c>
      <c r="AE109" s="454">
        <v>1</v>
      </c>
      <c r="AF109" s="456">
        <v>15</v>
      </c>
      <c r="AG109" s="457">
        <v>44333</v>
      </c>
      <c r="AH109" s="458">
        <v>44355</v>
      </c>
      <c r="AI109" s="454"/>
      <c r="AJ109" s="456"/>
      <c r="AK109" s="460"/>
      <c r="AL109" s="458"/>
      <c r="AM109" s="454"/>
      <c r="AN109" s="456"/>
      <c r="AO109" s="460"/>
      <c r="AP109" s="458"/>
      <c r="AQ109" s="454"/>
      <c r="AR109" s="456"/>
      <c r="AS109" s="460"/>
      <c r="AT109" s="458"/>
      <c r="AU109" s="154">
        <f t="shared" si="0"/>
        <v>95061</v>
      </c>
      <c r="AV109" s="461">
        <f t="shared" si="1"/>
        <v>95061</v>
      </c>
    </row>
    <row r="110" spans="1:237" s="148" customFormat="1" ht="22.5" x14ac:dyDescent="0.25">
      <c r="B110" s="149">
        <v>95</v>
      </c>
      <c r="C110" s="149" t="s">
        <v>38</v>
      </c>
      <c r="D110" s="450">
        <v>30485940</v>
      </c>
      <c r="E110" s="451" t="s">
        <v>2982</v>
      </c>
      <c r="F110" s="451" t="s">
        <v>204</v>
      </c>
      <c r="G110" s="452" t="s">
        <v>1902</v>
      </c>
      <c r="H110" s="463" t="s">
        <v>2961</v>
      </c>
      <c r="I110" s="453" t="s">
        <v>43</v>
      </c>
      <c r="J110" s="454">
        <v>65403</v>
      </c>
      <c r="K110" s="454">
        <v>1663</v>
      </c>
      <c r="L110" s="454">
        <v>33572</v>
      </c>
      <c r="M110" s="454">
        <v>31870</v>
      </c>
      <c r="N110" s="454">
        <v>0</v>
      </c>
      <c r="O110" s="454">
        <v>0</v>
      </c>
      <c r="P110" s="454">
        <v>0</v>
      </c>
      <c r="Q110" s="454">
        <v>0</v>
      </c>
      <c r="R110" s="454">
        <v>0</v>
      </c>
      <c r="S110" s="454">
        <v>0</v>
      </c>
      <c r="T110" s="454"/>
      <c r="U110" s="454"/>
      <c r="V110" s="454"/>
      <c r="W110" s="454"/>
      <c r="X110" s="454"/>
      <c r="Y110" s="454"/>
      <c r="Z110" s="455">
        <f>SUM(N110:Y110)</f>
        <v>0</v>
      </c>
      <c r="AA110" s="454">
        <v>31870</v>
      </c>
      <c r="AB110" s="456">
        <v>11</v>
      </c>
      <c r="AC110" s="457">
        <v>44307</v>
      </c>
      <c r="AD110" s="458">
        <v>44328</v>
      </c>
      <c r="AE110" s="454"/>
      <c r="AF110" s="459"/>
      <c r="AG110" s="460"/>
      <c r="AH110" s="458"/>
      <c r="AI110" s="454"/>
      <c r="AJ110" s="456"/>
      <c r="AK110" s="460"/>
      <c r="AL110" s="458"/>
      <c r="AM110" s="454"/>
      <c r="AN110" s="456"/>
      <c r="AO110" s="460"/>
      <c r="AP110" s="458"/>
      <c r="AQ110" s="454"/>
      <c r="AR110" s="456"/>
      <c r="AS110" s="460"/>
      <c r="AT110" s="458"/>
      <c r="AU110" s="154">
        <f t="shared" si="0"/>
        <v>31870</v>
      </c>
      <c r="AV110" s="461">
        <f t="shared" si="1"/>
        <v>31870</v>
      </c>
    </row>
    <row r="111" spans="1:237" s="148" customFormat="1" ht="22.5" x14ac:dyDescent="0.25">
      <c r="B111" s="149">
        <v>96</v>
      </c>
      <c r="C111" s="149" t="s">
        <v>38</v>
      </c>
      <c r="D111" s="450">
        <v>40013093</v>
      </c>
      <c r="E111" s="451" t="s">
        <v>2983</v>
      </c>
      <c r="F111" s="451" t="s">
        <v>200</v>
      </c>
      <c r="G111" s="452" t="s">
        <v>1902</v>
      </c>
      <c r="H111" s="463" t="s">
        <v>2984</v>
      </c>
      <c r="I111" s="453" t="s">
        <v>43</v>
      </c>
      <c r="J111" s="454">
        <v>689873</v>
      </c>
      <c r="K111" s="454">
        <v>0</v>
      </c>
      <c r="L111" s="454">
        <v>669693</v>
      </c>
      <c r="M111" s="454">
        <v>633748</v>
      </c>
      <c r="N111" s="454">
        <v>0</v>
      </c>
      <c r="O111" s="454">
        <v>0</v>
      </c>
      <c r="P111" s="454">
        <v>0</v>
      </c>
      <c r="Q111" s="454">
        <v>0</v>
      </c>
      <c r="R111" s="454">
        <v>0</v>
      </c>
      <c r="S111" s="454">
        <v>0</v>
      </c>
      <c r="T111" s="454"/>
      <c r="U111" s="454"/>
      <c r="V111" s="454"/>
      <c r="W111" s="454"/>
      <c r="X111" s="454"/>
      <c r="Y111" s="454"/>
      <c r="Z111" s="455">
        <f t="shared" ref="Z111:Z122" si="4">SUM(N111:Y111)</f>
        <v>0</v>
      </c>
      <c r="AA111" s="454">
        <v>5000</v>
      </c>
      <c r="AB111" s="456">
        <v>11</v>
      </c>
      <c r="AC111" s="457">
        <v>44307</v>
      </c>
      <c r="AD111" s="458">
        <v>44328</v>
      </c>
      <c r="AE111" s="454"/>
      <c r="AF111" s="459"/>
      <c r="AG111" s="460"/>
      <c r="AH111" s="458"/>
      <c r="AI111" s="454"/>
      <c r="AJ111" s="456"/>
      <c r="AK111" s="460"/>
      <c r="AL111" s="458"/>
      <c r="AM111" s="454"/>
      <c r="AN111" s="456"/>
      <c r="AO111" s="460"/>
      <c r="AP111" s="458"/>
      <c r="AQ111" s="454"/>
      <c r="AR111" s="456"/>
      <c r="AS111" s="460"/>
      <c r="AT111" s="458"/>
      <c r="AU111" s="154">
        <f t="shared" si="0"/>
        <v>5000</v>
      </c>
      <c r="AV111" s="461">
        <f t="shared" si="1"/>
        <v>5000</v>
      </c>
    </row>
    <row r="112" spans="1:237" s="148" customFormat="1" ht="22.5" x14ac:dyDescent="0.25">
      <c r="B112" s="149">
        <v>97</v>
      </c>
      <c r="C112" s="149" t="s">
        <v>38</v>
      </c>
      <c r="D112" s="450">
        <v>40018429</v>
      </c>
      <c r="E112" s="451" t="s">
        <v>2985</v>
      </c>
      <c r="F112" s="451" t="s">
        <v>200</v>
      </c>
      <c r="G112" s="452" t="s">
        <v>1902</v>
      </c>
      <c r="H112" s="463" t="s">
        <v>2920</v>
      </c>
      <c r="I112" s="453" t="s">
        <v>43</v>
      </c>
      <c r="J112" s="454">
        <v>1940166</v>
      </c>
      <c r="K112" s="454">
        <v>0</v>
      </c>
      <c r="L112" s="454">
        <v>1896299</v>
      </c>
      <c r="M112" s="454">
        <v>1753469</v>
      </c>
      <c r="N112" s="454">
        <v>0</v>
      </c>
      <c r="O112" s="454">
        <v>0</v>
      </c>
      <c r="P112" s="454">
        <v>0</v>
      </c>
      <c r="Q112" s="454">
        <v>0</v>
      </c>
      <c r="R112" s="454">
        <v>0</v>
      </c>
      <c r="S112" s="454">
        <v>0</v>
      </c>
      <c r="T112" s="454"/>
      <c r="U112" s="454"/>
      <c r="V112" s="454"/>
      <c r="W112" s="454"/>
      <c r="X112" s="454"/>
      <c r="Y112" s="454"/>
      <c r="Z112" s="455">
        <f t="shared" si="4"/>
        <v>0</v>
      </c>
      <c r="AA112" s="454">
        <v>1175</v>
      </c>
      <c r="AB112" s="456">
        <v>11</v>
      </c>
      <c r="AC112" s="457">
        <v>44307</v>
      </c>
      <c r="AD112" s="458">
        <v>44328</v>
      </c>
      <c r="AE112" s="454"/>
      <c r="AF112" s="459"/>
      <c r="AG112" s="460"/>
      <c r="AH112" s="458"/>
      <c r="AI112" s="454"/>
      <c r="AJ112" s="456"/>
      <c r="AK112" s="460"/>
      <c r="AL112" s="458"/>
      <c r="AM112" s="454"/>
      <c r="AN112" s="456"/>
      <c r="AO112" s="460"/>
      <c r="AP112" s="458"/>
      <c r="AQ112" s="454"/>
      <c r="AR112" s="456"/>
      <c r="AS112" s="460"/>
      <c r="AT112" s="458"/>
      <c r="AU112" s="154">
        <f t="shared" si="0"/>
        <v>1175</v>
      </c>
      <c r="AV112" s="461">
        <f t="shared" si="1"/>
        <v>1175</v>
      </c>
    </row>
    <row r="113" spans="1:237" s="148" customFormat="1" ht="17.25" customHeight="1" x14ac:dyDescent="0.25">
      <c r="B113" s="149">
        <v>98</v>
      </c>
      <c r="C113" s="149" t="s">
        <v>38</v>
      </c>
      <c r="D113" s="450">
        <v>20159649</v>
      </c>
      <c r="E113" s="451" t="s">
        <v>2986</v>
      </c>
      <c r="F113" s="451" t="s">
        <v>204</v>
      </c>
      <c r="G113" s="452" t="s">
        <v>1902</v>
      </c>
      <c r="H113" s="463" t="s">
        <v>2853</v>
      </c>
      <c r="I113" s="453" t="s">
        <v>43</v>
      </c>
      <c r="J113" s="454">
        <v>882053</v>
      </c>
      <c r="K113" s="454">
        <v>0</v>
      </c>
      <c r="L113" s="454">
        <v>385144</v>
      </c>
      <c r="M113" s="454">
        <v>0</v>
      </c>
      <c r="N113" s="454">
        <v>0</v>
      </c>
      <c r="O113" s="454">
        <v>0</v>
      </c>
      <c r="P113" s="454">
        <v>0</v>
      </c>
      <c r="Q113" s="454">
        <v>0</v>
      </c>
      <c r="R113" s="454">
        <v>0</v>
      </c>
      <c r="S113" s="454">
        <v>0</v>
      </c>
      <c r="T113" s="454"/>
      <c r="U113" s="454"/>
      <c r="V113" s="454"/>
      <c r="W113" s="454"/>
      <c r="X113" s="454"/>
      <c r="Y113" s="454"/>
      <c r="Z113" s="455">
        <f t="shared" si="4"/>
        <v>0</v>
      </c>
      <c r="AA113" s="576">
        <v>9000</v>
      </c>
      <c r="AB113" s="456">
        <v>13</v>
      </c>
      <c r="AC113" s="457">
        <v>44314</v>
      </c>
      <c r="AD113" s="458">
        <v>44340</v>
      </c>
      <c r="AE113" s="454"/>
      <c r="AF113" s="459"/>
      <c r="AG113" s="460"/>
      <c r="AH113" s="458"/>
      <c r="AI113" s="454"/>
      <c r="AJ113" s="456"/>
      <c r="AK113" s="460"/>
      <c r="AL113" s="458"/>
      <c r="AM113" s="454"/>
      <c r="AN113" s="456"/>
      <c r="AO113" s="460"/>
      <c r="AP113" s="458"/>
      <c r="AQ113" s="454"/>
      <c r="AR113" s="456"/>
      <c r="AS113" s="460"/>
      <c r="AT113" s="458"/>
      <c r="AU113" s="154">
        <f t="shared" si="0"/>
        <v>9000</v>
      </c>
      <c r="AV113" s="461">
        <f t="shared" si="1"/>
        <v>9000</v>
      </c>
    </row>
    <row r="114" spans="1:237" s="148" customFormat="1" ht="22.5" x14ac:dyDescent="0.25">
      <c r="B114" s="149">
        <v>99</v>
      </c>
      <c r="C114" s="149" t="s">
        <v>38</v>
      </c>
      <c r="D114" s="450">
        <v>30126910</v>
      </c>
      <c r="E114" s="451" t="s">
        <v>2987</v>
      </c>
      <c r="F114" s="451" t="s">
        <v>200</v>
      </c>
      <c r="G114" s="452" t="s">
        <v>1902</v>
      </c>
      <c r="H114" s="463" t="s">
        <v>2961</v>
      </c>
      <c r="I114" s="453" t="s">
        <v>42</v>
      </c>
      <c r="J114" s="454">
        <v>736454</v>
      </c>
      <c r="K114" s="454">
        <v>701454</v>
      </c>
      <c r="L114" s="454">
        <v>0</v>
      </c>
      <c r="M114" s="454">
        <v>0</v>
      </c>
      <c r="N114" s="454">
        <v>0</v>
      </c>
      <c r="O114" s="454">
        <v>0</v>
      </c>
      <c r="P114" s="454">
        <v>0</v>
      </c>
      <c r="Q114" s="454">
        <v>0</v>
      </c>
      <c r="R114" s="454">
        <v>0</v>
      </c>
      <c r="S114" s="454">
        <v>0</v>
      </c>
      <c r="T114" s="454"/>
      <c r="U114" s="454"/>
      <c r="V114" s="454"/>
      <c r="W114" s="454"/>
      <c r="X114" s="454"/>
      <c r="Y114" s="454"/>
      <c r="Z114" s="455">
        <f t="shared" si="4"/>
        <v>0</v>
      </c>
      <c r="AA114" s="576">
        <v>35000</v>
      </c>
      <c r="AB114" s="456">
        <v>13</v>
      </c>
      <c r="AC114" s="457">
        <v>44314</v>
      </c>
      <c r="AD114" s="458">
        <v>44340</v>
      </c>
      <c r="AE114" s="454"/>
      <c r="AF114" s="459"/>
      <c r="AG114" s="460"/>
      <c r="AH114" s="458"/>
      <c r="AI114" s="454"/>
      <c r="AJ114" s="456"/>
      <c r="AK114" s="460"/>
      <c r="AL114" s="458"/>
      <c r="AM114" s="454"/>
      <c r="AN114" s="456"/>
      <c r="AO114" s="460"/>
      <c r="AP114" s="458"/>
      <c r="AQ114" s="454"/>
      <c r="AR114" s="456"/>
      <c r="AS114" s="460"/>
      <c r="AT114" s="458"/>
      <c r="AU114" s="154">
        <f t="shared" si="0"/>
        <v>35000</v>
      </c>
      <c r="AV114" s="461">
        <f t="shared" si="1"/>
        <v>35000</v>
      </c>
    </row>
    <row r="115" spans="1:237" s="148" customFormat="1" ht="22.5" x14ac:dyDescent="0.25">
      <c r="B115" s="149">
        <v>100</v>
      </c>
      <c r="C115" s="149" t="s">
        <v>38</v>
      </c>
      <c r="D115" s="450">
        <v>30460853</v>
      </c>
      <c r="E115" s="451" t="s">
        <v>2988</v>
      </c>
      <c r="F115" s="451" t="s">
        <v>200</v>
      </c>
      <c r="G115" s="452" t="s">
        <v>1902</v>
      </c>
      <c r="H115" s="463" t="s">
        <v>2896</v>
      </c>
      <c r="I115" s="453" t="s">
        <v>43</v>
      </c>
      <c r="J115" s="454">
        <v>540721</v>
      </c>
      <c r="K115" s="454">
        <v>0</v>
      </c>
      <c r="L115" s="454">
        <v>539721</v>
      </c>
      <c r="M115" s="454">
        <v>0</v>
      </c>
      <c r="N115" s="454">
        <v>0</v>
      </c>
      <c r="O115" s="454">
        <v>0</v>
      </c>
      <c r="P115" s="454">
        <v>0</v>
      </c>
      <c r="Q115" s="454">
        <v>0</v>
      </c>
      <c r="R115" s="454">
        <v>0</v>
      </c>
      <c r="S115" s="454">
        <v>0</v>
      </c>
      <c r="T115" s="454"/>
      <c r="U115" s="454"/>
      <c r="V115" s="454"/>
      <c r="W115" s="454"/>
      <c r="X115" s="454"/>
      <c r="Y115" s="454"/>
      <c r="Z115" s="455">
        <f t="shared" si="4"/>
        <v>0</v>
      </c>
      <c r="AA115" s="576">
        <v>1000</v>
      </c>
      <c r="AB115" s="456">
        <v>13</v>
      </c>
      <c r="AC115" s="457">
        <v>44314</v>
      </c>
      <c r="AD115" s="458">
        <v>44340</v>
      </c>
      <c r="AE115" s="454"/>
      <c r="AF115" s="459"/>
      <c r="AG115" s="460"/>
      <c r="AH115" s="458"/>
      <c r="AI115" s="454"/>
      <c r="AJ115" s="456"/>
      <c r="AK115" s="460"/>
      <c r="AL115" s="458"/>
      <c r="AM115" s="454"/>
      <c r="AN115" s="456"/>
      <c r="AO115" s="460"/>
      <c r="AP115" s="458"/>
      <c r="AQ115" s="454"/>
      <c r="AR115" s="456"/>
      <c r="AS115" s="460"/>
      <c r="AT115" s="458"/>
      <c r="AU115" s="154">
        <f t="shared" si="0"/>
        <v>1000</v>
      </c>
      <c r="AV115" s="461">
        <f t="shared" si="1"/>
        <v>1000</v>
      </c>
    </row>
    <row r="116" spans="1:237" s="148" customFormat="1" ht="22.5" x14ac:dyDescent="0.25">
      <c r="B116" s="149">
        <v>101</v>
      </c>
      <c r="C116" s="149" t="s">
        <v>38</v>
      </c>
      <c r="D116" s="450">
        <v>30484425</v>
      </c>
      <c r="E116" s="451" t="s">
        <v>2989</v>
      </c>
      <c r="F116" s="451" t="s">
        <v>200</v>
      </c>
      <c r="G116" s="452" t="s">
        <v>1902</v>
      </c>
      <c r="H116" s="463" t="s">
        <v>2920</v>
      </c>
      <c r="I116" s="453" t="s">
        <v>43</v>
      </c>
      <c r="J116" s="454">
        <v>715804</v>
      </c>
      <c r="K116" s="454">
        <v>0</v>
      </c>
      <c r="L116" s="454">
        <v>709149</v>
      </c>
      <c r="M116" s="454">
        <v>242769</v>
      </c>
      <c r="N116" s="454">
        <v>0</v>
      </c>
      <c r="O116" s="454">
        <v>0</v>
      </c>
      <c r="P116" s="454">
        <v>0</v>
      </c>
      <c r="Q116" s="454">
        <v>0</v>
      </c>
      <c r="R116" s="454">
        <v>0</v>
      </c>
      <c r="S116" s="454">
        <v>0</v>
      </c>
      <c r="T116" s="454"/>
      <c r="U116" s="454"/>
      <c r="V116" s="454"/>
      <c r="W116" s="454"/>
      <c r="X116" s="454"/>
      <c r="Y116" s="454"/>
      <c r="Z116" s="455">
        <f t="shared" si="4"/>
        <v>0</v>
      </c>
      <c r="AA116" s="576">
        <v>6654</v>
      </c>
      <c r="AB116" s="456">
        <v>13</v>
      </c>
      <c r="AC116" s="457">
        <v>44314</v>
      </c>
      <c r="AD116" s="458">
        <v>44340</v>
      </c>
      <c r="AE116" s="454"/>
      <c r="AF116" s="459"/>
      <c r="AG116" s="460"/>
      <c r="AH116" s="458"/>
      <c r="AI116" s="454"/>
      <c r="AJ116" s="456"/>
      <c r="AK116" s="460"/>
      <c r="AL116" s="458"/>
      <c r="AM116" s="454"/>
      <c r="AN116" s="456"/>
      <c r="AO116" s="460"/>
      <c r="AP116" s="458"/>
      <c r="AQ116" s="454"/>
      <c r="AR116" s="456"/>
      <c r="AS116" s="460"/>
      <c r="AT116" s="458"/>
      <c r="AU116" s="154">
        <f t="shared" si="0"/>
        <v>6654</v>
      </c>
      <c r="AV116" s="461">
        <f t="shared" si="1"/>
        <v>6654</v>
      </c>
    </row>
    <row r="117" spans="1:237" s="148" customFormat="1" ht="22.5" x14ac:dyDescent="0.25">
      <c r="B117" s="149">
        <v>102</v>
      </c>
      <c r="C117" s="149" t="s">
        <v>38</v>
      </c>
      <c r="D117" s="450">
        <v>40015363</v>
      </c>
      <c r="E117" s="451" t="s">
        <v>2990</v>
      </c>
      <c r="F117" s="451" t="s">
        <v>200</v>
      </c>
      <c r="G117" s="452" t="s">
        <v>1902</v>
      </c>
      <c r="H117" s="463" t="s">
        <v>2892</v>
      </c>
      <c r="I117" s="453" t="s">
        <v>43</v>
      </c>
      <c r="J117" s="454">
        <v>1020403</v>
      </c>
      <c r="K117" s="454">
        <v>0</v>
      </c>
      <c r="L117" s="454">
        <v>1020399</v>
      </c>
      <c r="M117" s="454">
        <v>763428</v>
      </c>
      <c r="N117" s="454">
        <v>0</v>
      </c>
      <c r="O117" s="454">
        <v>0</v>
      </c>
      <c r="P117" s="454">
        <v>0</v>
      </c>
      <c r="Q117" s="454">
        <v>0</v>
      </c>
      <c r="R117" s="454">
        <v>0</v>
      </c>
      <c r="S117" s="454">
        <v>0</v>
      </c>
      <c r="T117" s="454"/>
      <c r="U117" s="454"/>
      <c r="V117" s="454"/>
      <c r="W117" s="454"/>
      <c r="X117" s="454"/>
      <c r="Y117" s="454"/>
      <c r="Z117" s="455">
        <f t="shared" si="4"/>
        <v>0</v>
      </c>
      <c r="AA117" s="576">
        <v>1</v>
      </c>
      <c r="AB117" s="456">
        <v>13</v>
      </c>
      <c r="AC117" s="457">
        <v>44314</v>
      </c>
      <c r="AD117" s="458">
        <v>44340</v>
      </c>
      <c r="AE117" s="454"/>
      <c r="AF117" s="459"/>
      <c r="AG117" s="460"/>
      <c r="AH117" s="458"/>
      <c r="AI117" s="454"/>
      <c r="AJ117" s="456"/>
      <c r="AK117" s="460"/>
      <c r="AL117" s="458"/>
      <c r="AM117" s="454"/>
      <c r="AN117" s="456"/>
      <c r="AO117" s="460"/>
      <c r="AP117" s="458"/>
      <c r="AQ117" s="454"/>
      <c r="AR117" s="456"/>
      <c r="AS117" s="460"/>
      <c r="AT117" s="458"/>
      <c r="AU117" s="154">
        <f t="shared" si="0"/>
        <v>1</v>
      </c>
      <c r="AV117" s="461">
        <f t="shared" si="1"/>
        <v>1</v>
      </c>
    </row>
    <row r="118" spans="1:237" s="148" customFormat="1" ht="17.25" customHeight="1" x14ac:dyDescent="0.25">
      <c r="B118" s="149">
        <v>103</v>
      </c>
      <c r="C118" s="149" t="s">
        <v>38</v>
      </c>
      <c r="D118" s="450">
        <v>40018695</v>
      </c>
      <c r="E118" s="451" t="s">
        <v>2991</v>
      </c>
      <c r="F118" s="451" t="s">
        <v>200</v>
      </c>
      <c r="G118" s="452" t="s">
        <v>1902</v>
      </c>
      <c r="H118" s="463" t="s">
        <v>2927</v>
      </c>
      <c r="I118" s="453" t="s">
        <v>43</v>
      </c>
      <c r="J118" s="454">
        <v>271011</v>
      </c>
      <c r="K118" s="454">
        <v>0</v>
      </c>
      <c r="L118" s="454">
        <v>271010</v>
      </c>
      <c r="M118" s="454">
        <v>0</v>
      </c>
      <c r="N118" s="454">
        <v>0</v>
      </c>
      <c r="O118" s="454">
        <v>0</v>
      </c>
      <c r="P118" s="454">
        <v>0</v>
      </c>
      <c r="Q118" s="454">
        <v>0</v>
      </c>
      <c r="R118" s="454">
        <v>0</v>
      </c>
      <c r="S118" s="454">
        <v>0</v>
      </c>
      <c r="T118" s="454"/>
      <c r="U118" s="454"/>
      <c r="V118" s="454"/>
      <c r="W118" s="454"/>
      <c r="X118" s="454"/>
      <c r="Y118" s="454"/>
      <c r="Z118" s="455">
        <f t="shared" si="4"/>
        <v>0</v>
      </c>
      <c r="AA118" s="576">
        <v>1</v>
      </c>
      <c r="AB118" s="456">
        <v>13</v>
      </c>
      <c r="AC118" s="457">
        <v>44314</v>
      </c>
      <c r="AD118" s="458">
        <v>44340</v>
      </c>
      <c r="AE118" s="454"/>
      <c r="AF118" s="459"/>
      <c r="AG118" s="460"/>
      <c r="AH118" s="458"/>
      <c r="AI118" s="454"/>
      <c r="AJ118" s="456"/>
      <c r="AK118" s="460"/>
      <c r="AL118" s="458"/>
      <c r="AM118" s="454"/>
      <c r="AN118" s="456"/>
      <c r="AO118" s="460"/>
      <c r="AP118" s="458"/>
      <c r="AQ118" s="454"/>
      <c r="AR118" s="456"/>
      <c r="AS118" s="460"/>
      <c r="AT118" s="458"/>
      <c r="AU118" s="154">
        <f t="shared" si="0"/>
        <v>1</v>
      </c>
      <c r="AV118" s="461">
        <f t="shared" si="1"/>
        <v>1</v>
      </c>
    </row>
    <row r="119" spans="1:237" s="148" customFormat="1" ht="22.5" x14ac:dyDescent="0.25">
      <c r="B119" s="149">
        <v>104</v>
      </c>
      <c r="C119" s="149" t="s">
        <v>40</v>
      </c>
      <c r="D119" s="450">
        <v>40008261</v>
      </c>
      <c r="E119" s="451" t="s">
        <v>2992</v>
      </c>
      <c r="F119" s="451" t="s">
        <v>897</v>
      </c>
      <c r="G119" s="452" t="s">
        <v>1902</v>
      </c>
      <c r="H119" s="463" t="s">
        <v>2984</v>
      </c>
      <c r="I119" s="453" t="s">
        <v>43</v>
      </c>
      <c r="J119" s="454">
        <v>123597</v>
      </c>
      <c r="K119" s="454">
        <v>0</v>
      </c>
      <c r="L119" s="454">
        <v>10809</v>
      </c>
      <c r="M119" s="454">
        <v>123600</v>
      </c>
      <c r="N119" s="454">
        <v>0</v>
      </c>
      <c r="O119" s="454">
        <v>0</v>
      </c>
      <c r="P119" s="454">
        <v>0</v>
      </c>
      <c r="Q119" s="454">
        <v>0</v>
      </c>
      <c r="R119" s="454">
        <v>0</v>
      </c>
      <c r="S119" s="454">
        <v>0</v>
      </c>
      <c r="T119" s="454"/>
      <c r="U119" s="454"/>
      <c r="V119" s="454"/>
      <c r="W119" s="454"/>
      <c r="X119" s="454"/>
      <c r="Y119" s="454"/>
      <c r="Z119" s="455">
        <f t="shared" si="4"/>
        <v>0</v>
      </c>
      <c r="AA119" s="454">
        <v>13500</v>
      </c>
      <c r="AB119" s="456">
        <v>14</v>
      </c>
      <c r="AC119" s="457">
        <v>44321</v>
      </c>
      <c r="AD119" s="458">
        <v>44340</v>
      </c>
      <c r="AE119" s="454"/>
      <c r="AF119" s="459"/>
      <c r="AG119" s="460"/>
      <c r="AH119" s="458"/>
      <c r="AI119" s="454"/>
      <c r="AJ119" s="456"/>
      <c r="AK119" s="460"/>
      <c r="AL119" s="458"/>
      <c r="AM119" s="454"/>
      <c r="AN119" s="456"/>
      <c r="AO119" s="460"/>
      <c r="AP119" s="458"/>
      <c r="AQ119" s="454"/>
      <c r="AR119" s="456"/>
      <c r="AS119" s="460"/>
      <c r="AT119" s="458"/>
      <c r="AU119" s="154">
        <f t="shared" si="0"/>
        <v>13500</v>
      </c>
      <c r="AV119" s="461">
        <f t="shared" si="1"/>
        <v>13500</v>
      </c>
    </row>
    <row r="120" spans="1:237" s="148" customFormat="1" ht="22.5" x14ac:dyDescent="0.25">
      <c r="B120" s="149">
        <v>105</v>
      </c>
      <c r="C120" s="149" t="s">
        <v>40</v>
      </c>
      <c r="D120" s="450">
        <v>40026969</v>
      </c>
      <c r="E120" s="451" t="s">
        <v>2993</v>
      </c>
      <c r="F120" s="451" t="s">
        <v>897</v>
      </c>
      <c r="G120" s="452" t="s">
        <v>1902</v>
      </c>
      <c r="H120" s="463" t="s">
        <v>2984</v>
      </c>
      <c r="I120" s="453" t="s">
        <v>43</v>
      </c>
      <c r="J120" s="454">
        <v>425357</v>
      </c>
      <c r="K120" s="454">
        <v>0</v>
      </c>
      <c r="L120" s="454">
        <v>425356</v>
      </c>
      <c r="M120" s="454">
        <v>275357</v>
      </c>
      <c r="N120" s="454">
        <v>0</v>
      </c>
      <c r="O120" s="454">
        <v>0</v>
      </c>
      <c r="P120" s="454">
        <v>0</v>
      </c>
      <c r="Q120" s="454">
        <v>0</v>
      </c>
      <c r="R120" s="454">
        <v>0</v>
      </c>
      <c r="S120" s="454">
        <v>0</v>
      </c>
      <c r="T120" s="454"/>
      <c r="U120" s="454"/>
      <c r="V120" s="454"/>
      <c r="W120" s="454"/>
      <c r="X120" s="454"/>
      <c r="Y120" s="454"/>
      <c r="Z120" s="455">
        <f t="shared" si="4"/>
        <v>0</v>
      </c>
      <c r="AA120" s="454">
        <v>1</v>
      </c>
      <c r="AB120" s="456">
        <v>14</v>
      </c>
      <c r="AC120" s="457">
        <v>44321</v>
      </c>
      <c r="AD120" s="458">
        <v>44340</v>
      </c>
      <c r="AE120" s="454"/>
      <c r="AF120" s="459"/>
      <c r="AG120" s="460"/>
      <c r="AH120" s="458"/>
      <c r="AI120" s="454"/>
      <c r="AJ120" s="456"/>
      <c r="AK120" s="460"/>
      <c r="AL120" s="458"/>
      <c r="AM120" s="454"/>
      <c r="AN120" s="456"/>
      <c r="AO120" s="460"/>
      <c r="AP120" s="458"/>
      <c r="AQ120" s="454"/>
      <c r="AR120" s="456"/>
      <c r="AS120" s="460"/>
      <c r="AT120" s="458"/>
      <c r="AU120" s="154">
        <f t="shared" si="0"/>
        <v>1</v>
      </c>
      <c r="AV120" s="461">
        <f t="shared" si="1"/>
        <v>1</v>
      </c>
    </row>
    <row r="121" spans="1:237" s="148" customFormat="1" ht="22.5" x14ac:dyDescent="0.25">
      <c r="B121" s="149">
        <v>106</v>
      </c>
      <c r="C121" s="149" t="s">
        <v>38</v>
      </c>
      <c r="D121" s="450">
        <v>40010448</v>
      </c>
      <c r="E121" s="451" t="s">
        <v>2994</v>
      </c>
      <c r="F121" s="451" t="s">
        <v>897</v>
      </c>
      <c r="G121" s="452" t="s">
        <v>1902</v>
      </c>
      <c r="H121" s="463" t="s">
        <v>2857</v>
      </c>
      <c r="I121" s="453" t="s">
        <v>43</v>
      </c>
      <c r="J121" s="454">
        <v>1219988</v>
      </c>
      <c r="K121" s="454">
        <v>0</v>
      </c>
      <c r="L121" s="454">
        <v>1218908</v>
      </c>
      <c r="M121" s="454">
        <v>698988</v>
      </c>
      <c r="N121" s="454">
        <v>0</v>
      </c>
      <c r="O121" s="454">
        <v>0</v>
      </c>
      <c r="P121" s="454">
        <v>0</v>
      </c>
      <c r="Q121" s="454">
        <v>0</v>
      </c>
      <c r="R121" s="454">
        <v>0</v>
      </c>
      <c r="S121" s="454">
        <v>0</v>
      </c>
      <c r="T121" s="454"/>
      <c r="U121" s="454"/>
      <c r="V121" s="454"/>
      <c r="W121" s="454"/>
      <c r="X121" s="454"/>
      <c r="Y121" s="454"/>
      <c r="Z121" s="455">
        <f t="shared" si="4"/>
        <v>0</v>
      </c>
      <c r="AA121" s="454">
        <v>1080</v>
      </c>
      <c r="AB121" s="456">
        <v>15</v>
      </c>
      <c r="AC121" s="457">
        <v>44333</v>
      </c>
      <c r="AD121" s="458">
        <v>44355</v>
      </c>
      <c r="AE121" s="454"/>
      <c r="AF121" s="459"/>
      <c r="AG121" s="460"/>
      <c r="AH121" s="458"/>
      <c r="AI121" s="454"/>
      <c r="AJ121" s="456"/>
      <c r="AK121" s="460"/>
      <c r="AL121" s="458"/>
      <c r="AM121" s="454"/>
      <c r="AN121" s="456"/>
      <c r="AO121" s="460"/>
      <c r="AP121" s="458"/>
      <c r="AQ121" s="454"/>
      <c r="AR121" s="456"/>
      <c r="AS121" s="460"/>
      <c r="AT121" s="458"/>
      <c r="AU121" s="154">
        <f t="shared" si="0"/>
        <v>1080</v>
      </c>
      <c r="AV121" s="461">
        <f t="shared" si="1"/>
        <v>1080</v>
      </c>
    </row>
    <row r="122" spans="1:237" s="148" customFormat="1" x14ac:dyDescent="0.25">
      <c r="B122" s="149">
        <v>107</v>
      </c>
      <c r="C122" s="149" t="s">
        <v>38</v>
      </c>
      <c r="D122" s="450">
        <v>40018464</v>
      </c>
      <c r="E122" s="451" t="s">
        <v>2995</v>
      </c>
      <c r="F122" s="451" t="s">
        <v>897</v>
      </c>
      <c r="G122" s="452" t="s">
        <v>1902</v>
      </c>
      <c r="H122" s="463" t="s">
        <v>2984</v>
      </c>
      <c r="I122" s="453" t="s">
        <v>43</v>
      </c>
      <c r="J122" s="454">
        <v>31527</v>
      </c>
      <c r="K122" s="454">
        <v>0</v>
      </c>
      <c r="L122" s="454">
        <v>0</v>
      </c>
      <c r="M122" s="454">
        <v>0</v>
      </c>
      <c r="N122" s="454">
        <v>0</v>
      </c>
      <c r="O122" s="454">
        <v>0</v>
      </c>
      <c r="P122" s="454">
        <v>0</v>
      </c>
      <c r="Q122" s="454">
        <v>0</v>
      </c>
      <c r="R122" s="454">
        <v>0</v>
      </c>
      <c r="S122" s="454">
        <v>0</v>
      </c>
      <c r="T122" s="454"/>
      <c r="U122" s="454"/>
      <c r="V122" s="454"/>
      <c r="W122" s="454"/>
      <c r="X122" s="454"/>
      <c r="Y122" s="454"/>
      <c r="Z122" s="455">
        <f t="shared" si="4"/>
        <v>0</v>
      </c>
      <c r="AA122" s="454">
        <v>31527</v>
      </c>
      <c r="AB122" s="456">
        <v>15</v>
      </c>
      <c r="AC122" s="457">
        <v>44333</v>
      </c>
      <c r="AD122" s="458">
        <v>44355</v>
      </c>
      <c r="AE122" s="454"/>
      <c r="AF122" s="459"/>
      <c r="AG122" s="460"/>
      <c r="AH122" s="458"/>
      <c r="AI122" s="454"/>
      <c r="AJ122" s="456"/>
      <c r="AK122" s="460"/>
      <c r="AL122" s="458"/>
      <c r="AM122" s="454"/>
      <c r="AN122" s="456"/>
      <c r="AO122" s="460"/>
      <c r="AP122" s="458"/>
      <c r="AQ122" s="454"/>
      <c r="AR122" s="456"/>
      <c r="AS122" s="460"/>
      <c r="AT122" s="458"/>
      <c r="AU122" s="154">
        <f t="shared" si="0"/>
        <v>31527</v>
      </c>
      <c r="AV122" s="461">
        <f t="shared" si="1"/>
        <v>31527</v>
      </c>
    </row>
    <row r="123" spans="1:237" s="15" customFormat="1" x14ac:dyDescent="0.25">
      <c r="A123" s="148"/>
      <c r="B123" s="307"/>
      <c r="C123" s="307"/>
      <c r="D123" s="450"/>
      <c r="E123" s="577"/>
      <c r="F123" s="577"/>
      <c r="G123" s="533"/>
      <c r="H123" s="553"/>
      <c r="I123" s="534"/>
      <c r="J123" s="481"/>
      <c r="K123" s="535"/>
      <c r="L123" s="535"/>
      <c r="M123" s="535"/>
      <c r="N123" s="535"/>
      <c r="O123" s="535"/>
      <c r="P123" s="535"/>
      <c r="Q123" s="535"/>
      <c r="R123" s="535"/>
      <c r="S123" s="535"/>
      <c r="T123" s="535"/>
      <c r="U123" s="535"/>
      <c r="V123" s="535"/>
      <c r="W123" s="535"/>
      <c r="X123" s="535"/>
      <c r="Y123" s="535"/>
      <c r="Z123" s="660"/>
      <c r="AA123" s="591"/>
      <c r="AB123" s="558"/>
      <c r="AC123" s="540"/>
      <c r="AD123" s="542"/>
      <c r="AE123" s="454"/>
      <c r="AF123" s="459"/>
      <c r="AG123" s="460"/>
      <c r="AH123" s="458"/>
      <c r="AI123" s="454"/>
      <c r="AJ123" s="456"/>
      <c r="AK123" s="460"/>
      <c r="AL123" s="458"/>
      <c r="AM123" s="454"/>
      <c r="AN123" s="456"/>
      <c r="AO123" s="460"/>
      <c r="AP123" s="458"/>
      <c r="AQ123" s="454"/>
      <c r="AR123" s="456"/>
      <c r="AS123" s="460"/>
      <c r="AT123" s="458"/>
      <c r="AU123" s="22"/>
      <c r="AV123" s="546"/>
      <c r="AW123" s="148"/>
      <c r="AX123" s="148"/>
      <c r="AY123" s="148"/>
      <c r="AZ123" s="148"/>
      <c r="BA123" s="148"/>
      <c r="BB123" s="148"/>
      <c r="BC123" s="148"/>
      <c r="BD123" s="148"/>
      <c r="BE123" s="148"/>
      <c r="BF123" s="148"/>
      <c r="BG123" s="148"/>
      <c r="BH123" s="148"/>
      <c r="BI123" s="148"/>
      <c r="BJ123" s="148"/>
      <c r="BK123" s="148"/>
      <c r="BL123" s="148"/>
      <c r="BM123" s="148"/>
      <c r="BN123" s="148"/>
      <c r="BO123" s="148"/>
      <c r="BP123" s="148"/>
      <c r="BQ123" s="148"/>
      <c r="BR123" s="148"/>
      <c r="BS123" s="148"/>
      <c r="BT123" s="148"/>
      <c r="BU123" s="148"/>
      <c r="BV123" s="148"/>
      <c r="BW123" s="148"/>
      <c r="BX123" s="148"/>
      <c r="BY123" s="148"/>
      <c r="BZ123" s="148"/>
      <c r="CA123" s="148"/>
      <c r="CB123" s="148"/>
      <c r="CC123" s="148"/>
      <c r="CD123" s="148"/>
      <c r="CE123" s="148"/>
      <c r="CF123" s="148"/>
      <c r="CG123" s="148"/>
      <c r="CH123" s="148"/>
      <c r="CI123" s="148"/>
      <c r="CJ123" s="148"/>
      <c r="CK123" s="148"/>
      <c r="CL123" s="148"/>
      <c r="CM123" s="148"/>
      <c r="CN123" s="148"/>
      <c r="CO123" s="148"/>
      <c r="CP123" s="148"/>
      <c r="CQ123" s="148"/>
      <c r="CR123" s="148"/>
      <c r="CS123" s="148"/>
      <c r="CT123" s="148"/>
      <c r="CU123" s="148"/>
      <c r="CV123" s="148"/>
      <c r="CW123" s="148"/>
      <c r="CX123" s="148"/>
      <c r="CY123" s="148"/>
      <c r="CZ123" s="148"/>
      <c r="DA123" s="148"/>
      <c r="DB123" s="148"/>
      <c r="DC123" s="148"/>
      <c r="DD123" s="148"/>
      <c r="DE123" s="148"/>
      <c r="DF123" s="148"/>
      <c r="DG123" s="148"/>
      <c r="DH123" s="148"/>
      <c r="DI123" s="148"/>
      <c r="DJ123" s="148"/>
      <c r="DK123" s="148"/>
      <c r="DL123" s="148"/>
      <c r="DM123" s="148"/>
      <c r="DN123" s="148"/>
      <c r="DO123" s="148"/>
      <c r="DP123" s="148"/>
      <c r="DQ123" s="148"/>
      <c r="DR123" s="148"/>
      <c r="DS123" s="148"/>
      <c r="DT123" s="148"/>
      <c r="DU123" s="148"/>
      <c r="DV123" s="148"/>
      <c r="DW123" s="148"/>
      <c r="DX123" s="148"/>
      <c r="DY123" s="148"/>
      <c r="DZ123" s="148"/>
      <c r="EA123" s="148"/>
      <c r="EB123" s="148"/>
      <c r="EC123" s="148"/>
      <c r="ED123" s="148"/>
      <c r="EE123" s="148"/>
      <c r="EF123" s="148"/>
      <c r="EG123" s="148"/>
      <c r="EH123" s="148"/>
      <c r="EI123" s="148"/>
      <c r="EJ123" s="148"/>
      <c r="EK123" s="148"/>
      <c r="EL123" s="148"/>
      <c r="EM123" s="148"/>
      <c r="EN123" s="148"/>
      <c r="EO123" s="148"/>
      <c r="EP123" s="148"/>
      <c r="EQ123" s="148"/>
      <c r="ER123" s="148"/>
      <c r="ES123" s="148"/>
      <c r="ET123" s="148"/>
      <c r="EU123" s="148"/>
      <c r="EV123" s="148"/>
      <c r="EW123" s="148"/>
      <c r="EX123" s="148"/>
      <c r="EY123" s="148"/>
      <c r="EZ123" s="148"/>
      <c r="FA123" s="148"/>
      <c r="FB123" s="148"/>
      <c r="FC123" s="148"/>
      <c r="FD123" s="148"/>
      <c r="FE123" s="148"/>
      <c r="FF123" s="148"/>
      <c r="FG123" s="148"/>
      <c r="FH123" s="148"/>
      <c r="FI123" s="148"/>
      <c r="FJ123" s="148"/>
      <c r="FK123" s="148"/>
      <c r="FL123" s="148"/>
      <c r="FM123" s="148"/>
      <c r="FN123" s="148"/>
      <c r="FO123" s="148"/>
      <c r="FP123" s="148"/>
      <c r="FQ123" s="148"/>
      <c r="FR123" s="148"/>
      <c r="FS123" s="148"/>
      <c r="FT123" s="148"/>
      <c r="FU123" s="148"/>
      <c r="FV123" s="148"/>
      <c r="FW123" s="148"/>
      <c r="FX123" s="148"/>
      <c r="FY123" s="148"/>
      <c r="FZ123" s="148"/>
      <c r="GA123" s="148"/>
      <c r="GB123" s="148"/>
      <c r="GC123" s="148"/>
      <c r="GD123" s="148"/>
      <c r="GE123" s="148"/>
      <c r="GF123" s="148"/>
      <c r="GG123" s="148"/>
      <c r="GH123" s="148"/>
      <c r="GI123" s="148"/>
      <c r="GJ123" s="148"/>
      <c r="GK123" s="148"/>
      <c r="GL123" s="148"/>
      <c r="GM123" s="148"/>
      <c r="GN123" s="148"/>
      <c r="GO123" s="148"/>
      <c r="GP123" s="148"/>
      <c r="GQ123" s="148"/>
      <c r="GR123" s="148"/>
      <c r="GS123" s="148"/>
      <c r="GT123" s="148"/>
      <c r="GU123" s="148"/>
      <c r="GV123" s="148"/>
      <c r="GW123" s="148"/>
      <c r="GX123" s="148"/>
      <c r="GY123" s="148"/>
      <c r="GZ123" s="148"/>
      <c r="HA123" s="148"/>
      <c r="HB123" s="148"/>
      <c r="HC123" s="148"/>
      <c r="HD123" s="148"/>
      <c r="HE123" s="148"/>
      <c r="HF123" s="148"/>
      <c r="HG123" s="148"/>
      <c r="HH123" s="148"/>
      <c r="HI123" s="148"/>
      <c r="HJ123" s="148"/>
      <c r="HK123" s="148"/>
      <c r="HL123" s="148"/>
      <c r="HM123" s="148"/>
      <c r="HN123" s="148"/>
      <c r="HO123" s="148"/>
      <c r="HP123" s="148"/>
      <c r="HQ123" s="148"/>
      <c r="HR123" s="148"/>
      <c r="HS123" s="148"/>
      <c r="HT123" s="148"/>
      <c r="HU123" s="148"/>
      <c r="HV123" s="148"/>
      <c r="HW123" s="148"/>
      <c r="HX123" s="148"/>
      <c r="HY123" s="148"/>
      <c r="HZ123" s="148"/>
      <c r="IA123" s="148"/>
      <c r="IB123" s="148"/>
      <c r="IC123" s="148"/>
    </row>
    <row r="124" spans="1:237" s="15" customFormat="1" x14ac:dyDescent="0.25">
      <c r="A124" s="148"/>
      <c r="B124" s="307"/>
      <c r="C124" s="307"/>
      <c r="D124" s="450"/>
      <c r="E124" s="577"/>
      <c r="F124" s="577"/>
      <c r="G124" s="533"/>
      <c r="H124" s="553"/>
      <c r="I124" s="534"/>
      <c r="J124" s="534"/>
      <c r="K124" s="535"/>
      <c r="L124" s="535"/>
      <c r="M124" s="535"/>
      <c r="N124" s="535"/>
      <c r="O124" s="535"/>
      <c r="P124" s="535"/>
      <c r="Q124" s="535"/>
      <c r="R124" s="535"/>
      <c r="S124" s="535"/>
      <c r="T124" s="535"/>
      <c r="U124" s="535"/>
      <c r="V124" s="535"/>
      <c r="W124" s="535"/>
      <c r="X124" s="535"/>
      <c r="Y124" s="535"/>
      <c r="Z124" s="660"/>
      <c r="AA124" s="591"/>
      <c r="AB124" s="558"/>
      <c r="AC124" s="540"/>
      <c r="AD124" s="542"/>
      <c r="AE124" s="454"/>
      <c r="AF124" s="459"/>
      <c r="AG124" s="460"/>
      <c r="AH124" s="458"/>
      <c r="AI124" s="454"/>
      <c r="AJ124" s="456"/>
      <c r="AK124" s="460"/>
      <c r="AL124" s="458"/>
      <c r="AM124" s="454"/>
      <c r="AN124" s="456"/>
      <c r="AO124" s="460"/>
      <c r="AP124" s="458"/>
      <c r="AQ124" s="454"/>
      <c r="AR124" s="456"/>
      <c r="AS124" s="460"/>
      <c r="AT124" s="458"/>
      <c r="AU124" s="22"/>
      <c r="AV124" s="546"/>
      <c r="AW124" s="148"/>
      <c r="AX124" s="148"/>
      <c r="AY124" s="148"/>
      <c r="AZ124" s="148"/>
      <c r="BA124" s="148"/>
      <c r="BB124" s="148"/>
      <c r="BC124" s="148"/>
      <c r="BD124" s="148"/>
      <c r="BE124" s="148"/>
      <c r="BF124" s="148"/>
      <c r="BG124" s="148"/>
      <c r="BH124" s="148"/>
      <c r="BI124" s="148"/>
      <c r="BJ124" s="148"/>
      <c r="BK124" s="148"/>
      <c r="BL124" s="148"/>
      <c r="BM124" s="148"/>
      <c r="BN124" s="148"/>
      <c r="BO124" s="148"/>
      <c r="BP124" s="148"/>
      <c r="BQ124" s="148"/>
      <c r="BR124" s="148"/>
      <c r="BS124" s="148"/>
      <c r="BT124" s="148"/>
      <c r="BU124" s="148"/>
      <c r="BV124" s="148"/>
      <c r="BW124" s="148"/>
      <c r="BX124" s="148"/>
      <c r="BY124" s="148"/>
      <c r="BZ124" s="148"/>
      <c r="CA124" s="148"/>
      <c r="CB124" s="148"/>
      <c r="CC124" s="148"/>
      <c r="CD124" s="148"/>
      <c r="CE124" s="148"/>
      <c r="CF124" s="148"/>
      <c r="CG124" s="148"/>
      <c r="CH124" s="148"/>
      <c r="CI124" s="148"/>
      <c r="CJ124" s="148"/>
      <c r="CK124" s="148"/>
      <c r="CL124" s="148"/>
      <c r="CM124" s="148"/>
      <c r="CN124" s="148"/>
      <c r="CO124" s="148"/>
      <c r="CP124" s="148"/>
      <c r="CQ124" s="148"/>
      <c r="CR124" s="148"/>
      <c r="CS124" s="148"/>
      <c r="CT124" s="148"/>
      <c r="CU124" s="148"/>
      <c r="CV124" s="148"/>
      <c r="CW124" s="148"/>
      <c r="CX124" s="148"/>
      <c r="CY124" s="148"/>
      <c r="CZ124" s="148"/>
      <c r="DA124" s="148"/>
      <c r="DB124" s="148"/>
      <c r="DC124" s="148"/>
      <c r="DD124" s="148"/>
      <c r="DE124" s="148"/>
      <c r="DF124" s="148"/>
      <c r="DG124" s="148"/>
      <c r="DH124" s="148"/>
      <c r="DI124" s="148"/>
      <c r="DJ124" s="148"/>
      <c r="DK124" s="148"/>
      <c r="DL124" s="148"/>
      <c r="DM124" s="148"/>
      <c r="DN124" s="148"/>
      <c r="DO124" s="148"/>
      <c r="DP124" s="148"/>
      <c r="DQ124" s="148"/>
      <c r="DR124" s="148"/>
      <c r="DS124" s="148"/>
      <c r="DT124" s="148"/>
      <c r="DU124" s="148"/>
      <c r="DV124" s="148"/>
      <c r="DW124" s="148"/>
      <c r="DX124" s="148"/>
      <c r="DY124" s="148"/>
      <c r="DZ124" s="148"/>
      <c r="EA124" s="148"/>
      <c r="EB124" s="148"/>
      <c r="EC124" s="148"/>
      <c r="ED124" s="148"/>
      <c r="EE124" s="148"/>
      <c r="EF124" s="148"/>
      <c r="EG124" s="148"/>
      <c r="EH124" s="148"/>
      <c r="EI124" s="148"/>
      <c r="EJ124" s="148"/>
      <c r="EK124" s="148"/>
      <c r="EL124" s="148"/>
      <c r="EM124" s="148"/>
      <c r="EN124" s="148"/>
      <c r="EO124" s="148"/>
      <c r="EP124" s="148"/>
      <c r="EQ124" s="148"/>
      <c r="ER124" s="148"/>
      <c r="ES124" s="148"/>
      <c r="ET124" s="148"/>
      <c r="EU124" s="148"/>
      <c r="EV124" s="148"/>
      <c r="EW124" s="148"/>
      <c r="EX124" s="148"/>
      <c r="EY124" s="148"/>
      <c r="EZ124" s="148"/>
      <c r="FA124" s="148"/>
      <c r="FB124" s="148"/>
      <c r="FC124" s="148"/>
      <c r="FD124" s="148"/>
      <c r="FE124" s="148"/>
      <c r="FF124" s="148"/>
      <c r="FG124" s="148"/>
      <c r="FH124" s="148"/>
      <c r="FI124" s="148"/>
      <c r="FJ124" s="148"/>
      <c r="FK124" s="148"/>
      <c r="FL124" s="148"/>
      <c r="FM124" s="148"/>
      <c r="FN124" s="148"/>
      <c r="FO124" s="148"/>
      <c r="FP124" s="148"/>
      <c r="FQ124" s="148"/>
      <c r="FR124" s="148"/>
      <c r="FS124" s="148"/>
      <c r="FT124" s="148"/>
      <c r="FU124" s="148"/>
      <c r="FV124" s="148"/>
      <c r="FW124" s="148"/>
      <c r="FX124" s="148"/>
      <c r="FY124" s="148"/>
      <c r="FZ124" s="148"/>
      <c r="GA124" s="148"/>
      <c r="GB124" s="148"/>
      <c r="GC124" s="148"/>
      <c r="GD124" s="148"/>
      <c r="GE124" s="148"/>
      <c r="GF124" s="148"/>
      <c r="GG124" s="148"/>
      <c r="GH124" s="148"/>
      <c r="GI124" s="148"/>
      <c r="GJ124" s="148"/>
      <c r="GK124" s="148"/>
      <c r="GL124" s="148"/>
      <c r="GM124" s="148"/>
      <c r="GN124" s="148"/>
      <c r="GO124" s="148"/>
      <c r="GP124" s="148"/>
      <c r="GQ124" s="148"/>
      <c r="GR124" s="148"/>
      <c r="GS124" s="148"/>
      <c r="GT124" s="148"/>
      <c r="GU124" s="148"/>
      <c r="GV124" s="148"/>
      <c r="GW124" s="148"/>
      <c r="GX124" s="148"/>
      <c r="GY124" s="148"/>
      <c r="GZ124" s="148"/>
      <c r="HA124" s="148"/>
      <c r="HB124" s="148"/>
      <c r="HC124" s="148"/>
      <c r="HD124" s="148"/>
      <c r="HE124" s="148"/>
      <c r="HF124" s="148"/>
      <c r="HG124" s="148"/>
      <c r="HH124" s="148"/>
      <c r="HI124" s="148"/>
      <c r="HJ124" s="148"/>
      <c r="HK124" s="148"/>
      <c r="HL124" s="148"/>
      <c r="HM124" s="148"/>
      <c r="HN124" s="148"/>
      <c r="HO124" s="148"/>
      <c r="HP124" s="148"/>
      <c r="HQ124" s="148"/>
      <c r="HR124" s="148"/>
      <c r="HS124" s="148"/>
      <c r="HT124" s="148"/>
      <c r="HU124" s="148"/>
      <c r="HV124" s="148"/>
      <c r="HW124" s="148"/>
      <c r="HX124" s="148"/>
      <c r="HY124" s="148"/>
      <c r="HZ124" s="148"/>
      <c r="IA124" s="148"/>
      <c r="IB124" s="148"/>
      <c r="IC124" s="148"/>
    </row>
    <row r="125" spans="1:237" s="15" customFormat="1" x14ac:dyDescent="0.25">
      <c r="A125" s="148"/>
      <c r="B125" s="307"/>
      <c r="C125" s="307"/>
      <c r="D125" s="450"/>
      <c r="E125" s="577"/>
      <c r="F125" s="577"/>
      <c r="G125" s="533"/>
      <c r="H125" s="553"/>
      <c r="I125" s="534"/>
      <c r="J125" s="534"/>
      <c r="K125" s="535"/>
      <c r="L125" s="535"/>
      <c r="M125" s="535"/>
      <c r="N125" s="535"/>
      <c r="O125" s="535"/>
      <c r="P125" s="535"/>
      <c r="Q125" s="535"/>
      <c r="R125" s="535"/>
      <c r="S125" s="535"/>
      <c r="T125" s="535"/>
      <c r="U125" s="535"/>
      <c r="V125" s="535"/>
      <c r="W125" s="535"/>
      <c r="X125" s="535"/>
      <c r="Y125" s="535"/>
      <c r="Z125" s="660"/>
      <c r="AA125" s="591"/>
      <c r="AB125" s="558"/>
      <c r="AC125" s="540"/>
      <c r="AD125" s="542"/>
      <c r="AE125" s="454"/>
      <c r="AF125" s="459"/>
      <c r="AG125" s="460"/>
      <c r="AH125" s="458"/>
      <c r="AI125" s="454"/>
      <c r="AJ125" s="456"/>
      <c r="AK125" s="460"/>
      <c r="AL125" s="458"/>
      <c r="AM125" s="454"/>
      <c r="AN125" s="456"/>
      <c r="AO125" s="460"/>
      <c r="AP125" s="458"/>
      <c r="AQ125" s="454"/>
      <c r="AR125" s="456"/>
      <c r="AS125" s="460"/>
      <c r="AT125" s="458"/>
      <c r="AU125" s="22"/>
      <c r="AV125" s="546"/>
      <c r="AW125" s="148"/>
      <c r="AX125" s="148"/>
      <c r="AY125" s="148"/>
      <c r="AZ125" s="148"/>
      <c r="BA125" s="148"/>
      <c r="BB125" s="148"/>
      <c r="BC125" s="148"/>
      <c r="BD125" s="148"/>
      <c r="BE125" s="148"/>
      <c r="BF125" s="148"/>
      <c r="BG125" s="148"/>
      <c r="BH125" s="148"/>
      <c r="BI125" s="148"/>
      <c r="BJ125" s="148"/>
      <c r="BK125" s="148"/>
      <c r="BL125" s="148"/>
      <c r="BM125" s="148"/>
      <c r="BN125" s="148"/>
      <c r="BO125" s="148"/>
      <c r="BP125" s="148"/>
      <c r="BQ125" s="148"/>
      <c r="BR125" s="148"/>
      <c r="BS125" s="148"/>
      <c r="BT125" s="148"/>
      <c r="BU125" s="148"/>
      <c r="BV125" s="148"/>
      <c r="BW125" s="148"/>
      <c r="BX125" s="148"/>
      <c r="BY125" s="148"/>
      <c r="BZ125" s="148"/>
      <c r="CA125" s="148"/>
      <c r="CB125" s="148"/>
      <c r="CC125" s="148"/>
      <c r="CD125" s="148"/>
      <c r="CE125" s="148"/>
      <c r="CF125" s="148"/>
      <c r="CG125" s="148"/>
      <c r="CH125" s="148"/>
      <c r="CI125" s="148"/>
      <c r="CJ125" s="148"/>
      <c r="CK125" s="148"/>
      <c r="CL125" s="148"/>
      <c r="CM125" s="148"/>
      <c r="CN125" s="148"/>
      <c r="CO125" s="148"/>
      <c r="CP125" s="148"/>
      <c r="CQ125" s="148"/>
      <c r="CR125" s="148"/>
      <c r="CS125" s="148"/>
      <c r="CT125" s="148"/>
      <c r="CU125" s="148"/>
      <c r="CV125" s="148"/>
      <c r="CW125" s="148"/>
      <c r="CX125" s="148"/>
      <c r="CY125" s="148"/>
      <c r="CZ125" s="148"/>
      <c r="DA125" s="148"/>
      <c r="DB125" s="148"/>
      <c r="DC125" s="148"/>
      <c r="DD125" s="148"/>
      <c r="DE125" s="148"/>
      <c r="DF125" s="148"/>
      <c r="DG125" s="148"/>
      <c r="DH125" s="148"/>
      <c r="DI125" s="148"/>
      <c r="DJ125" s="148"/>
      <c r="DK125" s="148"/>
      <c r="DL125" s="148"/>
      <c r="DM125" s="148"/>
      <c r="DN125" s="148"/>
      <c r="DO125" s="148"/>
      <c r="DP125" s="148"/>
      <c r="DQ125" s="148"/>
      <c r="DR125" s="148"/>
      <c r="DS125" s="148"/>
      <c r="DT125" s="148"/>
      <c r="DU125" s="148"/>
      <c r="DV125" s="148"/>
      <c r="DW125" s="148"/>
      <c r="DX125" s="148"/>
      <c r="DY125" s="148"/>
      <c r="DZ125" s="148"/>
      <c r="EA125" s="148"/>
      <c r="EB125" s="148"/>
      <c r="EC125" s="148"/>
      <c r="ED125" s="148"/>
      <c r="EE125" s="148"/>
      <c r="EF125" s="148"/>
      <c r="EG125" s="148"/>
      <c r="EH125" s="148"/>
      <c r="EI125" s="148"/>
      <c r="EJ125" s="148"/>
      <c r="EK125" s="148"/>
      <c r="EL125" s="148"/>
      <c r="EM125" s="148"/>
      <c r="EN125" s="148"/>
      <c r="EO125" s="148"/>
      <c r="EP125" s="148"/>
      <c r="EQ125" s="148"/>
      <c r="ER125" s="148"/>
      <c r="ES125" s="148"/>
      <c r="ET125" s="148"/>
      <c r="EU125" s="148"/>
      <c r="EV125" s="148"/>
      <c r="EW125" s="148"/>
      <c r="EX125" s="148"/>
      <c r="EY125" s="148"/>
      <c r="EZ125" s="148"/>
      <c r="FA125" s="148"/>
      <c r="FB125" s="148"/>
      <c r="FC125" s="148"/>
      <c r="FD125" s="148"/>
      <c r="FE125" s="148"/>
      <c r="FF125" s="148"/>
      <c r="FG125" s="148"/>
      <c r="FH125" s="148"/>
      <c r="FI125" s="148"/>
      <c r="FJ125" s="148"/>
      <c r="FK125" s="148"/>
      <c r="FL125" s="148"/>
      <c r="FM125" s="148"/>
      <c r="FN125" s="148"/>
      <c r="FO125" s="148"/>
      <c r="FP125" s="148"/>
      <c r="FQ125" s="148"/>
      <c r="FR125" s="148"/>
      <c r="FS125" s="148"/>
      <c r="FT125" s="148"/>
      <c r="FU125" s="148"/>
      <c r="FV125" s="148"/>
      <c r="FW125" s="148"/>
      <c r="FX125" s="148"/>
      <c r="FY125" s="148"/>
      <c r="FZ125" s="148"/>
      <c r="GA125" s="148"/>
      <c r="GB125" s="148"/>
      <c r="GC125" s="148"/>
      <c r="GD125" s="148"/>
      <c r="GE125" s="148"/>
      <c r="GF125" s="148"/>
      <c r="GG125" s="148"/>
      <c r="GH125" s="148"/>
      <c r="GI125" s="148"/>
      <c r="GJ125" s="148"/>
      <c r="GK125" s="148"/>
      <c r="GL125" s="148"/>
      <c r="GM125" s="148"/>
      <c r="GN125" s="148"/>
      <c r="GO125" s="148"/>
      <c r="GP125" s="148"/>
      <c r="GQ125" s="148"/>
      <c r="GR125" s="148"/>
      <c r="GS125" s="148"/>
      <c r="GT125" s="148"/>
      <c r="GU125" s="148"/>
      <c r="GV125" s="148"/>
      <c r="GW125" s="148"/>
      <c r="GX125" s="148"/>
      <c r="GY125" s="148"/>
      <c r="GZ125" s="148"/>
      <c r="HA125" s="148"/>
      <c r="HB125" s="148"/>
      <c r="HC125" s="148"/>
      <c r="HD125" s="148"/>
      <c r="HE125" s="148"/>
      <c r="HF125" s="148"/>
      <c r="HG125" s="148"/>
      <c r="HH125" s="148"/>
      <c r="HI125" s="148"/>
      <c r="HJ125" s="148"/>
      <c r="HK125" s="148"/>
      <c r="HL125" s="148"/>
      <c r="HM125" s="148"/>
      <c r="HN125" s="148"/>
      <c r="HO125" s="148"/>
      <c r="HP125" s="148"/>
      <c r="HQ125" s="148"/>
      <c r="HR125" s="148"/>
      <c r="HS125" s="148"/>
      <c r="HT125" s="148"/>
      <c r="HU125" s="148"/>
      <c r="HV125" s="148"/>
      <c r="HW125" s="148"/>
      <c r="HX125" s="148"/>
      <c r="HY125" s="148"/>
      <c r="HZ125" s="148"/>
      <c r="IA125" s="148"/>
      <c r="IB125" s="148"/>
      <c r="IC125" s="148"/>
    </row>
    <row r="126" spans="1:237" s="15" customFormat="1" x14ac:dyDescent="0.25">
      <c r="A126" s="148"/>
      <c r="B126" s="307"/>
      <c r="C126" s="307"/>
      <c r="D126" s="450"/>
      <c r="E126" s="577"/>
      <c r="F126" s="577"/>
      <c r="G126" s="533"/>
      <c r="H126" s="553"/>
      <c r="I126" s="534"/>
      <c r="J126" s="534"/>
      <c r="K126" s="535"/>
      <c r="L126" s="535"/>
      <c r="M126" s="535"/>
      <c r="N126" s="535"/>
      <c r="O126" s="535"/>
      <c r="P126" s="535"/>
      <c r="Q126" s="535"/>
      <c r="R126" s="535"/>
      <c r="S126" s="535"/>
      <c r="T126" s="535"/>
      <c r="U126" s="535"/>
      <c r="V126" s="535"/>
      <c r="W126" s="535"/>
      <c r="X126" s="535"/>
      <c r="Y126" s="535"/>
      <c r="Z126" s="660"/>
      <c r="AA126" s="591"/>
      <c r="AB126" s="558"/>
      <c r="AC126" s="540"/>
      <c r="AD126" s="542"/>
      <c r="AE126" s="454"/>
      <c r="AF126" s="459"/>
      <c r="AG126" s="460"/>
      <c r="AH126" s="458"/>
      <c r="AI126" s="454"/>
      <c r="AJ126" s="456"/>
      <c r="AK126" s="460"/>
      <c r="AL126" s="458"/>
      <c r="AM126" s="454"/>
      <c r="AN126" s="456"/>
      <c r="AO126" s="460"/>
      <c r="AP126" s="458"/>
      <c r="AQ126" s="454"/>
      <c r="AR126" s="456"/>
      <c r="AS126" s="460"/>
      <c r="AT126" s="458"/>
      <c r="AU126" s="22"/>
      <c r="AV126" s="546"/>
      <c r="AW126" s="148"/>
      <c r="AX126" s="148"/>
      <c r="AY126" s="148"/>
      <c r="AZ126" s="148"/>
      <c r="BA126" s="148"/>
      <c r="BB126" s="148"/>
      <c r="BC126" s="148"/>
      <c r="BD126" s="148"/>
      <c r="BE126" s="148"/>
      <c r="BF126" s="148"/>
      <c r="BG126" s="148"/>
      <c r="BH126" s="148"/>
      <c r="BI126" s="148"/>
      <c r="BJ126" s="148"/>
      <c r="BK126" s="148"/>
      <c r="BL126" s="148"/>
      <c r="BM126" s="148"/>
      <c r="BN126" s="148"/>
      <c r="BO126" s="148"/>
      <c r="BP126" s="148"/>
      <c r="BQ126" s="148"/>
      <c r="BR126" s="148"/>
      <c r="BS126" s="148"/>
      <c r="BT126" s="148"/>
      <c r="BU126" s="148"/>
      <c r="BV126" s="148"/>
      <c r="BW126" s="148"/>
      <c r="BX126" s="148"/>
      <c r="BY126" s="148"/>
      <c r="BZ126" s="148"/>
      <c r="CA126" s="148"/>
      <c r="CB126" s="148"/>
      <c r="CC126" s="148"/>
      <c r="CD126" s="148"/>
      <c r="CE126" s="148"/>
      <c r="CF126" s="148"/>
      <c r="CG126" s="148"/>
      <c r="CH126" s="148"/>
      <c r="CI126" s="148"/>
      <c r="CJ126" s="148"/>
      <c r="CK126" s="148"/>
      <c r="CL126" s="148"/>
      <c r="CM126" s="148"/>
      <c r="CN126" s="148"/>
      <c r="CO126" s="148"/>
      <c r="CP126" s="148"/>
      <c r="CQ126" s="148"/>
      <c r="CR126" s="148"/>
      <c r="CS126" s="148"/>
      <c r="CT126" s="148"/>
      <c r="CU126" s="148"/>
      <c r="CV126" s="148"/>
      <c r="CW126" s="148"/>
      <c r="CX126" s="148"/>
      <c r="CY126" s="148"/>
      <c r="CZ126" s="148"/>
      <c r="DA126" s="148"/>
      <c r="DB126" s="148"/>
      <c r="DC126" s="148"/>
      <c r="DD126" s="148"/>
      <c r="DE126" s="148"/>
      <c r="DF126" s="148"/>
      <c r="DG126" s="148"/>
      <c r="DH126" s="148"/>
      <c r="DI126" s="148"/>
      <c r="DJ126" s="148"/>
      <c r="DK126" s="148"/>
      <c r="DL126" s="148"/>
      <c r="DM126" s="148"/>
      <c r="DN126" s="148"/>
      <c r="DO126" s="148"/>
      <c r="DP126" s="148"/>
      <c r="DQ126" s="148"/>
      <c r="DR126" s="148"/>
      <c r="DS126" s="148"/>
      <c r="DT126" s="148"/>
      <c r="DU126" s="148"/>
      <c r="DV126" s="148"/>
      <c r="DW126" s="148"/>
      <c r="DX126" s="148"/>
      <c r="DY126" s="148"/>
      <c r="DZ126" s="148"/>
      <c r="EA126" s="148"/>
      <c r="EB126" s="148"/>
      <c r="EC126" s="148"/>
      <c r="ED126" s="148"/>
      <c r="EE126" s="148"/>
      <c r="EF126" s="148"/>
      <c r="EG126" s="148"/>
      <c r="EH126" s="148"/>
      <c r="EI126" s="148"/>
      <c r="EJ126" s="148"/>
      <c r="EK126" s="148"/>
      <c r="EL126" s="148"/>
      <c r="EM126" s="148"/>
      <c r="EN126" s="148"/>
      <c r="EO126" s="148"/>
      <c r="EP126" s="148"/>
      <c r="EQ126" s="148"/>
      <c r="ER126" s="148"/>
      <c r="ES126" s="148"/>
      <c r="ET126" s="148"/>
      <c r="EU126" s="148"/>
      <c r="EV126" s="148"/>
      <c r="EW126" s="148"/>
      <c r="EX126" s="148"/>
      <c r="EY126" s="148"/>
      <c r="EZ126" s="148"/>
      <c r="FA126" s="148"/>
      <c r="FB126" s="148"/>
      <c r="FC126" s="148"/>
      <c r="FD126" s="148"/>
      <c r="FE126" s="148"/>
      <c r="FF126" s="148"/>
      <c r="FG126" s="148"/>
      <c r="FH126" s="148"/>
      <c r="FI126" s="148"/>
      <c r="FJ126" s="148"/>
      <c r="FK126" s="148"/>
      <c r="FL126" s="148"/>
      <c r="FM126" s="148"/>
      <c r="FN126" s="148"/>
      <c r="FO126" s="148"/>
      <c r="FP126" s="148"/>
      <c r="FQ126" s="148"/>
      <c r="FR126" s="148"/>
      <c r="FS126" s="148"/>
      <c r="FT126" s="148"/>
      <c r="FU126" s="148"/>
      <c r="FV126" s="148"/>
      <c r="FW126" s="148"/>
      <c r="FX126" s="148"/>
      <c r="FY126" s="148"/>
      <c r="FZ126" s="148"/>
      <c r="GA126" s="148"/>
      <c r="GB126" s="148"/>
      <c r="GC126" s="148"/>
      <c r="GD126" s="148"/>
      <c r="GE126" s="148"/>
      <c r="GF126" s="148"/>
      <c r="GG126" s="148"/>
      <c r="GH126" s="148"/>
      <c r="GI126" s="148"/>
      <c r="GJ126" s="148"/>
      <c r="GK126" s="148"/>
      <c r="GL126" s="148"/>
      <c r="GM126" s="148"/>
      <c r="GN126" s="148"/>
      <c r="GO126" s="148"/>
      <c r="GP126" s="148"/>
      <c r="GQ126" s="148"/>
      <c r="GR126" s="148"/>
      <c r="GS126" s="148"/>
      <c r="GT126" s="148"/>
      <c r="GU126" s="148"/>
      <c r="GV126" s="148"/>
      <c r="GW126" s="148"/>
      <c r="GX126" s="148"/>
      <c r="GY126" s="148"/>
      <c r="GZ126" s="148"/>
      <c r="HA126" s="148"/>
      <c r="HB126" s="148"/>
      <c r="HC126" s="148"/>
      <c r="HD126" s="148"/>
      <c r="HE126" s="148"/>
      <c r="HF126" s="148"/>
      <c r="HG126" s="148"/>
      <c r="HH126" s="148"/>
      <c r="HI126" s="148"/>
      <c r="HJ126" s="148"/>
      <c r="HK126" s="148"/>
      <c r="HL126" s="148"/>
      <c r="HM126" s="148"/>
      <c r="HN126" s="148"/>
      <c r="HO126" s="148"/>
      <c r="HP126" s="148"/>
      <c r="HQ126" s="148"/>
      <c r="HR126" s="148"/>
      <c r="HS126" s="148"/>
      <c r="HT126" s="148"/>
      <c r="HU126" s="148"/>
      <c r="HV126" s="148"/>
      <c r="HW126" s="148"/>
      <c r="HX126" s="148"/>
      <c r="HY126" s="148"/>
      <c r="HZ126" s="148"/>
      <c r="IA126" s="148"/>
      <c r="IB126" s="148"/>
      <c r="IC126" s="148"/>
    </row>
    <row r="127" spans="1:237" s="15" customFormat="1" x14ac:dyDescent="0.25">
      <c r="A127" s="148"/>
      <c r="B127" s="307"/>
      <c r="C127" s="307"/>
      <c r="D127" s="450"/>
      <c r="E127" s="577"/>
      <c r="F127" s="577"/>
      <c r="G127" s="533"/>
      <c r="H127" s="553"/>
      <c r="I127" s="534"/>
      <c r="J127" s="534"/>
      <c r="K127" s="535"/>
      <c r="L127" s="535"/>
      <c r="M127" s="535"/>
      <c r="N127" s="535"/>
      <c r="O127" s="535"/>
      <c r="P127" s="535"/>
      <c r="Q127" s="535"/>
      <c r="R127" s="535"/>
      <c r="S127" s="535"/>
      <c r="T127" s="535"/>
      <c r="U127" s="535"/>
      <c r="V127" s="535"/>
      <c r="W127" s="535"/>
      <c r="X127" s="535"/>
      <c r="Y127" s="535"/>
      <c r="Z127" s="660"/>
      <c r="AA127" s="591"/>
      <c r="AB127" s="558"/>
      <c r="AC127" s="540"/>
      <c r="AD127" s="542"/>
      <c r="AE127" s="454"/>
      <c r="AF127" s="459"/>
      <c r="AG127" s="460"/>
      <c r="AH127" s="458"/>
      <c r="AI127" s="454"/>
      <c r="AJ127" s="456"/>
      <c r="AK127" s="460"/>
      <c r="AL127" s="458"/>
      <c r="AM127" s="454"/>
      <c r="AN127" s="456"/>
      <c r="AO127" s="460"/>
      <c r="AP127" s="458"/>
      <c r="AQ127" s="454"/>
      <c r="AR127" s="456"/>
      <c r="AS127" s="460"/>
      <c r="AT127" s="458"/>
      <c r="AU127" s="22"/>
      <c r="AV127" s="546"/>
      <c r="AW127" s="148"/>
      <c r="AX127" s="148"/>
      <c r="AY127" s="148"/>
      <c r="AZ127" s="148"/>
      <c r="BA127" s="148"/>
      <c r="BB127" s="148"/>
      <c r="BC127" s="148"/>
      <c r="BD127" s="148"/>
      <c r="BE127" s="148"/>
      <c r="BF127" s="148"/>
      <c r="BG127" s="148"/>
      <c r="BH127" s="148"/>
      <c r="BI127" s="148"/>
      <c r="BJ127" s="148"/>
      <c r="BK127" s="148"/>
      <c r="BL127" s="148"/>
      <c r="BM127" s="148"/>
      <c r="BN127" s="148"/>
      <c r="BO127" s="148"/>
      <c r="BP127" s="148"/>
      <c r="BQ127" s="148"/>
      <c r="BR127" s="148"/>
      <c r="BS127" s="148"/>
      <c r="BT127" s="148"/>
      <c r="BU127" s="148"/>
      <c r="BV127" s="148"/>
      <c r="BW127" s="148"/>
      <c r="BX127" s="148"/>
      <c r="BY127" s="148"/>
      <c r="BZ127" s="148"/>
      <c r="CA127" s="148"/>
      <c r="CB127" s="148"/>
      <c r="CC127" s="148"/>
      <c r="CD127" s="148"/>
      <c r="CE127" s="148"/>
      <c r="CF127" s="148"/>
      <c r="CG127" s="148"/>
      <c r="CH127" s="148"/>
      <c r="CI127" s="148"/>
      <c r="CJ127" s="148"/>
      <c r="CK127" s="148"/>
      <c r="CL127" s="148"/>
      <c r="CM127" s="148"/>
      <c r="CN127" s="148"/>
      <c r="CO127" s="148"/>
      <c r="CP127" s="148"/>
      <c r="CQ127" s="148"/>
      <c r="CR127" s="148"/>
      <c r="CS127" s="148"/>
      <c r="CT127" s="148"/>
      <c r="CU127" s="148"/>
      <c r="CV127" s="148"/>
      <c r="CW127" s="148"/>
      <c r="CX127" s="148"/>
      <c r="CY127" s="148"/>
      <c r="CZ127" s="148"/>
      <c r="DA127" s="148"/>
      <c r="DB127" s="148"/>
      <c r="DC127" s="148"/>
      <c r="DD127" s="148"/>
      <c r="DE127" s="148"/>
      <c r="DF127" s="148"/>
      <c r="DG127" s="148"/>
      <c r="DH127" s="148"/>
      <c r="DI127" s="148"/>
      <c r="DJ127" s="148"/>
      <c r="DK127" s="148"/>
      <c r="DL127" s="148"/>
      <c r="DM127" s="148"/>
      <c r="DN127" s="148"/>
      <c r="DO127" s="148"/>
      <c r="DP127" s="148"/>
      <c r="DQ127" s="148"/>
      <c r="DR127" s="148"/>
      <c r="DS127" s="148"/>
      <c r="DT127" s="148"/>
      <c r="DU127" s="148"/>
      <c r="DV127" s="148"/>
      <c r="DW127" s="148"/>
      <c r="DX127" s="148"/>
      <c r="DY127" s="148"/>
      <c r="DZ127" s="148"/>
      <c r="EA127" s="148"/>
      <c r="EB127" s="148"/>
      <c r="EC127" s="148"/>
      <c r="ED127" s="148"/>
      <c r="EE127" s="148"/>
      <c r="EF127" s="148"/>
      <c r="EG127" s="148"/>
      <c r="EH127" s="148"/>
      <c r="EI127" s="148"/>
      <c r="EJ127" s="148"/>
      <c r="EK127" s="148"/>
      <c r="EL127" s="148"/>
      <c r="EM127" s="148"/>
      <c r="EN127" s="148"/>
      <c r="EO127" s="148"/>
      <c r="EP127" s="148"/>
      <c r="EQ127" s="148"/>
      <c r="ER127" s="148"/>
      <c r="ES127" s="148"/>
      <c r="ET127" s="148"/>
      <c r="EU127" s="148"/>
      <c r="EV127" s="148"/>
      <c r="EW127" s="148"/>
      <c r="EX127" s="148"/>
      <c r="EY127" s="148"/>
      <c r="EZ127" s="148"/>
      <c r="FA127" s="148"/>
      <c r="FB127" s="148"/>
      <c r="FC127" s="148"/>
      <c r="FD127" s="148"/>
      <c r="FE127" s="148"/>
      <c r="FF127" s="148"/>
      <c r="FG127" s="148"/>
      <c r="FH127" s="148"/>
      <c r="FI127" s="148"/>
      <c r="FJ127" s="148"/>
      <c r="FK127" s="148"/>
      <c r="FL127" s="148"/>
      <c r="FM127" s="148"/>
      <c r="FN127" s="148"/>
      <c r="FO127" s="148"/>
      <c r="FP127" s="148"/>
      <c r="FQ127" s="148"/>
      <c r="FR127" s="148"/>
      <c r="FS127" s="148"/>
      <c r="FT127" s="148"/>
      <c r="FU127" s="148"/>
      <c r="FV127" s="148"/>
      <c r="FW127" s="148"/>
      <c r="FX127" s="148"/>
      <c r="FY127" s="148"/>
      <c r="FZ127" s="148"/>
      <c r="GA127" s="148"/>
      <c r="GB127" s="148"/>
      <c r="GC127" s="148"/>
      <c r="GD127" s="148"/>
      <c r="GE127" s="148"/>
      <c r="GF127" s="148"/>
      <c r="GG127" s="148"/>
      <c r="GH127" s="148"/>
      <c r="GI127" s="148"/>
      <c r="GJ127" s="148"/>
      <c r="GK127" s="148"/>
      <c r="GL127" s="148"/>
      <c r="GM127" s="148"/>
      <c r="GN127" s="148"/>
      <c r="GO127" s="148"/>
      <c r="GP127" s="148"/>
      <c r="GQ127" s="148"/>
      <c r="GR127" s="148"/>
      <c r="GS127" s="148"/>
      <c r="GT127" s="148"/>
      <c r="GU127" s="148"/>
      <c r="GV127" s="148"/>
      <c r="GW127" s="148"/>
      <c r="GX127" s="148"/>
      <c r="GY127" s="148"/>
      <c r="GZ127" s="148"/>
      <c r="HA127" s="148"/>
      <c r="HB127" s="148"/>
      <c r="HC127" s="148"/>
      <c r="HD127" s="148"/>
      <c r="HE127" s="148"/>
      <c r="HF127" s="148"/>
      <c r="HG127" s="148"/>
      <c r="HH127" s="148"/>
      <c r="HI127" s="148"/>
      <c r="HJ127" s="148"/>
      <c r="HK127" s="148"/>
      <c r="HL127" s="148"/>
      <c r="HM127" s="148"/>
      <c r="HN127" s="148"/>
      <c r="HO127" s="148"/>
      <c r="HP127" s="148"/>
      <c r="HQ127" s="148"/>
      <c r="HR127" s="148"/>
      <c r="HS127" s="148"/>
      <c r="HT127" s="148"/>
      <c r="HU127" s="148"/>
      <c r="HV127" s="148"/>
      <c r="HW127" s="148"/>
      <c r="HX127" s="148"/>
      <c r="HY127" s="148"/>
      <c r="HZ127" s="148"/>
      <c r="IA127" s="148"/>
      <c r="IB127" s="148"/>
      <c r="IC127" s="148"/>
    </row>
    <row r="128" spans="1:237" s="15" customFormat="1" x14ac:dyDescent="0.25">
      <c r="A128" s="148"/>
      <c r="B128" s="307"/>
      <c r="C128" s="307"/>
      <c r="D128" s="450"/>
      <c r="E128" s="577"/>
      <c r="F128" s="577"/>
      <c r="G128" s="533"/>
      <c r="H128" s="553"/>
      <c r="I128" s="534"/>
      <c r="J128" s="534"/>
      <c r="K128" s="535"/>
      <c r="L128" s="535"/>
      <c r="M128" s="535"/>
      <c r="N128" s="535"/>
      <c r="O128" s="535"/>
      <c r="P128" s="535"/>
      <c r="Q128" s="535"/>
      <c r="R128" s="535"/>
      <c r="S128" s="535"/>
      <c r="T128" s="535"/>
      <c r="U128" s="535"/>
      <c r="V128" s="535"/>
      <c r="W128" s="535"/>
      <c r="X128" s="535"/>
      <c r="Y128" s="535"/>
      <c r="Z128" s="660"/>
      <c r="AA128" s="591"/>
      <c r="AB128" s="558"/>
      <c r="AC128" s="540"/>
      <c r="AD128" s="542"/>
      <c r="AE128" s="454"/>
      <c r="AF128" s="459"/>
      <c r="AG128" s="460"/>
      <c r="AH128" s="458"/>
      <c r="AI128" s="454"/>
      <c r="AJ128" s="456"/>
      <c r="AK128" s="460"/>
      <c r="AL128" s="458"/>
      <c r="AM128" s="454"/>
      <c r="AN128" s="456"/>
      <c r="AO128" s="460"/>
      <c r="AP128" s="458"/>
      <c r="AQ128" s="454"/>
      <c r="AR128" s="456"/>
      <c r="AS128" s="460"/>
      <c r="AT128" s="458"/>
      <c r="AU128" s="22"/>
      <c r="AV128" s="546"/>
      <c r="AW128" s="148"/>
      <c r="AX128" s="148"/>
      <c r="AY128" s="148"/>
      <c r="AZ128" s="148"/>
      <c r="BA128" s="148"/>
      <c r="BB128" s="148"/>
      <c r="BC128" s="148"/>
      <c r="BD128" s="148"/>
      <c r="BE128" s="148"/>
      <c r="BF128" s="148"/>
      <c r="BG128" s="148"/>
      <c r="BH128" s="148"/>
      <c r="BI128" s="148"/>
      <c r="BJ128" s="148"/>
      <c r="BK128" s="148"/>
      <c r="BL128" s="148"/>
      <c r="BM128" s="148"/>
      <c r="BN128" s="148"/>
      <c r="BO128" s="148"/>
      <c r="BP128" s="148"/>
      <c r="BQ128" s="148"/>
      <c r="BR128" s="148"/>
      <c r="BS128" s="148"/>
      <c r="BT128" s="148"/>
      <c r="BU128" s="148"/>
      <c r="BV128" s="148"/>
      <c r="BW128" s="148"/>
      <c r="BX128" s="148"/>
      <c r="BY128" s="148"/>
      <c r="BZ128" s="148"/>
      <c r="CA128" s="148"/>
      <c r="CB128" s="148"/>
      <c r="CC128" s="148"/>
      <c r="CD128" s="148"/>
      <c r="CE128" s="148"/>
      <c r="CF128" s="148"/>
      <c r="CG128" s="148"/>
      <c r="CH128" s="148"/>
      <c r="CI128" s="148"/>
      <c r="CJ128" s="148"/>
      <c r="CK128" s="148"/>
      <c r="CL128" s="148"/>
      <c r="CM128" s="148"/>
      <c r="CN128" s="148"/>
      <c r="CO128" s="148"/>
      <c r="CP128" s="148"/>
      <c r="CQ128" s="148"/>
      <c r="CR128" s="148"/>
      <c r="CS128" s="148"/>
      <c r="CT128" s="148"/>
      <c r="CU128" s="148"/>
      <c r="CV128" s="148"/>
      <c r="CW128" s="148"/>
      <c r="CX128" s="148"/>
      <c r="CY128" s="148"/>
      <c r="CZ128" s="148"/>
      <c r="DA128" s="148"/>
      <c r="DB128" s="148"/>
      <c r="DC128" s="148"/>
      <c r="DD128" s="148"/>
      <c r="DE128" s="148"/>
      <c r="DF128" s="148"/>
      <c r="DG128" s="148"/>
      <c r="DH128" s="148"/>
      <c r="DI128" s="148"/>
      <c r="DJ128" s="148"/>
      <c r="DK128" s="148"/>
      <c r="DL128" s="148"/>
      <c r="DM128" s="148"/>
      <c r="DN128" s="148"/>
      <c r="DO128" s="148"/>
      <c r="DP128" s="148"/>
      <c r="DQ128" s="148"/>
      <c r="DR128" s="148"/>
      <c r="DS128" s="148"/>
      <c r="DT128" s="148"/>
      <c r="DU128" s="148"/>
      <c r="DV128" s="148"/>
      <c r="DW128" s="148"/>
      <c r="DX128" s="148"/>
      <c r="DY128" s="148"/>
      <c r="DZ128" s="148"/>
      <c r="EA128" s="148"/>
      <c r="EB128" s="148"/>
      <c r="EC128" s="148"/>
      <c r="ED128" s="148"/>
      <c r="EE128" s="148"/>
      <c r="EF128" s="148"/>
      <c r="EG128" s="148"/>
      <c r="EH128" s="148"/>
      <c r="EI128" s="148"/>
      <c r="EJ128" s="148"/>
      <c r="EK128" s="148"/>
      <c r="EL128" s="148"/>
      <c r="EM128" s="148"/>
      <c r="EN128" s="148"/>
      <c r="EO128" s="148"/>
      <c r="EP128" s="148"/>
      <c r="EQ128" s="148"/>
      <c r="ER128" s="148"/>
      <c r="ES128" s="148"/>
      <c r="ET128" s="148"/>
      <c r="EU128" s="148"/>
      <c r="EV128" s="148"/>
      <c r="EW128" s="148"/>
      <c r="EX128" s="148"/>
      <c r="EY128" s="148"/>
      <c r="EZ128" s="148"/>
      <c r="FA128" s="148"/>
      <c r="FB128" s="148"/>
      <c r="FC128" s="148"/>
      <c r="FD128" s="148"/>
      <c r="FE128" s="148"/>
      <c r="FF128" s="148"/>
      <c r="FG128" s="148"/>
      <c r="FH128" s="148"/>
      <c r="FI128" s="148"/>
      <c r="FJ128" s="148"/>
      <c r="FK128" s="148"/>
      <c r="FL128" s="148"/>
      <c r="FM128" s="148"/>
      <c r="FN128" s="148"/>
      <c r="FO128" s="148"/>
      <c r="FP128" s="148"/>
      <c r="FQ128" s="148"/>
      <c r="FR128" s="148"/>
      <c r="FS128" s="148"/>
      <c r="FT128" s="148"/>
      <c r="FU128" s="148"/>
      <c r="FV128" s="148"/>
      <c r="FW128" s="148"/>
      <c r="FX128" s="148"/>
      <c r="FY128" s="148"/>
      <c r="FZ128" s="148"/>
      <c r="GA128" s="148"/>
      <c r="GB128" s="148"/>
      <c r="GC128" s="148"/>
      <c r="GD128" s="148"/>
      <c r="GE128" s="148"/>
      <c r="GF128" s="148"/>
      <c r="GG128" s="148"/>
      <c r="GH128" s="148"/>
      <c r="GI128" s="148"/>
      <c r="GJ128" s="148"/>
      <c r="GK128" s="148"/>
      <c r="GL128" s="148"/>
      <c r="GM128" s="148"/>
      <c r="GN128" s="148"/>
      <c r="GO128" s="148"/>
      <c r="GP128" s="148"/>
      <c r="GQ128" s="148"/>
      <c r="GR128" s="148"/>
      <c r="GS128" s="148"/>
      <c r="GT128" s="148"/>
      <c r="GU128" s="148"/>
      <c r="GV128" s="148"/>
      <c r="GW128" s="148"/>
      <c r="GX128" s="148"/>
      <c r="GY128" s="148"/>
      <c r="GZ128" s="148"/>
      <c r="HA128" s="148"/>
      <c r="HB128" s="148"/>
      <c r="HC128" s="148"/>
      <c r="HD128" s="148"/>
      <c r="HE128" s="148"/>
      <c r="HF128" s="148"/>
      <c r="HG128" s="148"/>
      <c r="HH128" s="148"/>
      <c r="HI128" s="148"/>
      <c r="HJ128" s="148"/>
      <c r="HK128" s="148"/>
      <c r="HL128" s="148"/>
      <c r="HM128" s="148"/>
      <c r="HN128" s="148"/>
      <c r="HO128" s="148"/>
      <c r="HP128" s="148"/>
      <c r="HQ128" s="148"/>
      <c r="HR128" s="148"/>
      <c r="HS128" s="148"/>
      <c r="HT128" s="148"/>
      <c r="HU128" s="148"/>
      <c r="HV128" s="148"/>
      <c r="HW128" s="148"/>
      <c r="HX128" s="148"/>
      <c r="HY128" s="148"/>
      <c r="HZ128" s="148"/>
      <c r="IA128" s="148"/>
      <c r="IB128" s="148"/>
      <c r="IC128" s="148"/>
    </row>
    <row r="129" spans="1:237" s="15" customFormat="1" x14ac:dyDescent="0.25">
      <c r="A129" s="148"/>
      <c r="B129" s="307"/>
      <c r="C129" s="307"/>
      <c r="D129" s="450"/>
      <c r="E129" s="577"/>
      <c r="F129" s="577"/>
      <c r="G129" s="533"/>
      <c r="H129" s="553"/>
      <c r="I129" s="534"/>
      <c r="J129" s="534"/>
      <c r="K129" s="535"/>
      <c r="L129" s="535"/>
      <c r="M129" s="535"/>
      <c r="N129" s="535"/>
      <c r="O129" s="535"/>
      <c r="P129" s="535"/>
      <c r="Q129" s="535"/>
      <c r="R129" s="535"/>
      <c r="S129" s="535"/>
      <c r="T129" s="535"/>
      <c r="U129" s="535"/>
      <c r="V129" s="535"/>
      <c r="W129" s="535"/>
      <c r="X129" s="535"/>
      <c r="Y129" s="535"/>
      <c r="Z129" s="660"/>
      <c r="AA129" s="591"/>
      <c r="AB129" s="558"/>
      <c r="AC129" s="540"/>
      <c r="AD129" s="542"/>
      <c r="AE129" s="454"/>
      <c r="AF129" s="459"/>
      <c r="AG129" s="460"/>
      <c r="AH129" s="458"/>
      <c r="AI129" s="454"/>
      <c r="AJ129" s="456"/>
      <c r="AK129" s="460"/>
      <c r="AL129" s="458"/>
      <c r="AM129" s="454"/>
      <c r="AN129" s="456"/>
      <c r="AO129" s="460"/>
      <c r="AP129" s="458"/>
      <c r="AQ129" s="454"/>
      <c r="AR129" s="456"/>
      <c r="AS129" s="460"/>
      <c r="AT129" s="458"/>
      <c r="AU129" s="22"/>
      <c r="AV129" s="546"/>
      <c r="AW129" s="148"/>
      <c r="AX129" s="148"/>
      <c r="AY129" s="148"/>
      <c r="AZ129" s="148"/>
      <c r="BA129" s="148"/>
      <c r="BB129" s="148"/>
      <c r="BC129" s="148"/>
      <c r="BD129" s="148"/>
      <c r="BE129" s="148"/>
      <c r="BF129" s="148"/>
      <c r="BG129" s="148"/>
      <c r="BH129" s="148"/>
      <c r="BI129" s="148"/>
      <c r="BJ129" s="148"/>
      <c r="BK129" s="148"/>
      <c r="BL129" s="148"/>
      <c r="BM129" s="148"/>
      <c r="BN129" s="148"/>
      <c r="BO129" s="148"/>
      <c r="BP129" s="148"/>
      <c r="BQ129" s="148"/>
      <c r="BR129" s="148"/>
      <c r="BS129" s="148"/>
      <c r="BT129" s="148"/>
      <c r="BU129" s="148"/>
      <c r="BV129" s="148"/>
      <c r="BW129" s="148"/>
      <c r="BX129" s="148"/>
      <c r="BY129" s="148"/>
      <c r="BZ129" s="148"/>
      <c r="CA129" s="148"/>
      <c r="CB129" s="148"/>
      <c r="CC129" s="148"/>
      <c r="CD129" s="148"/>
      <c r="CE129" s="148"/>
      <c r="CF129" s="148"/>
      <c r="CG129" s="148"/>
      <c r="CH129" s="148"/>
      <c r="CI129" s="148"/>
      <c r="CJ129" s="148"/>
      <c r="CK129" s="148"/>
      <c r="CL129" s="148"/>
      <c r="CM129" s="148"/>
      <c r="CN129" s="148"/>
      <c r="CO129" s="148"/>
      <c r="CP129" s="148"/>
      <c r="CQ129" s="148"/>
      <c r="CR129" s="148"/>
      <c r="CS129" s="148"/>
      <c r="CT129" s="148"/>
      <c r="CU129" s="148"/>
      <c r="CV129" s="148"/>
      <c r="CW129" s="148"/>
      <c r="CX129" s="148"/>
      <c r="CY129" s="148"/>
      <c r="CZ129" s="148"/>
      <c r="DA129" s="148"/>
      <c r="DB129" s="148"/>
      <c r="DC129" s="148"/>
      <c r="DD129" s="148"/>
      <c r="DE129" s="148"/>
      <c r="DF129" s="148"/>
      <c r="DG129" s="148"/>
      <c r="DH129" s="148"/>
      <c r="DI129" s="148"/>
      <c r="DJ129" s="148"/>
      <c r="DK129" s="148"/>
      <c r="DL129" s="148"/>
      <c r="DM129" s="148"/>
      <c r="DN129" s="148"/>
      <c r="DO129" s="148"/>
      <c r="DP129" s="148"/>
      <c r="DQ129" s="148"/>
      <c r="DR129" s="148"/>
      <c r="DS129" s="148"/>
      <c r="DT129" s="148"/>
      <c r="DU129" s="148"/>
      <c r="DV129" s="148"/>
      <c r="DW129" s="148"/>
      <c r="DX129" s="148"/>
      <c r="DY129" s="148"/>
      <c r="DZ129" s="148"/>
      <c r="EA129" s="148"/>
      <c r="EB129" s="148"/>
      <c r="EC129" s="148"/>
      <c r="ED129" s="148"/>
      <c r="EE129" s="148"/>
      <c r="EF129" s="148"/>
      <c r="EG129" s="148"/>
      <c r="EH129" s="148"/>
      <c r="EI129" s="148"/>
      <c r="EJ129" s="148"/>
      <c r="EK129" s="148"/>
      <c r="EL129" s="148"/>
      <c r="EM129" s="148"/>
      <c r="EN129" s="148"/>
      <c r="EO129" s="148"/>
      <c r="EP129" s="148"/>
      <c r="EQ129" s="148"/>
      <c r="ER129" s="148"/>
      <c r="ES129" s="148"/>
      <c r="ET129" s="148"/>
      <c r="EU129" s="148"/>
      <c r="EV129" s="148"/>
      <c r="EW129" s="148"/>
      <c r="EX129" s="148"/>
      <c r="EY129" s="148"/>
      <c r="EZ129" s="148"/>
      <c r="FA129" s="148"/>
      <c r="FB129" s="148"/>
      <c r="FC129" s="148"/>
      <c r="FD129" s="148"/>
      <c r="FE129" s="148"/>
      <c r="FF129" s="148"/>
      <c r="FG129" s="148"/>
      <c r="FH129" s="148"/>
      <c r="FI129" s="148"/>
      <c r="FJ129" s="148"/>
      <c r="FK129" s="148"/>
      <c r="FL129" s="148"/>
      <c r="FM129" s="148"/>
      <c r="FN129" s="148"/>
      <c r="FO129" s="148"/>
      <c r="FP129" s="148"/>
      <c r="FQ129" s="148"/>
      <c r="FR129" s="148"/>
      <c r="FS129" s="148"/>
      <c r="FT129" s="148"/>
      <c r="FU129" s="148"/>
      <c r="FV129" s="148"/>
      <c r="FW129" s="148"/>
      <c r="FX129" s="148"/>
      <c r="FY129" s="148"/>
      <c r="FZ129" s="148"/>
      <c r="GA129" s="148"/>
      <c r="GB129" s="148"/>
      <c r="GC129" s="148"/>
      <c r="GD129" s="148"/>
      <c r="GE129" s="148"/>
      <c r="GF129" s="148"/>
      <c r="GG129" s="148"/>
      <c r="GH129" s="148"/>
      <c r="GI129" s="148"/>
      <c r="GJ129" s="148"/>
      <c r="GK129" s="148"/>
      <c r="GL129" s="148"/>
      <c r="GM129" s="148"/>
      <c r="GN129" s="148"/>
      <c r="GO129" s="148"/>
      <c r="GP129" s="148"/>
      <c r="GQ129" s="148"/>
      <c r="GR129" s="148"/>
      <c r="GS129" s="148"/>
      <c r="GT129" s="148"/>
      <c r="GU129" s="148"/>
      <c r="GV129" s="148"/>
      <c r="GW129" s="148"/>
      <c r="GX129" s="148"/>
      <c r="GY129" s="148"/>
      <c r="GZ129" s="148"/>
      <c r="HA129" s="148"/>
      <c r="HB129" s="148"/>
      <c r="HC129" s="148"/>
      <c r="HD129" s="148"/>
      <c r="HE129" s="148"/>
      <c r="HF129" s="148"/>
      <c r="HG129" s="148"/>
      <c r="HH129" s="148"/>
      <c r="HI129" s="148"/>
      <c r="HJ129" s="148"/>
      <c r="HK129" s="148"/>
      <c r="HL129" s="148"/>
      <c r="HM129" s="148"/>
      <c r="HN129" s="148"/>
      <c r="HO129" s="148"/>
      <c r="HP129" s="148"/>
      <c r="HQ129" s="148"/>
      <c r="HR129" s="148"/>
      <c r="HS129" s="148"/>
      <c r="HT129" s="148"/>
      <c r="HU129" s="148"/>
      <c r="HV129" s="148"/>
      <c r="HW129" s="148"/>
      <c r="HX129" s="148"/>
      <c r="HY129" s="148"/>
      <c r="HZ129" s="148"/>
      <c r="IA129" s="148"/>
      <c r="IB129" s="148"/>
      <c r="IC129" s="148"/>
    </row>
    <row r="130" spans="1:237" s="15" customFormat="1" x14ac:dyDescent="0.25">
      <c r="A130" s="148"/>
      <c r="B130" s="307"/>
      <c r="C130" s="307"/>
      <c r="D130" s="450"/>
      <c r="E130" s="577"/>
      <c r="F130" s="577"/>
      <c r="G130" s="533"/>
      <c r="H130" s="553"/>
      <c r="I130" s="534"/>
      <c r="J130" s="534"/>
      <c r="K130" s="535"/>
      <c r="L130" s="535"/>
      <c r="M130" s="535"/>
      <c r="N130" s="535"/>
      <c r="O130" s="535"/>
      <c r="P130" s="535"/>
      <c r="Q130" s="535"/>
      <c r="R130" s="535"/>
      <c r="S130" s="535"/>
      <c r="T130" s="535"/>
      <c r="U130" s="535"/>
      <c r="V130" s="535"/>
      <c r="W130" s="535"/>
      <c r="X130" s="535"/>
      <c r="Y130" s="535"/>
      <c r="Z130" s="660"/>
      <c r="AA130" s="591"/>
      <c r="AB130" s="558"/>
      <c r="AC130" s="540"/>
      <c r="AD130" s="542"/>
      <c r="AE130" s="454"/>
      <c r="AF130" s="459"/>
      <c r="AG130" s="460"/>
      <c r="AH130" s="458"/>
      <c r="AI130" s="454"/>
      <c r="AJ130" s="456"/>
      <c r="AK130" s="460"/>
      <c r="AL130" s="458"/>
      <c r="AM130" s="454"/>
      <c r="AN130" s="456"/>
      <c r="AO130" s="460"/>
      <c r="AP130" s="458"/>
      <c r="AQ130" s="454"/>
      <c r="AR130" s="456"/>
      <c r="AS130" s="460"/>
      <c r="AT130" s="458"/>
      <c r="AU130" s="22"/>
      <c r="AV130" s="546"/>
      <c r="AW130" s="148"/>
      <c r="AX130" s="148"/>
      <c r="AY130" s="148"/>
      <c r="AZ130" s="148"/>
      <c r="BA130" s="148"/>
      <c r="BB130" s="148"/>
      <c r="BC130" s="148"/>
      <c r="BD130" s="148"/>
      <c r="BE130" s="148"/>
      <c r="BF130" s="148"/>
      <c r="BG130" s="148"/>
      <c r="BH130" s="148"/>
      <c r="BI130" s="148"/>
      <c r="BJ130" s="148"/>
      <c r="BK130" s="148"/>
      <c r="BL130" s="148"/>
      <c r="BM130" s="148"/>
      <c r="BN130" s="148"/>
      <c r="BO130" s="148"/>
      <c r="BP130" s="148"/>
      <c r="BQ130" s="148"/>
      <c r="BR130" s="148"/>
      <c r="BS130" s="148"/>
      <c r="BT130" s="148"/>
      <c r="BU130" s="148"/>
      <c r="BV130" s="148"/>
      <c r="BW130" s="148"/>
      <c r="BX130" s="148"/>
      <c r="BY130" s="148"/>
      <c r="BZ130" s="148"/>
      <c r="CA130" s="148"/>
      <c r="CB130" s="148"/>
      <c r="CC130" s="148"/>
      <c r="CD130" s="148"/>
      <c r="CE130" s="148"/>
      <c r="CF130" s="148"/>
      <c r="CG130" s="148"/>
      <c r="CH130" s="148"/>
      <c r="CI130" s="148"/>
      <c r="CJ130" s="148"/>
      <c r="CK130" s="148"/>
      <c r="CL130" s="148"/>
      <c r="CM130" s="148"/>
      <c r="CN130" s="148"/>
      <c r="CO130" s="148"/>
      <c r="CP130" s="148"/>
      <c r="CQ130" s="148"/>
      <c r="CR130" s="148"/>
      <c r="CS130" s="148"/>
      <c r="CT130" s="148"/>
      <c r="CU130" s="148"/>
      <c r="CV130" s="148"/>
      <c r="CW130" s="148"/>
      <c r="CX130" s="148"/>
      <c r="CY130" s="148"/>
      <c r="CZ130" s="148"/>
      <c r="DA130" s="148"/>
      <c r="DB130" s="148"/>
      <c r="DC130" s="148"/>
      <c r="DD130" s="148"/>
      <c r="DE130" s="148"/>
      <c r="DF130" s="148"/>
      <c r="DG130" s="148"/>
      <c r="DH130" s="148"/>
      <c r="DI130" s="148"/>
      <c r="DJ130" s="148"/>
      <c r="DK130" s="148"/>
      <c r="DL130" s="148"/>
      <c r="DM130" s="148"/>
      <c r="DN130" s="148"/>
      <c r="DO130" s="148"/>
      <c r="DP130" s="148"/>
      <c r="DQ130" s="148"/>
      <c r="DR130" s="148"/>
      <c r="DS130" s="148"/>
      <c r="DT130" s="148"/>
      <c r="DU130" s="148"/>
      <c r="DV130" s="148"/>
      <c r="DW130" s="148"/>
      <c r="DX130" s="148"/>
      <c r="DY130" s="148"/>
      <c r="DZ130" s="148"/>
      <c r="EA130" s="148"/>
      <c r="EB130" s="148"/>
      <c r="EC130" s="148"/>
      <c r="ED130" s="148"/>
      <c r="EE130" s="148"/>
      <c r="EF130" s="148"/>
      <c r="EG130" s="148"/>
      <c r="EH130" s="148"/>
      <c r="EI130" s="148"/>
      <c r="EJ130" s="148"/>
      <c r="EK130" s="148"/>
      <c r="EL130" s="148"/>
      <c r="EM130" s="148"/>
      <c r="EN130" s="148"/>
      <c r="EO130" s="148"/>
      <c r="EP130" s="148"/>
      <c r="EQ130" s="148"/>
      <c r="ER130" s="148"/>
      <c r="ES130" s="148"/>
      <c r="ET130" s="148"/>
      <c r="EU130" s="148"/>
      <c r="EV130" s="148"/>
      <c r="EW130" s="148"/>
      <c r="EX130" s="148"/>
      <c r="EY130" s="148"/>
      <c r="EZ130" s="148"/>
      <c r="FA130" s="148"/>
      <c r="FB130" s="148"/>
      <c r="FC130" s="148"/>
      <c r="FD130" s="148"/>
      <c r="FE130" s="148"/>
      <c r="FF130" s="148"/>
      <c r="FG130" s="148"/>
      <c r="FH130" s="148"/>
      <c r="FI130" s="148"/>
      <c r="FJ130" s="148"/>
      <c r="FK130" s="148"/>
      <c r="FL130" s="148"/>
      <c r="FM130" s="148"/>
      <c r="FN130" s="148"/>
      <c r="FO130" s="148"/>
      <c r="FP130" s="148"/>
      <c r="FQ130" s="148"/>
      <c r="FR130" s="148"/>
      <c r="FS130" s="148"/>
      <c r="FT130" s="148"/>
      <c r="FU130" s="148"/>
      <c r="FV130" s="148"/>
      <c r="FW130" s="148"/>
      <c r="FX130" s="148"/>
      <c r="FY130" s="148"/>
      <c r="FZ130" s="148"/>
      <c r="GA130" s="148"/>
      <c r="GB130" s="148"/>
      <c r="GC130" s="148"/>
      <c r="GD130" s="148"/>
      <c r="GE130" s="148"/>
      <c r="GF130" s="148"/>
      <c r="GG130" s="148"/>
      <c r="GH130" s="148"/>
      <c r="GI130" s="148"/>
      <c r="GJ130" s="148"/>
      <c r="GK130" s="148"/>
      <c r="GL130" s="148"/>
      <c r="GM130" s="148"/>
      <c r="GN130" s="148"/>
      <c r="GO130" s="148"/>
      <c r="GP130" s="148"/>
      <c r="GQ130" s="148"/>
      <c r="GR130" s="148"/>
      <c r="GS130" s="148"/>
      <c r="GT130" s="148"/>
      <c r="GU130" s="148"/>
      <c r="GV130" s="148"/>
      <c r="GW130" s="148"/>
      <c r="GX130" s="148"/>
      <c r="GY130" s="148"/>
      <c r="GZ130" s="148"/>
      <c r="HA130" s="148"/>
      <c r="HB130" s="148"/>
      <c r="HC130" s="148"/>
      <c r="HD130" s="148"/>
      <c r="HE130" s="148"/>
      <c r="HF130" s="148"/>
      <c r="HG130" s="148"/>
      <c r="HH130" s="148"/>
      <c r="HI130" s="148"/>
      <c r="HJ130" s="148"/>
      <c r="HK130" s="148"/>
      <c r="HL130" s="148"/>
      <c r="HM130" s="148"/>
      <c r="HN130" s="148"/>
      <c r="HO130" s="148"/>
      <c r="HP130" s="148"/>
      <c r="HQ130" s="148"/>
      <c r="HR130" s="148"/>
      <c r="HS130" s="148"/>
      <c r="HT130" s="148"/>
      <c r="HU130" s="148"/>
      <c r="HV130" s="148"/>
      <c r="HW130" s="148"/>
      <c r="HX130" s="148"/>
      <c r="HY130" s="148"/>
      <c r="HZ130" s="148"/>
      <c r="IA130" s="148"/>
      <c r="IB130" s="148"/>
      <c r="IC130" s="148"/>
    </row>
    <row r="131" spans="1:237" s="15" customFormat="1" x14ac:dyDescent="0.25">
      <c r="A131" s="148"/>
      <c r="B131" s="307"/>
      <c r="C131" s="307"/>
      <c r="D131" s="450"/>
      <c r="E131" s="577"/>
      <c r="F131" s="577"/>
      <c r="G131" s="533"/>
      <c r="H131" s="553"/>
      <c r="I131" s="534"/>
      <c r="J131" s="534"/>
      <c r="K131" s="535"/>
      <c r="L131" s="535"/>
      <c r="M131" s="535"/>
      <c r="N131" s="535"/>
      <c r="O131" s="535"/>
      <c r="P131" s="535"/>
      <c r="Q131" s="535"/>
      <c r="R131" s="535"/>
      <c r="S131" s="535"/>
      <c r="T131" s="535"/>
      <c r="U131" s="535"/>
      <c r="V131" s="535"/>
      <c r="W131" s="535"/>
      <c r="X131" s="535"/>
      <c r="Y131" s="535"/>
      <c r="Z131" s="660"/>
      <c r="AA131" s="591"/>
      <c r="AB131" s="558"/>
      <c r="AC131" s="540"/>
      <c r="AD131" s="542"/>
      <c r="AE131" s="454"/>
      <c r="AF131" s="459"/>
      <c r="AG131" s="460"/>
      <c r="AH131" s="458"/>
      <c r="AI131" s="454"/>
      <c r="AJ131" s="456"/>
      <c r="AK131" s="460"/>
      <c r="AL131" s="458"/>
      <c r="AM131" s="454"/>
      <c r="AN131" s="456"/>
      <c r="AO131" s="460"/>
      <c r="AP131" s="458"/>
      <c r="AQ131" s="454"/>
      <c r="AR131" s="456"/>
      <c r="AS131" s="460"/>
      <c r="AT131" s="458"/>
      <c r="AU131" s="22"/>
      <c r="AV131" s="546"/>
      <c r="AW131" s="148"/>
      <c r="AX131" s="148"/>
      <c r="AY131" s="148"/>
      <c r="AZ131" s="148"/>
      <c r="BA131" s="148"/>
      <c r="BB131" s="148"/>
      <c r="BC131" s="148"/>
      <c r="BD131" s="148"/>
      <c r="BE131" s="148"/>
      <c r="BF131" s="148"/>
      <c r="BG131" s="148"/>
      <c r="BH131" s="148"/>
      <c r="BI131" s="148"/>
      <c r="BJ131" s="148"/>
      <c r="BK131" s="148"/>
      <c r="BL131" s="148"/>
      <c r="BM131" s="148"/>
      <c r="BN131" s="148"/>
      <c r="BO131" s="148"/>
      <c r="BP131" s="148"/>
      <c r="BQ131" s="148"/>
      <c r="BR131" s="148"/>
      <c r="BS131" s="148"/>
      <c r="BT131" s="148"/>
      <c r="BU131" s="148"/>
      <c r="BV131" s="148"/>
      <c r="BW131" s="148"/>
      <c r="BX131" s="148"/>
      <c r="BY131" s="148"/>
      <c r="BZ131" s="148"/>
      <c r="CA131" s="148"/>
      <c r="CB131" s="148"/>
      <c r="CC131" s="148"/>
      <c r="CD131" s="148"/>
      <c r="CE131" s="148"/>
      <c r="CF131" s="148"/>
      <c r="CG131" s="148"/>
      <c r="CH131" s="148"/>
      <c r="CI131" s="148"/>
      <c r="CJ131" s="148"/>
      <c r="CK131" s="148"/>
      <c r="CL131" s="148"/>
      <c r="CM131" s="148"/>
      <c r="CN131" s="148"/>
      <c r="CO131" s="148"/>
      <c r="CP131" s="148"/>
      <c r="CQ131" s="148"/>
      <c r="CR131" s="148"/>
      <c r="CS131" s="148"/>
      <c r="CT131" s="148"/>
      <c r="CU131" s="148"/>
      <c r="CV131" s="148"/>
      <c r="CW131" s="148"/>
      <c r="CX131" s="148"/>
      <c r="CY131" s="148"/>
      <c r="CZ131" s="148"/>
      <c r="DA131" s="148"/>
      <c r="DB131" s="148"/>
      <c r="DC131" s="148"/>
      <c r="DD131" s="148"/>
      <c r="DE131" s="148"/>
      <c r="DF131" s="148"/>
      <c r="DG131" s="148"/>
      <c r="DH131" s="148"/>
      <c r="DI131" s="148"/>
      <c r="DJ131" s="148"/>
      <c r="DK131" s="148"/>
      <c r="DL131" s="148"/>
      <c r="DM131" s="148"/>
      <c r="DN131" s="148"/>
      <c r="DO131" s="148"/>
      <c r="DP131" s="148"/>
      <c r="DQ131" s="148"/>
      <c r="DR131" s="148"/>
      <c r="DS131" s="148"/>
      <c r="DT131" s="148"/>
      <c r="DU131" s="148"/>
      <c r="DV131" s="148"/>
      <c r="DW131" s="148"/>
      <c r="DX131" s="148"/>
      <c r="DY131" s="148"/>
      <c r="DZ131" s="148"/>
      <c r="EA131" s="148"/>
      <c r="EB131" s="148"/>
      <c r="EC131" s="148"/>
      <c r="ED131" s="148"/>
      <c r="EE131" s="148"/>
      <c r="EF131" s="148"/>
      <c r="EG131" s="148"/>
      <c r="EH131" s="148"/>
      <c r="EI131" s="148"/>
      <c r="EJ131" s="148"/>
      <c r="EK131" s="148"/>
      <c r="EL131" s="148"/>
      <c r="EM131" s="148"/>
      <c r="EN131" s="148"/>
      <c r="EO131" s="148"/>
      <c r="EP131" s="148"/>
      <c r="EQ131" s="148"/>
      <c r="ER131" s="148"/>
      <c r="ES131" s="148"/>
      <c r="ET131" s="148"/>
      <c r="EU131" s="148"/>
      <c r="EV131" s="148"/>
      <c r="EW131" s="148"/>
      <c r="EX131" s="148"/>
      <c r="EY131" s="148"/>
      <c r="EZ131" s="148"/>
      <c r="FA131" s="148"/>
      <c r="FB131" s="148"/>
      <c r="FC131" s="148"/>
      <c r="FD131" s="148"/>
      <c r="FE131" s="148"/>
      <c r="FF131" s="148"/>
      <c r="FG131" s="148"/>
      <c r="FH131" s="148"/>
      <c r="FI131" s="148"/>
      <c r="FJ131" s="148"/>
      <c r="FK131" s="148"/>
      <c r="FL131" s="148"/>
      <c r="FM131" s="148"/>
      <c r="FN131" s="148"/>
      <c r="FO131" s="148"/>
      <c r="FP131" s="148"/>
      <c r="FQ131" s="148"/>
      <c r="FR131" s="148"/>
      <c r="FS131" s="148"/>
      <c r="FT131" s="148"/>
      <c r="FU131" s="148"/>
      <c r="FV131" s="148"/>
      <c r="FW131" s="148"/>
      <c r="FX131" s="148"/>
      <c r="FY131" s="148"/>
      <c r="FZ131" s="148"/>
      <c r="GA131" s="148"/>
      <c r="GB131" s="148"/>
      <c r="GC131" s="148"/>
      <c r="GD131" s="148"/>
      <c r="GE131" s="148"/>
      <c r="GF131" s="148"/>
      <c r="GG131" s="148"/>
      <c r="GH131" s="148"/>
      <c r="GI131" s="148"/>
      <c r="GJ131" s="148"/>
      <c r="GK131" s="148"/>
      <c r="GL131" s="148"/>
      <c r="GM131" s="148"/>
      <c r="GN131" s="148"/>
      <c r="GO131" s="148"/>
      <c r="GP131" s="148"/>
      <c r="GQ131" s="148"/>
      <c r="GR131" s="148"/>
      <c r="GS131" s="148"/>
      <c r="GT131" s="148"/>
      <c r="GU131" s="148"/>
      <c r="GV131" s="148"/>
      <c r="GW131" s="148"/>
      <c r="GX131" s="148"/>
      <c r="GY131" s="148"/>
      <c r="GZ131" s="148"/>
      <c r="HA131" s="148"/>
      <c r="HB131" s="148"/>
      <c r="HC131" s="148"/>
      <c r="HD131" s="148"/>
      <c r="HE131" s="148"/>
      <c r="HF131" s="148"/>
      <c r="HG131" s="148"/>
      <c r="HH131" s="148"/>
      <c r="HI131" s="148"/>
      <c r="HJ131" s="148"/>
      <c r="HK131" s="148"/>
      <c r="HL131" s="148"/>
      <c r="HM131" s="148"/>
      <c r="HN131" s="148"/>
      <c r="HO131" s="148"/>
      <c r="HP131" s="148"/>
      <c r="HQ131" s="148"/>
      <c r="HR131" s="148"/>
      <c r="HS131" s="148"/>
      <c r="HT131" s="148"/>
      <c r="HU131" s="148"/>
      <c r="HV131" s="148"/>
      <c r="HW131" s="148"/>
      <c r="HX131" s="148"/>
      <c r="HY131" s="148"/>
      <c r="HZ131" s="148"/>
      <c r="IA131" s="148"/>
      <c r="IB131" s="148"/>
      <c r="IC131" s="148"/>
    </row>
    <row r="132" spans="1:237" s="15" customFormat="1" x14ac:dyDescent="0.25">
      <c r="A132" s="148"/>
      <c r="B132" s="307"/>
      <c r="C132" s="307"/>
      <c r="D132" s="450"/>
      <c r="E132" s="577"/>
      <c r="F132" s="577"/>
      <c r="G132" s="533"/>
      <c r="H132" s="553"/>
      <c r="I132" s="534"/>
      <c r="J132" s="534"/>
      <c r="K132" s="535"/>
      <c r="L132" s="535"/>
      <c r="M132" s="535"/>
      <c r="N132" s="535"/>
      <c r="O132" s="535"/>
      <c r="P132" s="535"/>
      <c r="Q132" s="535"/>
      <c r="R132" s="535"/>
      <c r="S132" s="535"/>
      <c r="T132" s="535"/>
      <c r="U132" s="535"/>
      <c r="V132" s="535"/>
      <c r="W132" s="535"/>
      <c r="X132" s="535"/>
      <c r="Y132" s="535"/>
      <c r="Z132" s="660"/>
      <c r="AA132" s="591"/>
      <c r="AB132" s="558"/>
      <c r="AC132" s="540"/>
      <c r="AD132" s="542"/>
      <c r="AE132" s="454"/>
      <c r="AF132" s="459"/>
      <c r="AG132" s="460"/>
      <c r="AH132" s="458"/>
      <c r="AI132" s="454"/>
      <c r="AJ132" s="456"/>
      <c r="AK132" s="460"/>
      <c r="AL132" s="458"/>
      <c r="AM132" s="454"/>
      <c r="AN132" s="456"/>
      <c r="AO132" s="460"/>
      <c r="AP132" s="458"/>
      <c r="AQ132" s="454"/>
      <c r="AR132" s="456"/>
      <c r="AS132" s="460"/>
      <c r="AT132" s="458"/>
      <c r="AU132" s="22"/>
      <c r="AV132" s="546"/>
      <c r="AW132" s="148"/>
      <c r="AX132" s="148"/>
      <c r="AY132" s="148"/>
      <c r="AZ132" s="148"/>
      <c r="BA132" s="148"/>
      <c r="BB132" s="148"/>
      <c r="BC132" s="148"/>
      <c r="BD132" s="148"/>
      <c r="BE132" s="148"/>
      <c r="BF132" s="148"/>
      <c r="BG132" s="148"/>
      <c r="BH132" s="148"/>
      <c r="BI132" s="148"/>
      <c r="BJ132" s="148"/>
      <c r="BK132" s="148"/>
      <c r="BL132" s="148"/>
      <c r="BM132" s="148"/>
      <c r="BN132" s="148"/>
      <c r="BO132" s="148"/>
      <c r="BP132" s="148"/>
      <c r="BQ132" s="148"/>
      <c r="BR132" s="148"/>
      <c r="BS132" s="148"/>
      <c r="BT132" s="148"/>
      <c r="BU132" s="148"/>
      <c r="BV132" s="148"/>
      <c r="BW132" s="148"/>
      <c r="BX132" s="148"/>
      <c r="BY132" s="148"/>
      <c r="BZ132" s="148"/>
      <c r="CA132" s="148"/>
      <c r="CB132" s="148"/>
      <c r="CC132" s="148"/>
      <c r="CD132" s="148"/>
      <c r="CE132" s="148"/>
      <c r="CF132" s="148"/>
      <c r="CG132" s="148"/>
      <c r="CH132" s="148"/>
      <c r="CI132" s="148"/>
      <c r="CJ132" s="148"/>
      <c r="CK132" s="148"/>
      <c r="CL132" s="148"/>
      <c r="CM132" s="148"/>
      <c r="CN132" s="148"/>
      <c r="CO132" s="148"/>
      <c r="CP132" s="148"/>
      <c r="CQ132" s="148"/>
      <c r="CR132" s="148"/>
      <c r="CS132" s="148"/>
      <c r="CT132" s="148"/>
      <c r="CU132" s="148"/>
      <c r="CV132" s="148"/>
      <c r="CW132" s="148"/>
      <c r="CX132" s="148"/>
      <c r="CY132" s="148"/>
      <c r="CZ132" s="148"/>
      <c r="DA132" s="148"/>
      <c r="DB132" s="148"/>
      <c r="DC132" s="148"/>
      <c r="DD132" s="148"/>
      <c r="DE132" s="148"/>
      <c r="DF132" s="148"/>
      <c r="DG132" s="148"/>
      <c r="DH132" s="148"/>
      <c r="DI132" s="148"/>
      <c r="DJ132" s="148"/>
      <c r="DK132" s="148"/>
      <c r="DL132" s="148"/>
      <c r="DM132" s="148"/>
      <c r="DN132" s="148"/>
      <c r="DO132" s="148"/>
      <c r="DP132" s="148"/>
      <c r="DQ132" s="148"/>
      <c r="DR132" s="148"/>
      <c r="DS132" s="148"/>
      <c r="DT132" s="148"/>
      <c r="DU132" s="148"/>
      <c r="DV132" s="148"/>
      <c r="DW132" s="148"/>
      <c r="DX132" s="148"/>
      <c r="DY132" s="148"/>
      <c r="DZ132" s="148"/>
      <c r="EA132" s="148"/>
      <c r="EB132" s="148"/>
      <c r="EC132" s="148"/>
      <c r="ED132" s="148"/>
      <c r="EE132" s="148"/>
      <c r="EF132" s="148"/>
      <c r="EG132" s="148"/>
      <c r="EH132" s="148"/>
      <c r="EI132" s="148"/>
      <c r="EJ132" s="148"/>
      <c r="EK132" s="148"/>
      <c r="EL132" s="148"/>
      <c r="EM132" s="148"/>
      <c r="EN132" s="148"/>
      <c r="EO132" s="148"/>
      <c r="EP132" s="148"/>
      <c r="EQ132" s="148"/>
      <c r="ER132" s="148"/>
      <c r="ES132" s="148"/>
      <c r="ET132" s="148"/>
      <c r="EU132" s="148"/>
      <c r="EV132" s="148"/>
      <c r="EW132" s="148"/>
      <c r="EX132" s="148"/>
      <c r="EY132" s="148"/>
      <c r="EZ132" s="148"/>
      <c r="FA132" s="148"/>
      <c r="FB132" s="148"/>
      <c r="FC132" s="148"/>
      <c r="FD132" s="148"/>
      <c r="FE132" s="148"/>
      <c r="FF132" s="148"/>
      <c r="FG132" s="148"/>
      <c r="FH132" s="148"/>
      <c r="FI132" s="148"/>
      <c r="FJ132" s="148"/>
      <c r="FK132" s="148"/>
      <c r="FL132" s="148"/>
      <c r="FM132" s="148"/>
      <c r="FN132" s="148"/>
      <c r="FO132" s="148"/>
      <c r="FP132" s="148"/>
      <c r="FQ132" s="148"/>
      <c r="FR132" s="148"/>
      <c r="FS132" s="148"/>
      <c r="FT132" s="148"/>
      <c r="FU132" s="148"/>
      <c r="FV132" s="148"/>
      <c r="FW132" s="148"/>
      <c r="FX132" s="148"/>
      <c r="FY132" s="148"/>
      <c r="FZ132" s="148"/>
      <c r="GA132" s="148"/>
      <c r="GB132" s="148"/>
      <c r="GC132" s="148"/>
      <c r="GD132" s="148"/>
      <c r="GE132" s="148"/>
      <c r="GF132" s="148"/>
      <c r="GG132" s="148"/>
      <c r="GH132" s="148"/>
      <c r="GI132" s="148"/>
      <c r="GJ132" s="148"/>
      <c r="GK132" s="148"/>
      <c r="GL132" s="148"/>
      <c r="GM132" s="148"/>
      <c r="GN132" s="148"/>
      <c r="GO132" s="148"/>
      <c r="GP132" s="148"/>
      <c r="GQ132" s="148"/>
      <c r="GR132" s="148"/>
      <c r="GS132" s="148"/>
      <c r="GT132" s="148"/>
      <c r="GU132" s="148"/>
      <c r="GV132" s="148"/>
      <c r="GW132" s="148"/>
      <c r="GX132" s="148"/>
      <c r="GY132" s="148"/>
      <c r="GZ132" s="148"/>
      <c r="HA132" s="148"/>
      <c r="HB132" s="148"/>
      <c r="HC132" s="148"/>
      <c r="HD132" s="148"/>
      <c r="HE132" s="148"/>
      <c r="HF132" s="148"/>
      <c r="HG132" s="148"/>
      <c r="HH132" s="148"/>
      <c r="HI132" s="148"/>
      <c r="HJ132" s="148"/>
      <c r="HK132" s="148"/>
      <c r="HL132" s="148"/>
      <c r="HM132" s="148"/>
      <c r="HN132" s="148"/>
      <c r="HO132" s="148"/>
      <c r="HP132" s="148"/>
      <c r="HQ132" s="148"/>
      <c r="HR132" s="148"/>
      <c r="HS132" s="148"/>
      <c r="HT132" s="148"/>
      <c r="HU132" s="148"/>
      <c r="HV132" s="148"/>
      <c r="HW132" s="148"/>
      <c r="HX132" s="148"/>
      <c r="HY132" s="148"/>
      <c r="HZ132" s="148"/>
      <c r="IA132" s="148"/>
      <c r="IB132" s="148"/>
      <c r="IC132" s="148"/>
    </row>
    <row r="133" spans="1:237" s="15" customFormat="1" x14ac:dyDescent="0.25">
      <c r="A133" s="148"/>
      <c r="B133" s="307"/>
      <c r="C133" s="307"/>
      <c r="D133" s="450"/>
      <c r="E133" s="577"/>
      <c r="F133" s="577"/>
      <c r="G133" s="533"/>
      <c r="H133" s="553"/>
      <c r="I133" s="534"/>
      <c r="J133" s="534"/>
      <c r="K133" s="535"/>
      <c r="L133" s="535"/>
      <c r="M133" s="535"/>
      <c r="N133" s="535"/>
      <c r="O133" s="535"/>
      <c r="P133" s="535"/>
      <c r="Q133" s="535"/>
      <c r="R133" s="535"/>
      <c r="S133" s="535"/>
      <c r="T133" s="535"/>
      <c r="U133" s="535"/>
      <c r="V133" s="535"/>
      <c r="W133" s="535"/>
      <c r="X133" s="535"/>
      <c r="Y133" s="535"/>
      <c r="Z133" s="660"/>
      <c r="AA133" s="591"/>
      <c r="AB133" s="558"/>
      <c r="AC133" s="540"/>
      <c r="AD133" s="542"/>
      <c r="AE133" s="454"/>
      <c r="AF133" s="459"/>
      <c r="AG133" s="460"/>
      <c r="AH133" s="458"/>
      <c r="AI133" s="454"/>
      <c r="AJ133" s="456"/>
      <c r="AK133" s="460"/>
      <c r="AL133" s="458"/>
      <c r="AM133" s="454"/>
      <c r="AN133" s="456"/>
      <c r="AO133" s="460"/>
      <c r="AP133" s="458"/>
      <c r="AQ133" s="454"/>
      <c r="AR133" s="456"/>
      <c r="AS133" s="460"/>
      <c r="AT133" s="458"/>
      <c r="AU133" s="22"/>
      <c r="AV133" s="546"/>
      <c r="AW133" s="148"/>
      <c r="AX133" s="148"/>
      <c r="AY133" s="148"/>
      <c r="AZ133" s="148"/>
      <c r="BA133" s="148"/>
      <c r="BB133" s="148"/>
      <c r="BC133" s="148"/>
      <c r="BD133" s="148"/>
      <c r="BE133" s="148"/>
      <c r="BF133" s="148"/>
      <c r="BG133" s="148"/>
      <c r="BH133" s="148"/>
      <c r="BI133" s="148"/>
      <c r="BJ133" s="148"/>
      <c r="BK133" s="148"/>
      <c r="BL133" s="148"/>
      <c r="BM133" s="148"/>
      <c r="BN133" s="148"/>
      <c r="BO133" s="148"/>
      <c r="BP133" s="148"/>
      <c r="BQ133" s="148"/>
      <c r="BR133" s="148"/>
      <c r="BS133" s="148"/>
      <c r="BT133" s="148"/>
      <c r="BU133" s="148"/>
      <c r="BV133" s="148"/>
      <c r="BW133" s="148"/>
      <c r="BX133" s="148"/>
      <c r="BY133" s="148"/>
      <c r="BZ133" s="148"/>
      <c r="CA133" s="148"/>
      <c r="CB133" s="148"/>
      <c r="CC133" s="148"/>
      <c r="CD133" s="148"/>
      <c r="CE133" s="148"/>
      <c r="CF133" s="148"/>
      <c r="CG133" s="148"/>
      <c r="CH133" s="148"/>
      <c r="CI133" s="148"/>
      <c r="CJ133" s="148"/>
      <c r="CK133" s="148"/>
      <c r="CL133" s="148"/>
      <c r="CM133" s="148"/>
      <c r="CN133" s="148"/>
      <c r="CO133" s="148"/>
      <c r="CP133" s="148"/>
      <c r="CQ133" s="148"/>
      <c r="CR133" s="148"/>
      <c r="CS133" s="148"/>
      <c r="CT133" s="148"/>
      <c r="CU133" s="148"/>
      <c r="CV133" s="148"/>
      <c r="CW133" s="148"/>
      <c r="CX133" s="148"/>
      <c r="CY133" s="148"/>
      <c r="CZ133" s="148"/>
      <c r="DA133" s="148"/>
      <c r="DB133" s="148"/>
      <c r="DC133" s="148"/>
      <c r="DD133" s="148"/>
      <c r="DE133" s="148"/>
      <c r="DF133" s="148"/>
      <c r="DG133" s="148"/>
      <c r="DH133" s="148"/>
      <c r="DI133" s="148"/>
      <c r="DJ133" s="148"/>
      <c r="DK133" s="148"/>
      <c r="DL133" s="148"/>
      <c r="DM133" s="148"/>
      <c r="DN133" s="148"/>
      <c r="DO133" s="148"/>
      <c r="DP133" s="148"/>
      <c r="DQ133" s="148"/>
      <c r="DR133" s="148"/>
      <c r="DS133" s="148"/>
      <c r="DT133" s="148"/>
      <c r="DU133" s="148"/>
      <c r="DV133" s="148"/>
      <c r="DW133" s="148"/>
      <c r="DX133" s="148"/>
      <c r="DY133" s="148"/>
      <c r="DZ133" s="148"/>
      <c r="EA133" s="148"/>
      <c r="EB133" s="148"/>
      <c r="EC133" s="148"/>
      <c r="ED133" s="148"/>
      <c r="EE133" s="148"/>
      <c r="EF133" s="148"/>
      <c r="EG133" s="148"/>
      <c r="EH133" s="148"/>
      <c r="EI133" s="148"/>
      <c r="EJ133" s="148"/>
      <c r="EK133" s="148"/>
      <c r="EL133" s="148"/>
      <c r="EM133" s="148"/>
      <c r="EN133" s="148"/>
      <c r="EO133" s="148"/>
      <c r="EP133" s="148"/>
      <c r="EQ133" s="148"/>
      <c r="ER133" s="148"/>
      <c r="ES133" s="148"/>
      <c r="ET133" s="148"/>
      <c r="EU133" s="148"/>
      <c r="EV133" s="148"/>
      <c r="EW133" s="148"/>
      <c r="EX133" s="148"/>
      <c r="EY133" s="148"/>
      <c r="EZ133" s="148"/>
      <c r="FA133" s="148"/>
      <c r="FB133" s="148"/>
      <c r="FC133" s="148"/>
      <c r="FD133" s="148"/>
      <c r="FE133" s="148"/>
      <c r="FF133" s="148"/>
      <c r="FG133" s="148"/>
      <c r="FH133" s="148"/>
      <c r="FI133" s="148"/>
      <c r="FJ133" s="148"/>
      <c r="FK133" s="148"/>
      <c r="FL133" s="148"/>
      <c r="FM133" s="148"/>
      <c r="FN133" s="148"/>
      <c r="FO133" s="148"/>
      <c r="FP133" s="148"/>
      <c r="FQ133" s="148"/>
      <c r="FR133" s="148"/>
      <c r="FS133" s="148"/>
      <c r="FT133" s="148"/>
      <c r="FU133" s="148"/>
      <c r="FV133" s="148"/>
      <c r="FW133" s="148"/>
      <c r="FX133" s="148"/>
      <c r="FY133" s="148"/>
      <c r="FZ133" s="148"/>
      <c r="GA133" s="148"/>
      <c r="GB133" s="148"/>
      <c r="GC133" s="148"/>
      <c r="GD133" s="148"/>
      <c r="GE133" s="148"/>
      <c r="GF133" s="148"/>
      <c r="GG133" s="148"/>
      <c r="GH133" s="148"/>
      <c r="GI133" s="148"/>
      <c r="GJ133" s="148"/>
      <c r="GK133" s="148"/>
      <c r="GL133" s="148"/>
      <c r="GM133" s="148"/>
      <c r="GN133" s="148"/>
      <c r="GO133" s="148"/>
      <c r="GP133" s="148"/>
      <c r="GQ133" s="148"/>
      <c r="GR133" s="148"/>
      <c r="GS133" s="148"/>
      <c r="GT133" s="148"/>
      <c r="GU133" s="148"/>
      <c r="GV133" s="148"/>
      <c r="GW133" s="148"/>
      <c r="GX133" s="148"/>
      <c r="GY133" s="148"/>
      <c r="GZ133" s="148"/>
      <c r="HA133" s="148"/>
      <c r="HB133" s="148"/>
      <c r="HC133" s="148"/>
      <c r="HD133" s="148"/>
      <c r="HE133" s="148"/>
      <c r="HF133" s="148"/>
      <c r="HG133" s="148"/>
      <c r="HH133" s="148"/>
      <c r="HI133" s="148"/>
      <c r="HJ133" s="148"/>
      <c r="HK133" s="148"/>
      <c r="HL133" s="148"/>
      <c r="HM133" s="148"/>
      <c r="HN133" s="148"/>
      <c r="HO133" s="148"/>
      <c r="HP133" s="148"/>
      <c r="HQ133" s="148"/>
      <c r="HR133" s="148"/>
      <c r="HS133" s="148"/>
      <c r="HT133" s="148"/>
      <c r="HU133" s="148"/>
      <c r="HV133" s="148"/>
      <c r="HW133" s="148"/>
      <c r="HX133" s="148"/>
      <c r="HY133" s="148"/>
      <c r="HZ133" s="148"/>
      <c r="IA133" s="148"/>
      <c r="IB133" s="148"/>
      <c r="IC133" s="148"/>
    </row>
    <row r="134" spans="1:237" s="15" customFormat="1" x14ac:dyDescent="0.25">
      <c r="A134" s="148"/>
      <c r="B134" s="307"/>
      <c r="C134" s="307"/>
      <c r="D134" s="450"/>
      <c r="E134" s="577"/>
      <c r="F134" s="577"/>
      <c r="G134" s="533"/>
      <c r="H134" s="553"/>
      <c r="I134" s="534"/>
      <c r="J134" s="534"/>
      <c r="K134" s="535"/>
      <c r="L134" s="535"/>
      <c r="M134" s="535"/>
      <c r="N134" s="535"/>
      <c r="O134" s="535"/>
      <c r="P134" s="535"/>
      <c r="Q134" s="535"/>
      <c r="R134" s="535"/>
      <c r="S134" s="535"/>
      <c r="T134" s="535"/>
      <c r="U134" s="535"/>
      <c r="V134" s="535"/>
      <c r="W134" s="535"/>
      <c r="X134" s="535"/>
      <c r="Y134" s="535"/>
      <c r="Z134" s="660"/>
      <c r="AA134" s="591"/>
      <c r="AB134" s="558"/>
      <c r="AC134" s="540"/>
      <c r="AD134" s="542"/>
      <c r="AE134" s="454"/>
      <c r="AF134" s="459"/>
      <c r="AG134" s="460"/>
      <c r="AH134" s="458"/>
      <c r="AI134" s="454"/>
      <c r="AJ134" s="456"/>
      <c r="AK134" s="460"/>
      <c r="AL134" s="458"/>
      <c r="AM134" s="454"/>
      <c r="AN134" s="456"/>
      <c r="AO134" s="460"/>
      <c r="AP134" s="458"/>
      <c r="AQ134" s="454"/>
      <c r="AR134" s="456"/>
      <c r="AS134" s="460"/>
      <c r="AT134" s="458"/>
      <c r="AU134" s="22"/>
      <c r="AV134" s="546"/>
      <c r="AW134" s="148"/>
      <c r="AX134" s="148"/>
      <c r="AY134" s="148"/>
      <c r="AZ134" s="148"/>
      <c r="BA134" s="148"/>
      <c r="BB134" s="148"/>
      <c r="BC134" s="148"/>
      <c r="BD134" s="148"/>
      <c r="BE134" s="148"/>
      <c r="BF134" s="148"/>
      <c r="BG134" s="148"/>
      <c r="BH134" s="148"/>
      <c r="BI134" s="148"/>
      <c r="BJ134" s="148"/>
      <c r="BK134" s="148"/>
      <c r="BL134" s="148"/>
      <c r="BM134" s="148"/>
      <c r="BN134" s="148"/>
      <c r="BO134" s="148"/>
      <c r="BP134" s="148"/>
      <c r="BQ134" s="148"/>
      <c r="BR134" s="148"/>
      <c r="BS134" s="148"/>
      <c r="BT134" s="148"/>
      <c r="BU134" s="148"/>
      <c r="BV134" s="148"/>
      <c r="BW134" s="148"/>
      <c r="BX134" s="148"/>
      <c r="BY134" s="148"/>
      <c r="BZ134" s="148"/>
      <c r="CA134" s="148"/>
      <c r="CB134" s="148"/>
      <c r="CC134" s="148"/>
      <c r="CD134" s="148"/>
      <c r="CE134" s="148"/>
      <c r="CF134" s="148"/>
      <c r="CG134" s="148"/>
      <c r="CH134" s="148"/>
      <c r="CI134" s="148"/>
      <c r="CJ134" s="148"/>
      <c r="CK134" s="148"/>
      <c r="CL134" s="148"/>
      <c r="CM134" s="148"/>
      <c r="CN134" s="148"/>
      <c r="CO134" s="148"/>
      <c r="CP134" s="148"/>
      <c r="CQ134" s="148"/>
      <c r="CR134" s="148"/>
      <c r="CS134" s="148"/>
      <c r="CT134" s="148"/>
      <c r="CU134" s="148"/>
      <c r="CV134" s="148"/>
      <c r="CW134" s="148"/>
      <c r="CX134" s="148"/>
      <c r="CY134" s="148"/>
      <c r="CZ134" s="148"/>
      <c r="DA134" s="148"/>
      <c r="DB134" s="148"/>
      <c r="DC134" s="148"/>
      <c r="DD134" s="148"/>
      <c r="DE134" s="148"/>
      <c r="DF134" s="148"/>
      <c r="DG134" s="148"/>
      <c r="DH134" s="148"/>
      <c r="DI134" s="148"/>
      <c r="DJ134" s="148"/>
      <c r="DK134" s="148"/>
      <c r="DL134" s="148"/>
      <c r="DM134" s="148"/>
      <c r="DN134" s="148"/>
      <c r="DO134" s="148"/>
      <c r="DP134" s="148"/>
      <c r="DQ134" s="148"/>
      <c r="DR134" s="148"/>
      <c r="DS134" s="148"/>
      <c r="DT134" s="148"/>
      <c r="DU134" s="148"/>
      <c r="DV134" s="148"/>
      <c r="DW134" s="148"/>
      <c r="DX134" s="148"/>
      <c r="DY134" s="148"/>
      <c r="DZ134" s="148"/>
      <c r="EA134" s="148"/>
      <c r="EB134" s="148"/>
      <c r="EC134" s="148"/>
      <c r="ED134" s="148"/>
      <c r="EE134" s="148"/>
      <c r="EF134" s="148"/>
      <c r="EG134" s="148"/>
      <c r="EH134" s="148"/>
      <c r="EI134" s="148"/>
      <c r="EJ134" s="148"/>
      <c r="EK134" s="148"/>
      <c r="EL134" s="148"/>
      <c r="EM134" s="148"/>
      <c r="EN134" s="148"/>
      <c r="EO134" s="148"/>
      <c r="EP134" s="148"/>
      <c r="EQ134" s="148"/>
      <c r="ER134" s="148"/>
      <c r="ES134" s="148"/>
      <c r="ET134" s="148"/>
      <c r="EU134" s="148"/>
      <c r="EV134" s="148"/>
      <c r="EW134" s="148"/>
      <c r="EX134" s="148"/>
      <c r="EY134" s="148"/>
      <c r="EZ134" s="148"/>
      <c r="FA134" s="148"/>
      <c r="FB134" s="148"/>
      <c r="FC134" s="148"/>
      <c r="FD134" s="148"/>
      <c r="FE134" s="148"/>
      <c r="FF134" s="148"/>
      <c r="FG134" s="148"/>
      <c r="FH134" s="148"/>
      <c r="FI134" s="148"/>
      <c r="FJ134" s="148"/>
      <c r="FK134" s="148"/>
      <c r="FL134" s="148"/>
      <c r="FM134" s="148"/>
      <c r="FN134" s="148"/>
      <c r="FO134" s="148"/>
      <c r="FP134" s="148"/>
      <c r="FQ134" s="148"/>
      <c r="FR134" s="148"/>
      <c r="FS134" s="148"/>
      <c r="FT134" s="148"/>
      <c r="FU134" s="148"/>
      <c r="FV134" s="148"/>
      <c r="FW134" s="148"/>
      <c r="FX134" s="148"/>
      <c r="FY134" s="148"/>
      <c r="FZ134" s="148"/>
      <c r="GA134" s="148"/>
      <c r="GB134" s="148"/>
      <c r="GC134" s="148"/>
      <c r="GD134" s="148"/>
      <c r="GE134" s="148"/>
      <c r="GF134" s="148"/>
      <c r="GG134" s="148"/>
      <c r="GH134" s="148"/>
      <c r="GI134" s="148"/>
      <c r="GJ134" s="148"/>
      <c r="GK134" s="148"/>
      <c r="GL134" s="148"/>
      <c r="GM134" s="148"/>
      <c r="GN134" s="148"/>
      <c r="GO134" s="148"/>
      <c r="GP134" s="148"/>
      <c r="GQ134" s="148"/>
      <c r="GR134" s="148"/>
      <c r="GS134" s="148"/>
      <c r="GT134" s="148"/>
      <c r="GU134" s="148"/>
      <c r="GV134" s="148"/>
      <c r="GW134" s="148"/>
      <c r="GX134" s="148"/>
      <c r="GY134" s="148"/>
      <c r="GZ134" s="148"/>
      <c r="HA134" s="148"/>
      <c r="HB134" s="148"/>
      <c r="HC134" s="148"/>
      <c r="HD134" s="148"/>
      <c r="HE134" s="148"/>
      <c r="HF134" s="148"/>
      <c r="HG134" s="148"/>
      <c r="HH134" s="148"/>
      <c r="HI134" s="148"/>
      <c r="HJ134" s="148"/>
      <c r="HK134" s="148"/>
      <c r="HL134" s="148"/>
      <c r="HM134" s="148"/>
      <c r="HN134" s="148"/>
      <c r="HO134" s="148"/>
      <c r="HP134" s="148"/>
      <c r="HQ134" s="148"/>
      <c r="HR134" s="148"/>
      <c r="HS134" s="148"/>
      <c r="HT134" s="148"/>
      <c r="HU134" s="148"/>
      <c r="HV134" s="148"/>
      <c r="HW134" s="148"/>
      <c r="HX134" s="148"/>
      <c r="HY134" s="148"/>
      <c r="HZ134" s="148"/>
      <c r="IA134" s="148"/>
      <c r="IB134" s="148"/>
      <c r="IC134" s="148"/>
    </row>
    <row r="135" spans="1:237" s="15" customFormat="1" x14ac:dyDescent="0.25">
      <c r="A135" s="148"/>
      <c r="B135" s="307"/>
      <c r="C135" s="307"/>
      <c r="D135" s="450"/>
      <c r="E135" s="577"/>
      <c r="F135" s="577"/>
      <c r="G135" s="533"/>
      <c r="H135" s="553"/>
      <c r="I135" s="534"/>
      <c r="J135" s="534"/>
      <c r="K135" s="535"/>
      <c r="L135" s="535"/>
      <c r="M135" s="535"/>
      <c r="N135" s="535"/>
      <c r="O135" s="535"/>
      <c r="P135" s="535"/>
      <c r="Q135" s="535"/>
      <c r="R135" s="535"/>
      <c r="S135" s="535"/>
      <c r="T135" s="535"/>
      <c r="U135" s="535"/>
      <c r="V135" s="535"/>
      <c r="W135" s="535"/>
      <c r="X135" s="535"/>
      <c r="Y135" s="535"/>
      <c r="Z135" s="660"/>
      <c r="AA135" s="591"/>
      <c r="AB135" s="558"/>
      <c r="AC135" s="540"/>
      <c r="AD135" s="542"/>
      <c r="AE135" s="454"/>
      <c r="AF135" s="459"/>
      <c r="AG135" s="460"/>
      <c r="AH135" s="458"/>
      <c r="AI135" s="454"/>
      <c r="AJ135" s="456"/>
      <c r="AK135" s="460"/>
      <c r="AL135" s="458"/>
      <c r="AM135" s="454"/>
      <c r="AN135" s="456"/>
      <c r="AO135" s="460"/>
      <c r="AP135" s="458"/>
      <c r="AQ135" s="454"/>
      <c r="AR135" s="456"/>
      <c r="AS135" s="460"/>
      <c r="AT135" s="458"/>
      <c r="AU135" s="22"/>
      <c r="AV135" s="546"/>
      <c r="AW135" s="148"/>
      <c r="AX135" s="148"/>
      <c r="AY135" s="148"/>
      <c r="AZ135" s="148"/>
      <c r="BA135" s="148"/>
      <c r="BB135" s="148"/>
      <c r="BC135" s="148"/>
      <c r="BD135" s="148"/>
      <c r="BE135" s="148"/>
      <c r="BF135" s="148"/>
      <c r="BG135" s="148"/>
      <c r="BH135" s="148"/>
      <c r="BI135" s="148"/>
      <c r="BJ135" s="148"/>
      <c r="BK135" s="148"/>
      <c r="BL135" s="148"/>
      <c r="BM135" s="148"/>
      <c r="BN135" s="148"/>
      <c r="BO135" s="148"/>
      <c r="BP135" s="148"/>
      <c r="BQ135" s="148"/>
      <c r="BR135" s="148"/>
      <c r="BS135" s="148"/>
      <c r="BT135" s="148"/>
      <c r="BU135" s="148"/>
      <c r="BV135" s="148"/>
      <c r="BW135" s="148"/>
      <c r="BX135" s="148"/>
      <c r="BY135" s="148"/>
      <c r="BZ135" s="148"/>
      <c r="CA135" s="148"/>
      <c r="CB135" s="148"/>
      <c r="CC135" s="148"/>
      <c r="CD135" s="148"/>
      <c r="CE135" s="148"/>
      <c r="CF135" s="148"/>
      <c r="CG135" s="148"/>
      <c r="CH135" s="148"/>
      <c r="CI135" s="148"/>
      <c r="CJ135" s="148"/>
      <c r="CK135" s="148"/>
      <c r="CL135" s="148"/>
      <c r="CM135" s="148"/>
      <c r="CN135" s="148"/>
      <c r="CO135" s="148"/>
      <c r="CP135" s="148"/>
      <c r="CQ135" s="148"/>
      <c r="CR135" s="148"/>
      <c r="CS135" s="148"/>
      <c r="CT135" s="148"/>
      <c r="CU135" s="148"/>
      <c r="CV135" s="148"/>
      <c r="CW135" s="148"/>
      <c r="CX135" s="148"/>
      <c r="CY135" s="148"/>
      <c r="CZ135" s="148"/>
      <c r="DA135" s="148"/>
      <c r="DB135" s="148"/>
      <c r="DC135" s="148"/>
      <c r="DD135" s="148"/>
      <c r="DE135" s="148"/>
      <c r="DF135" s="148"/>
      <c r="DG135" s="148"/>
      <c r="DH135" s="148"/>
      <c r="DI135" s="148"/>
      <c r="DJ135" s="148"/>
      <c r="DK135" s="148"/>
      <c r="DL135" s="148"/>
      <c r="DM135" s="148"/>
      <c r="DN135" s="148"/>
      <c r="DO135" s="148"/>
      <c r="DP135" s="148"/>
      <c r="DQ135" s="148"/>
      <c r="DR135" s="148"/>
      <c r="DS135" s="148"/>
      <c r="DT135" s="148"/>
      <c r="DU135" s="148"/>
      <c r="DV135" s="148"/>
      <c r="DW135" s="148"/>
      <c r="DX135" s="148"/>
      <c r="DY135" s="148"/>
      <c r="DZ135" s="148"/>
      <c r="EA135" s="148"/>
      <c r="EB135" s="148"/>
      <c r="EC135" s="148"/>
      <c r="ED135" s="148"/>
      <c r="EE135" s="148"/>
      <c r="EF135" s="148"/>
      <c r="EG135" s="148"/>
      <c r="EH135" s="148"/>
      <c r="EI135" s="148"/>
      <c r="EJ135" s="148"/>
      <c r="EK135" s="148"/>
      <c r="EL135" s="148"/>
      <c r="EM135" s="148"/>
      <c r="EN135" s="148"/>
      <c r="EO135" s="148"/>
      <c r="EP135" s="148"/>
      <c r="EQ135" s="148"/>
      <c r="ER135" s="148"/>
      <c r="ES135" s="148"/>
      <c r="ET135" s="148"/>
      <c r="EU135" s="148"/>
      <c r="EV135" s="148"/>
      <c r="EW135" s="148"/>
      <c r="EX135" s="148"/>
      <c r="EY135" s="148"/>
      <c r="EZ135" s="148"/>
      <c r="FA135" s="148"/>
      <c r="FB135" s="148"/>
      <c r="FC135" s="148"/>
      <c r="FD135" s="148"/>
      <c r="FE135" s="148"/>
      <c r="FF135" s="148"/>
      <c r="FG135" s="148"/>
      <c r="FH135" s="148"/>
      <c r="FI135" s="148"/>
      <c r="FJ135" s="148"/>
      <c r="FK135" s="148"/>
      <c r="FL135" s="148"/>
      <c r="FM135" s="148"/>
      <c r="FN135" s="148"/>
      <c r="FO135" s="148"/>
      <c r="FP135" s="148"/>
      <c r="FQ135" s="148"/>
      <c r="FR135" s="148"/>
      <c r="FS135" s="148"/>
      <c r="FT135" s="148"/>
      <c r="FU135" s="148"/>
      <c r="FV135" s="148"/>
      <c r="FW135" s="148"/>
      <c r="FX135" s="148"/>
      <c r="FY135" s="148"/>
      <c r="FZ135" s="148"/>
      <c r="GA135" s="148"/>
      <c r="GB135" s="148"/>
      <c r="GC135" s="148"/>
      <c r="GD135" s="148"/>
      <c r="GE135" s="148"/>
      <c r="GF135" s="148"/>
      <c r="GG135" s="148"/>
      <c r="GH135" s="148"/>
      <c r="GI135" s="148"/>
      <c r="GJ135" s="148"/>
      <c r="GK135" s="148"/>
      <c r="GL135" s="148"/>
      <c r="GM135" s="148"/>
      <c r="GN135" s="148"/>
      <c r="GO135" s="148"/>
      <c r="GP135" s="148"/>
      <c r="GQ135" s="148"/>
      <c r="GR135" s="148"/>
      <c r="GS135" s="148"/>
      <c r="GT135" s="148"/>
      <c r="GU135" s="148"/>
      <c r="GV135" s="148"/>
      <c r="GW135" s="148"/>
      <c r="GX135" s="148"/>
      <c r="GY135" s="148"/>
      <c r="GZ135" s="148"/>
      <c r="HA135" s="148"/>
      <c r="HB135" s="148"/>
      <c r="HC135" s="148"/>
      <c r="HD135" s="148"/>
      <c r="HE135" s="148"/>
      <c r="HF135" s="148"/>
      <c r="HG135" s="148"/>
      <c r="HH135" s="148"/>
      <c r="HI135" s="148"/>
      <c r="HJ135" s="148"/>
      <c r="HK135" s="148"/>
      <c r="HL135" s="148"/>
      <c r="HM135" s="148"/>
      <c r="HN135" s="148"/>
      <c r="HO135" s="148"/>
      <c r="HP135" s="148"/>
      <c r="HQ135" s="148"/>
      <c r="HR135" s="148"/>
      <c r="HS135" s="148"/>
      <c r="HT135" s="148"/>
      <c r="HU135" s="148"/>
      <c r="HV135" s="148"/>
      <c r="HW135" s="148"/>
      <c r="HX135" s="148"/>
      <c r="HY135" s="148"/>
      <c r="HZ135" s="148"/>
      <c r="IA135" s="148"/>
      <c r="IB135" s="148"/>
      <c r="IC135" s="148"/>
    </row>
    <row r="136" spans="1:237" s="15" customFormat="1" x14ac:dyDescent="0.25">
      <c r="A136" s="148"/>
      <c r="B136" s="307"/>
      <c r="C136" s="307"/>
      <c r="D136" s="16"/>
      <c r="E136" s="326"/>
      <c r="F136" s="326"/>
      <c r="G136" s="17"/>
      <c r="H136" s="317"/>
      <c r="I136" s="320"/>
      <c r="J136" s="320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26">
        <f t="shared" ref="Z136" si="5">SUM(N136:Y136)</f>
        <v>0</v>
      </c>
      <c r="AA136" s="57"/>
      <c r="AB136" s="19"/>
      <c r="AC136" s="21"/>
      <c r="AD136" s="25"/>
      <c r="AE136" s="125"/>
      <c r="AF136" s="129"/>
      <c r="AG136" s="153"/>
      <c r="AH136" s="128"/>
      <c r="AI136" s="125"/>
      <c r="AJ136" s="126"/>
      <c r="AK136" s="153"/>
      <c r="AL136" s="128"/>
      <c r="AM136" s="125"/>
      <c r="AN136" s="126"/>
      <c r="AO136" s="153"/>
      <c r="AP136" s="128"/>
      <c r="AQ136" s="125"/>
      <c r="AR136" s="126"/>
      <c r="AS136" s="153"/>
      <c r="AT136" s="128"/>
      <c r="AU136" s="22">
        <f t="shared" ref="AU136" si="6">+AA136+AE136+AI136+AM136+AQ136</f>
        <v>0</v>
      </c>
      <c r="AV136" s="311">
        <f t="shared" ref="AV136" si="7">+AU136-Z136</f>
        <v>0</v>
      </c>
      <c r="AW136" s="148"/>
      <c r="AX136" s="148"/>
      <c r="AY136" s="148"/>
      <c r="AZ136" s="148"/>
      <c r="BA136" s="148"/>
      <c r="BB136" s="148"/>
      <c r="BC136" s="148"/>
      <c r="BD136" s="148"/>
      <c r="BE136" s="148"/>
      <c r="BF136" s="148"/>
      <c r="BG136" s="148"/>
      <c r="BH136" s="148"/>
      <c r="BI136" s="148"/>
      <c r="BJ136" s="148"/>
      <c r="BK136" s="148"/>
      <c r="BL136" s="148"/>
      <c r="BM136" s="148"/>
      <c r="BN136" s="148"/>
      <c r="BO136" s="148"/>
      <c r="BP136" s="148"/>
      <c r="BQ136" s="148"/>
      <c r="BR136" s="148"/>
      <c r="BS136" s="148"/>
      <c r="BT136" s="148"/>
      <c r="BU136" s="148"/>
      <c r="BV136" s="148"/>
      <c r="BW136" s="148"/>
      <c r="BX136" s="148"/>
      <c r="BY136" s="148"/>
      <c r="BZ136" s="148"/>
      <c r="CA136" s="148"/>
      <c r="CB136" s="148"/>
      <c r="CC136" s="148"/>
      <c r="CD136" s="148"/>
      <c r="CE136" s="148"/>
      <c r="CF136" s="148"/>
      <c r="CG136" s="148"/>
      <c r="CH136" s="148"/>
      <c r="CI136" s="148"/>
      <c r="CJ136" s="148"/>
      <c r="CK136" s="148"/>
      <c r="CL136" s="148"/>
      <c r="CM136" s="148"/>
      <c r="CN136" s="148"/>
      <c r="CO136" s="148"/>
      <c r="CP136" s="148"/>
      <c r="CQ136" s="148"/>
      <c r="CR136" s="148"/>
      <c r="CS136" s="148"/>
      <c r="CT136" s="148"/>
      <c r="CU136" s="148"/>
      <c r="CV136" s="148"/>
      <c r="CW136" s="148"/>
      <c r="CX136" s="148"/>
      <c r="CY136" s="148"/>
      <c r="CZ136" s="148"/>
      <c r="DA136" s="148"/>
      <c r="DB136" s="148"/>
      <c r="DC136" s="148"/>
      <c r="DD136" s="148"/>
      <c r="DE136" s="148"/>
      <c r="DF136" s="148"/>
      <c r="DG136" s="148"/>
      <c r="DH136" s="148"/>
      <c r="DI136" s="148"/>
      <c r="DJ136" s="148"/>
      <c r="DK136" s="148"/>
      <c r="DL136" s="148"/>
      <c r="DM136" s="148"/>
      <c r="DN136" s="148"/>
      <c r="DO136" s="148"/>
      <c r="DP136" s="148"/>
      <c r="DQ136" s="148"/>
      <c r="DR136" s="148"/>
      <c r="DS136" s="148"/>
      <c r="DT136" s="148"/>
      <c r="DU136" s="148"/>
      <c r="DV136" s="148"/>
      <c r="DW136" s="148"/>
      <c r="DX136" s="148"/>
      <c r="DY136" s="148"/>
      <c r="DZ136" s="148"/>
      <c r="EA136" s="148"/>
      <c r="EB136" s="148"/>
      <c r="EC136" s="148"/>
      <c r="ED136" s="148"/>
      <c r="EE136" s="148"/>
      <c r="EF136" s="148"/>
      <c r="EG136" s="148"/>
      <c r="EH136" s="148"/>
      <c r="EI136" s="148"/>
      <c r="EJ136" s="148"/>
      <c r="EK136" s="148"/>
      <c r="EL136" s="148"/>
      <c r="EM136" s="148"/>
      <c r="EN136" s="148"/>
      <c r="EO136" s="148"/>
      <c r="EP136" s="148"/>
      <c r="EQ136" s="148"/>
      <c r="ER136" s="148"/>
      <c r="ES136" s="148"/>
      <c r="ET136" s="148"/>
      <c r="EU136" s="148"/>
      <c r="EV136" s="148"/>
      <c r="EW136" s="148"/>
      <c r="EX136" s="148"/>
      <c r="EY136" s="148"/>
      <c r="EZ136" s="148"/>
      <c r="FA136" s="148"/>
      <c r="FB136" s="148"/>
      <c r="FC136" s="148"/>
      <c r="FD136" s="148"/>
      <c r="FE136" s="148"/>
      <c r="FF136" s="148"/>
      <c r="FG136" s="148"/>
      <c r="FH136" s="148"/>
      <c r="FI136" s="148"/>
      <c r="FJ136" s="148"/>
      <c r="FK136" s="148"/>
      <c r="FL136" s="148"/>
      <c r="FM136" s="148"/>
      <c r="FN136" s="148"/>
      <c r="FO136" s="148"/>
      <c r="FP136" s="148"/>
      <c r="FQ136" s="148"/>
      <c r="FR136" s="148"/>
      <c r="FS136" s="148"/>
      <c r="FT136" s="148"/>
      <c r="FU136" s="148"/>
      <c r="FV136" s="148"/>
      <c r="FW136" s="148"/>
      <c r="FX136" s="148"/>
      <c r="FY136" s="148"/>
      <c r="FZ136" s="148"/>
      <c r="GA136" s="148"/>
      <c r="GB136" s="148"/>
      <c r="GC136" s="148"/>
      <c r="GD136" s="148"/>
      <c r="GE136" s="148"/>
      <c r="GF136" s="148"/>
      <c r="GG136" s="148"/>
      <c r="GH136" s="148"/>
      <c r="GI136" s="148"/>
      <c r="GJ136" s="148"/>
      <c r="GK136" s="148"/>
      <c r="GL136" s="148"/>
      <c r="GM136" s="148"/>
      <c r="GN136" s="148"/>
      <c r="GO136" s="148"/>
      <c r="GP136" s="148"/>
      <c r="GQ136" s="148"/>
      <c r="GR136" s="148"/>
      <c r="GS136" s="148"/>
      <c r="GT136" s="148"/>
      <c r="GU136" s="148"/>
      <c r="GV136" s="148"/>
      <c r="GW136" s="148"/>
      <c r="GX136" s="148"/>
      <c r="GY136" s="148"/>
      <c r="GZ136" s="148"/>
      <c r="HA136" s="148"/>
      <c r="HB136" s="148"/>
      <c r="HC136" s="148"/>
      <c r="HD136" s="148"/>
      <c r="HE136" s="148"/>
      <c r="HF136" s="148"/>
      <c r="HG136" s="148"/>
      <c r="HH136" s="148"/>
      <c r="HI136" s="148"/>
      <c r="HJ136" s="148"/>
      <c r="HK136" s="148"/>
      <c r="HL136" s="148"/>
      <c r="HM136" s="148"/>
      <c r="HN136" s="148"/>
      <c r="HO136" s="148"/>
      <c r="HP136" s="148"/>
      <c r="HQ136" s="148"/>
      <c r="HR136" s="148"/>
      <c r="HS136" s="148"/>
      <c r="HT136" s="148"/>
      <c r="HU136" s="148"/>
      <c r="HV136" s="148"/>
      <c r="HW136" s="148"/>
      <c r="HX136" s="148"/>
      <c r="HY136" s="148"/>
      <c r="HZ136" s="148"/>
      <c r="IA136" s="148"/>
      <c r="IB136" s="148"/>
      <c r="IC136" s="148"/>
    </row>
    <row r="137" spans="1:237" ht="15" customHeight="1" x14ac:dyDescent="0.25">
      <c r="B137" s="746" t="s">
        <v>39</v>
      </c>
      <c r="C137" s="747"/>
      <c r="D137" s="747"/>
      <c r="E137" s="747"/>
      <c r="F137" s="747"/>
      <c r="G137" s="747"/>
      <c r="H137" s="747"/>
      <c r="I137" s="748"/>
      <c r="J137" s="24">
        <f>SUBTOTAL(9,J16:J131)</f>
        <v>144586103</v>
      </c>
      <c r="K137" s="24">
        <f>SUBTOTAL(9,K16:K131)</f>
        <v>33075479</v>
      </c>
      <c r="L137" s="24">
        <f>SUBTOTAL(9,L16:L131)</f>
        <v>83493870</v>
      </c>
      <c r="M137" s="24">
        <f t="shared" ref="M137:Y137" si="8">SUBTOTAL(9,M16:M131)</f>
        <v>61786439</v>
      </c>
      <c r="N137" s="24">
        <f t="shared" si="8"/>
        <v>3749054.3750000005</v>
      </c>
      <c r="O137" s="24">
        <f t="shared" si="8"/>
        <v>2806866.335</v>
      </c>
      <c r="P137" s="24">
        <f t="shared" si="8"/>
        <v>2313251.8680000002</v>
      </c>
      <c r="Q137" s="24">
        <f t="shared" si="8"/>
        <v>1063407.031</v>
      </c>
      <c r="R137" s="24">
        <f t="shared" si="8"/>
        <v>1039814.6270000001</v>
      </c>
      <c r="S137" s="24">
        <f t="shared" si="8"/>
        <v>1033669.5260000001</v>
      </c>
      <c r="T137" s="24">
        <f t="shared" si="8"/>
        <v>0</v>
      </c>
      <c r="U137" s="24">
        <f t="shared" si="8"/>
        <v>0</v>
      </c>
      <c r="V137" s="24">
        <f t="shared" si="8"/>
        <v>0</v>
      </c>
      <c r="W137" s="24">
        <f t="shared" si="8"/>
        <v>0</v>
      </c>
      <c r="X137" s="24">
        <f t="shared" si="8"/>
        <v>0</v>
      </c>
      <c r="Y137" s="24">
        <f t="shared" si="8"/>
        <v>0</v>
      </c>
      <c r="Z137" s="24">
        <f>SUBTOTAL(9,Z16:Z131)</f>
        <v>12006063.761999998</v>
      </c>
      <c r="AA137" s="24">
        <f>SUBTOTAL(9,AA16:AA131)</f>
        <v>19871903</v>
      </c>
      <c r="AB137" s="24"/>
      <c r="AC137" s="24"/>
      <c r="AD137" s="24"/>
      <c r="AE137" s="24">
        <f t="shared" ref="AE137:AV137" si="9">SUBTOTAL(9,AE16:AE131)</f>
        <v>1479418</v>
      </c>
      <c r="AF137" s="24"/>
      <c r="AG137" s="24"/>
      <c r="AH137" s="24"/>
      <c r="AI137" s="24">
        <f t="shared" si="9"/>
        <v>257487</v>
      </c>
      <c r="AJ137" s="24"/>
      <c r="AK137" s="24"/>
      <c r="AL137" s="24"/>
      <c r="AM137" s="24">
        <f t="shared" si="9"/>
        <v>0</v>
      </c>
      <c r="AN137" s="24"/>
      <c r="AO137" s="24"/>
      <c r="AP137" s="24"/>
      <c r="AQ137" s="24">
        <f t="shared" si="9"/>
        <v>0</v>
      </c>
      <c r="AR137" s="24"/>
      <c r="AS137" s="24"/>
      <c r="AT137" s="24"/>
      <c r="AU137" s="24">
        <f>SUBTOTAL(9,AU16:AU131)</f>
        <v>21608808</v>
      </c>
      <c r="AV137" s="24">
        <f t="shared" si="9"/>
        <v>9602744.237999998</v>
      </c>
    </row>
    <row r="138" spans="1:237" s="134" customFormat="1" x14ac:dyDescent="0.2">
      <c r="B138" s="145"/>
      <c r="D138" s="145"/>
      <c r="AB138" s="141"/>
      <c r="AF138" s="140"/>
      <c r="AJ138" s="141"/>
      <c r="AN138" s="141"/>
      <c r="AR138" s="141"/>
    </row>
    <row r="139" spans="1:237" s="134" customFormat="1" x14ac:dyDescent="0.2">
      <c r="B139" s="145"/>
      <c r="D139" s="145"/>
      <c r="AB139" s="141"/>
      <c r="AF139" s="140"/>
      <c r="AJ139" s="141"/>
      <c r="AN139" s="141"/>
      <c r="AR139" s="141"/>
    </row>
    <row r="140" spans="1:237" s="134" customFormat="1" x14ac:dyDescent="0.2">
      <c r="B140" s="145"/>
      <c r="D140" s="145"/>
      <c r="AB140" s="141"/>
      <c r="AF140" s="140"/>
      <c r="AJ140" s="141"/>
      <c r="AN140" s="141"/>
      <c r="AR140" s="141"/>
    </row>
    <row r="141" spans="1:237" s="134" customFormat="1" x14ac:dyDescent="0.2">
      <c r="B141" s="145"/>
      <c r="D141" s="145"/>
      <c r="AB141" s="141"/>
      <c r="AF141" s="140"/>
      <c r="AJ141" s="141"/>
      <c r="AN141" s="141"/>
      <c r="AR141" s="141"/>
    </row>
    <row r="142" spans="1:237" s="134" customFormat="1" x14ac:dyDescent="0.2">
      <c r="B142" s="145"/>
      <c r="D142" s="145"/>
      <c r="AB142" s="141"/>
      <c r="AF142" s="140"/>
      <c r="AJ142" s="141"/>
      <c r="AN142" s="141"/>
      <c r="AR142" s="141"/>
    </row>
    <row r="143" spans="1:237" s="134" customFormat="1" x14ac:dyDescent="0.2">
      <c r="B143" s="145"/>
      <c r="D143" s="145"/>
      <c r="AB143" s="141"/>
      <c r="AF143" s="140"/>
      <c r="AJ143" s="141"/>
      <c r="AN143" s="141"/>
      <c r="AR143" s="141"/>
    </row>
    <row r="144" spans="1:237" s="134" customFormat="1" x14ac:dyDescent="0.2">
      <c r="B144" s="145"/>
      <c r="D144" s="145"/>
      <c r="AB144" s="141"/>
      <c r="AF144" s="140"/>
      <c r="AJ144" s="141"/>
      <c r="AN144" s="141"/>
      <c r="AR144" s="141"/>
    </row>
    <row r="145" spans="2:44" s="134" customFormat="1" x14ac:dyDescent="0.2">
      <c r="B145" s="145"/>
      <c r="D145" s="145"/>
      <c r="AB145" s="141"/>
      <c r="AF145" s="140"/>
      <c r="AJ145" s="141"/>
      <c r="AN145" s="141"/>
      <c r="AR145" s="141"/>
    </row>
    <row r="146" spans="2:44" s="134" customFormat="1" x14ac:dyDescent="0.2">
      <c r="B146" s="145"/>
      <c r="D146" s="145"/>
      <c r="AB146" s="141"/>
      <c r="AF146" s="140"/>
      <c r="AJ146" s="141"/>
      <c r="AN146" s="141"/>
      <c r="AR146" s="141"/>
    </row>
    <row r="147" spans="2:44" s="134" customFormat="1" x14ac:dyDescent="0.2">
      <c r="B147" s="145"/>
      <c r="D147" s="145"/>
      <c r="AB147" s="141"/>
      <c r="AF147" s="140"/>
      <c r="AJ147" s="141"/>
      <c r="AN147" s="141"/>
      <c r="AR147" s="141"/>
    </row>
    <row r="148" spans="2:44" s="134" customFormat="1" x14ac:dyDescent="0.2">
      <c r="B148" s="145"/>
      <c r="D148" s="145"/>
      <c r="AB148" s="141"/>
      <c r="AF148" s="140"/>
      <c r="AJ148" s="141"/>
      <c r="AN148" s="141"/>
      <c r="AR148" s="141"/>
    </row>
    <row r="149" spans="2:44" s="134" customFormat="1" x14ac:dyDescent="0.2">
      <c r="B149" s="145"/>
      <c r="D149" s="145"/>
      <c r="AB149" s="141"/>
      <c r="AF149" s="140"/>
      <c r="AJ149" s="141"/>
      <c r="AN149" s="141"/>
      <c r="AR149" s="141"/>
    </row>
    <row r="150" spans="2:44" s="134" customFormat="1" x14ac:dyDescent="0.2">
      <c r="B150" s="145"/>
      <c r="D150" s="145"/>
      <c r="AB150" s="141"/>
      <c r="AF150" s="140"/>
      <c r="AJ150" s="141"/>
      <c r="AN150" s="141"/>
      <c r="AR150" s="141"/>
    </row>
    <row r="151" spans="2:44" s="134" customFormat="1" x14ac:dyDescent="0.2">
      <c r="B151" s="145"/>
      <c r="D151" s="145"/>
      <c r="AB151" s="141"/>
      <c r="AF151" s="140"/>
      <c r="AJ151" s="141"/>
      <c r="AN151" s="141"/>
      <c r="AR151" s="141"/>
    </row>
    <row r="152" spans="2:44" s="134" customFormat="1" x14ac:dyDescent="0.2">
      <c r="B152" s="145"/>
      <c r="D152" s="145"/>
      <c r="AB152" s="141"/>
      <c r="AF152" s="140"/>
      <c r="AJ152" s="141"/>
      <c r="AN152" s="141"/>
      <c r="AR152" s="141"/>
    </row>
    <row r="153" spans="2:44" s="134" customFormat="1" x14ac:dyDescent="0.2">
      <c r="B153" s="145"/>
      <c r="D153" s="145"/>
      <c r="AB153" s="141"/>
      <c r="AF153" s="140"/>
      <c r="AJ153" s="141"/>
      <c r="AN153" s="141"/>
      <c r="AR153" s="141"/>
    </row>
    <row r="154" spans="2:44" s="134" customFormat="1" x14ac:dyDescent="0.2">
      <c r="B154" s="145"/>
      <c r="D154" s="145"/>
      <c r="AB154" s="141"/>
      <c r="AF154" s="140"/>
      <c r="AJ154" s="141"/>
      <c r="AN154" s="141"/>
      <c r="AR154" s="141"/>
    </row>
    <row r="155" spans="2:44" s="134" customFormat="1" x14ac:dyDescent="0.2">
      <c r="B155" s="145"/>
      <c r="D155" s="145"/>
      <c r="AB155" s="141"/>
      <c r="AF155" s="140"/>
      <c r="AJ155" s="141"/>
      <c r="AN155" s="141"/>
      <c r="AR155" s="141"/>
    </row>
    <row r="156" spans="2:44" s="134" customFormat="1" x14ac:dyDescent="0.2">
      <c r="B156" s="145"/>
      <c r="D156" s="145"/>
      <c r="AB156" s="141"/>
      <c r="AF156" s="140"/>
      <c r="AJ156" s="141"/>
      <c r="AN156" s="141"/>
      <c r="AR156" s="141"/>
    </row>
    <row r="157" spans="2:44" s="134" customFormat="1" x14ac:dyDescent="0.2">
      <c r="B157" s="145"/>
      <c r="D157" s="145"/>
      <c r="AB157" s="141"/>
      <c r="AF157" s="140"/>
      <c r="AJ157" s="141"/>
      <c r="AN157" s="141"/>
      <c r="AR157" s="141"/>
    </row>
    <row r="158" spans="2:44" s="134" customFormat="1" x14ac:dyDescent="0.2">
      <c r="B158" s="145"/>
      <c r="D158" s="145"/>
      <c r="AB158" s="141"/>
      <c r="AF158" s="140"/>
      <c r="AJ158" s="141"/>
      <c r="AN158" s="141"/>
      <c r="AR158" s="141"/>
    </row>
    <row r="159" spans="2:44" s="134" customFormat="1" x14ac:dyDescent="0.2">
      <c r="B159" s="145"/>
      <c r="D159" s="145"/>
      <c r="AB159" s="141"/>
      <c r="AF159" s="140"/>
      <c r="AJ159" s="141"/>
      <c r="AN159" s="141"/>
      <c r="AR159" s="141"/>
    </row>
    <row r="160" spans="2:44" s="134" customFormat="1" x14ac:dyDescent="0.2">
      <c r="B160" s="145"/>
      <c r="D160" s="145"/>
      <c r="AB160" s="141"/>
      <c r="AF160" s="140"/>
      <c r="AJ160" s="141"/>
      <c r="AN160" s="141"/>
      <c r="AR160" s="141"/>
    </row>
    <row r="161" spans="2:44" s="134" customFormat="1" x14ac:dyDescent="0.2">
      <c r="B161" s="145"/>
      <c r="D161" s="145"/>
      <c r="AB161" s="141"/>
      <c r="AF161" s="140"/>
      <c r="AJ161" s="141"/>
      <c r="AN161" s="141"/>
      <c r="AR161" s="141"/>
    </row>
    <row r="162" spans="2:44" s="134" customFormat="1" x14ac:dyDescent="0.2">
      <c r="B162" s="145"/>
      <c r="D162" s="145"/>
      <c r="AB162" s="141"/>
      <c r="AF162" s="140"/>
      <c r="AJ162" s="141"/>
      <c r="AN162" s="141"/>
      <c r="AR162" s="141"/>
    </row>
    <row r="163" spans="2:44" s="134" customFormat="1" x14ac:dyDescent="0.2">
      <c r="B163" s="145"/>
      <c r="D163" s="145"/>
      <c r="AB163" s="141"/>
      <c r="AF163" s="140"/>
      <c r="AJ163" s="141"/>
      <c r="AN163" s="141"/>
      <c r="AR163" s="141"/>
    </row>
    <row r="164" spans="2:44" s="134" customFormat="1" x14ac:dyDescent="0.2">
      <c r="B164" s="145"/>
      <c r="D164" s="145"/>
      <c r="AB164" s="141"/>
      <c r="AF164" s="140"/>
      <c r="AJ164" s="141"/>
      <c r="AN164" s="141"/>
      <c r="AR164" s="141"/>
    </row>
    <row r="165" spans="2:44" s="134" customFormat="1" x14ac:dyDescent="0.2">
      <c r="B165" s="145"/>
      <c r="D165" s="145"/>
      <c r="AB165" s="141"/>
      <c r="AF165" s="140"/>
      <c r="AJ165" s="141"/>
      <c r="AN165" s="141"/>
      <c r="AR165" s="141"/>
    </row>
    <row r="166" spans="2:44" s="134" customFormat="1" x14ac:dyDescent="0.2">
      <c r="B166" s="145"/>
      <c r="D166" s="145"/>
      <c r="AB166" s="141"/>
      <c r="AF166" s="140"/>
      <c r="AJ166" s="141"/>
      <c r="AN166" s="141"/>
      <c r="AR166" s="141"/>
    </row>
    <row r="167" spans="2:44" s="134" customFormat="1" x14ac:dyDescent="0.2">
      <c r="B167" s="145"/>
      <c r="D167" s="145"/>
      <c r="AB167" s="141"/>
      <c r="AF167" s="140"/>
      <c r="AJ167" s="141"/>
      <c r="AN167" s="141"/>
      <c r="AR167" s="141"/>
    </row>
    <row r="168" spans="2:44" s="134" customFormat="1" x14ac:dyDescent="0.2">
      <c r="B168" s="145"/>
      <c r="D168" s="145"/>
      <c r="AB168" s="141"/>
      <c r="AF168" s="140"/>
      <c r="AJ168" s="141"/>
      <c r="AN168" s="141"/>
      <c r="AR168" s="141"/>
    </row>
    <row r="169" spans="2:44" s="134" customFormat="1" x14ac:dyDescent="0.2">
      <c r="B169" s="145"/>
      <c r="D169" s="145"/>
      <c r="AB169" s="141"/>
      <c r="AF169" s="140"/>
      <c r="AJ169" s="141"/>
      <c r="AN169" s="141"/>
      <c r="AR169" s="141"/>
    </row>
    <row r="170" spans="2:44" s="134" customFormat="1" x14ac:dyDescent="0.2">
      <c r="B170" s="145"/>
      <c r="D170" s="145"/>
      <c r="AB170" s="141"/>
      <c r="AF170" s="140"/>
      <c r="AJ170" s="141"/>
      <c r="AN170" s="141"/>
      <c r="AR170" s="141"/>
    </row>
    <row r="171" spans="2:44" s="134" customFormat="1" x14ac:dyDescent="0.2">
      <c r="B171" s="145"/>
      <c r="D171" s="145"/>
      <c r="AB171" s="141"/>
      <c r="AF171" s="140"/>
      <c r="AJ171" s="141"/>
      <c r="AN171" s="141"/>
      <c r="AR171" s="141"/>
    </row>
    <row r="172" spans="2:44" s="134" customFormat="1" x14ac:dyDescent="0.2">
      <c r="B172" s="145"/>
      <c r="D172" s="145"/>
      <c r="AB172" s="141"/>
      <c r="AF172" s="140"/>
      <c r="AJ172" s="141"/>
      <c r="AN172" s="141"/>
      <c r="AR172" s="141"/>
    </row>
    <row r="173" spans="2:44" s="134" customFormat="1" x14ac:dyDescent="0.2">
      <c r="B173" s="145"/>
      <c r="D173" s="145"/>
      <c r="AB173" s="141"/>
      <c r="AF173" s="140"/>
      <c r="AJ173" s="141"/>
      <c r="AN173" s="141"/>
      <c r="AR173" s="141"/>
    </row>
    <row r="174" spans="2:44" s="134" customFormat="1" x14ac:dyDescent="0.2">
      <c r="B174" s="145"/>
      <c r="D174" s="145"/>
      <c r="AB174" s="141"/>
      <c r="AF174" s="140"/>
      <c r="AJ174" s="141"/>
      <c r="AN174" s="141"/>
      <c r="AR174" s="141"/>
    </row>
    <row r="175" spans="2:44" s="134" customFormat="1" x14ac:dyDescent="0.2">
      <c r="B175" s="145"/>
      <c r="D175" s="145"/>
      <c r="AB175" s="141"/>
      <c r="AF175" s="140"/>
      <c r="AJ175" s="141"/>
      <c r="AN175" s="141"/>
      <c r="AR175" s="141"/>
    </row>
    <row r="176" spans="2:44" s="134" customFormat="1" x14ac:dyDescent="0.2">
      <c r="B176" s="145"/>
      <c r="D176" s="145"/>
      <c r="AB176" s="141"/>
      <c r="AF176" s="140"/>
      <c r="AJ176" s="141"/>
      <c r="AN176" s="141"/>
      <c r="AR176" s="141"/>
    </row>
    <row r="177" spans="2:44" s="134" customFormat="1" x14ac:dyDescent="0.2">
      <c r="B177" s="145"/>
      <c r="D177" s="145"/>
      <c r="AB177" s="141"/>
      <c r="AF177" s="140"/>
      <c r="AJ177" s="141"/>
      <c r="AN177" s="141"/>
      <c r="AR177" s="141"/>
    </row>
    <row r="178" spans="2:44" s="134" customFormat="1" x14ac:dyDescent="0.2">
      <c r="B178" s="145"/>
      <c r="D178" s="145"/>
      <c r="AB178" s="141"/>
      <c r="AF178" s="140"/>
      <c r="AJ178" s="141"/>
      <c r="AN178" s="141"/>
      <c r="AR178" s="141"/>
    </row>
    <row r="179" spans="2:44" s="134" customFormat="1" x14ac:dyDescent="0.2">
      <c r="B179" s="145"/>
      <c r="D179" s="145"/>
      <c r="AB179" s="141"/>
      <c r="AF179" s="140"/>
      <c r="AJ179" s="141"/>
      <c r="AN179" s="141"/>
      <c r="AR179" s="141"/>
    </row>
    <row r="180" spans="2:44" s="134" customFormat="1" x14ac:dyDescent="0.2">
      <c r="B180" s="145"/>
      <c r="D180" s="145"/>
      <c r="AB180" s="141"/>
      <c r="AF180" s="140"/>
      <c r="AJ180" s="141"/>
      <c r="AN180" s="141"/>
      <c r="AR180" s="141"/>
    </row>
    <row r="181" spans="2:44" s="134" customFormat="1" x14ac:dyDescent="0.2">
      <c r="B181" s="145"/>
      <c r="D181" s="145"/>
      <c r="AB181" s="141"/>
      <c r="AF181" s="140"/>
      <c r="AJ181" s="141"/>
      <c r="AN181" s="141"/>
      <c r="AR181" s="141"/>
    </row>
    <row r="182" spans="2:44" s="134" customFormat="1" x14ac:dyDescent="0.2">
      <c r="B182" s="145"/>
      <c r="D182" s="145"/>
      <c r="AB182" s="141"/>
      <c r="AF182" s="140"/>
      <c r="AJ182" s="141"/>
      <c r="AN182" s="141"/>
      <c r="AR182" s="141"/>
    </row>
    <row r="183" spans="2:44" s="134" customFormat="1" x14ac:dyDescent="0.2">
      <c r="B183" s="145"/>
      <c r="D183" s="145"/>
      <c r="AB183" s="141"/>
      <c r="AF183" s="140"/>
      <c r="AJ183" s="141"/>
      <c r="AN183" s="141"/>
      <c r="AR183" s="141"/>
    </row>
    <row r="184" spans="2:44" s="134" customFormat="1" x14ac:dyDescent="0.2">
      <c r="B184" s="145"/>
      <c r="D184" s="145"/>
      <c r="AB184" s="141"/>
      <c r="AF184" s="140"/>
      <c r="AJ184" s="141"/>
      <c r="AN184" s="141"/>
      <c r="AR184" s="141"/>
    </row>
    <row r="185" spans="2:44" s="134" customFormat="1" x14ac:dyDescent="0.2">
      <c r="B185" s="145"/>
      <c r="D185" s="145"/>
      <c r="AB185" s="141"/>
      <c r="AF185" s="140"/>
      <c r="AJ185" s="141"/>
      <c r="AN185" s="141"/>
      <c r="AR185" s="141"/>
    </row>
    <row r="186" spans="2:44" s="134" customFormat="1" x14ac:dyDescent="0.2">
      <c r="B186" s="145"/>
      <c r="D186" s="145"/>
      <c r="AB186" s="141"/>
      <c r="AF186" s="140"/>
      <c r="AJ186" s="141"/>
      <c r="AN186" s="141"/>
      <c r="AR186" s="141"/>
    </row>
    <row r="187" spans="2:44" s="134" customFormat="1" x14ac:dyDescent="0.2">
      <c r="B187" s="145"/>
      <c r="D187" s="145"/>
      <c r="AB187" s="141"/>
      <c r="AF187" s="140"/>
      <c r="AJ187" s="141"/>
      <c r="AN187" s="141"/>
      <c r="AR187" s="141"/>
    </row>
    <row r="188" spans="2:44" s="134" customFormat="1" x14ac:dyDescent="0.2">
      <c r="B188" s="145"/>
      <c r="D188" s="145"/>
      <c r="AB188" s="141"/>
      <c r="AF188" s="140"/>
      <c r="AJ188" s="141"/>
      <c r="AN188" s="141"/>
      <c r="AR188" s="141"/>
    </row>
    <row r="189" spans="2:44" s="134" customFormat="1" x14ac:dyDescent="0.2">
      <c r="B189" s="145"/>
      <c r="D189" s="145"/>
      <c r="AB189" s="141"/>
      <c r="AF189" s="140"/>
      <c r="AJ189" s="141"/>
      <c r="AN189" s="141"/>
      <c r="AR189" s="141"/>
    </row>
    <row r="190" spans="2:44" s="134" customFormat="1" x14ac:dyDescent="0.2">
      <c r="B190" s="145"/>
      <c r="D190" s="145"/>
      <c r="AB190" s="141"/>
      <c r="AF190" s="140"/>
      <c r="AJ190" s="141"/>
      <c r="AN190" s="141"/>
      <c r="AR190" s="141"/>
    </row>
    <row r="191" spans="2:44" s="134" customFormat="1" x14ac:dyDescent="0.2">
      <c r="B191" s="145"/>
      <c r="D191" s="145"/>
      <c r="AB191" s="141"/>
      <c r="AF191" s="140"/>
      <c r="AJ191" s="141"/>
      <c r="AN191" s="141"/>
      <c r="AR191" s="141"/>
    </row>
    <row r="192" spans="2:44" s="134" customFormat="1" x14ac:dyDescent="0.2">
      <c r="B192" s="145"/>
      <c r="D192" s="145"/>
      <c r="AB192" s="141"/>
      <c r="AF192" s="140"/>
      <c r="AJ192" s="141"/>
      <c r="AN192" s="141"/>
      <c r="AR192" s="141"/>
    </row>
    <row r="193" spans="2:44" s="134" customFormat="1" x14ac:dyDescent="0.2">
      <c r="B193" s="145"/>
      <c r="D193" s="145"/>
      <c r="AB193" s="141"/>
      <c r="AF193" s="140"/>
      <c r="AJ193" s="141"/>
      <c r="AN193" s="141"/>
      <c r="AR193" s="141"/>
    </row>
    <row r="194" spans="2:44" s="134" customFormat="1" x14ac:dyDescent="0.2">
      <c r="B194" s="145"/>
      <c r="D194" s="145"/>
      <c r="AB194" s="141"/>
      <c r="AF194" s="140"/>
      <c r="AJ194" s="141"/>
      <c r="AN194" s="141"/>
      <c r="AR194" s="141"/>
    </row>
    <row r="195" spans="2:44" s="134" customFormat="1" x14ac:dyDescent="0.2">
      <c r="B195" s="145"/>
      <c r="D195" s="145"/>
      <c r="AB195" s="141"/>
      <c r="AF195" s="140"/>
      <c r="AJ195" s="141"/>
      <c r="AN195" s="141"/>
      <c r="AR195" s="141"/>
    </row>
    <row r="196" spans="2:44" s="134" customFormat="1" x14ac:dyDescent="0.2">
      <c r="B196" s="145"/>
      <c r="D196" s="145"/>
      <c r="AB196" s="141"/>
      <c r="AF196" s="140"/>
      <c r="AJ196" s="141"/>
      <c r="AN196" s="141"/>
      <c r="AR196" s="141"/>
    </row>
    <row r="197" spans="2:44" s="134" customFormat="1" x14ac:dyDescent="0.2">
      <c r="B197" s="145"/>
      <c r="D197" s="145"/>
      <c r="AB197" s="141"/>
      <c r="AF197" s="140"/>
      <c r="AJ197" s="141"/>
      <c r="AN197" s="141"/>
      <c r="AR197" s="141"/>
    </row>
    <row r="198" spans="2:44" s="134" customFormat="1" x14ac:dyDescent="0.2">
      <c r="B198" s="145"/>
      <c r="D198" s="145"/>
      <c r="AB198" s="141"/>
      <c r="AF198" s="140"/>
      <c r="AJ198" s="141"/>
      <c r="AN198" s="141"/>
      <c r="AR198" s="141"/>
    </row>
    <row r="199" spans="2:44" s="134" customFormat="1" x14ac:dyDescent="0.2">
      <c r="B199" s="145"/>
      <c r="D199" s="145"/>
      <c r="AB199" s="141"/>
      <c r="AF199" s="140"/>
      <c r="AJ199" s="141"/>
      <c r="AN199" s="141"/>
      <c r="AR199" s="141"/>
    </row>
    <row r="200" spans="2:44" s="134" customFormat="1" x14ac:dyDescent="0.2">
      <c r="B200" s="145"/>
      <c r="D200" s="145"/>
      <c r="AB200" s="141"/>
      <c r="AF200" s="140"/>
      <c r="AJ200" s="141"/>
      <c r="AN200" s="141"/>
      <c r="AR200" s="141"/>
    </row>
    <row r="201" spans="2:44" s="134" customFormat="1" x14ac:dyDescent="0.2">
      <c r="B201" s="145"/>
      <c r="D201" s="145"/>
      <c r="AB201" s="141"/>
      <c r="AF201" s="140"/>
      <c r="AJ201" s="141"/>
      <c r="AN201" s="141"/>
      <c r="AR201" s="141"/>
    </row>
    <row r="202" spans="2:44" s="134" customFormat="1" x14ac:dyDescent="0.2">
      <c r="B202" s="145"/>
      <c r="D202" s="145"/>
      <c r="AB202" s="141"/>
      <c r="AF202" s="140"/>
      <c r="AJ202" s="141"/>
      <c r="AN202" s="141"/>
      <c r="AR202" s="141"/>
    </row>
    <row r="203" spans="2:44" s="134" customFormat="1" x14ac:dyDescent="0.2">
      <c r="B203" s="145"/>
      <c r="D203" s="145"/>
      <c r="AB203" s="141"/>
      <c r="AF203" s="140"/>
      <c r="AJ203" s="141"/>
      <c r="AN203" s="141"/>
      <c r="AR203" s="141"/>
    </row>
    <row r="204" spans="2:44" s="134" customFormat="1" x14ac:dyDescent="0.2">
      <c r="B204" s="145"/>
      <c r="D204" s="145"/>
      <c r="AB204" s="141"/>
      <c r="AF204" s="140"/>
      <c r="AJ204" s="141"/>
      <c r="AN204" s="141"/>
      <c r="AR204" s="141"/>
    </row>
    <row r="205" spans="2:44" s="134" customFormat="1" x14ac:dyDescent="0.2">
      <c r="B205" s="145"/>
      <c r="D205" s="145"/>
      <c r="AB205" s="141"/>
      <c r="AF205" s="140"/>
      <c r="AJ205" s="141"/>
      <c r="AN205" s="141"/>
      <c r="AR205" s="141"/>
    </row>
    <row r="206" spans="2:44" s="134" customFormat="1" x14ac:dyDescent="0.2">
      <c r="B206" s="145"/>
      <c r="D206" s="145"/>
      <c r="AB206" s="141"/>
      <c r="AF206" s="140"/>
      <c r="AJ206" s="141"/>
      <c r="AN206" s="141"/>
      <c r="AR206" s="141"/>
    </row>
    <row r="207" spans="2:44" s="134" customFormat="1" x14ac:dyDescent="0.2">
      <c r="B207" s="145"/>
      <c r="D207" s="145"/>
      <c r="AB207" s="141"/>
      <c r="AF207" s="140"/>
      <c r="AJ207" s="141"/>
      <c r="AN207" s="141"/>
      <c r="AR207" s="141"/>
    </row>
    <row r="208" spans="2:44" s="134" customFormat="1" x14ac:dyDescent="0.2">
      <c r="B208" s="145"/>
      <c r="D208" s="145"/>
      <c r="AB208" s="141"/>
      <c r="AF208" s="140"/>
      <c r="AJ208" s="141"/>
      <c r="AN208" s="141"/>
      <c r="AR208" s="141"/>
    </row>
    <row r="209" spans="2:44" s="134" customFormat="1" x14ac:dyDescent="0.2">
      <c r="B209" s="145"/>
      <c r="D209" s="145"/>
      <c r="AB209" s="141"/>
      <c r="AF209" s="140"/>
      <c r="AJ209" s="141"/>
      <c r="AN209" s="141"/>
      <c r="AR209" s="141"/>
    </row>
    <row r="210" spans="2:44" s="134" customFormat="1" x14ac:dyDescent="0.2">
      <c r="B210" s="145"/>
      <c r="D210" s="145"/>
      <c r="AB210" s="141"/>
      <c r="AF210" s="140"/>
      <c r="AJ210" s="141"/>
      <c r="AN210" s="141"/>
      <c r="AR210" s="141"/>
    </row>
    <row r="211" spans="2:44" s="134" customFormat="1" x14ac:dyDescent="0.2">
      <c r="B211" s="145"/>
      <c r="D211" s="145"/>
      <c r="AB211" s="141"/>
      <c r="AF211" s="140"/>
      <c r="AJ211" s="141"/>
      <c r="AN211" s="141"/>
      <c r="AR211" s="141"/>
    </row>
    <row r="212" spans="2:44" s="134" customFormat="1" x14ac:dyDescent="0.2">
      <c r="B212" s="145"/>
      <c r="D212" s="145"/>
      <c r="AB212" s="141"/>
      <c r="AF212" s="140"/>
      <c r="AJ212" s="141"/>
      <c r="AN212" s="141"/>
      <c r="AR212" s="141"/>
    </row>
    <row r="213" spans="2:44" s="134" customFormat="1" x14ac:dyDescent="0.2">
      <c r="B213" s="145"/>
      <c r="D213" s="145"/>
      <c r="AB213" s="141"/>
      <c r="AF213" s="140"/>
      <c r="AJ213" s="141"/>
      <c r="AN213" s="141"/>
      <c r="AR213" s="141"/>
    </row>
    <row r="214" spans="2:44" s="134" customFormat="1" x14ac:dyDescent="0.2">
      <c r="B214" s="145"/>
      <c r="D214" s="145"/>
      <c r="AB214" s="141"/>
      <c r="AF214" s="140"/>
      <c r="AJ214" s="141"/>
      <c r="AN214" s="141"/>
      <c r="AR214" s="141"/>
    </row>
    <row r="215" spans="2:44" s="134" customFormat="1" x14ac:dyDescent="0.2">
      <c r="B215" s="145"/>
      <c r="D215" s="145"/>
      <c r="AB215" s="141"/>
      <c r="AF215" s="140"/>
      <c r="AJ215" s="141"/>
      <c r="AN215" s="141"/>
      <c r="AR215" s="141"/>
    </row>
    <row r="216" spans="2:44" s="134" customFormat="1" x14ac:dyDescent="0.2">
      <c r="B216" s="145"/>
      <c r="D216" s="145"/>
      <c r="AB216" s="141"/>
      <c r="AF216" s="140"/>
      <c r="AJ216" s="141"/>
      <c r="AN216" s="141"/>
      <c r="AR216" s="141"/>
    </row>
    <row r="217" spans="2:44" s="134" customFormat="1" x14ac:dyDescent="0.2">
      <c r="B217" s="145"/>
      <c r="D217" s="145"/>
      <c r="AB217" s="141"/>
      <c r="AF217" s="140"/>
      <c r="AJ217" s="141"/>
      <c r="AN217" s="141"/>
      <c r="AR217" s="141"/>
    </row>
    <row r="218" spans="2:44" s="134" customFormat="1" x14ac:dyDescent="0.2">
      <c r="B218" s="145"/>
      <c r="D218" s="145"/>
      <c r="AB218" s="141"/>
      <c r="AF218" s="140"/>
      <c r="AJ218" s="141"/>
      <c r="AN218" s="141"/>
      <c r="AR218" s="141"/>
    </row>
    <row r="219" spans="2:44" s="134" customFormat="1" x14ac:dyDescent="0.2">
      <c r="B219" s="145"/>
      <c r="D219" s="145"/>
      <c r="AB219" s="141"/>
      <c r="AF219" s="140"/>
      <c r="AJ219" s="141"/>
      <c r="AN219" s="141"/>
      <c r="AR219" s="141"/>
    </row>
    <row r="220" spans="2:44" s="134" customFormat="1" x14ac:dyDescent="0.2">
      <c r="B220" s="145"/>
      <c r="D220" s="145"/>
      <c r="AB220" s="141"/>
      <c r="AF220" s="140"/>
      <c r="AJ220" s="141"/>
      <c r="AN220" s="141"/>
      <c r="AR220" s="141"/>
    </row>
    <row r="221" spans="2:44" s="134" customFormat="1" x14ac:dyDescent="0.2">
      <c r="B221" s="145"/>
      <c r="D221" s="145"/>
      <c r="AB221" s="141"/>
      <c r="AF221" s="140"/>
      <c r="AJ221" s="141"/>
      <c r="AN221" s="141"/>
      <c r="AR221" s="141"/>
    </row>
    <row r="222" spans="2:44" s="134" customFormat="1" x14ac:dyDescent="0.2">
      <c r="B222" s="145"/>
      <c r="D222" s="145"/>
      <c r="AB222" s="141"/>
      <c r="AF222" s="140"/>
      <c r="AJ222" s="141"/>
      <c r="AN222" s="141"/>
      <c r="AR222" s="141"/>
    </row>
    <row r="223" spans="2:44" s="134" customFormat="1" x14ac:dyDescent="0.2">
      <c r="B223" s="145"/>
      <c r="D223" s="145"/>
      <c r="AB223" s="141"/>
      <c r="AF223" s="140"/>
      <c r="AJ223" s="141"/>
      <c r="AN223" s="141"/>
      <c r="AR223" s="141"/>
    </row>
    <row r="224" spans="2:44" s="134" customFormat="1" x14ac:dyDescent="0.2">
      <c r="B224" s="145"/>
      <c r="D224" s="145"/>
      <c r="AB224" s="141"/>
      <c r="AF224" s="140"/>
      <c r="AJ224" s="141"/>
      <c r="AN224" s="141"/>
      <c r="AR224" s="141"/>
    </row>
    <row r="225" spans="2:44" s="134" customFormat="1" x14ac:dyDescent="0.2">
      <c r="B225" s="145"/>
      <c r="D225" s="145"/>
      <c r="AB225" s="141"/>
      <c r="AF225" s="140"/>
      <c r="AJ225" s="141"/>
      <c r="AN225" s="141"/>
      <c r="AR225" s="141"/>
    </row>
    <row r="226" spans="2:44" s="134" customFormat="1" x14ac:dyDescent="0.2">
      <c r="B226" s="145"/>
      <c r="D226" s="145"/>
      <c r="AB226" s="141"/>
      <c r="AF226" s="140"/>
      <c r="AJ226" s="141"/>
      <c r="AN226" s="141"/>
      <c r="AR226" s="141"/>
    </row>
    <row r="227" spans="2:44" s="134" customFormat="1" x14ac:dyDescent="0.2">
      <c r="B227" s="145"/>
      <c r="D227" s="145"/>
      <c r="AB227" s="141"/>
      <c r="AF227" s="140"/>
      <c r="AJ227" s="141"/>
      <c r="AN227" s="141"/>
      <c r="AR227" s="141"/>
    </row>
    <row r="228" spans="2:44" s="134" customFormat="1" x14ac:dyDescent="0.2">
      <c r="B228" s="145"/>
      <c r="D228" s="145"/>
      <c r="AB228" s="141"/>
      <c r="AF228" s="140"/>
      <c r="AJ228" s="141"/>
      <c r="AN228" s="141"/>
      <c r="AR228" s="141"/>
    </row>
    <row r="229" spans="2:44" s="134" customFormat="1" x14ac:dyDescent="0.2">
      <c r="B229" s="145"/>
      <c r="D229" s="145"/>
      <c r="AB229" s="141"/>
      <c r="AF229" s="140"/>
      <c r="AJ229" s="141"/>
      <c r="AN229" s="141"/>
      <c r="AR229" s="141"/>
    </row>
    <row r="230" spans="2:44" s="134" customFormat="1" x14ac:dyDescent="0.2">
      <c r="B230" s="145"/>
      <c r="D230" s="145"/>
      <c r="AB230" s="141"/>
      <c r="AF230" s="140"/>
      <c r="AJ230" s="141"/>
      <c r="AN230" s="141"/>
      <c r="AR230" s="141"/>
    </row>
    <row r="231" spans="2:44" s="134" customFormat="1" x14ac:dyDescent="0.2">
      <c r="B231" s="145"/>
      <c r="D231" s="145"/>
      <c r="AB231" s="141"/>
      <c r="AF231" s="140"/>
      <c r="AJ231" s="141"/>
      <c r="AN231" s="141"/>
      <c r="AR231" s="141"/>
    </row>
    <row r="232" spans="2:44" s="134" customFormat="1" x14ac:dyDescent="0.2">
      <c r="B232" s="145"/>
      <c r="D232" s="145"/>
      <c r="AB232" s="141"/>
      <c r="AF232" s="140"/>
      <c r="AJ232" s="141"/>
      <c r="AN232" s="141"/>
      <c r="AR232" s="141"/>
    </row>
    <row r="233" spans="2:44" s="134" customFormat="1" x14ac:dyDescent="0.2">
      <c r="B233" s="145"/>
      <c r="D233" s="145"/>
      <c r="AB233" s="141"/>
      <c r="AF233" s="140"/>
      <c r="AJ233" s="141"/>
      <c r="AN233" s="141"/>
      <c r="AR233" s="141"/>
    </row>
    <row r="234" spans="2:44" s="134" customFormat="1" x14ac:dyDescent="0.2">
      <c r="B234" s="145"/>
      <c r="D234" s="145"/>
      <c r="AB234" s="141"/>
      <c r="AF234" s="140"/>
      <c r="AJ234" s="141"/>
      <c r="AN234" s="141"/>
      <c r="AR234" s="141"/>
    </row>
    <row r="235" spans="2:44" s="134" customFormat="1" x14ac:dyDescent="0.2">
      <c r="B235" s="145"/>
      <c r="D235" s="145"/>
      <c r="AB235" s="141"/>
      <c r="AF235" s="140"/>
      <c r="AJ235" s="141"/>
      <c r="AN235" s="141"/>
      <c r="AR235" s="141"/>
    </row>
    <row r="236" spans="2:44" s="134" customFormat="1" x14ac:dyDescent="0.2">
      <c r="B236" s="145"/>
      <c r="D236" s="145"/>
      <c r="AB236" s="141"/>
      <c r="AF236" s="140"/>
      <c r="AJ236" s="141"/>
      <c r="AN236" s="141"/>
      <c r="AR236" s="141"/>
    </row>
    <row r="237" spans="2:44" s="134" customFormat="1" x14ac:dyDescent="0.2">
      <c r="B237" s="145"/>
      <c r="D237" s="145"/>
      <c r="AB237" s="141"/>
      <c r="AF237" s="140"/>
      <c r="AJ237" s="141"/>
      <c r="AN237" s="141"/>
      <c r="AR237" s="141"/>
    </row>
    <row r="238" spans="2:44" s="134" customFormat="1" x14ac:dyDescent="0.2">
      <c r="B238" s="145"/>
      <c r="D238" s="145"/>
      <c r="AB238" s="141"/>
      <c r="AF238" s="140"/>
      <c r="AJ238" s="141"/>
      <c r="AN238" s="141"/>
      <c r="AR238" s="141"/>
    </row>
    <row r="239" spans="2:44" s="134" customFormat="1" x14ac:dyDescent="0.2">
      <c r="B239" s="145"/>
      <c r="D239" s="145"/>
      <c r="AB239" s="141"/>
      <c r="AF239" s="140"/>
      <c r="AJ239" s="141"/>
      <c r="AN239" s="141"/>
      <c r="AR239" s="141"/>
    </row>
    <row r="240" spans="2:44" s="134" customFormat="1" x14ac:dyDescent="0.2">
      <c r="B240" s="145"/>
      <c r="D240" s="145"/>
      <c r="AB240" s="141"/>
      <c r="AF240" s="140"/>
      <c r="AJ240" s="141"/>
      <c r="AN240" s="141"/>
      <c r="AR240" s="141"/>
    </row>
    <row r="241" spans="2:44" s="134" customFormat="1" x14ac:dyDescent="0.2">
      <c r="B241" s="145"/>
      <c r="D241" s="145"/>
      <c r="AB241" s="141"/>
      <c r="AF241" s="140"/>
      <c r="AJ241" s="141"/>
      <c r="AN241" s="141"/>
      <c r="AR241" s="141"/>
    </row>
    <row r="242" spans="2:44" s="134" customFormat="1" x14ac:dyDescent="0.2">
      <c r="B242" s="145"/>
      <c r="D242" s="145"/>
      <c r="AB242" s="141"/>
      <c r="AF242" s="140"/>
      <c r="AJ242" s="141"/>
      <c r="AN242" s="141"/>
      <c r="AR242" s="141"/>
    </row>
    <row r="243" spans="2:44" s="134" customFormat="1" x14ac:dyDescent="0.2">
      <c r="B243" s="145"/>
      <c r="D243" s="145"/>
      <c r="AB243" s="141"/>
      <c r="AF243" s="140"/>
      <c r="AJ243" s="141"/>
      <c r="AN243" s="141"/>
      <c r="AR243" s="141"/>
    </row>
    <row r="244" spans="2:44" s="134" customFormat="1" x14ac:dyDescent="0.2">
      <c r="B244" s="145"/>
      <c r="D244" s="145"/>
      <c r="AB244" s="141"/>
      <c r="AF244" s="140"/>
      <c r="AJ244" s="141"/>
      <c r="AN244" s="141"/>
      <c r="AR244" s="141"/>
    </row>
    <row r="245" spans="2:44" s="134" customFormat="1" x14ac:dyDescent="0.2">
      <c r="B245" s="145"/>
      <c r="D245" s="145"/>
      <c r="AB245" s="141"/>
      <c r="AF245" s="140"/>
      <c r="AJ245" s="141"/>
      <c r="AN245" s="141"/>
      <c r="AR245" s="141"/>
    </row>
    <row r="246" spans="2:44" s="134" customFormat="1" x14ac:dyDescent="0.2">
      <c r="B246" s="145"/>
      <c r="D246" s="145"/>
      <c r="AB246" s="141"/>
      <c r="AF246" s="140"/>
      <c r="AJ246" s="141"/>
      <c r="AN246" s="141"/>
      <c r="AR246" s="141"/>
    </row>
    <row r="247" spans="2:44" s="134" customFormat="1" x14ac:dyDescent="0.2">
      <c r="B247" s="145"/>
      <c r="D247" s="145"/>
      <c r="AB247" s="141"/>
      <c r="AF247" s="140"/>
      <c r="AJ247" s="141"/>
      <c r="AN247" s="141"/>
      <c r="AR247" s="141"/>
    </row>
    <row r="248" spans="2:44" s="134" customFormat="1" x14ac:dyDescent="0.2">
      <c r="B248" s="145"/>
      <c r="D248" s="145"/>
      <c r="AB248" s="141"/>
      <c r="AF248" s="140"/>
      <c r="AJ248" s="141"/>
      <c r="AN248" s="141"/>
      <c r="AR248" s="141"/>
    </row>
    <row r="249" spans="2:44" s="134" customFormat="1" x14ac:dyDescent="0.2">
      <c r="B249" s="145"/>
      <c r="D249" s="145"/>
      <c r="AB249" s="141"/>
      <c r="AF249" s="140"/>
      <c r="AJ249" s="141"/>
      <c r="AN249" s="141"/>
      <c r="AR249" s="141"/>
    </row>
    <row r="250" spans="2:44" s="134" customFormat="1" x14ac:dyDescent="0.2">
      <c r="B250" s="145"/>
      <c r="D250" s="145"/>
      <c r="AB250" s="141"/>
      <c r="AF250" s="140"/>
      <c r="AJ250" s="141"/>
      <c r="AN250" s="141"/>
      <c r="AR250" s="141"/>
    </row>
    <row r="251" spans="2:44" s="134" customFormat="1" x14ac:dyDescent="0.2">
      <c r="B251" s="145"/>
      <c r="D251" s="145"/>
      <c r="AB251" s="141"/>
      <c r="AF251" s="140"/>
      <c r="AJ251" s="141"/>
      <c r="AN251" s="141"/>
      <c r="AR251" s="141"/>
    </row>
    <row r="252" spans="2:44" s="134" customFormat="1" x14ac:dyDescent="0.2">
      <c r="B252" s="145"/>
      <c r="D252" s="145"/>
      <c r="AB252" s="141"/>
      <c r="AF252" s="140"/>
      <c r="AJ252" s="141"/>
      <c r="AN252" s="141"/>
      <c r="AR252" s="141"/>
    </row>
    <row r="253" spans="2:44" s="134" customFormat="1" x14ac:dyDescent="0.2">
      <c r="B253" s="145"/>
      <c r="D253" s="145"/>
      <c r="AB253" s="141"/>
      <c r="AF253" s="140"/>
      <c r="AJ253" s="141"/>
      <c r="AN253" s="141"/>
      <c r="AR253" s="141"/>
    </row>
    <row r="254" spans="2:44" s="134" customFormat="1" x14ac:dyDescent="0.2">
      <c r="B254" s="145"/>
      <c r="D254" s="145"/>
      <c r="AB254" s="141"/>
      <c r="AF254" s="140"/>
      <c r="AJ254" s="141"/>
      <c r="AN254" s="141"/>
      <c r="AR254" s="141"/>
    </row>
    <row r="255" spans="2:44" s="134" customFormat="1" x14ac:dyDescent="0.2">
      <c r="B255" s="145"/>
      <c r="D255" s="145"/>
      <c r="AB255" s="141"/>
      <c r="AF255" s="140"/>
      <c r="AJ255" s="141"/>
      <c r="AN255" s="141"/>
      <c r="AR255" s="141"/>
    </row>
    <row r="256" spans="2:44" s="134" customFormat="1" x14ac:dyDescent="0.2">
      <c r="B256" s="145"/>
      <c r="D256" s="145"/>
      <c r="AB256" s="141"/>
      <c r="AF256" s="140"/>
      <c r="AJ256" s="141"/>
      <c r="AN256" s="141"/>
      <c r="AR256" s="141"/>
    </row>
    <row r="257" spans="2:44" s="134" customFormat="1" x14ac:dyDescent="0.2">
      <c r="B257" s="145"/>
      <c r="D257" s="145"/>
      <c r="AB257" s="141"/>
      <c r="AF257" s="140"/>
      <c r="AJ257" s="141"/>
      <c r="AN257" s="141"/>
      <c r="AR257" s="141"/>
    </row>
    <row r="258" spans="2:44" s="134" customFormat="1" x14ac:dyDescent="0.2">
      <c r="B258" s="145"/>
      <c r="D258" s="145"/>
      <c r="AB258" s="141"/>
      <c r="AF258" s="140"/>
      <c r="AJ258" s="141"/>
      <c r="AN258" s="141"/>
      <c r="AR258" s="141"/>
    </row>
    <row r="259" spans="2:44" s="134" customFormat="1" x14ac:dyDescent="0.2">
      <c r="B259" s="145"/>
      <c r="D259" s="145"/>
      <c r="AB259" s="141"/>
      <c r="AF259" s="140"/>
      <c r="AJ259" s="141"/>
      <c r="AN259" s="141"/>
      <c r="AR259" s="141"/>
    </row>
    <row r="260" spans="2:44" s="134" customFormat="1" x14ac:dyDescent="0.2">
      <c r="B260" s="145"/>
      <c r="D260" s="145"/>
      <c r="AB260" s="141"/>
      <c r="AF260" s="140"/>
      <c r="AJ260" s="141"/>
      <c r="AN260" s="141"/>
      <c r="AR260" s="141"/>
    </row>
    <row r="261" spans="2:44" s="134" customFormat="1" x14ac:dyDescent="0.2">
      <c r="B261" s="145"/>
      <c r="D261" s="145"/>
      <c r="AB261" s="141"/>
      <c r="AF261" s="140"/>
      <c r="AJ261" s="141"/>
      <c r="AN261" s="141"/>
      <c r="AR261" s="141"/>
    </row>
    <row r="262" spans="2:44" s="134" customFormat="1" x14ac:dyDescent="0.2">
      <c r="B262" s="145"/>
      <c r="D262" s="145"/>
      <c r="AB262" s="141"/>
      <c r="AF262" s="140"/>
      <c r="AJ262" s="141"/>
      <c r="AN262" s="141"/>
      <c r="AR262" s="141"/>
    </row>
    <row r="263" spans="2:44" s="134" customFormat="1" x14ac:dyDescent="0.2">
      <c r="B263" s="145"/>
      <c r="D263" s="145"/>
      <c r="AB263" s="141"/>
      <c r="AF263" s="140"/>
      <c r="AJ263" s="141"/>
      <c r="AN263" s="141"/>
      <c r="AR263" s="141"/>
    </row>
    <row r="264" spans="2:44" s="134" customFormat="1" x14ac:dyDescent="0.2">
      <c r="B264" s="145"/>
      <c r="D264" s="145"/>
      <c r="AB264" s="141"/>
      <c r="AF264" s="140"/>
      <c r="AJ264" s="141"/>
      <c r="AN264" s="141"/>
      <c r="AR264" s="141"/>
    </row>
    <row r="265" spans="2:44" s="134" customFormat="1" x14ac:dyDescent="0.2">
      <c r="B265" s="145"/>
      <c r="D265" s="145"/>
      <c r="AB265" s="141"/>
      <c r="AF265" s="140"/>
      <c r="AJ265" s="141"/>
      <c r="AN265" s="141"/>
      <c r="AR265" s="141"/>
    </row>
    <row r="266" spans="2:44" s="134" customFormat="1" x14ac:dyDescent="0.2">
      <c r="B266" s="145"/>
      <c r="D266" s="145"/>
      <c r="AB266" s="141"/>
      <c r="AF266" s="140"/>
      <c r="AJ266" s="141"/>
      <c r="AN266" s="141"/>
      <c r="AR266" s="141"/>
    </row>
    <row r="267" spans="2:44" s="134" customFormat="1" x14ac:dyDescent="0.2">
      <c r="B267" s="145"/>
      <c r="D267" s="145"/>
      <c r="AB267" s="141"/>
      <c r="AF267" s="140"/>
      <c r="AJ267" s="141"/>
      <c r="AN267" s="141"/>
      <c r="AR267" s="141"/>
    </row>
    <row r="268" spans="2:44" s="134" customFormat="1" x14ac:dyDescent="0.2">
      <c r="B268" s="145"/>
      <c r="D268" s="145"/>
      <c r="AB268" s="141"/>
      <c r="AF268" s="140"/>
      <c r="AJ268" s="141"/>
      <c r="AN268" s="141"/>
      <c r="AR268" s="141"/>
    </row>
    <row r="269" spans="2:44" s="134" customFormat="1" x14ac:dyDescent="0.2">
      <c r="B269" s="145"/>
      <c r="D269" s="145"/>
      <c r="AB269" s="141"/>
      <c r="AF269" s="140"/>
      <c r="AJ269" s="141"/>
      <c r="AN269" s="141"/>
      <c r="AR269" s="141"/>
    </row>
    <row r="270" spans="2:44" s="134" customFormat="1" x14ac:dyDescent="0.2">
      <c r="B270" s="145"/>
      <c r="D270" s="145"/>
      <c r="AB270" s="141"/>
      <c r="AF270" s="140"/>
      <c r="AJ270" s="141"/>
      <c r="AN270" s="141"/>
      <c r="AR270" s="141"/>
    </row>
    <row r="271" spans="2:44" s="134" customFormat="1" x14ac:dyDescent="0.2">
      <c r="B271" s="145"/>
      <c r="D271" s="145"/>
      <c r="AB271" s="141"/>
      <c r="AF271" s="140"/>
      <c r="AJ271" s="141"/>
      <c r="AN271" s="141"/>
      <c r="AR271" s="141"/>
    </row>
    <row r="272" spans="2:44" s="134" customFormat="1" x14ac:dyDescent="0.2">
      <c r="B272" s="145"/>
      <c r="D272" s="145"/>
      <c r="AB272" s="141"/>
      <c r="AF272" s="140"/>
      <c r="AJ272" s="141"/>
      <c r="AN272" s="141"/>
      <c r="AR272" s="141"/>
    </row>
    <row r="273" spans="2:44" s="134" customFormat="1" x14ac:dyDescent="0.2">
      <c r="B273" s="145"/>
      <c r="D273" s="145"/>
      <c r="AB273" s="141"/>
      <c r="AF273" s="140"/>
      <c r="AJ273" s="141"/>
      <c r="AN273" s="141"/>
      <c r="AR273" s="141"/>
    </row>
    <row r="274" spans="2:44" s="134" customFormat="1" x14ac:dyDescent="0.2">
      <c r="B274" s="145"/>
      <c r="D274" s="145"/>
      <c r="AB274" s="141"/>
      <c r="AF274" s="140"/>
      <c r="AJ274" s="141"/>
      <c r="AN274" s="141"/>
      <c r="AR274" s="141"/>
    </row>
    <row r="275" spans="2:44" s="134" customFormat="1" x14ac:dyDescent="0.2">
      <c r="B275" s="145"/>
      <c r="D275" s="145"/>
      <c r="AB275" s="141"/>
      <c r="AF275" s="140"/>
      <c r="AJ275" s="141"/>
      <c r="AN275" s="141"/>
      <c r="AR275" s="141"/>
    </row>
    <row r="276" spans="2:44" s="134" customFormat="1" x14ac:dyDescent="0.2">
      <c r="B276" s="145"/>
      <c r="D276" s="145"/>
      <c r="AB276" s="141"/>
      <c r="AF276" s="140"/>
      <c r="AJ276" s="141"/>
      <c r="AN276" s="141"/>
      <c r="AR276" s="141"/>
    </row>
    <row r="277" spans="2:44" s="134" customFormat="1" x14ac:dyDescent="0.2">
      <c r="B277" s="145"/>
      <c r="D277" s="145"/>
      <c r="AB277" s="141"/>
      <c r="AF277" s="140"/>
      <c r="AJ277" s="141"/>
      <c r="AN277" s="141"/>
      <c r="AR277" s="141"/>
    </row>
    <row r="278" spans="2:44" s="134" customFormat="1" x14ac:dyDescent="0.2">
      <c r="B278" s="145"/>
      <c r="D278" s="145"/>
      <c r="AB278" s="141"/>
      <c r="AF278" s="140"/>
      <c r="AJ278" s="141"/>
      <c r="AN278" s="141"/>
      <c r="AR278" s="141"/>
    </row>
    <row r="279" spans="2:44" s="134" customFormat="1" x14ac:dyDescent="0.2">
      <c r="B279" s="145"/>
      <c r="D279" s="145"/>
      <c r="AB279" s="141"/>
      <c r="AF279" s="140"/>
      <c r="AJ279" s="141"/>
      <c r="AN279" s="141"/>
      <c r="AR279" s="141"/>
    </row>
    <row r="280" spans="2:44" s="134" customFormat="1" x14ac:dyDescent="0.2">
      <c r="B280" s="145"/>
      <c r="D280" s="145"/>
      <c r="AB280" s="141"/>
      <c r="AF280" s="140"/>
      <c r="AJ280" s="141"/>
      <c r="AN280" s="141"/>
      <c r="AR280" s="141"/>
    </row>
    <row r="281" spans="2:44" s="134" customFormat="1" x14ac:dyDescent="0.2">
      <c r="B281" s="145"/>
      <c r="D281" s="145"/>
      <c r="AB281" s="141"/>
      <c r="AF281" s="140"/>
      <c r="AJ281" s="141"/>
      <c r="AN281" s="141"/>
      <c r="AR281" s="141"/>
    </row>
    <row r="282" spans="2:44" s="134" customFormat="1" x14ac:dyDescent="0.2">
      <c r="B282" s="145"/>
      <c r="D282" s="145"/>
      <c r="AB282" s="141"/>
      <c r="AF282" s="140"/>
      <c r="AJ282" s="141"/>
      <c r="AN282" s="141"/>
      <c r="AR282" s="141"/>
    </row>
    <row r="283" spans="2:44" s="134" customFormat="1" x14ac:dyDescent="0.2">
      <c r="B283" s="145"/>
      <c r="D283" s="145"/>
      <c r="AB283" s="141"/>
      <c r="AF283" s="140"/>
      <c r="AJ283" s="141"/>
      <c r="AN283" s="141"/>
      <c r="AR283" s="141"/>
    </row>
    <row r="284" spans="2:44" s="134" customFormat="1" x14ac:dyDescent="0.2">
      <c r="B284" s="145"/>
      <c r="D284" s="145"/>
      <c r="AB284" s="141"/>
      <c r="AF284" s="140"/>
      <c r="AJ284" s="141"/>
      <c r="AN284" s="141"/>
      <c r="AR284" s="141"/>
    </row>
    <row r="285" spans="2:44" s="134" customFormat="1" x14ac:dyDescent="0.2">
      <c r="B285" s="145"/>
      <c r="D285" s="145"/>
      <c r="AB285" s="141"/>
      <c r="AF285" s="140"/>
      <c r="AJ285" s="141"/>
      <c r="AN285" s="141"/>
      <c r="AR285" s="141"/>
    </row>
    <row r="286" spans="2:44" s="134" customFormat="1" x14ac:dyDescent="0.2">
      <c r="B286" s="145"/>
      <c r="D286" s="145"/>
      <c r="AB286" s="141"/>
      <c r="AF286" s="140"/>
      <c r="AJ286" s="141"/>
      <c r="AN286" s="141"/>
      <c r="AR286" s="141"/>
    </row>
    <row r="287" spans="2:44" s="134" customFormat="1" x14ac:dyDescent="0.2">
      <c r="B287" s="145"/>
      <c r="D287" s="145"/>
      <c r="AB287" s="141"/>
      <c r="AF287" s="140"/>
      <c r="AJ287" s="141"/>
      <c r="AN287" s="141"/>
      <c r="AR287" s="141"/>
    </row>
    <row r="288" spans="2:44" s="134" customFormat="1" x14ac:dyDescent="0.2">
      <c r="B288" s="145"/>
      <c r="D288" s="145"/>
      <c r="AB288" s="141"/>
      <c r="AF288" s="140"/>
      <c r="AJ288" s="141"/>
      <c r="AN288" s="141"/>
      <c r="AR288" s="141"/>
    </row>
    <row r="289" spans="2:44" s="134" customFormat="1" x14ac:dyDescent="0.2">
      <c r="B289" s="145"/>
      <c r="D289" s="145"/>
      <c r="AB289" s="141"/>
      <c r="AF289" s="140"/>
      <c r="AJ289" s="141"/>
      <c r="AN289" s="141"/>
      <c r="AR289" s="141"/>
    </row>
    <row r="290" spans="2:44" s="134" customFormat="1" x14ac:dyDescent="0.2">
      <c r="B290" s="145"/>
      <c r="D290" s="145"/>
      <c r="AB290" s="141"/>
      <c r="AF290" s="140"/>
      <c r="AJ290" s="141"/>
      <c r="AN290" s="141"/>
      <c r="AR290" s="141"/>
    </row>
    <row r="291" spans="2:44" s="134" customFormat="1" x14ac:dyDescent="0.2">
      <c r="B291" s="145"/>
      <c r="D291" s="145"/>
      <c r="AB291" s="141"/>
      <c r="AF291" s="140"/>
      <c r="AJ291" s="141"/>
      <c r="AN291" s="141"/>
      <c r="AR291" s="141"/>
    </row>
    <row r="292" spans="2:44" s="134" customFormat="1" x14ac:dyDescent="0.2">
      <c r="B292" s="145"/>
      <c r="D292" s="145"/>
      <c r="AB292" s="141"/>
      <c r="AF292" s="140"/>
      <c r="AJ292" s="141"/>
      <c r="AN292" s="141"/>
      <c r="AR292" s="141"/>
    </row>
    <row r="293" spans="2:44" s="134" customFormat="1" x14ac:dyDescent="0.2">
      <c r="B293" s="145"/>
      <c r="D293" s="145"/>
      <c r="AB293" s="141"/>
      <c r="AF293" s="140"/>
      <c r="AJ293" s="141"/>
      <c r="AN293" s="141"/>
      <c r="AR293" s="141"/>
    </row>
    <row r="294" spans="2:44" s="134" customFormat="1" x14ac:dyDescent="0.2">
      <c r="B294" s="145"/>
      <c r="D294" s="145"/>
      <c r="AB294" s="141"/>
      <c r="AF294" s="140"/>
      <c r="AJ294" s="141"/>
      <c r="AN294" s="141"/>
      <c r="AR294" s="141"/>
    </row>
    <row r="295" spans="2:44" s="134" customFormat="1" x14ac:dyDescent="0.2">
      <c r="B295" s="145"/>
      <c r="D295" s="145"/>
      <c r="AB295" s="141"/>
      <c r="AF295" s="140"/>
      <c r="AJ295" s="141"/>
      <c r="AN295" s="141"/>
      <c r="AR295" s="141"/>
    </row>
    <row r="296" spans="2:44" s="134" customFormat="1" x14ac:dyDescent="0.2">
      <c r="B296" s="145"/>
      <c r="D296" s="145"/>
      <c r="AB296" s="141"/>
      <c r="AF296" s="140"/>
      <c r="AJ296" s="141"/>
      <c r="AN296" s="141"/>
      <c r="AR296" s="141"/>
    </row>
    <row r="297" spans="2:44" s="134" customFormat="1" x14ac:dyDescent="0.2">
      <c r="B297" s="145"/>
      <c r="D297" s="145"/>
      <c r="AB297" s="141"/>
      <c r="AF297" s="140"/>
      <c r="AJ297" s="141"/>
      <c r="AN297" s="141"/>
      <c r="AR297" s="141"/>
    </row>
    <row r="298" spans="2:44" s="134" customFormat="1" x14ac:dyDescent="0.2">
      <c r="B298" s="145"/>
      <c r="D298" s="145"/>
      <c r="AB298" s="141"/>
      <c r="AF298" s="140"/>
      <c r="AJ298" s="141"/>
      <c r="AN298" s="141"/>
      <c r="AR298" s="141"/>
    </row>
    <row r="299" spans="2:44" s="134" customFormat="1" x14ac:dyDescent="0.2">
      <c r="B299" s="145"/>
      <c r="D299" s="145"/>
      <c r="AB299" s="141"/>
      <c r="AF299" s="140"/>
      <c r="AJ299" s="141"/>
      <c r="AN299" s="141"/>
      <c r="AR299" s="141"/>
    </row>
    <row r="300" spans="2:44" s="134" customFormat="1" x14ac:dyDescent="0.2">
      <c r="B300" s="145"/>
      <c r="D300" s="145"/>
      <c r="AB300" s="141"/>
      <c r="AF300" s="140"/>
      <c r="AJ300" s="141"/>
      <c r="AN300" s="141"/>
      <c r="AR300" s="141"/>
    </row>
    <row r="301" spans="2:44" s="134" customFormat="1" x14ac:dyDescent="0.2">
      <c r="B301" s="145"/>
      <c r="D301" s="145"/>
      <c r="AB301" s="141"/>
      <c r="AF301" s="140"/>
      <c r="AJ301" s="141"/>
      <c r="AN301" s="141"/>
      <c r="AR301" s="141"/>
    </row>
    <row r="302" spans="2:44" s="134" customFormat="1" x14ac:dyDescent="0.2">
      <c r="B302" s="145"/>
      <c r="D302" s="145"/>
      <c r="AB302" s="141"/>
      <c r="AF302" s="140"/>
      <c r="AJ302" s="141"/>
      <c r="AN302" s="141"/>
      <c r="AR302" s="141"/>
    </row>
    <row r="303" spans="2:44" s="134" customFormat="1" x14ac:dyDescent="0.2">
      <c r="B303" s="145"/>
      <c r="D303" s="145"/>
      <c r="AB303" s="141"/>
      <c r="AF303" s="140"/>
      <c r="AJ303" s="141"/>
      <c r="AN303" s="141"/>
      <c r="AR303" s="141"/>
    </row>
    <row r="304" spans="2:44" s="134" customFormat="1" x14ac:dyDescent="0.2">
      <c r="B304" s="145"/>
      <c r="D304" s="145"/>
      <c r="AB304" s="141"/>
      <c r="AF304" s="140"/>
      <c r="AJ304" s="141"/>
      <c r="AN304" s="141"/>
      <c r="AR304" s="141"/>
    </row>
    <row r="305" spans="2:44" s="134" customFormat="1" x14ac:dyDescent="0.2">
      <c r="B305" s="145"/>
      <c r="D305" s="145"/>
      <c r="AB305" s="141"/>
      <c r="AF305" s="140"/>
      <c r="AJ305" s="141"/>
      <c r="AN305" s="141"/>
      <c r="AR305" s="141"/>
    </row>
    <row r="306" spans="2:44" s="134" customFormat="1" x14ac:dyDescent="0.2">
      <c r="B306" s="145"/>
      <c r="D306" s="145"/>
      <c r="AB306" s="141"/>
      <c r="AF306" s="140"/>
      <c r="AJ306" s="141"/>
      <c r="AN306" s="141"/>
      <c r="AR306" s="141"/>
    </row>
    <row r="307" spans="2:44" s="134" customFormat="1" x14ac:dyDescent="0.2">
      <c r="B307" s="145"/>
      <c r="D307" s="145"/>
      <c r="AB307" s="141"/>
      <c r="AF307" s="140"/>
      <c r="AJ307" s="141"/>
      <c r="AN307" s="141"/>
      <c r="AR307" s="141"/>
    </row>
    <row r="308" spans="2:44" s="134" customFormat="1" x14ac:dyDescent="0.2">
      <c r="B308" s="145"/>
      <c r="D308" s="145"/>
      <c r="AB308" s="141"/>
      <c r="AF308" s="140"/>
      <c r="AJ308" s="141"/>
      <c r="AN308" s="141"/>
      <c r="AR308" s="141"/>
    </row>
    <row r="309" spans="2:44" s="134" customFormat="1" x14ac:dyDescent="0.2">
      <c r="B309" s="145"/>
      <c r="D309" s="145"/>
      <c r="AB309" s="141"/>
      <c r="AF309" s="140"/>
      <c r="AJ309" s="141"/>
      <c r="AN309" s="141"/>
      <c r="AR309" s="141"/>
    </row>
    <row r="310" spans="2:44" s="134" customFormat="1" x14ac:dyDescent="0.2">
      <c r="B310" s="145"/>
      <c r="D310" s="145"/>
      <c r="AB310" s="141"/>
      <c r="AF310" s="140"/>
      <c r="AJ310" s="141"/>
      <c r="AN310" s="141"/>
      <c r="AR310" s="141"/>
    </row>
    <row r="311" spans="2:44" s="134" customFormat="1" x14ac:dyDescent="0.2">
      <c r="B311" s="145"/>
      <c r="D311" s="145"/>
      <c r="AB311" s="141"/>
      <c r="AF311" s="140"/>
      <c r="AJ311" s="141"/>
      <c r="AN311" s="141"/>
      <c r="AR311" s="141"/>
    </row>
    <row r="312" spans="2:44" s="134" customFormat="1" x14ac:dyDescent="0.2">
      <c r="B312" s="145"/>
      <c r="D312" s="145"/>
      <c r="AB312" s="141"/>
      <c r="AF312" s="140"/>
      <c r="AJ312" s="141"/>
      <c r="AN312" s="141"/>
      <c r="AR312" s="141"/>
    </row>
    <row r="313" spans="2:44" s="134" customFormat="1" x14ac:dyDescent="0.2">
      <c r="B313" s="145"/>
      <c r="D313" s="145"/>
      <c r="AB313" s="141"/>
      <c r="AF313" s="140"/>
      <c r="AJ313" s="141"/>
      <c r="AN313" s="141"/>
      <c r="AR313" s="141"/>
    </row>
    <row r="314" spans="2:44" s="134" customFormat="1" x14ac:dyDescent="0.2">
      <c r="B314" s="145"/>
      <c r="D314" s="145"/>
      <c r="AB314" s="141"/>
      <c r="AF314" s="140"/>
      <c r="AJ314" s="141"/>
      <c r="AN314" s="141"/>
      <c r="AR314" s="141"/>
    </row>
    <row r="315" spans="2:44" s="134" customFormat="1" x14ac:dyDescent="0.2">
      <c r="B315" s="145"/>
      <c r="D315" s="145"/>
      <c r="AB315" s="141"/>
      <c r="AF315" s="140"/>
      <c r="AJ315" s="141"/>
      <c r="AN315" s="141"/>
      <c r="AR315" s="141"/>
    </row>
    <row r="316" spans="2:44" s="134" customFormat="1" x14ac:dyDescent="0.2">
      <c r="B316" s="145"/>
      <c r="D316" s="145"/>
      <c r="AB316" s="141"/>
      <c r="AF316" s="140"/>
      <c r="AJ316" s="141"/>
      <c r="AN316" s="141"/>
      <c r="AR316" s="141"/>
    </row>
    <row r="317" spans="2:44" s="134" customFormat="1" x14ac:dyDescent="0.2">
      <c r="B317" s="145"/>
      <c r="D317" s="145"/>
      <c r="AB317" s="141"/>
      <c r="AF317" s="140"/>
      <c r="AJ317" s="141"/>
      <c r="AN317" s="141"/>
      <c r="AR317" s="141"/>
    </row>
    <row r="318" spans="2:44" s="134" customFormat="1" x14ac:dyDescent="0.2">
      <c r="B318" s="145"/>
      <c r="D318" s="145"/>
      <c r="AB318" s="141"/>
      <c r="AF318" s="140"/>
      <c r="AJ318" s="141"/>
      <c r="AN318" s="141"/>
      <c r="AR318" s="141"/>
    </row>
    <row r="319" spans="2:44" s="134" customFormat="1" x14ac:dyDescent="0.2">
      <c r="B319" s="145"/>
      <c r="D319" s="145"/>
      <c r="AB319" s="141"/>
      <c r="AF319" s="140"/>
      <c r="AJ319" s="141"/>
      <c r="AN319" s="141"/>
      <c r="AR319" s="141"/>
    </row>
    <row r="320" spans="2:44" s="134" customFormat="1" x14ac:dyDescent="0.2">
      <c r="B320" s="145"/>
      <c r="D320" s="145"/>
      <c r="AB320" s="141"/>
      <c r="AF320" s="140"/>
      <c r="AJ320" s="141"/>
      <c r="AN320" s="141"/>
      <c r="AR320" s="141"/>
    </row>
    <row r="321" spans="2:44" s="134" customFormat="1" x14ac:dyDescent="0.2">
      <c r="B321" s="145"/>
      <c r="D321" s="145"/>
      <c r="AB321" s="141"/>
      <c r="AF321" s="140"/>
      <c r="AJ321" s="141"/>
      <c r="AN321" s="141"/>
      <c r="AR321" s="141"/>
    </row>
    <row r="322" spans="2:44" s="134" customFormat="1" x14ac:dyDescent="0.2">
      <c r="B322" s="145"/>
      <c r="D322" s="145"/>
      <c r="AB322" s="141"/>
      <c r="AF322" s="140"/>
      <c r="AJ322" s="141"/>
      <c r="AN322" s="141"/>
      <c r="AR322" s="141"/>
    </row>
    <row r="323" spans="2:44" s="134" customFormat="1" x14ac:dyDescent="0.2">
      <c r="B323" s="145"/>
      <c r="D323" s="145"/>
      <c r="AB323" s="141"/>
      <c r="AF323" s="140"/>
      <c r="AJ323" s="141"/>
      <c r="AN323" s="141"/>
      <c r="AR323" s="141"/>
    </row>
    <row r="324" spans="2:44" s="134" customFormat="1" x14ac:dyDescent="0.2">
      <c r="B324" s="145"/>
      <c r="D324" s="145"/>
      <c r="AB324" s="141"/>
      <c r="AF324" s="140"/>
      <c r="AJ324" s="141"/>
      <c r="AN324" s="141"/>
      <c r="AR324" s="141"/>
    </row>
    <row r="325" spans="2:44" s="134" customFormat="1" x14ac:dyDescent="0.2">
      <c r="B325" s="145"/>
      <c r="D325" s="145"/>
      <c r="AB325" s="141"/>
      <c r="AF325" s="140"/>
      <c r="AJ325" s="141"/>
      <c r="AN325" s="141"/>
      <c r="AR325" s="141"/>
    </row>
    <row r="326" spans="2:44" s="134" customFormat="1" x14ac:dyDescent="0.2">
      <c r="B326" s="145"/>
      <c r="D326" s="145"/>
      <c r="AB326" s="141"/>
      <c r="AF326" s="140"/>
      <c r="AJ326" s="141"/>
      <c r="AN326" s="141"/>
      <c r="AR326" s="141"/>
    </row>
    <row r="327" spans="2:44" s="134" customFormat="1" x14ac:dyDescent="0.2">
      <c r="B327" s="145"/>
      <c r="D327" s="145"/>
      <c r="AB327" s="141"/>
      <c r="AF327" s="140"/>
      <c r="AJ327" s="141"/>
      <c r="AN327" s="141"/>
      <c r="AR327" s="141"/>
    </row>
    <row r="328" spans="2:44" s="134" customFormat="1" x14ac:dyDescent="0.2">
      <c r="B328" s="145"/>
      <c r="D328" s="145"/>
      <c r="AB328" s="141"/>
      <c r="AF328" s="140"/>
      <c r="AJ328" s="141"/>
      <c r="AN328" s="141"/>
      <c r="AR328" s="141"/>
    </row>
    <row r="329" spans="2:44" s="134" customFormat="1" x14ac:dyDescent="0.2">
      <c r="B329" s="145"/>
      <c r="D329" s="145"/>
      <c r="AB329" s="141"/>
      <c r="AF329" s="140"/>
      <c r="AJ329" s="141"/>
      <c r="AN329" s="141"/>
      <c r="AR329" s="141"/>
    </row>
    <row r="330" spans="2:44" s="134" customFormat="1" x14ac:dyDescent="0.2">
      <c r="B330" s="145"/>
      <c r="D330" s="145"/>
      <c r="AB330" s="141"/>
      <c r="AF330" s="140"/>
      <c r="AJ330" s="141"/>
      <c r="AN330" s="141"/>
      <c r="AR330" s="141"/>
    </row>
    <row r="331" spans="2:44" s="134" customFormat="1" x14ac:dyDescent="0.2">
      <c r="B331" s="145"/>
      <c r="D331" s="145"/>
      <c r="AB331" s="141"/>
      <c r="AF331" s="140"/>
      <c r="AJ331" s="141"/>
      <c r="AN331" s="141"/>
      <c r="AR331" s="141"/>
    </row>
    <row r="332" spans="2:44" s="134" customFormat="1" x14ac:dyDescent="0.2">
      <c r="B332" s="145"/>
      <c r="D332" s="145"/>
      <c r="AB332" s="141"/>
      <c r="AF332" s="140"/>
      <c r="AJ332" s="141"/>
      <c r="AN332" s="141"/>
      <c r="AR332" s="141"/>
    </row>
    <row r="333" spans="2:44" s="134" customFormat="1" x14ac:dyDescent="0.2">
      <c r="B333" s="145"/>
      <c r="D333" s="145"/>
      <c r="AB333" s="141"/>
      <c r="AF333" s="140"/>
      <c r="AJ333" s="141"/>
      <c r="AN333" s="141"/>
      <c r="AR333" s="141"/>
    </row>
    <row r="334" spans="2:44" s="134" customFormat="1" x14ac:dyDescent="0.2">
      <c r="B334" s="145"/>
      <c r="D334" s="145"/>
      <c r="AB334" s="141"/>
      <c r="AF334" s="140"/>
      <c r="AJ334" s="141"/>
      <c r="AN334" s="141"/>
      <c r="AR334" s="141"/>
    </row>
    <row r="335" spans="2:44" s="134" customFormat="1" x14ac:dyDescent="0.2">
      <c r="B335" s="145"/>
      <c r="D335" s="145"/>
      <c r="AB335" s="141"/>
      <c r="AF335" s="140"/>
      <c r="AJ335" s="141"/>
      <c r="AN335" s="141"/>
      <c r="AR335" s="141"/>
    </row>
    <row r="336" spans="2:44" s="134" customFormat="1" x14ac:dyDescent="0.2">
      <c r="B336" s="145"/>
      <c r="D336" s="145"/>
      <c r="AB336" s="141"/>
      <c r="AF336" s="140"/>
      <c r="AJ336" s="141"/>
      <c r="AN336" s="141"/>
      <c r="AR336" s="141"/>
    </row>
    <row r="337" spans="2:44" s="134" customFormat="1" x14ac:dyDescent="0.2">
      <c r="B337" s="145"/>
      <c r="D337" s="145"/>
      <c r="AB337" s="141"/>
      <c r="AF337" s="140"/>
      <c r="AJ337" s="141"/>
      <c r="AN337" s="141"/>
      <c r="AR337" s="141"/>
    </row>
    <row r="338" spans="2:44" s="134" customFormat="1" x14ac:dyDescent="0.2">
      <c r="B338" s="145"/>
      <c r="D338" s="145"/>
      <c r="AB338" s="141"/>
      <c r="AF338" s="140"/>
      <c r="AJ338" s="141"/>
      <c r="AN338" s="141"/>
      <c r="AR338" s="141"/>
    </row>
    <row r="339" spans="2:44" s="134" customFormat="1" x14ac:dyDescent="0.2">
      <c r="B339" s="145"/>
      <c r="D339" s="145"/>
      <c r="AB339" s="141"/>
      <c r="AF339" s="140"/>
      <c r="AJ339" s="141"/>
      <c r="AN339" s="141"/>
      <c r="AR339" s="141"/>
    </row>
    <row r="340" spans="2:44" s="134" customFormat="1" x14ac:dyDescent="0.2">
      <c r="B340" s="145"/>
      <c r="D340" s="145"/>
      <c r="AB340" s="141"/>
      <c r="AF340" s="140"/>
      <c r="AJ340" s="141"/>
      <c r="AN340" s="141"/>
      <c r="AR340" s="141"/>
    </row>
    <row r="341" spans="2:44" s="134" customFormat="1" x14ac:dyDescent="0.2">
      <c r="B341" s="145"/>
      <c r="D341" s="145"/>
      <c r="AB341" s="141"/>
      <c r="AF341" s="140"/>
      <c r="AJ341" s="141"/>
      <c r="AN341" s="141"/>
      <c r="AR341" s="141"/>
    </row>
    <row r="342" spans="2:44" s="134" customFormat="1" x14ac:dyDescent="0.2">
      <c r="B342" s="145"/>
      <c r="D342" s="145"/>
      <c r="AB342" s="141"/>
      <c r="AF342" s="140"/>
      <c r="AJ342" s="141"/>
      <c r="AN342" s="141"/>
      <c r="AR342" s="141"/>
    </row>
    <row r="343" spans="2:44" s="134" customFormat="1" x14ac:dyDescent="0.2">
      <c r="B343" s="145"/>
      <c r="D343" s="145"/>
      <c r="AB343" s="141"/>
      <c r="AF343" s="140"/>
      <c r="AJ343" s="141"/>
      <c r="AN343" s="141"/>
      <c r="AR343" s="141"/>
    </row>
    <row r="344" spans="2:44" s="134" customFormat="1" x14ac:dyDescent="0.2">
      <c r="B344" s="145"/>
      <c r="D344" s="145"/>
      <c r="AB344" s="141"/>
      <c r="AF344" s="140"/>
      <c r="AJ344" s="141"/>
      <c r="AN344" s="141"/>
      <c r="AR344" s="141"/>
    </row>
    <row r="345" spans="2:44" s="134" customFormat="1" x14ac:dyDescent="0.2">
      <c r="B345" s="145"/>
      <c r="D345" s="145"/>
      <c r="AB345" s="141"/>
      <c r="AF345" s="140"/>
      <c r="AJ345" s="141"/>
      <c r="AN345" s="141"/>
      <c r="AR345" s="141"/>
    </row>
    <row r="346" spans="2:44" s="134" customFormat="1" x14ac:dyDescent="0.2">
      <c r="B346" s="145"/>
      <c r="D346" s="145"/>
      <c r="AB346" s="141"/>
      <c r="AF346" s="140"/>
      <c r="AJ346" s="141"/>
      <c r="AN346" s="141"/>
      <c r="AR346" s="141"/>
    </row>
    <row r="347" spans="2:44" s="134" customFormat="1" x14ac:dyDescent="0.2">
      <c r="B347" s="145"/>
      <c r="D347" s="145"/>
      <c r="AB347" s="141"/>
      <c r="AF347" s="140"/>
      <c r="AJ347" s="141"/>
      <c r="AN347" s="141"/>
      <c r="AR347" s="141"/>
    </row>
    <row r="348" spans="2:44" s="134" customFormat="1" x14ac:dyDescent="0.2">
      <c r="B348" s="145"/>
      <c r="D348" s="145"/>
      <c r="AB348" s="141"/>
      <c r="AF348" s="140"/>
      <c r="AJ348" s="141"/>
      <c r="AN348" s="141"/>
      <c r="AR348" s="141"/>
    </row>
    <row r="349" spans="2:44" s="134" customFormat="1" x14ac:dyDescent="0.2">
      <c r="B349" s="145"/>
      <c r="D349" s="145"/>
      <c r="AB349" s="141"/>
      <c r="AF349" s="140"/>
      <c r="AJ349" s="141"/>
      <c r="AN349" s="141"/>
      <c r="AR349" s="141"/>
    </row>
    <row r="350" spans="2:44" s="134" customFormat="1" x14ac:dyDescent="0.2">
      <c r="B350" s="145"/>
      <c r="D350" s="145"/>
      <c r="AB350" s="141"/>
      <c r="AF350" s="140"/>
      <c r="AJ350" s="141"/>
      <c r="AN350" s="141"/>
      <c r="AR350" s="141"/>
    </row>
    <row r="351" spans="2:44" s="134" customFormat="1" x14ac:dyDescent="0.2">
      <c r="B351" s="145"/>
      <c r="D351" s="145"/>
      <c r="AB351" s="141"/>
      <c r="AF351" s="140"/>
      <c r="AJ351" s="141"/>
      <c r="AN351" s="141"/>
      <c r="AR351" s="141"/>
    </row>
    <row r="352" spans="2:44" s="134" customFormat="1" x14ac:dyDescent="0.2">
      <c r="B352" s="145"/>
      <c r="D352" s="145"/>
      <c r="AB352" s="141"/>
      <c r="AF352" s="140"/>
      <c r="AJ352" s="141"/>
      <c r="AN352" s="141"/>
      <c r="AR352" s="141"/>
    </row>
    <row r="353" spans="2:44" s="134" customFormat="1" x14ac:dyDescent="0.2">
      <c r="B353" s="145"/>
      <c r="D353" s="145"/>
      <c r="AB353" s="141"/>
      <c r="AF353" s="140"/>
      <c r="AJ353" s="141"/>
      <c r="AN353" s="141"/>
      <c r="AR353" s="141"/>
    </row>
    <row r="354" spans="2:44" s="134" customFormat="1" x14ac:dyDescent="0.2">
      <c r="B354" s="145"/>
      <c r="D354" s="145"/>
      <c r="AB354" s="141"/>
      <c r="AF354" s="140"/>
      <c r="AJ354" s="141"/>
      <c r="AN354" s="141"/>
      <c r="AR354" s="141"/>
    </row>
    <row r="355" spans="2:44" s="134" customFormat="1" x14ac:dyDescent="0.2">
      <c r="B355" s="145"/>
      <c r="D355" s="145"/>
      <c r="AB355" s="141"/>
      <c r="AF355" s="140"/>
      <c r="AJ355" s="141"/>
      <c r="AN355" s="141"/>
      <c r="AR355" s="141"/>
    </row>
    <row r="356" spans="2:44" s="134" customFormat="1" x14ac:dyDescent="0.2">
      <c r="B356" s="145"/>
      <c r="D356" s="145"/>
      <c r="AB356" s="141"/>
      <c r="AF356" s="140"/>
      <c r="AJ356" s="141"/>
      <c r="AN356" s="141"/>
      <c r="AR356" s="141"/>
    </row>
    <row r="357" spans="2:44" s="134" customFormat="1" x14ac:dyDescent="0.2">
      <c r="B357" s="145"/>
      <c r="D357" s="145"/>
      <c r="AB357" s="141"/>
      <c r="AF357" s="140"/>
      <c r="AJ357" s="141"/>
      <c r="AN357" s="141"/>
      <c r="AR357" s="141"/>
    </row>
    <row r="358" spans="2:44" s="134" customFormat="1" x14ac:dyDescent="0.2">
      <c r="B358" s="145"/>
      <c r="D358" s="145"/>
      <c r="AB358" s="141"/>
      <c r="AF358" s="140"/>
      <c r="AJ358" s="141"/>
      <c r="AN358" s="141"/>
      <c r="AR358" s="141"/>
    </row>
    <row r="359" spans="2:44" s="134" customFormat="1" x14ac:dyDescent="0.2">
      <c r="B359" s="145"/>
      <c r="D359" s="145"/>
      <c r="AB359" s="141"/>
      <c r="AF359" s="140"/>
      <c r="AJ359" s="141"/>
      <c r="AN359" s="141"/>
      <c r="AR359" s="141"/>
    </row>
    <row r="360" spans="2:44" s="134" customFormat="1" x14ac:dyDescent="0.2">
      <c r="B360" s="145"/>
      <c r="D360" s="145"/>
      <c r="AB360" s="141"/>
      <c r="AF360" s="140"/>
      <c r="AJ360" s="141"/>
      <c r="AN360" s="141"/>
      <c r="AR360" s="141"/>
    </row>
    <row r="361" spans="2:44" s="134" customFormat="1" x14ac:dyDescent="0.2">
      <c r="B361" s="145"/>
      <c r="D361" s="145"/>
      <c r="AB361" s="141"/>
      <c r="AF361" s="140"/>
      <c r="AJ361" s="141"/>
      <c r="AN361" s="141"/>
      <c r="AR361" s="141"/>
    </row>
    <row r="362" spans="2:44" s="134" customFormat="1" x14ac:dyDescent="0.2">
      <c r="B362" s="145"/>
      <c r="D362" s="145"/>
      <c r="AB362" s="141"/>
      <c r="AF362" s="140"/>
      <c r="AJ362" s="141"/>
      <c r="AN362" s="141"/>
      <c r="AR362" s="141"/>
    </row>
    <row r="363" spans="2:44" s="134" customFormat="1" x14ac:dyDescent="0.2">
      <c r="B363" s="145"/>
      <c r="D363" s="145"/>
      <c r="AB363" s="141"/>
      <c r="AF363" s="140"/>
      <c r="AJ363" s="141"/>
      <c r="AN363" s="141"/>
      <c r="AR363" s="141"/>
    </row>
    <row r="364" spans="2:44" s="134" customFormat="1" x14ac:dyDescent="0.2">
      <c r="B364" s="145"/>
      <c r="D364" s="145"/>
      <c r="AB364" s="141"/>
      <c r="AF364" s="140"/>
      <c r="AJ364" s="141"/>
      <c r="AN364" s="141"/>
      <c r="AR364" s="141"/>
    </row>
    <row r="365" spans="2:44" s="134" customFormat="1" x14ac:dyDescent="0.2">
      <c r="B365" s="145"/>
      <c r="D365" s="145"/>
      <c r="AB365" s="141"/>
      <c r="AF365" s="140"/>
      <c r="AJ365" s="141"/>
      <c r="AN365" s="141"/>
      <c r="AR365" s="141"/>
    </row>
    <row r="366" spans="2:44" s="134" customFormat="1" x14ac:dyDescent="0.2">
      <c r="B366" s="145"/>
      <c r="D366" s="145"/>
      <c r="AB366" s="141"/>
      <c r="AF366" s="140"/>
      <c r="AJ366" s="141"/>
      <c r="AN366" s="141"/>
      <c r="AR366" s="141"/>
    </row>
    <row r="367" spans="2:44" s="134" customFormat="1" x14ac:dyDescent="0.2">
      <c r="B367" s="145"/>
      <c r="D367" s="145"/>
      <c r="AB367" s="141"/>
      <c r="AF367" s="140"/>
      <c r="AJ367" s="141"/>
      <c r="AN367" s="141"/>
      <c r="AR367" s="141"/>
    </row>
    <row r="368" spans="2:44" s="134" customFormat="1" x14ac:dyDescent="0.2">
      <c r="B368" s="145"/>
      <c r="D368" s="145"/>
      <c r="AB368" s="141"/>
      <c r="AF368" s="140"/>
      <c r="AJ368" s="141"/>
      <c r="AN368" s="141"/>
      <c r="AR368" s="141"/>
    </row>
    <row r="369" spans="2:44" s="134" customFormat="1" x14ac:dyDescent="0.2">
      <c r="B369" s="145"/>
      <c r="D369" s="145"/>
      <c r="AB369" s="141"/>
      <c r="AF369" s="140"/>
      <c r="AJ369" s="141"/>
      <c r="AN369" s="141"/>
      <c r="AR369" s="141"/>
    </row>
    <row r="370" spans="2:44" s="134" customFormat="1" x14ac:dyDescent="0.2">
      <c r="B370" s="145"/>
      <c r="D370" s="145"/>
      <c r="AB370" s="141"/>
      <c r="AF370" s="140"/>
      <c r="AJ370" s="141"/>
      <c r="AN370" s="141"/>
      <c r="AR370" s="141"/>
    </row>
    <row r="371" spans="2:44" s="134" customFormat="1" x14ac:dyDescent="0.2">
      <c r="B371" s="145"/>
      <c r="D371" s="145"/>
      <c r="AB371" s="141"/>
      <c r="AF371" s="140"/>
      <c r="AJ371" s="141"/>
      <c r="AN371" s="141"/>
      <c r="AR371" s="141"/>
    </row>
    <row r="372" spans="2:44" s="134" customFormat="1" x14ac:dyDescent="0.2">
      <c r="B372" s="145"/>
      <c r="D372" s="145"/>
      <c r="AB372" s="141"/>
      <c r="AF372" s="140"/>
      <c r="AJ372" s="141"/>
      <c r="AN372" s="141"/>
      <c r="AR372" s="141"/>
    </row>
    <row r="373" spans="2:44" s="134" customFormat="1" x14ac:dyDescent="0.2">
      <c r="B373" s="145"/>
      <c r="D373" s="145"/>
      <c r="AB373" s="141"/>
      <c r="AF373" s="140"/>
      <c r="AJ373" s="141"/>
      <c r="AN373" s="141"/>
      <c r="AR373" s="141"/>
    </row>
    <row r="374" spans="2:44" s="134" customFormat="1" x14ac:dyDescent="0.2">
      <c r="B374" s="145"/>
      <c r="D374" s="145"/>
      <c r="AB374" s="141"/>
      <c r="AF374" s="140"/>
      <c r="AJ374" s="141"/>
      <c r="AN374" s="141"/>
      <c r="AR374" s="141"/>
    </row>
    <row r="375" spans="2:44" s="134" customFormat="1" x14ac:dyDescent="0.2">
      <c r="B375" s="145"/>
      <c r="D375" s="145"/>
      <c r="AB375" s="141"/>
      <c r="AF375" s="140"/>
      <c r="AJ375" s="141"/>
      <c r="AN375" s="141"/>
      <c r="AR375" s="141"/>
    </row>
    <row r="376" spans="2:44" s="134" customFormat="1" x14ac:dyDescent="0.2">
      <c r="B376" s="145"/>
      <c r="D376" s="145"/>
      <c r="AB376" s="141"/>
      <c r="AF376" s="140"/>
      <c r="AJ376" s="141"/>
      <c r="AN376" s="141"/>
      <c r="AR376" s="141"/>
    </row>
    <row r="377" spans="2:44" s="134" customFormat="1" x14ac:dyDescent="0.2">
      <c r="B377" s="145"/>
      <c r="D377" s="145"/>
      <c r="AB377" s="141"/>
      <c r="AF377" s="140"/>
      <c r="AJ377" s="141"/>
      <c r="AN377" s="141"/>
      <c r="AR377" s="141"/>
    </row>
    <row r="378" spans="2:44" s="134" customFormat="1" x14ac:dyDescent="0.2">
      <c r="B378" s="145"/>
      <c r="D378" s="145"/>
      <c r="AB378" s="141"/>
      <c r="AF378" s="140"/>
      <c r="AJ378" s="141"/>
      <c r="AN378" s="141"/>
      <c r="AR378" s="141"/>
    </row>
    <row r="379" spans="2:44" s="134" customFormat="1" x14ac:dyDescent="0.2">
      <c r="B379" s="145"/>
      <c r="D379" s="145"/>
      <c r="AB379" s="141"/>
      <c r="AF379" s="140"/>
      <c r="AJ379" s="141"/>
      <c r="AN379" s="141"/>
      <c r="AR379" s="141"/>
    </row>
    <row r="380" spans="2:44" s="134" customFormat="1" x14ac:dyDescent="0.2">
      <c r="B380" s="145"/>
      <c r="D380" s="145"/>
      <c r="AB380" s="141"/>
      <c r="AF380" s="140"/>
      <c r="AJ380" s="141"/>
      <c r="AN380" s="141"/>
      <c r="AR380" s="141"/>
    </row>
    <row r="381" spans="2:44" s="134" customFormat="1" x14ac:dyDescent="0.2">
      <c r="B381" s="145"/>
      <c r="D381" s="145"/>
      <c r="AB381" s="141"/>
      <c r="AF381" s="140"/>
      <c r="AJ381" s="141"/>
      <c r="AN381" s="141"/>
      <c r="AR381" s="141"/>
    </row>
    <row r="382" spans="2:44" s="134" customFormat="1" x14ac:dyDescent="0.2">
      <c r="B382" s="145"/>
      <c r="D382" s="145"/>
      <c r="AB382" s="141"/>
      <c r="AF382" s="140"/>
      <c r="AJ382" s="141"/>
      <c r="AN382" s="141"/>
      <c r="AR382" s="141"/>
    </row>
    <row r="383" spans="2:44" s="134" customFormat="1" x14ac:dyDescent="0.2">
      <c r="B383" s="145"/>
      <c r="D383" s="145"/>
      <c r="AB383" s="141"/>
      <c r="AF383" s="140"/>
      <c r="AJ383" s="141"/>
      <c r="AN383" s="141"/>
      <c r="AR383" s="141"/>
    </row>
    <row r="384" spans="2:44" s="134" customFormat="1" x14ac:dyDescent="0.2">
      <c r="B384" s="145"/>
      <c r="D384" s="145"/>
      <c r="AB384" s="141"/>
      <c r="AF384" s="140"/>
      <c r="AJ384" s="141"/>
      <c r="AN384" s="141"/>
      <c r="AR384" s="141"/>
    </row>
    <row r="385" spans="2:44" s="134" customFormat="1" x14ac:dyDescent="0.2">
      <c r="B385" s="145"/>
      <c r="D385" s="145"/>
      <c r="AB385" s="141"/>
      <c r="AF385" s="140"/>
      <c r="AJ385" s="141"/>
      <c r="AN385" s="141"/>
      <c r="AR385" s="141"/>
    </row>
    <row r="386" spans="2:44" s="134" customFormat="1" x14ac:dyDescent="0.2">
      <c r="B386" s="145"/>
      <c r="D386" s="145"/>
      <c r="AB386" s="141"/>
      <c r="AF386" s="140"/>
      <c r="AJ386" s="141"/>
      <c r="AN386" s="141"/>
      <c r="AR386" s="141"/>
    </row>
    <row r="387" spans="2:44" s="134" customFormat="1" x14ac:dyDescent="0.2">
      <c r="B387" s="145"/>
      <c r="D387" s="145"/>
      <c r="AB387" s="141"/>
      <c r="AF387" s="140"/>
      <c r="AJ387" s="141"/>
      <c r="AN387" s="141"/>
      <c r="AR387" s="141"/>
    </row>
    <row r="388" spans="2:44" s="134" customFormat="1" x14ac:dyDescent="0.2">
      <c r="B388" s="145"/>
      <c r="D388" s="145"/>
      <c r="AB388" s="141"/>
      <c r="AF388" s="140"/>
      <c r="AJ388" s="141"/>
      <c r="AN388" s="141"/>
      <c r="AR388" s="141"/>
    </row>
    <row r="389" spans="2:44" s="134" customFormat="1" x14ac:dyDescent="0.2">
      <c r="B389" s="145"/>
      <c r="D389" s="145"/>
      <c r="AB389" s="141"/>
      <c r="AF389" s="140"/>
      <c r="AJ389" s="141"/>
      <c r="AN389" s="141"/>
      <c r="AR389" s="141"/>
    </row>
    <row r="390" spans="2:44" s="134" customFormat="1" x14ac:dyDescent="0.2">
      <c r="B390" s="145"/>
      <c r="D390" s="145"/>
      <c r="AB390" s="141"/>
      <c r="AF390" s="140"/>
      <c r="AJ390" s="141"/>
      <c r="AN390" s="141"/>
      <c r="AR390" s="141"/>
    </row>
    <row r="391" spans="2:44" s="134" customFormat="1" x14ac:dyDescent="0.2">
      <c r="B391" s="145"/>
      <c r="D391" s="145"/>
      <c r="AB391" s="141"/>
      <c r="AF391" s="140"/>
      <c r="AJ391" s="141"/>
      <c r="AN391" s="141"/>
      <c r="AR391" s="141"/>
    </row>
    <row r="392" spans="2:44" s="134" customFormat="1" x14ac:dyDescent="0.2">
      <c r="B392" s="145"/>
      <c r="D392" s="145"/>
      <c r="AB392" s="141"/>
      <c r="AF392" s="140"/>
      <c r="AJ392" s="141"/>
      <c r="AN392" s="141"/>
      <c r="AR392" s="141"/>
    </row>
    <row r="393" spans="2:44" s="134" customFormat="1" x14ac:dyDescent="0.2">
      <c r="B393" s="145"/>
      <c r="D393" s="145"/>
      <c r="AB393" s="141"/>
      <c r="AF393" s="140"/>
      <c r="AJ393" s="141"/>
      <c r="AN393" s="141"/>
      <c r="AR393" s="141"/>
    </row>
    <row r="394" spans="2:44" s="134" customFormat="1" x14ac:dyDescent="0.2">
      <c r="B394" s="145"/>
      <c r="D394" s="145"/>
      <c r="AB394" s="141"/>
      <c r="AF394" s="140"/>
      <c r="AJ394" s="141"/>
      <c r="AN394" s="141"/>
      <c r="AR394" s="141"/>
    </row>
    <row r="395" spans="2:44" s="134" customFormat="1" x14ac:dyDescent="0.2">
      <c r="B395" s="145"/>
      <c r="D395" s="145"/>
      <c r="AB395" s="141"/>
      <c r="AF395" s="140"/>
      <c r="AJ395" s="141"/>
      <c r="AN395" s="141"/>
      <c r="AR395" s="141"/>
    </row>
    <row r="396" spans="2:44" s="134" customFormat="1" x14ac:dyDescent="0.2">
      <c r="B396" s="145"/>
      <c r="D396" s="145"/>
      <c r="AB396" s="141"/>
      <c r="AF396" s="140"/>
      <c r="AJ396" s="141"/>
      <c r="AN396" s="141"/>
      <c r="AR396" s="141"/>
    </row>
    <row r="397" spans="2:44" s="134" customFormat="1" x14ac:dyDescent="0.2">
      <c r="B397" s="145"/>
      <c r="D397" s="145"/>
      <c r="AB397" s="141"/>
      <c r="AF397" s="140"/>
      <c r="AJ397" s="141"/>
      <c r="AN397" s="141"/>
      <c r="AR397" s="141"/>
    </row>
    <row r="398" spans="2:44" s="134" customFormat="1" x14ac:dyDescent="0.2">
      <c r="B398" s="145"/>
      <c r="D398" s="145"/>
      <c r="AB398" s="141"/>
      <c r="AF398" s="140"/>
      <c r="AJ398" s="141"/>
      <c r="AN398" s="141"/>
      <c r="AR398" s="141"/>
    </row>
    <row r="399" spans="2:44" s="134" customFormat="1" x14ac:dyDescent="0.2">
      <c r="B399" s="145"/>
      <c r="D399" s="145"/>
      <c r="AB399" s="141"/>
      <c r="AF399" s="140"/>
      <c r="AJ399" s="141"/>
      <c r="AN399" s="141"/>
      <c r="AR399" s="141"/>
    </row>
    <row r="400" spans="2:44" s="134" customFormat="1" x14ac:dyDescent="0.2">
      <c r="B400" s="145"/>
      <c r="D400" s="145"/>
      <c r="AB400" s="141"/>
      <c r="AF400" s="140"/>
      <c r="AJ400" s="141"/>
      <c r="AN400" s="141"/>
      <c r="AR400" s="141"/>
    </row>
    <row r="401" spans="2:44" s="134" customFormat="1" x14ac:dyDescent="0.2">
      <c r="B401" s="145"/>
      <c r="D401" s="145"/>
      <c r="AB401" s="141"/>
      <c r="AF401" s="140"/>
      <c r="AJ401" s="141"/>
      <c r="AN401" s="141"/>
      <c r="AR401" s="141"/>
    </row>
    <row r="402" spans="2:44" s="134" customFormat="1" x14ac:dyDescent="0.2">
      <c r="B402" s="145"/>
      <c r="D402" s="145"/>
      <c r="AB402" s="141"/>
      <c r="AF402" s="140"/>
      <c r="AJ402" s="141"/>
      <c r="AN402" s="141"/>
      <c r="AR402" s="141"/>
    </row>
    <row r="403" spans="2:44" s="134" customFormat="1" x14ac:dyDescent="0.2">
      <c r="B403" s="145"/>
      <c r="D403" s="145"/>
      <c r="AB403" s="141"/>
      <c r="AF403" s="140"/>
      <c r="AJ403" s="141"/>
      <c r="AN403" s="141"/>
      <c r="AR403" s="141"/>
    </row>
    <row r="404" spans="2:44" s="134" customFormat="1" x14ac:dyDescent="0.2">
      <c r="B404" s="145"/>
      <c r="D404" s="145"/>
      <c r="AB404" s="141"/>
      <c r="AF404" s="140"/>
      <c r="AJ404" s="141"/>
      <c r="AN404" s="141"/>
      <c r="AR404" s="141"/>
    </row>
    <row r="405" spans="2:44" s="134" customFormat="1" x14ac:dyDescent="0.2">
      <c r="B405" s="145"/>
      <c r="D405" s="145"/>
      <c r="AB405" s="141"/>
      <c r="AF405" s="140"/>
      <c r="AJ405" s="141"/>
      <c r="AN405" s="141"/>
      <c r="AR405" s="141"/>
    </row>
    <row r="406" spans="2:44" s="134" customFormat="1" x14ac:dyDescent="0.2">
      <c r="B406" s="145"/>
      <c r="D406" s="145"/>
      <c r="AB406" s="141"/>
      <c r="AF406" s="140"/>
      <c r="AJ406" s="141"/>
      <c r="AN406" s="141"/>
      <c r="AR406" s="141"/>
    </row>
    <row r="407" spans="2:44" s="134" customFormat="1" x14ac:dyDescent="0.2">
      <c r="B407" s="145"/>
      <c r="D407" s="145"/>
      <c r="AB407" s="141"/>
      <c r="AF407" s="140"/>
      <c r="AJ407" s="141"/>
      <c r="AN407" s="141"/>
      <c r="AR407" s="141"/>
    </row>
    <row r="408" spans="2:44" s="134" customFormat="1" x14ac:dyDescent="0.2">
      <c r="B408" s="145"/>
      <c r="D408" s="145"/>
      <c r="AB408" s="141"/>
      <c r="AF408" s="140"/>
      <c r="AJ408" s="141"/>
      <c r="AN408" s="141"/>
      <c r="AR408" s="141"/>
    </row>
    <row r="409" spans="2:44" s="134" customFormat="1" x14ac:dyDescent="0.2">
      <c r="B409" s="145"/>
      <c r="D409" s="145"/>
      <c r="AB409" s="141"/>
      <c r="AF409" s="140"/>
      <c r="AJ409" s="141"/>
      <c r="AN409" s="141"/>
      <c r="AR409" s="141"/>
    </row>
    <row r="410" spans="2:44" s="134" customFormat="1" x14ac:dyDescent="0.2">
      <c r="B410" s="145"/>
      <c r="D410" s="145"/>
      <c r="AB410" s="141"/>
      <c r="AF410" s="140"/>
      <c r="AJ410" s="141"/>
      <c r="AN410" s="141"/>
      <c r="AR410" s="141"/>
    </row>
    <row r="411" spans="2:44" s="134" customFormat="1" x14ac:dyDescent="0.2">
      <c r="B411" s="145"/>
      <c r="D411" s="145"/>
      <c r="AB411" s="141"/>
      <c r="AF411" s="140"/>
      <c r="AJ411" s="141"/>
      <c r="AN411" s="141"/>
      <c r="AR411" s="141"/>
    </row>
    <row r="412" spans="2:44" s="134" customFormat="1" x14ac:dyDescent="0.2">
      <c r="B412" s="145"/>
      <c r="D412" s="145"/>
      <c r="AB412" s="141"/>
      <c r="AF412" s="140"/>
      <c r="AJ412" s="141"/>
      <c r="AN412" s="141"/>
      <c r="AR412" s="141"/>
    </row>
    <row r="413" spans="2:44" s="134" customFormat="1" x14ac:dyDescent="0.2">
      <c r="B413" s="145"/>
      <c r="D413" s="145"/>
      <c r="AB413" s="141"/>
      <c r="AF413" s="140"/>
      <c r="AJ413" s="141"/>
      <c r="AN413" s="141"/>
      <c r="AR413" s="141"/>
    </row>
    <row r="414" spans="2:44" s="134" customFormat="1" x14ac:dyDescent="0.2">
      <c r="B414" s="145"/>
      <c r="D414" s="145"/>
      <c r="AB414" s="141"/>
      <c r="AF414" s="140"/>
      <c r="AJ414" s="141"/>
      <c r="AN414" s="141"/>
      <c r="AR414" s="141"/>
    </row>
    <row r="415" spans="2:44" s="134" customFormat="1" x14ac:dyDescent="0.2">
      <c r="B415" s="145"/>
      <c r="D415" s="145"/>
      <c r="AB415" s="141"/>
      <c r="AF415" s="140"/>
      <c r="AJ415" s="141"/>
      <c r="AN415" s="141"/>
      <c r="AR415" s="141"/>
    </row>
    <row r="416" spans="2:44" s="134" customFormat="1" x14ac:dyDescent="0.2">
      <c r="B416" s="145"/>
      <c r="D416" s="145"/>
      <c r="AB416" s="141"/>
      <c r="AF416" s="140"/>
      <c r="AJ416" s="141"/>
      <c r="AN416" s="141"/>
      <c r="AR416" s="141"/>
    </row>
    <row r="417" spans="2:44" s="134" customFormat="1" x14ac:dyDescent="0.2">
      <c r="B417" s="145"/>
      <c r="D417" s="145"/>
      <c r="AB417" s="141"/>
      <c r="AF417" s="140"/>
      <c r="AJ417" s="141"/>
      <c r="AN417" s="141"/>
      <c r="AR417" s="141"/>
    </row>
    <row r="418" spans="2:44" s="134" customFormat="1" x14ac:dyDescent="0.2">
      <c r="B418" s="145"/>
      <c r="D418" s="145"/>
      <c r="AB418" s="141"/>
      <c r="AF418" s="140"/>
      <c r="AJ418" s="141"/>
      <c r="AN418" s="141"/>
      <c r="AR418" s="141"/>
    </row>
    <row r="419" spans="2:44" s="134" customFormat="1" x14ac:dyDescent="0.2">
      <c r="B419" s="145"/>
      <c r="D419" s="145"/>
      <c r="AB419" s="141"/>
      <c r="AF419" s="140"/>
      <c r="AJ419" s="141"/>
      <c r="AN419" s="141"/>
      <c r="AR419" s="141"/>
    </row>
    <row r="420" spans="2:44" s="134" customFormat="1" x14ac:dyDescent="0.2">
      <c r="B420" s="145"/>
      <c r="D420" s="145"/>
      <c r="AB420" s="141"/>
      <c r="AF420" s="140"/>
      <c r="AJ420" s="141"/>
      <c r="AN420" s="141"/>
      <c r="AR420" s="141"/>
    </row>
    <row r="421" spans="2:44" s="134" customFormat="1" x14ac:dyDescent="0.2">
      <c r="B421" s="145"/>
      <c r="D421" s="145"/>
      <c r="AB421" s="141"/>
      <c r="AF421" s="140"/>
      <c r="AJ421" s="141"/>
      <c r="AN421" s="141"/>
      <c r="AR421" s="141"/>
    </row>
    <row r="422" spans="2:44" s="134" customFormat="1" x14ac:dyDescent="0.2">
      <c r="B422" s="145"/>
      <c r="D422" s="145"/>
      <c r="AB422" s="141"/>
      <c r="AF422" s="140"/>
      <c r="AJ422" s="141"/>
      <c r="AN422" s="141"/>
      <c r="AR422" s="141"/>
    </row>
    <row r="423" spans="2:44" s="134" customFormat="1" x14ac:dyDescent="0.2">
      <c r="B423" s="145"/>
      <c r="D423" s="145"/>
      <c r="AB423" s="141"/>
      <c r="AF423" s="140"/>
      <c r="AJ423" s="141"/>
      <c r="AN423" s="141"/>
      <c r="AR423" s="141"/>
    </row>
    <row r="424" spans="2:44" s="134" customFormat="1" x14ac:dyDescent="0.2">
      <c r="B424" s="145"/>
      <c r="D424" s="145"/>
      <c r="AB424" s="141"/>
      <c r="AF424" s="140"/>
      <c r="AJ424" s="141"/>
      <c r="AN424" s="141"/>
      <c r="AR424" s="141"/>
    </row>
    <row r="425" spans="2:44" s="134" customFormat="1" x14ac:dyDescent="0.2">
      <c r="B425" s="145"/>
      <c r="D425" s="145"/>
      <c r="AB425" s="141"/>
      <c r="AF425" s="140"/>
      <c r="AJ425" s="141"/>
      <c r="AN425" s="141"/>
      <c r="AR425" s="141"/>
    </row>
    <row r="426" spans="2:44" s="134" customFormat="1" x14ac:dyDescent="0.2">
      <c r="B426" s="145"/>
      <c r="D426" s="145"/>
      <c r="AB426" s="141"/>
      <c r="AF426" s="140"/>
      <c r="AJ426" s="141"/>
      <c r="AN426" s="141"/>
      <c r="AR426" s="141"/>
    </row>
    <row r="427" spans="2:44" s="134" customFormat="1" x14ac:dyDescent="0.2">
      <c r="B427" s="145"/>
      <c r="D427" s="145"/>
      <c r="AB427" s="141"/>
      <c r="AF427" s="140"/>
      <c r="AJ427" s="141"/>
      <c r="AN427" s="141"/>
      <c r="AR427" s="141"/>
    </row>
    <row r="428" spans="2:44" s="134" customFormat="1" x14ac:dyDescent="0.2">
      <c r="B428" s="145"/>
      <c r="D428" s="145"/>
      <c r="AB428" s="141"/>
      <c r="AF428" s="140"/>
      <c r="AJ428" s="141"/>
      <c r="AN428" s="141"/>
      <c r="AR428" s="141"/>
    </row>
    <row r="429" spans="2:44" s="134" customFormat="1" x14ac:dyDescent="0.2">
      <c r="B429" s="145"/>
      <c r="D429" s="145"/>
      <c r="AB429" s="141"/>
      <c r="AF429" s="140"/>
      <c r="AJ429" s="141"/>
      <c r="AN429" s="141"/>
      <c r="AR429" s="141"/>
    </row>
    <row r="430" spans="2:44" s="134" customFormat="1" x14ac:dyDescent="0.2">
      <c r="B430" s="145"/>
      <c r="D430" s="145"/>
      <c r="AB430" s="141"/>
      <c r="AF430" s="140"/>
      <c r="AJ430" s="141"/>
      <c r="AN430" s="141"/>
      <c r="AR430" s="141"/>
    </row>
    <row r="431" spans="2:44" s="134" customFormat="1" x14ac:dyDescent="0.2">
      <c r="B431" s="145"/>
      <c r="D431" s="145"/>
      <c r="AB431" s="141"/>
      <c r="AF431" s="140"/>
      <c r="AJ431" s="141"/>
      <c r="AN431" s="141"/>
      <c r="AR431" s="141"/>
    </row>
    <row r="432" spans="2:44" s="134" customFormat="1" x14ac:dyDescent="0.2">
      <c r="B432" s="145"/>
      <c r="D432" s="145"/>
      <c r="AB432" s="141"/>
      <c r="AF432" s="140"/>
      <c r="AJ432" s="141"/>
      <c r="AN432" s="141"/>
      <c r="AR432" s="141"/>
    </row>
    <row r="433" spans="2:44" s="134" customFormat="1" x14ac:dyDescent="0.2">
      <c r="B433" s="145"/>
      <c r="D433" s="145"/>
      <c r="AB433" s="141"/>
      <c r="AF433" s="140"/>
      <c r="AJ433" s="141"/>
      <c r="AN433" s="141"/>
      <c r="AR433" s="141"/>
    </row>
    <row r="434" spans="2:44" s="134" customFormat="1" x14ac:dyDescent="0.2">
      <c r="B434" s="145"/>
      <c r="D434" s="145"/>
      <c r="AB434" s="141"/>
      <c r="AF434" s="140"/>
      <c r="AJ434" s="141"/>
      <c r="AN434" s="141"/>
      <c r="AR434" s="141"/>
    </row>
    <row r="435" spans="2:44" s="134" customFormat="1" x14ac:dyDescent="0.2">
      <c r="B435" s="145"/>
      <c r="D435" s="145"/>
      <c r="AB435" s="141"/>
      <c r="AF435" s="140"/>
      <c r="AJ435" s="141"/>
      <c r="AN435" s="141"/>
      <c r="AR435" s="141"/>
    </row>
    <row r="436" spans="2:44" s="134" customFormat="1" x14ac:dyDescent="0.2">
      <c r="B436" s="145"/>
      <c r="D436" s="145"/>
      <c r="AB436" s="141"/>
      <c r="AF436" s="140"/>
      <c r="AJ436" s="141"/>
      <c r="AN436" s="141"/>
      <c r="AR436" s="141"/>
    </row>
    <row r="437" spans="2:44" s="134" customFormat="1" x14ac:dyDescent="0.2">
      <c r="B437" s="145"/>
      <c r="D437" s="145"/>
      <c r="AB437" s="141"/>
      <c r="AF437" s="140"/>
      <c r="AJ437" s="141"/>
      <c r="AN437" s="141"/>
      <c r="AR437" s="141"/>
    </row>
    <row r="438" spans="2:44" s="134" customFormat="1" x14ac:dyDescent="0.2">
      <c r="B438" s="145"/>
      <c r="D438" s="145"/>
      <c r="AB438" s="141"/>
      <c r="AF438" s="140"/>
      <c r="AJ438" s="141"/>
      <c r="AN438" s="141"/>
      <c r="AR438" s="141"/>
    </row>
    <row r="439" spans="2:44" s="134" customFormat="1" x14ac:dyDescent="0.2">
      <c r="B439" s="145"/>
      <c r="D439" s="145"/>
      <c r="AB439" s="141"/>
      <c r="AF439" s="140"/>
      <c r="AJ439" s="141"/>
      <c r="AN439" s="141"/>
      <c r="AR439" s="141"/>
    </row>
    <row r="440" spans="2:44" s="134" customFormat="1" x14ac:dyDescent="0.2">
      <c r="B440" s="145"/>
      <c r="D440" s="145"/>
      <c r="AB440" s="141"/>
      <c r="AF440" s="140"/>
      <c r="AJ440" s="141"/>
      <c r="AN440" s="141"/>
      <c r="AR440" s="141"/>
    </row>
    <row r="441" spans="2:44" s="134" customFormat="1" x14ac:dyDescent="0.2">
      <c r="B441" s="145"/>
      <c r="D441" s="145"/>
      <c r="AB441" s="141"/>
      <c r="AF441" s="140"/>
      <c r="AJ441" s="141"/>
      <c r="AN441" s="141"/>
      <c r="AR441" s="141"/>
    </row>
    <row r="442" spans="2:44" s="134" customFormat="1" x14ac:dyDescent="0.2">
      <c r="B442" s="145"/>
      <c r="D442" s="145"/>
      <c r="AB442" s="141"/>
      <c r="AF442" s="140"/>
      <c r="AJ442" s="141"/>
      <c r="AN442" s="141"/>
      <c r="AR442" s="141"/>
    </row>
    <row r="443" spans="2:44" s="134" customFormat="1" x14ac:dyDescent="0.2">
      <c r="B443" s="145"/>
      <c r="D443" s="145"/>
      <c r="AB443" s="141"/>
      <c r="AF443" s="140"/>
      <c r="AJ443" s="141"/>
      <c r="AN443" s="141"/>
      <c r="AR443" s="141"/>
    </row>
    <row r="444" spans="2:44" s="134" customFormat="1" x14ac:dyDescent="0.2">
      <c r="B444" s="145"/>
      <c r="D444" s="145"/>
      <c r="AB444" s="141"/>
      <c r="AF444" s="140"/>
      <c r="AJ444" s="141"/>
      <c r="AN444" s="141"/>
      <c r="AR444" s="141"/>
    </row>
    <row r="445" spans="2:44" s="134" customFormat="1" x14ac:dyDescent="0.2">
      <c r="B445" s="145"/>
      <c r="D445" s="145"/>
      <c r="AB445" s="141"/>
      <c r="AF445" s="140"/>
      <c r="AJ445" s="141"/>
      <c r="AN445" s="141"/>
      <c r="AR445" s="141"/>
    </row>
    <row r="446" spans="2:44" s="134" customFormat="1" x14ac:dyDescent="0.2">
      <c r="B446" s="145"/>
      <c r="D446" s="145"/>
      <c r="AB446" s="141"/>
      <c r="AF446" s="140"/>
      <c r="AJ446" s="141"/>
      <c r="AN446" s="141"/>
      <c r="AR446" s="141"/>
    </row>
    <row r="447" spans="2:44" s="134" customFormat="1" x14ac:dyDescent="0.2">
      <c r="B447" s="145"/>
      <c r="D447" s="145"/>
      <c r="AB447" s="141"/>
      <c r="AF447" s="140"/>
      <c r="AJ447" s="141"/>
      <c r="AN447" s="141"/>
      <c r="AR447" s="141"/>
    </row>
    <row r="448" spans="2:44" s="134" customFormat="1" x14ac:dyDescent="0.2">
      <c r="B448" s="145"/>
      <c r="D448" s="145"/>
      <c r="AB448" s="141"/>
      <c r="AF448" s="140"/>
      <c r="AJ448" s="141"/>
      <c r="AN448" s="141"/>
      <c r="AR448" s="141"/>
    </row>
    <row r="449" spans="2:44" s="134" customFormat="1" x14ac:dyDescent="0.2">
      <c r="B449" s="145"/>
      <c r="D449" s="145"/>
      <c r="AB449" s="141"/>
      <c r="AF449" s="140"/>
      <c r="AJ449" s="141"/>
      <c r="AN449" s="141"/>
      <c r="AR449" s="141"/>
    </row>
    <row r="450" spans="2:44" s="134" customFormat="1" x14ac:dyDescent="0.2">
      <c r="B450" s="145"/>
      <c r="D450" s="145"/>
      <c r="AB450" s="141"/>
      <c r="AF450" s="140"/>
      <c r="AJ450" s="141"/>
      <c r="AN450" s="141"/>
      <c r="AR450" s="141"/>
    </row>
    <row r="451" spans="2:44" s="134" customFormat="1" x14ac:dyDescent="0.2">
      <c r="B451" s="145"/>
      <c r="D451" s="145"/>
      <c r="AB451" s="141"/>
      <c r="AF451" s="140"/>
      <c r="AJ451" s="141"/>
      <c r="AN451" s="141"/>
      <c r="AR451" s="141"/>
    </row>
    <row r="452" spans="2:44" s="134" customFormat="1" x14ac:dyDescent="0.2">
      <c r="B452" s="145"/>
      <c r="D452" s="145"/>
      <c r="AB452" s="141"/>
      <c r="AF452" s="140"/>
      <c r="AJ452" s="141"/>
      <c r="AN452" s="141"/>
      <c r="AR452" s="141"/>
    </row>
    <row r="453" spans="2:44" s="134" customFormat="1" x14ac:dyDescent="0.2">
      <c r="B453" s="145"/>
      <c r="D453" s="145"/>
      <c r="AB453" s="141"/>
      <c r="AF453" s="140"/>
      <c r="AJ453" s="141"/>
      <c r="AN453" s="141"/>
      <c r="AR453" s="141"/>
    </row>
    <row r="454" spans="2:44" s="134" customFormat="1" x14ac:dyDescent="0.2">
      <c r="B454" s="145"/>
      <c r="D454" s="145"/>
      <c r="AB454" s="141"/>
      <c r="AF454" s="140"/>
      <c r="AJ454" s="141"/>
      <c r="AN454" s="141"/>
      <c r="AR454" s="141"/>
    </row>
    <row r="455" spans="2:44" s="134" customFormat="1" x14ac:dyDescent="0.2">
      <c r="B455" s="145"/>
      <c r="D455" s="145"/>
      <c r="AB455" s="141"/>
      <c r="AF455" s="140"/>
      <c r="AJ455" s="141"/>
      <c r="AN455" s="141"/>
      <c r="AR455" s="141"/>
    </row>
    <row r="456" spans="2:44" s="134" customFormat="1" x14ac:dyDescent="0.2">
      <c r="B456" s="145"/>
      <c r="D456" s="145"/>
      <c r="AB456" s="141"/>
      <c r="AF456" s="140"/>
      <c r="AJ456" s="141"/>
      <c r="AN456" s="141"/>
      <c r="AR456" s="141"/>
    </row>
    <row r="457" spans="2:44" s="134" customFormat="1" x14ac:dyDescent="0.2">
      <c r="B457" s="145"/>
      <c r="D457" s="145"/>
      <c r="AB457" s="141"/>
      <c r="AF457" s="140"/>
      <c r="AJ457" s="141"/>
      <c r="AN457" s="141"/>
      <c r="AR457" s="141"/>
    </row>
    <row r="458" spans="2:44" s="134" customFormat="1" x14ac:dyDescent="0.2">
      <c r="B458" s="145"/>
      <c r="D458" s="145"/>
      <c r="AB458" s="141"/>
      <c r="AF458" s="140"/>
      <c r="AJ458" s="141"/>
      <c r="AN458" s="141"/>
      <c r="AR458" s="141"/>
    </row>
    <row r="459" spans="2:44" s="134" customFormat="1" x14ac:dyDescent="0.2">
      <c r="B459" s="145"/>
      <c r="D459" s="145"/>
      <c r="AB459" s="141"/>
      <c r="AF459" s="140"/>
      <c r="AJ459" s="141"/>
      <c r="AN459" s="141"/>
      <c r="AR459" s="141"/>
    </row>
    <row r="460" spans="2:44" s="134" customFormat="1" x14ac:dyDescent="0.2">
      <c r="B460" s="145"/>
      <c r="D460" s="145"/>
      <c r="AB460" s="141"/>
      <c r="AF460" s="140"/>
      <c r="AJ460" s="141"/>
      <c r="AN460" s="141"/>
      <c r="AR460" s="141"/>
    </row>
    <row r="461" spans="2:44" s="134" customFormat="1" x14ac:dyDescent="0.2">
      <c r="B461" s="145"/>
      <c r="D461" s="145"/>
      <c r="AB461" s="141"/>
      <c r="AF461" s="140"/>
      <c r="AJ461" s="141"/>
      <c r="AN461" s="141"/>
      <c r="AR461" s="141"/>
    </row>
    <row r="462" spans="2:44" s="134" customFormat="1" x14ac:dyDescent="0.2">
      <c r="B462" s="145"/>
      <c r="D462" s="145"/>
      <c r="AB462" s="141"/>
      <c r="AF462" s="140"/>
      <c r="AJ462" s="141"/>
      <c r="AN462" s="141"/>
      <c r="AR462" s="141"/>
    </row>
    <row r="463" spans="2:44" s="134" customFormat="1" x14ac:dyDescent="0.2">
      <c r="B463" s="145"/>
      <c r="D463" s="145"/>
      <c r="AB463" s="141"/>
      <c r="AF463" s="140"/>
      <c r="AJ463" s="141"/>
      <c r="AN463" s="141"/>
      <c r="AR463" s="141"/>
    </row>
    <row r="464" spans="2:44" s="134" customFormat="1" x14ac:dyDescent="0.2">
      <c r="B464" s="145"/>
      <c r="D464" s="145"/>
      <c r="AB464" s="141"/>
      <c r="AF464" s="140"/>
      <c r="AJ464" s="141"/>
      <c r="AN464" s="141"/>
      <c r="AR464" s="141"/>
    </row>
    <row r="465" spans="2:44" s="134" customFormat="1" x14ac:dyDescent="0.2">
      <c r="B465" s="145"/>
      <c r="D465" s="145"/>
      <c r="AB465" s="141"/>
      <c r="AF465" s="140"/>
      <c r="AJ465" s="141"/>
      <c r="AN465" s="141"/>
      <c r="AR465" s="141"/>
    </row>
    <row r="466" spans="2:44" s="134" customFormat="1" x14ac:dyDescent="0.2">
      <c r="B466" s="145"/>
      <c r="D466" s="145"/>
      <c r="AB466" s="141"/>
      <c r="AF466" s="140"/>
      <c r="AJ466" s="141"/>
      <c r="AN466" s="141"/>
      <c r="AR466" s="141"/>
    </row>
    <row r="467" spans="2:44" s="134" customFormat="1" x14ac:dyDescent="0.2">
      <c r="B467" s="145"/>
      <c r="D467" s="145"/>
      <c r="AB467" s="141"/>
      <c r="AF467" s="140"/>
      <c r="AJ467" s="141"/>
      <c r="AN467" s="141"/>
      <c r="AR467" s="141"/>
    </row>
    <row r="468" spans="2:44" s="134" customFormat="1" x14ac:dyDescent="0.2">
      <c r="B468" s="145"/>
      <c r="D468" s="145"/>
      <c r="AB468" s="141"/>
      <c r="AF468" s="140"/>
      <c r="AJ468" s="141"/>
      <c r="AN468" s="141"/>
      <c r="AR468" s="141"/>
    </row>
    <row r="469" spans="2:44" s="134" customFormat="1" x14ac:dyDescent="0.2">
      <c r="B469" s="145"/>
      <c r="D469" s="145"/>
      <c r="AB469" s="141"/>
      <c r="AF469" s="140"/>
      <c r="AJ469" s="141"/>
      <c r="AN469" s="141"/>
      <c r="AR469" s="141"/>
    </row>
    <row r="470" spans="2:44" s="134" customFormat="1" x14ac:dyDescent="0.2">
      <c r="B470" s="145"/>
      <c r="D470" s="145"/>
      <c r="AB470" s="141"/>
      <c r="AF470" s="140"/>
      <c r="AJ470" s="141"/>
      <c r="AN470" s="141"/>
      <c r="AR470" s="141"/>
    </row>
    <row r="471" spans="2:44" s="134" customFormat="1" x14ac:dyDescent="0.2">
      <c r="B471" s="145"/>
      <c r="D471" s="145"/>
      <c r="AB471" s="141"/>
      <c r="AF471" s="140"/>
      <c r="AJ471" s="141"/>
      <c r="AN471" s="141"/>
      <c r="AR471" s="141"/>
    </row>
    <row r="472" spans="2:44" s="134" customFormat="1" x14ac:dyDescent="0.2">
      <c r="B472" s="145"/>
      <c r="D472" s="145"/>
      <c r="AB472" s="141"/>
      <c r="AF472" s="140"/>
      <c r="AJ472" s="141"/>
      <c r="AN472" s="141"/>
      <c r="AR472" s="141"/>
    </row>
    <row r="473" spans="2:44" s="134" customFormat="1" x14ac:dyDescent="0.2">
      <c r="B473" s="145"/>
      <c r="D473" s="145"/>
      <c r="AB473" s="141"/>
      <c r="AF473" s="140"/>
      <c r="AJ473" s="141"/>
      <c r="AN473" s="141"/>
      <c r="AR473" s="141"/>
    </row>
    <row r="474" spans="2:44" s="134" customFormat="1" x14ac:dyDescent="0.2">
      <c r="B474" s="145"/>
      <c r="D474" s="145"/>
      <c r="AB474" s="141"/>
      <c r="AF474" s="140"/>
      <c r="AJ474" s="141"/>
      <c r="AN474" s="141"/>
      <c r="AR474" s="141"/>
    </row>
    <row r="475" spans="2:44" s="134" customFormat="1" x14ac:dyDescent="0.2">
      <c r="B475" s="145"/>
      <c r="D475" s="145"/>
      <c r="AB475" s="141"/>
      <c r="AF475" s="140"/>
      <c r="AJ475" s="141"/>
      <c r="AN475" s="141"/>
      <c r="AR475" s="141"/>
    </row>
    <row r="476" spans="2:44" s="134" customFormat="1" x14ac:dyDescent="0.2">
      <c r="B476" s="145"/>
      <c r="D476" s="145"/>
      <c r="AB476" s="141"/>
      <c r="AF476" s="140"/>
      <c r="AJ476" s="141"/>
      <c r="AN476" s="141"/>
      <c r="AR476" s="141"/>
    </row>
    <row r="477" spans="2:44" s="134" customFormat="1" x14ac:dyDescent="0.2">
      <c r="B477" s="145"/>
      <c r="D477" s="145"/>
      <c r="AB477" s="141"/>
      <c r="AF477" s="140"/>
      <c r="AJ477" s="141"/>
      <c r="AN477" s="141"/>
      <c r="AR477" s="141"/>
    </row>
    <row r="478" spans="2:44" s="134" customFormat="1" x14ac:dyDescent="0.2">
      <c r="B478" s="145"/>
      <c r="D478" s="145"/>
      <c r="AB478" s="141"/>
      <c r="AF478" s="140"/>
      <c r="AJ478" s="141"/>
      <c r="AN478" s="141"/>
      <c r="AR478" s="141"/>
    </row>
    <row r="479" spans="2:44" s="134" customFormat="1" x14ac:dyDescent="0.2">
      <c r="B479" s="145"/>
      <c r="D479" s="145"/>
      <c r="AB479" s="141"/>
      <c r="AF479" s="140"/>
      <c r="AJ479" s="141"/>
      <c r="AN479" s="141"/>
      <c r="AR479" s="141"/>
    </row>
    <row r="480" spans="2:44" s="134" customFormat="1" x14ac:dyDescent="0.2">
      <c r="B480" s="145"/>
      <c r="D480" s="145"/>
      <c r="AB480" s="141"/>
      <c r="AF480" s="140"/>
      <c r="AJ480" s="141"/>
      <c r="AN480" s="141"/>
      <c r="AR480" s="141"/>
    </row>
    <row r="481" spans="2:44" s="134" customFormat="1" x14ac:dyDescent="0.2">
      <c r="B481" s="145"/>
      <c r="D481" s="145"/>
      <c r="AB481" s="141"/>
      <c r="AF481" s="140"/>
      <c r="AJ481" s="141"/>
      <c r="AN481" s="141"/>
      <c r="AR481" s="141"/>
    </row>
    <row r="482" spans="2:44" s="134" customFormat="1" x14ac:dyDescent="0.2">
      <c r="B482" s="145"/>
      <c r="D482" s="145"/>
      <c r="AB482" s="141"/>
      <c r="AF482" s="140"/>
      <c r="AJ482" s="141"/>
      <c r="AN482" s="141"/>
      <c r="AR482" s="141"/>
    </row>
    <row r="483" spans="2:44" s="134" customFormat="1" x14ac:dyDescent="0.2">
      <c r="B483" s="145"/>
      <c r="D483" s="145"/>
      <c r="AB483" s="141"/>
      <c r="AF483" s="140"/>
      <c r="AJ483" s="141"/>
      <c r="AN483" s="141"/>
      <c r="AR483" s="141"/>
    </row>
    <row r="484" spans="2:44" s="134" customFormat="1" x14ac:dyDescent="0.2">
      <c r="B484" s="145"/>
      <c r="D484" s="145"/>
      <c r="AB484" s="141"/>
      <c r="AF484" s="140"/>
      <c r="AJ484" s="141"/>
      <c r="AN484" s="141"/>
      <c r="AR484" s="141"/>
    </row>
    <row r="485" spans="2:44" s="134" customFormat="1" x14ac:dyDescent="0.2">
      <c r="B485" s="145"/>
      <c r="D485" s="145"/>
      <c r="AB485" s="141"/>
      <c r="AF485" s="140"/>
      <c r="AJ485" s="141"/>
      <c r="AN485" s="141"/>
      <c r="AR485" s="141"/>
    </row>
    <row r="486" spans="2:44" s="134" customFormat="1" x14ac:dyDescent="0.2">
      <c r="B486" s="145"/>
      <c r="D486" s="145"/>
      <c r="AB486" s="141"/>
      <c r="AF486" s="140"/>
      <c r="AJ486" s="141"/>
      <c r="AN486" s="141"/>
      <c r="AR486" s="141"/>
    </row>
    <row r="487" spans="2:44" s="134" customFormat="1" x14ac:dyDescent="0.2">
      <c r="B487" s="145"/>
      <c r="D487" s="145"/>
      <c r="AB487" s="141"/>
      <c r="AF487" s="140"/>
      <c r="AJ487" s="141"/>
      <c r="AN487" s="141"/>
      <c r="AR487" s="141"/>
    </row>
    <row r="488" spans="2:44" s="134" customFormat="1" x14ac:dyDescent="0.2">
      <c r="B488" s="145"/>
      <c r="D488" s="145"/>
      <c r="AB488" s="141"/>
      <c r="AF488" s="140"/>
      <c r="AJ488" s="141"/>
      <c r="AN488" s="141"/>
      <c r="AR488" s="141"/>
    </row>
    <row r="489" spans="2:44" s="134" customFormat="1" x14ac:dyDescent="0.2">
      <c r="B489" s="145"/>
      <c r="D489" s="145"/>
      <c r="AB489" s="141"/>
      <c r="AF489" s="140"/>
      <c r="AJ489" s="141"/>
      <c r="AN489" s="141"/>
      <c r="AR489" s="141"/>
    </row>
    <row r="490" spans="2:44" s="134" customFormat="1" x14ac:dyDescent="0.2">
      <c r="B490" s="145"/>
      <c r="D490" s="145"/>
      <c r="AB490" s="141"/>
      <c r="AF490" s="140"/>
      <c r="AJ490" s="141"/>
      <c r="AN490" s="141"/>
      <c r="AR490" s="141"/>
    </row>
    <row r="491" spans="2:44" s="134" customFormat="1" x14ac:dyDescent="0.2">
      <c r="B491" s="145"/>
      <c r="D491" s="145"/>
      <c r="AB491" s="141"/>
      <c r="AF491" s="140"/>
      <c r="AJ491" s="141"/>
      <c r="AN491" s="141"/>
      <c r="AR491" s="141"/>
    </row>
    <row r="492" spans="2:44" s="134" customFormat="1" x14ac:dyDescent="0.2">
      <c r="B492" s="145"/>
      <c r="D492" s="145"/>
      <c r="AB492" s="141"/>
      <c r="AF492" s="140"/>
      <c r="AJ492" s="141"/>
      <c r="AN492" s="141"/>
      <c r="AR492" s="141"/>
    </row>
    <row r="493" spans="2:44" s="134" customFormat="1" x14ac:dyDescent="0.2">
      <c r="B493" s="145"/>
      <c r="D493" s="145"/>
      <c r="AB493" s="141"/>
      <c r="AF493" s="140"/>
      <c r="AJ493" s="141"/>
      <c r="AN493" s="141"/>
      <c r="AR493" s="141"/>
    </row>
    <row r="494" spans="2:44" s="134" customFormat="1" x14ac:dyDescent="0.2">
      <c r="B494" s="145"/>
      <c r="D494" s="145"/>
      <c r="AB494" s="141"/>
      <c r="AF494" s="140"/>
      <c r="AJ494" s="141"/>
      <c r="AN494" s="141"/>
      <c r="AR494" s="141"/>
    </row>
    <row r="495" spans="2:44" s="134" customFormat="1" x14ac:dyDescent="0.2">
      <c r="B495" s="145"/>
      <c r="D495" s="145"/>
      <c r="AB495" s="141"/>
      <c r="AF495" s="140"/>
      <c r="AJ495" s="141"/>
      <c r="AN495" s="141"/>
      <c r="AR495" s="141"/>
    </row>
    <row r="496" spans="2:44" s="134" customFormat="1" x14ac:dyDescent="0.2">
      <c r="B496" s="145"/>
      <c r="D496" s="145"/>
      <c r="AB496" s="141"/>
      <c r="AF496" s="140"/>
      <c r="AJ496" s="141"/>
      <c r="AN496" s="141"/>
      <c r="AR496" s="141"/>
    </row>
    <row r="497" spans="2:44" s="134" customFormat="1" x14ac:dyDescent="0.2">
      <c r="B497" s="145"/>
      <c r="D497" s="145"/>
      <c r="AB497" s="141"/>
      <c r="AF497" s="140"/>
      <c r="AJ497" s="141"/>
      <c r="AN497" s="141"/>
      <c r="AR497" s="141"/>
    </row>
    <row r="498" spans="2:44" s="134" customFormat="1" x14ac:dyDescent="0.2">
      <c r="B498" s="145"/>
      <c r="D498" s="145"/>
      <c r="AB498" s="141"/>
      <c r="AF498" s="140"/>
      <c r="AJ498" s="141"/>
      <c r="AN498" s="141"/>
      <c r="AR498" s="141"/>
    </row>
    <row r="499" spans="2:44" s="134" customFormat="1" x14ac:dyDescent="0.2">
      <c r="B499" s="145"/>
      <c r="D499" s="145"/>
      <c r="AB499" s="141"/>
      <c r="AF499" s="140"/>
      <c r="AJ499" s="141"/>
      <c r="AN499" s="141"/>
      <c r="AR499" s="141"/>
    </row>
    <row r="500" spans="2:44" s="134" customFormat="1" x14ac:dyDescent="0.2">
      <c r="B500" s="145"/>
      <c r="D500" s="145"/>
      <c r="AB500" s="141"/>
      <c r="AF500" s="140"/>
      <c r="AJ500" s="141"/>
      <c r="AN500" s="141"/>
      <c r="AR500" s="141"/>
    </row>
    <row r="501" spans="2:44" s="134" customFormat="1" x14ac:dyDescent="0.2">
      <c r="B501" s="145"/>
      <c r="D501" s="145"/>
      <c r="AB501" s="141"/>
      <c r="AF501" s="140"/>
      <c r="AJ501" s="141"/>
      <c r="AN501" s="141"/>
      <c r="AR501" s="141"/>
    </row>
    <row r="502" spans="2:44" s="134" customFormat="1" x14ac:dyDescent="0.2">
      <c r="B502" s="145"/>
      <c r="D502" s="145"/>
      <c r="AB502" s="141"/>
      <c r="AF502" s="140"/>
      <c r="AJ502" s="141"/>
      <c r="AN502" s="141"/>
      <c r="AR502" s="141"/>
    </row>
    <row r="503" spans="2:44" s="134" customFormat="1" x14ac:dyDescent="0.2">
      <c r="B503" s="145"/>
      <c r="D503" s="145"/>
      <c r="AB503" s="141"/>
      <c r="AF503" s="140"/>
      <c r="AJ503" s="141"/>
      <c r="AN503" s="141"/>
      <c r="AR503" s="141"/>
    </row>
    <row r="504" spans="2:44" s="134" customFormat="1" x14ac:dyDescent="0.2">
      <c r="B504" s="145"/>
      <c r="D504" s="145"/>
      <c r="AB504" s="141"/>
      <c r="AF504" s="140"/>
      <c r="AJ504" s="141"/>
      <c r="AN504" s="141"/>
      <c r="AR504" s="141"/>
    </row>
    <row r="505" spans="2:44" s="134" customFormat="1" x14ac:dyDescent="0.2">
      <c r="B505" s="145"/>
      <c r="D505" s="145"/>
      <c r="AB505" s="141"/>
      <c r="AF505" s="140"/>
      <c r="AJ505" s="141"/>
      <c r="AN505" s="141"/>
      <c r="AR505" s="141"/>
    </row>
    <row r="506" spans="2:44" s="134" customFormat="1" x14ac:dyDescent="0.2">
      <c r="B506" s="145"/>
      <c r="D506" s="145"/>
      <c r="AB506" s="141"/>
      <c r="AF506" s="140"/>
      <c r="AJ506" s="141"/>
      <c r="AN506" s="141"/>
      <c r="AR506" s="141"/>
    </row>
    <row r="507" spans="2:44" s="134" customFormat="1" x14ac:dyDescent="0.2">
      <c r="B507" s="145"/>
      <c r="D507" s="145"/>
      <c r="AB507" s="141"/>
      <c r="AF507" s="140"/>
      <c r="AJ507" s="141"/>
      <c r="AN507" s="141"/>
      <c r="AR507" s="141"/>
    </row>
    <row r="508" spans="2:44" s="134" customFormat="1" x14ac:dyDescent="0.2">
      <c r="B508" s="145"/>
      <c r="D508" s="145"/>
      <c r="AB508" s="141"/>
      <c r="AF508" s="140"/>
      <c r="AJ508" s="141"/>
      <c r="AN508" s="141"/>
      <c r="AR508" s="141"/>
    </row>
    <row r="509" spans="2:44" s="134" customFormat="1" x14ac:dyDescent="0.2">
      <c r="B509" s="145"/>
      <c r="D509" s="145"/>
      <c r="AB509" s="141"/>
      <c r="AF509" s="140"/>
      <c r="AJ509" s="141"/>
      <c r="AN509" s="141"/>
      <c r="AR509" s="141"/>
    </row>
    <row r="510" spans="2:44" s="134" customFormat="1" x14ac:dyDescent="0.2">
      <c r="B510" s="145"/>
      <c r="D510" s="145"/>
      <c r="AB510" s="141"/>
      <c r="AF510" s="140"/>
      <c r="AJ510" s="141"/>
      <c r="AN510" s="141"/>
      <c r="AR510" s="141"/>
    </row>
    <row r="511" spans="2:44" s="134" customFormat="1" x14ac:dyDescent="0.2">
      <c r="B511" s="145"/>
      <c r="D511" s="145"/>
      <c r="AB511" s="141"/>
      <c r="AF511" s="140"/>
      <c r="AJ511" s="141"/>
      <c r="AN511" s="141"/>
      <c r="AR511" s="141"/>
    </row>
    <row r="512" spans="2:44" s="134" customFormat="1" x14ac:dyDescent="0.2">
      <c r="B512" s="145"/>
      <c r="D512" s="145"/>
      <c r="AB512" s="141"/>
      <c r="AF512" s="140"/>
      <c r="AJ512" s="141"/>
      <c r="AN512" s="141"/>
      <c r="AR512" s="141"/>
    </row>
    <row r="513" spans="2:44" s="134" customFormat="1" x14ac:dyDescent="0.2">
      <c r="B513" s="145"/>
      <c r="D513" s="145"/>
      <c r="AB513" s="141"/>
      <c r="AF513" s="140"/>
      <c r="AJ513" s="141"/>
      <c r="AN513" s="141"/>
      <c r="AR513" s="141"/>
    </row>
    <row r="514" spans="2:44" s="134" customFormat="1" x14ac:dyDescent="0.2">
      <c r="B514" s="145"/>
      <c r="D514" s="145"/>
      <c r="AB514" s="141"/>
      <c r="AF514" s="140"/>
      <c r="AJ514" s="141"/>
      <c r="AN514" s="141"/>
      <c r="AR514" s="141"/>
    </row>
    <row r="515" spans="2:44" s="134" customFormat="1" x14ac:dyDescent="0.2">
      <c r="B515" s="145"/>
      <c r="D515" s="145"/>
      <c r="AB515" s="141"/>
      <c r="AF515" s="140"/>
      <c r="AJ515" s="141"/>
      <c r="AN515" s="141"/>
      <c r="AR515" s="141"/>
    </row>
    <row r="516" spans="2:44" s="134" customFormat="1" x14ac:dyDescent="0.2">
      <c r="B516" s="145"/>
      <c r="D516" s="145"/>
      <c r="AB516" s="141"/>
      <c r="AF516" s="140"/>
      <c r="AJ516" s="141"/>
      <c r="AN516" s="141"/>
      <c r="AR516" s="141"/>
    </row>
    <row r="517" spans="2:44" s="134" customFormat="1" x14ac:dyDescent="0.2">
      <c r="B517" s="145"/>
      <c r="D517" s="145"/>
      <c r="AB517" s="141"/>
      <c r="AF517" s="140"/>
      <c r="AJ517" s="141"/>
      <c r="AN517" s="141"/>
      <c r="AR517" s="141"/>
    </row>
    <row r="518" spans="2:44" s="134" customFormat="1" x14ac:dyDescent="0.2">
      <c r="B518" s="145"/>
      <c r="D518" s="145"/>
      <c r="AB518" s="141"/>
      <c r="AF518" s="140"/>
      <c r="AJ518" s="141"/>
      <c r="AN518" s="141"/>
      <c r="AR518" s="141"/>
    </row>
    <row r="519" spans="2:44" s="134" customFormat="1" x14ac:dyDescent="0.2">
      <c r="B519" s="145"/>
      <c r="D519" s="145"/>
      <c r="AB519" s="141"/>
      <c r="AF519" s="140"/>
      <c r="AJ519" s="141"/>
      <c r="AN519" s="141"/>
      <c r="AR519" s="141"/>
    </row>
    <row r="520" spans="2:44" s="134" customFormat="1" x14ac:dyDescent="0.2">
      <c r="B520" s="145"/>
      <c r="D520" s="145"/>
      <c r="AB520" s="141"/>
      <c r="AF520" s="140"/>
      <c r="AJ520" s="141"/>
      <c r="AN520" s="141"/>
      <c r="AR520" s="141"/>
    </row>
    <row r="521" spans="2:44" s="134" customFormat="1" x14ac:dyDescent="0.2">
      <c r="B521" s="145"/>
      <c r="D521" s="145"/>
      <c r="AB521" s="141"/>
      <c r="AF521" s="140"/>
      <c r="AJ521" s="141"/>
      <c r="AN521" s="141"/>
      <c r="AR521" s="141"/>
    </row>
    <row r="522" spans="2:44" s="134" customFormat="1" x14ac:dyDescent="0.2">
      <c r="B522" s="145"/>
      <c r="D522" s="145"/>
      <c r="AB522" s="141"/>
      <c r="AF522" s="140"/>
      <c r="AJ522" s="141"/>
      <c r="AN522" s="141"/>
      <c r="AR522" s="141"/>
    </row>
    <row r="523" spans="2:44" s="134" customFormat="1" x14ac:dyDescent="0.2">
      <c r="B523" s="145"/>
      <c r="D523" s="145"/>
      <c r="AB523" s="141"/>
      <c r="AF523" s="140"/>
      <c r="AJ523" s="141"/>
      <c r="AN523" s="141"/>
      <c r="AR523" s="141"/>
    </row>
    <row r="524" spans="2:44" s="134" customFormat="1" x14ac:dyDescent="0.2">
      <c r="B524" s="145"/>
      <c r="D524" s="145"/>
      <c r="AB524" s="141"/>
      <c r="AF524" s="140"/>
      <c r="AJ524" s="141"/>
      <c r="AN524" s="141"/>
      <c r="AR524" s="141"/>
    </row>
    <row r="525" spans="2:44" s="134" customFormat="1" x14ac:dyDescent="0.2">
      <c r="B525" s="145"/>
      <c r="D525" s="145"/>
      <c r="AB525" s="141"/>
      <c r="AF525" s="140"/>
      <c r="AJ525" s="141"/>
      <c r="AN525" s="141"/>
      <c r="AR525" s="141"/>
    </row>
    <row r="526" spans="2:44" s="134" customFormat="1" x14ac:dyDescent="0.2">
      <c r="B526" s="145"/>
      <c r="D526" s="145"/>
      <c r="AB526" s="141"/>
      <c r="AF526" s="140"/>
      <c r="AJ526" s="141"/>
      <c r="AN526" s="141"/>
      <c r="AR526" s="141"/>
    </row>
    <row r="527" spans="2:44" s="134" customFormat="1" x14ac:dyDescent="0.2">
      <c r="B527" s="145"/>
      <c r="D527" s="145"/>
      <c r="AB527" s="141"/>
      <c r="AF527" s="140"/>
      <c r="AJ527" s="141"/>
      <c r="AN527" s="141"/>
      <c r="AR527" s="141"/>
    </row>
    <row r="528" spans="2:44" s="134" customFormat="1" x14ac:dyDescent="0.2">
      <c r="B528" s="145"/>
      <c r="D528" s="145"/>
      <c r="AB528" s="141"/>
      <c r="AF528" s="140"/>
      <c r="AJ528" s="141"/>
      <c r="AN528" s="141"/>
      <c r="AR528" s="141"/>
    </row>
    <row r="529" spans="2:44" s="134" customFormat="1" x14ac:dyDescent="0.2">
      <c r="B529" s="145"/>
      <c r="D529" s="145"/>
      <c r="AB529" s="141"/>
      <c r="AF529" s="140"/>
      <c r="AJ529" s="141"/>
      <c r="AN529" s="141"/>
      <c r="AR529" s="141"/>
    </row>
    <row r="530" spans="2:44" s="134" customFormat="1" x14ac:dyDescent="0.2">
      <c r="B530" s="145"/>
      <c r="D530" s="145"/>
      <c r="AB530" s="141"/>
      <c r="AF530" s="140"/>
      <c r="AJ530" s="141"/>
      <c r="AN530" s="141"/>
      <c r="AR530" s="141"/>
    </row>
    <row r="531" spans="2:44" s="134" customFormat="1" x14ac:dyDescent="0.2">
      <c r="B531" s="145"/>
      <c r="D531" s="145"/>
      <c r="AB531" s="141"/>
      <c r="AF531" s="140"/>
      <c r="AJ531" s="141"/>
      <c r="AN531" s="141"/>
      <c r="AR531" s="141"/>
    </row>
    <row r="532" spans="2:44" s="134" customFormat="1" x14ac:dyDescent="0.2">
      <c r="B532" s="145"/>
      <c r="D532" s="145"/>
      <c r="AB532" s="141"/>
      <c r="AF532" s="140"/>
      <c r="AJ532" s="141"/>
      <c r="AN532" s="141"/>
      <c r="AR532" s="141"/>
    </row>
    <row r="533" spans="2:44" s="134" customFormat="1" x14ac:dyDescent="0.2">
      <c r="B533" s="145"/>
      <c r="D533" s="145"/>
      <c r="AB533" s="141"/>
      <c r="AF533" s="140"/>
      <c r="AJ533" s="141"/>
      <c r="AN533" s="141"/>
      <c r="AR533" s="141"/>
    </row>
    <row r="534" spans="2:44" s="134" customFormat="1" x14ac:dyDescent="0.2">
      <c r="B534" s="145"/>
      <c r="D534" s="145"/>
      <c r="AB534" s="141"/>
      <c r="AF534" s="140"/>
      <c r="AJ534" s="141"/>
      <c r="AN534" s="141"/>
      <c r="AR534" s="141"/>
    </row>
    <row r="535" spans="2:44" s="134" customFormat="1" x14ac:dyDescent="0.2">
      <c r="B535" s="145"/>
      <c r="D535" s="145"/>
      <c r="AB535" s="141"/>
      <c r="AF535" s="140"/>
      <c r="AJ535" s="141"/>
      <c r="AN535" s="141"/>
      <c r="AR535" s="141"/>
    </row>
    <row r="536" spans="2:44" s="134" customFormat="1" x14ac:dyDescent="0.2">
      <c r="B536" s="145"/>
      <c r="D536" s="145"/>
      <c r="AB536" s="141"/>
      <c r="AF536" s="140"/>
      <c r="AJ536" s="141"/>
      <c r="AN536" s="141"/>
      <c r="AR536" s="141"/>
    </row>
    <row r="537" spans="2:44" s="134" customFormat="1" x14ac:dyDescent="0.2">
      <c r="B537" s="145"/>
      <c r="D537" s="145"/>
      <c r="AB537" s="141"/>
      <c r="AF537" s="140"/>
      <c r="AJ537" s="141"/>
      <c r="AN537" s="141"/>
      <c r="AR537" s="141"/>
    </row>
    <row r="538" spans="2:44" s="134" customFormat="1" x14ac:dyDescent="0.2">
      <c r="B538" s="145"/>
      <c r="D538" s="145"/>
      <c r="AB538" s="141"/>
      <c r="AF538" s="140"/>
      <c r="AJ538" s="141"/>
      <c r="AN538" s="141"/>
      <c r="AR538" s="141"/>
    </row>
    <row r="539" spans="2:44" s="134" customFormat="1" x14ac:dyDescent="0.2">
      <c r="B539" s="145"/>
      <c r="D539" s="145"/>
      <c r="AB539" s="141"/>
      <c r="AF539" s="140"/>
      <c r="AJ539" s="141"/>
      <c r="AN539" s="141"/>
      <c r="AR539" s="141"/>
    </row>
    <row r="540" spans="2:44" s="134" customFormat="1" x14ac:dyDescent="0.2">
      <c r="B540" s="145"/>
      <c r="D540" s="145"/>
      <c r="AB540" s="141"/>
      <c r="AF540" s="140"/>
      <c r="AJ540" s="141"/>
      <c r="AN540" s="141"/>
      <c r="AR540" s="141"/>
    </row>
    <row r="541" spans="2:44" s="134" customFormat="1" x14ac:dyDescent="0.2">
      <c r="B541" s="145"/>
      <c r="D541" s="145"/>
      <c r="AB541" s="141"/>
      <c r="AF541" s="140"/>
      <c r="AJ541" s="141"/>
      <c r="AN541" s="141"/>
      <c r="AR541" s="141"/>
    </row>
    <row r="542" spans="2:44" s="134" customFormat="1" x14ac:dyDescent="0.2">
      <c r="B542" s="145"/>
      <c r="D542" s="145"/>
      <c r="AB542" s="141"/>
      <c r="AF542" s="140"/>
      <c r="AJ542" s="141"/>
      <c r="AN542" s="141"/>
      <c r="AR542" s="141"/>
    </row>
    <row r="543" spans="2:44" s="134" customFormat="1" x14ac:dyDescent="0.2">
      <c r="B543" s="145"/>
      <c r="D543" s="145"/>
      <c r="AB543" s="141"/>
      <c r="AF543" s="140"/>
      <c r="AJ543" s="141"/>
      <c r="AN543" s="141"/>
      <c r="AR543" s="141"/>
    </row>
    <row r="544" spans="2:44" s="134" customFormat="1" x14ac:dyDescent="0.2">
      <c r="B544" s="145"/>
      <c r="D544" s="145"/>
      <c r="AB544" s="141"/>
      <c r="AF544" s="140"/>
      <c r="AJ544" s="141"/>
      <c r="AN544" s="141"/>
      <c r="AR544" s="141"/>
    </row>
    <row r="545" spans="2:44" s="134" customFormat="1" x14ac:dyDescent="0.2">
      <c r="B545" s="145"/>
      <c r="D545" s="145"/>
      <c r="AB545" s="141"/>
      <c r="AF545" s="140"/>
      <c r="AJ545" s="141"/>
      <c r="AN545" s="141"/>
      <c r="AR545" s="141"/>
    </row>
    <row r="546" spans="2:44" s="134" customFormat="1" x14ac:dyDescent="0.2">
      <c r="B546" s="145"/>
      <c r="D546" s="145"/>
      <c r="AB546" s="141"/>
      <c r="AF546" s="140"/>
      <c r="AJ546" s="141"/>
      <c r="AN546" s="141"/>
      <c r="AR546" s="141"/>
    </row>
    <row r="547" spans="2:44" s="134" customFormat="1" x14ac:dyDescent="0.2">
      <c r="B547" s="145"/>
      <c r="D547" s="145"/>
      <c r="AB547" s="141"/>
      <c r="AF547" s="140"/>
      <c r="AJ547" s="141"/>
      <c r="AN547" s="141"/>
      <c r="AR547" s="141"/>
    </row>
    <row r="548" spans="2:44" s="134" customFormat="1" x14ac:dyDescent="0.2">
      <c r="B548" s="145"/>
      <c r="D548" s="145"/>
      <c r="AB548" s="141"/>
      <c r="AF548" s="140"/>
      <c r="AJ548" s="141"/>
      <c r="AN548" s="141"/>
      <c r="AR548" s="141"/>
    </row>
    <row r="549" spans="2:44" s="134" customFormat="1" x14ac:dyDescent="0.2">
      <c r="B549" s="145"/>
      <c r="D549" s="145"/>
      <c r="AB549" s="141"/>
      <c r="AF549" s="140"/>
      <c r="AJ549" s="141"/>
      <c r="AN549" s="141"/>
      <c r="AR549" s="141"/>
    </row>
    <row r="550" spans="2:44" s="134" customFormat="1" x14ac:dyDescent="0.2">
      <c r="B550" s="145"/>
      <c r="D550" s="145"/>
      <c r="AB550" s="141"/>
      <c r="AF550" s="140"/>
      <c r="AJ550" s="141"/>
      <c r="AN550" s="141"/>
      <c r="AR550" s="141"/>
    </row>
    <row r="551" spans="2:44" s="134" customFormat="1" x14ac:dyDescent="0.2">
      <c r="B551" s="145"/>
      <c r="D551" s="145"/>
      <c r="AB551" s="141"/>
      <c r="AF551" s="140"/>
      <c r="AJ551" s="141"/>
      <c r="AN551" s="141"/>
      <c r="AR551" s="141"/>
    </row>
    <row r="552" spans="2:44" s="134" customFormat="1" x14ac:dyDescent="0.2">
      <c r="B552" s="145"/>
      <c r="D552" s="145"/>
      <c r="AB552" s="141"/>
      <c r="AF552" s="140"/>
      <c r="AJ552" s="141"/>
      <c r="AN552" s="141"/>
      <c r="AR552" s="141"/>
    </row>
    <row r="553" spans="2:44" s="134" customFormat="1" x14ac:dyDescent="0.2">
      <c r="B553" s="145"/>
      <c r="D553" s="145"/>
      <c r="AB553" s="141"/>
      <c r="AF553" s="140"/>
      <c r="AJ553" s="141"/>
      <c r="AN553" s="141"/>
      <c r="AR553" s="141"/>
    </row>
    <row r="554" spans="2:44" s="134" customFormat="1" x14ac:dyDescent="0.2">
      <c r="B554" s="145"/>
      <c r="D554" s="145"/>
      <c r="AB554" s="141"/>
      <c r="AF554" s="140"/>
      <c r="AJ554" s="141"/>
      <c r="AN554" s="141"/>
      <c r="AR554" s="141"/>
    </row>
    <row r="555" spans="2:44" s="134" customFormat="1" x14ac:dyDescent="0.2">
      <c r="B555" s="145"/>
      <c r="D555" s="145"/>
      <c r="AB555" s="141"/>
      <c r="AF555" s="140"/>
      <c r="AJ555" s="141"/>
      <c r="AN555" s="141"/>
      <c r="AR555" s="141"/>
    </row>
    <row r="556" spans="2:44" s="134" customFormat="1" x14ac:dyDescent="0.2">
      <c r="B556" s="145"/>
      <c r="D556" s="145"/>
      <c r="AB556" s="141"/>
      <c r="AF556" s="140"/>
      <c r="AJ556" s="141"/>
      <c r="AN556" s="141"/>
      <c r="AR556" s="141"/>
    </row>
    <row r="557" spans="2:44" s="134" customFormat="1" x14ac:dyDescent="0.2">
      <c r="B557" s="145"/>
      <c r="D557" s="145"/>
      <c r="AB557" s="141"/>
      <c r="AF557" s="140"/>
      <c r="AJ557" s="141"/>
      <c r="AN557" s="141"/>
      <c r="AR557" s="141"/>
    </row>
    <row r="558" spans="2:44" s="134" customFormat="1" x14ac:dyDescent="0.2">
      <c r="B558" s="145"/>
      <c r="D558" s="145"/>
      <c r="AB558" s="141"/>
      <c r="AF558" s="140"/>
      <c r="AJ558" s="141"/>
      <c r="AN558" s="141"/>
      <c r="AR558" s="141"/>
    </row>
    <row r="559" spans="2:44" s="134" customFormat="1" x14ac:dyDescent="0.2">
      <c r="B559" s="145"/>
      <c r="D559" s="145"/>
      <c r="AB559" s="141"/>
      <c r="AF559" s="140"/>
      <c r="AJ559" s="141"/>
      <c r="AN559" s="141"/>
      <c r="AR559" s="141"/>
    </row>
    <row r="560" spans="2:44" s="134" customFormat="1" x14ac:dyDescent="0.2">
      <c r="B560" s="145"/>
      <c r="D560" s="145"/>
      <c r="AB560" s="141"/>
      <c r="AF560" s="140"/>
      <c r="AJ560" s="141"/>
      <c r="AN560" s="141"/>
      <c r="AR560" s="141"/>
    </row>
    <row r="561" spans="2:44" s="134" customFormat="1" x14ac:dyDescent="0.2">
      <c r="B561" s="145"/>
      <c r="D561" s="145"/>
      <c r="AB561" s="141"/>
      <c r="AF561" s="140"/>
      <c r="AJ561" s="141"/>
      <c r="AN561" s="141"/>
      <c r="AR561" s="141"/>
    </row>
    <row r="562" spans="2:44" s="134" customFormat="1" x14ac:dyDescent="0.2">
      <c r="B562" s="145"/>
      <c r="D562" s="145"/>
      <c r="AB562" s="141"/>
      <c r="AF562" s="140"/>
      <c r="AJ562" s="141"/>
      <c r="AN562" s="141"/>
      <c r="AR562" s="141"/>
    </row>
    <row r="563" spans="2:44" s="134" customFormat="1" x14ac:dyDescent="0.2">
      <c r="B563" s="145"/>
      <c r="D563" s="145"/>
      <c r="AB563" s="141"/>
      <c r="AF563" s="140"/>
      <c r="AJ563" s="141"/>
      <c r="AN563" s="141"/>
      <c r="AR563" s="141"/>
    </row>
    <row r="564" spans="2:44" s="134" customFormat="1" x14ac:dyDescent="0.2">
      <c r="B564" s="145"/>
      <c r="D564" s="145"/>
      <c r="AB564" s="141"/>
      <c r="AF564" s="140"/>
      <c r="AJ564" s="141"/>
      <c r="AN564" s="141"/>
      <c r="AR564" s="141"/>
    </row>
    <row r="565" spans="2:44" s="134" customFormat="1" x14ac:dyDescent="0.2">
      <c r="B565" s="145"/>
      <c r="D565" s="145"/>
      <c r="AB565" s="141"/>
      <c r="AF565" s="140"/>
      <c r="AJ565" s="141"/>
      <c r="AN565" s="141"/>
      <c r="AR565" s="141"/>
    </row>
    <row r="566" spans="2:44" s="134" customFormat="1" x14ac:dyDescent="0.2">
      <c r="B566" s="145"/>
      <c r="D566" s="145"/>
      <c r="AB566" s="141"/>
      <c r="AF566" s="140"/>
      <c r="AJ566" s="141"/>
      <c r="AN566" s="141"/>
      <c r="AR566" s="141"/>
    </row>
    <row r="567" spans="2:44" s="134" customFormat="1" x14ac:dyDescent="0.2">
      <c r="B567" s="145"/>
      <c r="D567" s="145"/>
      <c r="AB567" s="141"/>
      <c r="AF567" s="140"/>
      <c r="AJ567" s="141"/>
      <c r="AN567" s="141"/>
      <c r="AR567" s="141"/>
    </row>
    <row r="568" spans="2:44" s="134" customFormat="1" x14ac:dyDescent="0.2">
      <c r="B568" s="145"/>
      <c r="D568" s="145"/>
      <c r="AB568" s="141"/>
      <c r="AF568" s="140"/>
      <c r="AJ568" s="141"/>
      <c r="AN568" s="141"/>
      <c r="AR568" s="141"/>
    </row>
    <row r="569" spans="2:44" s="134" customFormat="1" x14ac:dyDescent="0.2">
      <c r="B569" s="145"/>
      <c r="D569" s="145"/>
      <c r="AB569" s="141"/>
      <c r="AF569" s="140"/>
      <c r="AJ569" s="141"/>
      <c r="AN569" s="141"/>
      <c r="AR569" s="141"/>
    </row>
    <row r="570" spans="2:44" s="134" customFormat="1" x14ac:dyDescent="0.2">
      <c r="B570" s="145"/>
      <c r="D570" s="145"/>
      <c r="AB570" s="141"/>
      <c r="AF570" s="140"/>
      <c r="AJ570" s="141"/>
      <c r="AN570" s="141"/>
      <c r="AR570" s="141"/>
    </row>
    <row r="571" spans="2:44" s="134" customFormat="1" x14ac:dyDescent="0.2">
      <c r="B571" s="145"/>
      <c r="D571" s="145"/>
      <c r="AB571" s="141"/>
      <c r="AF571" s="140"/>
      <c r="AJ571" s="141"/>
      <c r="AN571" s="141"/>
      <c r="AR571" s="141"/>
    </row>
    <row r="572" spans="2:44" s="134" customFormat="1" x14ac:dyDescent="0.2">
      <c r="B572" s="145"/>
      <c r="D572" s="145"/>
      <c r="AB572" s="141"/>
      <c r="AF572" s="140"/>
      <c r="AJ572" s="141"/>
      <c r="AN572" s="141"/>
      <c r="AR572" s="141"/>
    </row>
    <row r="573" spans="2:44" s="134" customFormat="1" x14ac:dyDescent="0.2">
      <c r="B573" s="145"/>
      <c r="D573" s="145"/>
      <c r="AB573" s="141"/>
      <c r="AF573" s="140"/>
      <c r="AJ573" s="141"/>
      <c r="AN573" s="141"/>
      <c r="AR573" s="141"/>
    </row>
    <row r="574" spans="2:44" s="134" customFormat="1" x14ac:dyDescent="0.2">
      <c r="B574" s="145"/>
      <c r="D574" s="145"/>
      <c r="AB574" s="141"/>
      <c r="AF574" s="140"/>
      <c r="AJ574" s="141"/>
      <c r="AN574" s="141"/>
      <c r="AR574" s="141"/>
    </row>
    <row r="575" spans="2:44" s="134" customFormat="1" x14ac:dyDescent="0.2">
      <c r="B575" s="145"/>
      <c r="D575" s="145"/>
      <c r="AB575" s="141"/>
      <c r="AF575" s="140"/>
      <c r="AJ575" s="141"/>
      <c r="AN575" s="141"/>
      <c r="AR575" s="141"/>
    </row>
    <row r="576" spans="2:44" s="134" customFormat="1" x14ac:dyDescent="0.2">
      <c r="B576" s="145"/>
      <c r="D576" s="145"/>
      <c r="AB576" s="141"/>
      <c r="AF576" s="140"/>
      <c r="AJ576" s="141"/>
      <c r="AN576" s="141"/>
      <c r="AR576" s="141"/>
    </row>
    <row r="577" spans="2:44" s="134" customFormat="1" x14ac:dyDescent="0.2">
      <c r="B577" s="145"/>
      <c r="D577" s="145"/>
      <c r="AB577" s="141"/>
      <c r="AF577" s="140"/>
      <c r="AJ577" s="141"/>
      <c r="AN577" s="141"/>
      <c r="AR577" s="141"/>
    </row>
    <row r="578" spans="2:44" s="134" customFormat="1" x14ac:dyDescent="0.2">
      <c r="B578" s="145"/>
      <c r="D578" s="145"/>
      <c r="AB578" s="141"/>
      <c r="AF578" s="140"/>
      <c r="AJ578" s="141"/>
      <c r="AN578" s="141"/>
      <c r="AR578" s="141"/>
    </row>
    <row r="579" spans="2:44" s="134" customFormat="1" x14ac:dyDescent="0.2">
      <c r="B579" s="145"/>
      <c r="D579" s="145"/>
      <c r="AB579" s="141"/>
      <c r="AF579" s="140"/>
      <c r="AJ579" s="141"/>
      <c r="AN579" s="141"/>
      <c r="AR579" s="141"/>
    </row>
    <row r="580" spans="2:44" s="134" customFormat="1" x14ac:dyDescent="0.2">
      <c r="B580" s="145"/>
      <c r="D580" s="145"/>
      <c r="AB580" s="141"/>
      <c r="AF580" s="140"/>
      <c r="AJ580" s="141"/>
      <c r="AN580" s="141"/>
      <c r="AR580" s="141"/>
    </row>
    <row r="581" spans="2:44" s="134" customFormat="1" x14ac:dyDescent="0.2">
      <c r="B581" s="145"/>
      <c r="D581" s="145"/>
      <c r="AB581" s="141"/>
      <c r="AF581" s="140"/>
      <c r="AJ581" s="141"/>
      <c r="AN581" s="141"/>
      <c r="AR581" s="141"/>
    </row>
    <row r="582" spans="2:44" s="134" customFormat="1" x14ac:dyDescent="0.2">
      <c r="B582" s="145"/>
      <c r="D582" s="145"/>
      <c r="AB582" s="141"/>
      <c r="AF582" s="140"/>
      <c r="AJ582" s="141"/>
      <c r="AN582" s="141"/>
      <c r="AR582" s="141"/>
    </row>
    <row r="583" spans="2:44" s="134" customFormat="1" x14ac:dyDescent="0.2">
      <c r="B583" s="145"/>
      <c r="D583" s="145"/>
      <c r="AB583" s="141"/>
      <c r="AF583" s="140"/>
      <c r="AJ583" s="141"/>
      <c r="AN583" s="141"/>
      <c r="AR583" s="141"/>
    </row>
    <row r="584" spans="2:44" s="134" customFormat="1" x14ac:dyDescent="0.2">
      <c r="B584" s="145"/>
      <c r="D584" s="145"/>
      <c r="AB584" s="141"/>
      <c r="AF584" s="140"/>
      <c r="AJ584" s="141"/>
      <c r="AN584" s="141"/>
      <c r="AR584" s="141"/>
    </row>
    <row r="585" spans="2:44" s="134" customFormat="1" x14ac:dyDescent="0.2">
      <c r="B585" s="145"/>
      <c r="D585" s="145"/>
      <c r="AB585" s="141"/>
      <c r="AF585" s="140"/>
      <c r="AJ585" s="141"/>
      <c r="AN585" s="141"/>
      <c r="AR585" s="141"/>
    </row>
    <row r="586" spans="2:44" s="134" customFormat="1" x14ac:dyDescent="0.2">
      <c r="B586" s="145"/>
      <c r="D586" s="145"/>
      <c r="AB586" s="141"/>
      <c r="AF586" s="140"/>
      <c r="AJ586" s="141"/>
      <c r="AN586" s="141"/>
      <c r="AR586" s="141"/>
    </row>
    <row r="587" spans="2:44" s="134" customFormat="1" x14ac:dyDescent="0.2">
      <c r="B587" s="145"/>
      <c r="D587" s="145"/>
      <c r="AB587" s="141"/>
      <c r="AF587" s="140"/>
      <c r="AJ587" s="141"/>
      <c r="AN587" s="141"/>
      <c r="AR587" s="141"/>
    </row>
    <row r="588" spans="2:44" s="134" customFormat="1" x14ac:dyDescent="0.2">
      <c r="B588" s="145"/>
      <c r="D588" s="145"/>
      <c r="AB588" s="141"/>
      <c r="AF588" s="140"/>
      <c r="AJ588" s="141"/>
      <c r="AN588" s="141"/>
      <c r="AR588" s="141"/>
    </row>
    <row r="589" spans="2:44" s="134" customFormat="1" x14ac:dyDescent="0.2">
      <c r="B589" s="145"/>
      <c r="D589" s="145"/>
      <c r="AB589" s="141"/>
      <c r="AF589" s="140"/>
      <c r="AJ589" s="141"/>
      <c r="AN589" s="141"/>
      <c r="AR589" s="141"/>
    </row>
    <row r="590" spans="2:44" s="134" customFormat="1" x14ac:dyDescent="0.2">
      <c r="B590" s="145"/>
      <c r="D590" s="145"/>
      <c r="AB590" s="141"/>
      <c r="AF590" s="140"/>
      <c r="AJ590" s="141"/>
      <c r="AN590" s="141"/>
      <c r="AR590" s="141"/>
    </row>
    <row r="591" spans="2:44" s="134" customFormat="1" x14ac:dyDescent="0.2">
      <c r="B591" s="145"/>
      <c r="D591" s="145"/>
      <c r="AB591" s="141"/>
      <c r="AF591" s="140"/>
      <c r="AJ591" s="141"/>
      <c r="AN591" s="141"/>
      <c r="AR591" s="141"/>
    </row>
    <row r="592" spans="2:44" s="134" customFormat="1" x14ac:dyDescent="0.2">
      <c r="B592" s="145"/>
      <c r="D592" s="145"/>
      <c r="AB592" s="141"/>
      <c r="AF592" s="140"/>
      <c r="AJ592" s="141"/>
      <c r="AN592" s="141"/>
      <c r="AR592" s="141"/>
    </row>
    <row r="593" spans="2:44" s="134" customFormat="1" x14ac:dyDescent="0.2">
      <c r="B593" s="145"/>
      <c r="D593" s="145"/>
      <c r="AB593" s="141"/>
      <c r="AF593" s="140"/>
      <c r="AJ593" s="141"/>
      <c r="AN593" s="141"/>
      <c r="AR593" s="141"/>
    </row>
    <row r="594" spans="2:44" s="134" customFormat="1" x14ac:dyDescent="0.2">
      <c r="B594" s="145"/>
      <c r="D594" s="145"/>
      <c r="AB594" s="141"/>
      <c r="AF594" s="140"/>
      <c r="AJ594" s="141"/>
      <c r="AN594" s="141"/>
      <c r="AR594" s="141"/>
    </row>
    <row r="595" spans="2:44" s="134" customFormat="1" x14ac:dyDescent="0.2">
      <c r="B595" s="145"/>
      <c r="D595" s="145"/>
      <c r="AB595" s="141"/>
      <c r="AF595" s="140"/>
      <c r="AJ595" s="141"/>
      <c r="AN595" s="141"/>
      <c r="AR595" s="141"/>
    </row>
    <row r="596" spans="2:44" s="134" customFormat="1" x14ac:dyDescent="0.2">
      <c r="B596" s="145"/>
      <c r="D596" s="145"/>
      <c r="AB596" s="141"/>
      <c r="AF596" s="140"/>
      <c r="AJ596" s="141"/>
      <c r="AN596" s="141"/>
      <c r="AR596" s="141"/>
    </row>
    <row r="597" spans="2:44" s="134" customFormat="1" x14ac:dyDescent="0.2">
      <c r="B597" s="145"/>
      <c r="D597" s="145"/>
      <c r="AB597" s="141"/>
      <c r="AF597" s="140"/>
      <c r="AJ597" s="141"/>
      <c r="AN597" s="141"/>
      <c r="AR597" s="141"/>
    </row>
    <row r="598" spans="2:44" s="134" customFormat="1" x14ac:dyDescent="0.2">
      <c r="B598" s="145"/>
      <c r="D598" s="145"/>
      <c r="AB598" s="141"/>
      <c r="AF598" s="140"/>
      <c r="AJ598" s="141"/>
      <c r="AN598" s="141"/>
      <c r="AR598" s="141"/>
    </row>
    <row r="599" spans="2:44" s="134" customFormat="1" x14ac:dyDescent="0.2">
      <c r="B599" s="145"/>
      <c r="D599" s="145"/>
      <c r="AB599" s="141"/>
      <c r="AF599" s="140"/>
      <c r="AJ599" s="141"/>
      <c r="AN599" s="141"/>
      <c r="AR599" s="141"/>
    </row>
    <row r="600" spans="2:44" s="134" customFormat="1" x14ac:dyDescent="0.2">
      <c r="B600" s="145"/>
      <c r="D600" s="145"/>
      <c r="AB600" s="141"/>
      <c r="AF600" s="140"/>
      <c r="AJ600" s="141"/>
      <c r="AN600" s="141"/>
      <c r="AR600" s="141"/>
    </row>
    <row r="601" spans="2:44" s="134" customFormat="1" x14ac:dyDescent="0.2">
      <c r="B601" s="145"/>
      <c r="D601" s="145"/>
      <c r="AB601" s="141"/>
      <c r="AF601" s="140"/>
      <c r="AJ601" s="141"/>
      <c r="AN601" s="141"/>
      <c r="AR601" s="141"/>
    </row>
    <row r="602" spans="2:44" s="134" customFormat="1" x14ac:dyDescent="0.2">
      <c r="B602" s="145"/>
      <c r="D602" s="145"/>
      <c r="AB602" s="141"/>
      <c r="AF602" s="140"/>
      <c r="AJ602" s="141"/>
      <c r="AN602" s="141"/>
      <c r="AR602" s="141"/>
    </row>
    <row r="603" spans="2:44" s="134" customFormat="1" x14ac:dyDescent="0.2">
      <c r="B603" s="145"/>
      <c r="D603" s="145"/>
      <c r="AB603" s="141"/>
      <c r="AF603" s="140"/>
      <c r="AJ603" s="141"/>
      <c r="AN603" s="141"/>
      <c r="AR603" s="141"/>
    </row>
    <row r="604" spans="2:44" s="134" customFormat="1" x14ac:dyDescent="0.2">
      <c r="B604" s="145"/>
      <c r="D604" s="145"/>
      <c r="AB604" s="141"/>
      <c r="AF604" s="140"/>
      <c r="AJ604" s="141"/>
      <c r="AN604" s="141"/>
      <c r="AR604" s="141"/>
    </row>
    <row r="605" spans="2:44" s="134" customFormat="1" x14ac:dyDescent="0.2">
      <c r="B605" s="145"/>
      <c r="D605" s="145"/>
      <c r="AB605" s="141"/>
      <c r="AF605" s="140"/>
      <c r="AJ605" s="141"/>
      <c r="AN605" s="141"/>
      <c r="AR605" s="141"/>
    </row>
    <row r="606" spans="2:44" s="134" customFormat="1" x14ac:dyDescent="0.2">
      <c r="B606" s="145"/>
      <c r="D606" s="145"/>
      <c r="AB606" s="141"/>
      <c r="AF606" s="140"/>
      <c r="AJ606" s="141"/>
      <c r="AN606" s="141"/>
      <c r="AR606" s="141"/>
    </row>
    <row r="607" spans="2:44" s="134" customFormat="1" x14ac:dyDescent="0.2">
      <c r="B607" s="145"/>
      <c r="D607" s="145"/>
      <c r="AB607" s="141"/>
      <c r="AF607" s="140"/>
      <c r="AJ607" s="141"/>
      <c r="AN607" s="141"/>
      <c r="AR607" s="141"/>
    </row>
    <row r="608" spans="2:44" s="134" customFormat="1" x14ac:dyDescent="0.2">
      <c r="B608" s="145"/>
      <c r="D608" s="145"/>
      <c r="AB608" s="141"/>
      <c r="AF608" s="140"/>
      <c r="AJ608" s="141"/>
      <c r="AN608" s="141"/>
      <c r="AR608" s="141"/>
    </row>
    <row r="609" spans="2:44" s="134" customFormat="1" x14ac:dyDescent="0.2">
      <c r="B609" s="145"/>
      <c r="D609" s="145"/>
      <c r="AB609" s="141"/>
      <c r="AF609" s="140"/>
      <c r="AJ609" s="141"/>
      <c r="AN609" s="141"/>
      <c r="AR609" s="141"/>
    </row>
    <row r="610" spans="2:44" s="134" customFormat="1" x14ac:dyDescent="0.2">
      <c r="B610" s="145"/>
      <c r="D610" s="145"/>
      <c r="AB610" s="141"/>
      <c r="AF610" s="140"/>
      <c r="AJ610" s="141"/>
      <c r="AN610" s="141"/>
      <c r="AR610" s="141"/>
    </row>
    <row r="611" spans="2:44" s="134" customFormat="1" x14ac:dyDescent="0.2">
      <c r="B611" s="145"/>
      <c r="D611" s="145"/>
      <c r="AB611" s="141"/>
      <c r="AF611" s="140"/>
      <c r="AJ611" s="141"/>
      <c r="AN611" s="141"/>
      <c r="AR611" s="141"/>
    </row>
    <row r="612" spans="2:44" s="134" customFormat="1" x14ac:dyDescent="0.2">
      <c r="B612" s="145"/>
      <c r="D612" s="145"/>
      <c r="AB612" s="141"/>
      <c r="AF612" s="140"/>
      <c r="AJ612" s="141"/>
      <c r="AN612" s="141"/>
      <c r="AR612" s="141"/>
    </row>
    <row r="613" spans="2:44" s="134" customFormat="1" x14ac:dyDescent="0.2">
      <c r="B613" s="145"/>
      <c r="D613" s="145"/>
      <c r="AB613" s="141"/>
      <c r="AF613" s="140"/>
      <c r="AJ613" s="141"/>
      <c r="AN613" s="141"/>
      <c r="AR613" s="141"/>
    </row>
    <row r="614" spans="2:44" s="134" customFormat="1" x14ac:dyDescent="0.2">
      <c r="B614" s="145"/>
      <c r="D614" s="145"/>
      <c r="AB614" s="141"/>
      <c r="AF614" s="140"/>
      <c r="AJ614" s="141"/>
      <c r="AN614" s="141"/>
      <c r="AR614" s="141"/>
    </row>
    <row r="615" spans="2:44" s="134" customFormat="1" x14ac:dyDescent="0.2">
      <c r="B615" s="145"/>
      <c r="D615" s="145"/>
      <c r="AB615" s="141"/>
      <c r="AF615" s="140"/>
      <c r="AJ615" s="141"/>
      <c r="AN615" s="141"/>
      <c r="AR615" s="141"/>
    </row>
    <row r="616" spans="2:44" s="134" customFormat="1" x14ac:dyDescent="0.2">
      <c r="B616" s="145"/>
      <c r="D616" s="145"/>
      <c r="AB616" s="141"/>
      <c r="AF616" s="140"/>
      <c r="AJ616" s="141"/>
      <c r="AN616" s="141"/>
      <c r="AR616" s="141"/>
    </row>
    <row r="617" spans="2:44" s="134" customFormat="1" x14ac:dyDescent="0.2">
      <c r="B617" s="145"/>
      <c r="D617" s="145"/>
      <c r="AB617" s="141"/>
      <c r="AF617" s="140"/>
      <c r="AJ617" s="141"/>
      <c r="AN617" s="141"/>
      <c r="AR617" s="141"/>
    </row>
    <row r="618" spans="2:44" s="134" customFormat="1" x14ac:dyDescent="0.2">
      <c r="B618" s="145"/>
      <c r="D618" s="145"/>
      <c r="AB618" s="141"/>
      <c r="AF618" s="140"/>
      <c r="AJ618" s="141"/>
      <c r="AN618" s="141"/>
      <c r="AR618" s="141"/>
    </row>
    <row r="619" spans="2:44" s="134" customFormat="1" x14ac:dyDescent="0.2">
      <c r="B619" s="145"/>
      <c r="D619" s="145"/>
      <c r="AB619" s="141"/>
      <c r="AF619" s="140"/>
      <c r="AJ619" s="141"/>
      <c r="AN619" s="141"/>
      <c r="AR619" s="141"/>
    </row>
    <row r="620" spans="2:44" s="134" customFormat="1" x14ac:dyDescent="0.2">
      <c r="B620" s="145"/>
      <c r="D620" s="145"/>
      <c r="AB620" s="141"/>
      <c r="AF620" s="140"/>
      <c r="AJ620" s="141"/>
      <c r="AN620" s="141"/>
      <c r="AR620" s="141"/>
    </row>
    <row r="621" spans="2:44" s="134" customFormat="1" x14ac:dyDescent="0.2">
      <c r="B621" s="145"/>
      <c r="D621" s="145"/>
      <c r="AB621" s="141"/>
      <c r="AF621" s="140"/>
      <c r="AJ621" s="141"/>
      <c r="AN621" s="141"/>
      <c r="AR621" s="141"/>
    </row>
    <row r="622" spans="2:44" s="134" customFormat="1" x14ac:dyDescent="0.2">
      <c r="B622" s="145"/>
      <c r="D622" s="145"/>
      <c r="AB622" s="141"/>
      <c r="AF622" s="140"/>
      <c r="AJ622" s="141"/>
      <c r="AN622" s="141"/>
      <c r="AR622" s="141"/>
    </row>
    <row r="623" spans="2:44" s="134" customFormat="1" x14ac:dyDescent="0.2">
      <c r="B623" s="145"/>
      <c r="D623" s="145"/>
      <c r="AB623" s="141"/>
      <c r="AF623" s="140"/>
      <c r="AJ623" s="141"/>
      <c r="AN623" s="141"/>
      <c r="AR623" s="141"/>
    </row>
    <row r="624" spans="2:44" s="134" customFormat="1" x14ac:dyDescent="0.2">
      <c r="B624" s="145"/>
      <c r="D624" s="145"/>
      <c r="AB624" s="141"/>
      <c r="AF624" s="140"/>
      <c r="AJ624" s="141"/>
      <c r="AN624" s="141"/>
      <c r="AR624" s="141"/>
    </row>
    <row r="625" spans="2:44" s="134" customFormat="1" x14ac:dyDescent="0.2">
      <c r="B625" s="145"/>
      <c r="D625" s="145"/>
      <c r="AB625" s="141"/>
      <c r="AF625" s="140"/>
      <c r="AJ625" s="141"/>
      <c r="AN625" s="141"/>
      <c r="AR625" s="141"/>
    </row>
    <row r="626" spans="2:44" s="134" customFormat="1" x14ac:dyDescent="0.2">
      <c r="B626" s="145"/>
      <c r="D626" s="145"/>
      <c r="AB626" s="141"/>
      <c r="AF626" s="140"/>
      <c r="AJ626" s="141"/>
      <c r="AN626" s="141"/>
      <c r="AR626" s="141"/>
    </row>
    <row r="627" spans="2:44" s="134" customFormat="1" x14ac:dyDescent="0.2">
      <c r="B627" s="145"/>
      <c r="D627" s="145"/>
      <c r="AB627" s="141"/>
      <c r="AF627" s="140"/>
      <c r="AJ627" s="141"/>
      <c r="AN627" s="141"/>
      <c r="AR627" s="141"/>
    </row>
    <row r="628" spans="2:44" s="134" customFormat="1" x14ac:dyDescent="0.2">
      <c r="B628" s="145"/>
      <c r="D628" s="145"/>
      <c r="AB628" s="141"/>
      <c r="AF628" s="140"/>
      <c r="AJ628" s="141"/>
      <c r="AN628" s="141"/>
      <c r="AR628" s="141"/>
    </row>
    <row r="629" spans="2:44" s="134" customFormat="1" x14ac:dyDescent="0.2">
      <c r="B629" s="145"/>
      <c r="D629" s="145"/>
      <c r="AB629" s="141"/>
      <c r="AF629" s="140"/>
      <c r="AJ629" s="141"/>
      <c r="AN629" s="141"/>
      <c r="AR629" s="141"/>
    </row>
    <row r="630" spans="2:44" s="134" customFormat="1" x14ac:dyDescent="0.2">
      <c r="B630" s="145"/>
      <c r="D630" s="145"/>
      <c r="AB630" s="141"/>
      <c r="AF630" s="140"/>
      <c r="AJ630" s="141"/>
      <c r="AN630" s="141"/>
      <c r="AR630" s="141"/>
    </row>
    <row r="631" spans="2:44" s="134" customFormat="1" x14ac:dyDescent="0.2">
      <c r="B631" s="145"/>
      <c r="D631" s="145"/>
      <c r="AB631" s="141"/>
      <c r="AF631" s="140"/>
      <c r="AJ631" s="141"/>
      <c r="AN631" s="141"/>
      <c r="AR631" s="141"/>
    </row>
    <row r="632" spans="2:44" s="134" customFormat="1" x14ac:dyDescent="0.2">
      <c r="B632" s="145"/>
      <c r="D632" s="145"/>
      <c r="AB632" s="141"/>
      <c r="AF632" s="140"/>
      <c r="AJ632" s="141"/>
      <c r="AN632" s="141"/>
      <c r="AR632" s="141"/>
    </row>
    <row r="633" spans="2:44" s="134" customFormat="1" x14ac:dyDescent="0.2">
      <c r="B633" s="145"/>
      <c r="D633" s="145"/>
      <c r="AB633" s="141"/>
      <c r="AF633" s="140"/>
      <c r="AJ633" s="141"/>
      <c r="AN633" s="141"/>
      <c r="AR633" s="141"/>
    </row>
    <row r="634" spans="2:44" s="134" customFormat="1" x14ac:dyDescent="0.2">
      <c r="B634" s="145"/>
      <c r="D634" s="145"/>
      <c r="AB634" s="141"/>
      <c r="AF634" s="140"/>
      <c r="AJ634" s="141"/>
      <c r="AN634" s="141"/>
      <c r="AR634" s="141"/>
    </row>
    <row r="635" spans="2:44" s="134" customFormat="1" x14ac:dyDescent="0.2">
      <c r="B635" s="145"/>
      <c r="D635" s="145"/>
      <c r="AB635" s="141"/>
      <c r="AF635" s="140"/>
      <c r="AJ635" s="141"/>
      <c r="AN635" s="141"/>
      <c r="AR635" s="141"/>
    </row>
    <row r="636" spans="2:44" s="134" customFormat="1" x14ac:dyDescent="0.2">
      <c r="B636" s="145"/>
      <c r="D636" s="145"/>
      <c r="AB636" s="141"/>
      <c r="AF636" s="140"/>
      <c r="AJ636" s="141"/>
      <c r="AN636" s="141"/>
      <c r="AR636" s="141"/>
    </row>
    <row r="637" spans="2:44" s="134" customFormat="1" x14ac:dyDescent="0.2">
      <c r="B637" s="145"/>
      <c r="D637" s="145"/>
      <c r="AB637" s="141"/>
      <c r="AF637" s="140"/>
      <c r="AJ637" s="141"/>
      <c r="AN637" s="141"/>
      <c r="AR637" s="141"/>
    </row>
    <row r="638" spans="2:44" s="134" customFormat="1" x14ac:dyDescent="0.2">
      <c r="B638" s="145"/>
      <c r="D638" s="145"/>
      <c r="AB638" s="141"/>
      <c r="AF638" s="140"/>
      <c r="AJ638" s="141"/>
      <c r="AN638" s="141"/>
      <c r="AR638" s="141"/>
    </row>
    <row r="639" spans="2:44" s="134" customFormat="1" x14ac:dyDescent="0.2">
      <c r="B639" s="145"/>
      <c r="D639" s="145"/>
      <c r="AB639" s="141"/>
      <c r="AF639" s="140"/>
      <c r="AJ639" s="141"/>
      <c r="AN639" s="141"/>
      <c r="AR639" s="141"/>
    </row>
    <row r="640" spans="2:44" s="134" customFormat="1" x14ac:dyDescent="0.2">
      <c r="B640" s="145"/>
      <c r="D640" s="145"/>
      <c r="AB640" s="141"/>
      <c r="AF640" s="140"/>
      <c r="AJ640" s="141"/>
      <c r="AN640" s="141"/>
      <c r="AR640" s="141"/>
    </row>
    <row r="641" spans="2:44" s="134" customFormat="1" x14ac:dyDescent="0.2">
      <c r="B641" s="145"/>
      <c r="D641" s="145"/>
      <c r="AB641" s="141"/>
      <c r="AF641" s="140"/>
      <c r="AJ641" s="141"/>
      <c r="AN641" s="141"/>
      <c r="AR641" s="141"/>
    </row>
    <row r="642" spans="2:44" s="134" customFormat="1" x14ac:dyDescent="0.2">
      <c r="B642" s="145"/>
      <c r="D642" s="145"/>
      <c r="AB642" s="141"/>
      <c r="AF642" s="140"/>
      <c r="AJ642" s="141"/>
      <c r="AN642" s="141"/>
      <c r="AR642" s="141"/>
    </row>
    <row r="643" spans="2:44" s="134" customFormat="1" x14ac:dyDescent="0.2">
      <c r="B643" s="145"/>
      <c r="D643" s="145"/>
      <c r="AB643" s="141"/>
      <c r="AF643" s="140"/>
      <c r="AJ643" s="141"/>
      <c r="AN643" s="141"/>
      <c r="AR643" s="141"/>
    </row>
    <row r="644" spans="2:44" s="134" customFormat="1" x14ac:dyDescent="0.2">
      <c r="B644" s="145"/>
      <c r="D644" s="145"/>
      <c r="AB644" s="141"/>
      <c r="AF644" s="140"/>
      <c r="AJ644" s="141"/>
      <c r="AN644" s="141"/>
      <c r="AR644" s="141"/>
    </row>
    <row r="645" spans="2:44" s="134" customFormat="1" x14ac:dyDescent="0.2">
      <c r="B645" s="145"/>
      <c r="D645" s="145"/>
      <c r="AB645" s="141"/>
      <c r="AF645" s="140"/>
      <c r="AJ645" s="141"/>
      <c r="AN645" s="141"/>
      <c r="AR645" s="141"/>
    </row>
    <row r="646" spans="2:44" s="134" customFormat="1" x14ac:dyDescent="0.2">
      <c r="B646" s="145"/>
      <c r="D646" s="145"/>
      <c r="AB646" s="141"/>
      <c r="AF646" s="140"/>
      <c r="AJ646" s="141"/>
      <c r="AN646" s="141"/>
      <c r="AR646" s="141"/>
    </row>
    <row r="647" spans="2:44" s="134" customFormat="1" x14ac:dyDescent="0.2">
      <c r="B647" s="145"/>
      <c r="D647" s="145"/>
      <c r="AB647" s="141"/>
      <c r="AF647" s="140"/>
      <c r="AJ647" s="141"/>
      <c r="AN647" s="141"/>
      <c r="AR647" s="141"/>
    </row>
    <row r="648" spans="2:44" s="134" customFormat="1" x14ac:dyDescent="0.2">
      <c r="B648" s="145"/>
      <c r="D648" s="145"/>
      <c r="AB648" s="141"/>
      <c r="AF648" s="140"/>
      <c r="AJ648" s="141"/>
      <c r="AN648" s="141"/>
      <c r="AR648" s="141"/>
    </row>
    <row r="649" spans="2:44" s="134" customFormat="1" x14ac:dyDescent="0.2">
      <c r="B649" s="145"/>
      <c r="D649" s="145"/>
      <c r="AB649" s="141"/>
      <c r="AF649" s="140"/>
      <c r="AJ649" s="141"/>
      <c r="AN649" s="141"/>
      <c r="AR649" s="141"/>
    </row>
    <row r="650" spans="2:44" s="134" customFormat="1" x14ac:dyDescent="0.2">
      <c r="B650" s="145"/>
      <c r="D650" s="145"/>
      <c r="AB650" s="141"/>
      <c r="AF650" s="140"/>
      <c r="AJ650" s="141"/>
      <c r="AN650" s="141"/>
      <c r="AR650" s="141"/>
    </row>
    <row r="651" spans="2:44" s="134" customFormat="1" x14ac:dyDescent="0.2">
      <c r="B651" s="145"/>
      <c r="D651" s="145"/>
      <c r="AB651" s="141"/>
      <c r="AF651" s="140"/>
      <c r="AJ651" s="141"/>
      <c r="AN651" s="141"/>
      <c r="AR651" s="141"/>
    </row>
    <row r="652" spans="2:44" s="134" customFormat="1" x14ac:dyDescent="0.2">
      <c r="B652" s="145"/>
      <c r="D652" s="145"/>
      <c r="AB652" s="141"/>
      <c r="AF652" s="140"/>
      <c r="AJ652" s="141"/>
      <c r="AN652" s="141"/>
      <c r="AR652" s="141"/>
    </row>
    <row r="653" spans="2:44" s="134" customFormat="1" x14ac:dyDescent="0.2">
      <c r="B653" s="145"/>
      <c r="D653" s="145"/>
      <c r="AB653" s="141"/>
      <c r="AF653" s="140"/>
      <c r="AJ653" s="141"/>
      <c r="AN653" s="141"/>
      <c r="AR653" s="141"/>
    </row>
    <row r="654" spans="2:44" s="134" customFormat="1" x14ac:dyDescent="0.2">
      <c r="B654" s="145"/>
      <c r="D654" s="145"/>
      <c r="AB654" s="141"/>
      <c r="AF654" s="140"/>
      <c r="AJ654" s="141"/>
      <c r="AN654" s="141"/>
      <c r="AR654" s="141"/>
    </row>
    <row r="655" spans="2:44" s="134" customFormat="1" x14ac:dyDescent="0.2">
      <c r="B655" s="145"/>
      <c r="D655" s="145"/>
      <c r="AB655" s="141"/>
      <c r="AF655" s="140"/>
      <c r="AJ655" s="141"/>
      <c r="AN655" s="141"/>
      <c r="AR655" s="141"/>
    </row>
    <row r="656" spans="2:44" s="134" customFormat="1" x14ac:dyDescent="0.2">
      <c r="B656" s="145"/>
      <c r="D656" s="145"/>
      <c r="AB656" s="141"/>
      <c r="AF656" s="140"/>
      <c r="AJ656" s="141"/>
      <c r="AN656" s="141"/>
      <c r="AR656" s="141"/>
    </row>
    <row r="657" spans="2:44" s="134" customFormat="1" x14ac:dyDescent="0.2">
      <c r="B657" s="145"/>
      <c r="D657" s="145"/>
      <c r="AB657" s="141"/>
      <c r="AF657" s="140"/>
      <c r="AJ657" s="141"/>
      <c r="AN657" s="141"/>
      <c r="AR657" s="141"/>
    </row>
    <row r="658" spans="2:44" s="134" customFormat="1" x14ac:dyDescent="0.2">
      <c r="B658" s="145"/>
      <c r="D658" s="145"/>
      <c r="AB658" s="141"/>
      <c r="AF658" s="140"/>
      <c r="AJ658" s="141"/>
      <c r="AN658" s="141"/>
      <c r="AR658" s="141"/>
    </row>
    <row r="659" spans="2:44" s="134" customFormat="1" x14ac:dyDescent="0.2">
      <c r="B659" s="145"/>
      <c r="D659" s="145"/>
      <c r="AB659" s="141"/>
      <c r="AF659" s="140"/>
      <c r="AJ659" s="141"/>
      <c r="AN659" s="141"/>
      <c r="AR659" s="141"/>
    </row>
    <row r="660" spans="2:44" s="134" customFormat="1" x14ac:dyDescent="0.2">
      <c r="B660" s="145"/>
      <c r="D660" s="145"/>
      <c r="AB660" s="141"/>
      <c r="AF660" s="140"/>
      <c r="AJ660" s="141"/>
      <c r="AN660" s="141"/>
      <c r="AR660" s="141"/>
    </row>
    <row r="661" spans="2:44" s="134" customFormat="1" x14ac:dyDescent="0.2">
      <c r="B661" s="145"/>
      <c r="D661" s="145"/>
      <c r="AB661" s="141"/>
      <c r="AF661" s="140"/>
      <c r="AJ661" s="141"/>
      <c r="AN661" s="141"/>
      <c r="AR661" s="141"/>
    </row>
    <row r="662" spans="2:44" s="134" customFormat="1" x14ac:dyDescent="0.2">
      <c r="B662" s="145"/>
      <c r="D662" s="145"/>
      <c r="AB662" s="141"/>
      <c r="AF662" s="140"/>
      <c r="AJ662" s="141"/>
      <c r="AN662" s="141"/>
      <c r="AR662" s="141"/>
    </row>
    <row r="663" spans="2:44" s="134" customFormat="1" x14ac:dyDescent="0.2">
      <c r="B663" s="145"/>
      <c r="D663" s="145"/>
      <c r="AB663" s="141"/>
      <c r="AF663" s="140"/>
      <c r="AJ663" s="141"/>
      <c r="AN663" s="141"/>
      <c r="AR663" s="141"/>
    </row>
    <row r="664" spans="2:44" s="134" customFormat="1" x14ac:dyDescent="0.2">
      <c r="B664" s="145"/>
      <c r="D664" s="145"/>
      <c r="AB664" s="141"/>
      <c r="AF664" s="140"/>
      <c r="AJ664" s="141"/>
      <c r="AN664" s="141"/>
      <c r="AR664" s="141"/>
    </row>
    <row r="665" spans="2:44" s="134" customFormat="1" x14ac:dyDescent="0.2">
      <c r="B665" s="145"/>
      <c r="D665" s="145"/>
      <c r="AB665" s="141"/>
      <c r="AF665" s="140"/>
      <c r="AJ665" s="141"/>
      <c r="AN665" s="141"/>
      <c r="AR665" s="141"/>
    </row>
    <row r="666" spans="2:44" s="134" customFormat="1" x14ac:dyDescent="0.2">
      <c r="B666" s="145"/>
      <c r="D666" s="145"/>
      <c r="AB666" s="141"/>
      <c r="AF666" s="140"/>
      <c r="AJ666" s="141"/>
      <c r="AN666" s="141"/>
      <c r="AR666" s="141"/>
    </row>
    <row r="667" spans="2:44" s="134" customFormat="1" x14ac:dyDescent="0.2">
      <c r="B667" s="145"/>
      <c r="D667" s="145"/>
      <c r="AB667" s="141"/>
      <c r="AF667" s="140"/>
      <c r="AJ667" s="141"/>
      <c r="AN667" s="141"/>
      <c r="AR667" s="141"/>
    </row>
    <row r="668" spans="2:44" s="134" customFormat="1" x14ac:dyDescent="0.2">
      <c r="B668" s="145"/>
      <c r="D668" s="145"/>
      <c r="AB668" s="141"/>
      <c r="AF668" s="140"/>
      <c r="AJ668" s="141"/>
      <c r="AN668" s="141"/>
      <c r="AR668" s="141"/>
    </row>
    <row r="669" spans="2:44" s="134" customFormat="1" x14ac:dyDescent="0.2">
      <c r="B669" s="145"/>
      <c r="D669" s="145"/>
      <c r="AB669" s="141"/>
      <c r="AF669" s="140"/>
      <c r="AJ669" s="141"/>
      <c r="AN669" s="141"/>
      <c r="AR669" s="141"/>
    </row>
    <row r="670" spans="2:44" s="134" customFormat="1" x14ac:dyDescent="0.2">
      <c r="B670" s="145"/>
      <c r="D670" s="145"/>
      <c r="AB670" s="141"/>
      <c r="AF670" s="140"/>
      <c r="AJ670" s="141"/>
      <c r="AN670" s="141"/>
      <c r="AR670" s="141"/>
    </row>
    <row r="671" spans="2:44" s="134" customFormat="1" x14ac:dyDescent="0.2">
      <c r="B671" s="145"/>
      <c r="D671" s="145"/>
      <c r="AB671" s="141"/>
      <c r="AF671" s="140"/>
      <c r="AJ671" s="141"/>
      <c r="AN671" s="141"/>
      <c r="AR671" s="141"/>
    </row>
    <row r="672" spans="2:44" s="134" customFormat="1" x14ac:dyDescent="0.2">
      <c r="B672" s="145"/>
      <c r="D672" s="145"/>
      <c r="AB672" s="141"/>
      <c r="AF672" s="140"/>
      <c r="AJ672" s="141"/>
      <c r="AN672" s="141"/>
      <c r="AR672" s="141"/>
    </row>
    <row r="673" spans="2:44" s="134" customFormat="1" x14ac:dyDescent="0.2">
      <c r="B673" s="145"/>
      <c r="D673" s="145"/>
      <c r="AB673" s="141"/>
      <c r="AF673" s="140"/>
      <c r="AJ673" s="141"/>
      <c r="AN673" s="141"/>
      <c r="AR673" s="141"/>
    </row>
    <row r="674" spans="2:44" s="134" customFormat="1" x14ac:dyDescent="0.2">
      <c r="B674" s="145"/>
      <c r="D674" s="145"/>
      <c r="AB674" s="141"/>
      <c r="AF674" s="140"/>
      <c r="AJ674" s="141"/>
      <c r="AN674" s="141"/>
      <c r="AR674" s="141"/>
    </row>
    <row r="675" spans="2:44" s="134" customFormat="1" x14ac:dyDescent="0.2">
      <c r="B675" s="145"/>
      <c r="D675" s="145"/>
      <c r="AB675" s="141"/>
      <c r="AF675" s="140"/>
      <c r="AJ675" s="141"/>
      <c r="AN675" s="141"/>
      <c r="AR675" s="141"/>
    </row>
    <row r="676" spans="2:44" s="134" customFormat="1" x14ac:dyDescent="0.2">
      <c r="B676" s="145"/>
      <c r="D676" s="145"/>
      <c r="AB676" s="141"/>
      <c r="AF676" s="140"/>
      <c r="AJ676" s="141"/>
      <c r="AN676" s="141"/>
      <c r="AR676" s="141"/>
    </row>
    <row r="677" spans="2:44" s="134" customFormat="1" x14ac:dyDescent="0.2">
      <c r="B677" s="145"/>
      <c r="D677" s="145"/>
      <c r="AB677" s="141"/>
      <c r="AF677" s="140"/>
      <c r="AJ677" s="141"/>
      <c r="AN677" s="141"/>
      <c r="AR677" s="141"/>
    </row>
    <row r="678" spans="2:44" s="134" customFormat="1" x14ac:dyDescent="0.2">
      <c r="B678" s="145"/>
      <c r="D678" s="145"/>
      <c r="AB678" s="141"/>
      <c r="AF678" s="140"/>
      <c r="AJ678" s="141"/>
      <c r="AN678" s="141"/>
      <c r="AR678" s="141"/>
    </row>
    <row r="679" spans="2:44" s="134" customFormat="1" x14ac:dyDescent="0.2">
      <c r="B679" s="145"/>
      <c r="D679" s="145"/>
      <c r="AB679" s="141"/>
      <c r="AF679" s="140"/>
      <c r="AJ679" s="141"/>
      <c r="AN679" s="141"/>
      <c r="AR679" s="141"/>
    </row>
    <row r="680" spans="2:44" s="134" customFormat="1" x14ac:dyDescent="0.2">
      <c r="B680" s="145"/>
      <c r="D680" s="145"/>
      <c r="AB680" s="141"/>
      <c r="AF680" s="140"/>
      <c r="AJ680" s="141"/>
      <c r="AN680" s="141"/>
      <c r="AR680" s="141"/>
    </row>
    <row r="681" spans="2:44" s="134" customFormat="1" x14ac:dyDescent="0.2">
      <c r="B681" s="145"/>
      <c r="D681" s="145"/>
      <c r="AB681" s="141"/>
      <c r="AF681" s="140"/>
      <c r="AJ681" s="141"/>
      <c r="AN681" s="141"/>
      <c r="AR681" s="141"/>
    </row>
    <row r="682" spans="2:44" s="134" customFormat="1" x14ac:dyDescent="0.2">
      <c r="B682" s="145"/>
      <c r="D682" s="145"/>
      <c r="AB682" s="141"/>
      <c r="AF682" s="140"/>
      <c r="AJ682" s="141"/>
      <c r="AN682" s="141"/>
      <c r="AR682" s="141"/>
    </row>
    <row r="683" spans="2:44" s="134" customFormat="1" x14ac:dyDescent="0.2">
      <c r="B683" s="145"/>
      <c r="D683" s="145"/>
      <c r="AB683" s="141"/>
      <c r="AF683" s="140"/>
      <c r="AJ683" s="141"/>
      <c r="AN683" s="141"/>
      <c r="AR683" s="141"/>
    </row>
    <row r="684" spans="2:44" s="134" customFormat="1" x14ac:dyDescent="0.2">
      <c r="B684" s="145"/>
      <c r="D684" s="145"/>
      <c r="AB684" s="141"/>
      <c r="AF684" s="140"/>
      <c r="AJ684" s="141"/>
      <c r="AN684" s="141"/>
      <c r="AR684" s="141"/>
    </row>
    <row r="685" spans="2:44" s="134" customFormat="1" x14ac:dyDescent="0.2">
      <c r="B685" s="145"/>
      <c r="D685" s="145"/>
      <c r="AB685" s="141"/>
      <c r="AF685" s="140"/>
      <c r="AJ685" s="141"/>
      <c r="AN685" s="141"/>
      <c r="AR685" s="141"/>
    </row>
    <row r="686" spans="2:44" s="134" customFormat="1" x14ac:dyDescent="0.2">
      <c r="B686" s="145"/>
      <c r="D686" s="145"/>
      <c r="AB686" s="141"/>
      <c r="AF686" s="140"/>
      <c r="AJ686" s="141"/>
      <c r="AN686" s="141"/>
      <c r="AR686" s="141"/>
    </row>
    <row r="687" spans="2:44" s="134" customFormat="1" x14ac:dyDescent="0.2">
      <c r="B687" s="145"/>
      <c r="D687" s="145"/>
      <c r="AB687" s="141"/>
      <c r="AF687" s="140"/>
      <c r="AJ687" s="141"/>
      <c r="AN687" s="141"/>
      <c r="AR687" s="141"/>
    </row>
    <row r="688" spans="2:44" s="134" customFormat="1" x14ac:dyDescent="0.2">
      <c r="B688" s="145"/>
      <c r="D688" s="145"/>
      <c r="AB688" s="141"/>
      <c r="AF688" s="140"/>
      <c r="AJ688" s="141"/>
      <c r="AN688" s="141"/>
      <c r="AR688" s="141"/>
    </row>
    <row r="689" spans="2:44" s="134" customFormat="1" x14ac:dyDescent="0.2">
      <c r="B689" s="145"/>
      <c r="D689" s="145"/>
      <c r="AB689" s="141"/>
      <c r="AF689" s="140"/>
      <c r="AJ689" s="141"/>
      <c r="AN689" s="141"/>
      <c r="AR689" s="141"/>
    </row>
    <row r="690" spans="2:44" s="134" customFormat="1" x14ac:dyDescent="0.2">
      <c r="B690" s="145"/>
      <c r="D690" s="145"/>
      <c r="AB690" s="141"/>
      <c r="AF690" s="140"/>
      <c r="AJ690" s="141"/>
      <c r="AN690" s="141"/>
      <c r="AR690" s="141"/>
    </row>
    <row r="691" spans="2:44" s="134" customFormat="1" x14ac:dyDescent="0.2">
      <c r="B691" s="145"/>
      <c r="D691" s="145"/>
      <c r="AB691" s="141"/>
      <c r="AF691" s="140"/>
      <c r="AJ691" s="141"/>
      <c r="AN691" s="141"/>
      <c r="AR691" s="141"/>
    </row>
    <row r="692" spans="2:44" s="134" customFormat="1" x14ac:dyDescent="0.2">
      <c r="B692" s="145"/>
      <c r="D692" s="145"/>
      <c r="AB692" s="141"/>
      <c r="AF692" s="140"/>
      <c r="AJ692" s="141"/>
      <c r="AN692" s="141"/>
      <c r="AR692" s="141"/>
    </row>
    <row r="693" spans="2:44" s="134" customFormat="1" x14ac:dyDescent="0.2">
      <c r="B693" s="145"/>
      <c r="D693" s="145"/>
      <c r="AB693" s="141"/>
      <c r="AF693" s="140"/>
      <c r="AJ693" s="141"/>
      <c r="AN693" s="141"/>
      <c r="AR693" s="141"/>
    </row>
    <row r="694" spans="2:44" s="134" customFormat="1" x14ac:dyDescent="0.2">
      <c r="B694" s="145"/>
      <c r="D694" s="145"/>
      <c r="AB694" s="141"/>
      <c r="AF694" s="140"/>
      <c r="AJ694" s="141"/>
      <c r="AN694" s="141"/>
      <c r="AR694" s="141"/>
    </row>
    <row r="695" spans="2:44" s="134" customFormat="1" x14ac:dyDescent="0.2">
      <c r="B695" s="145"/>
      <c r="D695" s="145"/>
      <c r="AB695" s="141"/>
      <c r="AF695" s="140"/>
      <c r="AJ695" s="141"/>
      <c r="AN695" s="141"/>
      <c r="AR695" s="141"/>
    </row>
    <row r="696" spans="2:44" s="134" customFormat="1" x14ac:dyDescent="0.2">
      <c r="B696" s="145"/>
      <c r="D696" s="145"/>
      <c r="AB696" s="141"/>
      <c r="AF696" s="140"/>
      <c r="AJ696" s="141"/>
      <c r="AN696" s="141"/>
      <c r="AR696" s="141"/>
    </row>
    <row r="697" spans="2:44" s="134" customFormat="1" x14ac:dyDescent="0.2">
      <c r="B697" s="145"/>
      <c r="D697" s="145"/>
      <c r="AB697" s="141"/>
      <c r="AF697" s="140"/>
      <c r="AJ697" s="141"/>
      <c r="AN697" s="141"/>
      <c r="AR697" s="141"/>
    </row>
    <row r="698" spans="2:44" s="134" customFormat="1" x14ac:dyDescent="0.2">
      <c r="B698" s="145"/>
      <c r="D698" s="145"/>
      <c r="AB698" s="141"/>
      <c r="AF698" s="140"/>
      <c r="AJ698" s="141"/>
      <c r="AN698" s="141"/>
      <c r="AR698" s="141"/>
    </row>
    <row r="699" spans="2:44" s="134" customFormat="1" x14ac:dyDescent="0.2">
      <c r="B699" s="145"/>
      <c r="D699" s="145"/>
      <c r="AB699" s="141"/>
      <c r="AF699" s="140"/>
      <c r="AJ699" s="141"/>
      <c r="AN699" s="141"/>
      <c r="AR699" s="141"/>
    </row>
    <row r="700" spans="2:44" s="134" customFormat="1" x14ac:dyDescent="0.2">
      <c r="B700" s="145"/>
      <c r="D700" s="145"/>
      <c r="AB700" s="141"/>
      <c r="AF700" s="140"/>
      <c r="AJ700" s="141"/>
      <c r="AN700" s="141"/>
      <c r="AR700" s="141"/>
    </row>
    <row r="701" spans="2:44" s="134" customFormat="1" x14ac:dyDescent="0.2">
      <c r="B701" s="145"/>
      <c r="D701" s="145"/>
      <c r="AB701" s="141"/>
      <c r="AF701" s="140"/>
      <c r="AJ701" s="141"/>
      <c r="AN701" s="141"/>
      <c r="AR701" s="141"/>
    </row>
    <row r="702" spans="2:44" s="134" customFormat="1" x14ac:dyDescent="0.2">
      <c r="B702" s="145"/>
      <c r="D702" s="145"/>
      <c r="AB702" s="141"/>
      <c r="AF702" s="140"/>
      <c r="AJ702" s="141"/>
      <c r="AN702" s="141"/>
      <c r="AR702" s="141"/>
    </row>
    <row r="703" spans="2:44" s="134" customFormat="1" x14ac:dyDescent="0.2">
      <c r="B703" s="145"/>
      <c r="D703" s="145"/>
      <c r="AB703" s="141"/>
      <c r="AF703" s="140"/>
      <c r="AJ703" s="141"/>
      <c r="AN703" s="141"/>
      <c r="AR703" s="141"/>
    </row>
    <row r="704" spans="2:44" s="134" customFormat="1" x14ac:dyDescent="0.2">
      <c r="B704" s="145"/>
      <c r="D704" s="145"/>
      <c r="AB704" s="141"/>
      <c r="AF704" s="140"/>
      <c r="AJ704" s="141"/>
      <c r="AN704" s="141"/>
      <c r="AR704" s="141"/>
    </row>
    <row r="705" spans="2:44" s="134" customFormat="1" x14ac:dyDescent="0.2">
      <c r="B705" s="145"/>
      <c r="D705" s="145"/>
      <c r="AB705" s="141"/>
      <c r="AF705" s="140"/>
      <c r="AJ705" s="141"/>
      <c r="AN705" s="141"/>
      <c r="AR705" s="141"/>
    </row>
    <row r="706" spans="2:44" s="134" customFormat="1" x14ac:dyDescent="0.2">
      <c r="B706" s="145"/>
      <c r="D706" s="145"/>
      <c r="AB706" s="141"/>
      <c r="AF706" s="140"/>
      <c r="AJ706" s="141"/>
      <c r="AN706" s="141"/>
      <c r="AR706" s="141"/>
    </row>
  </sheetData>
  <mergeCells count="14">
    <mergeCell ref="B8:AD8"/>
    <mergeCell ref="B1:AD2"/>
    <mergeCell ref="B3:AD4"/>
    <mergeCell ref="B5:AD5"/>
    <mergeCell ref="B6:AD6"/>
    <mergeCell ref="B7:AD7"/>
    <mergeCell ref="AU14:AV14"/>
    <mergeCell ref="B137:I137"/>
    <mergeCell ref="B9:AD10"/>
    <mergeCell ref="AA14:AD14"/>
    <mergeCell ref="AE14:AH14"/>
    <mergeCell ref="AI14:AL14"/>
    <mergeCell ref="AM14:AP14"/>
    <mergeCell ref="AQ14:AT14"/>
  </mergeCells>
  <conditionalFormatting sqref="D123:D135">
    <cfRule type="duplicateValues" dxfId="98" priority="4"/>
  </conditionalFormatting>
  <conditionalFormatting sqref="D136">
    <cfRule type="duplicateValues" dxfId="97" priority="5"/>
  </conditionalFormatting>
  <conditionalFormatting sqref="D16:D37">
    <cfRule type="duplicateValues" dxfId="96" priority="1"/>
  </conditionalFormatting>
  <conditionalFormatting sqref="D16:D37">
    <cfRule type="duplicateValues" dxfId="95" priority="2"/>
  </conditionalFormatting>
  <conditionalFormatting sqref="D38:D122">
    <cfRule type="duplicateValues" dxfId="94" priority="3"/>
  </conditionalFormatting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F1526"/>
  <sheetViews>
    <sheetView topLeftCell="A99" workbookViewId="0">
      <selection activeCell="E144" sqref="E144"/>
    </sheetView>
  </sheetViews>
  <sheetFormatPr baseColWidth="10" defaultRowHeight="11.25" x14ac:dyDescent="0.2"/>
  <cols>
    <col min="1" max="1" width="5" style="134" customWidth="1"/>
    <col min="2" max="2" width="11.28515625" style="12" bestFit="1" customWidth="1"/>
    <col min="3" max="3" width="12.5703125" style="3" bestFit="1" customWidth="1"/>
    <col min="4" max="4" width="11.140625" style="670" bestFit="1" customWidth="1"/>
    <col min="5" max="5" width="70.42578125" style="3" bestFit="1" customWidth="1"/>
    <col min="6" max="6" width="11.42578125" style="3" customWidth="1"/>
    <col min="7" max="7" width="11.5703125" style="3" customWidth="1"/>
    <col min="8" max="8" width="12.7109375" style="3" bestFit="1" customWidth="1"/>
    <col min="9" max="9" width="9.7109375" style="3" hidden="1" customWidth="1"/>
    <col min="10" max="10" width="13.140625" style="6" hidden="1" customWidth="1"/>
    <col min="11" max="11" width="12" style="6" hidden="1" customWidth="1"/>
    <col min="12" max="12" width="13.28515625" style="6" hidden="1" customWidth="1"/>
    <col min="13" max="17" width="12" style="6" hidden="1" customWidth="1"/>
    <col min="18" max="18" width="12" style="6" customWidth="1"/>
    <col min="19" max="24" width="12" style="6" hidden="1" customWidth="1"/>
    <col min="25" max="25" width="13.7109375" style="6" customWidth="1"/>
    <col min="26" max="26" width="11.85546875" style="6" customWidth="1"/>
    <col min="27" max="27" width="10.140625" style="7" customWidth="1"/>
    <col min="28" max="29" width="10.140625" style="3" customWidth="1"/>
    <col min="30" max="30" width="13.140625" style="3" customWidth="1"/>
    <col min="31" max="31" width="10.140625" style="6" customWidth="1"/>
    <col min="32" max="34" width="10.140625" style="3" customWidth="1"/>
    <col min="35" max="35" width="10.140625" style="7" customWidth="1"/>
    <col min="36" max="38" width="10.140625" style="3" customWidth="1"/>
    <col min="39" max="39" width="10.140625" style="7" customWidth="1"/>
    <col min="40" max="42" width="10.140625" style="3" customWidth="1"/>
    <col min="43" max="43" width="10.140625" style="7" customWidth="1"/>
    <col min="44" max="45" width="10.140625" style="3" customWidth="1"/>
    <col min="46" max="47" width="11.42578125" style="6" customWidth="1"/>
    <col min="48" max="110" width="11.42578125" style="134"/>
    <col min="111" max="16384" width="11.42578125" style="3"/>
  </cols>
  <sheetData>
    <row r="1" spans="1:110" hidden="1" x14ac:dyDescent="0.2">
      <c r="B1" s="730"/>
      <c r="C1" s="730"/>
      <c r="D1" s="731"/>
      <c r="E1" s="731"/>
      <c r="F1" s="731"/>
      <c r="G1" s="731"/>
      <c r="H1" s="731"/>
      <c r="I1" s="731"/>
      <c r="J1" s="731"/>
      <c r="K1" s="731"/>
      <c r="L1" s="731"/>
      <c r="M1" s="731"/>
      <c r="N1" s="731"/>
      <c r="O1" s="731"/>
      <c r="P1" s="731"/>
      <c r="Q1" s="731"/>
      <c r="R1" s="731"/>
      <c r="S1" s="731"/>
      <c r="T1" s="731"/>
      <c r="U1" s="731"/>
      <c r="V1" s="731"/>
      <c r="W1" s="731"/>
      <c r="X1" s="731"/>
      <c r="Y1" s="731"/>
      <c r="Z1" s="731"/>
      <c r="AA1" s="731"/>
      <c r="AB1" s="731"/>
      <c r="AC1" s="731"/>
      <c r="AD1" s="207"/>
      <c r="AE1" s="1"/>
      <c r="AF1" s="207"/>
      <c r="AG1" s="207"/>
      <c r="AH1" s="207"/>
      <c r="AI1" s="2"/>
      <c r="AJ1" s="207"/>
      <c r="AK1" s="207"/>
      <c r="AL1" s="207"/>
      <c r="AM1" s="2"/>
      <c r="AN1" s="207"/>
      <c r="AO1" s="207"/>
      <c r="AP1" s="207"/>
      <c r="AQ1" s="2"/>
      <c r="AR1" s="207"/>
      <c r="AS1" s="207"/>
    </row>
    <row r="2" spans="1:110" hidden="1" x14ac:dyDescent="0.2">
      <c r="B2" s="731"/>
      <c r="C2" s="731"/>
      <c r="D2" s="731"/>
      <c r="E2" s="731"/>
      <c r="F2" s="731"/>
      <c r="G2" s="731"/>
      <c r="H2" s="731"/>
      <c r="I2" s="731"/>
      <c r="J2" s="731"/>
      <c r="K2" s="731"/>
      <c r="L2" s="731"/>
      <c r="M2" s="731"/>
      <c r="N2" s="731"/>
      <c r="O2" s="731"/>
      <c r="P2" s="731"/>
      <c r="Q2" s="731"/>
      <c r="R2" s="731"/>
      <c r="S2" s="731"/>
      <c r="T2" s="731"/>
      <c r="U2" s="731"/>
      <c r="V2" s="731"/>
      <c r="W2" s="731"/>
      <c r="X2" s="731"/>
      <c r="Y2" s="731"/>
      <c r="Z2" s="731"/>
      <c r="AA2" s="731"/>
      <c r="AB2" s="731"/>
      <c r="AC2" s="731"/>
      <c r="AD2" s="207"/>
      <c r="AE2" s="1"/>
      <c r="AF2" s="207"/>
      <c r="AG2" s="207"/>
      <c r="AH2" s="207"/>
      <c r="AI2" s="2"/>
      <c r="AJ2" s="207"/>
      <c r="AK2" s="207"/>
      <c r="AL2" s="207"/>
      <c r="AM2" s="2"/>
      <c r="AN2" s="207"/>
      <c r="AO2" s="207"/>
      <c r="AP2" s="207"/>
      <c r="AQ2" s="2"/>
      <c r="AR2" s="207"/>
      <c r="AS2" s="207"/>
    </row>
    <row r="3" spans="1:110" hidden="1" x14ac:dyDescent="0.2">
      <c r="B3" s="729"/>
      <c r="C3" s="729"/>
      <c r="D3" s="729"/>
      <c r="E3" s="729"/>
      <c r="F3" s="729"/>
      <c r="G3" s="729"/>
      <c r="H3" s="729"/>
      <c r="I3" s="729"/>
      <c r="J3" s="729"/>
      <c r="K3" s="729"/>
      <c r="L3" s="729"/>
      <c r="M3" s="729"/>
      <c r="N3" s="729"/>
      <c r="O3" s="729"/>
      <c r="P3" s="729"/>
      <c r="Q3" s="729"/>
      <c r="R3" s="729"/>
      <c r="S3" s="729"/>
      <c r="T3" s="729"/>
      <c r="U3" s="729"/>
      <c r="V3" s="729"/>
      <c r="W3" s="729"/>
      <c r="X3" s="729"/>
      <c r="Y3" s="729"/>
      <c r="Z3" s="729"/>
      <c r="AA3" s="729"/>
      <c r="AB3" s="729"/>
      <c r="AC3" s="729"/>
      <c r="AD3" s="206"/>
      <c r="AE3" s="4"/>
      <c r="AF3" s="206"/>
      <c r="AG3" s="206"/>
      <c r="AH3" s="206"/>
      <c r="AI3" s="5"/>
      <c r="AJ3" s="206"/>
      <c r="AK3" s="206"/>
      <c r="AL3" s="206"/>
      <c r="AM3" s="5"/>
      <c r="AN3" s="206"/>
      <c r="AO3" s="206"/>
      <c r="AP3" s="206"/>
      <c r="AQ3" s="5"/>
      <c r="AR3" s="206"/>
      <c r="AS3" s="206"/>
    </row>
    <row r="4" spans="1:110" hidden="1" x14ac:dyDescent="0.2">
      <c r="B4" s="729"/>
      <c r="C4" s="729"/>
      <c r="D4" s="729"/>
      <c r="E4" s="729"/>
      <c r="F4" s="729"/>
      <c r="G4" s="729"/>
      <c r="H4" s="729"/>
      <c r="I4" s="729"/>
      <c r="J4" s="729"/>
      <c r="K4" s="729"/>
      <c r="L4" s="729"/>
      <c r="M4" s="729"/>
      <c r="N4" s="729"/>
      <c r="O4" s="729"/>
      <c r="P4" s="729"/>
      <c r="Q4" s="729"/>
      <c r="R4" s="729"/>
      <c r="S4" s="729"/>
      <c r="T4" s="729"/>
      <c r="U4" s="729"/>
      <c r="V4" s="729"/>
      <c r="W4" s="729"/>
      <c r="X4" s="729"/>
      <c r="Y4" s="729"/>
      <c r="Z4" s="729"/>
      <c r="AA4" s="729"/>
      <c r="AB4" s="729"/>
      <c r="AC4" s="729"/>
      <c r="AD4" s="206"/>
      <c r="AE4" s="4"/>
      <c r="AF4" s="206"/>
      <c r="AG4" s="206"/>
      <c r="AH4" s="206"/>
      <c r="AI4" s="5"/>
      <c r="AJ4" s="206"/>
      <c r="AK4" s="206"/>
      <c r="AL4" s="206"/>
      <c r="AM4" s="5"/>
      <c r="AN4" s="206"/>
      <c r="AO4" s="206"/>
      <c r="AP4" s="206"/>
      <c r="AQ4" s="5"/>
      <c r="AR4" s="206"/>
      <c r="AS4" s="206"/>
    </row>
    <row r="5" spans="1:110" hidden="1" x14ac:dyDescent="0.2">
      <c r="B5" s="729"/>
      <c r="C5" s="729"/>
      <c r="D5" s="729"/>
      <c r="E5" s="729"/>
      <c r="F5" s="729"/>
      <c r="G5" s="729"/>
      <c r="H5" s="729"/>
      <c r="I5" s="729"/>
      <c r="J5" s="729"/>
      <c r="K5" s="729"/>
      <c r="L5" s="729"/>
      <c r="M5" s="729"/>
      <c r="N5" s="729"/>
      <c r="O5" s="729"/>
      <c r="P5" s="729"/>
      <c r="Q5" s="729"/>
      <c r="R5" s="729"/>
      <c r="S5" s="729"/>
      <c r="T5" s="729"/>
      <c r="U5" s="729"/>
      <c r="V5" s="729"/>
      <c r="W5" s="729"/>
      <c r="X5" s="729"/>
      <c r="Y5" s="729"/>
      <c r="Z5" s="729"/>
      <c r="AA5" s="729"/>
      <c r="AB5" s="729"/>
      <c r="AC5" s="729"/>
      <c r="AD5" s="206"/>
      <c r="AE5" s="4"/>
      <c r="AF5" s="206"/>
      <c r="AG5" s="206"/>
      <c r="AH5" s="206"/>
      <c r="AI5" s="5"/>
      <c r="AJ5" s="206"/>
      <c r="AK5" s="206"/>
      <c r="AL5" s="206"/>
      <c r="AM5" s="5"/>
      <c r="AN5" s="206"/>
      <c r="AO5" s="206"/>
      <c r="AP5" s="206"/>
      <c r="AQ5" s="5"/>
      <c r="AR5" s="206"/>
      <c r="AS5" s="206"/>
    </row>
    <row r="6" spans="1:110" hidden="1" x14ac:dyDescent="0.2">
      <c r="B6" s="729"/>
      <c r="C6" s="729"/>
      <c r="D6" s="729"/>
      <c r="E6" s="729"/>
      <c r="F6" s="729"/>
      <c r="G6" s="729"/>
      <c r="H6" s="729"/>
      <c r="I6" s="729"/>
      <c r="J6" s="729"/>
      <c r="K6" s="729"/>
      <c r="L6" s="729"/>
      <c r="M6" s="729"/>
      <c r="N6" s="729"/>
      <c r="O6" s="729"/>
      <c r="P6" s="729"/>
      <c r="Q6" s="729"/>
      <c r="R6" s="729"/>
      <c r="S6" s="729"/>
      <c r="T6" s="729"/>
      <c r="U6" s="729"/>
      <c r="V6" s="729"/>
      <c r="W6" s="729"/>
      <c r="X6" s="729"/>
      <c r="Y6" s="729"/>
      <c r="Z6" s="729"/>
      <c r="AA6" s="729"/>
      <c r="AB6" s="729"/>
      <c r="AC6" s="729"/>
      <c r="AD6" s="206"/>
      <c r="AE6" s="4"/>
      <c r="AF6" s="206"/>
      <c r="AG6" s="206"/>
      <c r="AH6" s="206"/>
      <c r="AI6" s="5"/>
      <c r="AJ6" s="206"/>
      <c r="AK6" s="206"/>
      <c r="AL6" s="206"/>
      <c r="AM6" s="5"/>
      <c r="AN6" s="206"/>
      <c r="AO6" s="206"/>
      <c r="AP6" s="206"/>
      <c r="AQ6" s="5"/>
      <c r="AR6" s="206"/>
      <c r="AS6" s="206"/>
    </row>
    <row r="7" spans="1:110" hidden="1" x14ac:dyDescent="0.2">
      <c r="B7" s="729"/>
      <c r="C7" s="729"/>
      <c r="D7" s="729"/>
      <c r="E7" s="729"/>
      <c r="F7" s="729"/>
      <c r="G7" s="729"/>
      <c r="H7" s="729"/>
      <c r="I7" s="729"/>
      <c r="J7" s="729"/>
      <c r="K7" s="729"/>
      <c r="L7" s="729"/>
      <c r="M7" s="729"/>
      <c r="N7" s="729"/>
      <c r="O7" s="729"/>
      <c r="P7" s="729"/>
      <c r="Q7" s="729"/>
      <c r="R7" s="729"/>
      <c r="S7" s="729"/>
      <c r="T7" s="729"/>
      <c r="U7" s="729"/>
      <c r="V7" s="729"/>
      <c r="W7" s="729"/>
      <c r="X7" s="729"/>
      <c r="Y7" s="729"/>
      <c r="Z7" s="729"/>
      <c r="AA7" s="729"/>
      <c r="AB7" s="729"/>
      <c r="AC7" s="729"/>
      <c r="AD7" s="206"/>
      <c r="AE7" s="4"/>
      <c r="AF7" s="206"/>
      <c r="AG7" s="206"/>
      <c r="AH7" s="206"/>
      <c r="AI7" s="5"/>
      <c r="AJ7" s="206"/>
      <c r="AK7" s="206"/>
      <c r="AL7" s="206"/>
      <c r="AM7" s="5"/>
      <c r="AN7" s="206"/>
      <c r="AO7" s="206"/>
      <c r="AP7" s="206"/>
      <c r="AQ7" s="5"/>
      <c r="AR7" s="206"/>
      <c r="AS7" s="206"/>
    </row>
    <row r="8" spans="1:110" hidden="1" x14ac:dyDescent="0.2">
      <c r="B8" s="729"/>
      <c r="C8" s="729"/>
      <c r="D8" s="729"/>
      <c r="E8" s="729"/>
      <c r="F8" s="729"/>
      <c r="G8" s="729"/>
      <c r="H8" s="729"/>
      <c r="I8" s="729"/>
      <c r="J8" s="729"/>
      <c r="K8" s="729"/>
      <c r="L8" s="729"/>
      <c r="M8" s="729"/>
      <c r="N8" s="729"/>
      <c r="O8" s="729"/>
      <c r="P8" s="729"/>
      <c r="Q8" s="729"/>
      <c r="R8" s="729"/>
      <c r="S8" s="729"/>
      <c r="T8" s="729"/>
      <c r="U8" s="729"/>
      <c r="V8" s="729"/>
      <c r="W8" s="729"/>
      <c r="X8" s="729"/>
      <c r="Y8" s="729"/>
      <c r="Z8" s="729"/>
      <c r="AA8" s="729"/>
      <c r="AB8" s="729"/>
      <c r="AC8" s="729"/>
      <c r="AD8" s="206"/>
      <c r="AE8" s="4"/>
      <c r="AF8" s="206"/>
      <c r="AG8" s="206"/>
      <c r="AH8" s="206"/>
      <c r="AI8" s="5"/>
      <c r="AJ8" s="206"/>
      <c r="AK8" s="206"/>
      <c r="AL8" s="206"/>
      <c r="AM8" s="5"/>
      <c r="AN8" s="206"/>
      <c r="AO8" s="206"/>
      <c r="AP8" s="206"/>
      <c r="AQ8" s="5"/>
      <c r="AR8" s="206"/>
      <c r="AS8" s="206"/>
    </row>
    <row r="9" spans="1:110" s="134" customFormat="1" ht="18.75" customHeight="1" x14ac:dyDescent="0.2">
      <c r="B9" s="145"/>
      <c r="C9" s="661"/>
      <c r="D9" s="661"/>
      <c r="E9" s="661"/>
      <c r="F9" s="661"/>
      <c r="G9" s="661" t="s">
        <v>0</v>
      </c>
      <c r="H9" s="661"/>
      <c r="I9" s="661"/>
      <c r="J9" s="661"/>
      <c r="K9" s="661"/>
      <c r="L9" s="661"/>
      <c r="M9" s="661"/>
      <c r="N9" s="661"/>
      <c r="O9" s="661"/>
      <c r="P9" s="661"/>
      <c r="Q9" s="661"/>
      <c r="R9" s="661"/>
      <c r="S9" s="661"/>
      <c r="T9" s="661"/>
      <c r="U9" s="661"/>
      <c r="V9" s="661"/>
      <c r="W9" s="661"/>
      <c r="X9" s="661"/>
      <c r="Y9" s="661"/>
      <c r="Z9" s="661"/>
      <c r="AA9" s="661"/>
      <c r="AB9" s="661"/>
      <c r="AC9" s="661"/>
      <c r="AD9" s="209"/>
      <c r="AE9" s="136"/>
      <c r="AF9" s="209"/>
      <c r="AG9" s="209"/>
      <c r="AH9" s="209"/>
      <c r="AI9" s="138"/>
      <c r="AJ9" s="209"/>
      <c r="AK9" s="209"/>
      <c r="AL9" s="209"/>
      <c r="AM9" s="138"/>
      <c r="AN9" s="209"/>
      <c r="AO9" s="209"/>
      <c r="AP9" s="209"/>
      <c r="AQ9" s="138"/>
      <c r="AR9" s="209"/>
      <c r="AS9" s="209"/>
      <c r="AT9" s="140"/>
      <c r="AU9" s="140"/>
    </row>
    <row r="10" spans="1:110" s="134" customFormat="1" ht="11.25" customHeight="1" x14ac:dyDescent="0.2">
      <c r="B10" s="671"/>
      <c r="C10" s="671"/>
      <c r="D10" s="672"/>
      <c r="E10" s="671"/>
      <c r="F10" s="671"/>
      <c r="G10" s="671"/>
      <c r="H10" s="671"/>
      <c r="I10" s="671"/>
      <c r="J10" s="671"/>
      <c r="K10" s="671"/>
      <c r="L10" s="671"/>
      <c r="M10" s="671"/>
      <c r="N10" s="671"/>
      <c r="O10" s="671"/>
      <c r="P10" s="671"/>
      <c r="Q10" s="671"/>
      <c r="R10" s="671"/>
      <c r="S10" s="671"/>
      <c r="T10" s="671"/>
      <c r="U10" s="671"/>
      <c r="V10" s="671"/>
      <c r="W10" s="671"/>
      <c r="X10" s="671"/>
      <c r="Y10" s="671"/>
      <c r="Z10" s="671"/>
      <c r="AA10" s="671"/>
      <c r="AB10" s="671"/>
      <c r="AC10" s="671"/>
      <c r="AE10" s="140"/>
      <c r="AI10" s="141"/>
      <c r="AM10" s="141"/>
      <c r="AQ10" s="141"/>
      <c r="AT10" s="140"/>
      <c r="AU10" s="140"/>
    </row>
    <row r="11" spans="1:110" s="134" customFormat="1" ht="18.75" x14ac:dyDescent="0.2">
      <c r="B11" s="208"/>
      <c r="C11" s="208"/>
      <c r="D11" s="168"/>
      <c r="E11" s="208"/>
      <c r="F11" s="208"/>
      <c r="G11" s="208"/>
      <c r="H11" s="208"/>
      <c r="I11" s="208"/>
      <c r="J11" s="168"/>
      <c r="K11" s="168"/>
      <c r="L11" s="168"/>
      <c r="M11" s="168"/>
      <c r="N11" s="168"/>
      <c r="O11" s="168"/>
      <c r="P11" s="168"/>
      <c r="Q11" s="168"/>
      <c r="R11" s="168"/>
      <c r="S11" s="168"/>
      <c r="T11" s="168"/>
      <c r="U11" s="168"/>
      <c r="V11" s="168"/>
      <c r="W11" s="168"/>
      <c r="X11" s="168"/>
      <c r="Y11" s="168"/>
      <c r="Z11" s="168"/>
      <c r="AA11" s="208"/>
      <c r="AB11" s="208"/>
      <c r="AC11" s="208"/>
      <c r="AE11" s="140"/>
      <c r="AI11" s="141"/>
      <c r="AM11" s="141"/>
      <c r="AQ11" s="141"/>
      <c r="AT11" s="140"/>
      <c r="AU11" s="140"/>
    </row>
    <row r="12" spans="1:110" ht="32.25" customHeight="1" x14ac:dyDescent="0.2">
      <c r="B12" s="8" t="s">
        <v>1</v>
      </c>
      <c r="C12" s="8" t="s">
        <v>2</v>
      </c>
      <c r="D12" s="662" t="s">
        <v>3</v>
      </c>
      <c r="E12" s="10" t="s">
        <v>4</v>
      </c>
      <c r="F12" s="119"/>
      <c r="G12" s="208"/>
      <c r="H12" s="208"/>
      <c r="I12" s="208"/>
      <c r="J12" s="168"/>
      <c r="K12" s="168"/>
      <c r="L12" s="168"/>
      <c r="M12" s="168"/>
      <c r="N12" s="168"/>
      <c r="O12" s="168"/>
      <c r="P12" s="168"/>
      <c r="Q12" s="168"/>
      <c r="R12" s="168"/>
      <c r="S12" s="168"/>
      <c r="T12" s="168"/>
      <c r="U12" s="168"/>
      <c r="V12" s="168"/>
      <c r="W12" s="168"/>
      <c r="X12" s="168"/>
      <c r="Y12" s="168"/>
      <c r="Z12" s="168"/>
      <c r="AA12" s="208"/>
      <c r="AB12" s="208"/>
      <c r="AC12" s="208"/>
      <c r="AD12" s="134"/>
      <c r="AE12" s="140"/>
      <c r="AF12" s="134"/>
      <c r="AG12" s="134"/>
      <c r="AH12" s="134"/>
      <c r="AI12" s="141"/>
      <c r="AJ12" s="134"/>
      <c r="AK12" s="134"/>
      <c r="AL12" s="134"/>
      <c r="AM12" s="141"/>
      <c r="AN12" s="134"/>
      <c r="AO12" s="134"/>
      <c r="AP12" s="134"/>
      <c r="AQ12" s="141"/>
      <c r="AR12" s="134"/>
      <c r="AS12" s="134"/>
      <c r="AT12" s="140"/>
      <c r="AU12" s="140"/>
    </row>
    <row r="13" spans="1:110" ht="18.75" x14ac:dyDescent="0.2">
      <c r="B13" s="11">
        <v>50173861</v>
      </c>
      <c r="C13" s="11">
        <v>30593116</v>
      </c>
      <c r="D13" s="11">
        <v>30593116</v>
      </c>
      <c r="E13" s="11">
        <f>+Y134</f>
        <v>13303363</v>
      </c>
      <c r="F13" s="144"/>
      <c r="G13" s="208"/>
      <c r="H13" s="208"/>
      <c r="I13" s="208"/>
      <c r="J13" s="168"/>
      <c r="K13" s="168"/>
      <c r="L13" s="168"/>
      <c r="M13" s="168"/>
      <c r="N13" s="168"/>
      <c r="O13" s="168"/>
      <c r="P13" s="168"/>
      <c r="Q13" s="168"/>
      <c r="R13" s="168"/>
      <c r="S13" s="168"/>
      <c r="T13" s="168"/>
      <c r="U13" s="168"/>
      <c r="V13" s="168"/>
      <c r="W13" s="168"/>
      <c r="X13" s="168"/>
      <c r="Y13" s="168"/>
      <c r="Z13" s="168"/>
      <c r="AA13" s="208"/>
      <c r="AB13" s="208"/>
      <c r="AC13" s="208"/>
      <c r="AD13" s="134"/>
      <c r="AE13" s="140"/>
      <c r="AF13" s="134"/>
      <c r="AG13" s="134"/>
      <c r="AH13" s="134"/>
      <c r="AI13" s="141"/>
      <c r="AJ13" s="134"/>
      <c r="AK13" s="134"/>
      <c r="AL13" s="134"/>
      <c r="AM13" s="141"/>
      <c r="AN13" s="134"/>
      <c r="AO13" s="134"/>
      <c r="AP13" s="134"/>
      <c r="AQ13" s="141"/>
      <c r="AR13" s="134"/>
      <c r="AS13" s="134"/>
      <c r="AT13" s="140"/>
      <c r="AU13" s="140"/>
    </row>
    <row r="14" spans="1:110" ht="15" customHeight="1" x14ac:dyDescent="0.2">
      <c r="C14" s="13"/>
      <c r="D14" s="663"/>
      <c r="E14" s="13"/>
      <c r="F14" s="146"/>
      <c r="G14" s="134"/>
      <c r="H14" s="134"/>
      <c r="I14" s="134"/>
      <c r="J14" s="140"/>
      <c r="K14" s="140"/>
      <c r="L14" s="140"/>
      <c r="M14" s="140"/>
      <c r="N14" s="140"/>
      <c r="O14" s="140"/>
      <c r="P14" s="140"/>
      <c r="Q14" s="140"/>
      <c r="R14" s="140"/>
      <c r="S14" s="140"/>
      <c r="T14" s="140"/>
      <c r="U14" s="140"/>
      <c r="V14" s="140"/>
      <c r="W14" s="140"/>
      <c r="X14" s="140"/>
      <c r="Y14" s="140"/>
      <c r="Z14" s="736" t="s">
        <v>5</v>
      </c>
      <c r="AA14" s="737"/>
      <c r="AB14" s="737"/>
      <c r="AC14" s="738"/>
      <c r="AD14" s="739" t="s">
        <v>6</v>
      </c>
      <c r="AE14" s="740"/>
      <c r="AF14" s="740"/>
      <c r="AG14" s="741"/>
      <c r="AH14" s="739" t="s">
        <v>6</v>
      </c>
      <c r="AI14" s="740"/>
      <c r="AJ14" s="740"/>
      <c r="AK14" s="741"/>
      <c r="AL14" s="739" t="s">
        <v>6</v>
      </c>
      <c r="AM14" s="740"/>
      <c r="AN14" s="740"/>
      <c r="AO14" s="741"/>
      <c r="AP14" s="739" t="s">
        <v>6</v>
      </c>
      <c r="AQ14" s="740"/>
      <c r="AR14" s="740"/>
      <c r="AS14" s="741"/>
      <c r="AT14" s="757" t="s">
        <v>7</v>
      </c>
      <c r="AU14" s="757"/>
    </row>
    <row r="15" spans="1:110" s="15" customFormat="1" ht="55.5" customHeight="1" x14ac:dyDescent="0.25">
      <c r="A15" s="148"/>
      <c r="B15" s="81" t="s">
        <v>8</v>
      </c>
      <c r="C15" s="81" t="s">
        <v>9</v>
      </c>
      <c r="D15" s="664" t="s">
        <v>10</v>
      </c>
      <c r="E15" s="83" t="s">
        <v>11</v>
      </c>
      <c r="F15" s="83" t="s">
        <v>12</v>
      </c>
      <c r="G15" s="83" t="s">
        <v>13</v>
      </c>
      <c r="H15" s="83" t="s">
        <v>14</v>
      </c>
      <c r="I15" s="83" t="s">
        <v>122</v>
      </c>
      <c r="J15" s="164" t="s">
        <v>15</v>
      </c>
      <c r="K15" s="164" t="s">
        <v>16</v>
      </c>
      <c r="L15" s="164" t="s">
        <v>17</v>
      </c>
      <c r="M15" s="665" t="s">
        <v>18</v>
      </c>
      <c r="N15" s="665" t="s">
        <v>19</v>
      </c>
      <c r="O15" s="665" t="s">
        <v>20</v>
      </c>
      <c r="P15" s="665" t="s">
        <v>21</v>
      </c>
      <c r="Q15" s="665" t="s">
        <v>22</v>
      </c>
      <c r="R15" s="666" t="s">
        <v>23</v>
      </c>
      <c r="S15" s="666" t="s">
        <v>24</v>
      </c>
      <c r="T15" s="666" t="s">
        <v>25</v>
      </c>
      <c r="U15" s="666" t="s">
        <v>26</v>
      </c>
      <c r="V15" s="666" t="s">
        <v>27</v>
      </c>
      <c r="W15" s="666" t="s">
        <v>28</v>
      </c>
      <c r="X15" s="666" t="s">
        <v>29</v>
      </c>
      <c r="Y15" s="667" t="s">
        <v>30</v>
      </c>
      <c r="Z15" s="183" t="s">
        <v>31</v>
      </c>
      <c r="AA15" s="86" t="s">
        <v>32</v>
      </c>
      <c r="AB15" s="85" t="s">
        <v>33</v>
      </c>
      <c r="AC15" s="85" t="s">
        <v>34</v>
      </c>
      <c r="AD15" s="87" t="s">
        <v>35</v>
      </c>
      <c r="AE15" s="88" t="s">
        <v>32</v>
      </c>
      <c r="AF15" s="87" t="s">
        <v>33</v>
      </c>
      <c r="AG15" s="87" t="s">
        <v>34</v>
      </c>
      <c r="AH15" s="87" t="s">
        <v>35</v>
      </c>
      <c r="AI15" s="88" t="s">
        <v>32</v>
      </c>
      <c r="AJ15" s="87" t="s">
        <v>33</v>
      </c>
      <c r="AK15" s="87" t="s">
        <v>34</v>
      </c>
      <c r="AL15" s="87" t="s">
        <v>35</v>
      </c>
      <c r="AM15" s="88" t="s">
        <v>32</v>
      </c>
      <c r="AN15" s="87" t="s">
        <v>33</v>
      </c>
      <c r="AO15" s="87" t="s">
        <v>34</v>
      </c>
      <c r="AP15" s="87" t="s">
        <v>35</v>
      </c>
      <c r="AQ15" s="88" t="s">
        <v>32</v>
      </c>
      <c r="AR15" s="87" t="s">
        <v>33</v>
      </c>
      <c r="AS15" s="87" t="s">
        <v>34</v>
      </c>
      <c r="AT15" s="668" t="s">
        <v>36</v>
      </c>
      <c r="AU15" s="668" t="s">
        <v>37</v>
      </c>
      <c r="AV15" s="148"/>
      <c r="AW15" s="148"/>
      <c r="AX15" s="148"/>
      <c r="AY15" s="148"/>
      <c r="AZ15" s="148"/>
      <c r="BA15" s="148"/>
      <c r="BB15" s="148"/>
      <c r="BC15" s="148"/>
      <c r="BD15" s="148"/>
      <c r="BE15" s="148"/>
      <c r="BF15" s="148"/>
      <c r="BG15" s="148"/>
      <c r="BH15" s="148"/>
      <c r="BI15" s="148"/>
      <c r="BJ15" s="148"/>
      <c r="BK15" s="148"/>
      <c r="BL15" s="148"/>
      <c r="BM15" s="148"/>
      <c r="BN15" s="148"/>
      <c r="BO15" s="148"/>
      <c r="BP15" s="148"/>
      <c r="BQ15" s="148"/>
      <c r="BR15" s="148"/>
      <c r="BS15" s="148"/>
      <c r="BT15" s="148"/>
      <c r="BU15" s="148"/>
      <c r="BV15" s="148"/>
      <c r="BW15" s="148"/>
      <c r="BX15" s="148"/>
      <c r="BY15" s="148"/>
      <c r="BZ15" s="148"/>
      <c r="CA15" s="148"/>
      <c r="CB15" s="148"/>
      <c r="CC15" s="148"/>
      <c r="CD15" s="148"/>
      <c r="CE15" s="148"/>
      <c r="CF15" s="148"/>
      <c r="CG15" s="148"/>
      <c r="CH15" s="148"/>
      <c r="CI15" s="148"/>
      <c r="CJ15" s="148"/>
      <c r="CK15" s="148"/>
      <c r="CL15" s="148"/>
      <c r="CM15" s="148"/>
      <c r="CN15" s="148"/>
      <c r="CO15" s="148"/>
      <c r="CP15" s="148"/>
      <c r="CQ15" s="148"/>
      <c r="CR15" s="148"/>
      <c r="CS15" s="148"/>
      <c r="CT15" s="148"/>
      <c r="CU15" s="148"/>
      <c r="CV15" s="148"/>
      <c r="CW15" s="148"/>
      <c r="CX15" s="148"/>
      <c r="CY15" s="148"/>
      <c r="CZ15" s="148"/>
      <c r="DA15" s="148"/>
      <c r="DB15" s="148"/>
      <c r="DC15" s="148"/>
      <c r="DD15" s="148"/>
      <c r="DE15" s="148"/>
      <c r="DF15" s="148"/>
    </row>
    <row r="16" spans="1:110" s="148" customFormat="1" x14ac:dyDescent="0.25">
      <c r="B16" s="674">
        <v>1</v>
      </c>
      <c r="C16" s="674" t="s">
        <v>2691</v>
      </c>
      <c r="D16" s="669">
        <v>30381475</v>
      </c>
      <c r="E16" s="187" t="s">
        <v>2996</v>
      </c>
      <c r="F16" s="676" t="s">
        <v>200</v>
      </c>
      <c r="G16" s="151" t="s">
        <v>3132</v>
      </c>
      <c r="H16" s="158" t="s">
        <v>2997</v>
      </c>
      <c r="I16" s="673" t="s">
        <v>42</v>
      </c>
      <c r="J16" s="415">
        <v>48000</v>
      </c>
      <c r="K16" s="125">
        <v>0</v>
      </c>
      <c r="L16" s="125">
        <f t="shared" ref="L16:L79" si="0">J16-K16</f>
        <v>48000</v>
      </c>
      <c r="M16" s="125">
        <v>0</v>
      </c>
      <c r="N16" s="125">
        <v>0</v>
      </c>
      <c r="O16" s="125">
        <v>0</v>
      </c>
      <c r="P16" s="125"/>
      <c r="Q16" s="125"/>
      <c r="R16" s="125"/>
      <c r="S16" s="125"/>
      <c r="T16" s="125"/>
      <c r="U16" s="125"/>
      <c r="V16" s="125"/>
      <c r="W16" s="125"/>
      <c r="X16" s="125"/>
      <c r="Y16" s="125">
        <f t="shared" ref="Y16:Y45" si="1">SUM(M16:X16)</f>
        <v>0</v>
      </c>
      <c r="Z16" s="152">
        <v>48000</v>
      </c>
      <c r="AA16" s="126">
        <v>6</v>
      </c>
      <c r="AB16" s="127">
        <v>44215</v>
      </c>
      <c r="AC16" s="128">
        <v>44228</v>
      </c>
      <c r="AD16" s="152"/>
      <c r="AE16" s="129"/>
      <c r="AF16" s="153"/>
      <c r="AG16" s="128"/>
      <c r="AH16" s="152"/>
      <c r="AI16" s="126"/>
      <c r="AJ16" s="153"/>
      <c r="AK16" s="128"/>
      <c r="AL16" s="152"/>
      <c r="AM16" s="126"/>
      <c r="AN16" s="153"/>
      <c r="AO16" s="128"/>
      <c r="AP16" s="152"/>
      <c r="AQ16" s="126"/>
      <c r="AR16" s="153"/>
      <c r="AS16" s="128"/>
      <c r="AT16" s="677">
        <f>+Z16+AD16+AH16+AL16+AP16</f>
        <v>48000</v>
      </c>
      <c r="AU16" s="155">
        <f t="shared" ref="AU16:AU79" si="2">+AT16-Y16</f>
        <v>48000</v>
      </c>
    </row>
    <row r="17" spans="1:47" s="148" customFormat="1" x14ac:dyDescent="0.25">
      <c r="B17" s="674">
        <v>2</v>
      </c>
      <c r="C17" s="674" t="s">
        <v>894</v>
      </c>
      <c r="D17" s="669">
        <v>30033690</v>
      </c>
      <c r="E17" s="187" t="s">
        <v>2998</v>
      </c>
      <c r="F17" s="676" t="s">
        <v>200</v>
      </c>
      <c r="G17" s="151" t="s">
        <v>3132</v>
      </c>
      <c r="H17" s="158" t="s">
        <v>2999</v>
      </c>
      <c r="I17" s="673" t="s">
        <v>42</v>
      </c>
      <c r="J17" s="415">
        <v>13116769</v>
      </c>
      <c r="K17" s="125">
        <v>0</v>
      </c>
      <c r="L17" s="125">
        <f t="shared" si="0"/>
        <v>13116769</v>
      </c>
      <c r="M17" s="125">
        <v>0</v>
      </c>
      <c r="N17" s="125">
        <v>0</v>
      </c>
      <c r="O17" s="125">
        <v>0</v>
      </c>
      <c r="P17" s="125"/>
      <c r="Q17" s="125"/>
      <c r="R17" s="125">
        <v>0</v>
      </c>
      <c r="S17" s="125"/>
      <c r="T17" s="125"/>
      <c r="U17" s="125"/>
      <c r="V17" s="125"/>
      <c r="W17" s="125"/>
      <c r="X17" s="125"/>
      <c r="Y17" s="125">
        <f t="shared" si="1"/>
        <v>0</v>
      </c>
      <c r="Z17" s="152">
        <v>79852</v>
      </c>
      <c r="AA17" s="126">
        <v>6</v>
      </c>
      <c r="AB17" s="127">
        <v>44215</v>
      </c>
      <c r="AC17" s="128">
        <v>44228</v>
      </c>
      <c r="AD17" s="152">
        <v>-52289</v>
      </c>
      <c r="AE17" s="129">
        <v>39</v>
      </c>
      <c r="AF17" s="127">
        <v>44364</v>
      </c>
      <c r="AG17" s="128">
        <v>44377</v>
      </c>
      <c r="AH17" s="152"/>
      <c r="AI17" s="126"/>
      <c r="AJ17" s="153"/>
      <c r="AK17" s="128"/>
      <c r="AL17" s="152"/>
      <c r="AM17" s="126"/>
      <c r="AN17" s="153"/>
      <c r="AO17" s="128"/>
      <c r="AP17" s="152"/>
      <c r="AQ17" s="126"/>
      <c r="AR17" s="153"/>
      <c r="AS17" s="128"/>
      <c r="AT17" s="677">
        <f t="shared" ref="AT17:AT80" si="3">+Z17+AD17+AH17+AL17+AP17</f>
        <v>27563</v>
      </c>
      <c r="AU17" s="155">
        <f t="shared" si="2"/>
        <v>27563</v>
      </c>
    </row>
    <row r="18" spans="1:47" s="148" customFormat="1" x14ac:dyDescent="0.25">
      <c r="B18" s="674">
        <v>4</v>
      </c>
      <c r="C18" s="674" t="s">
        <v>894</v>
      </c>
      <c r="D18" s="669">
        <v>30069507</v>
      </c>
      <c r="E18" s="187" t="s">
        <v>3000</v>
      </c>
      <c r="F18" s="676" t="s">
        <v>200</v>
      </c>
      <c r="G18" s="151" t="s">
        <v>3132</v>
      </c>
      <c r="H18" s="158" t="s">
        <v>3001</v>
      </c>
      <c r="I18" s="673" t="s">
        <v>42</v>
      </c>
      <c r="J18" s="415">
        <v>3634610</v>
      </c>
      <c r="K18" s="125">
        <v>3553824</v>
      </c>
      <c r="L18" s="125">
        <f t="shared" si="0"/>
        <v>80786</v>
      </c>
      <c r="M18" s="125">
        <v>0</v>
      </c>
      <c r="N18" s="125">
        <v>448</v>
      </c>
      <c r="O18" s="125">
        <v>19498</v>
      </c>
      <c r="P18" s="125"/>
      <c r="Q18" s="125"/>
      <c r="R18" s="125"/>
      <c r="S18" s="125"/>
      <c r="T18" s="125"/>
      <c r="U18" s="125"/>
      <c r="V18" s="125"/>
      <c r="W18" s="125"/>
      <c r="X18" s="125"/>
      <c r="Y18" s="125">
        <f t="shared" si="1"/>
        <v>19946</v>
      </c>
      <c r="Z18" s="152">
        <v>80776</v>
      </c>
      <c r="AA18" s="126">
        <v>6</v>
      </c>
      <c r="AB18" s="127">
        <v>44215</v>
      </c>
      <c r="AC18" s="128">
        <v>44228</v>
      </c>
      <c r="AD18" s="152">
        <v>-24249</v>
      </c>
      <c r="AE18" s="129">
        <v>39</v>
      </c>
      <c r="AF18" s="127">
        <v>44364</v>
      </c>
      <c r="AG18" s="128">
        <v>44377</v>
      </c>
      <c r="AH18" s="152"/>
      <c r="AI18" s="126"/>
      <c r="AJ18" s="153"/>
      <c r="AK18" s="128"/>
      <c r="AL18" s="152"/>
      <c r="AM18" s="126"/>
      <c r="AN18" s="153"/>
      <c r="AO18" s="128"/>
      <c r="AP18" s="152"/>
      <c r="AQ18" s="126"/>
      <c r="AR18" s="153"/>
      <c r="AS18" s="128"/>
      <c r="AT18" s="677">
        <f t="shared" si="3"/>
        <v>56527</v>
      </c>
      <c r="AU18" s="155">
        <f t="shared" si="2"/>
        <v>36581</v>
      </c>
    </row>
    <row r="19" spans="1:47" s="148" customFormat="1" x14ac:dyDescent="0.25">
      <c r="B19" s="674">
        <v>5</v>
      </c>
      <c r="C19" s="674" t="s">
        <v>894</v>
      </c>
      <c r="D19" s="669">
        <v>30071148</v>
      </c>
      <c r="E19" s="187" t="s">
        <v>3002</v>
      </c>
      <c r="F19" s="676" t="s">
        <v>200</v>
      </c>
      <c r="G19" s="151" t="s">
        <v>3132</v>
      </c>
      <c r="H19" s="158" t="s">
        <v>3003</v>
      </c>
      <c r="I19" s="673" t="s">
        <v>42</v>
      </c>
      <c r="J19" s="415">
        <v>1981736</v>
      </c>
      <c r="K19" s="125">
        <v>174626</v>
      </c>
      <c r="L19" s="125">
        <f t="shared" si="0"/>
        <v>1807110</v>
      </c>
      <c r="M19" s="125">
        <v>0</v>
      </c>
      <c r="N19" s="125">
        <v>0</v>
      </c>
      <c r="O19" s="125">
        <v>0</v>
      </c>
      <c r="P19" s="125"/>
      <c r="Q19" s="125"/>
      <c r="R19" s="125"/>
      <c r="S19" s="125"/>
      <c r="T19" s="125"/>
      <c r="U19" s="125"/>
      <c r="V19" s="125"/>
      <c r="W19" s="125"/>
      <c r="X19" s="125"/>
      <c r="Y19" s="125">
        <f t="shared" si="1"/>
        <v>0</v>
      </c>
      <c r="Z19" s="152">
        <v>4</v>
      </c>
      <c r="AA19" s="126">
        <v>6</v>
      </c>
      <c r="AB19" s="127">
        <v>44215</v>
      </c>
      <c r="AC19" s="128">
        <v>44228</v>
      </c>
      <c r="AD19" s="152"/>
      <c r="AE19" s="129"/>
      <c r="AF19" s="153"/>
      <c r="AG19" s="128"/>
      <c r="AH19" s="152"/>
      <c r="AI19" s="126"/>
      <c r="AJ19" s="153"/>
      <c r="AK19" s="128"/>
      <c r="AL19" s="152"/>
      <c r="AM19" s="126"/>
      <c r="AN19" s="153"/>
      <c r="AO19" s="128"/>
      <c r="AP19" s="152"/>
      <c r="AQ19" s="126"/>
      <c r="AR19" s="153"/>
      <c r="AS19" s="128"/>
      <c r="AT19" s="677">
        <f t="shared" si="3"/>
        <v>4</v>
      </c>
      <c r="AU19" s="155">
        <f t="shared" si="2"/>
        <v>4</v>
      </c>
    </row>
    <row r="20" spans="1:47" s="148" customFormat="1" x14ac:dyDescent="0.25">
      <c r="B20" s="674">
        <v>6</v>
      </c>
      <c r="C20" s="674" t="s">
        <v>894</v>
      </c>
      <c r="D20" s="669">
        <v>30071574</v>
      </c>
      <c r="E20" s="187" t="s">
        <v>3004</v>
      </c>
      <c r="F20" s="676" t="s">
        <v>200</v>
      </c>
      <c r="G20" s="151" t="s">
        <v>3132</v>
      </c>
      <c r="H20" s="158" t="s">
        <v>3005</v>
      </c>
      <c r="I20" s="673" t="s">
        <v>42</v>
      </c>
      <c r="J20" s="415">
        <v>18582529</v>
      </c>
      <c r="K20" s="125">
        <v>1000</v>
      </c>
      <c r="L20" s="125">
        <f t="shared" si="0"/>
        <v>18581529</v>
      </c>
      <c r="M20" s="125">
        <v>0</v>
      </c>
      <c r="N20" s="125">
        <v>0</v>
      </c>
      <c r="O20" s="125">
        <v>0</v>
      </c>
      <c r="P20" s="125"/>
      <c r="Q20" s="125"/>
      <c r="R20" s="125"/>
      <c r="S20" s="125"/>
      <c r="T20" s="125"/>
      <c r="U20" s="125"/>
      <c r="V20" s="125"/>
      <c r="W20" s="125"/>
      <c r="X20" s="125"/>
      <c r="Y20" s="125">
        <f t="shared" si="1"/>
        <v>0</v>
      </c>
      <c r="Z20" s="152">
        <v>3</v>
      </c>
      <c r="AA20" s="126">
        <v>6</v>
      </c>
      <c r="AB20" s="127">
        <v>44215</v>
      </c>
      <c r="AC20" s="128">
        <v>44228</v>
      </c>
      <c r="AD20" s="152"/>
      <c r="AE20" s="129"/>
      <c r="AF20" s="153"/>
      <c r="AG20" s="128"/>
      <c r="AH20" s="152"/>
      <c r="AI20" s="126"/>
      <c r="AJ20" s="153"/>
      <c r="AK20" s="128"/>
      <c r="AL20" s="152"/>
      <c r="AM20" s="126"/>
      <c r="AN20" s="153"/>
      <c r="AO20" s="128"/>
      <c r="AP20" s="152"/>
      <c r="AQ20" s="126"/>
      <c r="AR20" s="153"/>
      <c r="AS20" s="128"/>
      <c r="AT20" s="677">
        <f t="shared" si="3"/>
        <v>3</v>
      </c>
      <c r="AU20" s="155">
        <f>+AT20-Y20</f>
        <v>3</v>
      </c>
    </row>
    <row r="21" spans="1:47" s="148" customFormat="1" x14ac:dyDescent="0.25">
      <c r="B21" s="674">
        <v>7</v>
      </c>
      <c r="C21" s="674" t="s">
        <v>894</v>
      </c>
      <c r="D21" s="669">
        <v>30076163</v>
      </c>
      <c r="E21" s="187" t="s">
        <v>3006</v>
      </c>
      <c r="F21" s="676" t="s">
        <v>200</v>
      </c>
      <c r="G21" s="151" t="s">
        <v>3132</v>
      </c>
      <c r="H21" s="158" t="s">
        <v>3007</v>
      </c>
      <c r="I21" s="673" t="s">
        <v>42</v>
      </c>
      <c r="J21" s="415">
        <v>1858359</v>
      </c>
      <c r="K21" s="125">
        <v>57920</v>
      </c>
      <c r="L21" s="125">
        <f t="shared" si="0"/>
        <v>1800439</v>
      </c>
      <c r="M21" s="125">
        <v>0</v>
      </c>
      <c r="N21" s="125">
        <v>0</v>
      </c>
      <c r="O21" s="125">
        <v>0</v>
      </c>
      <c r="P21" s="125"/>
      <c r="Q21" s="125"/>
      <c r="R21" s="125">
        <v>15000</v>
      </c>
      <c r="S21" s="125"/>
      <c r="T21" s="125"/>
      <c r="U21" s="125"/>
      <c r="V21" s="125"/>
      <c r="W21" s="125"/>
      <c r="X21" s="125"/>
      <c r="Y21" s="125">
        <f t="shared" si="1"/>
        <v>15000</v>
      </c>
      <c r="Z21" s="152">
        <v>45002</v>
      </c>
      <c r="AA21" s="126">
        <v>6</v>
      </c>
      <c r="AB21" s="127">
        <v>44215</v>
      </c>
      <c r="AC21" s="128">
        <v>44228</v>
      </c>
      <c r="AD21" s="152"/>
      <c r="AE21" s="129"/>
      <c r="AF21" s="153"/>
      <c r="AG21" s="128"/>
      <c r="AH21" s="152"/>
      <c r="AI21" s="126"/>
      <c r="AJ21" s="153"/>
      <c r="AK21" s="128"/>
      <c r="AL21" s="152"/>
      <c r="AM21" s="126"/>
      <c r="AN21" s="153"/>
      <c r="AO21" s="128"/>
      <c r="AP21" s="152"/>
      <c r="AQ21" s="126"/>
      <c r="AR21" s="153"/>
      <c r="AS21" s="128"/>
      <c r="AT21" s="677">
        <f t="shared" si="3"/>
        <v>45002</v>
      </c>
      <c r="AU21" s="155">
        <f t="shared" si="2"/>
        <v>30002</v>
      </c>
    </row>
    <row r="22" spans="1:47" s="148" customFormat="1" x14ac:dyDescent="0.25">
      <c r="B22" s="674">
        <v>8</v>
      </c>
      <c r="C22" s="674" t="s">
        <v>894</v>
      </c>
      <c r="D22" s="669">
        <v>30085480</v>
      </c>
      <c r="E22" s="187" t="s">
        <v>3008</v>
      </c>
      <c r="F22" s="676" t="s">
        <v>200</v>
      </c>
      <c r="G22" s="151" t="s">
        <v>3132</v>
      </c>
      <c r="H22" s="158" t="s">
        <v>3009</v>
      </c>
      <c r="I22" s="673" t="s">
        <v>42</v>
      </c>
      <c r="J22" s="415">
        <v>3585347</v>
      </c>
      <c r="K22" s="125">
        <v>713408</v>
      </c>
      <c r="L22" s="125">
        <f t="shared" si="0"/>
        <v>2871939</v>
      </c>
      <c r="M22" s="125">
        <v>0</v>
      </c>
      <c r="N22" s="125">
        <v>342361</v>
      </c>
      <c r="O22" s="125">
        <v>129410</v>
      </c>
      <c r="P22" s="125">
        <v>69309</v>
      </c>
      <c r="Q22" s="125">
        <v>172073</v>
      </c>
      <c r="R22" s="125">
        <v>516879</v>
      </c>
      <c r="S22" s="125"/>
      <c r="T22" s="125"/>
      <c r="U22" s="125"/>
      <c r="V22" s="125"/>
      <c r="W22" s="125"/>
      <c r="X22" s="125"/>
      <c r="Y22" s="125">
        <f t="shared" si="1"/>
        <v>1230032</v>
      </c>
      <c r="Z22" s="152">
        <v>1871939</v>
      </c>
      <c r="AA22" s="126">
        <v>6</v>
      </c>
      <c r="AB22" s="127">
        <v>44215</v>
      </c>
      <c r="AC22" s="128">
        <v>44228</v>
      </c>
      <c r="AD22" s="152">
        <v>-1</v>
      </c>
      <c r="AE22" s="126">
        <v>27</v>
      </c>
      <c r="AF22" s="127">
        <v>44327</v>
      </c>
      <c r="AG22" s="128">
        <v>44341</v>
      </c>
      <c r="AH22" s="152">
        <v>539521</v>
      </c>
      <c r="AI22" s="126">
        <v>39</v>
      </c>
      <c r="AJ22" s="127">
        <v>44364</v>
      </c>
      <c r="AK22" s="128">
        <v>44377</v>
      </c>
      <c r="AL22" s="152"/>
      <c r="AM22" s="126"/>
      <c r="AN22" s="153"/>
      <c r="AO22" s="128"/>
      <c r="AP22" s="152"/>
      <c r="AQ22" s="126"/>
      <c r="AR22" s="153"/>
      <c r="AS22" s="128"/>
      <c r="AT22" s="677">
        <f t="shared" si="3"/>
        <v>2411459</v>
      </c>
      <c r="AU22" s="155">
        <f t="shared" si="2"/>
        <v>1181427</v>
      </c>
    </row>
    <row r="23" spans="1:47" s="148" customFormat="1" x14ac:dyDescent="0.25">
      <c r="A23" s="148" t="s">
        <v>3010</v>
      </c>
      <c r="B23" s="674">
        <v>9</v>
      </c>
      <c r="C23" s="674" t="s">
        <v>894</v>
      </c>
      <c r="D23" s="669">
        <v>30089742</v>
      </c>
      <c r="E23" s="187" t="s">
        <v>3011</v>
      </c>
      <c r="F23" s="676" t="s">
        <v>200</v>
      </c>
      <c r="G23" s="151" t="s">
        <v>3132</v>
      </c>
      <c r="H23" s="158" t="s">
        <v>2999</v>
      </c>
      <c r="I23" s="673" t="s">
        <v>42</v>
      </c>
      <c r="J23" s="415">
        <v>9445744</v>
      </c>
      <c r="K23" s="125">
        <v>7978641</v>
      </c>
      <c r="L23" s="125">
        <f t="shared" si="0"/>
        <v>1467103</v>
      </c>
      <c r="M23" s="125">
        <v>0</v>
      </c>
      <c r="N23" s="125">
        <v>91949</v>
      </c>
      <c r="O23" s="125">
        <v>42218</v>
      </c>
      <c r="P23" s="125">
        <v>3718</v>
      </c>
      <c r="Q23" s="125">
        <v>0</v>
      </c>
      <c r="R23" s="125">
        <v>132886</v>
      </c>
      <c r="S23" s="125"/>
      <c r="T23" s="125"/>
      <c r="U23" s="125"/>
      <c r="V23" s="125"/>
      <c r="W23" s="125"/>
      <c r="X23" s="125"/>
      <c r="Y23" s="125">
        <f t="shared" si="1"/>
        <v>270771</v>
      </c>
      <c r="Z23" s="152">
        <v>1467105</v>
      </c>
      <c r="AA23" s="126">
        <v>6</v>
      </c>
      <c r="AB23" s="127">
        <v>44215</v>
      </c>
      <c r="AC23" s="128">
        <v>44228</v>
      </c>
      <c r="AD23" s="152">
        <v>217124</v>
      </c>
      <c r="AE23" s="129">
        <v>39</v>
      </c>
      <c r="AF23" s="127">
        <v>44364</v>
      </c>
      <c r="AG23" s="128">
        <v>44377</v>
      </c>
      <c r="AH23" s="152"/>
      <c r="AI23" s="126"/>
      <c r="AJ23" s="153"/>
      <c r="AK23" s="128"/>
      <c r="AL23" s="152"/>
      <c r="AM23" s="126"/>
      <c r="AN23" s="153"/>
      <c r="AO23" s="128"/>
      <c r="AP23" s="152"/>
      <c r="AQ23" s="126"/>
      <c r="AR23" s="153"/>
      <c r="AS23" s="128"/>
      <c r="AT23" s="677">
        <f t="shared" si="3"/>
        <v>1684229</v>
      </c>
      <c r="AU23" s="155">
        <f t="shared" si="2"/>
        <v>1413458</v>
      </c>
    </row>
    <row r="24" spans="1:47" s="148" customFormat="1" x14ac:dyDescent="0.25">
      <c r="B24" s="674">
        <v>10</v>
      </c>
      <c r="C24" s="674" t="s">
        <v>894</v>
      </c>
      <c r="D24" s="669">
        <v>30093537</v>
      </c>
      <c r="E24" s="187" t="s">
        <v>3012</v>
      </c>
      <c r="F24" s="676" t="s">
        <v>200</v>
      </c>
      <c r="G24" s="151" t="s">
        <v>3132</v>
      </c>
      <c r="H24" s="158" t="s">
        <v>2999</v>
      </c>
      <c r="I24" s="673" t="s">
        <v>42</v>
      </c>
      <c r="J24" s="415">
        <v>829765</v>
      </c>
      <c r="K24" s="125">
        <v>386272</v>
      </c>
      <c r="L24" s="125">
        <f t="shared" si="0"/>
        <v>443493</v>
      </c>
      <c r="M24" s="125">
        <v>0</v>
      </c>
      <c r="N24" s="125">
        <v>428408</v>
      </c>
      <c r="O24" s="125">
        <v>4616</v>
      </c>
      <c r="P24" s="125">
        <v>3254</v>
      </c>
      <c r="Q24" s="125">
        <v>3254</v>
      </c>
      <c r="R24" s="125">
        <v>1627</v>
      </c>
      <c r="S24" s="125"/>
      <c r="T24" s="125"/>
      <c r="U24" s="125"/>
      <c r="V24" s="125"/>
      <c r="W24" s="125"/>
      <c r="X24" s="125"/>
      <c r="Y24" s="125">
        <f t="shared" si="1"/>
        <v>441159</v>
      </c>
      <c r="Z24" s="152">
        <v>443494</v>
      </c>
      <c r="AA24" s="126">
        <v>6</v>
      </c>
      <c r="AB24" s="127">
        <v>44215</v>
      </c>
      <c r="AC24" s="128">
        <v>44228</v>
      </c>
      <c r="AD24" s="152">
        <v>-2334</v>
      </c>
      <c r="AE24" s="129">
        <v>39</v>
      </c>
      <c r="AF24" s="127">
        <v>44364</v>
      </c>
      <c r="AG24" s="128">
        <v>44377</v>
      </c>
      <c r="AH24" s="152"/>
      <c r="AI24" s="126"/>
      <c r="AJ24" s="153"/>
      <c r="AK24" s="128"/>
      <c r="AL24" s="152"/>
      <c r="AM24" s="126"/>
      <c r="AN24" s="153"/>
      <c r="AO24" s="128"/>
      <c r="AP24" s="152"/>
      <c r="AQ24" s="126"/>
      <c r="AR24" s="153"/>
      <c r="AS24" s="128"/>
      <c r="AT24" s="677">
        <f t="shared" si="3"/>
        <v>441160</v>
      </c>
      <c r="AU24" s="155">
        <f t="shared" si="2"/>
        <v>1</v>
      </c>
    </row>
    <row r="25" spans="1:47" s="148" customFormat="1" x14ac:dyDescent="0.25">
      <c r="B25" s="674">
        <v>11</v>
      </c>
      <c r="C25" s="674" t="s">
        <v>894</v>
      </c>
      <c r="D25" s="669">
        <v>30094259</v>
      </c>
      <c r="E25" s="187" t="s">
        <v>3013</v>
      </c>
      <c r="F25" s="676" t="s">
        <v>200</v>
      </c>
      <c r="G25" s="151" t="s">
        <v>3132</v>
      </c>
      <c r="H25" s="158" t="s">
        <v>2999</v>
      </c>
      <c r="I25" s="673" t="s">
        <v>43</v>
      </c>
      <c r="J25" s="415">
        <v>71280</v>
      </c>
      <c r="K25" s="125">
        <v>0</v>
      </c>
      <c r="L25" s="125">
        <f t="shared" si="0"/>
        <v>71280</v>
      </c>
      <c r="M25" s="125">
        <v>0</v>
      </c>
      <c r="N25" s="125">
        <v>0</v>
      </c>
      <c r="O25" s="125">
        <v>0</v>
      </c>
      <c r="P25" s="125"/>
      <c r="Q25" s="125"/>
      <c r="R25" s="125"/>
      <c r="S25" s="125"/>
      <c r="T25" s="125"/>
      <c r="U25" s="125"/>
      <c r="V25" s="125"/>
      <c r="W25" s="125"/>
      <c r="X25" s="125"/>
      <c r="Y25" s="125">
        <f t="shared" si="1"/>
        <v>0</v>
      </c>
      <c r="Z25" s="152">
        <v>71279</v>
      </c>
      <c r="AA25" s="126">
        <v>6</v>
      </c>
      <c r="AB25" s="127">
        <v>44215</v>
      </c>
      <c r="AC25" s="128">
        <v>44228</v>
      </c>
      <c r="AD25" s="152">
        <v>-71276</v>
      </c>
      <c r="AE25" s="126">
        <v>27</v>
      </c>
      <c r="AF25" s="127">
        <v>44327</v>
      </c>
      <c r="AG25" s="128">
        <v>44341</v>
      </c>
      <c r="AH25" s="152"/>
      <c r="AI25" s="126"/>
      <c r="AJ25" s="153"/>
      <c r="AK25" s="128"/>
      <c r="AL25" s="152"/>
      <c r="AM25" s="126"/>
      <c r="AN25" s="153"/>
      <c r="AO25" s="128"/>
      <c r="AP25" s="152"/>
      <c r="AQ25" s="126"/>
      <c r="AR25" s="153"/>
      <c r="AS25" s="128"/>
      <c r="AT25" s="677">
        <f t="shared" si="3"/>
        <v>3</v>
      </c>
      <c r="AU25" s="155">
        <f t="shared" si="2"/>
        <v>3</v>
      </c>
    </row>
    <row r="26" spans="1:47" s="148" customFormat="1" x14ac:dyDescent="0.25">
      <c r="B26" s="674">
        <v>12</v>
      </c>
      <c r="C26" s="674" t="s">
        <v>894</v>
      </c>
      <c r="D26" s="669">
        <v>30103009</v>
      </c>
      <c r="E26" s="187" t="s">
        <v>3014</v>
      </c>
      <c r="F26" s="676" t="s">
        <v>200</v>
      </c>
      <c r="G26" s="151" t="s">
        <v>3132</v>
      </c>
      <c r="H26" s="158" t="s">
        <v>2999</v>
      </c>
      <c r="I26" s="673" t="s">
        <v>43</v>
      </c>
      <c r="J26" s="415">
        <v>1168195</v>
      </c>
      <c r="K26" s="125">
        <v>0</v>
      </c>
      <c r="L26" s="125">
        <f t="shared" si="0"/>
        <v>1168195</v>
      </c>
      <c r="M26" s="125">
        <v>0</v>
      </c>
      <c r="N26" s="125">
        <v>0</v>
      </c>
      <c r="O26" s="125">
        <v>0</v>
      </c>
      <c r="P26" s="125">
        <v>39101</v>
      </c>
      <c r="Q26" s="125">
        <v>61901</v>
      </c>
      <c r="R26" s="125">
        <v>65012</v>
      </c>
      <c r="S26" s="125"/>
      <c r="T26" s="125"/>
      <c r="U26" s="125"/>
      <c r="V26" s="125"/>
      <c r="W26" s="125"/>
      <c r="X26" s="125"/>
      <c r="Y26" s="125">
        <f t="shared" si="1"/>
        <v>166014</v>
      </c>
      <c r="Z26" s="152">
        <v>811964</v>
      </c>
      <c r="AA26" s="126">
        <v>6</v>
      </c>
      <c r="AB26" s="127">
        <v>44215</v>
      </c>
      <c r="AC26" s="128">
        <v>44228</v>
      </c>
      <c r="AD26" s="152"/>
      <c r="AE26" s="129"/>
      <c r="AF26" s="153"/>
      <c r="AG26" s="128"/>
      <c r="AH26" s="152"/>
      <c r="AI26" s="126"/>
      <c r="AJ26" s="153"/>
      <c r="AK26" s="128"/>
      <c r="AL26" s="152"/>
      <c r="AM26" s="126"/>
      <c r="AN26" s="153"/>
      <c r="AO26" s="128"/>
      <c r="AP26" s="152"/>
      <c r="AQ26" s="126"/>
      <c r="AR26" s="153"/>
      <c r="AS26" s="128"/>
      <c r="AT26" s="677">
        <f t="shared" si="3"/>
        <v>811964</v>
      </c>
      <c r="AU26" s="155">
        <f t="shared" si="2"/>
        <v>645950</v>
      </c>
    </row>
    <row r="27" spans="1:47" s="148" customFormat="1" x14ac:dyDescent="0.25">
      <c r="B27" s="674">
        <v>13</v>
      </c>
      <c r="C27" s="674" t="s">
        <v>894</v>
      </c>
      <c r="D27" s="669">
        <v>30103293</v>
      </c>
      <c r="E27" s="187" t="s">
        <v>3015</v>
      </c>
      <c r="F27" s="676" t="s">
        <v>200</v>
      </c>
      <c r="G27" s="151" t="s">
        <v>3132</v>
      </c>
      <c r="H27" s="158" t="s">
        <v>2999</v>
      </c>
      <c r="I27" s="673" t="s">
        <v>42</v>
      </c>
      <c r="J27" s="415">
        <v>820062</v>
      </c>
      <c r="K27" s="125">
        <v>783680</v>
      </c>
      <c r="L27" s="125">
        <f t="shared" si="0"/>
        <v>36382</v>
      </c>
      <c r="M27" s="125">
        <v>0</v>
      </c>
      <c r="N27" s="125">
        <v>36383</v>
      </c>
      <c r="O27" s="125">
        <v>0</v>
      </c>
      <c r="P27" s="125"/>
      <c r="Q27" s="125"/>
      <c r="R27" s="125"/>
      <c r="S27" s="125"/>
      <c r="T27" s="125"/>
      <c r="U27" s="125"/>
      <c r="V27" s="125"/>
      <c r="W27" s="125"/>
      <c r="X27" s="125"/>
      <c r="Y27" s="125">
        <f t="shared" si="1"/>
        <v>36383</v>
      </c>
      <c r="Z27" s="152">
        <v>36383</v>
      </c>
      <c r="AA27" s="126">
        <v>6</v>
      </c>
      <c r="AB27" s="127">
        <v>44215</v>
      </c>
      <c r="AC27" s="128">
        <v>44228</v>
      </c>
      <c r="AD27" s="152"/>
      <c r="AE27" s="129"/>
      <c r="AF27" s="153"/>
      <c r="AG27" s="128"/>
      <c r="AH27" s="152"/>
      <c r="AI27" s="126"/>
      <c r="AJ27" s="153"/>
      <c r="AK27" s="128"/>
      <c r="AL27" s="152"/>
      <c r="AM27" s="126"/>
      <c r="AN27" s="153"/>
      <c r="AO27" s="128"/>
      <c r="AP27" s="152"/>
      <c r="AQ27" s="126"/>
      <c r="AR27" s="153"/>
      <c r="AS27" s="128"/>
      <c r="AT27" s="677">
        <f t="shared" si="3"/>
        <v>36383</v>
      </c>
      <c r="AU27" s="155">
        <f t="shared" si="2"/>
        <v>0</v>
      </c>
    </row>
    <row r="28" spans="1:47" s="148" customFormat="1" x14ac:dyDescent="0.25">
      <c r="B28" s="674">
        <v>15</v>
      </c>
      <c r="C28" s="674" t="s">
        <v>894</v>
      </c>
      <c r="D28" s="669">
        <v>30103888</v>
      </c>
      <c r="E28" s="187" t="s">
        <v>3016</v>
      </c>
      <c r="F28" s="676" t="s">
        <v>200</v>
      </c>
      <c r="G28" s="151" t="s">
        <v>3132</v>
      </c>
      <c r="H28" s="158" t="s">
        <v>3017</v>
      </c>
      <c r="I28" s="673" t="s">
        <v>42</v>
      </c>
      <c r="J28" s="415">
        <v>2669524</v>
      </c>
      <c r="K28" s="125">
        <v>10740</v>
      </c>
      <c r="L28" s="125">
        <f t="shared" si="0"/>
        <v>2658784</v>
      </c>
      <c r="M28" s="125">
        <v>0</v>
      </c>
      <c r="N28" s="125">
        <v>0</v>
      </c>
      <c r="O28" s="125">
        <v>0</v>
      </c>
      <c r="P28" s="125">
        <v>10500</v>
      </c>
      <c r="Q28" s="125">
        <v>0</v>
      </c>
      <c r="R28" s="125">
        <v>5250</v>
      </c>
      <c r="S28" s="125"/>
      <c r="T28" s="125"/>
      <c r="U28" s="125"/>
      <c r="V28" s="125"/>
      <c r="W28" s="125"/>
      <c r="X28" s="125"/>
      <c r="Y28" s="125">
        <f t="shared" si="1"/>
        <v>15750</v>
      </c>
      <c r="Z28" s="152">
        <v>212250</v>
      </c>
      <c r="AA28" s="126">
        <v>6</v>
      </c>
      <c r="AB28" s="127">
        <v>44215</v>
      </c>
      <c r="AC28" s="128">
        <v>44228</v>
      </c>
      <c r="AD28" s="152">
        <v>-195997</v>
      </c>
      <c r="AE28" s="126">
        <v>27</v>
      </c>
      <c r="AF28" s="127">
        <v>44327</v>
      </c>
      <c r="AG28" s="128">
        <v>44341</v>
      </c>
      <c r="AH28" s="152"/>
      <c r="AI28" s="126"/>
      <c r="AJ28" s="153"/>
      <c r="AK28" s="128"/>
      <c r="AL28" s="152"/>
      <c r="AM28" s="126"/>
      <c r="AN28" s="153"/>
      <c r="AO28" s="128"/>
      <c r="AP28" s="152"/>
      <c r="AQ28" s="126"/>
      <c r="AR28" s="153"/>
      <c r="AS28" s="128"/>
      <c r="AT28" s="677">
        <f t="shared" si="3"/>
        <v>16253</v>
      </c>
      <c r="AU28" s="155">
        <f t="shared" si="2"/>
        <v>503</v>
      </c>
    </row>
    <row r="29" spans="1:47" s="148" customFormat="1" x14ac:dyDescent="0.25">
      <c r="B29" s="674">
        <v>16</v>
      </c>
      <c r="C29" s="674" t="s">
        <v>894</v>
      </c>
      <c r="D29" s="669">
        <v>30104061</v>
      </c>
      <c r="E29" s="187" t="s">
        <v>3018</v>
      </c>
      <c r="F29" s="676" t="s">
        <v>200</v>
      </c>
      <c r="G29" s="151" t="s">
        <v>3132</v>
      </c>
      <c r="H29" s="158" t="s">
        <v>2999</v>
      </c>
      <c r="I29" s="673" t="s">
        <v>42</v>
      </c>
      <c r="J29" s="415">
        <v>5368974</v>
      </c>
      <c r="K29" s="125">
        <v>19259</v>
      </c>
      <c r="L29" s="125">
        <f t="shared" si="0"/>
        <v>5349715</v>
      </c>
      <c r="M29" s="125">
        <v>0</v>
      </c>
      <c r="N29" s="125">
        <v>0</v>
      </c>
      <c r="O29" s="125">
        <v>0</v>
      </c>
      <c r="P29" s="125"/>
      <c r="Q29" s="125"/>
      <c r="R29" s="125"/>
      <c r="S29" s="125"/>
      <c r="T29" s="125"/>
      <c r="U29" s="125"/>
      <c r="V29" s="125"/>
      <c r="W29" s="125"/>
      <c r="X29" s="125"/>
      <c r="Y29" s="125">
        <f t="shared" si="1"/>
        <v>0</v>
      </c>
      <c r="Z29" s="152">
        <v>3</v>
      </c>
      <c r="AA29" s="126">
        <v>6</v>
      </c>
      <c r="AB29" s="127">
        <v>44215</v>
      </c>
      <c r="AC29" s="128">
        <v>44228</v>
      </c>
      <c r="AD29" s="152"/>
      <c r="AE29" s="129"/>
      <c r="AF29" s="153"/>
      <c r="AG29" s="128"/>
      <c r="AH29" s="152"/>
      <c r="AI29" s="126"/>
      <c r="AJ29" s="153"/>
      <c r="AK29" s="128"/>
      <c r="AL29" s="152"/>
      <c r="AM29" s="126"/>
      <c r="AN29" s="153"/>
      <c r="AO29" s="128"/>
      <c r="AP29" s="152"/>
      <c r="AQ29" s="126"/>
      <c r="AR29" s="153"/>
      <c r="AS29" s="128"/>
      <c r="AT29" s="677">
        <f t="shared" si="3"/>
        <v>3</v>
      </c>
      <c r="AU29" s="155">
        <f t="shared" si="2"/>
        <v>3</v>
      </c>
    </row>
    <row r="30" spans="1:47" s="148" customFormat="1" x14ac:dyDescent="0.25">
      <c r="B30" s="674">
        <v>17</v>
      </c>
      <c r="C30" s="674" t="s">
        <v>894</v>
      </c>
      <c r="D30" s="669">
        <v>30104105</v>
      </c>
      <c r="E30" s="187" t="s">
        <v>3019</v>
      </c>
      <c r="F30" s="676" t="s">
        <v>200</v>
      </c>
      <c r="G30" s="151" t="s">
        <v>3132</v>
      </c>
      <c r="H30" s="158" t="s">
        <v>2999</v>
      </c>
      <c r="I30" s="673" t="s">
        <v>42</v>
      </c>
      <c r="J30" s="415">
        <v>6328584</v>
      </c>
      <c r="K30" s="125">
        <v>6653</v>
      </c>
      <c r="L30" s="125">
        <f t="shared" si="0"/>
        <v>6321931</v>
      </c>
      <c r="M30" s="125">
        <v>0</v>
      </c>
      <c r="N30" s="125">
        <v>0</v>
      </c>
      <c r="O30" s="125">
        <v>0</v>
      </c>
      <c r="P30" s="125"/>
      <c r="Q30" s="125">
        <v>1400</v>
      </c>
      <c r="R30" s="125">
        <v>1400</v>
      </c>
      <c r="S30" s="125"/>
      <c r="T30" s="125"/>
      <c r="U30" s="125"/>
      <c r="V30" s="125"/>
      <c r="W30" s="125"/>
      <c r="X30" s="125"/>
      <c r="Y30" s="125">
        <f t="shared" si="1"/>
        <v>2800</v>
      </c>
      <c r="Z30" s="152">
        <v>65255</v>
      </c>
      <c r="AA30" s="126">
        <v>6</v>
      </c>
      <c r="AB30" s="127">
        <v>44215</v>
      </c>
      <c r="AC30" s="128">
        <v>44228</v>
      </c>
      <c r="AD30" s="152">
        <v>-50854</v>
      </c>
      <c r="AE30" s="126">
        <v>27</v>
      </c>
      <c r="AF30" s="127">
        <v>44327</v>
      </c>
      <c r="AG30" s="128">
        <v>44341</v>
      </c>
      <c r="AH30" s="152"/>
      <c r="AI30" s="126"/>
      <c r="AJ30" s="153"/>
      <c r="AK30" s="128"/>
      <c r="AL30" s="152"/>
      <c r="AM30" s="126"/>
      <c r="AN30" s="153"/>
      <c r="AO30" s="128"/>
      <c r="AP30" s="152"/>
      <c r="AQ30" s="126"/>
      <c r="AR30" s="153"/>
      <c r="AS30" s="128"/>
      <c r="AT30" s="677">
        <f t="shared" si="3"/>
        <v>14401</v>
      </c>
      <c r="AU30" s="155">
        <f t="shared" si="2"/>
        <v>11601</v>
      </c>
    </row>
    <row r="31" spans="1:47" s="148" customFormat="1" x14ac:dyDescent="0.25">
      <c r="B31" s="674">
        <v>18</v>
      </c>
      <c r="C31" s="674" t="s">
        <v>894</v>
      </c>
      <c r="D31" s="669">
        <v>30104209</v>
      </c>
      <c r="E31" s="187" t="s">
        <v>3020</v>
      </c>
      <c r="F31" s="676" t="s">
        <v>200</v>
      </c>
      <c r="G31" s="151" t="s">
        <v>3132</v>
      </c>
      <c r="H31" s="158" t="s">
        <v>3007</v>
      </c>
      <c r="I31" s="673" t="s">
        <v>43</v>
      </c>
      <c r="J31" s="415">
        <v>411062</v>
      </c>
      <c r="K31" s="125">
        <v>0</v>
      </c>
      <c r="L31" s="125">
        <f t="shared" si="0"/>
        <v>411062</v>
      </c>
      <c r="M31" s="125">
        <v>0</v>
      </c>
      <c r="N31" s="125">
        <v>0</v>
      </c>
      <c r="O31" s="125">
        <v>0</v>
      </c>
      <c r="P31" s="125"/>
      <c r="Q31" s="125"/>
      <c r="R31" s="125"/>
      <c r="S31" s="125"/>
      <c r="T31" s="125"/>
      <c r="U31" s="125"/>
      <c r="V31" s="125"/>
      <c r="W31" s="125"/>
      <c r="X31" s="125"/>
      <c r="Y31" s="125">
        <f t="shared" si="1"/>
        <v>0</v>
      </c>
      <c r="Z31" s="152">
        <v>100291</v>
      </c>
      <c r="AA31" s="126">
        <v>6</v>
      </c>
      <c r="AB31" s="127">
        <v>44215</v>
      </c>
      <c r="AC31" s="128">
        <v>44228</v>
      </c>
      <c r="AD31" s="152">
        <v>-60000</v>
      </c>
      <c r="AE31" s="129">
        <v>39</v>
      </c>
      <c r="AF31" s="127">
        <v>44364</v>
      </c>
      <c r="AG31" s="128">
        <v>44377</v>
      </c>
      <c r="AH31" s="152"/>
      <c r="AI31" s="126"/>
      <c r="AJ31" s="153"/>
      <c r="AK31" s="128"/>
      <c r="AL31" s="152"/>
      <c r="AM31" s="126"/>
      <c r="AN31" s="153"/>
      <c r="AO31" s="128"/>
      <c r="AP31" s="152"/>
      <c r="AQ31" s="126"/>
      <c r="AR31" s="153"/>
      <c r="AS31" s="128"/>
      <c r="AT31" s="677">
        <f t="shared" si="3"/>
        <v>40291</v>
      </c>
      <c r="AU31" s="155">
        <f t="shared" si="2"/>
        <v>40291</v>
      </c>
    </row>
    <row r="32" spans="1:47" s="148" customFormat="1" x14ac:dyDescent="0.25">
      <c r="B32" s="674">
        <v>19</v>
      </c>
      <c r="C32" s="674" t="s">
        <v>894</v>
      </c>
      <c r="D32" s="669">
        <v>30105664</v>
      </c>
      <c r="E32" s="187" t="s">
        <v>3021</v>
      </c>
      <c r="F32" s="676" t="s">
        <v>200</v>
      </c>
      <c r="G32" s="151" t="s">
        <v>3132</v>
      </c>
      <c r="H32" s="158" t="s">
        <v>3022</v>
      </c>
      <c r="I32" s="673" t="s">
        <v>42</v>
      </c>
      <c r="J32" s="415">
        <v>5229665</v>
      </c>
      <c r="K32" s="125">
        <v>29552</v>
      </c>
      <c r="L32" s="125">
        <f t="shared" si="0"/>
        <v>5200113</v>
      </c>
      <c r="M32" s="125">
        <v>0</v>
      </c>
      <c r="N32" s="125">
        <v>0</v>
      </c>
      <c r="O32" s="125">
        <v>37813</v>
      </c>
      <c r="P32" s="125">
        <v>263990</v>
      </c>
      <c r="Q32" s="125"/>
      <c r="R32" s="125">
        <v>305676</v>
      </c>
      <c r="S32" s="125"/>
      <c r="T32" s="125"/>
      <c r="U32" s="125"/>
      <c r="V32" s="125"/>
      <c r="W32" s="125"/>
      <c r="X32" s="125"/>
      <c r="Y32" s="125">
        <f t="shared" si="1"/>
        <v>607479</v>
      </c>
      <c r="Z32" s="152">
        <v>669303</v>
      </c>
      <c r="AA32" s="126">
        <v>6</v>
      </c>
      <c r="AB32" s="127">
        <v>44215</v>
      </c>
      <c r="AC32" s="128">
        <v>44228</v>
      </c>
      <c r="AD32" s="152">
        <v>1227817</v>
      </c>
      <c r="AE32" s="129">
        <v>39</v>
      </c>
      <c r="AF32" s="127">
        <v>44364</v>
      </c>
      <c r="AG32" s="128" t="s">
        <v>3023</v>
      </c>
      <c r="AH32" s="152"/>
      <c r="AI32" s="126"/>
      <c r="AJ32" s="153"/>
      <c r="AK32" s="128"/>
      <c r="AL32" s="152"/>
      <c r="AM32" s="126"/>
      <c r="AN32" s="153"/>
      <c r="AO32" s="128"/>
      <c r="AP32" s="152"/>
      <c r="AQ32" s="126"/>
      <c r="AR32" s="153"/>
      <c r="AS32" s="128"/>
      <c r="AT32" s="677">
        <f t="shared" si="3"/>
        <v>1897120</v>
      </c>
      <c r="AU32" s="155">
        <f t="shared" si="2"/>
        <v>1289641</v>
      </c>
    </row>
    <row r="33" spans="2:47" s="148" customFormat="1" x14ac:dyDescent="0.25">
      <c r="B33" s="674">
        <v>20</v>
      </c>
      <c r="C33" s="674" t="s">
        <v>894</v>
      </c>
      <c r="D33" s="669">
        <v>30113161</v>
      </c>
      <c r="E33" s="187" t="s">
        <v>3024</v>
      </c>
      <c r="F33" s="676" t="s">
        <v>200</v>
      </c>
      <c r="G33" s="151" t="s">
        <v>3132</v>
      </c>
      <c r="H33" s="158" t="s">
        <v>2999</v>
      </c>
      <c r="I33" s="673" t="s">
        <v>42</v>
      </c>
      <c r="J33" s="415">
        <v>2658230</v>
      </c>
      <c r="K33" s="125">
        <v>2651781</v>
      </c>
      <c r="L33" s="125">
        <f t="shared" si="0"/>
        <v>6449</v>
      </c>
      <c r="M33" s="125">
        <v>0</v>
      </c>
      <c r="N33" s="125">
        <v>0</v>
      </c>
      <c r="O33" s="125">
        <v>0</v>
      </c>
      <c r="P33" s="125"/>
      <c r="Q33" s="125">
        <v>5542</v>
      </c>
      <c r="R33" s="125"/>
      <c r="S33" s="125"/>
      <c r="T33" s="125"/>
      <c r="U33" s="125"/>
      <c r="V33" s="125"/>
      <c r="W33" s="125"/>
      <c r="X33" s="125"/>
      <c r="Y33" s="125">
        <f t="shared" si="1"/>
        <v>5542</v>
      </c>
      <c r="Z33" s="152">
        <v>6449</v>
      </c>
      <c r="AA33" s="126">
        <v>6</v>
      </c>
      <c r="AB33" s="127">
        <v>44215</v>
      </c>
      <c r="AC33" s="128">
        <v>44228</v>
      </c>
      <c r="AD33" s="152"/>
      <c r="AE33" s="129"/>
      <c r="AF33" s="153"/>
      <c r="AG33" s="128"/>
      <c r="AH33" s="152"/>
      <c r="AI33" s="126"/>
      <c r="AJ33" s="153"/>
      <c r="AK33" s="128"/>
      <c r="AL33" s="152"/>
      <c r="AM33" s="126"/>
      <c r="AN33" s="153"/>
      <c r="AO33" s="128"/>
      <c r="AP33" s="152"/>
      <c r="AQ33" s="126"/>
      <c r="AR33" s="153"/>
      <c r="AS33" s="128"/>
      <c r="AT33" s="677">
        <f t="shared" si="3"/>
        <v>6449</v>
      </c>
      <c r="AU33" s="155">
        <f t="shared" si="2"/>
        <v>907</v>
      </c>
    </row>
    <row r="34" spans="2:47" s="148" customFormat="1" x14ac:dyDescent="0.25">
      <c r="B34" s="674">
        <v>21</v>
      </c>
      <c r="C34" s="674" t="s">
        <v>894</v>
      </c>
      <c r="D34" s="669">
        <v>30113410</v>
      </c>
      <c r="E34" s="187" t="s">
        <v>3025</v>
      </c>
      <c r="F34" s="676" t="s">
        <v>200</v>
      </c>
      <c r="G34" s="151" t="s">
        <v>3132</v>
      </c>
      <c r="H34" s="158" t="s">
        <v>3026</v>
      </c>
      <c r="I34" s="673" t="s">
        <v>42</v>
      </c>
      <c r="J34" s="415">
        <v>1911755</v>
      </c>
      <c r="K34" s="125">
        <v>815712</v>
      </c>
      <c r="L34" s="125">
        <f t="shared" si="0"/>
        <v>1096043</v>
      </c>
      <c r="M34" s="125">
        <v>0</v>
      </c>
      <c r="N34" s="125">
        <v>270237</v>
      </c>
      <c r="O34" s="125">
        <v>504442</v>
      </c>
      <c r="P34" s="125">
        <v>5353</v>
      </c>
      <c r="Q34" s="125">
        <v>0</v>
      </c>
      <c r="R34" s="125">
        <v>216189</v>
      </c>
      <c r="S34" s="125"/>
      <c r="T34" s="125"/>
      <c r="U34" s="125"/>
      <c r="V34" s="125"/>
      <c r="W34" s="125"/>
      <c r="X34" s="125"/>
      <c r="Y34" s="125">
        <f t="shared" si="1"/>
        <v>996221</v>
      </c>
      <c r="Z34" s="152">
        <v>1095691</v>
      </c>
      <c r="AA34" s="126">
        <v>6</v>
      </c>
      <c r="AB34" s="127">
        <v>44215</v>
      </c>
      <c r="AC34" s="128">
        <v>44228</v>
      </c>
      <c r="AD34" s="152">
        <v>-99467</v>
      </c>
      <c r="AE34" s="126">
        <v>27</v>
      </c>
      <c r="AF34" s="127">
        <v>44327</v>
      </c>
      <c r="AG34" s="128">
        <v>44341</v>
      </c>
      <c r="AH34" s="152"/>
      <c r="AI34" s="126"/>
      <c r="AJ34" s="153"/>
      <c r="AK34" s="128"/>
      <c r="AL34" s="152"/>
      <c r="AM34" s="126"/>
      <c r="AN34" s="153"/>
      <c r="AO34" s="128"/>
      <c r="AP34" s="152"/>
      <c r="AQ34" s="126"/>
      <c r="AR34" s="153"/>
      <c r="AS34" s="128"/>
      <c r="AT34" s="677">
        <f t="shared" si="3"/>
        <v>996224</v>
      </c>
      <c r="AU34" s="155">
        <f t="shared" si="2"/>
        <v>3</v>
      </c>
    </row>
    <row r="35" spans="2:47" s="148" customFormat="1" x14ac:dyDescent="0.25">
      <c r="B35" s="674">
        <v>22</v>
      </c>
      <c r="C35" s="674" t="s">
        <v>894</v>
      </c>
      <c r="D35" s="669">
        <v>30114697</v>
      </c>
      <c r="E35" s="187" t="s">
        <v>3027</v>
      </c>
      <c r="F35" s="676" t="s">
        <v>200</v>
      </c>
      <c r="G35" s="151" t="s">
        <v>3132</v>
      </c>
      <c r="H35" s="158" t="s">
        <v>3022</v>
      </c>
      <c r="I35" s="673" t="s">
        <v>42</v>
      </c>
      <c r="J35" s="415">
        <v>1029457</v>
      </c>
      <c r="K35" s="125">
        <v>1027166</v>
      </c>
      <c r="L35" s="125">
        <f t="shared" si="0"/>
        <v>2291</v>
      </c>
      <c r="M35" s="125">
        <v>0</v>
      </c>
      <c r="N35" s="125">
        <v>0</v>
      </c>
      <c r="O35" s="125">
        <v>0</v>
      </c>
      <c r="P35" s="125"/>
      <c r="Q35" s="125"/>
      <c r="R35" s="125"/>
      <c r="S35" s="125"/>
      <c r="T35" s="125"/>
      <c r="U35" s="125"/>
      <c r="V35" s="125"/>
      <c r="W35" s="125"/>
      <c r="X35" s="125"/>
      <c r="Y35" s="125">
        <f t="shared" si="1"/>
        <v>0</v>
      </c>
      <c r="Z35" s="152">
        <v>2292</v>
      </c>
      <c r="AA35" s="126">
        <v>6</v>
      </c>
      <c r="AB35" s="127">
        <v>44215</v>
      </c>
      <c r="AC35" s="128">
        <v>44228</v>
      </c>
      <c r="AD35" s="152"/>
      <c r="AE35" s="129"/>
      <c r="AF35" s="153"/>
      <c r="AG35" s="128"/>
      <c r="AH35" s="152"/>
      <c r="AI35" s="126"/>
      <c r="AJ35" s="153"/>
      <c r="AK35" s="128"/>
      <c r="AL35" s="152"/>
      <c r="AM35" s="126"/>
      <c r="AN35" s="153"/>
      <c r="AO35" s="128"/>
      <c r="AP35" s="152"/>
      <c r="AQ35" s="126"/>
      <c r="AR35" s="153"/>
      <c r="AS35" s="128"/>
      <c r="AT35" s="677">
        <f t="shared" si="3"/>
        <v>2292</v>
      </c>
      <c r="AU35" s="155">
        <f t="shared" si="2"/>
        <v>2292</v>
      </c>
    </row>
    <row r="36" spans="2:47" s="148" customFormat="1" x14ac:dyDescent="0.25">
      <c r="B36" s="674">
        <v>23</v>
      </c>
      <c r="C36" s="674" t="s">
        <v>894</v>
      </c>
      <c r="D36" s="669">
        <v>30119106</v>
      </c>
      <c r="E36" s="187" t="s">
        <v>3028</v>
      </c>
      <c r="F36" s="676" t="s">
        <v>200</v>
      </c>
      <c r="G36" s="151" t="s">
        <v>3132</v>
      </c>
      <c r="H36" s="158" t="s">
        <v>3017</v>
      </c>
      <c r="I36" s="673" t="s">
        <v>42</v>
      </c>
      <c r="J36" s="415">
        <v>1245190</v>
      </c>
      <c r="K36" s="125">
        <v>1014405</v>
      </c>
      <c r="L36" s="125">
        <f t="shared" si="0"/>
        <v>230785</v>
      </c>
      <c r="M36" s="125">
        <v>0</v>
      </c>
      <c r="N36" s="125">
        <v>158733</v>
      </c>
      <c r="O36" s="125">
        <v>49199</v>
      </c>
      <c r="P36" s="125">
        <v>9745</v>
      </c>
      <c r="Q36" s="125"/>
      <c r="R36" s="125"/>
      <c r="S36" s="125"/>
      <c r="T36" s="125"/>
      <c r="U36" s="125"/>
      <c r="V36" s="125"/>
      <c r="W36" s="125"/>
      <c r="X36" s="125"/>
      <c r="Y36" s="125">
        <f t="shared" si="1"/>
        <v>217677</v>
      </c>
      <c r="Z36" s="152">
        <v>230787</v>
      </c>
      <c r="AA36" s="126">
        <v>6</v>
      </c>
      <c r="AB36" s="127">
        <v>44215</v>
      </c>
      <c r="AC36" s="128">
        <v>44228</v>
      </c>
      <c r="AD36" s="152">
        <v>-13110</v>
      </c>
      <c r="AE36" s="129">
        <v>39</v>
      </c>
      <c r="AF36" s="127">
        <v>44364</v>
      </c>
      <c r="AG36" s="128">
        <v>44377</v>
      </c>
      <c r="AH36" s="152"/>
      <c r="AI36" s="126"/>
      <c r="AJ36" s="153"/>
      <c r="AK36" s="128"/>
      <c r="AL36" s="152"/>
      <c r="AM36" s="126"/>
      <c r="AN36" s="153"/>
      <c r="AO36" s="128"/>
      <c r="AP36" s="152"/>
      <c r="AQ36" s="126"/>
      <c r="AR36" s="153"/>
      <c r="AS36" s="128"/>
      <c r="AT36" s="677">
        <f t="shared" si="3"/>
        <v>217677</v>
      </c>
      <c r="AU36" s="155">
        <f t="shared" si="2"/>
        <v>0</v>
      </c>
    </row>
    <row r="37" spans="2:47" s="148" customFormat="1" x14ac:dyDescent="0.25">
      <c r="B37" s="674">
        <v>24</v>
      </c>
      <c r="C37" s="674" t="s">
        <v>894</v>
      </c>
      <c r="D37" s="669">
        <v>30121105</v>
      </c>
      <c r="E37" s="187" t="s">
        <v>3029</v>
      </c>
      <c r="F37" s="676" t="s">
        <v>200</v>
      </c>
      <c r="G37" s="151" t="s">
        <v>3132</v>
      </c>
      <c r="H37" s="158" t="s">
        <v>44</v>
      </c>
      <c r="I37" s="673" t="s">
        <v>43</v>
      </c>
      <c r="J37" s="415">
        <v>3670738</v>
      </c>
      <c r="K37" s="125">
        <v>0</v>
      </c>
      <c r="L37" s="125">
        <f t="shared" si="0"/>
        <v>3670738</v>
      </c>
      <c r="M37" s="125">
        <v>0</v>
      </c>
      <c r="N37" s="125">
        <v>0</v>
      </c>
      <c r="O37" s="125">
        <v>0</v>
      </c>
      <c r="P37" s="125"/>
      <c r="Q37" s="125"/>
      <c r="R37" s="125"/>
      <c r="S37" s="125"/>
      <c r="T37" s="125"/>
      <c r="U37" s="125"/>
      <c r="V37" s="125"/>
      <c r="W37" s="125"/>
      <c r="X37" s="125"/>
      <c r="Y37" s="125">
        <f t="shared" si="1"/>
        <v>0</v>
      </c>
      <c r="Z37" s="152">
        <v>2</v>
      </c>
      <c r="AA37" s="126">
        <v>6</v>
      </c>
      <c r="AB37" s="127">
        <v>44215</v>
      </c>
      <c r="AC37" s="128">
        <v>44228</v>
      </c>
      <c r="AD37" s="152"/>
      <c r="AE37" s="129"/>
      <c r="AF37" s="153"/>
      <c r="AG37" s="128"/>
      <c r="AH37" s="152"/>
      <c r="AI37" s="126"/>
      <c r="AJ37" s="153"/>
      <c r="AK37" s="128"/>
      <c r="AL37" s="152"/>
      <c r="AM37" s="126"/>
      <c r="AN37" s="153"/>
      <c r="AO37" s="128"/>
      <c r="AP37" s="152"/>
      <c r="AQ37" s="126"/>
      <c r="AR37" s="153"/>
      <c r="AS37" s="128"/>
      <c r="AT37" s="677">
        <f t="shared" si="3"/>
        <v>2</v>
      </c>
      <c r="AU37" s="155">
        <f t="shared" si="2"/>
        <v>2</v>
      </c>
    </row>
    <row r="38" spans="2:47" s="148" customFormat="1" x14ac:dyDescent="0.25">
      <c r="B38" s="674">
        <v>25</v>
      </c>
      <c r="C38" s="674" t="s">
        <v>894</v>
      </c>
      <c r="D38" s="669">
        <v>30123231</v>
      </c>
      <c r="E38" s="187" t="s">
        <v>3030</v>
      </c>
      <c r="F38" s="676" t="s">
        <v>200</v>
      </c>
      <c r="G38" s="151" t="s">
        <v>3132</v>
      </c>
      <c r="H38" s="158" t="s">
        <v>44</v>
      </c>
      <c r="I38" s="673" t="s">
        <v>42</v>
      </c>
      <c r="J38" s="415">
        <v>6309129</v>
      </c>
      <c r="K38" s="125">
        <v>6152243</v>
      </c>
      <c r="L38" s="125">
        <f t="shared" si="0"/>
        <v>156886</v>
      </c>
      <c r="M38" s="125">
        <v>0</v>
      </c>
      <c r="N38" s="125">
        <v>0</v>
      </c>
      <c r="O38" s="125">
        <v>20403</v>
      </c>
      <c r="P38" s="125">
        <v>11592</v>
      </c>
      <c r="Q38" s="125">
        <v>9141</v>
      </c>
      <c r="R38" s="125"/>
      <c r="S38" s="125"/>
      <c r="T38" s="125"/>
      <c r="U38" s="125"/>
      <c r="V38" s="125"/>
      <c r="W38" s="125"/>
      <c r="X38" s="125"/>
      <c r="Y38" s="125">
        <f t="shared" si="1"/>
        <v>41136</v>
      </c>
      <c r="Z38" s="152">
        <v>155943</v>
      </c>
      <c r="AA38" s="126">
        <v>6</v>
      </c>
      <c r="AB38" s="127">
        <v>44215</v>
      </c>
      <c r="AC38" s="128">
        <v>44228</v>
      </c>
      <c r="AD38" s="152"/>
      <c r="AE38" s="129"/>
      <c r="AF38" s="153"/>
      <c r="AG38" s="128"/>
      <c r="AH38" s="152"/>
      <c r="AI38" s="126"/>
      <c r="AJ38" s="153"/>
      <c r="AK38" s="128"/>
      <c r="AL38" s="152"/>
      <c r="AM38" s="126"/>
      <c r="AN38" s="153"/>
      <c r="AO38" s="128"/>
      <c r="AP38" s="152"/>
      <c r="AQ38" s="126"/>
      <c r="AR38" s="153"/>
      <c r="AS38" s="128"/>
      <c r="AT38" s="677">
        <f t="shared" si="3"/>
        <v>155943</v>
      </c>
      <c r="AU38" s="155">
        <f t="shared" si="2"/>
        <v>114807</v>
      </c>
    </row>
    <row r="39" spans="2:47" s="148" customFormat="1" x14ac:dyDescent="0.25">
      <c r="B39" s="674">
        <v>26</v>
      </c>
      <c r="C39" s="674" t="s">
        <v>894</v>
      </c>
      <c r="D39" s="669">
        <v>30123644</v>
      </c>
      <c r="E39" s="187" t="s">
        <v>3031</v>
      </c>
      <c r="F39" s="676" t="s">
        <v>200</v>
      </c>
      <c r="G39" s="151" t="s">
        <v>3132</v>
      </c>
      <c r="H39" s="158" t="s">
        <v>3001</v>
      </c>
      <c r="I39" s="673" t="s">
        <v>42</v>
      </c>
      <c r="J39" s="415">
        <v>2063678</v>
      </c>
      <c r="K39" s="125">
        <v>15266</v>
      </c>
      <c r="L39" s="125">
        <f t="shared" si="0"/>
        <v>2048412</v>
      </c>
      <c r="M39" s="125">
        <v>0</v>
      </c>
      <c r="N39" s="125">
        <v>0</v>
      </c>
      <c r="O39" s="125">
        <v>0</v>
      </c>
      <c r="P39" s="125"/>
      <c r="Q39" s="125"/>
      <c r="R39" s="125"/>
      <c r="S39" s="125"/>
      <c r="T39" s="125"/>
      <c r="U39" s="125"/>
      <c r="V39" s="125"/>
      <c r="W39" s="125"/>
      <c r="X39" s="125"/>
      <c r="Y39" s="125">
        <f t="shared" si="1"/>
        <v>0</v>
      </c>
      <c r="Z39" s="152">
        <v>4</v>
      </c>
      <c r="AA39" s="126">
        <v>6</v>
      </c>
      <c r="AB39" s="127">
        <v>44215</v>
      </c>
      <c r="AC39" s="128">
        <v>44228</v>
      </c>
      <c r="AD39" s="152"/>
      <c r="AE39" s="129"/>
      <c r="AF39" s="153"/>
      <c r="AG39" s="128"/>
      <c r="AH39" s="152"/>
      <c r="AI39" s="126"/>
      <c r="AJ39" s="153"/>
      <c r="AK39" s="128"/>
      <c r="AL39" s="152"/>
      <c r="AM39" s="126"/>
      <c r="AN39" s="153"/>
      <c r="AO39" s="128"/>
      <c r="AP39" s="152"/>
      <c r="AQ39" s="126"/>
      <c r="AR39" s="153"/>
      <c r="AS39" s="128"/>
      <c r="AT39" s="677">
        <f t="shared" si="3"/>
        <v>4</v>
      </c>
      <c r="AU39" s="155">
        <f t="shared" si="2"/>
        <v>4</v>
      </c>
    </row>
    <row r="40" spans="2:47" s="148" customFormat="1" x14ac:dyDescent="0.25">
      <c r="B40" s="674">
        <v>27</v>
      </c>
      <c r="C40" s="674" t="s">
        <v>894</v>
      </c>
      <c r="D40" s="669">
        <v>30129766</v>
      </c>
      <c r="E40" s="187" t="s">
        <v>3032</v>
      </c>
      <c r="F40" s="676" t="s">
        <v>200</v>
      </c>
      <c r="G40" s="151" t="s">
        <v>3132</v>
      </c>
      <c r="H40" s="158" t="s">
        <v>3026</v>
      </c>
      <c r="I40" s="673" t="s">
        <v>42</v>
      </c>
      <c r="J40" s="415">
        <v>2870171</v>
      </c>
      <c r="K40" s="125">
        <v>22850</v>
      </c>
      <c r="L40" s="125">
        <f t="shared" si="0"/>
        <v>2847321</v>
      </c>
      <c r="M40" s="125">
        <v>0</v>
      </c>
      <c r="N40" s="125">
        <v>0</v>
      </c>
      <c r="O40" s="125">
        <v>0</v>
      </c>
      <c r="P40" s="125"/>
      <c r="Q40" s="125"/>
      <c r="R40" s="125"/>
      <c r="S40" s="125"/>
      <c r="T40" s="125"/>
      <c r="U40" s="125"/>
      <c r="V40" s="125"/>
      <c r="W40" s="125"/>
      <c r="X40" s="125"/>
      <c r="Y40" s="125">
        <f t="shared" si="1"/>
        <v>0</v>
      </c>
      <c r="Z40" s="152">
        <v>3</v>
      </c>
      <c r="AA40" s="126">
        <v>6</v>
      </c>
      <c r="AB40" s="127">
        <v>44215</v>
      </c>
      <c r="AC40" s="128">
        <v>44228</v>
      </c>
      <c r="AD40" s="152"/>
      <c r="AE40" s="129"/>
      <c r="AF40" s="153"/>
      <c r="AG40" s="128"/>
      <c r="AH40" s="152"/>
      <c r="AI40" s="126"/>
      <c r="AJ40" s="153"/>
      <c r="AK40" s="128"/>
      <c r="AL40" s="152"/>
      <c r="AM40" s="126"/>
      <c r="AN40" s="153"/>
      <c r="AO40" s="128"/>
      <c r="AP40" s="152"/>
      <c r="AQ40" s="126"/>
      <c r="AR40" s="153"/>
      <c r="AS40" s="128"/>
      <c r="AT40" s="677">
        <f t="shared" si="3"/>
        <v>3</v>
      </c>
      <c r="AU40" s="155">
        <f t="shared" si="2"/>
        <v>3</v>
      </c>
    </row>
    <row r="41" spans="2:47" s="148" customFormat="1" x14ac:dyDescent="0.25">
      <c r="B41" s="674">
        <v>28</v>
      </c>
      <c r="C41" s="674" t="s">
        <v>894</v>
      </c>
      <c r="D41" s="669">
        <v>30135597</v>
      </c>
      <c r="E41" s="187" t="s">
        <v>3033</v>
      </c>
      <c r="F41" s="676" t="s">
        <v>200</v>
      </c>
      <c r="G41" s="151" t="s">
        <v>3132</v>
      </c>
      <c r="H41" s="158" t="s">
        <v>3034</v>
      </c>
      <c r="I41" s="673" t="s">
        <v>42</v>
      </c>
      <c r="J41" s="415">
        <v>2709493</v>
      </c>
      <c r="K41" s="125">
        <v>2633705</v>
      </c>
      <c r="L41" s="125">
        <f t="shared" si="0"/>
        <v>75788</v>
      </c>
      <c r="M41" s="125">
        <v>0</v>
      </c>
      <c r="N41" s="125">
        <v>0</v>
      </c>
      <c r="O41" s="125">
        <v>1011</v>
      </c>
      <c r="P41" s="125"/>
      <c r="Q41" s="125">
        <v>16</v>
      </c>
      <c r="R41" s="125"/>
      <c r="S41" s="125"/>
      <c r="T41" s="125"/>
      <c r="U41" s="125"/>
      <c r="V41" s="125"/>
      <c r="W41" s="125"/>
      <c r="X41" s="125"/>
      <c r="Y41" s="125">
        <f t="shared" si="1"/>
        <v>1027</v>
      </c>
      <c r="Z41" s="152">
        <v>61401</v>
      </c>
      <c r="AA41" s="126">
        <v>6</v>
      </c>
      <c r="AB41" s="127">
        <v>44215</v>
      </c>
      <c r="AC41" s="128">
        <v>44228</v>
      </c>
      <c r="AD41" s="152">
        <v>-49623</v>
      </c>
      <c r="AE41" s="129">
        <v>39</v>
      </c>
      <c r="AF41" s="127">
        <v>44364</v>
      </c>
      <c r="AG41" s="128">
        <v>44377</v>
      </c>
      <c r="AH41" s="152"/>
      <c r="AI41" s="126"/>
      <c r="AJ41" s="153"/>
      <c r="AK41" s="128"/>
      <c r="AL41" s="152"/>
      <c r="AM41" s="126"/>
      <c r="AN41" s="153"/>
      <c r="AO41" s="128"/>
      <c r="AP41" s="152"/>
      <c r="AQ41" s="126"/>
      <c r="AR41" s="153"/>
      <c r="AS41" s="128"/>
      <c r="AT41" s="677">
        <f t="shared" si="3"/>
        <v>11778</v>
      </c>
      <c r="AU41" s="155">
        <f t="shared" si="2"/>
        <v>10751</v>
      </c>
    </row>
    <row r="42" spans="2:47" s="148" customFormat="1" x14ac:dyDescent="0.25">
      <c r="B42" s="674">
        <v>29</v>
      </c>
      <c r="C42" s="674" t="s">
        <v>894</v>
      </c>
      <c r="D42" s="669">
        <v>30136075</v>
      </c>
      <c r="E42" s="187" t="s">
        <v>3035</v>
      </c>
      <c r="F42" s="676" t="s">
        <v>204</v>
      </c>
      <c r="G42" s="151" t="s">
        <v>3132</v>
      </c>
      <c r="H42" s="158" t="s">
        <v>3005</v>
      </c>
      <c r="I42" s="673" t="s">
        <v>43</v>
      </c>
      <c r="J42" s="415">
        <v>101000</v>
      </c>
      <c r="K42" s="125">
        <v>0</v>
      </c>
      <c r="L42" s="125">
        <f t="shared" si="0"/>
        <v>101000</v>
      </c>
      <c r="M42" s="125">
        <v>0</v>
      </c>
      <c r="N42" s="125">
        <v>0</v>
      </c>
      <c r="O42" s="125">
        <v>0</v>
      </c>
      <c r="P42" s="125"/>
      <c r="Q42" s="125"/>
      <c r="R42" s="125">
        <v>20000</v>
      </c>
      <c r="S42" s="125"/>
      <c r="T42" s="125"/>
      <c r="U42" s="125"/>
      <c r="V42" s="125"/>
      <c r="W42" s="125"/>
      <c r="X42" s="125"/>
      <c r="Y42" s="125">
        <f t="shared" si="1"/>
        <v>20000</v>
      </c>
      <c r="Z42" s="152">
        <v>51000</v>
      </c>
      <c r="AA42" s="126">
        <v>6</v>
      </c>
      <c r="AB42" s="127">
        <v>44215</v>
      </c>
      <c r="AC42" s="128">
        <v>44228</v>
      </c>
      <c r="AD42" s="152"/>
      <c r="AE42" s="129"/>
      <c r="AF42" s="153"/>
      <c r="AG42" s="128"/>
      <c r="AH42" s="152"/>
      <c r="AI42" s="126"/>
      <c r="AJ42" s="153"/>
      <c r="AK42" s="128"/>
      <c r="AL42" s="152"/>
      <c r="AM42" s="126"/>
      <c r="AN42" s="153"/>
      <c r="AO42" s="128"/>
      <c r="AP42" s="152"/>
      <c r="AQ42" s="126"/>
      <c r="AR42" s="153"/>
      <c r="AS42" s="128"/>
      <c r="AT42" s="677">
        <f t="shared" si="3"/>
        <v>51000</v>
      </c>
      <c r="AU42" s="155">
        <f t="shared" si="2"/>
        <v>31000</v>
      </c>
    </row>
    <row r="43" spans="2:47" s="148" customFormat="1" x14ac:dyDescent="0.25">
      <c r="B43" s="674">
        <v>30</v>
      </c>
      <c r="C43" s="674" t="s">
        <v>894</v>
      </c>
      <c r="D43" s="669">
        <v>30136109</v>
      </c>
      <c r="E43" s="187" t="s">
        <v>3036</v>
      </c>
      <c r="F43" s="676" t="s">
        <v>204</v>
      </c>
      <c r="G43" s="151" t="s">
        <v>3132</v>
      </c>
      <c r="H43" s="158" t="s">
        <v>3017</v>
      </c>
      <c r="I43" s="673" t="s">
        <v>42</v>
      </c>
      <c r="J43" s="415">
        <v>106101</v>
      </c>
      <c r="K43" s="125">
        <v>53101</v>
      </c>
      <c r="L43" s="125">
        <f t="shared" si="0"/>
        <v>53000</v>
      </c>
      <c r="M43" s="125">
        <v>0</v>
      </c>
      <c r="N43" s="125">
        <v>0</v>
      </c>
      <c r="O43" s="125">
        <v>31800</v>
      </c>
      <c r="P43" s="125"/>
      <c r="Q43" s="125"/>
      <c r="R43" s="125"/>
      <c r="S43" s="125"/>
      <c r="T43" s="125"/>
      <c r="U43" s="125"/>
      <c r="V43" s="125"/>
      <c r="W43" s="125"/>
      <c r="X43" s="125"/>
      <c r="Y43" s="125">
        <f t="shared" si="1"/>
        <v>31800</v>
      </c>
      <c r="Z43" s="152">
        <v>53000</v>
      </c>
      <c r="AA43" s="126">
        <v>6</v>
      </c>
      <c r="AB43" s="127">
        <v>44215</v>
      </c>
      <c r="AC43" s="128">
        <v>44228</v>
      </c>
      <c r="AD43" s="152"/>
      <c r="AE43" s="129"/>
      <c r="AF43" s="153"/>
      <c r="AG43" s="128"/>
      <c r="AH43" s="152"/>
      <c r="AI43" s="126"/>
      <c r="AJ43" s="153"/>
      <c r="AK43" s="128"/>
      <c r="AL43" s="152"/>
      <c r="AM43" s="126"/>
      <c r="AN43" s="153"/>
      <c r="AO43" s="128"/>
      <c r="AP43" s="152"/>
      <c r="AQ43" s="126"/>
      <c r="AR43" s="153"/>
      <c r="AS43" s="128"/>
      <c r="AT43" s="677">
        <f t="shared" si="3"/>
        <v>53000</v>
      </c>
      <c r="AU43" s="155">
        <f t="shared" si="2"/>
        <v>21200</v>
      </c>
    </row>
    <row r="44" spans="2:47" s="148" customFormat="1" x14ac:dyDescent="0.25">
      <c r="B44" s="674">
        <v>31</v>
      </c>
      <c r="C44" s="674" t="s">
        <v>894</v>
      </c>
      <c r="D44" s="669">
        <v>30136734</v>
      </c>
      <c r="E44" s="187" t="s">
        <v>3037</v>
      </c>
      <c r="F44" s="676" t="s">
        <v>200</v>
      </c>
      <c r="G44" s="151" t="s">
        <v>3132</v>
      </c>
      <c r="H44" s="158" t="s">
        <v>3038</v>
      </c>
      <c r="I44" s="673" t="s">
        <v>42</v>
      </c>
      <c r="J44" s="415">
        <v>309993</v>
      </c>
      <c r="K44" s="125">
        <v>264003</v>
      </c>
      <c r="L44" s="125">
        <f t="shared" si="0"/>
        <v>45990</v>
      </c>
      <c r="M44" s="125">
        <v>0</v>
      </c>
      <c r="N44" s="125">
        <v>0</v>
      </c>
      <c r="O44" s="125">
        <v>0</v>
      </c>
      <c r="P44" s="125"/>
      <c r="Q44" s="125"/>
      <c r="R44" s="125"/>
      <c r="S44" s="125"/>
      <c r="T44" s="125"/>
      <c r="U44" s="125"/>
      <c r="V44" s="125"/>
      <c r="W44" s="125"/>
      <c r="X44" s="125"/>
      <c r="Y44" s="125">
        <f t="shared" si="1"/>
        <v>0</v>
      </c>
      <c r="Z44" s="152">
        <v>45990</v>
      </c>
      <c r="AA44" s="126">
        <v>6</v>
      </c>
      <c r="AB44" s="127">
        <v>44215</v>
      </c>
      <c r="AC44" s="128">
        <v>44228</v>
      </c>
      <c r="AD44" s="152">
        <v>-45988</v>
      </c>
      <c r="AE44" s="126">
        <v>27</v>
      </c>
      <c r="AF44" s="127">
        <v>44327</v>
      </c>
      <c r="AG44" s="128">
        <v>44341</v>
      </c>
      <c r="AH44" s="152"/>
      <c r="AI44" s="126"/>
      <c r="AJ44" s="153"/>
      <c r="AK44" s="128"/>
      <c r="AL44" s="152"/>
      <c r="AM44" s="126"/>
      <c r="AN44" s="153"/>
      <c r="AO44" s="128"/>
      <c r="AP44" s="152"/>
      <c r="AQ44" s="126"/>
      <c r="AR44" s="153"/>
      <c r="AS44" s="128"/>
      <c r="AT44" s="677">
        <f t="shared" si="3"/>
        <v>2</v>
      </c>
      <c r="AU44" s="155">
        <f t="shared" si="2"/>
        <v>2</v>
      </c>
    </row>
    <row r="45" spans="2:47" s="148" customFormat="1" x14ac:dyDescent="0.25">
      <c r="B45" s="674">
        <v>32</v>
      </c>
      <c r="C45" s="674" t="s">
        <v>894</v>
      </c>
      <c r="D45" s="669">
        <v>30243873</v>
      </c>
      <c r="E45" s="187" t="s">
        <v>3039</v>
      </c>
      <c r="F45" s="676" t="s">
        <v>204</v>
      </c>
      <c r="G45" s="151" t="s">
        <v>3132</v>
      </c>
      <c r="H45" s="158" t="s">
        <v>3017</v>
      </c>
      <c r="I45" s="673" t="s">
        <v>43</v>
      </c>
      <c r="J45" s="415">
        <v>331802</v>
      </c>
      <c r="K45" s="125">
        <v>0</v>
      </c>
      <c r="L45" s="125">
        <f t="shared" si="0"/>
        <v>331802</v>
      </c>
      <c r="M45" s="125">
        <v>0</v>
      </c>
      <c r="N45" s="125">
        <v>0</v>
      </c>
      <c r="O45" s="125">
        <v>0</v>
      </c>
      <c r="P45" s="125"/>
      <c r="Q45" s="125"/>
      <c r="R45" s="125"/>
      <c r="S45" s="125"/>
      <c r="T45" s="125"/>
      <c r="U45" s="125"/>
      <c r="V45" s="125"/>
      <c r="W45" s="125"/>
      <c r="X45" s="125"/>
      <c r="Y45" s="125">
        <f t="shared" si="1"/>
        <v>0</v>
      </c>
      <c r="Z45" s="152">
        <v>2</v>
      </c>
      <c r="AA45" s="126">
        <v>6</v>
      </c>
      <c r="AB45" s="127">
        <v>44215</v>
      </c>
      <c r="AC45" s="128">
        <v>44228</v>
      </c>
      <c r="AD45" s="152"/>
      <c r="AE45" s="129"/>
      <c r="AF45" s="153"/>
      <c r="AG45" s="128"/>
      <c r="AH45" s="152"/>
      <c r="AI45" s="126"/>
      <c r="AJ45" s="153"/>
      <c r="AK45" s="128"/>
      <c r="AL45" s="152"/>
      <c r="AM45" s="126"/>
      <c r="AN45" s="153"/>
      <c r="AO45" s="128"/>
      <c r="AP45" s="152"/>
      <c r="AQ45" s="126"/>
      <c r="AR45" s="153"/>
      <c r="AS45" s="128"/>
      <c r="AT45" s="677">
        <f t="shared" si="3"/>
        <v>2</v>
      </c>
      <c r="AU45" s="155">
        <f t="shared" si="2"/>
        <v>2</v>
      </c>
    </row>
    <row r="46" spans="2:47" s="148" customFormat="1" x14ac:dyDescent="0.25">
      <c r="B46" s="674">
        <v>33</v>
      </c>
      <c r="C46" s="674" t="s">
        <v>894</v>
      </c>
      <c r="D46" s="669">
        <v>30343880</v>
      </c>
      <c r="E46" s="187" t="s">
        <v>3040</v>
      </c>
      <c r="F46" s="676" t="s">
        <v>204</v>
      </c>
      <c r="G46" s="151" t="s">
        <v>3132</v>
      </c>
      <c r="H46" s="158" t="s">
        <v>2999</v>
      </c>
      <c r="I46" s="673" t="s">
        <v>42</v>
      </c>
      <c r="J46" s="415">
        <v>232495</v>
      </c>
      <c r="K46" s="125">
        <v>187815</v>
      </c>
      <c r="L46" s="125">
        <f t="shared" si="0"/>
        <v>44680</v>
      </c>
      <c r="M46" s="125">
        <v>0</v>
      </c>
      <c r="N46" s="125">
        <v>0</v>
      </c>
      <c r="O46" s="125">
        <v>0</v>
      </c>
      <c r="P46" s="125"/>
      <c r="Q46" s="125"/>
      <c r="R46" s="125"/>
      <c r="S46" s="125"/>
      <c r="T46" s="125"/>
      <c r="U46" s="125"/>
      <c r="V46" s="125"/>
      <c r="W46" s="125"/>
      <c r="X46" s="125"/>
      <c r="Y46" s="125">
        <f t="shared" ref="Y46:Y76" si="4">SUM(M46:X46)</f>
        <v>0</v>
      </c>
      <c r="Z46" s="152">
        <v>44680</v>
      </c>
      <c r="AA46" s="126">
        <v>6</v>
      </c>
      <c r="AB46" s="127">
        <v>44215</v>
      </c>
      <c r="AC46" s="128">
        <v>44228</v>
      </c>
      <c r="AD46" s="152">
        <v>-23538</v>
      </c>
      <c r="AE46" s="126">
        <v>27</v>
      </c>
      <c r="AF46" s="127">
        <v>44327</v>
      </c>
      <c r="AG46" s="128">
        <v>44341</v>
      </c>
      <c r="AH46" s="152"/>
      <c r="AI46" s="126"/>
      <c r="AJ46" s="153"/>
      <c r="AK46" s="128"/>
      <c r="AL46" s="152"/>
      <c r="AM46" s="126"/>
      <c r="AN46" s="153"/>
      <c r="AO46" s="128"/>
      <c r="AP46" s="152"/>
      <c r="AQ46" s="126"/>
      <c r="AR46" s="153"/>
      <c r="AS46" s="128"/>
      <c r="AT46" s="677">
        <f t="shared" si="3"/>
        <v>21142</v>
      </c>
      <c r="AU46" s="155">
        <f t="shared" si="2"/>
        <v>21142</v>
      </c>
    </row>
    <row r="47" spans="2:47" s="148" customFormat="1" x14ac:dyDescent="0.25">
      <c r="B47" s="674">
        <v>34</v>
      </c>
      <c r="C47" s="674" t="s">
        <v>894</v>
      </c>
      <c r="D47" s="669">
        <v>30343923</v>
      </c>
      <c r="E47" s="187" t="s">
        <v>3041</v>
      </c>
      <c r="F47" s="676" t="s">
        <v>204</v>
      </c>
      <c r="G47" s="151" t="s">
        <v>3132</v>
      </c>
      <c r="H47" s="158" t="s">
        <v>2999</v>
      </c>
      <c r="I47" s="673" t="s">
        <v>42</v>
      </c>
      <c r="J47" s="415">
        <v>232495</v>
      </c>
      <c r="K47" s="125">
        <v>187815</v>
      </c>
      <c r="L47" s="125">
        <f t="shared" si="0"/>
        <v>44680</v>
      </c>
      <c r="M47" s="125">
        <v>0</v>
      </c>
      <c r="N47" s="125">
        <v>0</v>
      </c>
      <c r="O47" s="125">
        <v>0</v>
      </c>
      <c r="P47" s="125"/>
      <c r="Q47" s="125"/>
      <c r="R47" s="125"/>
      <c r="S47" s="125"/>
      <c r="T47" s="125"/>
      <c r="U47" s="125"/>
      <c r="V47" s="125"/>
      <c r="W47" s="125"/>
      <c r="X47" s="125"/>
      <c r="Y47" s="125">
        <f t="shared" si="4"/>
        <v>0</v>
      </c>
      <c r="Z47" s="152">
        <v>44680</v>
      </c>
      <c r="AA47" s="126">
        <v>6</v>
      </c>
      <c r="AB47" s="127">
        <v>44215</v>
      </c>
      <c r="AC47" s="128">
        <v>44228</v>
      </c>
      <c r="AD47" s="152">
        <v>-23538</v>
      </c>
      <c r="AE47" s="126">
        <v>27</v>
      </c>
      <c r="AF47" s="127">
        <v>44327</v>
      </c>
      <c r="AG47" s="128">
        <v>44341</v>
      </c>
      <c r="AH47" s="152"/>
      <c r="AI47" s="126"/>
      <c r="AJ47" s="153"/>
      <c r="AK47" s="128"/>
      <c r="AL47" s="152"/>
      <c r="AM47" s="126"/>
      <c r="AN47" s="153"/>
      <c r="AO47" s="128"/>
      <c r="AP47" s="152"/>
      <c r="AQ47" s="126"/>
      <c r="AR47" s="153"/>
      <c r="AS47" s="128"/>
      <c r="AT47" s="677">
        <f t="shared" si="3"/>
        <v>21142</v>
      </c>
      <c r="AU47" s="155">
        <f t="shared" si="2"/>
        <v>21142</v>
      </c>
    </row>
    <row r="48" spans="2:47" s="148" customFormat="1" x14ac:dyDescent="0.25">
      <c r="B48" s="674">
        <v>35</v>
      </c>
      <c r="C48" s="674" t="s">
        <v>894</v>
      </c>
      <c r="D48" s="669">
        <v>30351000</v>
      </c>
      <c r="E48" s="187" t="s">
        <v>3042</v>
      </c>
      <c r="F48" s="676" t="s">
        <v>200</v>
      </c>
      <c r="G48" s="151" t="s">
        <v>3132</v>
      </c>
      <c r="H48" s="158" t="s">
        <v>3005</v>
      </c>
      <c r="I48" s="673" t="s">
        <v>43</v>
      </c>
      <c r="J48" s="415">
        <v>1146642</v>
      </c>
      <c r="K48" s="125">
        <v>0</v>
      </c>
      <c r="L48" s="125">
        <f t="shared" si="0"/>
        <v>1146642</v>
      </c>
      <c r="M48" s="125">
        <v>0</v>
      </c>
      <c r="N48" s="125">
        <v>0</v>
      </c>
      <c r="O48" s="125">
        <v>131895</v>
      </c>
      <c r="P48" s="125">
        <v>97910</v>
      </c>
      <c r="Q48" s="125">
        <v>93216</v>
      </c>
      <c r="R48" s="125">
        <v>119195</v>
      </c>
      <c r="S48" s="125"/>
      <c r="T48" s="125"/>
      <c r="U48" s="125"/>
      <c r="V48" s="125"/>
      <c r="W48" s="125"/>
      <c r="X48" s="125"/>
      <c r="Y48" s="125">
        <f t="shared" si="4"/>
        <v>442216</v>
      </c>
      <c r="Z48" s="152">
        <v>719886</v>
      </c>
      <c r="AA48" s="126">
        <v>6</v>
      </c>
      <c r="AB48" s="127">
        <v>44215</v>
      </c>
      <c r="AC48" s="128">
        <v>44228</v>
      </c>
      <c r="AD48" s="152">
        <v>309527</v>
      </c>
      <c r="AE48" s="129">
        <v>39</v>
      </c>
      <c r="AF48" s="127">
        <v>44364</v>
      </c>
      <c r="AG48" s="128">
        <v>44377</v>
      </c>
      <c r="AH48" s="152"/>
      <c r="AI48" s="126"/>
      <c r="AJ48" s="153"/>
      <c r="AK48" s="128"/>
      <c r="AL48" s="152"/>
      <c r="AM48" s="126"/>
      <c r="AN48" s="153"/>
      <c r="AO48" s="128"/>
      <c r="AP48" s="152"/>
      <c r="AQ48" s="126"/>
      <c r="AR48" s="153"/>
      <c r="AS48" s="128"/>
      <c r="AT48" s="677">
        <f t="shared" si="3"/>
        <v>1029413</v>
      </c>
      <c r="AU48" s="155">
        <f t="shared" si="2"/>
        <v>587197</v>
      </c>
    </row>
    <row r="49" spans="2:47" s="148" customFormat="1" x14ac:dyDescent="0.25">
      <c r="B49" s="674">
        <v>36</v>
      </c>
      <c r="C49" s="674" t="s">
        <v>894</v>
      </c>
      <c r="D49" s="669">
        <v>30355022</v>
      </c>
      <c r="E49" s="187" t="s">
        <v>3043</v>
      </c>
      <c r="F49" s="676" t="s">
        <v>200</v>
      </c>
      <c r="G49" s="151" t="s">
        <v>3132</v>
      </c>
      <c r="H49" s="158" t="s">
        <v>3044</v>
      </c>
      <c r="I49" s="673" t="s">
        <v>42</v>
      </c>
      <c r="J49" s="415">
        <v>195849</v>
      </c>
      <c r="K49" s="125">
        <v>176339</v>
      </c>
      <c r="L49" s="125">
        <f t="shared" si="0"/>
        <v>19510</v>
      </c>
      <c r="M49" s="125">
        <v>0</v>
      </c>
      <c r="N49" s="125">
        <v>0</v>
      </c>
      <c r="O49" s="125">
        <v>0</v>
      </c>
      <c r="P49" s="125"/>
      <c r="Q49" s="125"/>
      <c r="R49" s="125"/>
      <c r="S49" s="125"/>
      <c r="T49" s="125"/>
      <c r="U49" s="125"/>
      <c r="V49" s="125"/>
      <c r="W49" s="125"/>
      <c r="X49" s="125"/>
      <c r="Y49" s="125">
        <f t="shared" si="4"/>
        <v>0</v>
      </c>
      <c r="Z49" s="152">
        <v>19511</v>
      </c>
      <c r="AA49" s="126">
        <v>6</v>
      </c>
      <c r="AB49" s="127">
        <v>44215</v>
      </c>
      <c r="AC49" s="128">
        <v>44228</v>
      </c>
      <c r="AD49" s="152">
        <v>-19509</v>
      </c>
      <c r="AE49" s="129">
        <v>39</v>
      </c>
      <c r="AF49" s="127">
        <v>44364</v>
      </c>
      <c r="AG49" s="128" t="s">
        <v>3045</v>
      </c>
      <c r="AH49" s="152"/>
      <c r="AI49" s="126"/>
      <c r="AJ49" s="153"/>
      <c r="AK49" s="128"/>
      <c r="AL49" s="152"/>
      <c r="AM49" s="126"/>
      <c r="AN49" s="153"/>
      <c r="AO49" s="128"/>
      <c r="AP49" s="152"/>
      <c r="AQ49" s="126"/>
      <c r="AR49" s="153"/>
      <c r="AS49" s="128"/>
      <c r="AT49" s="677">
        <f t="shared" si="3"/>
        <v>2</v>
      </c>
      <c r="AU49" s="155">
        <f t="shared" si="2"/>
        <v>2</v>
      </c>
    </row>
    <row r="50" spans="2:47" s="148" customFormat="1" x14ac:dyDescent="0.25">
      <c r="B50" s="674">
        <v>37</v>
      </c>
      <c r="C50" s="674" t="s">
        <v>894</v>
      </c>
      <c r="D50" s="669">
        <v>30357686</v>
      </c>
      <c r="E50" s="187" t="s">
        <v>3046</v>
      </c>
      <c r="F50" s="676" t="s">
        <v>200</v>
      </c>
      <c r="G50" s="151" t="s">
        <v>3132</v>
      </c>
      <c r="H50" s="158" t="s">
        <v>3047</v>
      </c>
      <c r="I50" s="673" t="s">
        <v>42</v>
      </c>
      <c r="J50" s="415">
        <v>490315</v>
      </c>
      <c r="K50" s="125">
        <v>204439</v>
      </c>
      <c r="L50" s="125">
        <f t="shared" si="0"/>
        <v>285876</v>
      </c>
      <c r="M50" s="125">
        <v>0</v>
      </c>
      <c r="N50" s="125">
        <v>0</v>
      </c>
      <c r="O50" s="125">
        <v>0</v>
      </c>
      <c r="P50" s="125"/>
      <c r="Q50" s="125"/>
      <c r="R50" s="125"/>
      <c r="S50" s="125"/>
      <c r="T50" s="125"/>
      <c r="U50" s="125"/>
      <c r="V50" s="125"/>
      <c r="W50" s="125"/>
      <c r="X50" s="125"/>
      <c r="Y50" s="125">
        <f t="shared" si="4"/>
        <v>0</v>
      </c>
      <c r="Z50" s="152">
        <v>285877</v>
      </c>
      <c r="AA50" s="126">
        <v>6</v>
      </c>
      <c r="AB50" s="127">
        <v>44215</v>
      </c>
      <c r="AC50" s="128">
        <v>44228</v>
      </c>
      <c r="AD50" s="152"/>
      <c r="AE50" s="129"/>
      <c r="AF50" s="153"/>
      <c r="AG50" s="128"/>
      <c r="AH50" s="152"/>
      <c r="AI50" s="126"/>
      <c r="AJ50" s="153"/>
      <c r="AK50" s="128"/>
      <c r="AL50" s="152"/>
      <c r="AM50" s="126"/>
      <c r="AN50" s="153"/>
      <c r="AO50" s="128"/>
      <c r="AP50" s="152"/>
      <c r="AQ50" s="126"/>
      <c r="AR50" s="153"/>
      <c r="AS50" s="128"/>
      <c r="AT50" s="677">
        <f t="shared" si="3"/>
        <v>285877</v>
      </c>
      <c r="AU50" s="155">
        <f t="shared" si="2"/>
        <v>285877</v>
      </c>
    </row>
    <row r="51" spans="2:47" s="148" customFormat="1" x14ac:dyDescent="0.25">
      <c r="B51" s="674">
        <v>38</v>
      </c>
      <c r="C51" s="674" t="s">
        <v>894</v>
      </c>
      <c r="D51" s="669">
        <v>30361823</v>
      </c>
      <c r="E51" s="187" t="s">
        <v>3048</v>
      </c>
      <c r="F51" s="676" t="s">
        <v>200</v>
      </c>
      <c r="G51" s="151" t="s">
        <v>3132</v>
      </c>
      <c r="H51" s="158" t="s">
        <v>2999</v>
      </c>
      <c r="I51" s="673" t="s">
        <v>43</v>
      </c>
      <c r="J51" s="415">
        <v>288226</v>
      </c>
      <c r="K51" s="125">
        <v>0</v>
      </c>
      <c r="L51" s="125">
        <f t="shared" si="0"/>
        <v>288226</v>
      </c>
      <c r="M51" s="125">
        <v>0</v>
      </c>
      <c r="N51" s="125">
        <v>0</v>
      </c>
      <c r="O51" s="125">
        <v>0</v>
      </c>
      <c r="P51" s="125"/>
      <c r="Q51" s="125"/>
      <c r="R51" s="125"/>
      <c r="S51" s="125"/>
      <c r="T51" s="125"/>
      <c r="U51" s="125"/>
      <c r="V51" s="125"/>
      <c r="W51" s="125"/>
      <c r="X51" s="125"/>
      <c r="Y51" s="125">
        <f t="shared" si="4"/>
        <v>0</v>
      </c>
      <c r="Z51" s="152">
        <v>288226</v>
      </c>
      <c r="AA51" s="126">
        <v>6</v>
      </c>
      <c r="AB51" s="127">
        <v>44215</v>
      </c>
      <c r="AC51" s="128">
        <v>44228</v>
      </c>
      <c r="AD51" s="152">
        <v>-288222</v>
      </c>
      <c r="AE51" s="129">
        <v>39</v>
      </c>
      <c r="AF51" s="127">
        <v>44364</v>
      </c>
      <c r="AG51" s="128">
        <v>44377</v>
      </c>
      <c r="AH51" s="152"/>
      <c r="AI51" s="126"/>
      <c r="AJ51" s="153"/>
      <c r="AK51" s="128"/>
      <c r="AL51" s="152"/>
      <c r="AM51" s="126"/>
      <c r="AN51" s="153"/>
      <c r="AO51" s="128"/>
      <c r="AP51" s="152"/>
      <c r="AQ51" s="126"/>
      <c r="AR51" s="153"/>
      <c r="AS51" s="128"/>
      <c r="AT51" s="677">
        <f t="shared" si="3"/>
        <v>4</v>
      </c>
      <c r="AU51" s="155">
        <f t="shared" si="2"/>
        <v>4</v>
      </c>
    </row>
    <row r="52" spans="2:47" s="148" customFormat="1" x14ac:dyDescent="0.25">
      <c r="B52" s="674">
        <v>39</v>
      </c>
      <c r="C52" s="674" t="s">
        <v>894</v>
      </c>
      <c r="D52" s="669">
        <v>30366878</v>
      </c>
      <c r="E52" s="187" t="s">
        <v>3049</v>
      </c>
      <c r="F52" s="676" t="s">
        <v>200</v>
      </c>
      <c r="G52" s="151" t="s">
        <v>3132</v>
      </c>
      <c r="H52" s="158" t="s">
        <v>2999</v>
      </c>
      <c r="I52" s="673" t="s">
        <v>43</v>
      </c>
      <c r="J52" s="415">
        <v>18212523</v>
      </c>
      <c r="K52" s="125">
        <v>0</v>
      </c>
      <c r="L52" s="125">
        <f t="shared" si="0"/>
        <v>18212523</v>
      </c>
      <c r="M52" s="125">
        <v>0</v>
      </c>
      <c r="N52" s="125">
        <v>0</v>
      </c>
      <c r="O52" s="125">
        <v>0</v>
      </c>
      <c r="P52" s="125"/>
      <c r="Q52" s="125"/>
      <c r="R52" s="125"/>
      <c r="S52" s="125"/>
      <c r="T52" s="125"/>
      <c r="U52" s="125"/>
      <c r="V52" s="125"/>
      <c r="W52" s="125"/>
      <c r="X52" s="125"/>
      <c r="Y52" s="125">
        <f t="shared" si="4"/>
        <v>0</v>
      </c>
      <c r="Z52" s="152">
        <v>499999</v>
      </c>
      <c r="AA52" s="126">
        <v>6</v>
      </c>
      <c r="AB52" s="127">
        <v>44215</v>
      </c>
      <c r="AC52" s="128">
        <v>44228</v>
      </c>
      <c r="AD52" s="152"/>
      <c r="AE52" s="129"/>
      <c r="AF52" s="153"/>
      <c r="AG52" s="128"/>
      <c r="AH52" s="152"/>
      <c r="AI52" s="126"/>
      <c r="AJ52" s="153"/>
      <c r="AK52" s="128"/>
      <c r="AL52" s="152"/>
      <c r="AM52" s="126"/>
      <c r="AN52" s="153"/>
      <c r="AO52" s="128"/>
      <c r="AP52" s="152"/>
      <c r="AQ52" s="126"/>
      <c r="AR52" s="153"/>
      <c r="AS52" s="128"/>
      <c r="AT52" s="677">
        <f t="shared" si="3"/>
        <v>499999</v>
      </c>
      <c r="AU52" s="155">
        <f t="shared" si="2"/>
        <v>499999</v>
      </c>
    </row>
    <row r="53" spans="2:47" s="148" customFormat="1" x14ac:dyDescent="0.25">
      <c r="B53" s="674">
        <v>40</v>
      </c>
      <c r="C53" s="674" t="s">
        <v>894</v>
      </c>
      <c r="D53" s="669">
        <v>30371622</v>
      </c>
      <c r="E53" s="187" t="s">
        <v>3050</v>
      </c>
      <c r="F53" s="676" t="s">
        <v>200</v>
      </c>
      <c r="G53" s="151" t="s">
        <v>3132</v>
      </c>
      <c r="H53" s="158" t="s">
        <v>3051</v>
      </c>
      <c r="I53" s="673" t="s">
        <v>42</v>
      </c>
      <c r="J53" s="415">
        <v>4955848</v>
      </c>
      <c r="K53" s="125">
        <v>0</v>
      </c>
      <c r="L53" s="125">
        <f t="shared" si="0"/>
        <v>4955848</v>
      </c>
      <c r="M53" s="125">
        <v>0</v>
      </c>
      <c r="N53" s="125">
        <v>0</v>
      </c>
      <c r="O53" s="125">
        <v>271165</v>
      </c>
      <c r="P53" s="125">
        <v>342643</v>
      </c>
      <c r="Q53" s="125">
        <v>393436</v>
      </c>
      <c r="R53" s="125">
        <v>326460</v>
      </c>
      <c r="S53" s="125"/>
      <c r="T53" s="125"/>
      <c r="U53" s="125"/>
      <c r="V53" s="125"/>
      <c r="W53" s="125"/>
      <c r="X53" s="125"/>
      <c r="Y53" s="125">
        <f t="shared" si="4"/>
        <v>1333704</v>
      </c>
      <c r="Z53" s="152">
        <v>1615769</v>
      </c>
      <c r="AA53" s="126">
        <v>6</v>
      </c>
      <c r="AB53" s="127">
        <v>44215</v>
      </c>
      <c r="AC53" s="128">
        <v>44228</v>
      </c>
      <c r="AD53" s="152">
        <v>-586689</v>
      </c>
      <c r="AE53" s="129">
        <v>33</v>
      </c>
      <c r="AF53" s="127">
        <v>44355</v>
      </c>
      <c r="AG53" s="128">
        <v>44362</v>
      </c>
      <c r="AH53" s="152">
        <v>2115295</v>
      </c>
      <c r="AI53" s="126">
        <v>34</v>
      </c>
      <c r="AJ53" s="127">
        <v>44355</v>
      </c>
      <c r="AK53" s="128">
        <v>44362</v>
      </c>
      <c r="AL53" s="152"/>
      <c r="AM53" s="126"/>
      <c r="AN53" s="153"/>
      <c r="AO53" s="128"/>
      <c r="AP53" s="152"/>
      <c r="AQ53" s="126"/>
      <c r="AR53" s="153"/>
      <c r="AS53" s="128"/>
      <c r="AT53" s="677">
        <f t="shared" si="3"/>
        <v>3144375</v>
      </c>
      <c r="AU53" s="155">
        <f t="shared" si="2"/>
        <v>1810671</v>
      </c>
    </row>
    <row r="54" spans="2:47" s="148" customFormat="1" x14ac:dyDescent="0.25">
      <c r="B54" s="674">
        <v>41</v>
      </c>
      <c r="C54" s="674" t="s">
        <v>894</v>
      </c>
      <c r="D54" s="669">
        <v>30372626</v>
      </c>
      <c r="E54" s="187" t="s">
        <v>3052</v>
      </c>
      <c r="F54" s="676" t="s">
        <v>200</v>
      </c>
      <c r="G54" s="151" t="s">
        <v>3132</v>
      </c>
      <c r="H54" s="158" t="s">
        <v>3053</v>
      </c>
      <c r="I54" s="673" t="s">
        <v>43</v>
      </c>
      <c r="J54" s="415">
        <v>466270</v>
      </c>
      <c r="K54" s="125">
        <v>0</v>
      </c>
      <c r="L54" s="125">
        <f t="shared" si="0"/>
        <v>466270</v>
      </c>
      <c r="M54" s="125">
        <v>0</v>
      </c>
      <c r="N54" s="125">
        <v>0</v>
      </c>
      <c r="O54" s="125">
        <v>0</v>
      </c>
      <c r="P54" s="125">
        <v>62436</v>
      </c>
      <c r="Q54" s="125">
        <v>42649</v>
      </c>
      <c r="R54" s="125">
        <v>32589</v>
      </c>
      <c r="S54" s="125"/>
      <c r="T54" s="125"/>
      <c r="U54" s="125"/>
      <c r="V54" s="125"/>
      <c r="W54" s="125"/>
      <c r="X54" s="125"/>
      <c r="Y54" s="125">
        <f t="shared" si="4"/>
        <v>137674</v>
      </c>
      <c r="Z54" s="152">
        <v>366336</v>
      </c>
      <c r="AA54" s="126">
        <v>6</v>
      </c>
      <c r="AB54" s="127">
        <v>44215</v>
      </c>
      <c r="AC54" s="128">
        <v>44228</v>
      </c>
      <c r="AD54" s="152">
        <v>99934</v>
      </c>
      <c r="AE54" s="129">
        <v>39</v>
      </c>
      <c r="AF54" s="127">
        <v>44364</v>
      </c>
      <c r="AG54" s="128">
        <v>44377</v>
      </c>
      <c r="AH54" s="152"/>
      <c r="AI54" s="126"/>
      <c r="AJ54" s="153"/>
      <c r="AK54" s="128"/>
      <c r="AL54" s="152"/>
      <c r="AM54" s="126"/>
      <c r="AN54" s="153"/>
      <c r="AO54" s="128"/>
      <c r="AP54" s="152"/>
      <c r="AQ54" s="126"/>
      <c r="AR54" s="153"/>
      <c r="AS54" s="128"/>
      <c r="AT54" s="677">
        <f t="shared" si="3"/>
        <v>466270</v>
      </c>
      <c r="AU54" s="155">
        <f t="shared" si="2"/>
        <v>328596</v>
      </c>
    </row>
    <row r="55" spans="2:47" s="148" customFormat="1" x14ac:dyDescent="0.25">
      <c r="B55" s="674">
        <v>42</v>
      </c>
      <c r="C55" s="674" t="s">
        <v>894</v>
      </c>
      <c r="D55" s="669">
        <v>30387426</v>
      </c>
      <c r="E55" s="187" t="s">
        <v>3054</v>
      </c>
      <c r="F55" s="676" t="s">
        <v>200</v>
      </c>
      <c r="G55" s="151" t="s">
        <v>3132</v>
      </c>
      <c r="H55" s="158" t="s">
        <v>3001</v>
      </c>
      <c r="I55" s="673" t="s">
        <v>42</v>
      </c>
      <c r="J55" s="415">
        <v>359621</v>
      </c>
      <c r="K55" s="125">
        <v>349993</v>
      </c>
      <c r="L55" s="125">
        <f t="shared" si="0"/>
        <v>9628</v>
      </c>
      <c r="M55" s="125">
        <v>0</v>
      </c>
      <c r="N55" s="125">
        <v>148</v>
      </c>
      <c r="O55" s="125">
        <v>0</v>
      </c>
      <c r="P55" s="125"/>
      <c r="Q55" s="125">
        <v>285</v>
      </c>
      <c r="R55" s="125"/>
      <c r="S55" s="125"/>
      <c r="T55" s="125"/>
      <c r="U55" s="125"/>
      <c r="V55" s="125"/>
      <c r="W55" s="125"/>
      <c r="X55" s="125"/>
      <c r="Y55" s="125">
        <f t="shared" si="4"/>
        <v>433</v>
      </c>
      <c r="Z55" s="152">
        <v>9629</v>
      </c>
      <c r="AA55" s="126">
        <v>6</v>
      </c>
      <c r="AB55" s="127">
        <v>44215</v>
      </c>
      <c r="AC55" s="128">
        <v>44228</v>
      </c>
      <c r="AD55" s="152"/>
      <c r="AE55" s="129"/>
      <c r="AF55" s="153"/>
      <c r="AG55" s="128"/>
      <c r="AH55" s="152"/>
      <c r="AI55" s="126"/>
      <c r="AJ55" s="153"/>
      <c r="AK55" s="128"/>
      <c r="AL55" s="152"/>
      <c r="AM55" s="126"/>
      <c r="AN55" s="153"/>
      <c r="AO55" s="128"/>
      <c r="AP55" s="152"/>
      <c r="AQ55" s="126"/>
      <c r="AR55" s="153"/>
      <c r="AS55" s="128"/>
      <c r="AT55" s="677">
        <f t="shared" si="3"/>
        <v>9629</v>
      </c>
      <c r="AU55" s="155">
        <f t="shared" si="2"/>
        <v>9196</v>
      </c>
    </row>
    <row r="56" spans="2:47" s="148" customFormat="1" x14ac:dyDescent="0.25">
      <c r="B56" s="674">
        <v>43</v>
      </c>
      <c r="C56" s="674" t="s">
        <v>894</v>
      </c>
      <c r="D56" s="669">
        <v>30389273</v>
      </c>
      <c r="E56" s="187" t="s">
        <v>3055</v>
      </c>
      <c r="F56" s="676" t="s">
        <v>200</v>
      </c>
      <c r="G56" s="151" t="s">
        <v>3132</v>
      </c>
      <c r="H56" s="158" t="s">
        <v>3056</v>
      </c>
      <c r="I56" s="673" t="s">
        <v>43</v>
      </c>
      <c r="J56" s="415">
        <v>366697</v>
      </c>
      <c r="K56" s="125">
        <v>500</v>
      </c>
      <c r="L56" s="125">
        <f t="shared" si="0"/>
        <v>366197</v>
      </c>
      <c r="M56" s="125">
        <v>0</v>
      </c>
      <c r="N56" s="125">
        <v>0</v>
      </c>
      <c r="O56" s="125">
        <v>0</v>
      </c>
      <c r="P56" s="125">
        <v>0</v>
      </c>
      <c r="Q56" s="125">
        <v>24636</v>
      </c>
      <c r="R56" s="125">
        <v>3534</v>
      </c>
      <c r="S56" s="125"/>
      <c r="T56" s="125"/>
      <c r="U56" s="125"/>
      <c r="V56" s="125"/>
      <c r="W56" s="125"/>
      <c r="X56" s="125"/>
      <c r="Y56" s="125">
        <f t="shared" si="4"/>
        <v>28170</v>
      </c>
      <c r="Z56" s="152">
        <v>216197</v>
      </c>
      <c r="AA56" s="126">
        <v>6</v>
      </c>
      <c r="AB56" s="127">
        <v>44215</v>
      </c>
      <c r="AC56" s="128">
        <v>44228</v>
      </c>
      <c r="AD56" s="152">
        <v>147978</v>
      </c>
      <c r="AE56" s="129">
        <v>39</v>
      </c>
      <c r="AF56" s="127">
        <v>44364</v>
      </c>
      <c r="AG56" s="128">
        <v>44377</v>
      </c>
      <c r="AH56" s="152"/>
      <c r="AI56" s="126"/>
      <c r="AJ56" s="153"/>
      <c r="AK56" s="128"/>
      <c r="AL56" s="152"/>
      <c r="AM56" s="126"/>
      <c r="AN56" s="153"/>
      <c r="AO56" s="128"/>
      <c r="AP56" s="152"/>
      <c r="AQ56" s="126"/>
      <c r="AR56" s="153"/>
      <c r="AS56" s="128"/>
      <c r="AT56" s="677">
        <f t="shared" si="3"/>
        <v>364175</v>
      </c>
      <c r="AU56" s="155">
        <f t="shared" si="2"/>
        <v>336005</v>
      </c>
    </row>
    <row r="57" spans="2:47" s="148" customFormat="1" x14ac:dyDescent="0.25">
      <c r="B57" s="674">
        <v>44</v>
      </c>
      <c r="C57" s="674" t="s">
        <v>894</v>
      </c>
      <c r="D57" s="669">
        <v>30389325</v>
      </c>
      <c r="E57" s="187" t="s">
        <v>3057</v>
      </c>
      <c r="F57" s="676" t="s">
        <v>200</v>
      </c>
      <c r="G57" s="151" t="s">
        <v>3132</v>
      </c>
      <c r="H57" s="158" t="s">
        <v>3056</v>
      </c>
      <c r="I57" s="673" t="s">
        <v>42</v>
      </c>
      <c r="J57" s="415">
        <v>421042</v>
      </c>
      <c r="K57" s="125">
        <v>420964</v>
      </c>
      <c r="L57" s="125">
        <f t="shared" si="0"/>
        <v>78</v>
      </c>
      <c r="M57" s="125">
        <v>0</v>
      </c>
      <c r="N57" s="125">
        <v>0</v>
      </c>
      <c r="O57" s="125">
        <v>0</v>
      </c>
      <c r="P57" s="125"/>
      <c r="Q57" s="125"/>
      <c r="R57" s="125"/>
      <c r="S57" s="125"/>
      <c r="T57" s="125"/>
      <c r="U57" s="125"/>
      <c r="V57" s="125"/>
      <c r="W57" s="125"/>
      <c r="X57" s="125"/>
      <c r="Y57" s="125">
        <f t="shared" si="4"/>
        <v>0</v>
      </c>
      <c r="Z57" s="152">
        <v>5975</v>
      </c>
      <c r="AA57" s="126">
        <v>6</v>
      </c>
      <c r="AB57" s="127">
        <v>44215</v>
      </c>
      <c r="AC57" s="128">
        <v>44228</v>
      </c>
      <c r="AD57" s="152">
        <v>-5975</v>
      </c>
      <c r="AE57" s="126">
        <v>27</v>
      </c>
      <c r="AF57" s="127">
        <v>44327</v>
      </c>
      <c r="AG57" s="128">
        <v>44341</v>
      </c>
      <c r="AH57" s="152"/>
      <c r="AI57" s="126"/>
      <c r="AJ57" s="153"/>
      <c r="AK57" s="128"/>
      <c r="AL57" s="152"/>
      <c r="AM57" s="126"/>
      <c r="AN57" s="153"/>
      <c r="AO57" s="128"/>
      <c r="AP57" s="152"/>
      <c r="AQ57" s="126"/>
      <c r="AR57" s="153"/>
      <c r="AS57" s="128"/>
      <c r="AT57" s="677">
        <f t="shared" si="3"/>
        <v>0</v>
      </c>
      <c r="AU57" s="155">
        <f t="shared" si="2"/>
        <v>0</v>
      </c>
    </row>
    <row r="58" spans="2:47" s="148" customFormat="1" x14ac:dyDescent="0.25">
      <c r="B58" s="674">
        <v>45</v>
      </c>
      <c r="C58" s="674" t="s">
        <v>894</v>
      </c>
      <c r="D58" s="669">
        <v>30390722</v>
      </c>
      <c r="E58" s="187" t="s">
        <v>3058</v>
      </c>
      <c r="F58" s="676" t="s">
        <v>204</v>
      </c>
      <c r="G58" s="151" t="s">
        <v>3132</v>
      </c>
      <c r="H58" s="158" t="s">
        <v>3059</v>
      </c>
      <c r="I58" s="673" t="s">
        <v>43</v>
      </c>
      <c r="J58" s="415">
        <v>194840</v>
      </c>
      <c r="K58" s="125">
        <v>210</v>
      </c>
      <c r="L58" s="125">
        <f t="shared" si="0"/>
        <v>194630</v>
      </c>
      <c r="M58" s="125">
        <v>0</v>
      </c>
      <c r="N58" s="125">
        <v>0</v>
      </c>
      <c r="O58" s="125">
        <v>0</v>
      </c>
      <c r="P58" s="125">
        <v>19350</v>
      </c>
      <c r="Q58" s="125">
        <v>0</v>
      </c>
      <c r="R58" s="125">
        <v>19350</v>
      </c>
      <c r="S58" s="125"/>
      <c r="T58" s="125"/>
      <c r="U58" s="125"/>
      <c r="V58" s="125"/>
      <c r="W58" s="125"/>
      <c r="X58" s="125"/>
      <c r="Y58" s="125">
        <f t="shared" si="4"/>
        <v>38700</v>
      </c>
      <c r="Z58" s="152">
        <v>175130</v>
      </c>
      <c r="AA58" s="126">
        <v>6</v>
      </c>
      <c r="AB58" s="127">
        <v>44215</v>
      </c>
      <c r="AC58" s="128">
        <v>44228</v>
      </c>
      <c r="AD58" s="152">
        <v>-97730</v>
      </c>
      <c r="AE58" s="126">
        <v>27</v>
      </c>
      <c r="AF58" s="127">
        <v>44327</v>
      </c>
      <c r="AG58" s="128">
        <v>44341</v>
      </c>
      <c r="AH58" s="152"/>
      <c r="AI58" s="126"/>
      <c r="AJ58" s="153"/>
      <c r="AK58" s="128"/>
      <c r="AL58" s="152"/>
      <c r="AM58" s="126"/>
      <c r="AN58" s="153"/>
      <c r="AO58" s="128"/>
      <c r="AP58" s="152"/>
      <c r="AQ58" s="126"/>
      <c r="AR58" s="153"/>
      <c r="AS58" s="128"/>
      <c r="AT58" s="677">
        <f t="shared" si="3"/>
        <v>77400</v>
      </c>
      <c r="AU58" s="155">
        <f t="shared" si="2"/>
        <v>38700</v>
      </c>
    </row>
    <row r="59" spans="2:47" s="148" customFormat="1" x14ac:dyDescent="0.25">
      <c r="B59" s="674">
        <v>46</v>
      </c>
      <c r="C59" s="674" t="s">
        <v>894</v>
      </c>
      <c r="D59" s="669">
        <v>30449527</v>
      </c>
      <c r="E59" s="187" t="s">
        <v>3060</v>
      </c>
      <c r="F59" s="676" t="s">
        <v>204</v>
      </c>
      <c r="G59" s="151" t="s">
        <v>3132</v>
      </c>
      <c r="H59" s="158" t="s">
        <v>3017</v>
      </c>
      <c r="I59" s="673" t="s">
        <v>42</v>
      </c>
      <c r="J59" s="415">
        <v>167952</v>
      </c>
      <c r="K59" s="125">
        <v>101607</v>
      </c>
      <c r="L59" s="125">
        <f t="shared" si="0"/>
        <v>66345</v>
      </c>
      <c r="M59" s="125">
        <v>0</v>
      </c>
      <c r="N59" s="125">
        <v>0</v>
      </c>
      <c r="O59" s="125">
        <v>0</v>
      </c>
      <c r="P59" s="125"/>
      <c r="Q59" s="125"/>
      <c r="R59" s="125"/>
      <c r="S59" s="125"/>
      <c r="T59" s="125"/>
      <c r="U59" s="125"/>
      <c r="V59" s="125"/>
      <c r="W59" s="125"/>
      <c r="X59" s="125"/>
      <c r="Y59" s="125">
        <f t="shared" si="4"/>
        <v>0</v>
      </c>
      <c r="Z59" s="152">
        <v>66346</v>
      </c>
      <c r="AA59" s="126">
        <v>6</v>
      </c>
      <c r="AB59" s="127">
        <v>44215</v>
      </c>
      <c r="AC59" s="128">
        <v>44228</v>
      </c>
      <c r="AD59" s="152">
        <v>-66345</v>
      </c>
      <c r="AE59" s="126">
        <v>27</v>
      </c>
      <c r="AF59" s="127">
        <v>44327</v>
      </c>
      <c r="AG59" s="128">
        <v>44341</v>
      </c>
      <c r="AH59" s="152"/>
      <c r="AI59" s="126"/>
      <c r="AJ59" s="153"/>
      <c r="AK59" s="128"/>
      <c r="AL59" s="152"/>
      <c r="AM59" s="126"/>
      <c r="AN59" s="153"/>
      <c r="AO59" s="128"/>
      <c r="AP59" s="152"/>
      <c r="AQ59" s="126"/>
      <c r="AR59" s="153"/>
      <c r="AS59" s="128"/>
      <c r="AT59" s="677">
        <f t="shared" si="3"/>
        <v>1</v>
      </c>
      <c r="AU59" s="155">
        <f t="shared" si="2"/>
        <v>1</v>
      </c>
    </row>
    <row r="60" spans="2:47" s="148" customFormat="1" x14ac:dyDescent="0.25">
      <c r="B60" s="674">
        <v>47</v>
      </c>
      <c r="C60" s="674" t="s">
        <v>894</v>
      </c>
      <c r="D60" s="669">
        <v>30457582</v>
      </c>
      <c r="E60" s="187" t="s">
        <v>3061</v>
      </c>
      <c r="F60" s="676" t="s">
        <v>200</v>
      </c>
      <c r="G60" s="151" t="s">
        <v>3132</v>
      </c>
      <c r="H60" s="158" t="s">
        <v>2999</v>
      </c>
      <c r="I60" s="673" t="s">
        <v>42</v>
      </c>
      <c r="J60" s="415">
        <v>4996254</v>
      </c>
      <c r="K60" s="125">
        <v>2611254</v>
      </c>
      <c r="L60" s="125">
        <f t="shared" si="0"/>
        <v>2385000</v>
      </c>
      <c r="M60" s="125">
        <v>0</v>
      </c>
      <c r="N60" s="125">
        <v>0</v>
      </c>
      <c r="O60" s="125">
        <v>470855</v>
      </c>
      <c r="P60" s="125"/>
      <c r="Q60" s="125"/>
      <c r="R60" s="125">
        <v>804826</v>
      </c>
      <c r="S60" s="125"/>
      <c r="T60" s="125"/>
      <c r="U60" s="125"/>
      <c r="V60" s="125"/>
      <c r="W60" s="125"/>
      <c r="X60" s="125"/>
      <c r="Y60" s="125">
        <f t="shared" si="4"/>
        <v>1275681</v>
      </c>
      <c r="Z60" s="152">
        <v>1784997</v>
      </c>
      <c r="AA60" s="126">
        <v>6</v>
      </c>
      <c r="AB60" s="127">
        <v>44215</v>
      </c>
      <c r="AC60" s="128">
        <v>44228</v>
      </c>
      <c r="AD60" s="152"/>
      <c r="AE60" s="129"/>
      <c r="AF60" s="153"/>
      <c r="AG60" s="128"/>
      <c r="AH60" s="152"/>
      <c r="AI60" s="126"/>
      <c r="AJ60" s="153"/>
      <c r="AK60" s="128"/>
      <c r="AL60" s="152"/>
      <c r="AM60" s="126"/>
      <c r="AN60" s="153"/>
      <c r="AO60" s="128"/>
      <c r="AP60" s="152"/>
      <c r="AQ60" s="126"/>
      <c r="AR60" s="153"/>
      <c r="AS60" s="128"/>
      <c r="AT60" s="677">
        <f t="shared" si="3"/>
        <v>1784997</v>
      </c>
      <c r="AU60" s="155">
        <f t="shared" si="2"/>
        <v>509316</v>
      </c>
    </row>
    <row r="61" spans="2:47" s="148" customFormat="1" x14ac:dyDescent="0.25">
      <c r="B61" s="674">
        <v>48</v>
      </c>
      <c r="C61" s="674" t="s">
        <v>894</v>
      </c>
      <c r="D61" s="669">
        <v>30462580</v>
      </c>
      <c r="E61" s="187" t="s">
        <v>3062</v>
      </c>
      <c r="F61" s="676" t="s">
        <v>200</v>
      </c>
      <c r="G61" s="151" t="s">
        <v>3132</v>
      </c>
      <c r="H61" s="158" t="s">
        <v>3063</v>
      </c>
      <c r="I61" s="673" t="s">
        <v>43</v>
      </c>
      <c r="J61" s="415">
        <v>710900</v>
      </c>
      <c r="K61" s="125">
        <v>1354</v>
      </c>
      <c r="L61" s="125">
        <f t="shared" si="0"/>
        <v>709546</v>
      </c>
      <c r="M61" s="125">
        <v>0</v>
      </c>
      <c r="N61" s="125">
        <v>0</v>
      </c>
      <c r="O61" s="125">
        <v>0</v>
      </c>
      <c r="P61" s="125"/>
      <c r="Q61" s="125">
        <v>132945</v>
      </c>
      <c r="R61" s="125">
        <v>187059</v>
      </c>
      <c r="S61" s="125"/>
      <c r="T61" s="125"/>
      <c r="U61" s="125"/>
      <c r="V61" s="125"/>
      <c r="W61" s="125"/>
      <c r="X61" s="125"/>
      <c r="Y61" s="125">
        <f t="shared" si="4"/>
        <v>320004</v>
      </c>
      <c r="Z61" s="152">
        <v>411550</v>
      </c>
      <c r="AA61" s="126">
        <v>6</v>
      </c>
      <c r="AB61" s="127">
        <v>44215</v>
      </c>
      <c r="AC61" s="128">
        <v>44228</v>
      </c>
      <c r="AD61" s="152">
        <v>349768</v>
      </c>
      <c r="AE61" s="126">
        <v>39</v>
      </c>
      <c r="AF61" s="127">
        <v>44364</v>
      </c>
      <c r="AG61" s="128">
        <v>44377</v>
      </c>
      <c r="AH61" s="152"/>
      <c r="AI61" s="126"/>
      <c r="AJ61" s="153"/>
      <c r="AK61" s="128"/>
      <c r="AL61" s="152"/>
      <c r="AM61" s="126"/>
      <c r="AN61" s="153"/>
      <c r="AO61" s="128"/>
      <c r="AP61" s="152"/>
      <c r="AQ61" s="126"/>
      <c r="AR61" s="153"/>
      <c r="AS61" s="128"/>
      <c r="AT61" s="677">
        <f t="shared" si="3"/>
        <v>761318</v>
      </c>
      <c r="AU61" s="155">
        <f t="shared" si="2"/>
        <v>441314</v>
      </c>
    </row>
    <row r="62" spans="2:47" s="148" customFormat="1" x14ac:dyDescent="0.25">
      <c r="B62" s="674">
        <v>49</v>
      </c>
      <c r="C62" s="674" t="s">
        <v>894</v>
      </c>
      <c r="D62" s="669">
        <v>30463433</v>
      </c>
      <c r="E62" s="187" t="s">
        <v>3064</v>
      </c>
      <c r="F62" s="676" t="s">
        <v>200</v>
      </c>
      <c r="G62" s="151" t="s">
        <v>3132</v>
      </c>
      <c r="H62" s="158" t="s">
        <v>3056</v>
      </c>
      <c r="I62" s="673" t="s">
        <v>43</v>
      </c>
      <c r="J62" s="415">
        <v>2660764</v>
      </c>
      <c r="K62" s="125">
        <v>0</v>
      </c>
      <c r="L62" s="125">
        <f t="shared" si="0"/>
        <v>2660764</v>
      </c>
      <c r="M62" s="125">
        <v>0</v>
      </c>
      <c r="N62" s="125">
        <v>0</v>
      </c>
      <c r="O62" s="125">
        <v>0</v>
      </c>
      <c r="P62" s="125"/>
      <c r="Q62" s="125"/>
      <c r="R62" s="125"/>
      <c r="S62" s="125"/>
      <c r="T62" s="125"/>
      <c r="U62" s="125"/>
      <c r="V62" s="125"/>
      <c r="W62" s="125"/>
      <c r="X62" s="125"/>
      <c r="Y62" s="125">
        <f t="shared" si="4"/>
        <v>0</v>
      </c>
      <c r="Z62" s="152">
        <v>3</v>
      </c>
      <c r="AA62" s="126">
        <v>6</v>
      </c>
      <c r="AB62" s="127">
        <v>44215</v>
      </c>
      <c r="AC62" s="128">
        <v>44228</v>
      </c>
      <c r="AD62" s="152"/>
      <c r="AE62" s="129"/>
      <c r="AF62" s="153"/>
      <c r="AG62" s="128"/>
      <c r="AH62" s="152"/>
      <c r="AI62" s="126"/>
      <c r="AJ62" s="153"/>
      <c r="AK62" s="128"/>
      <c r="AL62" s="152"/>
      <c r="AM62" s="126"/>
      <c r="AN62" s="153"/>
      <c r="AO62" s="128"/>
      <c r="AP62" s="152"/>
      <c r="AQ62" s="126"/>
      <c r="AR62" s="153"/>
      <c r="AS62" s="128"/>
      <c r="AT62" s="677">
        <f t="shared" si="3"/>
        <v>3</v>
      </c>
      <c r="AU62" s="155">
        <f t="shared" si="2"/>
        <v>3</v>
      </c>
    </row>
    <row r="63" spans="2:47" s="148" customFormat="1" x14ac:dyDescent="0.25">
      <c r="B63" s="674">
        <v>50</v>
      </c>
      <c r="C63" s="674" t="s">
        <v>894</v>
      </c>
      <c r="D63" s="669">
        <v>30464205</v>
      </c>
      <c r="E63" s="187" t="s">
        <v>3065</v>
      </c>
      <c r="F63" s="676" t="s">
        <v>200</v>
      </c>
      <c r="G63" s="151" t="s">
        <v>3132</v>
      </c>
      <c r="H63" s="158" t="s">
        <v>3066</v>
      </c>
      <c r="I63" s="673" t="s">
        <v>42</v>
      </c>
      <c r="J63" s="415">
        <v>1258331</v>
      </c>
      <c r="K63" s="125">
        <v>1151815</v>
      </c>
      <c r="L63" s="125">
        <f t="shared" si="0"/>
        <v>106516</v>
      </c>
      <c r="M63" s="125">
        <v>0</v>
      </c>
      <c r="N63" s="125">
        <v>0</v>
      </c>
      <c r="O63" s="125">
        <v>0</v>
      </c>
      <c r="P63" s="125"/>
      <c r="Q63" s="125"/>
      <c r="R63" s="125"/>
      <c r="S63" s="125"/>
      <c r="T63" s="125"/>
      <c r="U63" s="125"/>
      <c r="V63" s="125"/>
      <c r="W63" s="125"/>
      <c r="X63" s="125"/>
      <c r="Y63" s="125">
        <f t="shared" si="4"/>
        <v>0</v>
      </c>
      <c r="Z63" s="152">
        <v>106517</v>
      </c>
      <c r="AA63" s="126">
        <v>6</v>
      </c>
      <c r="AB63" s="127">
        <v>44215</v>
      </c>
      <c r="AC63" s="128">
        <v>44228</v>
      </c>
      <c r="AD63" s="152"/>
      <c r="AE63" s="129"/>
      <c r="AF63" s="153"/>
      <c r="AG63" s="128"/>
      <c r="AH63" s="152"/>
      <c r="AI63" s="126"/>
      <c r="AJ63" s="153"/>
      <c r="AK63" s="128"/>
      <c r="AL63" s="152"/>
      <c r="AM63" s="126"/>
      <c r="AN63" s="153"/>
      <c r="AO63" s="128"/>
      <c r="AP63" s="152"/>
      <c r="AQ63" s="126"/>
      <c r="AR63" s="153"/>
      <c r="AS63" s="128"/>
      <c r="AT63" s="677">
        <f t="shared" si="3"/>
        <v>106517</v>
      </c>
      <c r="AU63" s="155">
        <f t="shared" si="2"/>
        <v>106517</v>
      </c>
    </row>
    <row r="64" spans="2:47" s="148" customFormat="1" x14ac:dyDescent="0.25">
      <c r="B64" s="674">
        <v>51</v>
      </c>
      <c r="C64" s="674" t="s">
        <v>894</v>
      </c>
      <c r="D64" s="669">
        <v>30464213</v>
      </c>
      <c r="E64" s="187" t="s">
        <v>3067</v>
      </c>
      <c r="F64" s="676" t="s">
        <v>200</v>
      </c>
      <c r="G64" s="151" t="s">
        <v>3132</v>
      </c>
      <c r="H64" s="158" t="s">
        <v>3068</v>
      </c>
      <c r="I64" s="673" t="s">
        <v>42</v>
      </c>
      <c r="J64" s="415">
        <v>730843</v>
      </c>
      <c r="K64" s="125">
        <v>684442</v>
      </c>
      <c r="L64" s="125">
        <f t="shared" si="0"/>
        <v>46401</v>
      </c>
      <c r="M64" s="125">
        <v>0</v>
      </c>
      <c r="N64" s="125">
        <v>0</v>
      </c>
      <c r="O64" s="125">
        <v>0</v>
      </c>
      <c r="P64" s="125"/>
      <c r="Q64" s="125"/>
      <c r="R64" s="125"/>
      <c r="S64" s="125"/>
      <c r="T64" s="125"/>
      <c r="U64" s="125"/>
      <c r="V64" s="125"/>
      <c r="W64" s="125"/>
      <c r="X64" s="125"/>
      <c r="Y64" s="125">
        <f t="shared" si="4"/>
        <v>0</v>
      </c>
      <c r="Z64" s="152">
        <v>46402</v>
      </c>
      <c r="AA64" s="126">
        <v>6</v>
      </c>
      <c r="AB64" s="127">
        <v>44215</v>
      </c>
      <c r="AC64" s="128">
        <v>44228</v>
      </c>
      <c r="AD64" s="152"/>
      <c r="AE64" s="129"/>
      <c r="AF64" s="153"/>
      <c r="AG64" s="128"/>
      <c r="AH64" s="152"/>
      <c r="AI64" s="126"/>
      <c r="AJ64" s="153"/>
      <c r="AK64" s="128"/>
      <c r="AL64" s="152"/>
      <c r="AM64" s="126"/>
      <c r="AN64" s="153"/>
      <c r="AO64" s="128"/>
      <c r="AP64" s="152"/>
      <c r="AQ64" s="126"/>
      <c r="AR64" s="153"/>
      <c r="AS64" s="128"/>
      <c r="AT64" s="677">
        <f t="shared" si="3"/>
        <v>46402</v>
      </c>
      <c r="AU64" s="155">
        <f t="shared" si="2"/>
        <v>46402</v>
      </c>
    </row>
    <row r="65" spans="2:47" s="148" customFormat="1" x14ac:dyDescent="0.25">
      <c r="B65" s="674">
        <v>52</v>
      </c>
      <c r="C65" s="674" t="s">
        <v>894</v>
      </c>
      <c r="D65" s="669">
        <v>30464747</v>
      </c>
      <c r="E65" s="187" t="s">
        <v>3069</v>
      </c>
      <c r="F65" s="676" t="s">
        <v>200</v>
      </c>
      <c r="G65" s="151" t="s">
        <v>3132</v>
      </c>
      <c r="H65" s="158" t="s">
        <v>3056</v>
      </c>
      <c r="I65" s="673" t="s">
        <v>43</v>
      </c>
      <c r="J65" s="415">
        <v>930427</v>
      </c>
      <c r="K65" s="125">
        <v>0</v>
      </c>
      <c r="L65" s="125">
        <f t="shared" si="0"/>
        <v>930427</v>
      </c>
      <c r="M65" s="125">
        <v>0</v>
      </c>
      <c r="N65" s="125">
        <v>0</v>
      </c>
      <c r="O65" s="125">
        <v>131062</v>
      </c>
      <c r="P65" s="125">
        <v>151709</v>
      </c>
      <c r="Q65" s="125">
        <v>117322</v>
      </c>
      <c r="R65" s="125">
        <v>136536</v>
      </c>
      <c r="S65" s="125"/>
      <c r="T65" s="125"/>
      <c r="U65" s="125"/>
      <c r="V65" s="125"/>
      <c r="W65" s="125"/>
      <c r="X65" s="125"/>
      <c r="Y65" s="125">
        <f t="shared" si="4"/>
        <v>536629</v>
      </c>
      <c r="Z65" s="152">
        <v>600000</v>
      </c>
      <c r="AA65" s="126">
        <v>6</v>
      </c>
      <c r="AB65" s="127">
        <v>44215</v>
      </c>
      <c r="AC65" s="128">
        <v>44228</v>
      </c>
      <c r="AD65" s="152">
        <v>330427</v>
      </c>
      <c r="AE65" s="129">
        <v>39</v>
      </c>
      <c r="AF65" s="127">
        <v>44364</v>
      </c>
      <c r="AG65" s="128">
        <v>44377</v>
      </c>
      <c r="AH65" s="152"/>
      <c r="AI65" s="126"/>
      <c r="AJ65" s="153"/>
      <c r="AK65" s="128"/>
      <c r="AL65" s="152"/>
      <c r="AM65" s="126"/>
      <c r="AN65" s="153"/>
      <c r="AO65" s="128"/>
      <c r="AP65" s="152"/>
      <c r="AQ65" s="126"/>
      <c r="AR65" s="153"/>
      <c r="AS65" s="128"/>
      <c r="AT65" s="677">
        <f t="shared" si="3"/>
        <v>930427</v>
      </c>
      <c r="AU65" s="155">
        <f t="shared" si="2"/>
        <v>393798</v>
      </c>
    </row>
    <row r="66" spans="2:47" s="148" customFormat="1" x14ac:dyDescent="0.25">
      <c r="B66" s="674">
        <v>53</v>
      </c>
      <c r="C66" s="674" t="s">
        <v>894</v>
      </c>
      <c r="D66" s="669">
        <v>30468993</v>
      </c>
      <c r="E66" s="187" t="s">
        <v>3070</v>
      </c>
      <c r="F66" s="676" t="s">
        <v>200</v>
      </c>
      <c r="G66" s="151" t="s">
        <v>3132</v>
      </c>
      <c r="H66" s="158" t="s">
        <v>3071</v>
      </c>
      <c r="I66" s="673" t="s">
        <v>43</v>
      </c>
      <c r="J66" s="415">
        <v>459909</v>
      </c>
      <c r="K66" s="125">
        <v>0</v>
      </c>
      <c r="L66" s="125">
        <f t="shared" si="0"/>
        <v>459909</v>
      </c>
      <c r="M66" s="125">
        <v>0</v>
      </c>
      <c r="N66" s="125">
        <v>0</v>
      </c>
      <c r="O66" s="125">
        <v>0</v>
      </c>
      <c r="P66" s="125">
        <v>140579</v>
      </c>
      <c r="Q66" s="125">
        <v>60583</v>
      </c>
      <c r="R66" s="125">
        <v>48588</v>
      </c>
      <c r="S66" s="125"/>
      <c r="T66" s="125"/>
      <c r="U66" s="125"/>
      <c r="V66" s="125"/>
      <c r="W66" s="125"/>
      <c r="X66" s="125"/>
      <c r="Y66" s="125">
        <f t="shared" si="4"/>
        <v>249750</v>
      </c>
      <c r="Z66" s="152">
        <v>459909</v>
      </c>
      <c r="AA66" s="126">
        <v>6</v>
      </c>
      <c r="AB66" s="127">
        <v>44215</v>
      </c>
      <c r="AC66" s="128">
        <v>44228</v>
      </c>
      <c r="AD66" s="152"/>
      <c r="AE66" s="129"/>
      <c r="AF66" s="153"/>
      <c r="AG66" s="128"/>
      <c r="AH66" s="152"/>
      <c r="AI66" s="126"/>
      <c r="AJ66" s="153"/>
      <c r="AK66" s="128"/>
      <c r="AL66" s="152"/>
      <c r="AM66" s="126"/>
      <c r="AN66" s="153"/>
      <c r="AO66" s="128"/>
      <c r="AP66" s="152"/>
      <c r="AQ66" s="126"/>
      <c r="AR66" s="153"/>
      <c r="AS66" s="128"/>
      <c r="AT66" s="677">
        <f t="shared" si="3"/>
        <v>459909</v>
      </c>
      <c r="AU66" s="155">
        <f t="shared" si="2"/>
        <v>210159</v>
      </c>
    </row>
    <row r="67" spans="2:47" s="148" customFormat="1" x14ac:dyDescent="0.25">
      <c r="B67" s="674">
        <v>54</v>
      </c>
      <c r="C67" s="674" t="s">
        <v>894</v>
      </c>
      <c r="D67" s="669">
        <v>30473006</v>
      </c>
      <c r="E67" s="187" t="s">
        <v>3072</v>
      </c>
      <c r="F67" s="676" t="s">
        <v>200</v>
      </c>
      <c r="G67" s="151" t="s">
        <v>3132</v>
      </c>
      <c r="H67" s="158" t="s">
        <v>3017</v>
      </c>
      <c r="I67" s="673" t="s">
        <v>42</v>
      </c>
      <c r="J67" s="415">
        <v>471437</v>
      </c>
      <c r="K67" s="125">
        <v>221628</v>
      </c>
      <c r="L67" s="125">
        <f t="shared" si="0"/>
        <v>249809</v>
      </c>
      <c r="M67" s="125">
        <v>0</v>
      </c>
      <c r="N67" s="125">
        <v>158338</v>
      </c>
      <c r="O67" s="125">
        <v>86352</v>
      </c>
      <c r="P67" s="125"/>
      <c r="Q67" s="125"/>
      <c r="R67" s="125"/>
      <c r="S67" s="125"/>
      <c r="T67" s="125"/>
      <c r="U67" s="125"/>
      <c r="V67" s="125"/>
      <c r="W67" s="125"/>
      <c r="X67" s="125"/>
      <c r="Y67" s="125">
        <f t="shared" si="4"/>
        <v>244690</v>
      </c>
      <c r="Z67" s="152">
        <v>249809</v>
      </c>
      <c r="AA67" s="126">
        <v>6</v>
      </c>
      <c r="AB67" s="127">
        <v>44215</v>
      </c>
      <c r="AC67" s="128">
        <v>44228</v>
      </c>
      <c r="AD67" s="152"/>
      <c r="AE67" s="129"/>
      <c r="AF67" s="153"/>
      <c r="AG67" s="128"/>
      <c r="AH67" s="152"/>
      <c r="AI67" s="126"/>
      <c r="AJ67" s="153"/>
      <c r="AK67" s="128"/>
      <c r="AL67" s="152"/>
      <c r="AM67" s="126"/>
      <c r="AN67" s="153"/>
      <c r="AO67" s="128"/>
      <c r="AP67" s="152"/>
      <c r="AQ67" s="126"/>
      <c r="AR67" s="153"/>
      <c r="AS67" s="128"/>
      <c r="AT67" s="677">
        <f t="shared" si="3"/>
        <v>249809</v>
      </c>
      <c r="AU67" s="155">
        <f t="shared" si="2"/>
        <v>5119</v>
      </c>
    </row>
    <row r="68" spans="2:47" s="148" customFormat="1" x14ac:dyDescent="0.25">
      <c r="B68" s="674">
        <v>55</v>
      </c>
      <c r="C68" s="674" t="s">
        <v>894</v>
      </c>
      <c r="D68" s="669">
        <v>30473009</v>
      </c>
      <c r="E68" s="187" t="s">
        <v>3073</v>
      </c>
      <c r="F68" s="676" t="s">
        <v>200</v>
      </c>
      <c r="G68" s="151" t="s">
        <v>3132</v>
      </c>
      <c r="H68" s="158" t="s">
        <v>3051</v>
      </c>
      <c r="I68" s="673" t="s">
        <v>42</v>
      </c>
      <c r="J68" s="415">
        <v>472947</v>
      </c>
      <c r="K68" s="125">
        <v>114916</v>
      </c>
      <c r="L68" s="125">
        <f t="shared" si="0"/>
        <v>358031</v>
      </c>
      <c r="M68" s="125">
        <v>0</v>
      </c>
      <c r="N68" s="125">
        <v>72292</v>
      </c>
      <c r="O68" s="125">
        <v>83866</v>
      </c>
      <c r="P68" s="125">
        <v>68279</v>
      </c>
      <c r="Q68" s="125">
        <v>81066</v>
      </c>
      <c r="R68" s="125">
        <v>22935</v>
      </c>
      <c r="S68" s="125"/>
      <c r="T68" s="125"/>
      <c r="U68" s="125"/>
      <c r="V68" s="125"/>
      <c r="W68" s="125"/>
      <c r="X68" s="125"/>
      <c r="Y68" s="125">
        <f t="shared" si="4"/>
        <v>328438</v>
      </c>
      <c r="Z68" s="152">
        <v>317275</v>
      </c>
      <c r="AA68" s="126">
        <v>6</v>
      </c>
      <c r="AB68" s="127">
        <v>44215</v>
      </c>
      <c r="AC68" s="128">
        <v>44228</v>
      </c>
      <c r="AD68" s="152">
        <v>40757</v>
      </c>
      <c r="AE68" s="129">
        <v>27</v>
      </c>
      <c r="AF68" s="127">
        <v>44327</v>
      </c>
      <c r="AG68" s="128">
        <v>44341</v>
      </c>
      <c r="AH68" s="128"/>
      <c r="AI68" s="126"/>
      <c r="AJ68" s="153"/>
      <c r="AK68" s="128"/>
      <c r="AL68" s="152"/>
      <c r="AM68" s="126"/>
      <c r="AN68" s="153"/>
      <c r="AO68" s="128"/>
      <c r="AP68" s="152"/>
      <c r="AQ68" s="126"/>
      <c r="AR68" s="153"/>
      <c r="AS68" s="128"/>
      <c r="AT68" s="677">
        <f t="shared" si="3"/>
        <v>358032</v>
      </c>
      <c r="AU68" s="155">
        <f t="shared" si="2"/>
        <v>29594</v>
      </c>
    </row>
    <row r="69" spans="2:47" s="148" customFormat="1" x14ac:dyDescent="0.25">
      <c r="B69" s="674">
        <v>56</v>
      </c>
      <c r="C69" s="674" t="s">
        <v>894</v>
      </c>
      <c r="D69" s="669">
        <v>30473031</v>
      </c>
      <c r="E69" s="187" t="s">
        <v>3074</v>
      </c>
      <c r="F69" s="676" t="s">
        <v>200</v>
      </c>
      <c r="G69" s="151" t="s">
        <v>3132</v>
      </c>
      <c r="H69" s="158" t="s">
        <v>2999</v>
      </c>
      <c r="I69" s="673" t="s">
        <v>42</v>
      </c>
      <c r="J69" s="415">
        <v>374128</v>
      </c>
      <c r="K69" s="125">
        <v>116625</v>
      </c>
      <c r="L69" s="125">
        <f t="shared" si="0"/>
        <v>257503</v>
      </c>
      <c r="M69" s="125">
        <v>0</v>
      </c>
      <c r="N69" s="125">
        <v>43899</v>
      </c>
      <c r="O69" s="125">
        <v>25030</v>
      </c>
      <c r="P69" s="125">
        <v>36089</v>
      </c>
      <c r="Q69" s="125">
        <v>22091</v>
      </c>
      <c r="R69" s="125">
        <v>18692</v>
      </c>
      <c r="S69" s="125"/>
      <c r="T69" s="125"/>
      <c r="U69" s="125"/>
      <c r="V69" s="125"/>
      <c r="W69" s="125"/>
      <c r="X69" s="125"/>
      <c r="Y69" s="125">
        <f t="shared" si="4"/>
        <v>145801</v>
      </c>
      <c r="Z69" s="152">
        <v>257504</v>
      </c>
      <c r="AA69" s="126">
        <v>6</v>
      </c>
      <c r="AB69" s="127">
        <v>44215</v>
      </c>
      <c r="AC69" s="128">
        <v>44228</v>
      </c>
      <c r="AD69" s="152"/>
      <c r="AE69" s="129"/>
      <c r="AF69" s="153"/>
      <c r="AG69" s="128"/>
      <c r="AH69" s="152"/>
      <c r="AI69" s="126"/>
      <c r="AJ69" s="153"/>
      <c r="AK69" s="128"/>
      <c r="AL69" s="152"/>
      <c r="AM69" s="126"/>
      <c r="AN69" s="153"/>
      <c r="AO69" s="128"/>
      <c r="AP69" s="152"/>
      <c r="AQ69" s="126"/>
      <c r="AR69" s="153"/>
      <c r="AS69" s="128"/>
      <c r="AT69" s="677">
        <f t="shared" si="3"/>
        <v>257504</v>
      </c>
      <c r="AU69" s="155">
        <f t="shared" si="2"/>
        <v>111703</v>
      </c>
    </row>
    <row r="70" spans="2:47" s="148" customFormat="1" x14ac:dyDescent="0.25">
      <c r="B70" s="674">
        <v>57</v>
      </c>
      <c r="C70" s="674" t="s">
        <v>894</v>
      </c>
      <c r="D70" s="669">
        <v>30473046</v>
      </c>
      <c r="E70" s="187" t="s">
        <v>3075</v>
      </c>
      <c r="F70" s="676" t="s">
        <v>200</v>
      </c>
      <c r="G70" s="151" t="s">
        <v>3132</v>
      </c>
      <c r="H70" s="158" t="s">
        <v>3047</v>
      </c>
      <c r="I70" s="673" t="s">
        <v>42</v>
      </c>
      <c r="J70" s="415">
        <v>367396</v>
      </c>
      <c r="K70" s="125">
        <v>0</v>
      </c>
      <c r="L70" s="125">
        <f t="shared" si="0"/>
        <v>367396</v>
      </c>
      <c r="M70" s="125">
        <v>0</v>
      </c>
      <c r="N70" s="125">
        <v>15036</v>
      </c>
      <c r="O70" s="125">
        <v>47533</v>
      </c>
      <c r="P70" s="125">
        <v>25612</v>
      </c>
      <c r="Q70" s="125">
        <v>23223</v>
      </c>
      <c r="R70" s="125">
        <v>20927</v>
      </c>
      <c r="S70" s="125"/>
      <c r="T70" s="125"/>
      <c r="U70" s="125"/>
      <c r="V70" s="125"/>
      <c r="W70" s="125"/>
      <c r="X70" s="125"/>
      <c r="Y70" s="125">
        <f t="shared" si="4"/>
        <v>132331</v>
      </c>
      <c r="Z70" s="152">
        <v>427380</v>
      </c>
      <c r="AA70" s="126">
        <v>6</v>
      </c>
      <c r="AB70" s="127">
        <v>44215</v>
      </c>
      <c r="AC70" s="128">
        <v>44228</v>
      </c>
      <c r="AD70" s="152">
        <v>-59984</v>
      </c>
      <c r="AE70" s="126">
        <v>27</v>
      </c>
      <c r="AF70" s="127">
        <v>44327</v>
      </c>
      <c r="AG70" s="128">
        <v>44341</v>
      </c>
      <c r="AH70" s="152"/>
      <c r="AI70" s="126"/>
      <c r="AJ70" s="153"/>
      <c r="AK70" s="128"/>
      <c r="AL70" s="152"/>
      <c r="AM70" s="126"/>
      <c r="AN70" s="153"/>
      <c r="AO70" s="128"/>
      <c r="AP70" s="152"/>
      <c r="AQ70" s="126"/>
      <c r="AR70" s="153"/>
      <c r="AS70" s="128"/>
      <c r="AT70" s="677">
        <f t="shared" si="3"/>
        <v>367396</v>
      </c>
      <c r="AU70" s="155">
        <f t="shared" si="2"/>
        <v>235065</v>
      </c>
    </row>
    <row r="71" spans="2:47" s="148" customFormat="1" x14ac:dyDescent="0.25">
      <c r="B71" s="674">
        <v>58</v>
      </c>
      <c r="C71" s="674" t="s">
        <v>894</v>
      </c>
      <c r="D71" s="669">
        <v>30482212</v>
      </c>
      <c r="E71" s="187" t="s">
        <v>3076</v>
      </c>
      <c r="F71" s="676" t="s">
        <v>200</v>
      </c>
      <c r="G71" s="151" t="s">
        <v>3132</v>
      </c>
      <c r="H71" s="158" t="s">
        <v>2999</v>
      </c>
      <c r="I71" s="673" t="s">
        <v>43</v>
      </c>
      <c r="J71" s="415">
        <v>479090</v>
      </c>
      <c r="K71" s="125">
        <v>0</v>
      </c>
      <c r="L71" s="125">
        <f t="shared" si="0"/>
        <v>479090</v>
      </c>
      <c r="M71" s="125">
        <v>0</v>
      </c>
      <c r="N71" s="125">
        <v>0</v>
      </c>
      <c r="O71" s="125">
        <v>0</v>
      </c>
      <c r="P71" s="125"/>
      <c r="Q71" s="125"/>
      <c r="R71" s="125"/>
      <c r="S71" s="125"/>
      <c r="T71" s="125"/>
      <c r="U71" s="125"/>
      <c r="V71" s="125"/>
      <c r="W71" s="125"/>
      <c r="X71" s="125"/>
      <c r="Y71" s="125">
        <f t="shared" si="4"/>
        <v>0</v>
      </c>
      <c r="Z71" s="152">
        <v>479090</v>
      </c>
      <c r="AA71" s="126">
        <v>6</v>
      </c>
      <c r="AB71" s="127">
        <v>44215</v>
      </c>
      <c r="AC71" s="128">
        <v>44228</v>
      </c>
      <c r="AD71" s="152">
        <v>-404585</v>
      </c>
      <c r="AE71" s="129">
        <v>39</v>
      </c>
      <c r="AF71" s="127">
        <v>44364</v>
      </c>
      <c r="AG71" s="128">
        <v>44377</v>
      </c>
      <c r="AH71" s="152"/>
      <c r="AI71" s="126"/>
      <c r="AJ71" s="153"/>
      <c r="AK71" s="128"/>
      <c r="AL71" s="152"/>
      <c r="AM71" s="126"/>
      <c r="AN71" s="153"/>
      <c r="AO71" s="128"/>
      <c r="AP71" s="152"/>
      <c r="AQ71" s="126"/>
      <c r="AR71" s="153"/>
      <c r="AS71" s="128"/>
      <c r="AT71" s="677">
        <f t="shared" si="3"/>
        <v>74505</v>
      </c>
      <c r="AU71" s="155">
        <f t="shared" si="2"/>
        <v>74505</v>
      </c>
    </row>
    <row r="72" spans="2:47" s="148" customFormat="1" x14ac:dyDescent="0.25">
      <c r="B72" s="674">
        <v>59</v>
      </c>
      <c r="C72" s="674" t="s">
        <v>894</v>
      </c>
      <c r="D72" s="669">
        <v>30483898</v>
      </c>
      <c r="E72" s="187" t="s">
        <v>3077</v>
      </c>
      <c r="F72" s="676" t="s">
        <v>204</v>
      </c>
      <c r="G72" s="151" t="s">
        <v>3132</v>
      </c>
      <c r="H72" s="158" t="s">
        <v>3059</v>
      </c>
      <c r="I72" s="673" t="s">
        <v>42</v>
      </c>
      <c r="J72" s="415">
        <v>56013</v>
      </c>
      <c r="K72" s="125">
        <v>33813</v>
      </c>
      <c r="L72" s="125">
        <f t="shared" si="0"/>
        <v>22200</v>
      </c>
      <c r="M72" s="125">
        <v>0</v>
      </c>
      <c r="N72" s="125">
        <v>0</v>
      </c>
      <c r="O72" s="125">
        <v>0</v>
      </c>
      <c r="P72" s="125"/>
      <c r="Q72" s="125"/>
      <c r="R72" s="125"/>
      <c r="S72" s="125"/>
      <c r="T72" s="125"/>
      <c r="U72" s="125"/>
      <c r="V72" s="125"/>
      <c r="W72" s="125"/>
      <c r="X72" s="125"/>
      <c r="Y72" s="125">
        <f t="shared" si="4"/>
        <v>0</v>
      </c>
      <c r="Z72" s="152">
        <v>22200</v>
      </c>
      <c r="AA72" s="126">
        <v>6</v>
      </c>
      <c r="AB72" s="127">
        <v>44215</v>
      </c>
      <c r="AC72" s="128">
        <v>44228</v>
      </c>
      <c r="AD72" s="152"/>
      <c r="AE72" s="129"/>
      <c r="AF72" s="153"/>
      <c r="AG72" s="128"/>
      <c r="AH72" s="152"/>
      <c r="AI72" s="126"/>
      <c r="AJ72" s="153"/>
      <c r="AK72" s="128"/>
      <c r="AL72" s="152"/>
      <c r="AM72" s="126"/>
      <c r="AN72" s="153"/>
      <c r="AO72" s="128"/>
      <c r="AP72" s="152"/>
      <c r="AQ72" s="126"/>
      <c r="AR72" s="153"/>
      <c r="AS72" s="128"/>
      <c r="AT72" s="677">
        <f t="shared" si="3"/>
        <v>22200</v>
      </c>
      <c r="AU72" s="155">
        <f t="shared" si="2"/>
        <v>22200</v>
      </c>
    </row>
    <row r="73" spans="2:47" s="148" customFormat="1" x14ac:dyDescent="0.25">
      <c r="B73" s="674">
        <v>60</v>
      </c>
      <c r="C73" s="674" t="s">
        <v>894</v>
      </c>
      <c r="D73" s="669">
        <v>30484309</v>
      </c>
      <c r="E73" s="187" t="s">
        <v>3078</v>
      </c>
      <c r="F73" s="676" t="s">
        <v>200</v>
      </c>
      <c r="G73" s="151" t="s">
        <v>3132</v>
      </c>
      <c r="H73" s="158" t="s">
        <v>3071</v>
      </c>
      <c r="I73" s="673" t="s">
        <v>42</v>
      </c>
      <c r="J73" s="415">
        <v>1018382</v>
      </c>
      <c r="K73" s="125">
        <v>979456</v>
      </c>
      <c r="L73" s="125">
        <f t="shared" si="0"/>
        <v>38926</v>
      </c>
      <c r="M73" s="125">
        <v>0</v>
      </c>
      <c r="N73" s="125">
        <v>0</v>
      </c>
      <c r="O73" s="125">
        <v>0</v>
      </c>
      <c r="P73" s="125">
        <v>0</v>
      </c>
      <c r="Q73" s="125">
        <v>0</v>
      </c>
      <c r="R73" s="125">
        <v>0</v>
      </c>
      <c r="S73" s="125"/>
      <c r="T73" s="125"/>
      <c r="U73" s="125"/>
      <c r="V73" s="125"/>
      <c r="W73" s="125"/>
      <c r="X73" s="125"/>
      <c r="Y73" s="125">
        <f t="shared" si="4"/>
        <v>0</v>
      </c>
      <c r="Z73" s="152">
        <v>18968</v>
      </c>
      <c r="AA73" s="126">
        <v>6</v>
      </c>
      <c r="AB73" s="127">
        <v>44215</v>
      </c>
      <c r="AC73" s="128">
        <v>44228</v>
      </c>
      <c r="AD73" s="152">
        <v>111022</v>
      </c>
      <c r="AE73" s="129">
        <v>39</v>
      </c>
      <c r="AF73" s="153" t="s">
        <v>3079</v>
      </c>
      <c r="AG73" s="128">
        <v>44377</v>
      </c>
      <c r="AH73" s="152"/>
      <c r="AI73" s="126"/>
      <c r="AJ73" s="153"/>
      <c r="AK73" s="128"/>
      <c r="AL73" s="152"/>
      <c r="AM73" s="126"/>
      <c r="AN73" s="153"/>
      <c r="AO73" s="128"/>
      <c r="AP73" s="152"/>
      <c r="AQ73" s="126"/>
      <c r="AR73" s="153"/>
      <c r="AS73" s="128"/>
      <c r="AT73" s="677">
        <f t="shared" si="3"/>
        <v>129990</v>
      </c>
      <c r="AU73" s="155">
        <f t="shared" si="2"/>
        <v>129990</v>
      </c>
    </row>
    <row r="74" spans="2:47" s="148" customFormat="1" x14ac:dyDescent="0.25">
      <c r="B74" s="674">
        <v>61</v>
      </c>
      <c r="C74" s="674" t="s">
        <v>894</v>
      </c>
      <c r="D74" s="669">
        <v>30487269</v>
      </c>
      <c r="E74" s="187" t="s">
        <v>3080</v>
      </c>
      <c r="F74" s="676" t="s">
        <v>204</v>
      </c>
      <c r="G74" s="151" t="s">
        <v>3132</v>
      </c>
      <c r="H74" s="158" t="s">
        <v>3017</v>
      </c>
      <c r="I74" s="673" t="s">
        <v>42</v>
      </c>
      <c r="J74" s="415">
        <v>240896</v>
      </c>
      <c r="K74" s="125">
        <v>530</v>
      </c>
      <c r="L74" s="125">
        <f t="shared" si="0"/>
        <v>240366</v>
      </c>
      <c r="M74" s="125">
        <v>0</v>
      </c>
      <c r="N74" s="125">
        <v>23950</v>
      </c>
      <c r="O74" s="125"/>
      <c r="P74" s="125">
        <v>0</v>
      </c>
      <c r="Q74" s="125">
        <v>23950</v>
      </c>
      <c r="R74" s="125">
        <v>0</v>
      </c>
      <c r="S74" s="125"/>
      <c r="T74" s="125"/>
      <c r="U74" s="125"/>
      <c r="V74" s="125"/>
      <c r="W74" s="125"/>
      <c r="X74" s="125"/>
      <c r="Y74" s="125">
        <f t="shared" si="4"/>
        <v>47900</v>
      </c>
      <c r="Z74" s="152">
        <v>53970</v>
      </c>
      <c r="AA74" s="126">
        <v>6</v>
      </c>
      <c r="AB74" s="127">
        <v>44215</v>
      </c>
      <c r="AC74" s="128">
        <v>44228</v>
      </c>
      <c r="AD74" s="152">
        <v>89730</v>
      </c>
      <c r="AE74" s="129">
        <v>39</v>
      </c>
      <c r="AF74" s="127">
        <v>44364</v>
      </c>
      <c r="AG74" s="128">
        <v>44377</v>
      </c>
      <c r="AH74" s="152"/>
      <c r="AI74" s="126"/>
      <c r="AJ74" s="153"/>
      <c r="AK74" s="128"/>
      <c r="AL74" s="152"/>
      <c r="AM74" s="126"/>
      <c r="AN74" s="153"/>
      <c r="AO74" s="128"/>
      <c r="AP74" s="152"/>
      <c r="AQ74" s="126"/>
      <c r="AR74" s="153"/>
      <c r="AS74" s="128"/>
      <c r="AT74" s="677">
        <f t="shared" si="3"/>
        <v>143700</v>
      </c>
      <c r="AU74" s="155">
        <f t="shared" si="2"/>
        <v>95800</v>
      </c>
    </row>
    <row r="75" spans="2:47" s="148" customFormat="1" x14ac:dyDescent="0.25">
      <c r="B75" s="674">
        <v>62</v>
      </c>
      <c r="C75" s="674" t="s">
        <v>894</v>
      </c>
      <c r="D75" s="669">
        <v>40000023</v>
      </c>
      <c r="E75" s="187" t="s">
        <v>3081</v>
      </c>
      <c r="F75" s="676" t="s">
        <v>200</v>
      </c>
      <c r="G75" s="151" t="s">
        <v>3132</v>
      </c>
      <c r="H75" s="158" t="s">
        <v>2997</v>
      </c>
      <c r="I75" s="673" t="s">
        <v>43</v>
      </c>
      <c r="J75" s="415">
        <v>298329</v>
      </c>
      <c r="K75" s="125">
        <v>180</v>
      </c>
      <c r="L75" s="125">
        <f t="shared" si="0"/>
        <v>298149</v>
      </c>
      <c r="M75" s="125">
        <v>0</v>
      </c>
      <c r="N75" s="125">
        <v>0</v>
      </c>
      <c r="O75" s="125">
        <v>0</v>
      </c>
      <c r="P75" s="125"/>
      <c r="Q75" s="125"/>
      <c r="R75" s="125">
        <v>11234</v>
      </c>
      <c r="S75" s="125"/>
      <c r="T75" s="125"/>
      <c r="U75" s="125"/>
      <c r="V75" s="125"/>
      <c r="W75" s="125"/>
      <c r="X75" s="125"/>
      <c r="Y75" s="125">
        <f t="shared" si="4"/>
        <v>11234</v>
      </c>
      <c r="Z75" s="152">
        <v>242212</v>
      </c>
      <c r="AA75" s="126">
        <v>6</v>
      </c>
      <c r="AB75" s="127">
        <v>44215</v>
      </c>
      <c r="AC75" s="128">
        <v>44228</v>
      </c>
      <c r="AD75" s="152"/>
      <c r="AE75" s="129"/>
      <c r="AF75" s="153"/>
      <c r="AG75" s="128"/>
      <c r="AH75" s="152"/>
      <c r="AI75" s="126"/>
      <c r="AJ75" s="153"/>
      <c r="AK75" s="128"/>
      <c r="AL75" s="152"/>
      <c r="AM75" s="126"/>
      <c r="AN75" s="153"/>
      <c r="AO75" s="128"/>
      <c r="AP75" s="152"/>
      <c r="AQ75" s="126"/>
      <c r="AR75" s="153"/>
      <c r="AS75" s="128"/>
      <c r="AT75" s="677">
        <f t="shared" si="3"/>
        <v>242212</v>
      </c>
      <c r="AU75" s="155">
        <f t="shared" si="2"/>
        <v>230978</v>
      </c>
    </row>
    <row r="76" spans="2:47" s="148" customFormat="1" x14ac:dyDescent="0.25">
      <c r="B76" s="674">
        <v>63</v>
      </c>
      <c r="C76" s="674" t="s">
        <v>894</v>
      </c>
      <c r="D76" s="669">
        <v>40000846</v>
      </c>
      <c r="E76" s="187" t="s">
        <v>3082</v>
      </c>
      <c r="F76" s="676" t="s">
        <v>200</v>
      </c>
      <c r="G76" s="151" t="s">
        <v>3132</v>
      </c>
      <c r="H76" s="158" t="s">
        <v>3034</v>
      </c>
      <c r="I76" s="673" t="s">
        <v>42</v>
      </c>
      <c r="J76" s="415">
        <v>2515637</v>
      </c>
      <c r="K76" s="125">
        <v>2318462</v>
      </c>
      <c r="L76" s="125">
        <f t="shared" si="0"/>
        <v>197175</v>
      </c>
      <c r="M76" s="125">
        <v>0</v>
      </c>
      <c r="N76" s="125">
        <v>0</v>
      </c>
      <c r="O76" s="125">
        <v>0</v>
      </c>
      <c r="P76" s="125"/>
      <c r="Q76" s="125"/>
      <c r="R76" s="125">
        <v>165587</v>
      </c>
      <c r="S76" s="125"/>
      <c r="T76" s="125"/>
      <c r="U76" s="125"/>
      <c r="V76" s="125"/>
      <c r="W76" s="125"/>
      <c r="X76" s="125"/>
      <c r="Y76" s="125">
        <f t="shared" si="4"/>
        <v>165587</v>
      </c>
      <c r="Z76" s="152">
        <v>197175</v>
      </c>
      <c r="AA76" s="126">
        <v>6</v>
      </c>
      <c r="AB76" s="127">
        <v>44215</v>
      </c>
      <c r="AC76" s="128">
        <v>44228</v>
      </c>
      <c r="AD76" s="152"/>
      <c r="AE76" s="129"/>
      <c r="AF76" s="153"/>
      <c r="AG76" s="128"/>
      <c r="AH76" s="152"/>
      <c r="AI76" s="126"/>
      <c r="AJ76" s="153"/>
      <c r="AK76" s="128"/>
      <c r="AL76" s="152"/>
      <c r="AM76" s="126"/>
      <c r="AN76" s="153"/>
      <c r="AO76" s="128"/>
      <c r="AP76" s="152"/>
      <c r="AQ76" s="126"/>
      <c r="AR76" s="153"/>
      <c r="AS76" s="128"/>
      <c r="AT76" s="677">
        <f t="shared" si="3"/>
        <v>197175</v>
      </c>
      <c r="AU76" s="155">
        <f t="shared" si="2"/>
        <v>31588</v>
      </c>
    </row>
    <row r="77" spans="2:47" s="148" customFormat="1" x14ac:dyDescent="0.25">
      <c r="B77" s="674">
        <v>65</v>
      </c>
      <c r="C77" s="674" t="s">
        <v>894</v>
      </c>
      <c r="D77" s="669">
        <v>40001995</v>
      </c>
      <c r="E77" s="187" t="s">
        <v>3083</v>
      </c>
      <c r="F77" s="676" t="s">
        <v>200</v>
      </c>
      <c r="G77" s="151" t="s">
        <v>3132</v>
      </c>
      <c r="H77" s="158" t="s">
        <v>3084</v>
      </c>
      <c r="I77" s="673" t="s">
        <v>42</v>
      </c>
      <c r="J77" s="415">
        <v>1411165</v>
      </c>
      <c r="K77" s="125">
        <v>1320408</v>
      </c>
      <c r="L77" s="125">
        <f t="shared" si="0"/>
        <v>90757</v>
      </c>
      <c r="M77" s="125">
        <v>0</v>
      </c>
      <c r="N77" s="125">
        <v>0</v>
      </c>
      <c r="O77" s="125">
        <v>0</v>
      </c>
      <c r="P77" s="125"/>
      <c r="Q77" s="125"/>
      <c r="R77" s="125"/>
      <c r="S77" s="125"/>
      <c r="T77" s="125"/>
      <c r="U77" s="125"/>
      <c r="V77" s="125"/>
      <c r="W77" s="125"/>
      <c r="X77" s="125"/>
      <c r="Y77" s="125">
        <f t="shared" ref="Y77:Y105" si="5">SUM(M77:X77)</f>
        <v>0</v>
      </c>
      <c r="Z77" s="152">
        <v>90757</v>
      </c>
      <c r="AA77" s="126">
        <v>6</v>
      </c>
      <c r="AB77" s="127">
        <v>44215</v>
      </c>
      <c r="AC77" s="128">
        <v>44228</v>
      </c>
      <c r="AD77" s="152"/>
      <c r="AE77" s="129"/>
      <c r="AF77" s="153"/>
      <c r="AG77" s="128"/>
      <c r="AH77" s="152"/>
      <c r="AI77" s="126"/>
      <c r="AJ77" s="153"/>
      <c r="AK77" s="128"/>
      <c r="AL77" s="152"/>
      <c r="AM77" s="126"/>
      <c r="AN77" s="153"/>
      <c r="AO77" s="128"/>
      <c r="AP77" s="152"/>
      <c r="AQ77" s="126"/>
      <c r="AR77" s="153"/>
      <c r="AS77" s="128"/>
      <c r="AT77" s="677">
        <f t="shared" si="3"/>
        <v>90757</v>
      </c>
      <c r="AU77" s="155">
        <f t="shared" si="2"/>
        <v>90757</v>
      </c>
    </row>
    <row r="78" spans="2:47" s="148" customFormat="1" x14ac:dyDescent="0.25">
      <c r="B78" s="674">
        <v>66</v>
      </c>
      <c r="C78" s="674" t="s">
        <v>894</v>
      </c>
      <c r="D78" s="669">
        <v>40003115</v>
      </c>
      <c r="E78" s="187" t="s">
        <v>3085</v>
      </c>
      <c r="F78" s="676" t="s">
        <v>204</v>
      </c>
      <c r="G78" s="151" t="s">
        <v>3132</v>
      </c>
      <c r="H78" s="158" t="s">
        <v>2997</v>
      </c>
      <c r="I78" s="673" t="s">
        <v>43</v>
      </c>
      <c r="J78" s="415">
        <v>42647</v>
      </c>
      <c r="K78" s="125">
        <v>0</v>
      </c>
      <c r="L78" s="125">
        <f t="shared" si="0"/>
        <v>42647</v>
      </c>
      <c r="M78" s="125">
        <v>0</v>
      </c>
      <c r="N78" s="125">
        <v>0</v>
      </c>
      <c r="O78" s="125">
        <v>0</v>
      </c>
      <c r="P78" s="125"/>
      <c r="Q78" s="125"/>
      <c r="R78" s="125"/>
      <c r="S78" s="125"/>
      <c r="T78" s="125"/>
      <c r="U78" s="125"/>
      <c r="V78" s="125"/>
      <c r="W78" s="125"/>
      <c r="X78" s="125"/>
      <c r="Y78" s="125">
        <f t="shared" si="5"/>
        <v>0</v>
      </c>
      <c r="Z78" s="152">
        <v>2</v>
      </c>
      <c r="AA78" s="126">
        <v>6</v>
      </c>
      <c r="AB78" s="127">
        <v>44215</v>
      </c>
      <c r="AC78" s="128">
        <v>44228</v>
      </c>
      <c r="AD78" s="152"/>
      <c r="AE78" s="129"/>
      <c r="AF78" s="153"/>
      <c r="AG78" s="128"/>
      <c r="AH78" s="152"/>
      <c r="AI78" s="126"/>
      <c r="AJ78" s="153"/>
      <c r="AK78" s="128"/>
      <c r="AL78" s="152"/>
      <c r="AM78" s="126"/>
      <c r="AN78" s="153"/>
      <c r="AO78" s="128"/>
      <c r="AP78" s="152"/>
      <c r="AQ78" s="126"/>
      <c r="AR78" s="153"/>
      <c r="AS78" s="128"/>
      <c r="AT78" s="677">
        <f t="shared" si="3"/>
        <v>2</v>
      </c>
      <c r="AU78" s="155">
        <f t="shared" si="2"/>
        <v>2</v>
      </c>
    </row>
    <row r="79" spans="2:47" s="148" customFormat="1" x14ac:dyDescent="0.25">
      <c r="B79" s="674">
        <v>67</v>
      </c>
      <c r="C79" s="674" t="s">
        <v>894</v>
      </c>
      <c r="D79" s="669">
        <v>40003271</v>
      </c>
      <c r="E79" s="187" t="s">
        <v>3086</v>
      </c>
      <c r="F79" s="676" t="s">
        <v>200</v>
      </c>
      <c r="G79" s="151" t="s">
        <v>3132</v>
      </c>
      <c r="H79" s="158" t="s">
        <v>3005</v>
      </c>
      <c r="I79" s="673" t="s">
        <v>42</v>
      </c>
      <c r="J79" s="415">
        <v>752239</v>
      </c>
      <c r="K79" s="125">
        <v>0</v>
      </c>
      <c r="L79" s="125">
        <f t="shared" si="0"/>
        <v>752239</v>
      </c>
      <c r="M79" s="125">
        <v>0</v>
      </c>
      <c r="N79" s="125">
        <v>0</v>
      </c>
      <c r="O79" s="125">
        <v>41736</v>
      </c>
      <c r="P79" s="125">
        <v>52235</v>
      </c>
      <c r="Q79" s="125">
        <v>62538</v>
      </c>
      <c r="R79" s="125">
        <v>69977</v>
      </c>
      <c r="S79" s="125"/>
      <c r="T79" s="125"/>
      <c r="U79" s="125"/>
      <c r="V79" s="125"/>
      <c r="W79" s="125"/>
      <c r="X79" s="125"/>
      <c r="Y79" s="125">
        <f t="shared" si="5"/>
        <v>226486</v>
      </c>
      <c r="Z79" s="152">
        <v>752238</v>
      </c>
      <c r="AA79" s="126">
        <v>6</v>
      </c>
      <c r="AB79" s="127">
        <v>44215</v>
      </c>
      <c r="AC79" s="128">
        <v>44228</v>
      </c>
      <c r="AD79" s="152"/>
      <c r="AE79" s="129"/>
      <c r="AF79" s="153"/>
      <c r="AG79" s="128"/>
      <c r="AH79" s="152"/>
      <c r="AI79" s="126"/>
      <c r="AJ79" s="153"/>
      <c r="AK79" s="128"/>
      <c r="AL79" s="152"/>
      <c r="AM79" s="126"/>
      <c r="AN79" s="153"/>
      <c r="AO79" s="128"/>
      <c r="AP79" s="152"/>
      <c r="AQ79" s="126"/>
      <c r="AR79" s="153"/>
      <c r="AS79" s="128"/>
      <c r="AT79" s="677">
        <f t="shared" si="3"/>
        <v>752238</v>
      </c>
      <c r="AU79" s="155">
        <f t="shared" si="2"/>
        <v>525752</v>
      </c>
    </row>
    <row r="80" spans="2:47" s="148" customFormat="1" x14ac:dyDescent="0.25">
      <c r="B80" s="674">
        <v>68</v>
      </c>
      <c r="C80" s="674" t="s">
        <v>894</v>
      </c>
      <c r="D80" s="669">
        <v>40004014</v>
      </c>
      <c r="E80" s="187" t="s">
        <v>3087</v>
      </c>
      <c r="F80" s="676" t="s">
        <v>200</v>
      </c>
      <c r="G80" s="151" t="s">
        <v>3132</v>
      </c>
      <c r="H80" s="158" t="s">
        <v>2999</v>
      </c>
      <c r="I80" s="673" t="s">
        <v>43</v>
      </c>
      <c r="J80" s="415">
        <v>284941</v>
      </c>
      <c r="K80" s="125">
        <v>0</v>
      </c>
      <c r="L80" s="125">
        <f t="shared" ref="L80:L122" si="6">J80-K80</f>
        <v>284941</v>
      </c>
      <c r="M80" s="125">
        <v>0</v>
      </c>
      <c r="N80" s="125">
        <v>0</v>
      </c>
      <c r="O80" s="125">
        <v>0</v>
      </c>
      <c r="P80" s="125">
        <v>21705</v>
      </c>
      <c r="Q80" s="125">
        <v>35949</v>
      </c>
      <c r="R80" s="125"/>
      <c r="S80" s="125"/>
      <c r="T80" s="125"/>
      <c r="U80" s="125"/>
      <c r="V80" s="125"/>
      <c r="W80" s="125"/>
      <c r="X80" s="125"/>
      <c r="Y80" s="125">
        <f t="shared" si="5"/>
        <v>57654</v>
      </c>
      <c r="Z80" s="152">
        <v>284941</v>
      </c>
      <c r="AA80" s="126">
        <v>6</v>
      </c>
      <c r="AB80" s="127">
        <v>44215</v>
      </c>
      <c r="AC80" s="128">
        <v>44228</v>
      </c>
      <c r="AD80" s="152"/>
      <c r="AE80" s="129"/>
      <c r="AF80" s="153"/>
      <c r="AG80" s="128"/>
      <c r="AH80" s="152"/>
      <c r="AI80" s="126"/>
      <c r="AJ80" s="153"/>
      <c r="AK80" s="128"/>
      <c r="AL80" s="152"/>
      <c r="AM80" s="126"/>
      <c r="AN80" s="153"/>
      <c r="AO80" s="128"/>
      <c r="AP80" s="152"/>
      <c r="AQ80" s="126"/>
      <c r="AR80" s="153"/>
      <c r="AS80" s="128"/>
      <c r="AT80" s="677">
        <f t="shared" si="3"/>
        <v>284941</v>
      </c>
      <c r="AU80" s="155">
        <f t="shared" ref="AU80:AU122" si="7">+AT80-Y80</f>
        <v>227287</v>
      </c>
    </row>
    <row r="81" spans="2:47" s="148" customFormat="1" x14ac:dyDescent="0.25">
      <c r="B81" s="674">
        <v>69</v>
      </c>
      <c r="C81" s="674" t="s">
        <v>894</v>
      </c>
      <c r="D81" s="669">
        <v>40004565</v>
      </c>
      <c r="E81" s="187" t="s">
        <v>3088</v>
      </c>
      <c r="F81" s="676" t="s">
        <v>200</v>
      </c>
      <c r="G81" s="151" t="s">
        <v>3132</v>
      </c>
      <c r="H81" s="158" t="s">
        <v>3017</v>
      </c>
      <c r="I81" s="673" t="s">
        <v>42</v>
      </c>
      <c r="J81" s="415">
        <v>992125</v>
      </c>
      <c r="K81" s="125">
        <v>986559</v>
      </c>
      <c r="L81" s="125">
        <f t="shared" si="6"/>
        <v>5566</v>
      </c>
      <c r="M81" s="125">
        <v>0</v>
      </c>
      <c r="N81" s="125">
        <v>0</v>
      </c>
      <c r="O81" s="125">
        <v>0</v>
      </c>
      <c r="P81" s="125"/>
      <c r="Q81" s="125"/>
      <c r="R81" s="125"/>
      <c r="S81" s="125"/>
      <c r="T81" s="125"/>
      <c r="U81" s="125"/>
      <c r="V81" s="125"/>
      <c r="W81" s="125"/>
      <c r="X81" s="125"/>
      <c r="Y81" s="125">
        <f t="shared" si="5"/>
        <v>0</v>
      </c>
      <c r="Z81" s="152">
        <v>5566</v>
      </c>
      <c r="AA81" s="126">
        <v>6</v>
      </c>
      <c r="AB81" s="127">
        <v>44215</v>
      </c>
      <c r="AC81" s="128">
        <v>44228</v>
      </c>
      <c r="AD81" s="152"/>
      <c r="AE81" s="129"/>
      <c r="AF81" s="153"/>
      <c r="AG81" s="128"/>
      <c r="AH81" s="152"/>
      <c r="AI81" s="126"/>
      <c r="AJ81" s="153"/>
      <c r="AK81" s="128"/>
      <c r="AL81" s="152"/>
      <c r="AM81" s="126"/>
      <c r="AN81" s="153"/>
      <c r="AO81" s="128"/>
      <c r="AP81" s="152"/>
      <c r="AQ81" s="126"/>
      <c r="AR81" s="153"/>
      <c r="AS81" s="128"/>
      <c r="AT81" s="677">
        <f t="shared" ref="AT81:AT99" si="8">+Z81+AD81+AH81+AL81+AP81</f>
        <v>5566</v>
      </c>
      <c r="AU81" s="155">
        <f t="shared" si="7"/>
        <v>5566</v>
      </c>
    </row>
    <row r="82" spans="2:47" s="148" customFormat="1" x14ac:dyDescent="0.25">
      <c r="B82" s="674">
        <v>70</v>
      </c>
      <c r="C82" s="674" t="s">
        <v>894</v>
      </c>
      <c r="D82" s="669">
        <v>40004640</v>
      </c>
      <c r="E82" s="187" t="s">
        <v>3089</v>
      </c>
      <c r="F82" s="676" t="s">
        <v>200</v>
      </c>
      <c r="G82" s="151" t="s">
        <v>3132</v>
      </c>
      <c r="H82" s="158" t="s">
        <v>3056</v>
      </c>
      <c r="I82" s="673" t="s">
        <v>42</v>
      </c>
      <c r="J82" s="415">
        <v>1312224</v>
      </c>
      <c r="K82" s="125">
        <v>37214</v>
      </c>
      <c r="L82" s="125">
        <f t="shared" si="6"/>
        <v>1275010</v>
      </c>
      <c r="M82" s="125">
        <v>0</v>
      </c>
      <c r="N82" s="125">
        <v>367576</v>
      </c>
      <c r="O82" s="125">
        <v>0</v>
      </c>
      <c r="P82" s="125">
        <v>502244</v>
      </c>
      <c r="Q82" s="125">
        <v>209564</v>
      </c>
      <c r="R82" s="125">
        <v>65245</v>
      </c>
      <c r="S82" s="125"/>
      <c r="T82" s="125"/>
      <c r="U82" s="125"/>
      <c r="V82" s="125"/>
      <c r="W82" s="125"/>
      <c r="X82" s="125"/>
      <c r="Y82" s="125">
        <f t="shared" si="5"/>
        <v>1144629</v>
      </c>
      <c r="Z82" s="152">
        <v>1274011</v>
      </c>
      <c r="AA82" s="126">
        <v>6</v>
      </c>
      <c r="AB82" s="127">
        <v>44215</v>
      </c>
      <c r="AC82" s="128">
        <v>44228</v>
      </c>
      <c r="AD82" s="152"/>
      <c r="AE82" s="129"/>
      <c r="AF82" s="153"/>
      <c r="AG82" s="128"/>
      <c r="AH82" s="152"/>
      <c r="AI82" s="126"/>
      <c r="AJ82" s="153"/>
      <c r="AK82" s="128"/>
      <c r="AL82" s="152"/>
      <c r="AM82" s="126"/>
      <c r="AN82" s="153"/>
      <c r="AO82" s="128"/>
      <c r="AP82" s="152"/>
      <c r="AQ82" s="126"/>
      <c r="AR82" s="153"/>
      <c r="AS82" s="128"/>
      <c r="AT82" s="677">
        <f t="shared" si="8"/>
        <v>1274011</v>
      </c>
      <c r="AU82" s="155">
        <f t="shared" si="7"/>
        <v>129382</v>
      </c>
    </row>
    <row r="83" spans="2:47" s="148" customFormat="1" x14ac:dyDescent="0.25">
      <c r="B83" s="674">
        <v>71</v>
      </c>
      <c r="C83" s="674" t="s">
        <v>894</v>
      </c>
      <c r="D83" s="669">
        <v>40006385</v>
      </c>
      <c r="E83" s="187" t="s">
        <v>3090</v>
      </c>
      <c r="F83" s="676" t="s">
        <v>200</v>
      </c>
      <c r="G83" s="151" t="s">
        <v>3132</v>
      </c>
      <c r="H83" s="158" t="s">
        <v>2999</v>
      </c>
      <c r="I83" s="673" t="s">
        <v>42</v>
      </c>
      <c r="J83" s="415">
        <v>418882</v>
      </c>
      <c r="K83" s="125">
        <v>125219</v>
      </c>
      <c r="L83" s="125">
        <f t="shared" si="6"/>
        <v>293663</v>
      </c>
      <c r="M83" s="125">
        <v>0</v>
      </c>
      <c r="N83" s="125">
        <v>0</v>
      </c>
      <c r="O83" s="125">
        <v>85882</v>
      </c>
      <c r="P83" s="125">
        <v>122326</v>
      </c>
      <c r="Q83" s="125">
        <v>46940</v>
      </c>
      <c r="R83" s="125">
        <v>0</v>
      </c>
      <c r="S83" s="125"/>
      <c r="T83" s="125"/>
      <c r="U83" s="125"/>
      <c r="V83" s="125"/>
      <c r="W83" s="125"/>
      <c r="X83" s="125"/>
      <c r="Y83" s="125">
        <f t="shared" si="5"/>
        <v>255148</v>
      </c>
      <c r="Z83" s="152">
        <v>293664</v>
      </c>
      <c r="AA83" s="126">
        <v>6</v>
      </c>
      <c r="AB83" s="127">
        <v>44215</v>
      </c>
      <c r="AC83" s="128">
        <v>44228</v>
      </c>
      <c r="AD83" s="152">
        <v>1100</v>
      </c>
      <c r="AE83" s="129">
        <v>39</v>
      </c>
      <c r="AF83" s="127">
        <v>44364</v>
      </c>
      <c r="AG83" s="128">
        <v>44377</v>
      </c>
      <c r="AH83" s="152"/>
      <c r="AI83" s="126"/>
      <c r="AJ83" s="153"/>
      <c r="AK83" s="128"/>
      <c r="AL83" s="152"/>
      <c r="AM83" s="126"/>
      <c r="AN83" s="153"/>
      <c r="AO83" s="128"/>
      <c r="AP83" s="152"/>
      <c r="AQ83" s="126"/>
      <c r="AR83" s="153"/>
      <c r="AS83" s="128"/>
      <c r="AT83" s="677">
        <f t="shared" si="8"/>
        <v>294764</v>
      </c>
      <c r="AU83" s="155">
        <f t="shared" si="7"/>
        <v>39616</v>
      </c>
    </row>
    <row r="84" spans="2:47" s="148" customFormat="1" x14ac:dyDescent="0.25">
      <c r="B84" s="674">
        <v>72</v>
      </c>
      <c r="C84" s="674" t="s">
        <v>894</v>
      </c>
      <c r="D84" s="669">
        <v>40007542</v>
      </c>
      <c r="E84" s="187" t="s">
        <v>3091</v>
      </c>
      <c r="F84" s="676" t="s">
        <v>200</v>
      </c>
      <c r="G84" s="151" t="s">
        <v>3132</v>
      </c>
      <c r="H84" s="158" t="s">
        <v>3059</v>
      </c>
      <c r="I84" s="673" t="s">
        <v>42</v>
      </c>
      <c r="J84" s="415">
        <v>1309496</v>
      </c>
      <c r="K84" s="125">
        <v>1240389</v>
      </c>
      <c r="L84" s="125">
        <f t="shared" si="6"/>
        <v>69107</v>
      </c>
      <c r="M84" s="125">
        <v>0</v>
      </c>
      <c r="N84" s="125">
        <v>0</v>
      </c>
      <c r="O84" s="125">
        <v>0</v>
      </c>
      <c r="P84" s="125">
        <v>0</v>
      </c>
      <c r="Q84" s="125">
        <v>23747</v>
      </c>
      <c r="R84" s="125">
        <v>24378</v>
      </c>
      <c r="S84" s="125"/>
      <c r="T84" s="125"/>
      <c r="U84" s="125"/>
      <c r="V84" s="125"/>
      <c r="W84" s="125"/>
      <c r="X84" s="125"/>
      <c r="Y84" s="125">
        <f t="shared" si="5"/>
        <v>48125</v>
      </c>
      <c r="Z84" s="152">
        <v>69108</v>
      </c>
      <c r="AA84" s="126">
        <v>6</v>
      </c>
      <c r="AB84" s="127">
        <v>44215</v>
      </c>
      <c r="AC84" s="128">
        <v>44228</v>
      </c>
      <c r="AD84" s="152">
        <v>7105</v>
      </c>
      <c r="AE84" s="129">
        <v>39</v>
      </c>
      <c r="AF84" s="127">
        <v>44364</v>
      </c>
      <c r="AG84" s="128">
        <v>44377</v>
      </c>
      <c r="AH84" s="152"/>
      <c r="AI84" s="126"/>
      <c r="AJ84" s="153"/>
      <c r="AK84" s="128"/>
      <c r="AL84" s="152"/>
      <c r="AM84" s="126"/>
      <c r="AN84" s="153"/>
      <c r="AO84" s="128"/>
      <c r="AP84" s="152"/>
      <c r="AQ84" s="126"/>
      <c r="AR84" s="153"/>
      <c r="AS84" s="128"/>
      <c r="AT84" s="677">
        <f t="shared" si="8"/>
        <v>76213</v>
      </c>
      <c r="AU84" s="155">
        <f t="shared" si="7"/>
        <v>28088</v>
      </c>
    </row>
    <row r="85" spans="2:47" s="148" customFormat="1" x14ac:dyDescent="0.25">
      <c r="B85" s="674">
        <v>73</v>
      </c>
      <c r="C85" s="674" t="s">
        <v>894</v>
      </c>
      <c r="D85" s="669">
        <v>40007652</v>
      </c>
      <c r="E85" s="187" t="s">
        <v>3092</v>
      </c>
      <c r="F85" s="676" t="s">
        <v>200</v>
      </c>
      <c r="G85" s="151" t="s">
        <v>3132</v>
      </c>
      <c r="H85" s="158" t="s">
        <v>3059</v>
      </c>
      <c r="I85" s="673" t="s">
        <v>43</v>
      </c>
      <c r="J85" s="415">
        <v>274558</v>
      </c>
      <c r="K85" s="125">
        <v>0</v>
      </c>
      <c r="L85" s="125">
        <f t="shared" si="6"/>
        <v>274558</v>
      </c>
      <c r="M85" s="125">
        <v>0</v>
      </c>
      <c r="N85" s="125">
        <v>0</v>
      </c>
      <c r="O85" s="125">
        <v>0</v>
      </c>
      <c r="P85" s="125"/>
      <c r="Q85" s="125"/>
      <c r="R85" s="125"/>
      <c r="S85" s="125"/>
      <c r="T85" s="125"/>
      <c r="U85" s="125"/>
      <c r="V85" s="125"/>
      <c r="W85" s="125"/>
      <c r="X85" s="125"/>
      <c r="Y85" s="125">
        <f t="shared" si="5"/>
        <v>0</v>
      </c>
      <c r="Z85" s="152">
        <v>501</v>
      </c>
      <c r="AA85" s="126">
        <v>6</v>
      </c>
      <c r="AB85" s="127">
        <v>44215</v>
      </c>
      <c r="AC85" s="128">
        <v>44228</v>
      </c>
      <c r="AD85" s="152"/>
      <c r="AE85" s="129"/>
      <c r="AF85" s="153"/>
      <c r="AG85" s="128"/>
      <c r="AH85" s="152"/>
      <c r="AI85" s="126"/>
      <c r="AJ85" s="153"/>
      <c r="AK85" s="128"/>
      <c r="AL85" s="152"/>
      <c r="AM85" s="126"/>
      <c r="AN85" s="153"/>
      <c r="AO85" s="128"/>
      <c r="AP85" s="152"/>
      <c r="AQ85" s="126"/>
      <c r="AR85" s="153"/>
      <c r="AS85" s="128"/>
      <c r="AT85" s="677">
        <f t="shared" si="8"/>
        <v>501</v>
      </c>
      <c r="AU85" s="155">
        <f t="shared" si="7"/>
        <v>501</v>
      </c>
    </row>
    <row r="86" spans="2:47" s="148" customFormat="1" x14ac:dyDescent="0.25">
      <c r="B86" s="674">
        <v>74</v>
      </c>
      <c r="C86" s="674" t="s">
        <v>894</v>
      </c>
      <c r="D86" s="669">
        <v>40009262</v>
      </c>
      <c r="E86" s="187" t="s">
        <v>3093</v>
      </c>
      <c r="F86" s="676" t="s">
        <v>200</v>
      </c>
      <c r="G86" s="151" t="s">
        <v>3132</v>
      </c>
      <c r="H86" s="158" t="s">
        <v>3047</v>
      </c>
      <c r="I86" s="673" t="s">
        <v>42</v>
      </c>
      <c r="J86" s="415">
        <v>572999</v>
      </c>
      <c r="K86" s="125">
        <v>560782</v>
      </c>
      <c r="L86" s="125">
        <f t="shared" si="6"/>
        <v>12217</v>
      </c>
      <c r="M86" s="125">
        <v>0</v>
      </c>
      <c r="N86" s="125">
        <v>0</v>
      </c>
      <c r="O86" s="125">
        <v>0</v>
      </c>
      <c r="P86" s="125"/>
      <c r="Q86" s="125"/>
      <c r="R86" s="125"/>
      <c r="S86" s="125"/>
      <c r="T86" s="125"/>
      <c r="U86" s="125"/>
      <c r="V86" s="125"/>
      <c r="W86" s="125"/>
      <c r="X86" s="125"/>
      <c r="Y86" s="125">
        <f t="shared" si="5"/>
        <v>0</v>
      </c>
      <c r="Z86" s="152">
        <v>12217</v>
      </c>
      <c r="AA86" s="126">
        <v>6</v>
      </c>
      <c r="AB86" s="127">
        <v>44215</v>
      </c>
      <c r="AC86" s="128">
        <v>44228</v>
      </c>
      <c r="AD86" s="152"/>
      <c r="AE86" s="129"/>
      <c r="AF86" s="153"/>
      <c r="AG86" s="128"/>
      <c r="AH86" s="152"/>
      <c r="AI86" s="126"/>
      <c r="AJ86" s="153"/>
      <c r="AK86" s="128"/>
      <c r="AL86" s="152"/>
      <c r="AM86" s="126"/>
      <c r="AN86" s="153"/>
      <c r="AO86" s="128"/>
      <c r="AP86" s="152"/>
      <c r="AQ86" s="126"/>
      <c r="AR86" s="153"/>
      <c r="AS86" s="128"/>
      <c r="AT86" s="677">
        <f t="shared" si="8"/>
        <v>12217</v>
      </c>
      <c r="AU86" s="155">
        <f t="shared" si="7"/>
        <v>12217</v>
      </c>
    </row>
    <row r="87" spans="2:47" s="148" customFormat="1" x14ac:dyDescent="0.25">
      <c r="B87" s="674">
        <v>75</v>
      </c>
      <c r="C87" s="674" t="s">
        <v>894</v>
      </c>
      <c r="D87" s="669">
        <v>40009326</v>
      </c>
      <c r="E87" s="187" t="s">
        <v>3094</v>
      </c>
      <c r="F87" s="676" t="s">
        <v>204</v>
      </c>
      <c r="G87" s="151" t="s">
        <v>3132</v>
      </c>
      <c r="H87" s="158" t="s">
        <v>2999</v>
      </c>
      <c r="I87" s="673" t="s">
        <v>43</v>
      </c>
      <c r="J87" s="415">
        <v>85105</v>
      </c>
      <c r="K87" s="125">
        <v>0</v>
      </c>
      <c r="L87" s="125">
        <f t="shared" si="6"/>
        <v>85105</v>
      </c>
      <c r="M87" s="125">
        <v>0</v>
      </c>
      <c r="N87" s="125">
        <v>0</v>
      </c>
      <c r="O87" s="125">
        <v>0</v>
      </c>
      <c r="P87" s="125"/>
      <c r="Q87" s="125"/>
      <c r="R87" s="125"/>
      <c r="S87" s="125"/>
      <c r="T87" s="125"/>
      <c r="U87" s="125"/>
      <c r="V87" s="125"/>
      <c r="W87" s="125"/>
      <c r="X87" s="125"/>
      <c r="Y87" s="125">
        <f t="shared" si="5"/>
        <v>0</v>
      </c>
      <c r="Z87" s="152">
        <v>944</v>
      </c>
      <c r="AA87" s="126">
        <v>6</v>
      </c>
      <c r="AB87" s="127">
        <v>44215</v>
      </c>
      <c r="AC87" s="128">
        <v>44228</v>
      </c>
      <c r="AD87" s="152"/>
      <c r="AE87" s="129"/>
      <c r="AF87" s="153"/>
      <c r="AG87" s="128"/>
      <c r="AH87" s="152"/>
      <c r="AI87" s="126"/>
      <c r="AJ87" s="153"/>
      <c r="AK87" s="128"/>
      <c r="AL87" s="152"/>
      <c r="AM87" s="126"/>
      <c r="AN87" s="153"/>
      <c r="AO87" s="128"/>
      <c r="AP87" s="152"/>
      <c r="AQ87" s="126"/>
      <c r="AR87" s="153"/>
      <c r="AS87" s="128"/>
      <c r="AT87" s="677">
        <f t="shared" si="8"/>
        <v>944</v>
      </c>
      <c r="AU87" s="155">
        <f t="shared" si="7"/>
        <v>944</v>
      </c>
    </row>
    <row r="88" spans="2:47" s="148" customFormat="1" x14ac:dyDescent="0.25">
      <c r="B88" s="674">
        <v>76</v>
      </c>
      <c r="C88" s="674" t="s">
        <v>894</v>
      </c>
      <c r="D88" s="669">
        <v>40009501</v>
      </c>
      <c r="E88" s="187" t="s">
        <v>3095</v>
      </c>
      <c r="F88" s="676" t="s">
        <v>200</v>
      </c>
      <c r="G88" s="151" t="s">
        <v>3132</v>
      </c>
      <c r="H88" s="158" t="s">
        <v>3056</v>
      </c>
      <c r="I88" s="673" t="s">
        <v>42</v>
      </c>
      <c r="J88" s="415">
        <v>1430491</v>
      </c>
      <c r="K88" s="125">
        <v>1357902</v>
      </c>
      <c r="L88" s="125">
        <f t="shared" si="6"/>
        <v>72589</v>
      </c>
      <c r="M88" s="125">
        <v>0</v>
      </c>
      <c r="N88" s="125">
        <v>0</v>
      </c>
      <c r="O88" s="125">
        <v>64822</v>
      </c>
      <c r="P88" s="125"/>
      <c r="Q88" s="125"/>
      <c r="R88" s="125"/>
      <c r="S88" s="125"/>
      <c r="T88" s="125"/>
      <c r="U88" s="125"/>
      <c r="V88" s="125"/>
      <c r="W88" s="125"/>
      <c r="X88" s="125"/>
      <c r="Y88" s="125">
        <f t="shared" si="5"/>
        <v>64822</v>
      </c>
      <c r="Z88" s="152">
        <v>72589</v>
      </c>
      <c r="AA88" s="126">
        <v>6</v>
      </c>
      <c r="AB88" s="127">
        <v>44215</v>
      </c>
      <c r="AC88" s="128">
        <v>44228</v>
      </c>
      <c r="AD88" s="152"/>
      <c r="AE88" s="129"/>
      <c r="AF88" s="153"/>
      <c r="AG88" s="128"/>
      <c r="AH88" s="152"/>
      <c r="AI88" s="126"/>
      <c r="AJ88" s="153"/>
      <c r="AK88" s="128"/>
      <c r="AL88" s="152"/>
      <c r="AM88" s="126"/>
      <c r="AN88" s="153"/>
      <c r="AO88" s="128"/>
      <c r="AP88" s="152"/>
      <c r="AQ88" s="126"/>
      <c r="AR88" s="153"/>
      <c r="AS88" s="128"/>
      <c r="AT88" s="677">
        <f t="shared" si="8"/>
        <v>72589</v>
      </c>
      <c r="AU88" s="155">
        <f t="shared" si="7"/>
        <v>7767</v>
      </c>
    </row>
    <row r="89" spans="2:47" s="148" customFormat="1" x14ac:dyDescent="0.25">
      <c r="B89" s="674">
        <v>77</v>
      </c>
      <c r="C89" s="674" t="s">
        <v>894</v>
      </c>
      <c r="D89" s="669">
        <v>40009593</v>
      </c>
      <c r="E89" s="187" t="s">
        <v>3096</v>
      </c>
      <c r="F89" s="676" t="s">
        <v>200</v>
      </c>
      <c r="G89" s="151" t="s">
        <v>3132</v>
      </c>
      <c r="H89" s="158" t="s">
        <v>3056</v>
      </c>
      <c r="I89" s="673" t="s">
        <v>42</v>
      </c>
      <c r="J89" s="415">
        <v>984876</v>
      </c>
      <c r="K89" s="125">
        <v>652490</v>
      </c>
      <c r="L89" s="125">
        <f t="shared" si="6"/>
        <v>332386</v>
      </c>
      <c r="M89" s="125">
        <v>0</v>
      </c>
      <c r="N89" s="125">
        <v>0</v>
      </c>
      <c r="O89" s="125">
        <v>182048</v>
      </c>
      <c r="P89" s="125">
        <v>77579</v>
      </c>
      <c r="Q89" s="125"/>
      <c r="R89" s="125"/>
      <c r="S89" s="125"/>
      <c r="T89" s="125"/>
      <c r="U89" s="125"/>
      <c r="V89" s="125"/>
      <c r="W89" s="125"/>
      <c r="X89" s="125"/>
      <c r="Y89" s="125">
        <f t="shared" si="5"/>
        <v>259627</v>
      </c>
      <c r="Z89" s="152">
        <v>332387</v>
      </c>
      <c r="AA89" s="126">
        <v>6</v>
      </c>
      <c r="AB89" s="127">
        <v>44215</v>
      </c>
      <c r="AC89" s="128">
        <v>44228</v>
      </c>
      <c r="AD89" s="152"/>
      <c r="AE89" s="129"/>
      <c r="AF89" s="153"/>
      <c r="AG89" s="128"/>
      <c r="AH89" s="152"/>
      <c r="AI89" s="126"/>
      <c r="AJ89" s="153"/>
      <c r="AK89" s="128"/>
      <c r="AL89" s="152"/>
      <c r="AM89" s="126"/>
      <c r="AN89" s="153"/>
      <c r="AO89" s="128"/>
      <c r="AP89" s="152"/>
      <c r="AQ89" s="126"/>
      <c r="AR89" s="153"/>
      <c r="AS89" s="128"/>
      <c r="AT89" s="677">
        <f t="shared" si="8"/>
        <v>332387</v>
      </c>
      <c r="AU89" s="155">
        <f t="shared" si="7"/>
        <v>72760</v>
      </c>
    </row>
    <row r="90" spans="2:47" s="148" customFormat="1" x14ac:dyDescent="0.25">
      <c r="B90" s="674">
        <v>78</v>
      </c>
      <c r="C90" s="674" t="s">
        <v>894</v>
      </c>
      <c r="D90" s="669">
        <v>40010601</v>
      </c>
      <c r="E90" s="187" t="s">
        <v>3097</v>
      </c>
      <c r="F90" s="676" t="s">
        <v>200</v>
      </c>
      <c r="G90" s="151" t="s">
        <v>3132</v>
      </c>
      <c r="H90" s="158" t="s">
        <v>3059</v>
      </c>
      <c r="I90" s="673" t="s">
        <v>43</v>
      </c>
      <c r="J90" s="415">
        <v>117611</v>
      </c>
      <c r="K90" s="125">
        <v>0</v>
      </c>
      <c r="L90" s="125">
        <f t="shared" si="6"/>
        <v>117611</v>
      </c>
      <c r="M90" s="125">
        <v>0</v>
      </c>
      <c r="N90" s="125">
        <v>0</v>
      </c>
      <c r="O90" s="125">
        <v>0</v>
      </c>
      <c r="P90" s="125"/>
      <c r="Q90" s="125"/>
      <c r="R90" s="125"/>
      <c r="S90" s="125"/>
      <c r="T90" s="125"/>
      <c r="U90" s="125"/>
      <c r="V90" s="125"/>
      <c r="W90" s="125"/>
      <c r="X90" s="125"/>
      <c r="Y90" s="125">
        <f t="shared" si="5"/>
        <v>0</v>
      </c>
      <c r="Z90" s="152">
        <v>117611</v>
      </c>
      <c r="AA90" s="126">
        <v>6</v>
      </c>
      <c r="AB90" s="127">
        <v>44215</v>
      </c>
      <c r="AC90" s="128">
        <v>44228</v>
      </c>
      <c r="AD90" s="152"/>
      <c r="AE90" s="129"/>
      <c r="AF90" s="153"/>
      <c r="AG90" s="128"/>
      <c r="AH90" s="152"/>
      <c r="AI90" s="126"/>
      <c r="AJ90" s="153"/>
      <c r="AK90" s="128"/>
      <c r="AL90" s="152"/>
      <c r="AM90" s="126"/>
      <c r="AN90" s="153"/>
      <c r="AO90" s="128"/>
      <c r="AP90" s="152"/>
      <c r="AQ90" s="126"/>
      <c r="AR90" s="153"/>
      <c r="AS90" s="128"/>
      <c r="AT90" s="677">
        <f t="shared" si="8"/>
        <v>117611</v>
      </c>
      <c r="AU90" s="155">
        <f t="shared" si="7"/>
        <v>117611</v>
      </c>
    </row>
    <row r="91" spans="2:47" s="148" customFormat="1" x14ac:dyDescent="0.25">
      <c r="B91" s="674">
        <v>79</v>
      </c>
      <c r="C91" s="674" t="s">
        <v>894</v>
      </c>
      <c r="D91" s="669">
        <v>40010956</v>
      </c>
      <c r="E91" s="187" t="s">
        <v>3098</v>
      </c>
      <c r="F91" s="676" t="s">
        <v>200</v>
      </c>
      <c r="G91" s="151" t="s">
        <v>3132</v>
      </c>
      <c r="H91" s="158" t="s">
        <v>3038</v>
      </c>
      <c r="I91" s="673" t="s">
        <v>43</v>
      </c>
      <c r="J91" s="415">
        <v>802821</v>
      </c>
      <c r="K91" s="125">
        <v>0</v>
      </c>
      <c r="L91" s="125">
        <f t="shared" si="6"/>
        <v>802821</v>
      </c>
      <c r="M91" s="125">
        <v>0</v>
      </c>
      <c r="N91" s="125">
        <v>0</v>
      </c>
      <c r="O91" s="125">
        <v>0</v>
      </c>
      <c r="P91" s="125"/>
      <c r="Q91" s="125"/>
      <c r="R91" s="125"/>
      <c r="S91" s="125"/>
      <c r="T91" s="125"/>
      <c r="U91" s="125"/>
      <c r="V91" s="125"/>
      <c r="W91" s="125"/>
      <c r="X91" s="125"/>
      <c r="Y91" s="125">
        <f t="shared" si="5"/>
        <v>0</v>
      </c>
      <c r="Z91" s="152">
        <v>2</v>
      </c>
      <c r="AA91" s="126">
        <v>6</v>
      </c>
      <c r="AB91" s="127">
        <v>44215</v>
      </c>
      <c r="AC91" s="128">
        <v>44228</v>
      </c>
      <c r="AD91" s="152"/>
      <c r="AE91" s="129"/>
      <c r="AF91" s="153"/>
      <c r="AG91" s="128"/>
      <c r="AH91" s="152"/>
      <c r="AI91" s="126"/>
      <c r="AJ91" s="153"/>
      <c r="AK91" s="128"/>
      <c r="AL91" s="152"/>
      <c r="AM91" s="126"/>
      <c r="AN91" s="153"/>
      <c r="AO91" s="128"/>
      <c r="AP91" s="152"/>
      <c r="AQ91" s="126"/>
      <c r="AR91" s="153"/>
      <c r="AS91" s="128"/>
      <c r="AT91" s="677">
        <f t="shared" si="8"/>
        <v>2</v>
      </c>
      <c r="AU91" s="155">
        <f t="shared" si="7"/>
        <v>2</v>
      </c>
    </row>
    <row r="92" spans="2:47" s="148" customFormat="1" x14ac:dyDescent="0.25">
      <c r="B92" s="674">
        <v>80</v>
      </c>
      <c r="C92" s="674" t="s">
        <v>894</v>
      </c>
      <c r="D92" s="669">
        <v>40011115</v>
      </c>
      <c r="E92" s="187" t="s">
        <v>3099</v>
      </c>
      <c r="F92" s="676" t="s">
        <v>200</v>
      </c>
      <c r="G92" s="151" t="s">
        <v>3132</v>
      </c>
      <c r="H92" s="158" t="s">
        <v>44</v>
      </c>
      <c r="I92" s="673" t="s">
        <v>43</v>
      </c>
      <c r="J92" s="415">
        <v>2423250</v>
      </c>
      <c r="K92" s="125">
        <v>0</v>
      </c>
      <c r="L92" s="125">
        <f t="shared" si="6"/>
        <v>2423250</v>
      </c>
      <c r="M92" s="125">
        <v>0</v>
      </c>
      <c r="N92" s="125">
        <v>0</v>
      </c>
      <c r="O92" s="125">
        <v>0</v>
      </c>
      <c r="P92" s="125"/>
      <c r="Q92" s="125"/>
      <c r="R92" s="125"/>
      <c r="S92" s="125"/>
      <c r="T92" s="125"/>
      <c r="U92" s="125"/>
      <c r="V92" s="125"/>
      <c r="W92" s="125"/>
      <c r="X92" s="125"/>
      <c r="Y92" s="125">
        <f t="shared" si="5"/>
        <v>0</v>
      </c>
      <c r="Z92" s="152">
        <v>4845</v>
      </c>
      <c r="AA92" s="126">
        <v>6</v>
      </c>
      <c r="AB92" s="127">
        <v>44215</v>
      </c>
      <c r="AC92" s="128">
        <v>44228</v>
      </c>
      <c r="AD92" s="152"/>
      <c r="AE92" s="129"/>
      <c r="AF92" s="153"/>
      <c r="AG92" s="128"/>
      <c r="AH92" s="152"/>
      <c r="AI92" s="126"/>
      <c r="AJ92" s="153"/>
      <c r="AK92" s="128"/>
      <c r="AL92" s="152"/>
      <c r="AM92" s="126"/>
      <c r="AN92" s="153"/>
      <c r="AO92" s="128"/>
      <c r="AP92" s="152"/>
      <c r="AQ92" s="126"/>
      <c r="AR92" s="153"/>
      <c r="AS92" s="128"/>
      <c r="AT92" s="677">
        <f t="shared" si="8"/>
        <v>4845</v>
      </c>
      <c r="AU92" s="155">
        <f t="shared" si="7"/>
        <v>4845</v>
      </c>
    </row>
    <row r="93" spans="2:47" s="148" customFormat="1" x14ac:dyDescent="0.25">
      <c r="B93" s="674">
        <v>81</v>
      </c>
      <c r="C93" s="674" t="s">
        <v>894</v>
      </c>
      <c r="D93" s="669">
        <v>40011749</v>
      </c>
      <c r="E93" s="187" t="s">
        <v>3100</v>
      </c>
      <c r="F93" s="676" t="s">
        <v>200</v>
      </c>
      <c r="G93" s="151" t="s">
        <v>3132</v>
      </c>
      <c r="H93" s="158" t="s">
        <v>2997</v>
      </c>
      <c r="I93" s="673" t="s">
        <v>42</v>
      </c>
      <c r="J93" s="415">
        <v>317714</v>
      </c>
      <c r="K93" s="125">
        <v>0</v>
      </c>
      <c r="L93" s="125">
        <f t="shared" si="6"/>
        <v>317714</v>
      </c>
      <c r="M93" s="125">
        <v>0</v>
      </c>
      <c r="N93" s="125">
        <v>0</v>
      </c>
      <c r="O93" s="125">
        <v>0</v>
      </c>
      <c r="P93" s="125"/>
      <c r="Q93" s="125">
        <v>125631</v>
      </c>
      <c r="R93" s="125">
        <v>99652</v>
      </c>
      <c r="S93" s="125"/>
      <c r="T93" s="125"/>
      <c r="U93" s="125"/>
      <c r="V93" s="125"/>
      <c r="W93" s="125"/>
      <c r="X93" s="125"/>
      <c r="Y93" s="125">
        <f t="shared" si="5"/>
        <v>225283</v>
      </c>
      <c r="Z93" s="152">
        <v>317714</v>
      </c>
      <c r="AA93" s="126">
        <v>6</v>
      </c>
      <c r="AB93" s="127">
        <v>44215</v>
      </c>
      <c r="AC93" s="128">
        <v>44228</v>
      </c>
      <c r="AD93" s="152"/>
      <c r="AE93" s="129"/>
      <c r="AF93" s="153"/>
      <c r="AG93" s="128"/>
      <c r="AH93" s="152"/>
      <c r="AI93" s="126"/>
      <c r="AJ93" s="153"/>
      <c r="AK93" s="128"/>
      <c r="AL93" s="152"/>
      <c r="AM93" s="126"/>
      <c r="AN93" s="153"/>
      <c r="AO93" s="128"/>
      <c r="AP93" s="152"/>
      <c r="AQ93" s="126"/>
      <c r="AR93" s="153"/>
      <c r="AS93" s="128"/>
      <c r="AT93" s="677">
        <f t="shared" si="8"/>
        <v>317714</v>
      </c>
      <c r="AU93" s="155">
        <f t="shared" si="7"/>
        <v>92431</v>
      </c>
    </row>
    <row r="94" spans="2:47" s="148" customFormat="1" x14ac:dyDescent="0.25">
      <c r="B94" s="674">
        <v>82</v>
      </c>
      <c r="C94" s="674" t="s">
        <v>894</v>
      </c>
      <c r="D94" s="669">
        <v>40013084</v>
      </c>
      <c r="E94" s="187" t="s">
        <v>3101</v>
      </c>
      <c r="F94" s="676" t="s">
        <v>200</v>
      </c>
      <c r="G94" s="151" t="s">
        <v>3132</v>
      </c>
      <c r="H94" s="158" t="s">
        <v>2999</v>
      </c>
      <c r="I94" s="673" t="s">
        <v>42</v>
      </c>
      <c r="J94" s="415">
        <v>1032801</v>
      </c>
      <c r="K94" s="125">
        <v>151442</v>
      </c>
      <c r="L94" s="125">
        <f t="shared" si="6"/>
        <v>881359</v>
      </c>
      <c r="M94" s="125">
        <v>0</v>
      </c>
      <c r="N94" s="125">
        <v>146006</v>
      </c>
      <c r="O94" s="125">
        <v>0</v>
      </c>
      <c r="P94" s="125">
        <v>66553</v>
      </c>
      <c r="Q94" s="125">
        <v>105740</v>
      </c>
      <c r="R94" s="125">
        <v>34975</v>
      </c>
      <c r="S94" s="125"/>
      <c r="T94" s="125"/>
      <c r="U94" s="125"/>
      <c r="V94" s="125"/>
      <c r="W94" s="125"/>
      <c r="X94" s="125"/>
      <c r="Y94" s="125">
        <f t="shared" si="5"/>
        <v>353274</v>
      </c>
      <c r="Z94" s="152">
        <v>881360</v>
      </c>
      <c r="AA94" s="126">
        <v>6</v>
      </c>
      <c r="AB94" s="127">
        <v>44215</v>
      </c>
      <c r="AC94" s="128">
        <v>44228</v>
      </c>
      <c r="AD94" s="152"/>
      <c r="AE94" s="129"/>
      <c r="AF94" s="153"/>
      <c r="AG94" s="128"/>
      <c r="AH94" s="152"/>
      <c r="AI94" s="126"/>
      <c r="AJ94" s="153"/>
      <c r="AK94" s="128"/>
      <c r="AL94" s="152"/>
      <c r="AM94" s="126"/>
      <c r="AN94" s="153"/>
      <c r="AO94" s="128"/>
      <c r="AP94" s="152"/>
      <c r="AQ94" s="126"/>
      <c r="AR94" s="153"/>
      <c r="AS94" s="128"/>
      <c r="AT94" s="677">
        <f t="shared" si="8"/>
        <v>881360</v>
      </c>
      <c r="AU94" s="155">
        <f t="shared" si="7"/>
        <v>528086</v>
      </c>
    </row>
    <row r="95" spans="2:47" s="148" customFormat="1" x14ac:dyDescent="0.25">
      <c r="B95" s="674">
        <v>83</v>
      </c>
      <c r="C95" s="674" t="s">
        <v>894</v>
      </c>
      <c r="D95" s="669">
        <v>40013605</v>
      </c>
      <c r="E95" s="187" t="s">
        <v>3102</v>
      </c>
      <c r="F95" s="676" t="s">
        <v>200</v>
      </c>
      <c r="G95" s="151" t="s">
        <v>3132</v>
      </c>
      <c r="H95" s="158" t="s">
        <v>3034</v>
      </c>
      <c r="I95" s="673" t="s">
        <v>43</v>
      </c>
      <c r="J95" s="415">
        <v>324249</v>
      </c>
      <c r="K95" s="125">
        <v>0</v>
      </c>
      <c r="L95" s="125">
        <f t="shared" si="6"/>
        <v>324249</v>
      </c>
      <c r="M95" s="125">
        <v>0</v>
      </c>
      <c r="N95" s="125">
        <v>0</v>
      </c>
      <c r="O95" s="125">
        <v>1186</v>
      </c>
      <c r="P95" s="125"/>
      <c r="Q95" s="125"/>
      <c r="R95" s="125"/>
      <c r="S95" s="125"/>
      <c r="T95" s="125"/>
      <c r="U95" s="125"/>
      <c r="V95" s="125"/>
      <c r="W95" s="125"/>
      <c r="X95" s="125"/>
      <c r="Y95" s="125">
        <f t="shared" si="5"/>
        <v>1186</v>
      </c>
      <c r="Z95" s="152">
        <v>324249</v>
      </c>
      <c r="AA95" s="126">
        <v>6</v>
      </c>
      <c r="AB95" s="127">
        <v>44215</v>
      </c>
      <c r="AC95" s="128">
        <v>44228</v>
      </c>
      <c r="AD95" s="152"/>
      <c r="AE95" s="129"/>
      <c r="AF95" s="153"/>
      <c r="AG95" s="128"/>
      <c r="AH95" s="152"/>
      <c r="AI95" s="126"/>
      <c r="AJ95" s="153"/>
      <c r="AK95" s="128"/>
      <c r="AL95" s="152"/>
      <c r="AM95" s="126"/>
      <c r="AN95" s="153"/>
      <c r="AO95" s="128"/>
      <c r="AP95" s="152"/>
      <c r="AQ95" s="126"/>
      <c r="AR95" s="153"/>
      <c r="AS95" s="128"/>
      <c r="AT95" s="677">
        <f t="shared" si="8"/>
        <v>324249</v>
      </c>
      <c r="AU95" s="155">
        <f t="shared" si="7"/>
        <v>323063</v>
      </c>
    </row>
    <row r="96" spans="2:47" s="148" customFormat="1" x14ac:dyDescent="0.25">
      <c r="B96" s="674">
        <v>84</v>
      </c>
      <c r="C96" s="674" t="s">
        <v>894</v>
      </c>
      <c r="D96" s="669">
        <v>40015283</v>
      </c>
      <c r="E96" s="187" t="s">
        <v>3103</v>
      </c>
      <c r="F96" s="676" t="s">
        <v>200</v>
      </c>
      <c r="G96" s="151" t="s">
        <v>3132</v>
      </c>
      <c r="H96" s="158" t="s">
        <v>2999</v>
      </c>
      <c r="I96" s="673" t="s">
        <v>42</v>
      </c>
      <c r="J96" s="415">
        <v>559996</v>
      </c>
      <c r="K96" s="125">
        <v>0</v>
      </c>
      <c r="L96" s="125">
        <f t="shared" si="6"/>
        <v>559996</v>
      </c>
      <c r="M96" s="125">
        <v>0</v>
      </c>
      <c r="N96" s="125">
        <v>0</v>
      </c>
      <c r="O96" s="125">
        <v>117853</v>
      </c>
      <c r="P96" s="125">
        <v>134591</v>
      </c>
      <c r="Q96" s="125">
        <v>92092</v>
      </c>
      <c r="R96" s="125">
        <v>133598</v>
      </c>
      <c r="S96" s="125"/>
      <c r="T96" s="125"/>
      <c r="U96" s="125"/>
      <c r="V96" s="125"/>
      <c r="W96" s="125"/>
      <c r="X96" s="125"/>
      <c r="Y96" s="125">
        <f t="shared" si="5"/>
        <v>478134</v>
      </c>
      <c r="Z96" s="152">
        <v>559996</v>
      </c>
      <c r="AA96" s="126">
        <v>6</v>
      </c>
      <c r="AB96" s="127">
        <v>44215</v>
      </c>
      <c r="AC96" s="128">
        <v>44228</v>
      </c>
      <c r="AD96" s="152"/>
      <c r="AE96" s="129"/>
      <c r="AF96" s="153"/>
      <c r="AG96" s="128"/>
      <c r="AH96" s="152"/>
      <c r="AI96" s="126"/>
      <c r="AJ96" s="153"/>
      <c r="AK96" s="128"/>
      <c r="AL96" s="152"/>
      <c r="AM96" s="126"/>
      <c r="AN96" s="153"/>
      <c r="AO96" s="128"/>
      <c r="AP96" s="152"/>
      <c r="AQ96" s="126"/>
      <c r="AR96" s="153"/>
      <c r="AS96" s="128"/>
      <c r="AT96" s="677">
        <f t="shared" si="8"/>
        <v>559996</v>
      </c>
      <c r="AU96" s="155">
        <f t="shared" si="7"/>
        <v>81862</v>
      </c>
    </row>
    <row r="97" spans="2:47" s="148" customFormat="1" x14ac:dyDescent="0.25">
      <c r="B97" s="674">
        <v>85</v>
      </c>
      <c r="C97" s="674" t="s">
        <v>894</v>
      </c>
      <c r="D97" s="669">
        <v>40015322</v>
      </c>
      <c r="E97" s="187" t="s">
        <v>3104</v>
      </c>
      <c r="F97" s="676" t="s">
        <v>200</v>
      </c>
      <c r="G97" s="151" t="s">
        <v>3132</v>
      </c>
      <c r="H97" s="158" t="s">
        <v>3105</v>
      </c>
      <c r="I97" s="673" t="s">
        <v>43</v>
      </c>
      <c r="J97" s="415">
        <v>185390</v>
      </c>
      <c r="K97" s="125">
        <v>0</v>
      </c>
      <c r="L97" s="125">
        <f t="shared" si="6"/>
        <v>185390</v>
      </c>
      <c r="M97" s="125">
        <v>0</v>
      </c>
      <c r="N97" s="125">
        <v>0</v>
      </c>
      <c r="O97" s="125">
        <v>0</v>
      </c>
      <c r="P97" s="125">
        <v>175902</v>
      </c>
      <c r="Q97" s="125"/>
      <c r="R97" s="125"/>
      <c r="S97" s="125"/>
      <c r="T97" s="125"/>
      <c r="U97" s="125"/>
      <c r="V97" s="125"/>
      <c r="W97" s="125"/>
      <c r="X97" s="125"/>
      <c r="Y97" s="125">
        <f t="shared" si="5"/>
        <v>175902</v>
      </c>
      <c r="Z97" s="152">
        <v>185390</v>
      </c>
      <c r="AA97" s="126">
        <v>6</v>
      </c>
      <c r="AB97" s="127">
        <v>44215</v>
      </c>
      <c r="AC97" s="128">
        <v>44228</v>
      </c>
      <c r="AD97" s="152"/>
      <c r="AE97" s="129"/>
      <c r="AF97" s="153"/>
      <c r="AG97" s="128"/>
      <c r="AH97" s="152"/>
      <c r="AI97" s="126"/>
      <c r="AJ97" s="153"/>
      <c r="AK97" s="128"/>
      <c r="AL97" s="152"/>
      <c r="AM97" s="126"/>
      <c r="AN97" s="153"/>
      <c r="AO97" s="128"/>
      <c r="AP97" s="152"/>
      <c r="AQ97" s="126"/>
      <c r="AR97" s="153"/>
      <c r="AS97" s="128"/>
      <c r="AT97" s="677">
        <f t="shared" si="8"/>
        <v>185390</v>
      </c>
      <c r="AU97" s="155">
        <f t="shared" si="7"/>
        <v>9488</v>
      </c>
    </row>
    <row r="98" spans="2:47" s="148" customFormat="1" x14ac:dyDescent="0.25">
      <c r="B98" s="674">
        <v>86</v>
      </c>
      <c r="C98" s="674" t="s">
        <v>894</v>
      </c>
      <c r="D98" s="669">
        <v>40016154</v>
      </c>
      <c r="E98" s="187" t="s">
        <v>3106</v>
      </c>
      <c r="F98" s="676" t="s">
        <v>200</v>
      </c>
      <c r="G98" s="151" t="s">
        <v>3132</v>
      </c>
      <c r="H98" s="158" t="s">
        <v>3105</v>
      </c>
      <c r="I98" s="673" t="s">
        <v>43</v>
      </c>
      <c r="J98" s="415">
        <v>510330</v>
      </c>
      <c r="K98" s="125">
        <v>0</v>
      </c>
      <c r="L98" s="125">
        <f t="shared" si="6"/>
        <v>510330</v>
      </c>
      <c r="M98" s="125">
        <v>0</v>
      </c>
      <c r="N98" s="125">
        <v>0</v>
      </c>
      <c r="O98" s="125">
        <v>0</v>
      </c>
      <c r="P98" s="125">
        <v>0</v>
      </c>
      <c r="Q98" s="125">
        <v>0</v>
      </c>
      <c r="R98" s="125">
        <v>75345</v>
      </c>
      <c r="S98" s="125"/>
      <c r="T98" s="125"/>
      <c r="U98" s="125"/>
      <c r="V98" s="125"/>
      <c r="W98" s="125"/>
      <c r="X98" s="125"/>
      <c r="Y98" s="125">
        <f t="shared" si="5"/>
        <v>75345</v>
      </c>
      <c r="Z98" s="152">
        <v>2</v>
      </c>
      <c r="AA98" s="126">
        <v>6</v>
      </c>
      <c r="AB98" s="127">
        <v>44215</v>
      </c>
      <c r="AC98" s="128">
        <v>44228</v>
      </c>
      <c r="AD98" s="152">
        <v>506298</v>
      </c>
      <c r="AE98" s="129">
        <v>39</v>
      </c>
      <c r="AF98" s="127">
        <v>44364</v>
      </c>
      <c r="AG98" s="128">
        <v>44377</v>
      </c>
      <c r="AH98" s="152"/>
      <c r="AI98" s="126"/>
      <c r="AJ98" s="153"/>
      <c r="AK98" s="128"/>
      <c r="AL98" s="152"/>
      <c r="AM98" s="126"/>
      <c r="AN98" s="153"/>
      <c r="AO98" s="128"/>
      <c r="AP98" s="152"/>
      <c r="AQ98" s="126"/>
      <c r="AR98" s="153"/>
      <c r="AS98" s="128"/>
      <c r="AT98" s="677">
        <f t="shared" si="8"/>
        <v>506300</v>
      </c>
      <c r="AU98" s="155">
        <f t="shared" si="7"/>
        <v>430955</v>
      </c>
    </row>
    <row r="99" spans="2:47" s="148" customFormat="1" x14ac:dyDescent="0.25">
      <c r="B99" s="674">
        <v>87</v>
      </c>
      <c r="C99" s="674" t="s">
        <v>894</v>
      </c>
      <c r="D99" s="669">
        <v>40016375</v>
      </c>
      <c r="E99" s="187" t="s">
        <v>3107</v>
      </c>
      <c r="F99" s="676" t="s">
        <v>200</v>
      </c>
      <c r="G99" s="151" t="s">
        <v>3132</v>
      </c>
      <c r="H99" s="158" t="s">
        <v>3003</v>
      </c>
      <c r="I99" s="673" t="s">
        <v>42</v>
      </c>
      <c r="J99" s="415">
        <v>2570975</v>
      </c>
      <c r="K99" s="125">
        <v>2317779</v>
      </c>
      <c r="L99" s="125">
        <f t="shared" si="6"/>
        <v>253196</v>
      </c>
      <c r="M99" s="125">
        <v>0</v>
      </c>
      <c r="N99" s="125">
        <v>206084</v>
      </c>
      <c r="O99" s="125"/>
      <c r="P99" s="125"/>
      <c r="Q99" s="125"/>
      <c r="R99" s="125"/>
      <c r="S99" s="125"/>
      <c r="T99" s="125"/>
      <c r="U99" s="125"/>
      <c r="V99" s="125"/>
      <c r="W99" s="125"/>
      <c r="X99" s="125"/>
      <c r="Y99" s="125">
        <f t="shared" si="5"/>
        <v>206084</v>
      </c>
      <c r="Z99" s="152">
        <v>253198</v>
      </c>
      <c r="AA99" s="126">
        <v>6</v>
      </c>
      <c r="AB99" s="127">
        <v>44215</v>
      </c>
      <c r="AC99" s="128">
        <v>44228</v>
      </c>
      <c r="AD99" s="152">
        <v>-3715</v>
      </c>
      <c r="AE99" s="129">
        <v>39</v>
      </c>
      <c r="AF99" s="127">
        <v>44364</v>
      </c>
      <c r="AG99" s="128">
        <v>44377</v>
      </c>
      <c r="AH99" s="152"/>
      <c r="AI99" s="126"/>
      <c r="AJ99" s="153"/>
      <c r="AK99" s="128"/>
      <c r="AL99" s="152"/>
      <c r="AM99" s="126"/>
      <c r="AN99" s="153"/>
      <c r="AO99" s="128"/>
      <c r="AP99" s="152"/>
      <c r="AQ99" s="126"/>
      <c r="AR99" s="153"/>
      <c r="AS99" s="128"/>
      <c r="AT99" s="677">
        <f t="shared" si="8"/>
        <v>249483</v>
      </c>
      <c r="AU99" s="155">
        <f t="shared" si="7"/>
        <v>43399</v>
      </c>
    </row>
    <row r="100" spans="2:47" s="148" customFormat="1" x14ac:dyDescent="0.25">
      <c r="B100" s="674">
        <v>88</v>
      </c>
      <c r="C100" s="674" t="s">
        <v>894</v>
      </c>
      <c r="D100" s="669">
        <v>40016742</v>
      </c>
      <c r="E100" s="187" t="s">
        <v>3108</v>
      </c>
      <c r="F100" s="676" t="s">
        <v>200</v>
      </c>
      <c r="G100" s="151" t="s">
        <v>3132</v>
      </c>
      <c r="H100" s="158" t="s">
        <v>3022</v>
      </c>
      <c r="I100" s="673" t="s">
        <v>43</v>
      </c>
      <c r="J100" s="415">
        <v>166443</v>
      </c>
      <c r="K100" s="125">
        <v>0</v>
      </c>
      <c r="L100" s="125">
        <f t="shared" si="6"/>
        <v>166443</v>
      </c>
      <c r="M100" s="125">
        <v>0</v>
      </c>
      <c r="N100" s="125">
        <v>0</v>
      </c>
      <c r="O100" s="125">
        <v>0</v>
      </c>
      <c r="P100" s="125"/>
      <c r="Q100" s="125"/>
      <c r="R100" s="125"/>
      <c r="S100" s="125"/>
      <c r="T100" s="125"/>
      <c r="U100" s="125"/>
      <c r="V100" s="125"/>
      <c r="W100" s="125"/>
      <c r="X100" s="125"/>
      <c r="Y100" s="125">
        <f t="shared" si="5"/>
        <v>0</v>
      </c>
      <c r="Z100" s="152">
        <v>166443</v>
      </c>
      <c r="AA100" s="126">
        <v>6</v>
      </c>
      <c r="AB100" s="127">
        <v>44215</v>
      </c>
      <c r="AC100" s="128">
        <v>44228</v>
      </c>
      <c r="AD100" s="152"/>
      <c r="AE100" s="129"/>
      <c r="AF100" s="153"/>
      <c r="AG100" s="128"/>
      <c r="AH100" s="152"/>
      <c r="AI100" s="126"/>
      <c r="AJ100" s="153"/>
      <c r="AK100" s="128"/>
      <c r="AL100" s="152"/>
      <c r="AM100" s="126"/>
      <c r="AN100" s="153"/>
      <c r="AO100" s="128"/>
      <c r="AP100" s="152"/>
      <c r="AQ100" s="126"/>
      <c r="AR100" s="153"/>
      <c r="AS100" s="128"/>
      <c r="AT100" s="677">
        <f>+Z100+AD100+AH100+AL100+AP100</f>
        <v>166443</v>
      </c>
      <c r="AU100" s="155">
        <f t="shared" si="7"/>
        <v>166443</v>
      </c>
    </row>
    <row r="101" spans="2:47" s="148" customFormat="1" x14ac:dyDescent="0.25">
      <c r="B101" s="674">
        <v>89</v>
      </c>
      <c r="C101" s="674" t="s">
        <v>894</v>
      </c>
      <c r="D101" s="669">
        <v>40016955</v>
      </c>
      <c r="E101" s="187" t="s">
        <v>3109</v>
      </c>
      <c r="F101" s="676" t="s">
        <v>200</v>
      </c>
      <c r="G101" s="151" t="s">
        <v>3132</v>
      </c>
      <c r="H101" s="158" t="s">
        <v>2999</v>
      </c>
      <c r="I101" s="673" t="s">
        <v>43</v>
      </c>
      <c r="J101" s="415">
        <v>485514</v>
      </c>
      <c r="K101" s="125">
        <v>0</v>
      </c>
      <c r="L101" s="125">
        <f t="shared" si="6"/>
        <v>485514</v>
      </c>
      <c r="M101" s="125">
        <v>0</v>
      </c>
      <c r="N101" s="125">
        <v>0</v>
      </c>
      <c r="O101" s="125">
        <v>0</v>
      </c>
      <c r="P101" s="125"/>
      <c r="Q101" s="125"/>
      <c r="R101" s="125"/>
      <c r="S101" s="125"/>
      <c r="T101" s="125"/>
      <c r="U101" s="125"/>
      <c r="V101" s="125"/>
      <c r="W101" s="125"/>
      <c r="X101" s="125"/>
      <c r="Y101" s="125">
        <f t="shared" si="5"/>
        <v>0</v>
      </c>
      <c r="Z101" s="152">
        <v>2</v>
      </c>
      <c r="AA101" s="126">
        <v>6</v>
      </c>
      <c r="AB101" s="127">
        <v>44215</v>
      </c>
      <c r="AC101" s="128">
        <v>44228</v>
      </c>
      <c r="AD101" s="152"/>
      <c r="AE101" s="129"/>
      <c r="AF101" s="153"/>
      <c r="AG101" s="128"/>
      <c r="AH101" s="152"/>
      <c r="AI101" s="126"/>
      <c r="AJ101" s="153"/>
      <c r="AK101" s="128"/>
      <c r="AL101" s="152"/>
      <c r="AM101" s="126"/>
      <c r="AN101" s="153"/>
      <c r="AO101" s="128"/>
      <c r="AP101" s="152"/>
      <c r="AQ101" s="126"/>
      <c r="AR101" s="153"/>
      <c r="AS101" s="128"/>
      <c r="AT101" s="677">
        <f t="shared" ref="AT101:AT122" si="9">+Z101+AD101+AH101+AL101+AP101</f>
        <v>2</v>
      </c>
      <c r="AU101" s="155">
        <f t="shared" si="7"/>
        <v>2</v>
      </c>
    </row>
    <row r="102" spans="2:47" s="148" customFormat="1" x14ac:dyDescent="0.25">
      <c r="B102" s="674">
        <v>90</v>
      </c>
      <c r="C102" s="674" t="s">
        <v>894</v>
      </c>
      <c r="D102" s="669">
        <v>40018250</v>
      </c>
      <c r="E102" s="187" t="s">
        <v>3110</v>
      </c>
      <c r="F102" s="676" t="s">
        <v>200</v>
      </c>
      <c r="G102" s="151" t="s">
        <v>3132</v>
      </c>
      <c r="H102" s="158" t="s">
        <v>3038</v>
      </c>
      <c r="I102" s="673" t="s">
        <v>43</v>
      </c>
      <c r="J102" s="415">
        <v>712373</v>
      </c>
      <c r="K102" s="125">
        <v>0</v>
      </c>
      <c r="L102" s="125">
        <f t="shared" si="6"/>
        <v>712373</v>
      </c>
      <c r="M102" s="125">
        <v>0</v>
      </c>
      <c r="N102" s="125">
        <v>0</v>
      </c>
      <c r="O102" s="125">
        <v>0</v>
      </c>
      <c r="P102" s="125">
        <v>2100</v>
      </c>
      <c r="Q102" s="125">
        <v>53884</v>
      </c>
      <c r="R102" s="125">
        <v>91401</v>
      </c>
      <c r="S102" s="125"/>
      <c r="T102" s="125"/>
      <c r="U102" s="125"/>
      <c r="V102" s="125"/>
      <c r="W102" s="125"/>
      <c r="X102" s="125"/>
      <c r="Y102" s="125">
        <f t="shared" si="5"/>
        <v>147385</v>
      </c>
      <c r="Z102" s="152">
        <v>593237</v>
      </c>
      <c r="AA102" s="126">
        <v>6</v>
      </c>
      <c r="AB102" s="127">
        <v>44215</v>
      </c>
      <c r="AC102" s="128">
        <v>44228</v>
      </c>
      <c r="AD102" s="152"/>
      <c r="AE102" s="129"/>
      <c r="AF102" s="153"/>
      <c r="AG102" s="128"/>
      <c r="AH102" s="152"/>
      <c r="AI102" s="126"/>
      <c r="AJ102" s="153"/>
      <c r="AK102" s="128"/>
      <c r="AL102" s="152"/>
      <c r="AM102" s="126"/>
      <c r="AN102" s="153"/>
      <c r="AO102" s="128"/>
      <c r="AP102" s="152"/>
      <c r="AQ102" s="126"/>
      <c r="AR102" s="153"/>
      <c r="AS102" s="128"/>
      <c r="AT102" s="677">
        <f t="shared" si="9"/>
        <v>593237</v>
      </c>
      <c r="AU102" s="155">
        <f t="shared" si="7"/>
        <v>445852</v>
      </c>
    </row>
    <row r="103" spans="2:47" s="148" customFormat="1" x14ac:dyDescent="0.25">
      <c r="B103" s="674">
        <v>91</v>
      </c>
      <c r="C103" s="674" t="s">
        <v>894</v>
      </c>
      <c r="D103" s="669">
        <v>40018252</v>
      </c>
      <c r="E103" s="187" t="s">
        <v>3111</v>
      </c>
      <c r="F103" s="676" t="s">
        <v>200</v>
      </c>
      <c r="G103" s="151" t="s">
        <v>3132</v>
      </c>
      <c r="H103" s="158" t="s">
        <v>3044</v>
      </c>
      <c r="I103" s="673" t="s">
        <v>43</v>
      </c>
      <c r="J103" s="415">
        <v>167166</v>
      </c>
      <c r="K103" s="125">
        <v>0</v>
      </c>
      <c r="L103" s="125">
        <f t="shared" si="6"/>
        <v>167166</v>
      </c>
      <c r="M103" s="125">
        <v>0</v>
      </c>
      <c r="N103" s="125">
        <v>0</v>
      </c>
      <c r="O103" s="125">
        <v>0</v>
      </c>
      <c r="P103" s="125"/>
      <c r="Q103" s="125"/>
      <c r="R103" s="125"/>
      <c r="S103" s="125"/>
      <c r="T103" s="125"/>
      <c r="U103" s="125"/>
      <c r="V103" s="125"/>
      <c r="W103" s="125"/>
      <c r="X103" s="125"/>
      <c r="Y103" s="125">
        <f t="shared" si="5"/>
        <v>0</v>
      </c>
      <c r="Z103" s="152">
        <v>1001</v>
      </c>
      <c r="AA103" s="126">
        <v>6</v>
      </c>
      <c r="AB103" s="127">
        <v>44215</v>
      </c>
      <c r="AC103" s="128">
        <v>44228</v>
      </c>
      <c r="AD103" s="152"/>
      <c r="AE103" s="129"/>
      <c r="AF103" s="153"/>
      <c r="AG103" s="128"/>
      <c r="AH103" s="152"/>
      <c r="AI103" s="126"/>
      <c r="AJ103" s="153"/>
      <c r="AK103" s="128"/>
      <c r="AL103" s="152"/>
      <c r="AM103" s="126"/>
      <c r="AN103" s="153"/>
      <c r="AO103" s="128"/>
      <c r="AP103" s="152"/>
      <c r="AQ103" s="126"/>
      <c r="AR103" s="153"/>
      <c r="AS103" s="128"/>
      <c r="AT103" s="677">
        <f t="shared" si="9"/>
        <v>1001</v>
      </c>
      <c r="AU103" s="155">
        <f t="shared" si="7"/>
        <v>1001</v>
      </c>
    </row>
    <row r="104" spans="2:47" s="148" customFormat="1" x14ac:dyDescent="0.25">
      <c r="B104" s="674">
        <v>92</v>
      </c>
      <c r="C104" s="674" t="s">
        <v>894</v>
      </c>
      <c r="D104" s="669">
        <v>40018835</v>
      </c>
      <c r="E104" s="187" t="s">
        <v>3112</v>
      </c>
      <c r="F104" s="676" t="s">
        <v>200</v>
      </c>
      <c r="G104" s="151" t="s">
        <v>3132</v>
      </c>
      <c r="H104" s="158" t="s">
        <v>2999</v>
      </c>
      <c r="I104" s="673" t="s">
        <v>43</v>
      </c>
      <c r="J104" s="415">
        <v>438335</v>
      </c>
      <c r="K104" s="125">
        <v>0</v>
      </c>
      <c r="L104" s="125">
        <f t="shared" si="6"/>
        <v>438335</v>
      </c>
      <c r="M104" s="125">
        <v>0</v>
      </c>
      <c r="N104" s="125">
        <v>0</v>
      </c>
      <c r="O104" s="125">
        <v>0</v>
      </c>
      <c r="P104" s="125"/>
      <c r="Q104" s="125"/>
      <c r="R104" s="125"/>
      <c r="S104" s="125"/>
      <c r="T104" s="125"/>
      <c r="U104" s="125"/>
      <c r="V104" s="125"/>
      <c r="W104" s="125"/>
      <c r="X104" s="125"/>
      <c r="Y104" s="125">
        <f t="shared" si="5"/>
        <v>0</v>
      </c>
      <c r="Z104" s="152">
        <v>2</v>
      </c>
      <c r="AA104" s="126">
        <v>6</v>
      </c>
      <c r="AB104" s="127">
        <v>44215</v>
      </c>
      <c r="AC104" s="128">
        <v>44228</v>
      </c>
      <c r="AD104" s="152"/>
      <c r="AE104" s="129"/>
      <c r="AF104" s="153"/>
      <c r="AG104" s="128"/>
      <c r="AH104" s="152"/>
      <c r="AI104" s="126"/>
      <c r="AJ104" s="153"/>
      <c r="AK104" s="128"/>
      <c r="AL104" s="152"/>
      <c r="AM104" s="126"/>
      <c r="AN104" s="153"/>
      <c r="AO104" s="128"/>
      <c r="AP104" s="152"/>
      <c r="AQ104" s="126"/>
      <c r="AR104" s="153"/>
      <c r="AS104" s="128"/>
      <c r="AT104" s="677">
        <f t="shared" si="9"/>
        <v>2</v>
      </c>
      <c r="AU104" s="155">
        <f t="shared" si="7"/>
        <v>2</v>
      </c>
    </row>
    <row r="105" spans="2:47" s="148" customFormat="1" x14ac:dyDescent="0.25">
      <c r="B105" s="674">
        <v>95</v>
      </c>
      <c r="C105" s="674" t="s">
        <v>894</v>
      </c>
      <c r="D105" s="669">
        <v>40023413</v>
      </c>
      <c r="E105" s="187" t="s">
        <v>3113</v>
      </c>
      <c r="F105" s="676" t="s">
        <v>200</v>
      </c>
      <c r="G105" s="151" t="s">
        <v>3132</v>
      </c>
      <c r="H105" s="158" t="s">
        <v>2999</v>
      </c>
      <c r="I105" s="673" t="s">
        <v>43</v>
      </c>
      <c r="J105" s="415">
        <v>514589</v>
      </c>
      <c r="K105" s="125">
        <v>0</v>
      </c>
      <c r="L105" s="125">
        <f t="shared" si="6"/>
        <v>514589</v>
      </c>
      <c r="M105" s="125">
        <v>0</v>
      </c>
      <c r="N105" s="125">
        <v>0</v>
      </c>
      <c r="O105" s="125">
        <v>0</v>
      </c>
      <c r="P105" s="125"/>
      <c r="Q105" s="125"/>
      <c r="R105" s="125"/>
      <c r="S105" s="125"/>
      <c r="T105" s="125"/>
      <c r="U105" s="125"/>
      <c r="V105" s="125"/>
      <c r="W105" s="125"/>
      <c r="X105" s="125"/>
      <c r="Y105" s="125">
        <f t="shared" si="5"/>
        <v>0</v>
      </c>
      <c r="Z105" s="152">
        <v>2</v>
      </c>
      <c r="AA105" s="126">
        <v>6</v>
      </c>
      <c r="AB105" s="127">
        <v>44215</v>
      </c>
      <c r="AC105" s="128">
        <v>44228</v>
      </c>
      <c r="AD105" s="152"/>
      <c r="AE105" s="129"/>
      <c r="AF105" s="153"/>
      <c r="AG105" s="128"/>
      <c r="AH105" s="152"/>
      <c r="AI105" s="126"/>
      <c r="AJ105" s="153"/>
      <c r="AK105" s="128"/>
      <c r="AL105" s="152"/>
      <c r="AM105" s="126"/>
      <c r="AN105" s="153"/>
      <c r="AO105" s="128"/>
      <c r="AP105" s="152"/>
      <c r="AQ105" s="126"/>
      <c r="AR105" s="153"/>
      <c r="AS105" s="128"/>
      <c r="AT105" s="677">
        <f t="shared" si="9"/>
        <v>2</v>
      </c>
      <c r="AU105" s="155">
        <f t="shared" si="7"/>
        <v>2</v>
      </c>
    </row>
    <row r="106" spans="2:47" s="148" customFormat="1" x14ac:dyDescent="0.25">
      <c r="B106" s="674">
        <v>96</v>
      </c>
      <c r="C106" s="674" t="s">
        <v>894</v>
      </c>
      <c r="D106" s="669">
        <v>40025257</v>
      </c>
      <c r="E106" s="187" t="s">
        <v>3114</v>
      </c>
      <c r="F106" s="676" t="s">
        <v>200</v>
      </c>
      <c r="G106" s="151" t="s">
        <v>3132</v>
      </c>
      <c r="H106" s="158" t="s">
        <v>3026</v>
      </c>
      <c r="I106" s="673" t="s">
        <v>43</v>
      </c>
      <c r="J106" s="415">
        <v>2120924</v>
      </c>
      <c r="K106" s="125">
        <v>0</v>
      </c>
      <c r="L106" s="125">
        <f t="shared" si="6"/>
        <v>2120924</v>
      </c>
      <c r="M106" s="125">
        <v>0</v>
      </c>
      <c r="N106" s="125">
        <v>0</v>
      </c>
      <c r="O106" s="125">
        <v>0</v>
      </c>
      <c r="P106" s="125"/>
      <c r="Q106" s="125"/>
      <c r="R106" s="125"/>
      <c r="S106" s="125"/>
      <c r="T106" s="125"/>
      <c r="U106" s="125"/>
      <c r="V106" s="125"/>
      <c r="W106" s="125"/>
      <c r="X106" s="125"/>
      <c r="Y106" s="125">
        <f t="shared" ref="Y106:Y131" si="10">SUM(M106:X106)</f>
        <v>0</v>
      </c>
      <c r="Z106" s="152">
        <v>1</v>
      </c>
      <c r="AA106" s="126">
        <v>6</v>
      </c>
      <c r="AB106" s="127">
        <v>44215</v>
      </c>
      <c r="AC106" s="128">
        <v>44228</v>
      </c>
      <c r="AD106" s="152"/>
      <c r="AE106" s="129"/>
      <c r="AF106" s="153"/>
      <c r="AG106" s="128"/>
      <c r="AH106" s="152"/>
      <c r="AI106" s="126"/>
      <c r="AJ106" s="153"/>
      <c r="AK106" s="128"/>
      <c r="AL106" s="152"/>
      <c r="AM106" s="126"/>
      <c r="AN106" s="153"/>
      <c r="AO106" s="128"/>
      <c r="AP106" s="152"/>
      <c r="AQ106" s="126"/>
      <c r="AR106" s="153"/>
      <c r="AS106" s="128"/>
      <c r="AT106" s="677">
        <f t="shared" si="9"/>
        <v>1</v>
      </c>
      <c r="AU106" s="155">
        <f t="shared" si="7"/>
        <v>1</v>
      </c>
    </row>
    <row r="107" spans="2:47" s="148" customFormat="1" x14ac:dyDescent="0.25">
      <c r="B107" s="674">
        <v>97</v>
      </c>
      <c r="C107" s="674" t="s">
        <v>894</v>
      </c>
      <c r="D107" s="669">
        <v>30103333</v>
      </c>
      <c r="E107" s="680" t="s">
        <v>3115</v>
      </c>
      <c r="F107" s="187" t="s">
        <v>200</v>
      </c>
      <c r="G107" s="151" t="s">
        <v>3132</v>
      </c>
      <c r="H107" s="187" t="s">
        <v>2999</v>
      </c>
      <c r="I107" s="673" t="s">
        <v>43</v>
      </c>
      <c r="J107" s="415">
        <v>392020</v>
      </c>
      <c r="K107" s="125">
        <v>0</v>
      </c>
      <c r="L107" s="125">
        <f t="shared" si="6"/>
        <v>392020</v>
      </c>
      <c r="M107" s="125">
        <v>0</v>
      </c>
      <c r="N107" s="125">
        <v>0</v>
      </c>
      <c r="O107" s="125"/>
      <c r="P107" s="125">
        <v>0</v>
      </c>
      <c r="Q107" s="125"/>
      <c r="R107" s="125"/>
      <c r="S107" s="125"/>
      <c r="T107" s="125"/>
      <c r="U107" s="125"/>
      <c r="V107" s="125"/>
      <c r="W107" s="125"/>
      <c r="X107" s="125"/>
      <c r="Y107" s="125">
        <f t="shared" si="10"/>
        <v>0</v>
      </c>
      <c r="Z107" s="152">
        <v>2</v>
      </c>
      <c r="AA107" s="126">
        <v>16</v>
      </c>
      <c r="AB107" s="127">
        <v>44284</v>
      </c>
      <c r="AC107" s="128">
        <v>44292</v>
      </c>
      <c r="AD107" s="152"/>
      <c r="AE107" s="129"/>
      <c r="AF107" s="153"/>
      <c r="AG107" s="128"/>
      <c r="AH107" s="152"/>
      <c r="AI107" s="126"/>
      <c r="AJ107" s="153"/>
      <c r="AK107" s="128"/>
      <c r="AL107" s="152"/>
      <c r="AM107" s="126"/>
      <c r="AN107" s="153"/>
      <c r="AO107" s="128"/>
      <c r="AP107" s="152"/>
      <c r="AQ107" s="126"/>
      <c r="AR107" s="153"/>
      <c r="AS107" s="128"/>
      <c r="AT107" s="677">
        <f t="shared" si="9"/>
        <v>2</v>
      </c>
      <c r="AU107" s="155">
        <f t="shared" si="7"/>
        <v>2</v>
      </c>
    </row>
    <row r="108" spans="2:47" s="148" customFormat="1" x14ac:dyDescent="0.25">
      <c r="B108" s="674">
        <v>98</v>
      </c>
      <c r="C108" s="674" t="s">
        <v>894</v>
      </c>
      <c r="D108" s="669">
        <v>40001274</v>
      </c>
      <c r="E108" s="680" t="s">
        <v>3116</v>
      </c>
      <c r="F108" s="187" t="s">
        <v>200</v>
      </c>
      <c r="G108" s="151" t="s">
        <v>3132</v>
      </c>
      <c r="H108" s="187" t="s">
        <v>3005</v>
      </c>
      <c r="I108" s="673" t="s">
        <v>42</v>
      </c>
      <c r="J108" s="415">
        <v>3822948</v>
      </c>
      <c r="K108" s="125">
        <v>16242</v>
      </c>
      <c r="L108" s="125">
        <f t="shared" si="6"/>
        <v>3806706</v>
      </c>
      <c r="M108" s="125">
        <v>0</v>
      </c>
      <c r="N108" s="125">
        <v>0</v>
      </c>
      <c r="O108" s="125">
        <v>0</v>
      </c>
      <c r="P108" s="125"/>
      <c r="Q108" s="125"/>
      <c r="R108" s="125"/>
      <c r="S108" s="125"/>
      <c r="T108" s="125"/>
      <c r="U108" s="125"/>
      <c r="V108" s="125"/>
      <c r="W108" s="125"/>
      <c r="X108" s="125"/>
      <c r="Y108" s="125">
        <f t="shared" si="10"/>
        <v>0</v>
      </c>
      <c r="Z108" s="152">
        <v>1002</v>
      </c>
      <c r="AA108" s="126">
        <v>16</v>
      </c>
      <c r="AB108" s="127">
        <v>44284</v>
      </c>
      <c r="AC108" s="128">
        <v>44292</v>
      </c>
      <c r="AD108" s="152"/>
      <c r="AE108" s="129"/>
      <c r="AF108" s="153"/>
      <c r="AG108" s="128"/>
      <c r="AH108" s="152"/>
      <c r="AI108" s="126"/>
      <c r="AJ108" s="153"/>
      <c r="AK108" s="128"/>
      <c r="AL108" s="152"/>
      <c r="AM108" s="126"/>
      <c r="AN108" s="153"/>
      <c r="AO108" s="128"/>
      <c r="AP108" s="152"/>
      <c r="AQ108" s="126"/>
      <c r="AR108" s="153"/>
      <c r="AS108" s="128"/>
      <c r="AT108" s="677">
        <f t="shared" si="9"/>
        <v>1002</v>
      </c>
      <c r="AU108" s="155">
        <f t="shared" si="7"/>
        <v>1002</v>
      </c>
    </row>
    <row r="109" spans="2:47" s="148" customFormat="1" x14ac:dyDescent="0.25">
      <c r="B109" s="674">
        <v>99</v>
      </c>
      <c r="C109" s="674" t="s">
        <v>894</v>
      </c>
      <c r="D109" s="669">
        <v>40020393</v>
      </c>
      <c r="E109" s="680" t="s">
        <v>3117</v>
      </c>
      <c r="F109" s="187" t="s">
        <v>200</v>
      </c>
      <c r="G109" s="151" t="s">
        <v>3132</v>
      </c>
      <c r="H109" s="187" t="s">
        <v>3059</v>
      </c>
      <c r="I109" s="673" t="s">
        <v>43</v>
      </c>
      <c r="J109" s="415">
        <v>1694158</v>
      </c>
      <c r="K109" s="125">
        <v>4</v>
      </c>
      <c r="L109" s="125">
        <f t="shared" si="6"/>
        <v>1694154</v>
      </c>
      <c r="M109" s="125">
        <v>0</v>
      </c>
      <c r="N109" s="125">
        <v>0</v>
      </c>
      <c r="O109" s="125">
        <v>0</v>
      </c>
      <c r="P109" s="125">
        <v>0</v>
      </c>
      <c r="Q109" s="678">
        <v>0</v>
      </c>
      <c r="R109" s="125"/>
      <c r="S109" s="125"/>
      <c r="T109" s="125"/>
      <c r="U109" s="125"/>
      <c r="V109" s="125"/>
      <c r="W109" s="125"/>
      <c r="X109" s="125"/>
      <c r="Y109" s="125">
        <f t="shared" si="10"/>
        <v>0</v>
      </c>
      <c r="Z109" s="152">
        <v>4</v>
      </c>
      <c r="AA109" s="126">
        <v>16</v>
      </c>
      <c r="AB109" s="127">
        <v>44284</v>
      </c>
      <c r="AC109" s="128">
        <v>44292</v>
      </c>
      <c r="AD109" s="152"/>
      <c r="AE109" s="129"/>
      <c r="AF109" s="153"/>
      <c r="AG109" s="128"/>
      <c r="AH109" s="152"/>
      <c r="AI109" s="126"/>
      <c r="AJ109" s="153"/>
      <c r="AK109" s="128"/>
      <c r="AL109" s="152"/>
      <c r="AM109" s="126"/>
      <c r="AN109" s="153"/>
      <c r="AO109" s="128"/>
      <c r="AP109" s="152"/>
      <c r="AQ109" s="126"/>
      <c r="AR109" s="153"/>
      <c r="AS109" s="128"/>
      <c r="AT109" s="677">
        <f t="shared" si="9"/>
        <v>4</v>
      </c>
      <c r="AU109" s="155">
        <f t="shared" si="7"/>
        <v>4</v>
      </c>
    </row>
    <row r="110" spans="2:47" s="148" customFormat="1" x14ac:dyDescent="0.25">
      <c r="B110" s="674">
        <v>100</v>
      </c>
      <c r="C110" s="674" t="s">
        <v>894</v>
      </c>
      <c r="D110" s="669">
        <v>40024260</v>
      </c>
      <c r="E110" s="680" t="s">
        <v>3118</v>
      </c>
      <c r="F110" s="187" t="s">
        <v>204</v>
      </c>
      <c r="G110" s="151" t="s">
        <v>3132</v>
      </c>
      <c r="H110" s="187" t="s">
        <v>3056</v>
      </c>
      <c r="I110" s="673" t="s">
        <v>43</v>
      </c>
      <c r="J110" s="415">
        <v>203124</v>
      </c>
      <c r="K110" s="125">
        <v>1</v>
      </c>
      <c r="L110" s="125">
        <f t="shared" si="6"/>
        <v>203123</v>
      </c>
      <c r="M110" s="125">
        <v>0</v>
      </c>
      <c r="N110" s="125">
        <v>0</v>
      </c>
      <c r="O110" s="125">
        <v>0</v>
      </c>
      <c r="P110" s="125"/>
      <c r="Q110" s="125"/>
      <c r="R110" s="125"/>
      <c r="S110" s="125"/>
      <c r="T110" s="125"/>
      <c r="U110" s="125"/>
      <c r="V110" s="125"/>
      <c r="W110" s="125"/>
      <c r="X110" s="125"/>
      <c r="Y110" s="125">
        <f t="shared" si="10"/>
        <v>0</v>
      </c>
      <c r="Z110" s="152">
        <v>1</v>
      </c>
      <c r="AA110" s="126">
        <v>16</v>
      </c>
      <c r="AB110" s="127">
        <v>44284</v>
      </c>
      <c r="AC110" s="128">
        <v>44292</v>
      </c>
      <c r="AD110" s="152"/>
      <c r="AE110" s="129"/>
      <c r="AF110" s="153"/>
      <c r="AG110" s="128"/>
      <c r="AH110" s="152"/>
      <c r="AI110" s="126"/>
      <c r="AJ110" s="153"/>
      <c r="AK110" s="128"/>
      <c r="AL110" s="152"/>
      <c r="AM110" s="126"/>
      <c r="AN110" s="153"/>
      <c r="AO110" s="128"/>
      <c r="AP110" s="152"/>
      <c r="AQ110" s="126"/>
      <c r="AR110" s="153"/>
      <c r="AS110" s="128"/>
      <c r="AT110" s="677">
        <f t="shared" si="9"/>
        <v>1</v>
      </c>
      <c r="AU110" s="155">
        <f t="shared" si="7"/>
        <v>1</v>
      </c>
    </row>
    <row r="111" spans="2:47" s="148" customFormat="1" x14ac:dyDescent="0.25">
      <c r="B111" s="674">
        <v>101</v>
      </c>
      <c r="C111" s="674" t="s">
        <v>894</v>
      </c>
      <c r="D111" s="669">
        <v>30039296</v>
      </c>
      <c r="E111" s="680" t="s">
        <v>3119</v>
      </c>
      <c r="F111" s="187" t="s">
        <v>200</v>
      </c>
      <c r="G111" s="151" t="s">
        <v>3132</v>
      </c>
      <c r="H111" s="187" t="s">
        <v>3084</v>
      </c>
      <c r="I111" s="673" t="s">
        <v>43</v>
      </c>
      <c r="J111" s="415">
        <v>480569</v>
      </c>
      <c r="K111" s="125">
        <v>3</v>
      </c>
      <c r="L111" s="125">
        <f t="shared" si="6"/>
        <v>480566</v>
      </c>
      <c r="M111" s="125">
        <v>0</v>
      </c>
      <c r="N111" s="125">
        <v>0</v>
      </c>
      <c r="O111" s="125"/>
      <c r="P111" s="125"/>
      <c r="Q111" s="125"/>
      <c r="R111" s="125"/>
      <c r="S111" s="125"/>
      <c r="T111" s="125"/>
      <c r="U111" s="125"/>
      <c r="V111" s="125"/>
      <c r="W111" s="125"/>
      <c r="X111" s="125"/>
      <c r="Y111" s="125">
        <f t="shared" si="10"/>
        <v>0</v>
      </c>
      <c r="Z111" s="152">
        <v>3</v>
      </c>
      <c r="AA111" s="126">
        <v>16</v>
      </c>
      <c r="AB111" s="127">
        <v>44284</v>
      </c>
      <c r="AC111" s="128">
        <v>44292</v>
      </c>
      <c r="AD111" s="152"/>
      <c r="AE111" s="129"/>
      <c r="AF111" s="153"/>
      <c r="AG111" s="128"/>
      <c r="AH111" s="152"/>
      <c r="AI111" s="126"/>
      <c r="AJ111" s="153"/>
      <c r="AK111" s="128"/>
      <c r="AL111" s="152"/>
      <c r="AM111" s="126"/>
      <c r="AN111" s="153"/>
      <c r="AO111" s="128"/>
      <c r="AP111" s="152"/>
      <c r="AQ111" s="126"/>
      <c r="AR111" s="153"/>
      <c r="AS111" s="128"/>
      <c r="AT111" s="677">
        <f t="shared" si="9"/>
        <v>3</v>
      </c>
      <c r="AU111" s="155">
        <f t="shared" si="7"/>
        <v>3</v>
      </c>
    </row>
    <row r="112" spans="2:47" s="148" customFormat="1" x14ac:dyDescent="0.25">
      <c r="B112" s="674">
        <v>102</v>
      </c>
      <c r="C112" s="674" t="s">
        <v>894</v>
      </c>
      <c r="D112" s="669">
        <v>40018909</v>
      </c>
      <c r="E112" s="680" t="s">
        <v>3120</v>
      </c>
      <c r="F112" s="187" t="s">
        <v>204</v>
      </c>
      <c r="G112" s="151" t="s">
        <v>3132</v>
      </c>
      <c r="H112" s="187" t="s">
        <v>3017</v>
      </c>
      <c r="I112" s="673" t="s">
        <v>43</v>
      </c>
      <c r="J112" s="415">
        <v>58604</v>
      </c>
      <c r="K112" s="125">
        <v>2</v>
      </c>
      <c r="L112" s="125">
        <f t="shared" si="6"/>
        <v>58602</v>
      </c>
      <c r="M112" s="125">
        <v>0</v>
      </c>
      <c r="N112" s="125">
        <v>0</v>
      </c>
      <c r="O112" s="125">
        <v>0</v>
      </c>
      <c r="P112" s="125"/>
      <c r="Q112" s="125"/>
      <c r="R112" s="125"/>
      <c r="S112" s="125"/>
      <c r="T112" s="125"/>
      <c r="U112" s="125"/>
      <c r="V112" s="125"/>
      <c r="W112" s="125"/>
      <c r="X112" s="125"/>
      <c r="Y112" s="125">
        <f t="shared" si="10"/>
        <v>0</v>
      </c>
      <c r="Z112" s="152">
        <v>2</v>
      </c>
      <c r="AA112" s="126">
        <v>16</v>
      </c>
      <c r="AB112" s="127">
        <v>44284</v>
      </c>
      <c r="AC112" s="128">
        <v>44292</v>
      </c>
      <c r="AD112" s="152"/>
      <c r="AE112" s="129"/>
      <c r="AF112" s="153"/>
      <c r="AG112" s="128"/>
      <c r="AH112" s="152"/>
      <c r="AI112" s="126"/>
      <c r="AJ112" s="153"/>
      <c r="AK112" s="128"/>
      <c r="AL112" s="152"/>
      <c r="AM112" s="126"/>
      <c r="AN112" s="153"/>
      <c r="AO112" s="128"/>
      <c r="AP112" s="152"/>
      <c r="AQ112" s="126"/>
      <c r="AR112" s="153"/>
      <c r="AS112" s="128"/>
      <c r="AT112" s="677">
        <f t="shared" si="9"/>
        <v>2</v>
      </c>
      <c r="AU112" s="155">
        <f t="shared" si="7"/>
        <v>2</v>
      </c>
    </row>
    <row r="113" spans="2:47" s="148" customFormat="1" x14ac:dyDescent="0.25">
      <c r="B113" s="674">
        <v>103</v>
      </c>
      <c r="C113" s="674" t="s">
        <v>894</v>
      </c>
      <c r="D113" s="669">
        <v>20144258</v>
      </c>
      <c r="E113" s="680" t="s">
        <v>3121</v>
      </c>
      <c r="F113" s="187" t="s">
        <v>200</v>
      </c>
      <c r="G113" s="151" t="s">
        <v>3132</v>
      </c>
      <c r="H113" s="187" t="s">
        <v>3022</v>
      </c>
      <c r="I113" s="673" t="s">
        <v>43</v>
      </c>
      <c r="J113" s="415">
        <v>452206</v>
      </c>
      <c r="K113" s="125">
        <v>8276</v>
      </c>
      <c r="L113" s="125">
        <f t="shared" si="6"/>
        <v>443930</v>
      </c>
      <c r="M113" s="125">
        <v>0</v>
      </c>
      <c r="N113" s="125">
        <v>0</v>
      </c>
      <c r="O113" s="125">
        <v>0</v>
      </c>
      <c r="P113" s="125"/>
      <c r="Q113" s="125"/>
      <c r="R113" s="125"/>
      <c r="S113" s="125"/>
      <c r="T113" s="125"/>
      <c r="U113" s="125"/>
      <c r="V113" s="125"/>
      <c r="W113" s="125"/>
      <c r="X113" s="125"/>
      <c r="Y113" s="125">
        <f t="shared" si="10"/>
        <v>0</v>
      </c>
      <c r="Z113" s="152">
        <v>98265</v>
      </c>
      <c r="AA113" s="126">
        <v>27</v>
      </c>
      <c r="AB113" s="127">
        <v>44327</v>
      </c>
      <c r="AC113" s="128">
        <v>44341</v>
      </c>
      <c r="AD113" s="152">
        <v>-98262</v>
      </c>
      <c r="AE113" s="129">
        <v>39</v>
      </c>
      <c r="AF113" s="127">
        <v>44364</v>
      </c>
      <c r="AG113" s="128">
        <v>44377</v>
      </c>
      <c r="AH113" s="152"/>
      <c r="AI113" s="126"/>
      <c r="AJ113" s="153"/>
      <c r="AK113" s="128"/>
      <c r="AL113" s="152"/>
      <c r="AM113" s="126"/>
      <c r="AN113" s="153"/>
      <c r="AO113" s="128"/>
      <c r="AP113" s="152"/>
      <c r="AQ113" s="126"/>
      <c r="AR113" s="153"/>
      <c r="AS113" s="128"/>
      <c r="AT113" s="677">
        <f t="shared" si="9"/>
        <v>3</v>
      </c>
      <c r="AU113" s="155">
        <f t="shared" si="7"/>
        <v>3</v>
      </c>
    </row>
    <row r="114" spans="2:47" s="148" customFormat="1" x14ac:dyDescent="0.25">
      <c r="B114" s="674">
        <v>104</v>
      </c>
      <c r="C114" s="674" t="s">
        <v>894</v>
      </c>
      <c r="D114" s="669">
        <v>30076162</v>
      </c>
      <c r="E114" s="680" t="s">
        <v>3122</v>
      </c>
      <c r="F114" s="187" t="s">
        <v>200</v>
      </c>
      <c r="G114" s="151" t="s">
        <v>3132</v>
      </c>
      <c r="H114" s="187" t="s">
        <v>3003</v>
      </c>
      <c r="I114" s="673" t="s">
        <v>42</v>
      </c>
      <c r="J114" s="415">
        <v>1632732</v>
      </c>
      <c r="K114" s="125">
        <v>105034</v>
      </c>
      <c r="L114" s="125">
        <f t="shared" si="6"/>
        <v>1527698</v>
      </c>
      <c r="M114" s="125">
        <v>0</v>
      </c>
      <c r="N114" s="125">
        <v>0</v>
      </c>
      <c r="O114" s="125">
        <v>0</v>
      </c>
      <c r="P114" s="125"/>
      <c r="Q114" s="125">
        <v>26600</v>
      </c>
      <c r="R114" s="125"/>
      <c r="S114" s="125"/>
      <c r="T114" s="125"/>
      <c r="U114" s="125"/>
      <c r="V114" s="125"/>
      <c r="W114" s="125"/>
      <c r="X114" s="125"/>
      <c r="Y114" s="125">
        <f t="shared" si="10"/>
        <v>26600</v>
      </c>
      <c r="Z114" s="152">
        <v>60804</v>
      </c>
      <c r="AA114" s="126">
        <v>27</v>
      </c>
      <c r="AB114" s="127">
        <v>44327</v>
      </c>
      <c r="AC114" s="128">
        <v>44341</v>
      </c>
      <c r="AD114" s="152">
        <v>-15199</v>
      </c>
      <c r="AE114" s="129">
        <v>39</v>
      </c>
      <c r="AF114" s="127">
        <v>44364</v>
      </c>
      <c r="AG114" s="128">
        <v>44377</v>
      </c>
      <c r="AH114" s="152"/>
      <c r="AI114" s="126"/>
      <c r="AJ114" s="153"/>
      <c r="AK114" s="128"/>
      <c r="AL114" s="152"/>
      <c r="AM114" s="126"/>
      <c r="AN114" s="153"/>
      <c r="AO114" s="128"/>
      <c r="AP114" s="152"/>
      <c r="AQ114" s="126"/>
      <c r="AR114" s="153"/>
      <c r="AS114" s="128"/>
      <c r="AT114" s="677">
        <f t="shared" si="9"/>
        <v>45605</v>
      </c>
      <c r="AU114" s="155">
        <f t="shared" si="7"/>
        <v>19005</v>
      </c>
    </row>
    <row r="115" spans="2:47" s="148" customFormat="1" x14ac:dyDescent="0.25">
      <c r="B115" s="674">
        <v>105</v>
      </c>
      <c r="C115" s="674" t="s">
        <v>894</v>
      </c>
      <c r="D115" s="669">
        <v>30484923</v>
      </c>
      <c r="E115" s="680" t="s">
        <v>3123</v>
      </c>
      <c r="F115" s="187" t="s">
        <v>200</v>
      </c>
      <c r="G115" s="151" t="s">
        <v>3132</v>
      </c>
      <c r="H115" s="187" t="s">
        <v>2999</v>
      </c>
      <c r="I115" s="673" t="s">
        <v>43</v>
      </c>
      <c r="J115" s="415">
        <v>779656</v>
      </c>
      <c r="K115" s="125">
        <v>2</v>
      </c>
      <c r="L115" s="125">
        <f t="shared" si="6"/>
        <v>779654</v>
      </c>
      <c r="M115" s="125">
        <v>0</v>
      </c>
      <c r="N115" s="125">
        <v>0</v>
      </c>
      <c r="O115" s="125">
        <v>0</v>
      </c>
      <c r="P115" s="125">
        <v>0</v>
      </c>
      <c r="Q115" s="125">
        <v>0</v>
      </c>
      <c r="R115" s="125">
        <v>0</v>
      </c>
      <c r="S115" s="125"/>
      <c r="T115" s="125"/>
      <c r="U115" s="125"/>
      <c r="V115" s="125"/>
      <c r="W115" s="125"/>
      <c r="X115" s="125"/>
      <c r="Y115" s="125">
        <f t="shared" si="10"/>
        <v>0</v>
      </c>
      <c r="Z115" s="152">
        <v>2</v>
      </c>
      <c r="AA115" s="126">
        <v>27</v>
      </c>
      <c r="AB115" s="127">
        <v>44327</v>
      </c>
      <c r="AC115" s="128">
        <v>44341</v>
      </c>
      <c r="AD115" s="152"/>
      <c r="AE115" s="129"/>
      <c r="AF115" s="153"/>
      <c r="AG115" s="128"/>
      <c r="AH115" s="152"/>
      <c r="AI115" s="126"/>
      <c r="AJ115" s="153"/>
      <c r="AK115" s="128"/>
      <c r="AL115" s="152"/>
      <c r="AM115" s="126"/>
      <c r="AN115" s="153"/>
      <c r="AO115" s="128"/>
      <c r="AP115" s="152"/>
      <c r="AQ115" s="126"/>
      <c r="AR115" s="153"/>
      <c r="AS115" s="128"/>
      <c r="AT115" s="677">
        <f t="shared" si="9"/>
        <v>2</v>
      </c>
      <c r="AU115" s="155">
        <f t="shared" si="7"/>
        <v>2</v>
      </c>
    </row>
    <row r="116" spans="2:47" s="148" customFormat="1" x14ac:dyDescent="0.25">
      <c r="B116" s="674">
        <v>106</v>
      </c>
      <c r="C116" s="674" t="s">
        <v>894</v>
      </c>
      <c r="D116" s="669">
        <v>30485028</v>
      </c>
      <c r="E116" s="680" t="s">
        <v>3124</v>
      </c>
      <c r="F116" s="187" t="s">
        <v>200</v>
      </c>
      <c r="G116" s="151" t="s">
        <v>3132</v>
      </c>
      <c r="H116" s="187" t="s">
        <v>3053</v>
      </c>
      <c r="I116" s="673" t="s">
        <v>43</v>
      </c>
      <c r="J116" s="415">
        <v>119722</v>
      </c>
      <c r="K116" s="125">
        <v>3</v>
      </c>
      <c r="L116" s="125">
        <f t="shared" si="6"/>
        <v>119719</v>
      </c>
      <c r="M116" s="125">
        <v>0</v>
      </c>
      <c r="N116" s="125">
        <v>0</v>
      </c>
      <c r="O116" s="125">
        <v>0</v>
      </c>
      <c r="P116" s="125"/>
      <c r="Q116" s="125"/>
      <c r="R116" s="125"/>
      <c r="S116" s="125"/>
      <c r="T116" s="125"/>
      <c r="U116" s="125"/>
      <c r="V116" s="125"/>
      <c r="W116" s="125"/>
      <c r="X116" s="125"/>
      <c r="Y116" s="125">
        <f t="shared" si="10"/>
        <v>0</v>
      </c>
      <c r="Z116" s="152">
        <v>3</v>
      </c>
      <c r="AA116" s="126">
        <v>27</v>
      </c>
      <c r="AB116" s="127">
        <v>44327</v>
      </c>
      <c r="AC116" s="128">
        <v>44341</v>
      </c>
      <c r="AD116" s="152"/>
      <c r="AE116" s="129"/>
      <c r="AF116" s="153"/>
      <c r="AG116" s="128"/>
      <c r="AH116" s="152"/>
      <c r="AI116" s="126"/>
      <c r="AJ116" s="153"/>
      <c r="AK116" s="128"/>
      <c r="AL116" s="152"/>
      <c r="AM116" s="126"/>
      <c r="AN116" s="153"/>
      <c r="AO116" s="128"/>
      <c r="AP116" s="152"/>
      <c r="AQ116" s="126"/>
      <c r="AR116" s="153"/>
      <c r="AS116" s="128"/>
      <c r="AT116" s="677">
        <f t="shared" si="9"/>
        <v>3</v>
      </c>
      <c r="AU116" s="155">
        <f t="shared" si="7"/>
        <v>3</v>
      </c>
    </row>
    <row r="117" spans="2:47" s="148" customFormat="1" x14ac:dyDescent="0.25">
      <c r="B117" s="674">
        <v>107</v>
      </c>
      <c r="C117" s="674" t="s">
        <v>894</v>
      </c>
      <c r="D117" s="669">
        <v>30485134</v>
      </c>
      <c r="E117" s="680" t="s">
        <v>3125</v>
      </c>
      <c r="F117" s="187" t="s">
        <v>200</v>
      </c>
      <c r="G117" s="151" t="s">
        <v>3132</v>
      </c>
      <c r="H117" s="187" t="s">
        <v>3017</v>
      </c>
      <c r="I117" s="673" t="s">
        <v>43</v>
      </c>
      <c r="J117" s="415">
        <v>6186935</v>
      </c>
      <c r="K117" s="125">
        <v>3</v>
      </c>
      <c r="L117" s="125">
        <f t="shared" si="6"/>
        <v>6186932</v>
      </c>
      <c r="M117" s="125">
        <v>0</v>
      </c>
      <c r="N117" s="125">
        <v>0</v>
      </c>
      <c r="O117" s="125">
        <v>0</v>
      </c>
      <c r="P117" s="125"/>
      <c r="Q117" s="125"/>
      <c r="R117" s="125"/>
      <c r="S117" s="125"/>
      <c r="T117" s="125"/>
      <c r="U117" s="125"/>
      <c r="V117" s="125"/>
      <c r="W117" s="125"/>
      <c r="X117" s="125"/>
      <c r="Y117" s="125">
        <f t="shared" si="10"/>
        <v>0</v>
      </c>
      <c r="Z117" s="152">
        <v>3</v>
      </c>
      <c r="AA117" s="126">
        <v>27</v>
      </c>
      <c r="AB117" s="127">
        <v>44327</v>
      </c>
      <c r="AC117" s="128">
        <v>44341</v>
      </c>
      <c r="AD117" s="152"/>
      <c r="AE117" s="129"/>
      <c r="AF117" s="153"/>
      <c r="AG117" s="128"/>
      <c r="AH117" s="152"/>
      <c r="AI117" s="126"/>
      <c r="AJ117" s="153"/>
      <c r="AK117" s="128"/>
      <c r="AL117" s="152"/>
      <c r="AM117" s="126"/>
      <c r="AN117" s="153"/>
      <c r="AO117" s="128"/>
      <c r="AP117" s="152"/>
      <c r="AQ117" s="126"/>
      <c r="AR117" s="153"/>
      <c r="AS117" s="128"/>
      <c r="AT117" s="677">
        <f t="shared" si="9"/>
        <v>3</v>
      </c>
      <c r="AU117" s="155">
        <f t="shared" si="7"/>
        <v>3</v>
      </c>
    </row>
    <row r="118" spans="2:47" s="148" customFormat="1" x14ac:dyDescent="0.25">
      <c r="B118" s="674">
        <v>108</v>
      </c>
      <c r="C118" s="674" t="s">
        <v>894</v>
      </c>
      <c r="D118" s="669">
        <v>40016900</v>
      </c>
      <c r="E118" s="680" t="s">
        <v>3126</v>
      </c>
      <c r="F118" s="187" t="s">
        <v>200</v>
      </c>
      <c r="G118" s="151" t="s">
        <v>3132</v>
      </c>
      <c r="H118" s="187" t="s">
        <v>3063</v>
      </c>
      <c r="I118" s="673" t="s">
        <v>43</v>
      </c>
      <c r="J118" s="415">
        <v>431936</v>
      </c>
      <c r="K118" s="125">
        <v>2</v>
      </c>
      <c r="L118" s="125">
        <f t="shared" si="6"/>
        <v>431934</v>
      </c>
      <c r="M118" s="125"/>
      <c r="N118" s="125"/>
      <c r="O118" s="125"/>
      <c r="P118" s="125"/>
      <c r="Q118" s="125"/>
      <c r="R118" s="125"/>
      <c r="S118" s="125"/>
      <c r="T118" s="125"/>
      <c r="U118" s="125"/>
      <c r="V118" s="125"/>
      <c r="W118" s="125"/>
      <c r="X118" s="125"/>
      <c r="Y118" s="125">
        <f t="shared" si="10"/>
        <v>0</v>
      </c>
      <c r="Z118" s="152">
        <v>2</v>
      </c>
      <c r="AA118" s="126">
        <v>39</v>
      </c>
      <c r="AB118" s="127">
        <v>44364</v>
      </c>
      <c r="AC118" s="128">
        <v>44377</v>
      </c>
      <c r="AD118" s="152"/>
      <c r="AE118" s="129"/>
      <c r="AF118" s="153"/>
      <c r="AG118" s="128"/>
      <c r="AH118" s="152"/>
      <c r="AI118" s="126"/>
      <c r="AJ118" s="153"/>
      <c r="AK118" s="128"/>
      <c r="AL118" s="152"/>
      <c r="AM118" s="126"/>
      <c r="AN118" s="153"/>
      <c r="AO118" s="128"/>
      <c r="AP118" s="152"/>
      <c r="AQ118" s="126"/>
      <c r="AR118" s="153"/>
      <c r="AS118" s="128"/>
      <c r="AT118" s="677">
        <f t="shared" si="9"/>
        <v>2</v>
      </c>
      <c r="AU118" s="155">
        <f t="shared" si="7"/>
        <v>2</v>
      </c>
    </row>
    <row r="119" spans="2:47" s="148" customFormat="1" x14ac:dyDescent="0.25">
      <c r="B119" s="674">
        <v>109</v>
      </c>
      <c r="C119" s="674" t="s">
        <v>894</v>
      </c>
      <c r="D119" s="669">
        <v>40031898</v>
      </c>
      <c r="E119" s="680" t="s">
        <v>3127</v>
      </c>
      <c r="F119" s="187" t="s">
        <v>200</v>
      </c>
      <c r="G119" s="151" t="s">
        <v>3132</v>
      </c>
      <c r="H119" s="187" t="s">
        <v>3084</v>
      </c>
      <c r="I119" s="673" t="s">
        <v>43</v>
      </c>
      <c r="J119" s="415">
        <v>766593</v>
      </c>
      <c r="K119" s="125">
        <v>1</v>
      </c>
      <c r="L119" s="125">
        <f t="shared" si="6"/>
        <v>766592</v>
      </c>
      <c r="M119" s="125"/>
      <c r="N119" s="125"/>
      <c r="O119" s="125"/>
      <c r="P119" s="125"/>
      <c r="Q119" s="125"/>
      <c r="R119" s="125"/>
      <c r="S119" s="125"/>
      <c r="T119" s="125"/>
      <c r="U119" s="125"/>
      <c r="V119" s="125"/>
      <c r="W119" s="125"/>
      <c r="X119" s="125"/>
      <c r="Y119" s="125">
        <f t="shared" si="10"/>
        <v>0</v>
      </c>
      <c r="Z119" s="152">
        <v>1</v>
      </c>
      <c r="AA119" s="126">
        <v>39</v>
      </c>
      <c r="AB119" s="127">
        <v>44364</v>
      </c>
      <c r="AC119" s="128">
        <v>44377</v>
      </c>
      <c r="AD119" s="152"/>
      <c r="AE119" s="129"/>
      <c r="AF119" s="153"/>
      <c r="AG119" s="128"/>
      <c r="AH119" s="152"/>
      <c r="AI119" s="126"/>
      <c r="AJ119" s="153"/>
      <c r="AK119" s="128"/>
      <c r="AL119" s="152"/>
      <c r="AM119" s="126"/>
      <c r="AN119" s="153"/>
      <c r="AO119" s="128"/>
      <c r="AP119" s="152"/>
      <c r="AQ119" s="126"/>
      <c r="AR119" s="153"/>
      <c r="AS119" s="128"/>
      <c r="AT119" s="677">
        <f t="shared" si="9"/>
        <v>1</v>
      </c>
      <c r="AU119" s="155">
        <f t="shared" si="7"/>
        <v>1</v>
      </c>
    </row>
    <row r="120" spans="2:47" s="148" customFormat="1" x14ac:dyDescent="0.25">
      <c r="B120" s="674">
        <v>110</v>
      </c>
      <c r="C120" s="674" t="s">
        <v>894</v>
      </c>
      <c r="D120" s="669">
        <v>30473037</v>
      </c>
      <c r="E120" s="680" t="s">
        <v>3128</v>
      </c>
      <c r="F120" s="187" t="s">
        <v>200</v>
      </c>
      <c r="G120" s="151" t="s">
        <v>3132</v>
      </c>
      <c r="H120" s="187" t="s">
        <v>2997</v>
      </c>
      <c r="I120" s="673" t="s">
        <v>43</v>
      </c>
      <c r="J120" s="415">
        <v>401458</v>
      </c>
      <c r="K120" s="125">
        <v>2</v>
      </c>
      <c r="L120" s="125">
        <f t="shared" si="6"/>
        <v>401456</v>
      </c>
      <c r="M120" s="125"/>
      <c r="N120" s="125"/>
      <c r="O120" s="125"/>
      <c r="P120" s="125"/>
      <c r="Q120" s="125"/>
      <c r="R120" s="125"/>
      <c r="S120" s="125"/>
      <c r="T120" s="125"/>
      <c r="U120" s="125"/>
      <c r="V120" s="125"/>
      <c r="W120" s="125"/>
      <c r="X120" s="125"/>
      <c r="Y120" s="125">
        <f t="shared" si="10"/>
        <v>0</v>
      </c>
      <c r="Z120" s="152">
        <v>2</v>
      </c>
      <c r="AA120" s="126">
        <v>39</v>
      </c>
      <c r="AB120" s="127">
        <v>44364</v>
      </c>
      <c r="AC120" s="128">
        <v>44377</v>
      </c>
      <c r="AD120" s="152"/>
      <c r="AE120" s="129"/>
      <c r="AF120" s="153"/>
      <c r="AG120" s="128"/>
      <c r="AH120" s="152"/>
      <c r="AI120" s="126"/>
      <c r="AJ120" s="153"/>
      <c r="AK120" s="128"/>
      <c r="AL120" s="152"/>
      <c r="AM120" s="126"/>
      <c r="AN120" s="153"/>
      <c r="AO120" s="128"/>
      <c r="AP120" s="152"/>
      <c r="AQ120" s="126"/>
      <c r="AR120" s="153"/>
      <c r="AS120" s="128"/>
      <c r="AT120" s="677">
        <f t="shared" si="9"/>
        <v>2</v>
      </c>
      <c r="AU120" s="155">
        <f t="shared" si="7"/>
        <v>2</v>
      </c>
    </row>
    <row r="121" spans="2:47" s="148" customFormat="1" x14ac:dyDescent="0.25">
      <c r="B121" s="674">
        <v>111</v>
      </c>
      <c r="C121" s="674" t="s">
        <v>894</v>
      </c>
      <c r="D121" s="669">
        <v>30473011</v>
      </c>
      <c r="E121" s="680" t="s">
        <v>3129</v>
      </c>
      <c r="F121" s="187" t="s">
        <v>200</v>
      </c>
      <c r="G121" s="151" t="s">
        <v>3132</v>
      </c>
      <c r="H121" s="187" t="s">
        <v>3130</v>
      </c>
      <c r="I121" s="673" t="s">
        <v>43</v>
      </c>
      <c r="J121" s="415">
        <v>611896</v>
      </c>
      <c r="K121" s="125">
        <v>2</v>
      </c>
      <c r="L121" s="125">
        <f t="shared" si="6"/>
        <v>611894</v>
      </c>
      <c r="M121" s="125"/>
      <c r="N121" s="125"/>
      <c r="O121" s="125"/>
      <c r="P121" s="125"/>
      <c r="Q121" s="125"/>
      <c r="R121" s="125"/>
      <c r="S121" s="125"/>
      <c r="T121" s="125"/>
      <c r="U121" s="125"/>
      <c r="V121" s="125"/>
      <c r="W121" s="125"/>
      <c r="X121" s="125"/>
      <c r="Y121" s="125">
        <f t="shared" si="10"/>
        <v>0</v>
      </c>
      <c r="Z121" s="152">
        <v>2</v>
      </c>
      <c r="AA121" s="126">
        <v>39</v>
      </c>
      <c r="AB121" s="127">
        <v>44364</v>
      </c>
      <c r="AC121" s="128">
        <v>44377</v>
      </c>
      <c r="AD121" s="152"/>
      <c r="AE121" s="129"/>
      <c r="AF121" s="153"/>
      <c r="AG121" s="128"/>
      <c r="AH121" s="152"/>
      <c r="AI121" s="126"/>
      <c r="AJ121" s="153"/>
      <c r="AK121" s="128"/>
      <c r="AL121" s="152"/>
      <c r="AM121" s="126"/>
      <c r="AN121" s="153"/>
      <c r="AO121" s="128"/>
      <c r="AP121" s="152"/>
      <c r="AQ121" s="126"/>
      <c r="AR121" s="153"/>
      <c r="AS121" s="128"/>
      <c r="AT121" s="677">
        <f t="shared" si="9"/>
        <v>2</v>
      </c>
      <c r="AU121" s="155">
        <f t="shared" si="7"/>
        <v>2</v>
      </c>
    </row>
    <row r="122" spans="2:47" s="148" customFormat="1" x14ac:dyDescent="0.25">
      <c r="B122" s="674">
        <v>112</v>
      </c>
      <c r="C122" s="675">
        <v>44227</v>
      </c>
      <c r="D122" s="669">
        <v>40008261</v>
      </c>
      <c r="E122" s="680" t="s">
        <v>3131</v>
      </c>
      <c r="F122" s="187" t="s">
        <v>200</v>
      </c>
      <c r="G122" s="151" t="s">
        <v>3132</v>
      </c>
      <c r="H122" s="187" t="s">
        <v>44</v>
      </c>
      <c r="I122" s="673" t="s">
        <v>43</v>
      </c>
      <c r="J122" s="415">
        <v>129667</v>
      </c>
      <c r="K122" s="125">
        <v>16891</v>
      </c>
      <c r="L122" s="125">
        <f t="shared" si="6"/>
        <v>112776</v>
      </c>
      <c r="M122" s="125"/>
      <c r="N122" s="125"/>
      <c r="O122" s="125"/>
      <c r="P122" s="125"/>
      <c r="Q122" s="125"/>
      <c r="R122" s="125"/>
      <c r="S122" s="125"/>
      <c r="T122" s="125"/>
      <c r="U122" s="125"/>
      <c r="V122" s="125"/>
      <c r="W122" s="125"/>
      <c r="X122" s="125"/>
      <c r="Y122" s="125">
        <f t="shared" si="10"/>
        <v>0</v>
      </c>
      <c r="Z122" s="152">
        <v>31192</v>
      </c>
      <c r="AA122" s="126">
        <v>39</v>
      </c>
      <c r="AB122" s="127">
        <v>44364</v>
      </c>
      <c r="AC122" s="128">
        <v>44377</v>
      </c>
      <c r="AD122" s="152"/>
      <c r="AE122" s="129"/>
      <c r="AF122" s="153"/>
      <c r="AG122" s="128"/>
      <c r="AH122" s="152"/>
      <c r="AI122" s="126"/>
      <c r="AJ122" s="153"/>
      <c r="AK122" s="128"/>
      <c r="AL122" s="152"/>
      <c r="AM122" s="126"/>
      <c r="AN122" s="153"/>
      <c r="AO122" s="128"/>
      <c r="AP122" s="152"/>
      <c r="AQ122" s="126"/>
      <c r="AR122" s="153"/>
      <c r="AS122" s="128"/>
      <c r="AT122" s="677">
        <f t="shared" si="9"/>
        <v>31192</v>
      </c>
      <c r="AU122" s="155">
        <f t="shared" si="7"/>
        <v>31192</v>
      </c>
    </row>
    <row r="123" spans="2:47" s="148" customFormat="1" x14ac:dyDescent="0.25">
      <c r="B123" s="674"/>
      <c r="C123" s="674"/>
      <c r="D123" s="413"/>
      <c r="E123" s="676"/>
      <c r="F123" s="676"/>
      <c r="G123" s="151" t="s">
        <v>3132</v>
      </c>
      <c r="H123" s="158"/>
      <c r="I123" s="673"/>
      <c r="J123" s="415"/>
      <c r="K123" s="125"/>
      <c r="L123" s="125"/>
      <c r="M123" s="125"/>
      <c r="N123" s="125"/>
      <c r="O123" s="125"/>
      <c r="P123" s="125"/>
      <c r="Q123" s="125"/>
      <c r="R123" s="125"/>
      <c r="S123" s="125"/>
      <c r="T123" s="125"/>
      <c r="U123" s="125"/>
      <c r="V123" s="125"/>
      <c r="W123" s="125"/>
      <c r="X123" s="125"/>
      <c r="Y123" s="125">
        <f t="shared" si="10"/>
        <v>0</v>
      </c>
      <c r="Z123" s="152"/>
      <c r="AA123" s="126"/>
      <c r="AB123" s="127"/>
      <c r="AC123" s="128"/>
      <c r="AD123" s="152"/>
      <c r="AE123" s="129"/>
      <c r="AF123" s="153"/>
      <c r="AG123" s="128"/>
      <c r="AH123" s="152"/>
      <c r="AI123" s="126"/>
      <c r="AJ123" s="153"/>
      <c r="AK123" s="128"/>
      <c r="AL123" s="152"/>
      <c r="AM123" s="126"/>
      <c r="AN123" s="153"/>
      <c r="AO123" s="128"/>
      <c r="AP123" s="152"/>
      <c r="AQ123" s="126"/>
      <c r="AR123" s="153"/>
      <c r="AS123" s="128"/>
      <c r="AT123" s="677"/>
      <c r="AU123" s="155"/>
    </row>
    <row r="124" spans="2:47" s="148" customFormat="1" x14ac:dyDescent="0.25">
      <c r="B124" s="674"/>
      <c r="C124" s="674"/>
      <c r="D124" s="413"/>
      <c r="E124" s="676"/>
      <c r="F124" s="676"/>
      <c r="G124" s="151"/>
      <c r="H124" s="158"/>
      <c r="I124" s="673"/>
      <c r="J124" s="415"/>
      <c r="K124" s="125"/>
      <c r="L124" s="125"/>
      <c r="M124" s="125"/>
      <c r="N124" s="125"/>
      <c r="O124" s="125"/>
      <c r="P124" s="125"/>
      <c r="Q124" s="125"/>
      <c r="R124" s="125"/>
      <c r="S124" s="125"/>
      <c r="T124" s="125"/>
      <c r="U124" s="125"/>
      <c r="V124" s="125"/>
      <c r="W124" s="125"/>
      <c r="X124" s="125"/>
      <c r="Y124" s="125">
        <f t="shared" si="10"/>
        <v>0</v>
      </c>
      <c r="Z124" s="152"/>
      <c r="AA124" s="126"/>
      <c r="AB124" s="127"/>
      <c r="AC124" s="128"/>
      <c r="AD124" s="152"/>
      <c r="AE124" s="129"/>
      <c r="AF124" s="153"/>
      <c r="AG124" s="128"/>
      <c r="AH124" s="152"/>
      <c r="AI124" s="126"/>
      <c r="AJ124" s="153"/>
      <c r="AK124" s="128"/>
      <c r="AL124" s="152"/>
      <c r="AM124" s="126"/>
      <c r="AN124" s="153"/>
      <c r="AO124" s="128"/>
      <c r="AP124" s="152"/>
      <c r="AQ124" s="126"/>
      <c r="AR124" s="153"/>
      <c r="AS124" s="128"/>
      <c r="AT124" s="677"/>
      <c r="AU124" s="155"/>
    </row>
    <row r="125" spans="2:47" s="148" customFormat="1" x14ac:dyDescent="0.25">
      <c r="B125" s="674"/>
      <c r="C125" s="674"/>
      <c r="D125" s="413"/>
      <c r="E125" s="676"/>
      <c r="F125" s="676"/>
      <c r="G125" s="151"/>
      <c r="H125" s="158"/>
      <c r="I125" s="673"/>
      <c r="J125" s="415"/>
      <c r="K125" s="125"/>
      <c r="L125" s="125"/>
      <c r="M125" s="125"/>
      <c r="N125" s="125"/>
      <c r="O125" s="125"/>
      <c r="P125" s="125"/>
      <c r="Q125" s="125"/>
      <c r="R125" s="125"/>
      <c r="S125" s="125"/>
      <c r="T125" s="125"/>
      <c r="U125" s="125"/>
      <c r="V125" s="125"/>
      <c r="W125" s="125"/>
      <c r="X125" s="125"/>
      <c r="Y125" s="125">
        <f t="shared" si="10"/>
        <v>0</v>
      </c>
      <c r="Z125" s="152"/>
      <c r="AA125" s="126"/>
      <c r="AB125" s="127"/>
      <c r="AC125" s="128"/>
      <c r="AD125" s="152"/>
      <c r="AE125" s="129"/>
      <c r="AF125" s="153"/>
      <c r="AG125" s="128"/>
      <c r="AH125" s="152"/>
      <c r="AI125" s="126"/>
      <c r="AJ125" s="153"/>
      <c r="AK125" s="128"/>
      <c r="AL125" s="152"/>
      <c r="AM125" s="126"/>
      <c r="AN125" s="153"/>
      <c r="AO125" s="128"/>
      <c r="AP125" s="152"/>
      <c r="AQ125" s="126"/>
      <c r="AR125" s="153"/>
      <c r="AS125" s="128"/>
      <c r="AT125" s="677"/>
      <c r="AU125" s="155"/>
    </row>
    <row r="126" spans="2:47" s="148" customFormat="1" x14ac:dyDescent="0.25">
      <c r="B126" s="674"/>
      <c r="C126" s="674"/>
      <c r="D126" s="413"/>
      <c r="E126" s="676"/>
      <c r="F126" s="676"/>
      <c r="G126" s="151"/>
      <c r="H126" s="158"/>
      <c r="I126" s="673"/>
      <c r="J126" s="415"/>
      <c r="K126" s="125"/>
      <c r="L126" s="125"/>
      <c r="M126" s="125"/>
      <c r="N126" s="125"/>
      <c r="O126" s="125"/>
      <c r="P126" s="125"/>
      <c r="Q126" s="125"/>
      <c r="R126" s="125"/>
      <c r="S126" s="125"/>
      <c r="T126" s="125"/>
      <c r="U126" s="125"/>
      <c r="V126" s="125"/>
      <c r="W126" s="125"/>
      <c r="X126" s="125"/>
      <c r="Y126" s="125">
        <f t="shared" si="10"/>
        <v>0</v>
      </c>
      <c r="Z126" s="152"/>
      <c r="AA126" s="126"/>
      <c r="AB126" s="127"/>
      <c r="AC126" s="128"/>
      <c r="AD126" s="152"/>
      <c r="AE126" s="129"/>
      <c r="AF126" s="153"/>
      <c r="AG126" s="128"/>
      <c r="AH126" s="152"/>
      <c r="AI126" s="126"/>
      <c r="AJ126" s="153"/>
      <c r="AK126" s="128"/>
      <c r="AL126" s="152"/>
      <c r="AM126" s="126"/>
      <c r="AN126" s="153"/>
      <c r="AO126" s="128"/>
      <c r="AP126" s="152"/>
      <c r="AQ126" s="126"/>
      <c r="AR126" s="153"/>
      <c r="AS126" s="128"/>
      <c r="AT126" s="677"/>
      <c r="AU126" s="155"/>
    </row>
    <row r="127" spans="2:47" s="148" customFormat="1" x14ac:dyDescent="0.25">
      <c r="B127" s="674"/>
      <c r="C127" s="674"/>
      <c r="D127" s="413"/>
      <c r="E127" s="676"/>
      <c r="F127" s="676"/>
      <c r="G127" s="151"/>
      <c r="H127" s="158"/>
      <c r="I127" s="673"/>
      <c r="J127" s="415"/>
      <c r="K127" s="125"/>
      <c r="L127" s="125"/>
      <c r="M127" s="125"/>
      <c r="N127" s="125"/>
      <c r="O127" s="125"/>
      <c r="P127" s="125"/>
      <c r="Q127" s="125"/>
      <c r="R127" s="125"/>
      <c r="S127" s="125"/>
      <c r="T127" s="125"/>
      <c r="U127" s="125"/>
      <c r="V127" s="125"/>
      <c r="W127" s="125"/>
      <c r="X127" s="125"/>
      <c r="Y127" s="125">
        <f t="shared" si="10"/>
        <v>0</v>
      </c>
      <c r="Z127" s="152"/>
      <c r="AA127" s="126"/>
      <c r="AB127" s="127"/>
      <c r="AC127" s="128"/>
      <c r="AD127" s="152"/>
      <c r="AE127" s="129"/>
      <c r="AF127" s="153"/>
      <c r="AG127" s="128"/>
      <c r="AH127" s="152"/>
      <c r="AI127" s="126"/>
      <c r="AJ127" s="153"/>
      <c r="AK127" s="128"/>
      <c r="AL127" s="152"/>
      <c r="AM127" s="126"/>
      <c r="AN127" s="153"/>
      <c r="AO127" s="128"/>
      <c r="AP127" s="152"/>
      <c r="AQ127" s="126"/>
      <c r="AR127" s="153"/>
      <c r="AS127" s="128"/>
      <c r="AT127" s="677"/>
      <c r="AU127" s="155"/>
    </row>
    <row r="128" spans="2:47" s="148" customFormat="1" x14ac:dyDescent="0.25">
      <c r="B128" s="674"/>
      <c r="C128" s="674"/>
      <c r="D128" s="413"/>
      <c r="E128" s="676"/>
      <c r="F128" s="676"/>
      <c r="G128" s="151"/>
      <c r="H128" s="158"/>
      <c r="I128" s="673"/>
      <c r="J128" s="415"/>
      <c r="K128" s="125"/>
      <c r="L128" s="125"/>
      <c r="M128" s="125"/>
      <c r="N128" s="125"/>
      <c r="O128" s="125"/>
      <c r="P128" s="125"/>
      <c r="Q128" s="125"/>
      <c r="R128" s="125"/>
      <c r="S128" s="125"/>
      <c r="T128" s="125"/>
      <c r="U128" s="125"/>
      <c r="V128" s="125"/>
      <c r="W128" s="125"/>
      <c r="X128" s="125"/>
      <c r="Y128" s="125">
        <f t="shared" si="10"/>
        <v>0</v>
      </c>
      <c r="Z128" s="152"/>
      <c r="AA128" s="126"/>
      <c r="AB128" s="127"/>
      <c r="AC128" s="128"/>
      <c r="AD128" s="152"/>
      <c r="AE128" s="129"/>
      <c r="AF128" s="153"/>
      <c r="AG128" s="128"/>
      <c r="AH128" s="152"/>
      <c r="AI128" s="126"/>
      <c r="AJ128" s="153"/>
      <c r="AK128" s="128"/>
      <c r="AL128" s="152"/>
      <c r="AM128" s="126"/>
      <c r="AN128" s="153"/>
      <c r="AO128" s="128"/>
      <c r="AP128" s="152"/>
      <c r="AQ128" s="126"/>
      <c r="AR128" s="153"/>
      <c r="AS128" s="128"/>
      <c r="AT128" s="677"/>
      <c r="AU128" s="155"/>
    </row>
    <row r="129" spans="2:47" s="148" customFormat="1" x14ac:dyDescent="0.25">
      <c r="B129" s="674"/>
      <c r="C129" s="674"/>
      <c r="D129" s="413"/>
      <c r="E129" s="676"/>
      <c r="F129" s="676"/>
      <c r="G129" s="151"/>
      <c r="H129" s="158"/>
      <c r="I129" s="673"/>
      <c r="J129" s="415"/>
      <c r="K129" s="125"/>
      <c r="L129" s="125"/>
      <c r="M129" s="125"/>
      <c r="N129" s="125"/>
      <c r="O129" s="125"/>
      <c r="P129" s="125"/>
      <c r="Q129" s="125"/>
      <c r="R129" s="125"/>
      <c r="S129" s="125"/>
      <c r="T129" s="125"/>
      <c r="U129" s="125"/>
      <c r="V129" s="125"/>
      <c r="W129" s="125"/>
      <c r="X129" s="125"/>
      <c r="Y129" s="125">
        <f t="shared" si="10"/>
        <v>0</v>
      </c>
      <c r="Z129" s="152"/>
      <c r="AA129" s="126"/>
      <c r="AB129" s="127"/>
      <c r="AC129" s="128"/>
      <c r="AD129" s="152"/>
      <c r="AE129" s="129"/>
      <c r="AF129" s="153"/>
      <c r="AG129" s="128"/>
      <c r="AH129" s="152"/>
      <c r="AI129" s="126"/>
      <c r="AJ129" s="153"/>
      <c r="AK129" s="128"/>
      <c r="AL129" s="152"/>
      <c r="AM129" s="126"/>
      <c r="AN129" s="153"/>
      <c r="AO129" s="128"/>
      <c r="AP129" s="152"/>
      <c r="AQ129" s="126"/>
      <c r="AR129" s="153"/>
      <c r="AS129" s="128"/>
      <c r="AT129" s="677"/>
      <c r="AU129" s="155"/>
    </row>
    <row r="130" spans="2:47" s="148" customFormat="1" x14ac:dyDescent="0.25">
      <c r="B130" s="674"/>
      <c r="C130" s="674"/>
      <c r="D130" s="413"/>
      <c r="E130" s="676"/>
      <c r="F130" s="676"/>
      <c r="G130" s="151"/>
      <c r="H130" s="158"/>
      <c r="I130" s="673"/>
      <c r="J130" s="415"/>
      <c r="K130" s="125"/>
      <c r="L130" s="125"/>
      <c r="M130" s="125"/>
      <c r="N130" s="125"/>
      <c r="O130" s="125"/>
      <c r="P130" s="125"/>
      <c r="Q130" s="125"/>
      <c r="R130" s="125"/>
      <c r="S130" s="125"/>
      <c r="T130" s="125"/>
      <c r="U130" s="125"/>
      <c r="V130" s="125"/>
      <c r="W130" s="125"/>
      <c r="X130" s="125"/>
      <c r="Y130" s="125">
        <f t="shared" si="10"/>
        <v>0</v>
      </c>
      <c r="Z130" s="152"/>
      <c r="AA130" s="126"/>
      <c r="AB130" s="127"/>
      <c r="AC130" s="128"/>
      <c r="AD130" s="152"/>
      <c r="AE130" s="129"/>
      <c r="AF130" s="153"/>
      <c r="AG130" s="128"/>
      <c r="AH130" s="152"/>
      <c r="AI130" s="126"/>
      <c r="AJ130" s="153"/>
      <c r="AK130" s="128"/>
      <c r="AL130" s="152"/>
      <c r="AM130" s="126"/>
      <c r="AN130" s="153"/>
      <c r="AO130" s="128"/>
      <c r="AP130" s="152"/>
      <c r="AQ130" s="126"/>
      <c r="AR130" s="153"/>
      <c r="AS130" s="128"/>
      <c r="AT130" s="677"/>
      <c r="AU130" s="155"/>
    </row>
    <row r="131" spans="2:47" s="148" customFormat="1" x14ac:dyDescent="0.25">
      <c r="B131" s="674"/>
      <c r="C131" s="674"/>
      <c r="D131" s="413"/>
      <c r="E131" s="676"/>
      <c r="F131" s="676"/>
      <c r="G131" s="151"/>
      <c r="H131" s="158"/>
      <c r="I131" s="673"/>
      <c r="J131" s="415"/>
      <c r="K131" s="125"/>
      <c r="L131" s="125"/>
      <c r="M131" s="125"/>
      <c r="N131" s="125"/>
      <c r="O131" s="125"/>
      <c r="P131" s="125"/>
      <c r="Q131" s="125"/>
      <c r="R131" s="125"/>
      <c r="S131" s="125"/>
      <c r="T131" s="125"/>
      <c r="U131" s="125"/>
      <c r="V131" s="125"/>
      <c r="W131" s="125"/>
      <c r="X131" s="125"/>
      <c r="Y131" s="125">
        <f t="shared" si="10"/>
        <v>0</v>
      </c>
      <c r="Z131" s="152"/>
      <c r="AA131" s="126"/>
      <c r="AB131" s="127"/>
      <c r="AC131" s="128"/>
      <c r="AD131" s="152"/>
      <c r="AE131" s="129"/>
      <c r="AF131" s="153"/>
      <c r="AG131" s="128"/>
      <c r="AH131" s="152"/>
      <c r="AI131" s="126"/>
      <c r="AJ131" s="153"/>
      <c r="AK131" s="128"/>
      <c r="AL131" s="152"/>
      <c r="AM131" s="126"/>
      <c r="AN131" s="153"/>
      <c r="AO131" s="128"/>
      <c r="AP131" s="152"/>
      <c r="AQ131" s="126"/>
      <c r="AR131" s="153"/>
      <c r="AS131" s="128"/>
      <c r="AT131" s="677"/>
      <c r="AU131" s="155"/>
    </row>
    <row r="132" spans="2:47" s="148" customFormat="1" x14ac:dyDescent="0.25">
      <c r="B132" s="674"/>
      <c r="C132" s="674"/>
      <c r="D132" s="413"/>
      <c r="E132" s="676"/>
      <c r="F132" s="676"/>
      <c r="G132" s="151"/>
      <c r="H132" s="158"/>
      <c r="I132" s="673"/>
      <c r="J132" s="415"/>
      <c r="K132" s="125"/>
      <c r="L132" s="125"/>
      <c r="M132" s="125"/>
      <c r="N132" s="125"/>
      <c r="O132" s="125"/>
      <c r="P132" s="125"/>
      <c r="Q132" s="125"/>
      <c r="R132" s="125"/>
      <c r="S132" s="125"/>
      <c r="T132" s="125"/>
      <c r="U132" s="125"/>
      <c r="V132" s="125"/>
      <c r="W132" s="125"/>
      <c r="X132" s="125"/>
      <c r="Y132" s="125"/>
      <c r="Z132" s="152"/>
      <c r="AA132" s="126"/>
      <c r="AB132" s="127"/>
      <c r="AC132" s="128"/>
      <c r="AD132" s="152"/>
      <c r="AE132" s="129"/>
      <c r="AF132" s="153"/>
      <c r="AG132" s="128"/>
      <c r="AH132" s="152"/>
      <c r="AI132" s="126"/>
      <c r="AJ132" s="153"/>
      <c r="AK132" s="128"/>
      <c r="AL132" s="152"/>
      <c r="AM132" s="126"/>
      <c r="AN132" s="153"/>
      <c r="AO132" s="128"/>
      <c r="AP132" s="152"/>
      <c r="AQ132" s="126"/>
      <c r="AR132" s="153"/>
      <c r="AS132" s="128"/>
      <c r="AT132" s="677"/>
      <c r="AU132" s="155"/>
    </row>
    <row r="133" spans="2:47" s="148" customFormat="1" x14ac:dyDescent="0.25">
      <c r="B133" s="674"/>
      <c r="C133" s="674"/>
      <c r="D133" s="413"/>
      <c r="E133" s="676"/>
      <c r="F133" s="676"/>
      <c r="G133" s="151"/>
      <c r="H133" s="158"/>
      <c r="I133" s="673"/>
      <c r="J133" s="415"/>
      <c r="K133" s="125"/>
      <c r="L133" s="125"/>
      <c r="M133" s="125"/>
      <c r="N133" s="125"/>
      <c r="O133" s="125"/>
      <c r="P133" s="125"/>
      <c r="Q133" s="125"/>
      <c r="R133" s="125"/>
      <c r="S133" s="125"/>
      <c r="T133" s="125"/>
      <c r="U133" s="125"/>
      <c r="V133" s="125"/>
      <c r="W133" s="125"/>
      <c r="X133" s="125"/>
      <c r="Y133" s="125"/>
      <c r="Z133" s="152"/>
      <c r="AA133" s="126"/>
      <c r="AB133" s="127"/>
      <c r="AC133" s="128"/>
      <c r="AD133" s="152"/>
      <c r="AE133" s="129"/>
      <c r="AF133" s="153"/>
      <c r="AG133" s="128"/>
      <c r="AH133" s="152"/>
      <c r="AI133" s="126"/>
      <c r="AJ133" s="153"/>
      <c r="AK133" s="128"/>
      <c r="AL133" s="152"/>
      <c r="AM133" s="126"/>
      <c r="AN133" s="153"/>
      <c r="AO133" s="128"/>
      <c r="AP133" s="152"/>
      <c r="AQ133" s="126"/>
      <c r="AR133" s="153"/>
      <c r="AS133" s="128"/>
      <c r="AT133" s="677"/>
      <c r="AU133" s="155"/>
    </row>
    <row r="134" spans="2:47" ht="15" customHeight="1" x14ac:dyDescent="0.25">
      <c r="B134" s="746" t="s">
        <v>39</v>
      </c>
      <c r="C134" s="747"/>
      <c r="D134" s="747"/>
      <c r="E134" s="747"/>
      <c r="F134" s="747"/>
      <c r="G134" s="747"/>
      <c r="H134" s="747"/>
      <c r="I134" s="748"/>
      <c r="J134" s="24">
        <f>SUBTOTAL(9,J16:J128)</f>
        <v>187725893</v>
      </c>
      <c r="K134" s="24">
        <f t="shared" ref="K134:Y134" si="11">SUBTOTAL(9,K16:K128)</f>
        <v>47126616</v>
      </c>
      <c r="L134" s="24">
        <f t="shared" si="11"/>
        <v>140599277</v>
      </c>
      <c r="M134" s="24">
        <f t="shared" si="11"/>
        <v>0</v>
      </c>
      <c r="N134" s="24">
        <f t="shared" si="11"/>
        <v>2361848</v>
      </c>
      <c r="O134" s="24">
        <f t="shared" si="11"/>
        <v>2581695</v>
      </c>
      <c r="P134" s="24">
        <f t="shared" si="11"/>
        <v>2516404</v>
      </c>
      <c r="Q134" s="24">
        <f t="shared" si="11"/>
        <v>2051414</v>
      </c>
      <c r="R134" s="24">
        <f t="shared" si="11"/>
        <v>3792002</v>
      </c>
      <c r="S134" s="24">
        <f t="shared" si="11"/>
        <v>0</v>
      </c>
      <c r="T134" s="24">
        <f t="shared" si="11"/>
        <v>0</v>
      </c>
      <c r="U134" s="24">
        <f t="shared" si="11"/>
        <v>0</v>
      </c>
      <c r="V134" s="24">
        <f t="shared" si="11"/>
        <v>0</v>
      </c>
      <c r="W134" s="24">
        <f t="shared" si="11"/>
        <v>0</v>
      </c>
      <c r="X134" s="24">
        <f t="shared" si="11"/>
        <v>0</v>
      </c>
      <c r="Y134" s="24">
        <f t="shared" si="11"/>
        <v>13303363</v>
      </c>
      <c r="Z134" s="24">
        <f>SUBTOTAL(9,Z16:Z128)</f>
        <v>24523939</v>
      </c>
      <c r="AA134" s="24"/>
      <c r="AB134" s="24"/>
      <c r="AC134" s="24"/>
      <c r="AD134" s="24">
        <f>SUBTOTAL(9,AD16:AD128)</f>
        <v>1080108</v>
      </c>
      <c r="AE134" s="24"/>
      <c r="AF134" s="24"/>
      <c r="AG134" s="24"/>
      <c r="AH134" s="24">
        <f>SUBTOTAL(9,AH16:AH128)</f>
        <v>2654816</v>
      </c>
      <c r="AI134" s="24"/>
      <c r="AJ134" s="24"/>
      <c r="AK134" s="24"/>
      <c r="AL134" s="24">
        <f>SUBTOTAL(9,AL16:AL128)</f>
        <v>0</v>
      </c>
      <c r="AM134" s="24"/>
      <c r="AN134" s="24"/>
      <c r="AO134" s="24"/>
      <c r="AP134" s="24">
        <f>SUBTOTAL(9,AP16:AP128)</f>
        <v>0</v>
      </c>
      <c r="AQ134" s="24"/>
      <c r="AR134" s="24"/>
      <c r="AS134" s="24"/>
      <c r="AT134" s="24">
        <f>SUBTOTAL(9,AT16:AT130)</f>
        <v>28258863</v>
      </c>
      <c r="AU134" s="24">
        <f t="shared" ref="AU134" si="12">SUBTOTAL(9,AU16:AU106)</f>
        <v>14904271</v>
      </c>
    </row>
    <row r="135" spans="2:47" s="134" customFormat="1" ht="20.25" customHeight="1" x14ac:dyDescent="0.2">
      <c r="B135" s="749"/>
      <c r="C135" s="749"/>
      <c r="D135" s="749"/>
      <c r="E135" s="749"/>
      <c r="F135" s="160"/>
      <c r="G135" s="145"/>
      <c r="H135" s="145"/>
      <c r="J135" s="140"/>
      <c r="K135" s="140"/>
      <c r="L135" s="140"/>
      <c r="M135" s="140"/>
      <c r="N135" s="140"/>
      <c r="O135" s="140"/>
      <c r="P135" s="140"/>
      <c r="Q135" s="140"/>
      <c r="R135" s="140"/>
      <c r="S135" s="140"/>
      <c r="T135" s="140"/>
      <c r="U135" s="140"/>
      <c r="V135" s="140"/>
      <c r="W135" s="140"/>
      <c r="X135" s="140"/>
      <c r="Y135" s="140"/>
      <c r="Z135" s="140"/>
      <c r="AA135" s="141"/>
      <c r="AE135" s="140"/>
      <c r="AI135" s="141"/>
      <c r="AM135" s="141"/>
      <c r="AQ135" s="141"/>
      <c r="AT135" s="140"/>
      <c r="AU135" s="140"/>
    </row>
    <row r="136" spans="2:47" s="134" customFormat="1" x14ac:dyDescent="0.2">
      <c r="B136" s="750"/>
      <c r="C136" s="750"/>
      <c r="D136" s="750"/>
      <c r="E136" s="750"/>
      <c r="F136" s="750"/>
      <c r="G136" s="750"/>
      <c r="H136" s="750"/>
      <c r="I136" s="750"/>
      <c r="J136" s="750"/>
      <c r="K136" s="750"/>
      <c r="L136" s="750"/>
      <c r="M136" s="750"/>
      <c r="N136" s="750"/>
      <c r="O136" s="750"/>
      <c r="P136" s="750"/>
      <c r="Q136" s="750"/>
      <c r="R136" s="750"/>
      <c r="S136" s="750"/>
      <c r="T136" s="750"/>
      <c r="U136" s="750"/>
      <c r="V136" s="750"/>
      <c r="W136" s="750"/>
      <c r="X136" s="750"/>
      <c r="Y136" s="750"/>
      <c r="Z136" s="750"/>
      <c r="AA136" s="750"/>
      <c r="AB136" s="750"/>
      <c r="AC136" s="750"/>
      <c r="AD136" s="162"/>
      <c r="AE136" s="161"/>
      <c r="AF136" s="162"/>
      <c r="AG136" s="162"/>
      <c r="AH136" s="162"/>
      <c r="AI136" s="163"/>
      <c r="AJ136" s="162"/>
      <c r="AK136" s="162"/>
      <c r="AL136" s="162"/>
      <c r="AM136" s="163"/>
      <c r="AN136" s="162"/>
      <c r="AO136" s="162"/>
      <c r="AP136" s="162"/>
      <c r="AQ136" s="163"/>
      <c r="AR136" s="162"/>
      <c r="AS136" s="162"/>
      <c r="AT136" s="140"/>
      <c r="AU136" s="140"/>
    </row>
    <row r="137" spans="2:47" s="134" customFormat="1" x14ac:dyDescent="0.2">
      <c r="B137" s="145"/>
      <c r="D137" s="679"/>
      <c r="J137" s="140"/>
      <c r="K137" s="140"/>
      <c r="L137" s="140"/>
      <c r="M137" s="140"/>
      <c r="N137" s="140"/>
      <c r="O137" s="140"/>
      <c r="P137" s="140"/>
      <c r="Q137" s="140"/>
      <c r="R137" s="140"/>
      <c r="S137" s="140"/>
      <c r="T137" s="140"/>
      <c r="U137" s="140"/>
      <c r="V137" s="140"/>
      <c r="W137" s="140"/>
      <c r="X137" s="140"/>
      <c r="Y137" s="140"/>
      <c r="Z137" s="141"/>
      <c r="AD137" s="140"/>
      <c r="AH137" s="141"/>
      <c r="AL137" s="141"/>
      <c r="AP137" s="141"/>
      <c r="AS137" s="140"/>
      <c r="AT137" s="140"/>
    </row>
    <row r="138" spans="2:47" s="134" customFormat="1" x14ac:dyDescent="0.2">
      <c r="B138" s="145"/>
      <c r="D138" s="679"/>
      <c r="J138" s="140"/>
      <c r="K138" s="140"/>
      <c r="L138" s="140"/>
      <c r="M138" s="140"/>
      <c r="N138" s="140"/>
      <c r="O138" s="140"/>
      <c r="P138" s="140"/>
      <c r="Q138" s="140"/>
      <c r="R138" s="140"/>
      <c r="S138" s="140"/>
      <c r="T138" s="140"/>
      <c r="U138" s="140"/>
      <c r="V138" s="140"/>
      <c r="W138" s="140"/>
      <c r="X138" s="140"/>
      <c r="Y138" s="140"/>
      <c r="Z138" s="141"/>
      <c r="AD138" s="140"/>
      <c r="AH138" s="141"/>
      <c r="AL138" s="141"/>
      <c r="AP138" s="141"/>
      <c r="AS138" s="140"/>
      <c r="AT138" s="140"/>
    </row>
    <row r="139" spans="2:47" s="134" customFormat="1" x14ac:dyDescent="0.2">
      <c r="B139" s="145"/>
      <c r="D139" s="679"/>
      <c r="J139" s="140"/>
      <c r="K139" s="140"/>
      <c r="L139" s="140"/>
      <c r="M139" s="140"/>
      <c r="N139" s="140"/>
      <c r="O139" s="140"/>
      <c r="P139" s="140"/>
      <c r="Q139" s="140"/>
      <c r="R139" s="140"/>
      <c r="S139" s="140"/>
      <c r="T139" s="140"/>
      <c r="U139" s="140"/>
      <c r="V139" s="140"/>
      <c r="W139" s="140"/>
      <c r="X139" s="140"/>
      <c r="Y139" s="140"/>
      <c r="Z139" s="141"/>
      <c r="AD139" s="140"/>
      <c r="AH139" s="141"/>
      <c r="AL139" s="141"/>
      <c r="AP139" s="141"/>
      <c r="AS139" s="140"/>
      <c r="AT139" s="140"/>
    </row>
    <row r="140" spans="2:47" s="134" customFormat="1" x14ac:dyDescent="0.2">
      <c r="B140" s="145"/>
      <c r="D140" s="679"/>
      <c r="J140" s="140"/>
      <c r="K140" s="140"/>
      <c r="L140" s="140"/>
      <c r="M140" s="140"/>
      <c r="N140" s="140"/>
      <c r="O140" s="140"/>
      <c r="P140" s="140"/>
      <c r="Q140" s="140"/>
      <c r="R140" s="140"/>
      <c r="S140" s="140"/>
      <c r="T140" s="140"/>
      <c r="U140" s="140"/>
      <c r="V140" s="140"/>
      <c r="W140" s="140"/>
      <c r="X140" s="140"/>
      <c r="Y140" s="140"/>
      <c r="Z140" s="140"/>
      <c r="AA140" s="141"/>
      <c r="AE140" s="140"/>
      <c r="AI140" s="141"/>
      <c r="AM140" s="141"/>
      <c r="AQ140" s="141"/>
      <c r="AT140" s="140"/>
      <c r="AU140" s="140"/>
    </row>
    <row r="141" spans="2:47" s="134" customFormat="1" x14ac:dyDescent="0.2">
      <c r="B141" s="145"/>
      <c r="D141" s="679"/>
      <c r="J141" s="140"/>
      <c r="K141" s="140"/>
      <c r="L141" s="140"/>
      <c r="M141" s="140"/>
      <c r="N141" s="140"/>
      <c r="O141" s="140"/>
      <c r="P141" s="140"/>
      <c r="Q141" s="140"/>
      <c r="R141" s="140"/>
      <c r="S141" s="140"/>
      <c r="T141" s="140"/>
      <c r="U141" s="140"/>
      <c r="V141" s="140"/>
      <c r="W141" s="140"/>
      <c r="X141" s="140"/>
      <c r="Y141" s="140"/>
      <c r="Z141" s="140"/>
      <c r="AA141" s="141"/>
      <c r="AE141" s="140"/>
      <c r="AI141" s="141"/>
      <c r="AM141" s="141"/>
      <c r="AQ141" s="141"/>
      <c r="AT141" s="140"/>
      <c r="AU141" s="140"/>
    </row>
    <row r="142" spans="2:47" s="134" customFormat="1" x14ac:dyDescent="0.2">
      <c r="B142" s="145"/>
      <c r="D142" s="679"/>
      <c r="J142" s="140"/>
      <c r="K142" s="140"/>
      <c r="L142" s="140"/>
      <c r="M142" s="140"/>
      <c r="N142" s="140"/>
      <c r="O142" s="140"/>
      <c r="P142" s="140"/>
      <c r="Q142" s="140"/>
      <c r="R142" s="140"/>
      <c r="S142" s="140"/>
      <c r="T142" s="140"/>
      <c r="U142" s="140"/>
      <c r="V142" s="140"/>
      <c r="W142" s="140"/>
      <c r="X142" s="140"/>
      <c r="Y142" s="140"/>
      <c r="Z142" s="140"/>
      <c r="AA142" s="141"/>
      <c r="AE142" s="140"/>
      <c r="AI142" s="141"/>
      <c r="AM142" s="141"/>
      <c r="AQ142" s="141"/>
      <c r="AT142" s="140"/>
      <c r="AU142" s="140"/>
    </row>
    <row r="143" spans="2:47" s="134" customFormat="1" x14ac:dyDescent="0.2">
      <c r="B143" s="145"/>
      <c r="D143" s="679"/>
      <c r="J143" s="140"/>
      <c r="K143" s="140"/>
      <c r="L143" s="140"/>
      <c r="M143" s="140"/>
      <c r="N143" s="140"/>
      <c r="O143" s="140"/>
      <c r="P143" s="140"/>
      <c r="Q143" s="140"/>
      <c r="R143" s="140"/>
      <c r="S143" s="140"/>
      <c r="T143" s="140"/>
      <c r="U143" s="140"/>
      <c r="V143" s="140"/>
      <c r="W143" s="140"/>
      <c r="X143" s="140"/>
      <c r="Y143" s="140"/>
      <c r="Z143" s="140"/>
      <c r="AA143" s="681"/>
      <c r="AB143" s="145"/>
      <c r="AE143" s="140"/>
      <c r="AI143" s="141"/>
      <c r="AM143" s="141"/>
      <c r="AQ143" s="141"/>
      <c r="AT143" s="140"/>
      <c r="AU143" s="140"/>
    </row>
    <row r="144" spans="2:47" s="134" customFormat="1" x14ac:dyDescent="0.2">
      <c r="B144" s="145"/>
      <c r="D144" s="679"/>
      <c r="J144" s="140"/>
      <c r="K144" s="140"/>
      <c r="L144" s="140"/>
      <c r="M144" s="140"/>
      <c r="N144" s="140"/>
      <c r="O144" s="140"/>
      <c r="P144" s="140"/>
      <c r="Q144" s="140"/>
      <c r="R144" s="140"/>
      <c r="S144" s="140"/>
      <c r="T144" s="140"/>
      <c r="U144" s="140"/>
      <c r="V144" s="140"/>
      <c r="W144" s="140"/>
      <c r="X144" s="140"/>
      <c r="Y144" s="140"/>
      <c r="Z144" s="140"/>
      <c r="AA144" s="169"/>
      <c r="AB144" s="169"/>
      <c r="AC144" s="169"/>
      <c r="AE144" s="140"/>
      <c r="AI144" s="141"/>
      <c r="AM144" s="141"/>
      <c r="AQ144" s="141"/>
      <c r="AT144" s="140"/>
      <c r="AU144" s="140"/>
    </row>
    <row r="145" spans="2:47" s="134" customFormat="1" x14ac:dyDescent="0.2">
      <c r="B145" s="145"/>
      <c r="D145" s="679"/>
      <c r="J145" s="140"/>
      <c r="K145" s="140"/>
      <c r="L145" s="140"/>
      <c r="M145" s="140"/>
      <c r="N145" s="140"/>
      <c r="O145" s="140"/>
      <c r="P145" s="140"/>
      <c r="Q145" s="140"/>
      <c r="R145" s="140"/>
      <c r="S145" s="140"/>
      <c r="T145" s="140"/>
      <c r="U145" s="140"/>
      <c r="V145" s="140"/>
      <c r="W145" s="140"/>
      <c r="X145" s="140"/>
      <c r="Y145" s="140"/>
      <c r="Z145" s="140"/>
      <c r="AA145" s="169"/>
      <c r="AB145" s="169"/>
      <c r="AC145" s="169"/>
      <c r="AE145" s="140"/>
      <c r="AI145" s="141"/>
      <c r="AM145" s="141"/>
      <c r="AQ145" s="141"/>
      <c r="AT145" s="140"/>
      <c r="AU145" s="140"/>
    </row>
    <row r="146" spans="2:47" s="134" customFormat="1" x14ac:dyDescent="0.2">
      <c r="B146" s="145"/>
      <c r="D146" s="679"/>
      <c r="J146" s="140"/>
      <c r="K146" s="140"/>
      <c r="L146" s="140"/>
      <c r="M146" s="140"/>
      <c r="N146" s="140"/>
      <c r="O146" s="140"/>
      <c r="P146" s="140"/>
      <c r="Q146" s="140"/>
      <c r="R146" s="140"/>
      <c r="S146" s="140"/>
      <c r="T146" s="140"/>
      <c r="U146" s="140"/>
      <c r="V146" s="140"/>
      <c r="W146" s="140"/>
      <c r="X146" s="140"/>
      <c r="Y146" s="140"/>
      <c r="Z146" s="140"/>
      <c r="AA146" s="169"/>
      <c r="AB146" s="169"/>
      <c r="AC146" s="169"/>
      <c r="AE146" s="140"/>
      <c r="AI146" s="141"/>
      <c r="AM146" s="141"/>
      <c r="AQ146" s="141"/>
      <c r="AT146" s="140"/>
      <c r="AU146" s="140"/>
    </row>
    <row r="147" spans="2:47" s="134" customFormat="1" x14ac:dyDescent="0.2">
      <c r="B147" s="145"/>
      <c r="D147" s="679"/>
      <c r="J147" s="140"/>
      <c r="K147" s="140"/>
      <c r="L147" s="140"/>
      <c r="M147" s="140"/>
      <c r="N147" s="140"/>
      <c r="O147" s="140"/>
      <c r="P147" s="140"/>
      <c r="Q147" s="140"/>
      <c r="R147" s="140"/>
      <c r="S147" s="140"/>
      <c r="T147" s="140"/>
      <c r="U147" s="140"/>
      <c r="V147" s="140"/>
      <c r="W147" s="140"/>
      <c r="X147" s="140"/>
      <c r="Y147" s="140"/>
      <c r="Z147" s="140"/>
      <c r="AA147" s="169"/>
      <c r="AB147" s="169"/>
      <c r="AC147" s="169"/>
      <c r="AE147" s="140"/>
      <c r="AI147" s="141"/>
      <c r="AM147" s="141"/>
      <c r="AQ147" s="141"/>
      <c r="AT147" s="140"/>
      <c r="AU147" s="140"/>
    </row>
    <row r="148" spans="2:47" s="134" customFormat="1" x14ac:dyDescent="0.2">
      <c r="B148" s="145"/>
      <c r="D148" s="679"/>
      <c r="J148" s="140"/>
      <c r="K148" s="140"/>
      <c r="L148" s="140"/>
      <c r="M148" s="140"/>
      <c r="N148" s="140"/>
      <c r="O148" s="140"/>
      <c r="P148" s="140"/>
      <c r="Q148" s="140"/>
      <c r="R148" s="140"/>
      <c r="S148" s="140"/>
      <c r="T148" s="140"/>
      <c r="U148" s="140"/>
      <c r="V148" s="140"/>
      <c r="W148" s="140"/>
      <c r="X148" s="140"/>
      <c r="Y148" s="140"/>
      <c r="Z148" s="140"/>
      <c r="AA148" s="169"/>
      <c r="AB148" s="169"/>
      <c r="AC148" s="169"/>
      <c r="AE148" s="140"/>
      <c r="AI148" s="141"/>
      <c r="AM148" s="141"/>
      <c r="AQ148" s="141"/>
      <c r="AT148" s="140"/>
      <c r="AU148" s="140"/>
    </row>
    <row r="149" spans="2:47" s="134" customFormat="1" x14ac:dyDescent="0.2">
      <c r="B149" s="145"/>
      <c r="D149" s="679"/>
      <c r="J149" s="140"/>
      <c r="K149" s="140"/>
      <c r="L149" s="140"/>
      <c r="M149" s="140"/>
      <c r="N149" s="140"/>
      <c r="O149" s="140"/>
      <c r="P149" s="140"/>
      <c r="Q149" s="140"/>
      <c r="R149" s="140"/>
      <c r="S149" s="140"/>
      <c r="T149" s="140"/>
      <c r="U149" s="140"/>
      <c r="V149" s="140"/>
      <c r="W149" s="140"/>
      <c r="X149" s="140"/>
      <c r="Y149" s="140"/>
      <c r="Z149" s="140"/>
      <c r="AA149" s="169"/>
      <c r="AB149" s="169"/>
      <c r="AC149" s="169"/>
      <c r="AE149" s="140"/>
      <c r="AI149" s="141"/>
      <c r="AM149" s="141"/>
      <c r="AQ149" s="141"/>
      <c r="AT149" s="140"/>
      <c r="AU149" s="140"/>
    </row>
    <row r="150" spans="2:47" s="134" customFormat="1" x14ac:dyDescent="0.2">
      <c r="B150" s="145"/>
      <c r="D150" s="679"/>
      <c r="J150" s="140"/>
      <c r="K150" s="140"/>
      <c r="L150" s="140"/>
      <c r="M150" s="140"/>
      <c r="N150" s="140"/>
      <c r="O150" s="140"/>
      <c r="P150" s="140"/>
      <c r="Q150" s="140"/>
      <c r="R150" s="140"/>
      <c r="S150" s="140"/>
      <c r="T150" s="140"/>
      <c r="U150" s="140"/>
      <c r="V150" s="140"/>
      <c r="W150" s="140"/>
      <c r="X150" s="140"/>
      <c r="Y150" s="140"/>
      <c r="Z150" s="140"/>
      <c r="AA150" s="169"/>
      <c r="AB150" s="169"/>
      <c r="AC150" s="169"/>
      <c r="AE150" s="140"/>
      <c r="AI150" s="141"/>
      <c r="AM150" s="141"/>
      <c r="AQ150" s="141"/>
      <c r="AT150" s="140"/>
      <c r="AU150" s="140"/>
    </row>
    <row r="151" spans="2:47" s="134" customFormat="1" x14ac:dyDescent="0.2">
      <c r="B151" s="145"/>
      <c r="D151" s="679"/>
      <c r="J151" s="140"/>
      <c r="K151" s="140"/>
      <c r="L151" s="140"/>
      <c r="M151" s="140"/>
      <c r="N151" s="140"/>
      <c r="O151" s="140"/>
      <c r="P151" s="140"/>
      <c r="Q151" s="140"/>
      <c r="R151" s="140"/>
      <c r="S151" s="140"/>
      <c r="T151" s="140"/>
      <c r="U151" s="140"/>
      <c r="V151" s="140"/>
      <c r="W151" s="140"/>
      <c r="X151" s="140"/>
      <c r="Y151" s="140"/>
      <c r="Z151" s="140"/>
      <c r="AA151" s="169"/>
      <c r="AB151" s="169"/>
      <c r="AC151" s="169"/>
      <c r="AE151" s="140"/>
      <c r="AI151" s="141"/>
      <c r="AM151" s="141"/>
      <c r="AQ151" s="141"/>
      <c r="AT151" s="140"/>
      <c r="AU151" s="140"/>
    </row>
    <row r="152" spans="2:47" s="134" customFormat="1" x14ac:dyDescent="0.2">
      <c r="B152" s="145"/>
      <c r="D152" s="679"/>
      <c r="J152" s="140"/>
      <c r="K152" s="140"/>
      <c r="L152" s="140"/>
      <c r="M152" s="140"/>
      <c r="N152" s="140"/>
      <c r="O152" s="140"/>
      <c r="P152" s="140"/>
      <c r="Q152" s="140"/>
      <c r="R152" s="140"/>
      <c r="S152" s="140"/>
      <c r="T152" s="140"/>
      <c r="U152" s="140"/>
      <c r="V152" s="140"/>
      <c r="W152" s="140"/>
      <c r="X152" s="140"/>
      <c r="Y152" s="140"/>
      <c r="Z152" s="140"/>
      <c r="AA152" s="169"/>
      <c r="AB152" s="169"/>
      <c r="AC152" s="169"/>
      <c r="AE152" s="140"/>
      <c r="AI152" s="141"/>
      <c r="AM152" s="141"/>
      <c r="AQ152" s="141"/>
      <c r="AT152" s="140"/>
      <c r="AU152" s="140"/>
    </row>
    <row r="153" spans="2:47" s="134" customFormat="1" x14ac:dyDescent="0.2">
      <c r="B153" s="145"/>
      <c r="D153" s="679"/>
      <c r="J153" s="140"/>
      <c r="K153" s="140"/>
      <c r="L153" s="140"/>
      <c r="M153" s="140"/>
      <c r="N153" s="140"/>
      <c r="O153" s="140"/>
      <c r="P153" s="140"/>
      <c r="Q153" s="140"/>
      <c r="R153" s="140"/>
      <c r="S153" s="140"/>
      <c r="T153" s="140"/>
      <c r="U153" s="140"/>
      <c r="V153" s="140"/>
      <c r="W153" s="140"/>
      <c r="X153" s="140"/>
      <c r="Y153" s="140"/>
      <c r="Z153" s="140"/>
      <c r="AA153" s="169"/>
      <c r="AB153" s="169"/>
      <c r="AC153" s="169"/>
      <c r="AE153" s="140"/>
      <c r="AI153" s="141"/>
      <c r="AM153" s="141"/>
      <c r="AQ153" s="141"/>
      <c r="AT153" s="140"/>
      <c r="AU153" s="140"/>
    </row>
    <row r="154" spans="2:47" s="134" customFormat="1" x14ac:dyDescent="0.2">
      <c r="B154" s="145"/>
      <c r="D154" s="679"/>
      <c r="J154" s="140"/>
      <c r="K154" s="140"/>
      <c r="L154" s="140"/>
      <c r="M154" s="140"/>
      <c r="N154" s="140"/>
      <c r="O154" s="140"/>
      <c r="P154" s="140"/>
      <c r="Q154" s="140"/>
      <c r="R154" s="140"/>
      <c r="S154" s="140"/>
      <c r="T154" s="140"/>
      <c r="U154" s="140"/>
      <c r="V154" s="140"/>
      <c r="W154" s="140"/>
      <c r="X154" s="140"/>
      <c r="Y154" s="140"/>
      <c r="Z154" s="140"/>
      <c r="AA154" s="169"/>
      <c r="AB154" s="169"/>
      <c r="AC154" s="169"/>
      <c r="AE154" s="140"/>
      <c r="AI154" s="141"/>
      <c r="AM154" s="141"/>
      <c r="AQ154" s="141"/>
      <c r="AT154" s="140"/>
      <c r="AU154" s="140"/>
    </row>
    <row r="155" spans="2:47" s="134" customFormat="1" x14ac:dyDescent="0.2">
      <c r="B155" s="145"/>
      <c r="D155" s="679"/>
      <c r="J155" s="140"/>
      <c r="K155" s="140"/>
      <c r="L155" s="140"/>
      <c r="M155" s="140"/>
      <c r="N155" s="140"/>
      <c r="O155" s="140"/>
      <c r="P155" s="140"/>
      <c r="Q155" s="140"/>
      <c r="R155" s="140"/>
      <c r="S155" s="140"/>
      <c r="T155" s="140"/>
      <c r="U155" s="140"/>
      <c r="V155" s="140"/>
      <c r="W155" s="140"/>
      <c r="X155" s="140"/>
      <c r="Y155" s="140"/>
      <c r="Z155" s="140"/>
      <c r="AA155" s="169"/>
      <c r="AB155" s="169"/>
      <c r="AC155" s="169"/>
      <c r="AE155" s="140"/>
      <c r="AI155" s="141"/>
      <c r="AM155" s="141"/>
      <c r="AQ155" s="141"/>
      <c r="AT155" s="140"/>
      <c r="AU155" s="140"/>
    </row>
    <row r="156" spans="2:47" s="134" customFormat="1" x14ac:dyDescent="0.2">
      <c r="B156" s="145"/>
      <c r="D156" s="679"/>
      <c r="J156" s="140"/>
      <c r="K156" s="140"/>
      <c r="L156" s="140"/>
      <c r="M156" s="140"/>
      <c r="N156" s="140"/>
      <c r="O156" s="140"/>
      <c r="P156" s="140"/>
      <c r="Q156" s="140"/>
      <c r="R156" s="140"/>
      <c r="S156" s="140"/>
      <c r="T156" s="140"/>
      <c r="U156" s="140"/>
      <c r="V156" s="140"/>
      <c r="W156" s="140"/>
      <c r="X156" s="140"/>
      <c r="Y156" s="140"/>
      <c r="Z156" s="140"/>
      <c r="AA156" s="169"/>
      <c r="AB156" s="169"/>
      <c r="AC156" s="169"/>
      <c r="AE156" s="140"/>
      <c r="AI156" s="141"/>
      <c r="AM156" s="141"/>
      <c r="AQ156" s="141"/>
      <c r="AT156" s="140"/>
      <c r="AU156" s="140"/>
    </row>
    <row r="157" spans="2:47" s="134" customFormat="1" x14ac:dyDescent="0.2">
      <c r="B157" s="145"/>
      <c r="D157" s="679"/>
      <c r="J157" s="140"/>
      <c r="K157" s="140"/>
      <c r="L157" s="140"/>
      <c r="M157" s="140"/>
      <c r="N157" s="140"/>
      <c r="O157" s="140"/>
      <c r="P157" s="140"/>
      <c r="Q157" s="140"/>
      <c r="R157" s="140"/>
      <c r="S157" s="140"/>
      <c r="T157" s="140"/>
      <c r="U157" s="140"/>
      <c r="V157" s="140"/>
      <c r="W157" s="140"/>
      <c r="X157" s="140"/>
      <c r="Y157" s="140"/>
      <c r="Z157" s="140"/>
      <c r="AA157" s="169"/>
      <c r="AB157" s="169"/>
      <c r="AC157" s="169"/>
      <c r="AE157" s="140"/>
      <c r="AI157" s="141"/>
      <c r="AM157" s="141"/>
      <c r="AQ157" s="141"/>
      <c r="AT157" s="140"/>
      <c r="AU157" s="140"/>
    </row>
    <row r="158" spans="2:47" s="134" customFormat="1" x14ac:dyDescent="0.2">
      <c r="B158" s="145"/>
      <c r="D158" s="679"/>
      <c r="J158" s="140"/>
      <c r="K158" s="140"/>
      <c r="L158" s="140"/>
      <c r="M158" s="140"/>
      <c r="N158" s="140"/>
      <c r="O158" s="140"/>
      <c r="P158" s="140"/>
      <c r="Q158" s="140"/>
      <c r="R158" s="140"/>
      <c r="S158" s="140"/>
      <c r="T158" s="140"/>
      <c r="U158" s="140"/>
      <c r="V158" s="140"/>
      <c r="W158" s="140"/>
      <c r="X158" s="140"/>
      <c r="Y158" s="140"/>
      <c r="Z158" s="140"/>
      <c r="AA158" s="169"/>
      <c r="AB158" s="169"/>
      <c r="AC158" s="169"/>
      <c r="AE158" s="140"/>
      <c r="AI158" s="141"/>
      <c r="AM158" s="141"/>
      <c r="AQ158" s="141"/>
      <c r="AT158" s="140"/>
      <c r="AU158" s="140"/>
    </row>
    <row r="159" spans="2:47" s="134" customFormat="1" x14ac:dyDescent="0.2">
      <c r="B159" s="145"/>
      <c r="D159" s="679"/>
      <c r="J159" s="140"/>
      <c r="K159" s="140"/>
      <c r="L159" s="140"/>
      <c r="M159" s="140"/>
      <c r="N159" s="140"/>
      <c r="O159" s="140"/>
      <c r="P159" s="140"/>
      <c r="Q159" s="140"/>
      <c r="R159" s="140"/>
      <c r="S159" s="140"/>
      <c r="T159" s="140"/>
      <c r="U159" s="140"/>
      <c r="V159" s="140"/>
      <c r="W159" s="140"/>
      <c r="X159" s="140"/>
      <c r="Y159" s="140"/>
      <c r="Z159" s="140"/>
      <c r="AA159" s="169"/>
      <c r="AB159" s="169"/>
      <c r="AC159" s="169"/>
      <c r="AE159" s="140"/>
      <c r="AI159" s="141"/>
      <c r="AM159" s="141"/>
      <c r="AQ159" s="141"/>
      <c r="AT159" s="140"/>
      <c r="AU159" s="140"/>
    </row>
    <row r="160" spans="2:47" s="134" customFormat="1" x14ac:dyDescent="0.2">
      <c r="B160" s="145"/>
      <c r="D160" s="679"/>
      <c r="J160" s="140"/>
      <c r="K160" s="140"/>
      <c r="L160" s="140"/>
      <c r="M160" s="140"/>
      <c r="N160" s="140"/>
      <c r="O160" s="140"/>
      <c r="P160" s="140"/>
      <c r="Q160" s="140"/>
      <c r="R160" s="140"/>
      <c r="S160" s="140"/>
      <c r="T160" s="140"/>
      <c r="U160" s="140"/>
      <c r="V160" s="140"/>
      <c r="W160" s="140"/>
      <c r="X160" s="140"/>
      <c r="Y160" s="140"/>
      <c r="Z160" s="140"/>
      <c r="AA160" s="169"/>
      <c r="AB160" s="169"/>
      <c r="AC160" s="169"/>
      <c r="AE160" s="140"/>
      <c r="AI160" s="141"/>
      <c r="AM160" s="141"/>
      <c r="AQ160" s="141"/>
      <c r="AT160" s="140"/>
      <c r="AU160" s="140"/>
    </row>
    <row r="161" spans="2:47" s="134" customFormat="1" x14ac:dyDescent="0.2">
      <c r="B161" s="145"/>
      <c r="D161" s="679"/>
      <c r="J161" s="140"/>
      <c r="K161" s="140"/>
      <c r="L161" s="140"/>
      <c r="M161" s="140"/>
      <c r="N161" s="140"/>
      <c r="O161" s="140"/>
      <c r="P161" s="140"/>
      <c r="Q161" s="140"/>
      <c r="R161" s="140"/>
      <c r="S161" s="140"/>
      <c r="T161" s="140"/>
      <c r="U161" s="140"/>
      <c r="V161" s="140"/>
      <c r="W161" s="140"/>
      <c r="X161" s="140"/>
      <c r="Y161" s="140"/>
      <c r="Z161" s="140"/>
      <c r="AA161" s="169"/>
      <c r="AB161" s="169"/>
      <c r="AC161" s="169"/>
      <c r="AE161" s="140"/>
      <c r="AI161" s="141"/>
      <c r="AM161" s="141"/>
      <c r="AQ161" s="141"/>
      <c r="AT161" s="140"/>
      <c r="AU161" s="140"/>
    </row>
    <row r="162" spans="2:47" s="134" customFormat="1" x14ac:dyDescent="0.2">
      <c r="B162" s="145"/>
      <c r="D162" s="679"/>
      <c r="J162" s="140"/>
      <c r="K162" s="140"/>
      <c r="L162" s="140"/>
      <c r="M162" s="140"/>
      <c r="N162" s="140"/>
      <c r="O162" s="140"/>
      <c r="P162" s="140"/>
      <c r="Q162" s="140"/>
      <c r="R162" s="140"/>
      <c r="S162" s="140"/>
      <c r="T162" s="140"/>
      <c r="U162" s="140"/>
      <c r="V162" s="140"/>
      <c r="W162" s="140"/>
      <c r="X162" s="140"/>
      <c r="Y162" s="140"/>
      <c r="Z162" s="140"/>
      <c r="AA162" s="141"/>
      <c r="AE162" s="140"/>
      <c r="AI162" s="141"/>
      <c r="AM162" s="141"/>
      <c r="AQ162" s="141"/>
      <c r="AT162" s="140"/>
      <c r="AU162" s="140"/>
    </row>
    <row r="163" spans="2:47" s="134" customFormat="1" x14ac:dyDescent="0.2">
      <c r="B163" s="145"/>
      <c r="D163" s="679"/>
      <c r="J163" s="140"/>
      <c r="K163" s="140"/>
      <c r="L163" s="140"/>
      <c r="M163" s="140"/>
      <c r="N163" s="140"/>
      <c r="O163" s="140"/>
      <c r="P163" s="140"/>
      <c r="Q163" s="140"/>
      <c r="R163" s="140"/>
      <c r="S163" s="140"/>
      <c r="T163" s="140"/>
      <c r="U163" s="140"/>
      <c r="V163" s="140"/>
      <c r="W163" s="140"/>
      <c r="X163" s="140"/>
      <c r="Y163" s="140"/>
      <c r="Z163" s="140"/>
      <c r="AA163" s="141"/>
      <c r="AE163" s="140"/>
      <c r="AI163" s="141"/>
      <c r="AM163" s="141"/>
      <c r="AQ163" s="141"/>
      <c r="AT163" s="140"/>
      <c r="AU163" s="140"/>
    </row>
    <row r="164" spans="2:47" s="134" customFormat="1" x14ac:dyDescent="0.2">
      <c r="B164" s="145"/>
      <c r="D164" s="679"/>
      <c r="J164" s="140"/>
      <c r="K164" s="140"/>
      <c r="L164" s="140"/>
      <c r="M164" s="140"/>
      <c r="N164" s="140"/>
      <c r="O164" s="140"/>
      <c r="P164" s="140"/>
      <c r="Q164" s="140"/>
      <c r="R164" s="140"/>
      <c r="S164" s="140"/>
      <c r="T164" s="140"/>
      <c r="U164" s="140"/>
      <c r="V164" s="140"/>
      <c r="W164" s="140"/>
      <c r="X164" s="140"/>
      <c r="Y164" s="140"/>
      <c r="Z164" s="140"/>
      <c r="AA164" s="141"/>
      <c r="AE164" s="140"/>
      <c r="AI164" s="141"/>
      <c r="AM164" s="141"/>
      <c r="AQ164" s="141"/>
      <c r="AT164" s="140"/>
      <c r="AU164" s="140"/>
    </row>
    <row r="165" spans="2:47" s="134" customFormat="1" x14ac:dyDescent="0.2">
      <c r="B165" s="145"/>
      <c r="D165" s="679"/>
      <c r="J165" s="140"/>
      <c r="K165" s="140"/>
      <c r="L165" s="140"/>
      <c r="M165" s="140"/>
      <c r="N165" s="140"/>
      <c r="O165" s="140"/>
      <c r="P165" s="140"/>
      <c r="Q165" s="140"/>
      <c r="R165" s="140"/>
      <c r="S165" s="140"/>
      <c r="T165" s="140"/>
      <c r="U165" s="140"/>
      <c r="V165" s="140"/>
      <c r="W165" s="140"/>
      <c r="X165" s="140"/>
      <c r="Y165" s="140"/>
      <c r="Z165" s="140"/>
      <c r="AA165" s="141"/>
      <c r="AE165" s="140"/>
      <c r="AI165" s="141"/>
      <c r="AM165" s="141"/>
      <c r="AQ165" s="141"/>
      <c r="AT165" s="140"/>
      <c r="AU165" s="140"/>
    </row>
    <row r="166" spans="2:47" s="134" customFormat="1" x14ac:dyDescent="0.2">
      <c r="B166" s="145"/>
      <c r="D166" s="679"/>
      <c r="J166" s="140"/>
      <c r="K166" s="140"/>
      <c r="L166" s="140"/>
      <c r="M166" s="140"/>
      <c r="N166" s="140"/>
      <c r="O166" s="140"/>
      <c r="P166" s="140"/>
      <c r="Q166" s="140"/>
      <c r="R166" s="140"/>
      <c r="S166" s="140"/>
      <c r="T166" s="140"/>
      <c r="U166" s="140"/>
      <c r="V166" s="140"/>
      <c r="W166" s="140"/>
      <c r="X166" s="140"/>
      <c r="Y166" s="140"/>
      <c r="Z166" s="140"/>
      <c r="AA166" s="141"/>
      <c r="AE166" s="140"/>
      <c r="AI166" s="141"/>
      <c r="AM166" s="141"/>
      <c r="AQ166" s="141"/>
      <c r="AT166" s="140"/>
      <c r="AU166" s="140"/>
    </row>
    <row r="167" spans="2:47" s="134" customFormat="1" x14ac:dyDescent="0.2">
      <c r="B167" s="145"/>
      <c r="D167" s="679"/>
      <c r="J167" s="140"/>
      <c r="K167" s="140"/>
      <c r="L167" s="140"/>
      <c r="M167" s="140"/>
      <c r="N167" s="140"/>
      <c r="O167" s="140"/>
      <c r="P167" s="140"/>
      <c r="Q167" s="140"/>
      <c r="R167" s="140"/>
      <c r="S167" s="140"/>
      <c r="T167" s="140"/>
      <c r="U167" s="140"/>
      <c r="V167" s="140"/>
      <c r="W167" s="140"/>
      <c r="X167" s="140"/>
      <c r="Y167" s="140"/>
      <c r="Z167" s="140"/>
      <c r="AA167" s="141"/>
      <c r="AE167" s="140"/>
      <c r="AI167" s="141"/>
      <c r="AM167" s="141"/>
      <c r="AQ167" s="141"/>
      <c r="AT167" s="140"/>
      <c r="AU167" s="140"/>
    </row>
    <row r="168" spans="2:47" s="134" customFormat="1" x14ac:dyDescent="0.2">
      <c r="B168" s="145"/>
      <c r="D168" s="679"/>
      <c r="J168" s="140"/>
      <c r="K168" s="140"/>
      <c r="L168" s="140"/>
      <c r="M168" s="140"/>
      <c r="N168" s="140"/>
      <c r="O168" s="140"/>
      <c r="P168" s="140"/>
      <c r="Q168" s="140"/>
      <c r="R168" s="140"/>
      <c r="S168" s="140"/>
      <c r="T168" s="140"/>
      <c r="U168" s="140"/>
      <c r="V168" s="140"/>
      <c r="W168" s="140"/>
      <c r="X168" s="140"/>
      <c r="Y168" s="140"/>
      <c r="Z168" s="140"/>
      <c r="AA168" s="141"/>
      <c r="AE168" s="140"/>
      <c r="AI168" s="141"/>
      <c r="AM168" s="141"/>
      <c r="AQ168" s="141"/>
      <c r="AT168" s="140"/>
      <c r="AU168" s="140"/>
    </row>
    <row r="169" spans="2:47" s="134" customFormat="1" x14ac:dyDescent="0.2">
      <c r="B169" s="145"/>
      <c r="D169" s="679"/>
      <c r="J169" s="140"/>
      <c r="K169" s="140"/>
      <c r="L169" s="140"/>
      <c r="M169" s="140"/>
      <c r="N169" s="140"/>
      <c r="O169" s="140"/>
      <c r="P169" s="140"/>
      <c r="Q169" s="140"/>
      <c r="R169" s="140"/>
      <c r="S169" s="140"/>
      <c r="T169" s="140"/>
      <c r="U169" s="140"/>
      <c r="V169" s="140"/>
      <c r="W169" s="140"/>
      <c r="X169" s="140"/>
      <c r="Y169" s="140"/>
      <c r="Z169" s="140"/>
      <c r="AA169" s="141"/>
      <c r="AE169" s="140"/>
      <c r="AI169" s="141"/>
      <c r="AM169" s="141"/>
      <c r="AQ169" s="141"/>
      <c r="AT169" s="140"/>
      <c r="AU169" s="140"/>
    </row>
    <row r="170" spans="2:47" s="134" customFormat="1" x14ac:dyDescent="0.2">
      <c r="B170" s="145"/>
      <c r="D170" s="679"/>
      <c r="J170" s="140"/>
      <c r="K170" s="140"/>
      <c r="L170" s="140"/>
      <c r="M170" s="140"/>
      <c r="N170" s="140"/>
      <c r="O170" s="140"/>
      <c r="P170" s="140"/>
      <c r="Q170" s="140"/>
      <c r="R170" s="140"/>
      <c r="S170" s="140"/>
      <c r="T170" s="140"/>
      <c r="U170" s="140"/>
      <c r="V170" s="140"/>
      <c r="W170" s="140"/>
      <c r="X170" s="140"/>
      <c r="Y170" s="140"/>
      <c r="Z170" s="140"/>
      <c r="AA170" s="141"/>
      <c r="AE170" s="140"/>
      <c r="AI170" s="141"/>
      <c r="AM170" s="141"/>
      <c r="AQ170" s="141"/>
      <c r="AT170" s="140"/>
      <c r="AU170" s="140"/>
    </row>
    <row r="171" spans="2:47" s="134" customFormat="1" x14ac:dyDescent="0.2">
      <c r="B171" s="145"/>
      <c r="D171" s="679"/>
      <c r="J171" s="140"/>
      <c r="K171" s="140"/>
      <c r="L171" s="140"/>
      <c r="M171" s="140"/>
      <c r="N171" s="140"/>
      <c r="O171" s="140"/>
      <c r="P171" s="140"/>
      <c r="Q171" s="140"/>
      <c r="R171" s="140"/>
      <c r="S171" s="140"/>
      <c r="T171" s="140"/>
      <c r="U171" s="140"/>
      <c r="V171" s="140"/>
      <c r="W171" s="140"/>
      <c r="X171" s="140"/>
      <c r="Y171" s="140"/>
      <c r="Z171" s="140"/>
      <c r="AA171" s="141"/>
      <c r="AE171" s="140"/>
      <c r="AI171" s="141"/>
      <c r="AM171" s="141"/>
      <c r="AQ171" s="141"/>
      <c r="AT171" s="140"/>
      <c r="AU171" s="140"/>
    </row>
    <row r="172" spans="2:47" s="134" customFormat="1" x14ac:dyDescent="0.2">
      <c r="B172" s="145"/>
      <c r="D172" s="679"/>
      <c r="J172" s="140"/>
      <c r="K172" s="140"/>
      <c r="L172" s="140"/>
      <c r="M172" s="140"/>
      <c r="N172" s="140"/>
      <c r="O172" s="140"/>
      <c r="P172" s="140"/>
      <c r="Q172" s="140"/>
      <c r="R172" s="140"/>
      <c r="S172" s="140"/>
      <c r="T172" s="140"/>
      <c r="U172" s="140"/>
      <c r="V172" s="140"/>
      <c r="W172" s="140"/>
      <c r="X172" s="140"/>
      <c r="Y172" s="140"/>
      <c r="Z172" s="140"/>
      <c r="AA172" s="141"/>
      <c r="AE172" s="140"/>
      <c r="AI172" s="141"/>
      <c r="AM172" s="141"/>
      <c r="AQ172" s="141"/>
      <c r="AT172" s="140"/>
      <c r="AU172" s="140"/>
    </row>
    <row r="173" spans="2:47" s="134" customFormat="1" x14ac:dyDescent="0.2">
      <c r="B173" s="145"/>
      <c r="D173" s="679"/>
      <c r="J173" s="140"/>
      <c r="K173" s="140"/>
      <c r="L173" s="140"/>
      <c r="M173" s="140"/>
      <c r="N173" s="140"/>
      <c r="O173" s="140"/>
      <c r="P173" s="140"/>
      <c r="Q173" s="140"/>
      <c r="R173" s="140"/>
      <c r="S173" s="140"/>
      <c r="T173" s="140"/>
      <c r="U173" s="140"/>
      <c r="V173" s="140"/>
      <c r="W173" s="140"/>
      <c r="X173" s="140"/>
      <c r="Y173" s="140"/>
      <c r="Z173" s="140"/>
      <c r="AA173" s="141"/>
      <c r="AE173" s="140"/>
      <c r="AI173" s="141"/>
      <c r="AM173" s="141"/>
      <c r="AQ173" s="141"/>
      <c r="AT173" s="140"/>
      <c r="AU173" s="140"/>
    </row>
    <row r="174" spans="2:47" s="134" customFormat="1" x14ac:dyDescent="0.2">
      <c r="B174" s="145"/>
      <c r="D174" s="679"/>
      <c r="J174" s="140"/>
      <c r="K174" s="140"/>
      <c r="L174" s="140"/>
      <c r="M174" s="140"/>
      <c r="N174" s="140"/>
      <c r="O174" s="140"/>
      <c r="P174" s="140"/>
      <c r="Q174" s="140"/>
      <c r="R174" s="140"/>
      <c r="S174" s="140"/>
      <c r="T174" s="140"/>
      <c r="U174" s="140"/>
      <c r="V174" s="140"/>
      <c r="W174" s="140"/>
      <c r="X174" s="140"/>
      <c r="Y174" s="140"/>
      <c r="Z174" s="140"/>
      <c r="AA174" s="141"/>
      <c r="AE174" s="140"/>
      <c r="AI174" s="141"/>
      <c r="AM174" s="141"/>
      <c r="AQ174" s="141"/>
      <c r="AT174" s="140"/>
      <c r="AU174" s="140"/>
    </row>
    <row r="175" spans="2:47" s="134" customFormat="1" x14ac:dyDescent="0.2">
      <c r="B175" s="145"/>
      <c r="D175" s="679"/>
      <c r="J175" s="140"/>
      <c r="K175" s="140"/>
      <c r="L175" s="140"/>
      <c r="M175" s="140"/>
      <c r="N175" s="140"/>
      <c r="O175" s="140"/>
      <c r="P175" s="140"/>
      <c r="Q175" s="140"/>
      <c r="R175" s="140"/>
      <c r="S175" s="140"/>
      <c r="T175" s="140"/>
      <c r="U175" s="140"/>
      <c r="V175" s="140"/>
      <c r="W175" s="140"/>
      <c r="X175" s="140"/>
      <c r="Y175" s="140"/>
      <c r="Z175" s="140"/>
      <c r="AA175" s="141"/>
      <c r="AE175" s="140"/>
      <c r="AI175" s="141"/>
      <c r="AM175" s="141"/>
      <c r="AQ175" s="141"/>
      <c r="AT175" s="140"/>
      <c r="AU175" s="140"/>
    </row>
    <row r="176" spans="2:47" s="134" customFormat="1" x14ac:dyDescent="0.2">
      <c r="B176" s="145"/>
      <c r="D176" s="679"/>
      <c r="J176" s="140"/>
      <c r="K176" s="140"/>
      <c r="L176" s="140"/>
      <c r="M176" s="140"/>
      <c r="N176" s="140"/>
      <c r="O176" s="140"/>
      <c r="P176" s="140"/>
      <c r="Q176" s="140"/>
      <c r="R176" s="140"/>
      <c r="S176" s="140"/>
      <c r="T176" s="140"/>
      <c r="U176" s="140"/>
      <c r="V176" s="140"/>
      <c r="W176" s="140"/>
      <c r="X176" s="140"/>
      <c r="Y176" s="140"/>
      <c r="Z176" s="140"/>
      <c r="AA176" s="141"/>
      <c r="AE176" s="140"/>
      <c r="AI176" s="141"/>
      <c r="AM176" s="141"/>
      <c r="AQ176" s="141"/>
      <c r="AT176" s="140"/>
      <c r="AU176" s="140"/>
    </row>
    <row r="177" spans="2:47" s="134" customFormat="1" x14ac:dyDescent="0.2">
      <c r="B177" s="145"/>
      <c r="D177" s="679"/>
      <c r="J177" s="140"/>
      <c r="K177" s="140"/>
      <c r="L177" s="140"/>
      <c r="M177" s="140"/>
      <c r="N177" s="140"/>
      <c r="O177" s="140"/>
      <c r="P177" s="140"/>
      <c r="Q177" s="140"/>
      <c r="R177" s="140"/>
      <c r="S177" s="140"/>
      <c r="T177" s="140"/>
      <c r="U177" s="140"/>
      <c r="V177" s="140"/>
      <c r="W177" s="140"/>
      <c r="X177" s="140"/>
      <c r="Y177" s="140"/>
      <c r="Z177" s="140"/>
      <c r="AA177" s="141"/>
      <c r="AE177" s="140"/>
      <c r="AI177" s="141"/>
      <c r="AM177" s="141"/>
      <c r="AQ177" s="141"/>
      <c r="AT177" s="140"/>
      <c r="AU177" s="140"/>
    </row>
    <row r="178" spans="2:47" s="134" customFormat="1" x14ac:dyDescent="0.2">
      <c r="B178" s="145"/>
      <c r="D178" s="679"/>
      <c r="J178" s="140"/>
      <c r="K178" s="140"/>
      <c r="L178" s="140"/>
      <c r="M178" s="140"/>
      <c r="N178" s="140"/>
      <c r="O178" s="140"/>
      <c r="P178" s="140"/>
      <c r="Q178" s="140"/>
      <c r="R178" s="140"/>
      <c r="S178" s="140"/>
      <c r="T178" s="140"/>
      <c r="U178" s="140"/>
      <c r="V178" s="140"/>
      <c r="W178" s="140"/>
      <c r="X178" s="140"/>
      <c r="Y178" s="140"/>
      <c r="Z178" s="140"/>
      <c r="AA178" s="141"/>
      <c r="AE178" s="140"/>
      <c r="AI178" s="141"/>
      <c r="AM178" s="141"/>
      <c r="AQ178" s="141"/>
      <c r="AT178" s="140"/>
      <c r="AU178" s="140"/>
    </row>
    <row r="179" spans="2:47" s="134" customFormat="1" x14ac:dyDescent="0.2">
      <c r="B179" s="145"/>
      <c r="D179" s="679"/>
      <c r="J179" s="140"/>
      <c r="K179" s="140"/>
      <c r="L179" s="140"/>
      <c r="M179" s="140"/>
      <c r="N179" s="140"/>
      <c r="O179" s="140"/>
      <c r="P179" s="140"/>
      <c r="Q179" s="140"/>
      <c r="R179" s="140"/>
      <c r="S179" s="140"/>
      <c r="T179" s="140"/>
      <c r="U179" s="140"/>
      <c r="V179" s="140"/>
      <c r="W179" s="140"/>
      <c r="X179" s="140"/>
      <c r="Y179" s="140"/>
      <c r="Z179" s="140"/>
      <c r="AA179" s="141"/>
      <c r="AE179" s="140"/>
      <c r="AI179" s="141"/>
      <c r="AM179" s="141"/>
      <c r="AQ179" s="141"/>
      <c r="AT179" s="140"/>
      <c r="AU179" s="140"/>
    </row>
    <row r="180" spans="2:47" s="134" customFormat="1" x14ac:dyDescent="0.2">
      <c r="B180" s="145"/>
      <c r="D180" s="679"/>
      <c r="J180" s="140"/>
      <c r="K180" s="140"/>
      <c r="L180" s="140"/>
      <c r="M180" s="140"/>
      <c r="N180" s="140"/>
      <c r="O180" s="140"/>
      <c r="P180" s="140"/>
      <c r="Q180" s="140"/>
      <c r="R180" s="140"/>
      <c r="S180" s="140"/>
      <c r="T180" s="140"/>
      <c r="U180" s="140"/>
      <c r="V180" s="140"/>
      <c r="W180" s="140"/>
      <c r="X180" s="140"/>
      <c r="Y180" s="140"/>
      <c r="Z180" s="140"/>
      <c r="AA180" s="141"/>
      <c r="AE180" s="140"/>
      <c r="AI180" s="141"/>
      <c r="AM180" s="141"/>
      <c r="AQ180" s="141"/>
      <c r="AT180" s="140"/>
      <c r="AU180" s="140"/>
    </row>
    <row r="181" spans="2:47" s="134" customFormat="1" x14ac:dyDescent="0.2">
      <c r="B181" s="145"/>
      <c r="D181" s="679"/>
      <c r="J181" s="140"/>
      <c r="K181" s="140"/>
      <c r="L181" s="140"/>
      <c r="M181" s="140"/>
      <c r="N181" s="140"/>
      <c r="O181" s="140"/>
      <c r="P181" s="140"/>
      <c r="Q181" s="140"/>
      <c r="R181" s="140"/>
      <c r="S181" s="140"/>
      <c r="T181" s="140"/>
      <c r="U181" s="140"/>
      <c r="V181" s="140"/>
      <c r="W181" s="140"/>
      <c r="X181" s="140"/>
      <c r="Y181" s="140"/>
      <c r="Z181" s="140"/>
      <c r="AA181" s="141"/>
      <c r="AE181" s="140"/>
      <c r="AI181" s="141"/>
      <c r="AM181" s="141"/>
      <c r="AQ181" s="141"/>
      <c r="AT181" s="140"/>
      <c r="AU181" s="140"/>
    </row>
    <row r="182" spans="2:47" s="134" customFormat="1" x14ac:dyDescent="0.2">
      <c r="B182" s="145"/>
      <c r="D182" s="679"/>
      <c r="J182" s="140"/>
      <c r="K182" s="140"/>
      <c r="L182" s="140"/>
      <c r="M182" s="140"/>
      <c r="N182" s="140"/>
      <c r="O182" s="140"/>
      <c r="P182" s="140"/>
      <c r="Q182" s="140"/>
      <c r="R182" s="140"/>
      <c r="S182" s="140"/>
      <c r="T182" s="140"/>
      <c r="U182" s="140"/>
      <c r="V182" s="140"/>
      <c r="W182" s="140"/>
      <c r="X182" s="140"/>
      <c r="Y182" s="140"/>
      <c r="Z182" s="140"/>
      <c r="AA182" s="141"/>
      <c r="AE182" s="140"/>
      <c r="AI182" s="141"/>
      <c r="AM182" s="141"/>
      <c r="AQ182" s="141"/>
      <c r="AT182" s="140"/>
      <c r="AU182" s="140"/>
    </row>
    <row r="183" spans="2:47" s="134" customFormat="1" x14ac:dyDescent="0.2">
      <c r="B183" s="145"/>
      <c r="D183" s="679"/>
      <c r="J183" s="140"/>
      <c r="K183" s="140"/>
      <c r="L183" s="140"/>
      <c r="M183" s="140"/>
      <c r="N183" s="140"/>
      <c r="O183" s="140"/>
      <c r="P183" s="140"/>
      <c r="Q183" s="140"/>
      <c r="R183" s="140"/>
      <c r="S183" s="140"/>
      <c r="T183" s="140"/>
      <c r="U183" s="140"/>
      <c r="V183" s="140"/>
      <c r="W183" s="140"/>
      <c r="X183" s="140"/>
      <c r="Y183" s="140"/>
      <c r="Z183" s="140"/>
      <c r="AA183" s="141"/>
      <c r="AE183" s="140"/>
      <c r="AI183" s="141"/>
      <c r="AM183" s="141"/>
      <c r="AQ183" s="141"/>
      <c r="AT183" s="140"/>
      <c r="AU183" s="140"/>
    </row>
    <row r="184" spans="2:47" s="134" customFormat="1" x14ac:dyDescent="0.2">
      <c r="B184" s="145"/>
      <c r="D184" s="679"/>
      <c r="J184" s="140"/>
      <c r="K184" s="140"/>
      <c r="L184" s="140"/>
      <c r="M184" s="140"/>
      <c r="N184" s="140"/>
      <c r="O184" s="140"/>
      <c r="P184" s="140"/>
      <c r="Q184" s="140"/>
      <c r="R184" s="140"/>
      <c r="S184" s="140"/>
      <c r="T184" s="140"/>
      <c r="U184" s="140"/>
      <c r="V184" s="140"/>
      <c r="W184" s="140"/>
      <c r="X184" s="140"/>
      <c r="Y184" s="140"/>
      <c r="Z184" s="140"/>
      <c r="AA184" s="141"/>
      <c r="AE184" s="140"/>
      <c r="AI184" s="141"/>
      <c r="AM184" s="141"/>
      <c r="AQ184" s="141"/>
      <c r="AT184" s="140"/>
      <c r="AU184" s="140"/>
    </row>
    <row r="185" spans="2:47" s="134" customFormat="1" x14ac:dyDescent="0.2">
      <c r="B185" s="145"/>
      <c r="D185" s="679"/>
      <c r="J185" s="140"/>
      <c r="K185" s="140"/>
      <c r="L185" s="140"/>
      <c r="M185" s="140"/>
      <c r="N185" s="140"/>
      <c r="O185" s="140"/>
      <c r="P185" s="140"/>
      <c r="Q185" s="140"/>
      <c r="R185" s="140"/>
      <c r="S185" s="140"/>
      <c r="T185" s="140"/>
      <c r="U185" s="140"/>
      <c r="V185" s="140"/>
      <c r="W185" s="140"/>
      <c r="X185" s="140"/>
      <c r="Y185" s="140"/>
      <c r="Z185" s="140"/>
      <c r="AA185" s="141"/>
      <c r="AE185" s="140"/>
      <c r="AI185" s="141"/>
      <c r="AM185" s="141"/>
      <c r="AQ185" s="141"/>
      <c r="AT185" s="140"/>
      <c r="AU185" s="140"/>
    </row>
    <row r="186" spans="2:47" s="134" customFormat="1" x14ac:dyDescent="0.2">
      <c r="B186" s="145"/>
      <c r="D186" s="679"/>
      <c r="J186" s="140"/>
      <c r="K186" s="140"/>
      <c r="L186" s="140"/>
      <c r="M186" s="140"/>
      <c r="N186" s="140"/>
      <c r="O186" s="140"/>
      <c r="P186" s="140"/>
      <c r="Q186" s="140"/>
      <c r="R186" s="140"/>
      <c r="S186" s="140"/>
      <c r="T186" s="140"/>
      <c r="U186" s="140"/>
      <c r="V186" s="140"/>
      <c r="W186" s="140"/>
      <c r="X186" s="140"/>
      <c r="Y186" s="140"/>
      <c r="Z186" s="140"/>
      <c r="AA186" s="141"/>
      <c r="AE186" s="140"/>
      <c r="AI186" s="141"/>
      <c r="AM186" s="141"/>
      <c r="AQ186" s="141"/>
      <c r="AT186" s="140"/>
      <c r="AU186" s="140"/>
    </row>
    <row r="187" spans="2:47" s="134" customFormat="1" x14ac:dyDescent="0.2">
      <c r="B187" s="145"/>
      <c r="D187" s="679"/>
      <c r="J187" s="140"/>
      <c r="K187" s="140"/>
      <c r="L187" s="140"/>
      <c r="M187" s="140"/>
      <c r="N187" s="140"/>
      <c r="O187" s="140"/>
      <c r="P187" s="140"/>
      <c r="Q187" s="140"/>
      <c r="R187" s="140"/>
      <c r="S187" s="140"/>
      <c r="T187" s="140"/>
      <c r="U187" s="140"/>
      <c r="V187" s="140"/>
      <c r="W187" s="140"/>
      <c r="X187" s="140"/>
      <c r="Y187" s="140"/>
      <c r="Z187" s="140"/>
      <c r="AA187" s="141"/>
      <c r="AE187" s="140"/>
      <c r="AI187" s="141"/>
      <c r="AM187" s="141"/>
      <c r="AQ187" s="141"/>
      <c r="AT187" s="140"/>
      <c r="AU187" s="140"/>
    </row>
    <row r="188" spans="2:47" s="134" customFormat="1" x14ac:dyDescent="0.2">
      <c r="B188" s="145"/>
      <c r="D188" s="679"/>
      <c r="J188" s="140"/>
      <c r="K188" s="140"/>
      <c r="L188" s="140"/>
      <c r="M188" s="140"/>
      <c r="N188" s="140"/>
      <c r="O188" s="140"/>
      <c r="P188" s="140"/>
      <c r="Q188" s="140"/>
      <c r="R188" s="140"/>
      <c r="S188" s="140"/>
      <c r="T188" s="140"/>
      <c r="U188" s="140"/>
      <c r="V188" s="140"/>
      <c r="W188" s="140"/>
      <c r="X188" s="140"/>
      <c r="Y188" s="140"/>
      <c r="Z188" s="140"/>
      <c r="AA188" s="141"/>
      <c r="AE188" s="140"/>
      <c r="AI188" s="141"/>
      <c r="AM188" s="141"/>
      <c r="AQ188" s="141"/>
      <c r="AT188" s="140"/>
      <c r="AU188" s="140"/>
    </row>
    <row r="189" spans="2:47" s="134" customFormat="1" x14ac:dyDescent="0.2">
      <c r="B189" s="145"/>
      <c r="D189" s="679"/>
      <c r="J189" s="140"/>
      <c r="K189" s="140"/>
      <c r="L189" s="140"/>
      <c r="M189" s="140"/>
      <c r="N189" s="140"/>
      <c r="O189" s="140"/>
      <c r="P189" s="140"/>
      <c r="Q189" s="140"/>
      <c r="R189" s="140"/>
      <c r="S189" s="140"/>
      <c r="T189" s="140"/>
      <c r="U189" s="140"/>
      <c r="V189" s="140"/>
      <c r="W189" s="140"/>
      <c r="X189" s="140"/>
      <c r="Y189" s="140"/>
      <c r="Z189" s="140"/>
      <c r="AA189" s="141"/>
      <c r="AE189" s="140"/>
      <c r="AI189" s="141"/>
      <c r="AM189" s="141"/>
      <c r="AQ189" s="141"/>
      <c r="AT189" s="140"/>
      <c r="AU189" s="140"/>
    </row>
    <row r="190" spans="2:47" s="134" customFormat="1" x14ac:dyDescent="0.2">
      <c r="B190" s="145"/>
      <c r="D190" s="679"/>
      <c r="J190" s="140"/>
      <c r="K190" s="140"/>
      <c r="L190" s="140"/>
      <c r="M190" s="140"/>
      <c r="N190" s="140"/>
      <c r="O190" s="140"/>
      <c r="P190" s="140"/>
      <c r="Q190" s="140"/>
      <c r="R190" s="140"/>
      <c r="S190" s="140"/>
      <c r="T190" s="140"/>
      <c r="U190" s="140"/>
      <c r="V190" s="140"/>
      <c r="W190" s="140"/>
      <c r="X190" s="140"/>
      <c r="Y190" s="140"/>
      <c r="Z190" s="140"/>
      <c r="AA190" s="141"/>
      <c r="AE190" s="140"/>
      <c r="AI190" s="141"/>
      <c r="AM190" s="141"/>
      <c r="AQ190" s="141"/>
      <c r="AT190" s="140"/>
      <c r="AU190" s="140"/>
    </row>
    <row r="191" spans="2:47" s="134" customFormat="1" x14ac:dyDescent="0.2">
      <c r="B191" s="145"/>
      <c r="D191" s="679"/>
      <c r="J191" s="140"/>
      <c r="K191" s="140"/>
      <c r="L191" s="140"/>
      <c r="M191" s="140"/>
      <c r="N191" s="140"/>
      <c r="O191" s="140"/>
      <c r="P191" s="140"/>
      <c r="Q191" s="140"/>
      <c r="R191" s="140"/>
      <c r="S191" s="140"/>
      <c r="T191" s="140"/>
      <c r="U191" s="140"/>
      <c r="V191" s="140"/>
      <c r="W191" s="140"/>
      <c r="X191" s="140"/>
      <c r="Y191" s="140"/>
      <c r="Z191" s="140"/>
      <c r="AA191" s="141"/>
      <c r="AE191" s="140"/>
      <c r="AI191" s="141"/>
      <c r="AM191" s="141"/>
      <c r="AQ191" s="141"/>
      <c r="AT191" s="140"/>
      <c r="AU191" s="140"/>
    </row>
    <row r="192" spans="2:47" s="134" customFormat="1" x14ac:dyDescent="0.2">
      <c r="B192" s="145"/>
      <c r="D192" s="679"/>
      <c r="J192" s="140"/>
      <c r="K192" s="140"/>
      <c r="L192" s="140"/>
      <c r="M192" s="140"/>
      <c r="N192" s="140"/>
      <c r="O192" s="140"/>
      <c r="P192" s="140"/>
      <c r="Q192" s="140"/>
      <c r="R192" s="140"/>
      <c r="S192" s="140"/>
      <c r="T192" s="140"/>
      <c r="U192" s="140"/>
      <c r="V192" s="140"/>
      <c r="W192" s="140"/>
      <c r="X192" s="140"/>
      <c r="Y192" s="140"/>
      <c r="Z192" s="140"/>
      <c r="AA192" s="141"/>
      <c r="AE192" s="140"/>
      <c r="AI192" s="141"/>
      <c r="AM192" s="141"/>
      <c r="AQ192" s="141"/>
      <c r="AT192" s="140"/>
      <c r="AU192" s="140"/>
    </row>
    <row r="193" spans="2:47" s="134" customFormat="1" x14ac:dyDescent="0.2">
      <c r="B193" s="145"/>
      <c r="D193" s="679"/>
      <c r="J193" s="140"/>
      <c r="K193" s="140"/>
      <c r="L193" s="140"/>
      <c r="M193" s="140"/>
      <c r="N193" s="140"/>
      <c r="O193" s="140"/>
      <c r="P193" s="140"/>
      <c r="Q193" s="140"/>
      <c r="R193" s="140"/>
      <c r="S193" s="140"/>
      <c r="T193" s="140"/>
      <c r="U193" s="140"/>
      <c r="V193" s="140"/>
      <c r="W193" s="140"/>
      <c r="X193" s="140"/>
      <c r="Y193" s="140"/>
      <c r="Z193" s="140"/>
      <c r="AA193" s="141"/>
      <c r="AE193" s="140"/>
      <c r="AI193" s="141"/>
      <c r="AM193" s="141"/>
      <c r="AQ193" s="141"/>
      <c r="AT193" s="140"/>
      <c r="AU193" s="140"/>
    </row>
    <row r="194" spans="2:47" s="134" customFormat="1" x14ac:dyDescent="0.2">
      <c r="B194" s="145"/>
      <c r="D194" s="679"/>
      <c r="J194" s="140"/>
      <c r="K194" s="140"/>
      <c r="L194" s="140"/>
      <c r="M194" s="140"/>
      <c r="N194" s="140"/>
      <c r="O194" s="140"/>
      <c r="P194" s="140"/>
      <c r="Q194" s="140"/>
      <c r="R194" s="140"/>
      <c r="S194" s="140"/>
      <c r="T194" s="140"/>
      <c r="U194" s="140"/>
      <c r="V194" s="140"/>
      <c r="W194" s="140"/>
      <c r="X194" s="140"/>
      <c r="Y194" s="140"/>
      <c r="Z194" s="140"/>
      <c r="AA194" s="141"/>
      <c r="AE194" s="140"/>
      <c r="AI194" s="141"/>
      <c r="AM194" s="141"/>
      <c r="AQ194" s="141"/>
      <c r="AT194" s="140"/>
      <c r="AU194" s="140"/>
    </row>
    <row r="195" spans="2:47" s="134" customFormat="1" x14ac:dyDescent="0.2">
      <c r="B195" s="145"/>
      <c r="D195" s="679"/>
      <c r="J195" s="140"/>
      <c r="K195" s="140"/>
      <c r="L195" s="140"/>
      <c r="M195" s="140"/>
      <c r="N195" s="140"/>
      <c r="O195" s="140"/>
      <c r="P195" s="140"/>
      <c r="Q195" s="140"/>
      <c r="R195" s="140"/>
      <c r="S195" s="140"/>
      <c r="T195" s="140"/>
      <c r="U195" s="140"/>
      <c r="V195" s="140"/>
      <c r="W195" s="140"/>
      <c r="X195" s="140"/>
      <c r="Y195" s="140"/>
      <c r="Z195" s="140"/>
      <c r="AA195" s="141"/>
      <c r="AE195" s="140"/>
      <c r="AI195" s="141"/>
      <c r="AM195" s="141"/>
      <c r="AQ195" s="141"/>
      <c r="AT195" s="140"/>
      <c r="AU195" s="140"/>
    </row>
    <row r="196" spans="2:47" s="134" customFormat="1" x14ac:dyDescent="0.2">
      <c r="B196" s="145"/>
      <c r="D196" s="679"/>
      <c r="J196" s="140"/>
      <c r="K196" s="140"/>
      <c r="L196" s="140"/>
      <c r="M196" s="140"/>
      <c r="N196" s="140"/>
      <c r="O196" s="140"/>
      <c r="P196" s="140"/>
      <c r="Q196" s="140"/>
      <c r="R196" s="140"/>
      <c r="S196" s="140"/>
      <c r="T196" s="140"/>
      <c r="U196" s="140"/>
      <c r="V196" s="140"/>
      <c r="W196" s="140"/>
      <c r="X196" s="140"/>
      <c r="Y196" s="140"/>
      <c r="Z196" s="140"/>
      <c r="AA196" s="141"/>
      <c r="AE196" s="140"/>
      <c r="AI196" s="141"/>
      <c r="AM196" s="141"/>
      <c r="AQ196" s="141"/>
      <c r="AT196" s="140"/>
      <c r="AU196" s="140"/>
    </row>
    <row r="197" spans="2:47" s="134" customFormat="1" x14ac:dyDescent="0.2">
      <c r="B197" s="145"/>
      <c r="D197" s="679"/>
      <c r="J197" s="140"/>
      <c r="K197" s="140"/>
      <c r="L197" s="140"/>
      <c r="M197" s="140"/>
      <c r="N197" s="140"/>
      <c r="O197" s="140"/>
      <c r="P197" s="140"/>
      <c r="Q197" s="140"/>
      <c r="R197" s="140"/>
      <c r="S197" s="140"/>
      <c r="T197" s="140"/>
      <c r="U197" s="140"/>
      <c r="V197" s="140"/>
      <c r="W197" s="140"/>
      <c r="X197" s="140"/>
      <c r="Y197" s="140"/>
      <c r="Z197" s="140"/>
      <c r="AA197" s="141"/>
      <c r="AE197" s="140"/>
      <c r="AI197" s="141"/>
      <c r="AM197" s="141"/>
      <c r="AQ197" s="141"/>
      <c r="AT197" s="140"/>
      <c r="AU197" s="140"/>
    </row>
    <row r="198" spans="2:47" s="134" customFormat="1" x14ac:dyDescent="0.2">
      <c r="B198" s="145"/>
      <c r="D198" s="679"/>
      <c r="J198" s="140"/>
      <c r="K198" s="140"/>
      <c r="L198" s="140"/>
      <c r="M198" s="140"/>
      <c r="N198" s="140"/>
      <c r="O198" s="140"/>
      <c r="P198" s="140"/>
      <c r="Q198" s="140"/>
      <c r="R198" s="140"/>
      <c r="S198" s="140"/>
      <c r="T198" s="140"/>
      <c r="U198" s="140"/>
      <c r="V198" s="140"/>
      <c r="W198" s="140"/>
      <c r="X198" s="140"/>
      <c r="Y198" s="140"/>
      <c r="Z198" s="140"/>
      <c r="AA198" s="141"/>
      <c r="AE198" s="140"/>
      <c r="AI198" s="141"/>
      <c r="AM198" s="141"/>
      <c r="AQ198" s="141"/>
      <c r="AT198" s="140"/>
      <c r="AU198" s="140"/>
    </row>
    <row r="199" spans="2:47" s="134" customFormat="1" x14ac:dyDescent="0.2">
      <c r="B199" s="145"/>
      <c r="D199" s="679"/>
      <c r="J199" s="140"/>
      <c r="K199" s="140"/>
      <c r="L199" s="140"/>
      <c r="M199" s="140"/>
      <c r="N199" s="140"/>
      <c r="O199" s="140"/>
      <c r="P199" s="140"/>
      <c r="Q199" s="140"/>
      <c r="R199" s="140"/>
      <c r="S199" s="140"/>
      <c r="T199" s="140"/>
      <c r="U199" s="140"/>
      <c r="V199" s="140"/>
      <c r="W199" s="140"/>
      <c r="X199" s="140"/>
      <c r="Y199" s="140"/>
      <c r="Z199" s="140"/>
      <c r="AA199" s="141"/>
      <c r="AE199" s="140"/>
      <c r="AI199" s="141"/>
      <c r="AM199" s="141"/>
      <c r="AQ199" s="141"/>
      <c r="AT199" s="140"/>
      <c r="AU199" s="140"/>
    </row>
    <row r="200" spans="2:47" s="134" customFormat="1" x14ac:dyDescent="0.2">
      <c r="B200" s="145"/>
      <c r="D200" s="679"/>
      <c r="J200" s="140"/>
      <c r="K200" s="140"/>
      <c r="L200" s="140"/>
      <c r="M200" s="140"/>
      <c r="N200" s="140"/>
      <c r="O200" s="140"/>
      <c r="P200" s="140"/>
      <c r="Q200" s="140"/>
      <c r="R200" s="140"/>
      <c r="S200" s="140"/>
      <c r="T200" s="140"/>
      <c r="U200" s="140"/>
      <c r="V200" s="140"/>
      <c r="W200" s="140"/>
      <c r="X200" s="140"/>
      <c r="Y200" s="140"/>
      <c r="Z200" s="140"/>
      <c r="AA200" s="141"/>
      <c r="AE200" s="140"/>
      <c r="AI200" s="141"/>
      <c r="AM200" s="141"/>
      <c r="AQ200" s="141"/>
      <c r="AT200" s="140"/>
      <c r="AU200" s="140"/>
    </row>
    <row r="201" spans="2:47" s="134" customFormat="1" x14ac:dyDescent="0.2">
      <c r="B201" s="145"/>
      <c r="D201" s="679"/>
      <c r="J201" s="140"/>
      <c r="K201" s="140"/>
      <c r="L201" s="140"/>
      <c r="M201" s="140"/>
      <c r="N201" s="140"/>
      <c r="O201" s="140"/>
      <c r="P201" s="140"/>
      <c r="Q201" s="140"/>
      <c r="R201" s="140"/>
      <c r="S201" s="140"/>
      <c r="T201" s="140"/>
      <c r="U201" s="140"/>
      <c r="V201" s="140"/>
      <c r="W201" s="140"/>
      <c r="X201" s="140"/>
      <c r="Y201" s="140"/>
      <c r="Z201" s="140"/>
      <c r="AA201" s="141"/>
      <c r="AE201" s="140"/>
      <c r="AI201" s="141"/>
      <c r="AM201" s="141"/>
      <c r="AQ201" s="141"/>
      <c r="AT201" s="140"/>
      <c r="AU201" s="140"/>
    </row>
    <row r="202" spans="2:47" s="134" customFormat="1" x14ac:dyDescent="0.2">
      <c r="B202" s="145"/>
      <c r="D202" s="679"/>
      <c r="J202" s="140"/>
      <c r="K202" s="140"/>
      <c r="L202" s="140"/>
      <c r="M202" s="140"/>
      <c r="N202" s="140"/>
      <c r="O202" s="140"/>
      <c r="P202" s="140"/>
      <c r="Q202" s="140"/>
      <c r="R202" s="140"/>
      <c r="S202" s="140"/>
      <c r="T202" s="140"/>
      <c r="U202" s="140"/>
      <c r="V202" s="140"/>
      <c r="W202" s="140"/>
      <c r="X202" s="140"/>
      <c r="Y202" s="140"/>
      <c r="Z202" s="140"/>
      <c r="AA202" s="141"/>
      <c r="AE202" s="140"/>
      <c r="AI202" s="141"/>
      <c r="AM202" s="141"/>
      <c r="AQ202" s="141"/>
      <c r="AT202" s="140"/>
      <c r="AU202" s="140"/>
    </row>
    <row r="203" spans="2:47" s="134" customFormat="1" x14ac:dyDescent="0.2">
      <c r="B203" s="145"/>
      <c r="D203" s="679"/>
      <c r="J203" s="140"/>
      <c r="K203" s="140"/>
      <c r="L203" s="140"/>
      <c r="M203" s="140"/>
      <c r="N203" s="140"/>
      <c r="O203" s="140"/>
      <c r="P203" s="140"/>
      <c r="Q203" s="140"/>
      <c r="R203" s="140"/>
      <c r="S203" s="140"/>
      <c r="T203" s="140"/>
      <c r="U203" s="140"/>
      <c r="V203" s="140"/>
      <c r="W203" s="140"/>
      <c r="X203" s="140"/>
      <c r="Y203" s="140"/>
      <c r="Z203" s="140"/>
      <c r="AA203" s="141"/>
      <c r="AE203" s="140"/>
      <c r="AI203" s="141"/>
      <c r="AM203" s="141"/>
      <c r="AQ203" s="141"/>
      <c r="AT203" s="140"/>
      <c r="AU203" s="140"/>
    </row>
    <row r="204" spans="2:47" s="134" customFormat="1" x14ac:dyDescent="0.2">
      <c r="B204" s="145"/>
      <c r="D204" s="679"/>
      <c r="J204" s="140"/>
      <c r="K204" s="140"/>
      <c r="L204" s="140"/>
      <c r="M204" s="140"/>
      <c r="N204" s="140"/>
      <c r="O204" s="140"/>
      <c r="P204" s="140"/>
      <c r="Q204" s="140"/>
      <c r="R204" s="140"/>
      <c r="S204" s="140"/>
      <c r="T204" s="140"/>
      <c r="U204" s="140"/>
      <c r="V204" s="140"/>
      <c r="W204" s="140"/>
      <c r="X204" s="140"/>
      <c r="Y204" s="140"/>
      <c r="Z204" s="140"/>
      <c r="AA204" s="141"/>
      <c r="AE204" s="140"/>
      <c r="AI204" s="141"/>
      <c r="AM204" s="141"/>
      <c r="AQ204" s="141"/>
      <c r="AT204" s="140"/>
      <c r="AU204" s="140"/>
    </row>
    <row r="205" spans="2:47" s="134" customFormat="1" x14ac:dyDescent="0.2">
      <c r="B205" s="145"/>
      <c r="D205" s="679"/>
      <c r="J205" s="140"/>
      <c r="K205" s="140"/>
      <c r="L205" s="140"/>
      <c r="M205" s="140"/>
      <c r="N205" s="140"/>
      <c r="O205" s="140"/>
      <c r="P205" s="140"/>
      <c r="Q205" s="140"/>
      <c r="R205" s="140"/>
      <c r="S205" s="140"/>
      <c r="T205" s="140"/>
      <c r="U205" s="140"/>
      <c r="V205" s="140"/>
      <c r="W205" s="140"/>
      <c r="X205" s="140"/>
      <c r="Y205" s="140"/>
      <c r="Z205" s="140"/>
      <c r="AA205" s="141"/>
      <c r="AE205" s="140"/>
      <c r="AI205" s="141"/>
      <c r="AM205" s="141"/>
      <c r="AQ205" s="141"/>
      <c r="AT205" s="140"/>
      <c r="AU205" s="140"/>
    </row>
    <row r="206" spans="2:47" s="134" customFormat="1" x14ac:dyDescent="0.2">
      <c r="B206" s="145"/>
      <c r="D206" s="679"/>
      <c r="J206" s="140"/>
      <c r="K206" s="140"/>
      <c r="L206" s="140"/>
      <c r="M206" s="140"/>
      <c r="N206" s="140"/>
      <c r="O206" s="140"/>
      <c r="P206" s="140"/>
      <c r="Q206" s="140"/>
      <c r="R206" s="140"/>
      <c r="S206" s="140"/>
      <c r="T206" s="140"/>
      <c r="U206" s="140"/>
      <c r="V206" s="140"/>
      <c r="W206" s="140"/>
      <c r="X206" s="140"/>
      <c r="Y206" s="140"/>
      <c r="Z206" s="140"/>
      <c r="AA206" s="141"/>
      <c r="AE206" s="140"/>
      <c r="AI206" s="141"/>
      <c r="AM206" s="141"/>
      <c r="AQ206" s="141"/>
      <c r="AT206" s="140"/>
      <c r="AU206" s="140"/>
    </row>
    <row r="207" spans="2:47" s="134" customFormat="1" x14ac:dyDescent="0.2">
      <c r="B207" s="145"/>
      <c r="D207" s="679"/>
      <c r="J207" s="140"/>
      <c r="K207" s="140"/>
      <c r="L207" s="140"/>
      <c r="M207" s="140"/>
      <c r="N207" s="140"/>
      <c r="O207" s="140"/>
      <c r="P207" s="140"/>
      <c r="Q207" s="140"/>
      <c r="R207" s="140"/>
      <c r="S207" s="140"/>
      <c r="T207" s="140"/>
      <c r="U207" s="140"/>
      <c r="V207" s="140"/>
      <c r="W207" s="140"/>
      <c r="X207" s="140"/>
      <c r="Y207" s="140"/>
      <c r="Z207" s="140"/>
      <c r="AA207" s="141"/>
      <c r="AE207" s="140"/>
      <c r="AI207" s="141"/>
      <c r="AM207" s="141"/>
      <c r="AQ207" s="141"/>
      <c r="AT207" s="140"/>
      <c r="AU207" s="140"/>
    </row>
    <row r="208" spans="2:47" s="134" customFormat="1" x14ac:dyDescent="0.2">
      <c r="B208" s="145"/>
      <c r="D208" s="679"/>
      <c r="J208" s="140"/>
      <c r="K208" s="140"/>
      <c r="L208" s="140"/>
      <c r="M208" s="140"/>
      <c r="N208" s="140"/>
      <c r="O208" s="140"/>
      <c r="P208" s="140"/>
      <c r="Q208" s="140"/>
      <c r="R208" s="140"/>
      <c r="S208" s="140"/>
      <c r="T208" s="140"/>
      <c r="U208" s="140"/>
      <c r="V208" s="140"/>
      <c r="W208" s="140"/>
      <c r="X208" s="140"/>
      <c r="Y208" s="140"/>
      <c r="Z208" s="140"/>
      <c r="AA208" s="141"/>
      <c r="AE208" s="140"/>
      <c r="AI208" s="141"/>
      <c r="AM208" s="141"/>
      <c r="AQ208" s="141"/>
      <c r="AT208" s="140"/>
      <c r="AU208" s="140"/>
    </row>
    <row r="209" spans="2:47" s="134" customFormat="1" x14ac:dyDescent="0.2">
      <c r="B209" s="145"/>
      <c r="D209" s="679"/>
      <c r="J209" s="140"/>
      <c r="K209" s="140"/>
      <c r="L209" s="140"/>
      <c r="M209" s="140"/>
      <c r="N209" s="140"/>
      <c r="O209" s="140"/>
      <c r="P209" s="140"/>
      <c r="Q209" s="140"/>
      <c r="R209" s="140"/>
      <c r="S209" s="140"/>
      <c r="T209" s="140"/>
      <c r="U209" s="140"/>
      <c r="V209" s="140"/>
      <c r="W209" s="140"/>
      <c r="X209" s="140"/>
      <c r="Y209" s="140"/>
      <c r="Z209" s="140"/>
      <c r="AA209" s="141"/>
      <c r="AE209" s="140"/>
      <c r="AI209" s="141"/>
      <c r="AM209" s="141"/>
      <c r="AQ209" s="141"/>
      <c r="AT209" s="140"/>
      <c r="AU209" s="140"/>
    </row>
    <row r="210" spans="2:47" s="134" customFormat="1" x14ac:dyDescent="0.2">
      <c r="B210" s="145"/>
      <c r="D210" s="679"/>
      <c r="J210" s="140"/>
      <c r="K210" s="140"/>
      <c r="L210" s="140"/>
      <c r="M210" s="140"/>
      <c r="N210" s="140"/>
      <c r="O210" s="140"/>
      <c r="P210" s="140"/>
      <c r="Q210" s="140"/>
      <c r="R210" s="140"/>
      <c r="S210" s="140"/>
      <c r="T210" s="140"/>
      <c r="U210" s="140"/>
      <c r="V210" s="140"/>
      <c r="W210" s="140"/>
      <c r="X210" s="140"/>
      <c r="Y210" s="140"/>
      <c r="Z210" s="140"/>
      <c r="AA210" s="141"/>
      <c r="AE210" s="140"/>
      <c r="AI210" s="141"/>
      <c r="AM210" s="141"/>
      <c r="AQ210" s="141"/>
      <c r="AT210" s="140"/>
      <c r="AU210" s="140"/>
    </row>
    <row r="211" spans="2:47" s="134" customFormat="1" x14ac:dyDescent="0.2">
      <c r="B211" s="145"/>
      <c r="D211" s="679"/>
      <c r="J211" s="140"/>
      <c r="K211" s="140"/>
      <c r="L211" s="140"/>
      <c r="M211" s="140"/>
      <c r="N211" s="140"/>
      <c r="O211" s="140"/>
      <c r="P211" s="140"/>
      <c r="Q211" s="140"/>
      <c r="R211" s="140"/>
      <c r="S211" s="140"/>
      <c r="T211" s="140"/>
      <c r="U211" s="140"/>
      <c r="V211" s="140"/>
      <c r="W211" s="140"/>
      <c r="X211" s="140"/>
      <c r="Y211" s="140"/>
      <c r="Z211" s="140"/>
      <c r="AA211" s="141"/>
      <c r="AE211" s="140"/>
      <c r="AI211" s="141"/>
      <c r="AM211" s="141"/>
      <c r="AQ211" s="141"/>
      <c r="AT211" s="140"/>
      <c r="AU211" s="140"/>
    </row>
    <row r="212" spans="2:47" s="134" customFormat="1" x14ac:dyDescent="0.2">
      <c r="B212" s="145"/>
      <c r="D212" s="679"/>
      <c r="J212" s="140"/>
      <c r="K212" s="140"/>
      <c r="L212" s="140"/>
      <c r="M212" s="140"/>
      <c r="N212" s="140"/>
      <c r="O212" s="140"/>
      <c r="P212" s="140"/>
      <c r="Q212" s="140"/>
      <c r="R212" s="140"/>
      <c r="S212" s="140"/>
      <c r="T212" s="140"/>
      <c r="U212" s="140"/>
      <c r="V212" s="140"/>
      <c r="W212" s="140"/>
      <c r="X212" s="140"/>
      <c r="Y212" s="140"/>
      <c r="Z212" s="140"/>
      <c r="AA212" s="141"/>
      <c r="AE212" s="140"/>
      <c r="AI212" s="141"/>
      <c r="AM212" s="141"/>
      <c r="AQ212" s="141"/>
      <c r="AT212" s="140"/>
      <c r="AU212" s="140"/>
    </row>
    <row r="213" spans="2:47" s="134" customFormat="1" x14ac:dyDescent="0.2">
      <c r="B213" s="145"/>
      <c r="D213" s="679"/>
      <c r="J213" s="140"/>
      <c r="K213" s="140"/>
      <c r="L213" s="140"/>
      <c r="M213" s="140"/>
      <c r="N213" s="140"/>
      <c r="O213" s="140"/>
      <c r="P213" s="140"/>
      <c r="Q213" s="140"/>
      <c r="R213" s="140"/>
      <c r="S213" s="140"/>
      <c r="T213" s="140"/>
      <c r="U213" s="140"/>
      <c r="V213" s="140"/>
      <c r="W213" s="140"/>
      <c r="X213" s="140"/>
      <c r="Y213" s="140"/>
      <c r="Z213" s="140"/>
      <c r="AA213" s="141"/>
      <c r="AE213" s="140"/>
      <c r="AI213" s="141"/>
      <c r="AM213" s="141"/>
      <c r="AQ213" s="141"/>
      <c r="AT213" s="140"/>
      <c r="AU213" s="140"/>
    </row>
    <row r="214" spans="2:47" s="134" customFormat="1" x14ac:dyDescent="0.2">
      <c r="B214" s="145"/>
      <c r="D214" s="679"/>
      <c r="J214" s="140"/>
      <c r="K214" s="140"/>
      <c r="L214" s="140"/>
      <c r="M214" s="140"/>
      <c r="N214" s="140"/>
      <c r="O214" s="140"/>
      <c r="P214" s="140"/>
      <c r="Q214" s="140"/>
      <c r="R214" s="140"/>
      <c r="S214" s="140"/>
      <c r="T214" s="140"/>
      <c r="U214" s="140"/>
      <c r="V214" s="140"/>
      <c r="W214" s="140"/>
      <c r="X214" s="140"/>
      <c r="Y214" s="140"/>
      <c r="Z214" s="140"/>
      <c r="AA214" s="141"/>
      <c r="AE214" s="140"/>
      <c r="AI214" s="141"/>
      <c r="AM214" s="141"/>
      <c r="AQ214" s="141"/>
      <c r="AT214" s="140"/>
      <c r="AU214" s="140"/>
    </row>
    <row r="215" spans="2:47" s="134" customFormat="1" x14ac:dyDescent="0.2">
      <c r="B215" s="145"/>
      <c r="D215" s="679"/>
      <c r="J215" s="140"/>
      <c r="K215" s="140"/>
      <c r="L215" s="140"/>
      <c r="M215" s="140"/>
      <c r="N215" s="140"/>
      <c r="O215" s="140"/>
      <c r="P215" s="140"/>
      <c r="Q215" s="140"/>
      <c r="R215" s="140"/>
      <c r="S215" s="140"/>
      <c r="T215" s="140"/>
      <c r="U215" s="140"/>
      <c r="V215" s="140"/>
      <c r="W215" s="140"/>
      <c r="X215" s="140"/>
      <c r="Y215" s="140"/>
      <c r="Z215" s="140"/>
      <c r="AA215" s="141"/>
      <c r="AE215" s="140"/>
      <c r="AI215" s="141"/>
      <c r="AM215" s="141"/>
      <c r="AQ215" s="141"/>
      <c r="AT215" s="140"/>
      <c r="AU215" s="140"/>
    </row>
    <row r="216" spans="2:47" s="134" customFormat="1" x14ac:dyDescent="0.2">
      <c r="B216" s="145"/>
      <c r="D216" s="679"/>
      <c r="J216" s="140"/>
      <c r="K216" s="140"/>
      <c r="L216" s="140"/>
      <c r="M216" s="140"/>
      <c r="N216" s="140"/>
      <c r="O216" s="140"/>
      <c r="P216" s="140"/>
      <c r="Q216" s="140"/>
      <c r="R216" s="140"/>
      <c r="S216" s="140"/>
      <c r="T216" s="140"/>
      <c r="U216" s="140"/>
      <c r="V216" s="140"/>
      <c r="W216" s="140"/>
      <c r="X216" s="140"/>
      <c r="Y216" s="140"/>
      <c r="Z216" s="140"/>
      <c r="AA216" s="141"/>
      <c r="AE216" s="140"/>
      <c r="AI216" s="141"/>
      <c r="AM216" s="141"/>
      <c r="AQ216" s="141"/>
      <c r="AT216" s="140"/>
      <c r="AU216" s="140"/>
    </row>
    <row r="217" spans="2:47" s="134" customFormat="1" x14ac:dyDescent="0.2">
      <c r="B217" s="145"/>
      <c r="D217" s="679"/>
      <c r="J217" s="140"/>
      <c r="K217" s="140"/>
      <c r="L217" s="140"/>
      <c r="M217" s="140"/>
      <c r="N217" s="140"/>
      <c r="O217" s="140"/>
      <c r="P217" s="140"/>
      <c r="Q217" s="140"/>
      <c r="R217" s="140"/>
      <c r="S217" s="140"/>
      <c r="T217" s="140"/>
      <c r="U217" s="140"/>
      <c r="V217" s="140"/>
      <c r="W217" s="140"/>
      <c r="X217" s="140"/>
      <c r="Y217" s="140"/>
      <c r="Z217" s="140"/>
      <c r="AA217" s="141"/>
      <c r="AE217" s="140"/>
      <c r="AI217" s="141"/>
      <c r="AM217" s="141"/>
      <c r="AQ217" s="141"/>
      <c r="AT217" s="140"/>
      <c r="AU217" s="140"/>
    </row>
    <row r="218" spans="2:47" s="134" customFormat="1" x14ac:dyDescent="0.2">
      <c r="B218" s="145"/>
      <c r="D218" s="679"/>
      <c r="J218" s="140"/>
      <c r="K218" s="140"/>
      <c r="L218" s="140"/>
      <c r="M218" s="140"/>
      <c r="N218" s="140"/>
      <c r="O218" s="140"/>
      <c r="P218" s="140"/>
      <c r="Q218" s="140"/>
      <c r="R218" s="140"/>
      <c r="S218" s="140"/>
      <c r="T218" s="140"/>
      <c r="U218" s="140"/>
      <c r="V218" s="140"/>
      <c r="W218" s="140"/>
      <c r="X218" s="140"/>
      <c r="Y218" s="140"/>
      <c r="Z218" s="140"/>
      <c r="AA218" s="141"/>
      <c r="AE218" s="140"/>
      <c r="AI218" s="141"/>
      <c r="AM218" s="141"/>
      <c r="AQ218" s="141"/>
      <c r="AT218" s="140"/>
      <c r="AU218" s="140"/>
    </row>
    <row r="219" spans="2:47" s="134" customFormat="1" x14ac:dyDescent="0.2">
      <c r="B219" s="145"/>
      <c r="D219" s="679"/>
      <c r="J219" s="140"/>
      <c r="K219" s="140"/>
      <c r="L219" s="140"/>
      <c r="M219" s="140"/>
      <c r="N219" s="140"/>
      <c r="O219" s="140"/>
      <c r="P219" s="140"/>
      <c r="Q219" s="140"/>
      <c r="R219" s="140"/>
      <c r="S219" s="140"/>
      <c r="T219" s="140"/>
      <c r="U219" s="140"/>
      <c r="V219" s="140"/>
      <c r="W219" s="140"/>
      <c r="X219" s="140"/>
      <c r="Y219" s="140"/>
      <c r="Z219" s="140"/>
      <c r="AA219" s="141"/>
      <c r="AE219" s="140"/>
      <c r="AI219" s="141"/>
      <c r="AM219" s="141"/>
      <c r="AQ219" s="141"/>
      <c r="AT219" s="140"/>
      <c r="AU219" s="140"/>
    </row>
    <row r="220" spans="2:47" s="134" customFormat="1" x14ac:dyDescent="0.2">
      <c r="B220" s="145"/>
      <c r="D220" s="679"/>
      <c r="J220" s="140"/>
      <c r="K220" s="140"/>
      <c r="L220" s="140"/>
      <c r="M220" s="140"/>
      <c r="N220" s="140"/>
      <c r="O220" s="140"/>
      <c r="P220" s="140"/>
      <c r="Q220" s="140"/>
      <c r="R220" s="140"/>
      <c r="S220" s="140"/>
      <c r="T220" s="140"/>
      <c r="U220" s="140"/>
      <c r="V220" s="140"/>
      <c r="W220" s="140"/>
      <c r="X220" s="140"/>
      <c r="Y220" s="140"/>
      <c r="Z220" s="140"/>
      <c r="AA220" s="141"/>
      <c r="AE220" s="140"/>
      <c r="AI220" s="141"/>
      <c r="AM220" s="141"/>
      <c r="AQ220" s="141"/>
      <c r="AT220" s="140"/>
      <c r="AU220" s="140"/>
    </row>
    <row r="221" spans="2:47" s="134" customFormat="1" x14ac:dyDescent="0.2">
      <c r="B221" s="145"/>
      <c r="D221" s="679"/>
      <c r="J221" s="140"/>
      <c r="K221" s="140"/>
      <c r="L221" s="140"/>
      <c r="M221" s="140"/>
      <c r="N221" s="140"/>
      <c r="O221" s="140"/>
      <c r="P221" s="140"/>
      <c r="Q221" s="140"/>
      <c r="R221" s="140"/>
      <c r="S221" s="140"/>
      <c r="T221" s="140"/>
      <c r="U221" s="140"/>
      <c r="V221" s="140"/>
      <c r="W221" s="140"/>
      <c r="X221" s="140"/>
      <c r="Y221" s="140"/>
      <c r="Z221" s="140"/>
      <c r="AA221" s="141"/>
      <c r="AE221" s="140"/>
      <c r="AI221" s="141"/>
      <c r="AM221" s="141"/>
      <c r="AQ221" s="141"/>
      <c r="AT221" s="140"/>
      <c r="AU221" s="140"/>
    </row>
    <row r="222" spans="2:47" s="134" customFormat="1" x14ac:dyDescent="0.2">
      <c r="B222" s="145"/>
      <c r="D222" s="679"/>
      <c r="J222" s="140"/>
      <c r="K222" s="140"/>
      <c r="L222" s="140"/>
      <c r="M222" s="140"/>
      <c r="N222" s="140"/>
      <c r="O222" s="140"/>
      <c r="P222" s="140"/>
      <c r="Q222" s="140"/>
      <c r="R222" s="140"/>
      <c r="S222" s="140"/>
      <c r="T222" s="140"/>
      <c r="U222" s="140"/>
      <c r="V222" s="140"/>
      <c r="W222" s="140"/>
      <c r="X222" s="140"/>
      <c r="Y222" s="140"/>
      <c r="Z222" s="140"/>
      <c r="AA222" s="141"/>
      <c r="AE222" s="140"/>
      <c r="AI222" s="141"/>
      <c r="AM222" s="141"/>
      <c r="AQ222" s="141"/>
      <c r="AT222" s="140"/>
      <c r="AU222" s="140"/>
    </row>
    <row r="223" spans="2:47" s="134" customFormat="1" x14ac:dyDescent="0.2">
      <c r="B223" s="145"/>
      <c r="D223" s="679"/>
      <c r="J223" s="140"/>
      <c r="K223" s="140"/>
      <c r="L223" s="140"/>
      <c r="M223" s="140"/>
      <c r="N223" s="140"/>
      <c r="O223" s="140"/>
      <c r="P223" s="140"/>
      <c r="Q223" s="140"/>
      <c r="R223" s="140"/>
      <c r="S223" s="140"/>
      <c r="T223" s="140"/>
      <c r="U223" s="140"/>
      <c r="V223" s="140"/>
      <c r="W223" s="140"/>
      <c r="X223" s="140"/>
      <c r="Y223" s="140"/>
      <c r="Z223" s="140"/>
      <c r="AA223" s="141"/>
      <c r="AE223" s="140"/>
      <c r="AI223" s="141"/>
      <c r="AM223" s="141"/>
      <c r="AQ223" s="141"/>
      <c r="AT223" s="140"/>
      <c r="AU223" s="140"/>
    </row>
    <row r="224" spans="2:47" s="134" customFormat="1" x14ac:dyDescent="0.2">
      <c r="B224" s="145"/>
      <c r="D224" s="679"/>
      <c r="J224" s="140"/>
      <c r="K224" s="140"/>
      <c r="L224" s="140"/>
      <c r="M224" s="140"/>
      <c r="N224" s="140"/>
      <c r="O224" s="140"/>
      <c r="P224" s="140"/>
      <c r="Q224" s="140"/>
      <c r="R224" s="140"/>
      <c r="S224" s="140"/>
      <c r="T224" s="140"/>
      <c r="U224" s="140"/>
      <c r="V224" s="140"/>
      <c r="W224" s="140"/>
      <c r="X224" s="140"/>
      <c r="Y224" s="140"/>
      <c r="Z224" s="140"/>
      <c r="AA224" s="141"/>
      <c r="AE224" s="140"/>
      <c r="AI224" s="141"/>
      <c r="AM224" s="141"/>
      <c r="AQ224" s="141"/>
      <c r="AT224" s="140"/>
      <c r="AU224" s="140"/>
    </row>
    <row r="225" spans="2:47" s="134" customFormat="1" x14ac:dyDescent="0.2">
      <c r="B225" s="145"/>
      <c r="D225" s="679"/>
      <c r="J225" s="140"/>
      <c r="K225" s="140"/>
      <c r="L225" s="140"/>
      <c r="M225" s="140"/>
      <c r="N225" s="140"/>
      <c r="O225" s="140"/>
      <c r="P225" s="140"/>
      <c r="Q225" s="140"/>
      <c r="R225" s="140"/>
      <c r="S225" s="140"/>
      <c r="T225" s="140"/>
      <c r="U225" s="140"/>
      <c r="V225" s="140"/>
      <c r="W225" s="140"/>
      <c r="X225" s="140"/>
      <c r="Y225" s="140"/>
      <c r="Z225" s="140"/>
      <c r="AA225" s="141"/>
      <c r="AE225" s="140"/>
      <c r="AI225" s="141"/>
      <c r="AM225" s="141"/>
      <c r="AQ225" s="141"/>
      <c r="AT225" s="140"/>
      <c r="AU225" s="140"/>
    </row>
    <row r="226" spans="2:47" s="134" customFormat="1" x14ac:dyDescent="0.2">
      <c r="B226" s="145"/>
      <c r="D226" s="679"/>
      <c r="J226" s="140"/>
      <c r="K226" s="140"/>
      <c r="L226" s="140"/>
      <c r="M226" s="140"/>
      <c r="N226" s="140"/>
      <c r="O226" s="140"/>
      <c r="P226" s="140"/>
      <c r="Q226" s="140"/>
      <c r="R226" s="140"/>
      <c r="S226" s="140"/>
      <c r="T226" s="140"/>
      <c r="U226" s="140"/>
      <c r="V226" s="140"/>
      <c r="W226" s="140"/>
      <c r="X226" s="140"/>
      <c r="Y226" s="140"/>
      <c r="Z226" s="140"/>
      <c r="AA226" s="141"/>
      <c r="AE226" s="140"/>
      <c r="AI226" s="141"/>
      <c r="AM226" s="141"/>
      <c r="AQ226" s="141"/>
      <c r="AT226" s="140"/>
      <c r="AU226" s="140"/>
    </row>
    <row r="227" spans="2:47" s="134" customFormat="1" x14ac:dyDescent="0.2">
      <c r="B227" s="145"/>
      <c r="D227" s="679"/>
      <c r="J227" s="140"/>
      <c r="K227" s="140"/>
      <c r="L227" s="140"/>
      <c r="M227" s="140"/>
      <c r="N227" s="140"/>
      <c r="O227" s="140"/>
      <c r="P227" s="140"/>
      <c r="Q227" s="140"/>
      <c r="R227" s="140"/>
      <c r="S227" s="140"/>
      <c r="T227" s="140"/>
      <c r="U227" s="140"/>
      <c r="V227" s="140"/>
      <c r="W227" s="140"/>
      <c r="X227" s="140"/>
      <c r="Y227" s="140"/>
      <c r="Z227" s="140"/>
      <c r="AA227" s="141"/>
      <c r="AE227" s="140"/>
      <c r="AI227" s="141"/>
      <c r="AM227" s="141"/>
      <c r="AQ227" s="141"/>
      <c r="AT227" s="140"/>
      <c r="AU227" s="140"/>
    </row>
    <row r="228" spans="2:47" s="134" customFormat="1" x14ac:dyDescent="0.2">
      <c r="B228" s="145"/>
      <c r="D228" s="679"/>
      <c r="J228" s="140"/>
      <c r="K228" s="140"/>
      <c r="L228" s="140"/>
      <c r="M228" s="140"/>
      <c r="N228" s="140"/>
      <c r="O228" s="140"/>
      <c r="P228" s="140"/>
      <c r="Q228" s="140"/>
      <c r="R228" s="140"/>
      <c r="S228" s="140"/>
      <c r="T228" s="140"/>
      <c r="U228" s="140"/>
      <c r="V228" s="140"/>
      <c r="W228" s="140"/>
      <c r="X228" s="140"/>
      <c r="Y228" s="140"/>
      <c r="Z228" s="140"/>
      <c r="AA228" s="141"/>
      <c r="AE228" s="140"/>
      <c r="AI228" s="141"/>
      <c r="AM228" s="141"/>
      <c r="AQ228" s="141"/>
      <c r="AT228" s="140"/>
      <c r="AU228" s="140"/>
    </row>
    <row r="229" spans="2:47" s="134" customFormat="1" x14ac:dyDescent="0.2">
      <c r="B229" s="145"/>
      <c r="D229" s="679"/>
      <c r="J229" s="140"/>
      <c r="K229" s="140"/>
      <c r="L229" s="140"/>
      <c r="M229" s="140"/>
      <c r="N229" s="140"/>
      <c r="O229" s="140"/>
      <c r="P229" s="140"/>
      <c r="Q229" s="140"/>
      <c r="R229" s="140"/>
      <c r="S229" s="140"/>
      <c r="T229" s="140"/>
      <c r="U229" s="140"/>
      <c r="V229" s="140"/>
      <c r="W229" s="140"/>
      <c r="X229" s="140"/>
      <c r="Y229" s="140"/>
      <c r="Z229" s="140"/>
      <c r="AA229" s="141"/>
      <c r="AE229" s="140"/>
      <c r="AI229" s="141"/>
      <c r="AM229" s="141"/>
      <c r="AQ229" s="141"/>
      <c r="AT229" s="140"/>
      <c r="AU229" s="140"/>
    </row>
    <row r="230" spans="2:47" s="134" customFormat="1" x14ac:dyDescent="0.2">
      <c r="B230" s="145"/>
      <c r="D230" s="679"/>
      <c r="J230" s="140"/>
      <c r="K230" s="140"/>
      <c r="L230" s="140"/>
      <c r="M230" s="140"/>
      <c r="N230" s="140"/>
      <c r="O230" s="140"/>
      <c r="P230" s="140"/>
      <c r="Q230" s="140"/>
      <c r="R230" s="140"/>
      <c r="S230" s="140"/>
      <c r="T230" s="140"/>
      <c r="U230" s="140"/>
      <c r="V230" s="140"/>
      <c r="W230" s="140"/>
      <c r="X230" s="140"/>
      <c r="Y230" s="140"/>
      <c r="Z230" s="140"/>
      <c r="AA230" s="141"/>
      <c r="AE230" s="140"/>
      <c r="AI230" s="141"/>
      <c r="AM230" s="141"/>
      <c r="AQ230" s="141"/>
      <c r="AT230" s="140"/>
      <c r="AU230" s="140"/>
    </row>
    <row r="231" spans="2:47" s="134" customFormat="1" x14ac:dyDescent="0.2">
      <c r="B231" s="145"/>
      <c r="D231" s="679"/>
      <c r="J231" s="140"/>
      <c r="K231" s="140"/>
      <c r="L231" s="140"/>
      <c r="M231" s="140"/>
      <c r="N231" s="140"/>
      <c r="O231" s="140"/>
      <c r="P231" s="140"/>
      <c r="Q231" s="140"/>
      <c r="R231" s="140"/>
      <c r="S231" s="140"/>
      <c r="T231" s="140"/>
      <c r="U231" s="140"/>
      <c r="V231" s="140"/>
      <c r="W231" s="140"/>
      <c r="X231" s="140"/>
      <c r="Y231" s="140"/>
      <c r="Z231" s="140"/>
      <c r="AA231" s="141"/>
      <c r="AE231" s="140"/>
      <c r="AI231" s="141"/>
      <c r="AM231" s="141"/>
      <c r="AQ231" s="141"/>
      <c r="AT231" s="140"/>
      <c r="AU231" s="140"/>
    </row>
    <row r="232" spans="2:47" s="134" customFormat="1" x14ac:dyDescent="0.2">
      <c r="B232" s="145"/>
      <c r="D232" s="679"/>
      <c r="J232" s="140"/>
      <c r="K232" s="140"/>
      <c r="L232" s="140"/>
      <c r="M232" s="140"/>
      <c r="N232" s="140"/>
      <c r="O232" s="140"/>
      <c r="P232" s="140"/>
      <c r="Q232" s="140"/>
      <c r="R232" s="140"/>
      <c r="S232" s="140"/>
      <c r="T232" s="140"/>
      <c r="U232" s="140"/>
      <c r="V232" s="140"/>
      <c r="W232" s="140"/>
      <c r="X232" s="140"/>
      <c r="Y232" s="140"/>
      <c r="Z232" s="140"/>
      <c r="AA232" s="141"/>
      <c r="AE232" s="140"/>
      <c r="AI232" s="141"/>
      <c r="AM232" s="141"/>
      <c r="AQ232" s="141"/>
      <c r="AT232" s="140"/>
      <c r="AU232" s="140"/>
    </row>
    <row r="233" spans="2:47" s="134" customFormat="1" x14ac:dyDescent="0.2">
      <c r="B233" s="145"/>
      <c r="D233" s="679"/>
      <c r="J233" s="140"/>
      <c r="K233" s="140"/>
      <c r="L233" s="140"/>
      <c r="M233" s="140"/>
      <c r="N233" s="140"/>
      <c r="O233" s="140"/>
      <c r="P233" s="140"/>
      <c r="Q233" s="140"/>
      <c r="R233" s="140"/>
      <c r="S233" s="140"/>
      <c r="T233" s="140"/>
      <c r="U233" s="140"/>
      <c r="V233" s="140"/>
      <c r="W233" s="140"/>
      <c r="X233" s="140"/>
      <c r="Y233" s="140"/>
      <c r="Z233" s="140"/>
      <c r="AA233" s="141"/>
      <c r="AE233" s="140"/>
      <c r="AI233" s="141"/>
      <c r="AM233" s="141"/>
      <c r="AQ233" s="141"/>
      <c r="AT233" s="140"/>
      <c r="AU233" s="140"/>
    </row>
    <row r="234" spans="2:47" s="134" customFormat="1" x14ac:dyDescent="0.2">
      <c r="B234" s="145"/>
      <c r="D234" s="679"/>
      <c r="J234" s="140"/>
      <c r="K234" s="140"/>
      <c r="L234" s="140"/>
      <c r="M234" s="140"/>
      <c r="N234" s="140"/>
      <c r="O234" s="140"/>
      <c r="P234" s="140"/>
      <c r="Q234" s="140"/>
      <c r="R234" s="140"/>
      <c r="S234" s="140"/>
      <c r="T234" s="140"/>
      <c r="U234" s="140"/>
      <c r="V234" s="140"/>
      <c r="W234" s="140"/>
      <c r="X234" s="140"/>
      <c r="Y234" s="140"/>
      <c r="Z234" s="140"/>
      <c r="AA234" s="141"/>
      <c r="AE234" s="140"/>
      <c r="AI234" s="141"/>
      <c r="AM234" s="141"/>
      <c r="AQ234" s="141"/>
      <c r="AT234" s="140"/>
      <c r="AU234" s="140"/>
    </row>
    <row r="235" spans="2:47" s="134" customFormat="1" x14ac:dyDescent="0.2">
      <c r="B235" s="145"/>
      <c r="D235" s="679"/>
      <c r="J235" s="140"/>
      <c r="K235" s="140"/>
      <c r="L235" s="140"/>
      <c r="M235" s="140"/>
      <c r="N235" s="140"/>
      <c r="O235" s="140"/>
      <c r="P235" s="140"/>
      <c r="Q235" s="140"/>
      <c r="R235" s="140"/>
      <c r="S235" s="140"/>
      <c r="T235" s="140"/>
      <c r="U235" s="140"/>
      <c r="V235" s="140"/>
      <c r="W235" s="140"/>
      <c r="X235" s="140"/>
      <c r="Y235" s="140"/>
      <c r="Z235" s="140"/>
      <c r="AA235" s="141"/>
      <c r="AE235" s="140"/>
      <c r="AI235" s="141"/>
      <c r="AM235" s="141"/>
      <c r="AQ235" s="141"/>
      <c r="AT235" s="140"/>
      <c r="AU235" s="140"/>
    </row>
    <row r="236" spans="2:47" s="134" customFormat="1" x14ac:dyDescent="0.2">
      <c r="B236" s="145"/>
      <c r="D236" s="679"/>
      <c r="J236" s="140"/>
      <c r="K236" s="140"/>
      <c r="L236" s="140"/>
      <c r="M236" s="140"/>
      <c r="N236" s="140"/>
      <c r="O236" s="140"/>
      <c r="P236" s="140"/>
      <c r="Q236" s="140"/>
      <c r="R236" s="140"/>
      <c r="S236" s="140"/>
      <c r="T236" s="140"/>
      <c r="U236" s="140"/>
      <c r="V236" s="140"/>
      <c r="W236" s="140"/>
      <c r="X236" s="140"/>
      <c r="Y236" s="140"/>
      <c r="Z236" s="140"/>
      <c r="AA236" s="141"/>
      <c r="AE236" s="140"/>
      <c r="AI236" s="141"/>
      <c r="AM236" s="141"/>
      <c r="AQ236" s="141"/>
      <c r="AT236" s="140"/>
      <c r="AU236" s="140"/>
    </row>
    <row r="237" spans="2:47" s="134" customFormat="1" x14ac:dyDescent="0.2">
      <c r="B237" s="145"/>
      <c r="D237" s="679"/>
      <c r="J237" s="140"/>
      <c r="K237" s="140"/>
      <c r="L237" s="140"/>
      <c r="M237" s="140"/>
      <c r="N237" s="140"/>
      <c r="O237" s="140"/>
      <c r="P237" s="140"/>
      <c r="Q237" s="140"/>
      <c r="R237" s="140"/>
      <c r="S237" s="140"/>
      <c r="T237" s="140"/>
      <c r="U237" s="140"/>
      <c r="V237" s="140"/>
      <c r="W237" s="140"/>
      <c r="X237" s="140"/>
      <c r="Y237" s="140"/>
      <c r="Z237" s="140"/>
      <c r="AA237" s="141"/>
      <c r="AE237" s="140"/>
      <c r="AI237" s="141"/>
      <c r="AM237" s="141"/>
      <c r="AQ237" s="141"/>
      <c r="AT237" s="140"/>
      <c r="AU237" s="140"/>
    </row>
    <row r="238" spans="2:47" s="134" customFormat="1" x14ac:dyDescent="0.2">
      <c r="B238" s="145"/>
      <c r="D238" s="679"/>
      <c r="J238" s="140"/>
      <c r="K238" s="140"/>
      <c r="L238" s="140"/>
      <c r="M238" s="140"/>
      <c r="N238" s="140"/>
      <c r="O238" s="140"/>
      <c r="P238" s="140"/>
      <c r="Q238" s="140"/>
      <c r="R238" s="140"/>
      <c r="S238" s="140"/>
      <c r="T238" s="140"/>
      <c r="U238" s="140"/>
      <c r="V238" s="140"/>
      <c r="W238" s="140"/>
      <c r="X238" s="140"/>
      <c r="Y238" s="140"/>
      <c r="Z238" s="140"/>
      <c r="AA238" s="141"/>
      <c r="AE238" s="140"/>
      <c r="AI238" s="141"/>
      <c r="AM238" s="141"/>
      <c r="AQ238" s="141"/>
      <c r="AT238" s="140"/>
      <c r="AU238" s="140"/>
    </row>
    <row r="239" spans="2:47" s="134" customFormat="1" x14ac:dyDescent="0.2">
      <c r="B239" s="145"/>
      <c r="D239" s="679"/>
      <c r="J239" s="140"/>
      <c r="K239" s="140"/>
      <c r="L239" s="140"/>
      <c r="M239" s="140"/>
      <c r="N239" s="140"/>
      <c r="O239" s="140"/>
      <c r="P239" s="140"/>
      <c r="Q239" s="140"/>
      <c r="R239" s="140"/>
      <c r="S239" s="140"/>
      <c r="T239" s="140"/>
      <c r="U239" s="140"/>
      <c r="V239" s="140"/>
      <c r="W239" s="140"/>
      <c r="X239" s="140"/>
      <c r="Y239" s="140"/>
      <c r="Z239" s="140"/>
      <c r="AA239" s="141"/>
      <c r="AE239" s="140"/>
      <c r="AI239" s="141"/>
      <c r="AM239" s="141"/>
      <c r="AQ239" s="141"/>
      <c r="AT239" s="140"/>
      <c r="AU239" s="140"/>
    </row>
    <row r="240" spans="2:47" s="134" customFormat="1" x14ac:dyDescent="0.2">
      <c r="B240" s="145"/>
      <c r="D240" s="679"/>
      <c r="J240" s="140"/>
      <c r="K240" s="140"/>
      <c r="L240" s="140"/>
      <c r="M240" s="140"/>
      <c r="N240" s="140"/>
      <c r="O240" s="140"/>
      <c r="P240" s="140"/>
      <c r="Q240" s="140"/>
      <c r="R240" s="140"/>
      <c r="S240" s="140"/>
      <c r="T240" s="140"/>
      <c r="U240" s="140"/>
      <c r="V240" s="140"/>
      <c r="W240" s="140"/>
      <c r="X240" s="140"/>
      <c r="Y240" s="140"/>
      <c r="Z240" s="140"/>
      <c r="AA240" s="141"/>
      <c r="AE240" s="140"/>
      <c r="AI240" s="141"/>
      <c r="AM240" s="141"/>
      <c r="AQ240" s="141"/>
      <c r="AT240" s="140"/>
      <c r="AU240" s="140"/>
    </row>
    <row r="241" spans="2:47" s="134" customFormat="1" x14ac:dyDescent="0.2">
      <c r="B241" s="145"/>
      <c r="D241" s="679"/>
      <c r="J241" s="140"/>
      <c r="K241" s="140"/>
      <c r="L241" s="140"/>
      <c r="M241" s="140"/>
      <c r="N241" s="140"/>
      <c r="O241" s="140"/>
      <c r="P241" s="140"/>
      <c r="Q241" s="140"/>
      <c r="R241" s="140"/>
      <c r="S241" s="140"/>
      <c r="T241" s="140"/>
      <c r="U241" s="140"/>
      <c r="V241" s="140"/>
      <c r="W241" s="140"/>
      <c r="X241" s="140"/>
      <c r="Y241" s="140"/>
      <c r="Z241" s="140"/>
      <c r="AA241" s="141"/>
      <c r="AE241" s="140"/>
      <c r="AI241" s="141"/>
      <c r="AM241" s="141"/>
      <c r="AQ241" s="141"/>
      <c r="AT241" s="140"/>
      <c r="AU241" s="140"/>
    </row>
    <row r="242" spans="2:47" s="134" customFormat="1" x14ac:dyDescent="0.2">
      <c r="B242" s="145"/>
      <c r="D242" s="679"/>
      <c r="J242" s="140"/>
      <c r="K242" s="140"/>
      <c r="L242" s="140"/>
      <c r="M242" s="140"/>
      <c r="N242" s="140"/>
      <c r="O242" s="140"/>
      <c r="P242" s="140"/>
      <c r="Q242" s="140"/>
      <c r="R242" s="140"/>
      <c r="S242" s="140"/>
      <c r="T242" s="140"/>
      <c r="U242" s="140"/>
      <c r="V242" s="140"/>
      <c r="W242" s="140"/>
      <c r="X242" s="140"/>
      <c r="Y242" s="140"/>
      <c r="Z242" s="140"/>
      <c r="AA242" s="141"/>
      <c r="AE242" s="140"/>
      <c r="AI242" s="141"/>
      <c r="AM242" s="141"/>
      <c r="AQ242" s="141"/>
      <c r="AT242" s="140"/>
      <c r="AU242" s="140"/>
    </row>
    <row r="243" spans="2:47" s="134" customFormat="1" x14ac:dyDescent="0.2">
      <c r="B243" s="145"/>
      <c r="D243" s="679"/>
      <c r="J243" s="140"/>
      <c r="K243" s="140"/>
      <c r="L243" s="140"/>
      <c r="M243" s="140"/>
      <c r="N243" s="140"/>
      <c r="O243" s="140"/>
      <c r="P243" s="140"/>
      <c r="Q243" s="140"/>
      <c r="R243" s="140"/>
      <c r="S243" s="140"/>
      <c r="T243" s="140"/>
      <c r="U243" s="140"/>
      <c r="V243" s="140"/>
      <c r="W243" s="140"/>
      <c r="X243" s="140"/>
      <c r="Y243" s="140"/>
      <c r="Z243" s="140"/>
      <c r="AA243" s="141"/>
      <c r="AE243" s="140"/>
      <c r="AI243" s="141"/>
      <c r="AM243" s="141"/>
      <c r="AQ243" s="141"/>
      <c r="AT243" s="140"/>
      <c r="AU243" s="140"/>
    </row>
    <row r="244" spans="2:47" s="134" customFormat="1" x14ac:dyDescent="0.2">
      <c r="B244" s="145"/>
      <c r="D244" s="679"/>
      <c r="J244" s="140"/>
      <c r="K244" s="140"/>
      <c r="L244" s="140"/>
      <c r="M244" s="140"/>
      <c r="N244" s="140"/>
      <c r="O244" s="140"/>
      <c r="P244" s="140"/>
      <c r="Q244" s="140"/>
      <c r="R244" s="140"/>
      <c r="S244" s="140"/>
      <c r="T244" s="140"/>
      <c r="U244" s="140"/>
      <c r="V244" s="140"/>
      <c r="W244" s="140"/>
      <c r="X244" s="140"/>
      <c r="Y244" s="140"/>
      <c r="Z244" s="140"/>
      <c r="AA244" s="141"/>
      <c r="AE244" s="140"/>
      <c r="AI244" s="141"/>
      <c r="AM244" s="141"/>
      <c r="AQ244" s="141"/>
      <c r="AT244" s="140"/>
      <c r="AU244" s="140"/>
    </row>
    <row r="245" spans="2:47" s="134" customFormat="1" x14ac:dyDescent="0.2">
      <c r="B245" s="145"/>
      <c r="D245" s="679"/>
      <c r="J245" s="140"/>
      <c r="K245" s="140"/>
      <c r="L245" s="140"/>
      <c r="M245" s="140"/>
      <c r="N245" s="140"/>
      <c r="O245" s="140"/>
      <c r="P245" s="140"/>
      <c r="Q245" s="140"/>
      <c r="R245" s="140"/>
      <c r="S245" s="140"/>
      <c r="T245" s="140"/>
      <c r="U245" s="140"/>
      <c r="V245" s="140"/>
      <c r="W245" s="140"/>
      <c r="X245" s="140"/>
      <c r="Y245" s="140"/>
      <c r="Z245" s="140"/>
      <c r="AA245" s="141"/>
      <c r="AE245" s="140"/>
      <c r="AI245" s="141"/>
      <c r="AM245" s="141"/>
      <c r="AQ245" s="141"/>
      <c r="AT245" s="140"/>
      <c r="AU245" s="140"/>
    </row>
    <row r="246" spans="2:47" s="134" customFormat="1" x14ac:dyDescent="0.2">
      <c r="B246" s="145"/>
      <c r="D246" s="679"/>
      <c r="J246" s="140"/>
      <c r="K246" s="140"/>
      <c r="L246" s="140"/>
      <c r="M246" s="140"/>
      <c r="N246" s="140"/>
      <c r="O246" s="140"/>
      <c r="P246" s="140"/>
      <c r="Q246" s="140"/>
      <c r="R246" s="140"/>
      <c r="S246" s="140"/>
      <c r="T246" s="140"/>
      <c r="U246" s="140"/>
      <c r="V246" s="140"/>
      <c r="W246" s="140"/>
      <c r="X246" s="140"/>
      <c r="Y246" s="140"/>
      <c r="Z246" s="140"/>
      <c r="AA246" s="141"/>
      <c r="AE246" s="140"/>
      <c r="AI246" s="141"/>
      <c r="AM246" s="141"/>
      <c r="AQ246" s="141"/>
      <c r="AT246" s="140"/>
      <c r="AU246" s="140"/>
    </row>
    <row r="247" spans="2:47" s="134" customFormat="1" x14ac:dyDescent="0.2">
      <c r="B247" s="145"/>
      <c r="D247" s="679"/>
      <c r="J247" s="140"/>
      <c r="K247" s="140"/>
      <c r="L247" s="140"/>
      <c r="M247" s="140"/>
      <c r="N247" s="140"/>
      <c r="O247" s="140"/>
      <c r="P247" s="140"/>
      <c r="Q247" s="140"/>
      <c r="R247" s="140"/>
      <c r="S247" s="140"/>
      <c r="T247" s="140"/>
      <c r="U247" s="140"/>
      <c r="V247" s="140"/>
      <c r="W247" s="140"/>
      <c r="X247" s="140"/>
      <c r="Y247" s="140"/>
      <c r="Z247" s="140"/>
      <c r="AA247" s="141"/>
      <c r="AE247" s="140"/>
      <c r="AI247" s="141"/>
      <c r="AM247" s="141"/>
      <c r="AQ247" s="141"/>
      <c r="AT247" s="140"/>
      <c r="AU247" s="140"/>
    </row>
    <row r="248" spans="2:47" s="134" customFormat="1" x14ac:dyDescent="0.2">
      <c r="B248" s="145"/>
      <c r="D248" s="679"/>
      <c r="J248" s="140"/>
      <c r="K248" s="140"/>
      <c r="L248" s="140"/>
      <c r="M248" s="140"/>
      <c r="N248" s="140"/>
      <c r="O248" s="140"/>
      <c r="P248" s="140"/>
      <c r="Q248" s="140"/>
      <c r="R248" s="140"/>
      <c r="S248" s="140"/>
      <c r="T248" s="140"/>
      <c r="U248" s="140"/>
      <c r="V248" s="140"/>
      <c r="W248" s="140"/>
      <c r="X248" s="140"/>
      <c r="Y248" s="140"/>
      <c r="Z248" s="140"/>
      <c r="AA248" s="141"/>
      <c r="AE248" s="140"/>
      <c r="AI248" s="141"/>
      <c r="AM248" s="141"/>
      <c r="AQ248" s="141"/>
      <c r="AT248" s="140"/>
      <c r="AU248" s="140"/>
    </row>
    <row r="249" spans="2:47" s="134" customFormat="1" x14ac:dyDescent="0.2">
      <c r="B249" s="145"/>
      <c r="D249" s="679"/>
      <c r="J249" s="140"/>
      <c r="K249" s="140"/>
      <c r="L249" s="140"/>
      <c r="M249" s="140"/>
      <c r="N249" s="140"/>
      <c r="O249" s="140"/>
      <c r="P249" s="140"/>
      <c r="Q249" s="140"/>
      <c r="R249" s="140"/>
      <c r="S249" s="140"/>
      <c r="T249" s="140"/>
      <c r="U249" s="140"/>
      <c r="V249" s="140"/>
      <c r="W249" s="140"/>
      <c r="X249" s="140"/>
      <c r="Y249" s="140"/>
      <c r="Z249" s="140"/>
      <c r="AA249" s="141"/>
      <c r="AE249" s="140"/>
      <c r="AI249" s="141"/>
      <c r="AM249" s="141"/>
      <c r="AQ249" s="141"/>
      <c r="AT249" s="140"/>
      <c r="AU249" s="140"/>
    </row>
    <row r="250" spans="2:47" s="134" customFormat="1" x14ac:dyDescent="0.2">
      <c r="B250" s="145"/>
      <c r="D250" s="679"/>
      <c r="J250" s="140"/>
      <c r="K250" s="140"/>
      <c r="L250" s="140"/>
      <c r="M250" s="140"/>
      <c r="N250" s="140"/>
      <c r="O250" s="140"/>
      <c r="P250" s="140"/>
      <c r="Q250" s="140"/>
      <c r="R250" s="140"/>
      <c r="S250" s="140"/>
      <c r="T250" s="140"/>
      <c r="U250" s="140"/>
      <c r="V250" s="140"/>
      <c r="W250" s="140"/>
      <c r="X250" s="140"/>
      <c r="Y250" s="140"/>
      <c r="Z250" s="140"/>
      <c r="AA250" s="141"/>
      <c r="AE250" s="140"/>
      <c r="AI250" s="141"/>
      <c r="AM250" s="141"/>
      <c r="AQ250" s="141"/>
      <c r="AT250" s="140"/>
      <c r="AU250" s="140"/>
    </row>
    <row r="251" spans="2:47" s="134" customFormat="1" x14ac:dyDescent="0.2">
      <c r="B251" s="145"/>
      <c r="D251" s="679"/>
      <c r="J251" s="140"/>
      <c r="K251" s="140"/>
      <c r="L251" s="140"/>
      <c r="M251" s="140"/>
      <c r="N251" s="140"/>
      <c r="O251" s="140"/>
      <c r="P251" s="140"/>
      <c r="Q251" s="140"/>
      <c r="R251" s="140"/>
      <c r="S251" s="140"/>
      <c r="T251" s="140"/>
      <c r="U251" s="140"/>
      <c r="V251" s="140"/>
      <c r="W251" s="140"/>
      <c r="X251" s="140"/>
      <c r="Y251" s="140"/>
      <c r="Z251" s="140"/>
      <c r="AA251" s="141"/>
      <c r="AE251" s="140"/>
      <c r="AI251" s="141"/>
      <c r="AM251" s="141"/>
      <c r="AQ251" s="141"/>
      <c r="AT251" s="140"/>
      <c r="AU251" s="140"/>
    </row>
    <row r="252" spans="2:47" s="134" customFormat="1" x14ac:dyDescent="0.2">
      <c r="B252" s="145"/>
      <c r="D252" s="679"/>
      <c r="J252" s="140"/>
      <c r="K252" s="140"/>
      <c r="L252" s="140"/>
      <c r="M252" s="140"/>
      <c r="N252" s="140"/>
      <c r="O252" s="140"/>
      <c r="P252" s="140"/>
      <c r="Q252" s="140"/>
      <c r="R252" s="140"/>
      <c r="S252" s="140"/>
      <c r="T252" s="140"/>
      <c r="U252" s="140"/>
      <c r="V252" s="140"/>
      <c r="W252" s="140"/>
      <c r="X252" s="140"/>
      <c r="Y252" s="140"/>
      <c r="Z252" s="140"/>
      <c r="AA252" s="141"/>
      <c r="AE252" s="140"/>
      <c r="AI252" s="141"/>
      <c r="AM252" s="141"/>
      <c r="AQ252" s="141"/>
      <c r="AT252" s="140"/>
      <c r="AU252" s="140"/>
    </row>
    <row r="253" spans="2:47" s="134" customFormat="1" x14ac:dyDescent="0.2">
      <c r="B253" s="145"/>
      <c r="D253" s="679"/>
      <c r="J253" s="140"/>
      <c r="K253" s="140"/>
      <c r="L253" s="140"/>
      <c r="M253" s="140"/>
      <c r="N253" s="140"/>
      <c r="O253" s="140"/>
      <c r="P253" s="140"/>
      <c r="Q253" s="140"/>
      <c r="R253" s="140"/>
      <c r="S253" s="140"/>
      <c r="T253" s="140"/>
      <c r="U253" s="140"/>
      <c r="V253" s="140"/>
      <c r="W253" s="140"/>
      <c r="X253" s="140"/>
      <c r="Y253" s="140"/>
      <c r="Z253" s="140"/>
      <c r="AA253" s="141"/>
      <c r="AE253" s="140"/>
      <c r="AI253" s="141"/>
      <c r="AM253" s="141"/>
      <c r="AQ253" s="141"/>
      <c r="AT253" s="140"/>
      <c r="AU253" s="140"/>
    </row>
    <row r="254" spans="2:47" s="134" customFormat="1" x14ac:dyDescent="0.2">
      <c r="B254" s="145"/>
      <c r="D254" s="679"/>
      <c r="J254" s="140"/>
      <c r="K254" s="140"/>
      <c r="L254" s="140"/>
      <c r="M254" s="140"/>
      <c r="N254" s="140"/>
      <c r="O254" s="140"/>
      <c r="P254" s="140"/>
      <c r="Q254" s="140"/>
      <c r="R254" s="140"/>
      <c r="S254" s="140"/>
      <c r="T254" s="140"/>
      <c r="U254" s="140"/>
      <c r="V254" s="140"/>
      <c r="W254" s="140"/>
      <c r="X254" s="140"/>
      <c r="Y254" s="140"/>
      <c r="Z254" s="140"/>
      <c r="AA254" s="141"/>
      <c r="AE254" s="140"/>
      <c r="AI254" s="141"/>
      <c r="AM254" s="141"/>
      <c r="AQ254" s="141"/>
      <c r="AT254" s="140"/>
      <c r="AU254" s="140"/>
    </row>
    <row r="255" spans="2:47" s="134" customFormat="1" x14ac:dyDescent="0.2">
      <c r="B255" s="145"/>
      <c r="D255" s="679"/>
      <c r="J255" s="140"/>
      <c r="K255" s="140"/>
      <c r="L255" s="140"/>
      <c r="M255" s="140"/>
      <c r="N255" s="140"/>
      <c r="O255" s="140"/>
      <c r="P255" s="140"/>
      <c r="Q255" s="140"/>
      <c r="R255" s="140"/>
      <c r="S255" s="140"/>
      <c r="T255" s="140"/>
      <c r="U255" s="140"/>
      <c r="V255" s="140"/>
      <c r="W255" s="140"/>
      <c r="X255" s="140"/>
      <c r="Y255" s="140"/>
      <c r="Z255" s="140"/>
      <c r="AA255" s="141"/>
      <c r="AE255" s="140"/>
      <c r="AI255" s="141"/>
      <c r="AM255" s="141"/>
      <c r="AQ255" s="141"/>
      <c r="AT255" s="140"/>
      <c r="AU255" s="140"/>
    </row>
    <row r="256" spans="2:47" s="134" customFormat="1" x14ac:dyDescent="0.2">
      <c r="B256" s="145"/>
      <c r="D256" s="679"/>
      <c r="J256" s="140"/>
      <c r="K256" s="140"/>
      <c r="L256" s="140"/>
      <c r="M256" s="140"/>
      <c r="N256" s="140"/>
      <c r="O256" s="140"/>
      <c r="P256" s="140"/>
      <c r="Q256" s="140"/>
      <c r="R256" s="140"/>
      <c r="S256" s="140"/>
      <c r="T256" s="140"/>
      <c r="U256" s="140"/>
      <c r="V256" s="140"/>
      <c r="W256" s="140"/>
      <c r="X256" s="140"/>
      <c r="Y256" s="140"/>
      <c r="Z256" s="140"/>
      <c r="AA256" s="141"/>
      <c r="AE256" s="140"/>
      <c r="AI256" s="141"/>
      <c r="AM256" s="141"/>
      <c r="AQ256" s="141"/>
      <c r="AT256" s="140"/>
      <c r="AU256" s="140"/>
    </row>
    <row r="257" spans="2:47" s="134" customFormat="1" x14ac:dyDescent="0.2">
      <c r="B257" s="145"/>
      <c r="D257" s="679"/>
      <c r="J257" s="140"/>
      <c r="K257" s="140"/>
      <c r="L257" s="140"/>
      <c r="M257" s="140"/>
      <c r="N257" s="140"/>
      <c r="O257" s="140"/>
      <c r="P257" s="140"/>
      <c r="Q257" s="140"/>
      <c r="R257" s="140"/>
      <c r="S257" s="140"/>
      <c r="T257" s="140"/>
      <c r="U257" s="140"/>
      <c r="V257" s="140"/>
      <c r="W257" s="140"/>
      <c r="X257" s="140"/>
      <c r="Y257" s="140"/>
      <c r="Z257" s="140"/>
      <c r="AA257" s="141"/>
      <c r="AE257" s="140"/>
      <c r="AI257" s="141"/>
      <c r="AM257" s="141"/>
      <c r="AQ257" s="141"/>
      <c r="AT257" s="140"/>
      <c r="AU257" s="140"/>
    </row>
    <row r="258" spans="2:47" s="134" customFormat="1" x14ac:dyDescent="0.2">
      <c r="B258" s="145"/>
      <c r="D258" s="679"/>
      <c r="J258" s="140"/>
      <c r="K258" s="140"/>
      <c r="L258" s="140"/>
      <c r="M258" s="140"/>
      <c r="N258" s="140"/>
      <c r="O258" s="140"/>
      <c r="P258" s="140"/>
      <c r="Q258" s="140"/>
      <c r="R258" s="140"/>
      <c r="S258" s="140"/>
      <c r="T258" s="140"/>
      <c r="U258" s="140"/>
      <c r="V258" s="140"/>
      <c r="W258" s="140"/>
      <c r="X258" s="140"/>
      <c r="Y258" s="140"/>
      <c r="Z258" s="140"/>
      <c r="AA258" s="141"/>
      <c r="AE258" s="140"/>
      <c r="AI258" s="141"/>
      <c r="AM258" s="141"/>
      <c r="AQ258" s="141"/>
      <c r="AT258" s="140"/>
      <c r="AU258" s="140"/>
    </row>
    <row r="259" spans="2:47" s="134" customFormat="1" x14ac:dyDescent="0.2">
      <c r="B259" s="145"/>
      <c r="D259" s="679"/>
      <c r="J259" s="140"/>
      <c r="K259" s="140"/>
      <c r="L259" s="140"/>
      <c r="M259" s="140"/>
      <c r="N259" s="140"/>
      <c r="O259" s="140"/>
      <c r="P259" s="140"/>
      <c r="Q259" s="140"/>
      <c r="R259" s="140"/>
      <c r="S259" s="140"/>
      <c r="T259" s="140"/>
      <c r="U259" s="140"/>
      <c r="V259" s="140"/>
      <c r="W259" s="140"/>
      <c r="X259" s="140"/>
      <c r="Y259" s="140"/>
      <c r="Z259" s="140"/>
      <c r="AA259" s="141"/>
      <c r="AE259" s="140"/>
      <c r="AI259" s="141"/>
      <c r="AM259" s="141"/>
      <c r="AQ259" s="141"/>
      <c r="AT259" s="140"/>
      <c r="AU259" s="140"/>
    </row>
    <row r="260" spans="2:47" s="134" customFormat="1" x14ac:dyDescent="0.2">
      <c r="B260" s="145"/>
      <c r="D260" s="679"/>
      <c r="J260" s="140"/>
      <c r="K260" s="140"/>
      <c r="L260" s="140"/>
      <c r="M260" s="140"/>
      <c r="N260" s="140"/>
      <c r="O260" s="140"/>
      <c r="P260" s="140"/>
      <c r="Q260" s="140"/>
      <c r="R260" s="140"/>
      <c r="S260" s="140"/>
      <c r="T260" s="140"/>
      <c r="U260" s="140"/>
      <c r="V260" s="140"/>
      <c r="W260" s="140"/>
      <c r="X260" s="140"/>
      <c r="Y260" s="140"/>
      <c r="Z260" s="140"/>
      <c r="AA260" s="141"/>
      <c r="AE260" s="140"/>
      <c r="AI260" s="141"/>
      <c r="AM260" s="141"/>
      <c r="AQ260" s="141"/>
      <c r="AT260" s="140"/>
      <c r="AU260" s="140"/>
    </row>
    <row r="261" spans="2:47" s="134" customFormat="1" x14ac:dyDescent="0.2">
      <c r="B261" s="145"/>
      <c r="D261" s="679"/>
      <c r="J261" s="140"/>
      <c r="K261" s="140"/>
      <c r="L261" s="140"/>
      <c r="M261" s="140"/>
      <c r="N261" s="140"/>
      <c r="O261" s="140"/>
      <c r="P261" s="140"/>
      <c r="Q261" s="140"/>
      <c r="R261" s="140"/>
      <c r="S261" s="140"/>
      <c r="T261" s="140"/>
      <c r="U261" s="140"/>
      <c r="V261" s="140"/>
      <c r="W261" s="140"/>
      <c r="X261" s="140"/>
      <c r="Y261" s="140"/>
      <c r="Z261" s="140"/>
      <c r="AA261" s="141"/>
      <c r="AE261" s="140"/>
      <c r="AI261" s="141"/>
      <c r="AM261" s="141"/>
      <c r="AQ261" s="141"/>
      <c r="AT261" s="140"/>
      <c r="AU261" s="140"/>
    </row>
    <row r="262" spans="2:47" s="134" customFormat="1" x14ac:dyDescent="0.2">
      <c r="B262" s="145"/>
      <c r="D262" s="679"/>
      <c r="J262" s="140"/>
      <c r="K262" s="140"/>
      <c r="L262" s="140"/>
      <c r="M262" s="140"/>
      <c r="N262" s="140"/>
      <c r="O262" s="140"/>
      <c r="P262" s="140"/>
      <c r="Q262" s="140"/>
      <c r="R262" s="140"/>
      <c r="S262" s="140"/>
      <c r="T262" s="140"/>
      <c r="U262" s="140"/>
      <c r="V262" s="140"/>
      <c r="W262" s="140"/>
      <c r="X262" s="140"/>
      <c r="Y262" s="140"/>
      <c r="Z262" s="140"/>
      <c r="AA262" s="141"/>
      <c r="AE262" s="140"/>
      <c r="AI262" s="141"/>
      <c r="AM262" s="141"/>
      <c r="AQ262" s="141"/>
      <c r="AT262" s="140"/>
      <c r="AU262" s="140"/>
    </row>
    <row r="263" spans="2:47" s="134" customFormat="1" x14ac:dyDescent="0.2">
      <c r="B263" s="145"/>
      <c r="D263" s="679"/>
      <c r="J263" s="140"/>
      <c r="K263" s="140"/>
      <c r="L263" s="140"/>
      <c r="M263" s="140"/>
      <c r="N263" s="140"/>
      <c r="O263" s="140"/>
      <c r="P263" s="140"/>
      <c r="Q263" s="140"/>
      <c r="R263" s="140"/>
      <c r="S263" s="140"/>
      <c r="T263" s="140"/>
      <c r="U263" s="140"/>
      <c r="V263" s="140"/>
      <c r="W263" s="140"/>
      <c r="X263" s="140"/>
      <c r="Y263" s="140"/>
      <c r="Z263" s="140"/>
      <c r="AA263" s="141"/>
      <c r="AE263" s="140"/>
      <c r="AI263" s="141"/>
      <c r="AM263" s="141"/>
      <c r="AQ263" s="141"/>
      <c r="AT263" s="140"/>
      <c r="AU263" s="140"/>
    </row>
    <row r="264" spans="2:47" s="134" customFormat="1" x14ac:dyDescent="0.2">
      <c r="B264" s="145"/>
      <c r="D264" s="679"/>
      <c r="J264" s="140"/>
      <c r="K264" s="140"/>
      <c r="L264" s="140"/>
      <c r="M264" s="140"/>
      <c r="N264" s="140"/>
      <c r="O264" s="140"/>
      <c r="P264" s="140"/>
      <c r="Q264" s="140"/>
      <c r="R264" s="140"/>
      <c r="S264" s="140"/>
      <c r="T264" s="140"/>
      <c r="U264" s="140"/>
      <c r="V264" s="140"/>
      <c r="W264" s="140"/>
      <c r="X264" s="140"/>
      <c r="Y264" s="140"/>
      <c r="Z264" s="140"/>
      <c r="AA264" s="141"/>
      <c r="AE264" s="140"/>
      <c r="AI264" s="141"/>
      <c r="AM264" s="141"/>
      <c r="AQ264" s="141"/>
      <c r="AT264" s="140"/>
      <c r="AU264" s="140"/>
    </row>
    <row r="265" spans="2:47" s="134" customFormat="1" x14ac:dyDescent="0.2">
      <c r="B265" s="145"/>
      <c r="D265" s="679"/>
      <c r="J265" s="140"/>
      <c r="K265" s="140"/>
      <c r="L265" s="140"/>
      <c r="M265" s="140"/>
      <c r="N265" s="140"/>
      <c r="O265" s="140"/>
      <c r="P265" s="140"/>
      <c r="Q265" s="140"/>
      <c r="R265" s="140"/>
      <c r="S265" s="140"/>
      <c r="T265" s="140"/>
      <c r="U265" s="140"/>
      <c r="V265" s="140"/>
      <c r="W265" s="140"/>
      <c r="X265" s="140"/>
      <c r="Y265" s="140"/>
      <c r="Z265" s="140"/>
      <c r="AA265" s="141"/>
      <c r="AE265" s="140"/>
      <c r="AI265" s="141"/>
      <c r="AM265" s="141"/>
      <c r="AQ265" s="141"/>
      <c r="AT265" s="140"/>
      <c r="AU265" s="140"/>
    </row>
    <row r="266" spans="2:47" s="134" customFormat="1" x14ac:dyDescent="0.2">
      <c r="B266" s="145"/>
      <c r="D266" s="679"/>
      <c r="J266" s="140"/>
      <c r="K266" s="140"/>
      <c r="L266" s="140"/>
      <c r="M266" s="140"/>
      <c r="N266" s="140"/>
      <c r="O266" s="140"/>
      <c r="P266" s="140"/>
      <c r="Q266" s="140"/>
      <c r="R266" s="140"/>
      <c r="S266" s="140"/>
      <c r="T266" s="140"/>
      <c r="U266" s="140"/>
      <c r="V266" s="140"/>
      <c r="W266" s="140"/>
      <c r="X266" s="140"/>
      <c r="Y266" s="140"/>
      <c r="Z266" s="140"/>
      <c r="AA266" s="141"/>
      <c r="AE266" s="140"/>
      <c r="AI266" s="141"/>
      <c r="AM266" s="141"/>
      <c r="AQ266" s="141"/>
      <c r="AT266" s="140"/>
      <c r="AU266" s="140"/>
    </row>
    <row r="267" spans="2:47" s="134" customFormat="1" x14ac:dyDescent="0.2">
      <c r="B267" s="145"/>
      <c r="D267" s="679"/>
      <c r="J267" s="140"/>
      <c r="K267" s="140"/>
      <c r="L267" s="140"/>
      <c r="M267" s="140"/>
      <c r="N267" s="140"/>
      <c r="O267" s="140"/>
      <c r="P267" s="140"/>
      <c r="Q267" s="140"/>
      <c r="R267" s="140"/>
      <c r="S267" s="140"/>
      <c r="T267" s="140"/>
      <c r="U267" s="140"/>
      <c r="V267" s="140"/>
      <c r="W267" s="140"/>
      <c r="X267" s="140"/>
      <c r="Y267" s="140"/>
      <c r="Z267" s="140"/>
      <c r="AA267" s="141"/>
      <c r="AE267" s="140"/>
      <c r="AI267" s="141"/>
      <c r="AM267" s="141"/>
      <c r="AQ267" s="141"/>
      <c r="AT267" s="140"/>
      <c r="AU267" s="140"/>
    </row>
    <row r="268" spans="2:47" s="134" customFormat="1" x14ac:dyDescent="0.2">
      <c r="B268" s="145"/>
      <c r="D268" s="679"/>
      <c r="J268" s="140"/>
      <c r="K268" s="140"/>
      <c r="L268" s="140"/>
      <c r="M268" s="140"/>
      <c r="N268" s="140"/>
      <c r="O268" s="140"/>
      <c r="P268" s="140"/>
      <c r="Q268" s="140"/>
      <c r="R268" s="140"/>
      <c r="S268" s="140"/>
      <c r="T268" s="140"/>
      <c r="U268" s="140"/>
      <c r="V268" s="140"/>
      <c r="W268" s="140"/>
      <c r="X268" s="140"/>
      <c r="Y268" s="140"/>
      <c r="Z268" s="140"/>
      <c r="AA268" s="141"/>
      <c r="AE268" s="140"/>
      <c r="AI268" s="141"/>
      <c r="AM268" s="141"/>
      <c r="AQ268" s="141"/>
      <c r="AT268" s="140"/>
      <c r="AU268" s="140"/>
    </row>
    <row r="269" spans="2:47" s="134" customFormat="1" x14ac:dyDescent="0.2">
      <c r="B269" s="145"/>
      <c r="D269" s="679"/>
      <c r="J269" s="140"/>
      <c r="K269" s="140"/>
      <c r="L269" s="140"/>
      <c r="M269" s="140"/>
      <c r="N269" s="140"/>
      <c r="O269" s="140"/>
      <c r="P269" s="140"/>
      <c r="Q269" s="140"/>
      <c r="R269" s="140"/>
      <c r="S269" s="140"/>
      <c r="T269" s="140"/>
      <c r="U269" s="140"/>
      <c r="V269" s="140"/>
      <c r="W269" s="140"/>
      <c r="X269" s="140"/>
      <c r="Y269" s="140"/>
      <c r="Z269" s="140"/>
      <c r="AA269" s="141"/>
      <c r="AE269" s="140"/>
      <c r="AI269" s="141"/>
      <c r="AM269" s="141"/>
      <c r="AQ269" s="141"/>
      <c r="AT269" s="140"/>
      <c r="AU269" s="140"/>
    </row>
    <row r="270" spans="2:47" s="134" customFormat="1" x14ac:dyDescent="0.2">
      <c r="B270" s="145"/>
      <c r="D270" s="679"/>
      <c r="J270" s="140"/>
      <c r="K270" s="140"/>
      <c r="L270" s="140"/>
      <c r="M270" s="140"/>
      <c r="N270" s="140"/>
      <c r="O270" s="140"/>
      <c r="P270" s="140"/>
      <c r="Q270" s="140"/>
      <c r="R270" s="140"/>
      <c r="S270" s="140"/>
      <c r="T270" s="140"/>
      <c r="U270" s="140"/>
      <c r="V270" s="140"/>
      <c r="W270" s="140"/>
      <c r="X270" s="140"/>
      <c r="Y270" s="140"/>
      <c r="Z270" s="140"/>
      <c r="AA270" s="141"/>
      <c r="AE270" s="140"/>
      <c r="AI270" s="141"/>
      <c r="AM270" s="141"/>
      <c r="AQ270" s="141"/>
      <c r="AT270" s="140"/>
      <c r="AU270" s="140"/>
    </row>
    <row r="271" spans="2:47" s="134" customFormat="1" x14ac:dyDescent="0.2">
      <c r="B271" s="145"/>
      <c r="D271" s="679"/>
      <c r="J271" s="140"/>
      <c r="K271" s="140"/>
      <c r="L271" s="140"/>
      <c r="M271" s="140"/>
      <c r="N271" s="140"/>
      <c r="O271" s="140"/>
      <c r="P271" s="140"/>
      <c r="Q271" s="140"/>
      <c r="R271" s="140"/>
      <c r="S271" s="140"/>
      <c r="T271" s="140"/>
      <c r="U271" s="140"/>
      <c r="V271" s="140"/>
      <c r="W271" s="140"/>
      <c r="X271" s="140"/>
      <c r="Y271" s="140"/>
      <c r="Z271" s="140"/>
      <c r="AA271" s="141"/>
      <c r="AE271" s="140"/>
      <c r="AI271" s="141"/>
      <c r="AM271" s="141"/>
      <c r="AQ271" s="141"/>
      <c r="AT271" s="140"/>
      <c r="AU271" s="140"/>
    </row>
    <row r="272" spans="2:47" s="134" customFormat="1" x14ac:dyDescent="0.2">
      <c r="B272" s="145"/>
      <c r="D272" s="679"/>
      <c r="J272" s="140"/>
      <c r="K272" s="140"/>
      <c r="L272" s="140"/>
      <c r="M272" s="140"/>
      <c r="N272" s="140"/>
      <c r="O272" s="140"/>
      <c r="P272" s="140"/>
      <c r="Q272" s="140"/>
      <c r="R272" s="140"/>
      <c r="S272" s="140"/>
      <c r="T272" s="140"/>
      <c r="U272" s="140"/>
      <c r="V272" s="140"/>
      <c r="W272" s="140"/>
      <c r="X272" s="140"/>
      <c r="Y272" s="140"/>
      <c r="Z272" s="140"/>
      <c r="AA272" s="141"/>
      <c r="AE272" s="140"/>
      <c r="AI272" s="141"/>
      <c r="AM272" s="141"/>
      <c r="AQ272" s="141"/>
      <c r="AT272" s="140"/>
      <c r="AU272" s="140"/>
    </row>
    <row r="273" spans="2:47" s="134" customFormat="1" x14ac:dyDescent="0.2">
      <c r="B273" s="145"/>
      <c r="D273" s="679"/>
      <c r="J273" s="140"/>
      <c r="K273" s="140"/>
      <c r="L273" s="140"/>
      <c r="M273" s="140"/>
      <c r="N273" s="140"/>
      <c r="O273" s="140"/>
      <c r="P273" s="140"/>
      <c r="Q273" s="140"/>
      <c r="R273" s="140"/>
      <c r="S273" s="140"/>
      <c r="T273" s="140"/>
      <c r="U273" s="140"/>
      <c r="V273" s="140"/>
      <c r="W273" s="140"/>
      <c r="X273" s="140"/>
      <c r="Y273" s="140"/>
      <c r="Z273" s="140"/>
      <c r="AA273" s="141"/>
      <c r="AE273" s="140"/>
      <c r="AI273" s="141"/>
      <c r="AM273" s="141"/>
      <c r="AQ273" s="141"/>
      <c r="AT273" s="140"/>
      <c r="AU273" s="140"/>
    </row>
    <row r="274" spans="2:47" s="134" customFormat="1" x14ac:dyDescent="0.2">
      <c r="B274" s="145"/>
      <c r="D274" s="679"/>
      <c r="J274" s="140"/>
      <c r="K274" s="140"/>
      <c r="L274" s="140"/>
      <c r="M274" s="140"/>
      <c r="N274" s="140"/>
      <c r="O274" s="140"/>
      <c r="P274" s="140"/>
      <c r="Q274" s="140"/>
      <c r="R274" s="140"/>
      <c r="S274" s="140"/>
      <c r="T274" s="140"/>
      <c r="U274" s="140"/>
      <c r="V274" s="140"/>
      <c r="W274" s="140"/>
      <c r="X274" s="140"/>
      <c r="Y274" s="140"/>
      <c r="Z274" s="140"/>
      <c r="AA274" s="141"/>
      <c r="AE274" s="140"/>
      <c r="AI274" s="141"/>
      <c r="AM274" s="141"/>
      <c r="AQ274" s="141"/>
      <c r="AT274" s="140"/>
      <c r="AU274" s="140"/>
    </row>
    <row r="275" spans="2:47" s="134" customFormat="1" x14ac:dyDescent="0.2">
      <c r="B275" s="145"/>
      <c r="D275" s="679"/>
      <c r="J275" s="140"/>
      <c r="K275" s="140"/>
      <c r="L275" s="140"/>
      <c r="M275" s="140"/>
      <c r="N275" s="140"/>
      <c r="O275" s="140"/>
      <c r="P275" s="140"/>
      <c r="Q275" s="140"/>
      <c r="R275" s="140"/>
      <c r="S275" s="140"/>
      <c r="T275" s="140"/>
      <c r="U275" s="140"/>
      <c r="V275" s="140"/>
      <c r="W275" s="140"/>
      <c r="X275" s="140"/>
      <c r="Y275" s="140"/>
      <c r="Z275" s="140"/>
      <c r="AA275" s="141"/>
      <c r="AE275" s="140"/>
      <c r="AI275" s="141"/>
      <c r="AM275" s="141"/>
      <c r="AQ275" s="141"/>
      <c r="AT275" s="140"/>
      <c r="AU275" s="140"/>
    </row>
    <row r="276" spans="2:47" s="134" customFormat="1" x14ac:dyDescent="0.2">
      <c r="B276" s="145"/>
      <c r="D276" s="679"/>
      <c r="J276" s="140"/>
      <c r="K276" s="140"/>
      <c r="L276" s="140"/>
      <c r="M276" s="140"/>
      <c r="N276" s="140"/>
      <c r="O276" s="140"/>
      <c r="P276" s="140"/>
      <c r="Q276" s="140"/>
      <c r="R276" s="140"/>
      <c r="S276" s="140"/>
      <c r="T276" s="140"/>
      <c r="U276" s="140"/>
      <c r="V276" s="140"/>
      <c r="W276" s="140"/>
      <c r="X276" s="140"/>
      <c r="Y276" s="140"/>
      <c r="Z276" s="140"/>
      <c r="AA276" s="141"/>
      <c r="AE276" s="140"/>
      <c r="AI276" s="141"/>
      <c r="AM276" s="141"/>
      <c r="AQ276" s="141"/>
      <c r="AT276" s="140"/>
      <c r="AU276" s="140"/>
    </row>
    <row r="277" spans="2:47" s="134" customFormat="1" x14ac:dyDescent="0.2">
      <c r="B277" s="145"/>
      <c r="D277" s="679"/>
      <c r="J277" s="140"/>
      <c r="K277" s="140"/>
      <c r="L277" s="140"/>
      <c r="M277" s="140"/>
      <c r="N277" s="140"/>
      <c r="O277" s="140"/>
      <c r="P277" s="140"/>
      <c r="Q277" s="140"/>
      <c r="R277" s="140"/>
      <c r="S277" s="140"/>
      <c r="T277" s="140"/>
      <c r="U277" s="140"/>
      <c r="V277" s="140"/>
      <c r="W277" s="140"/>
      <c r="X277" s="140"/>
      <c r="Y277" s="140"/>
      <c r="Z277" s="140"/>
      <c r="AA277" s="141"/>
      <c r="AE277" s="140"/>
      <c r="AI277" s="141"/>
      <c r="AM277" s="141"/>
      <c r="AQ277" s="141"/>
      <c r="AT277" s="140"/>
      <c r="AU277" s="140"/>
    </row>
    <row r="278" spans="2:47" s="134" customFormat="1" x14ac:dyDescent="0.2">
      <c r="B278" s="145"/>
      <c r="D278" s="679"/>
      <c r="J278" s="140"/>
      <c r="K278" s="140"/>
      <c r="L278" s="140"/>
      <c r="M278" s="140"/>
      <c r="N278" s="140"/>
      <c r="O278" s="140"/>
      <c r="P278" s="140"/>
      <c r="Q278" s="140"/>
      <c r="R278" s="140"/>
      <c r="S278" s="140"/>
      <c r="T278" s="140"/>
      <c r="U278" s="140"/>
      <c r="V278" s="140"/>
      <c r="W278" s="140"/>
      <c r="X278" s="140"/>
      <c r="Y278" s="140"/>
      <c r="Z278" s="140"/>
      <c r="AA278" s="141"/>
      <c r="AE278" s="140"/>
      <c r="AI278" s="141"/>
      <c r="AM278" s="141"/>
      <c r="AQ278" s="141"/>
      <c r="AT278" s="140"/>
      <c r="AU278" s="140"/>
    </row>
    <row r="279" spans="2:47" s="134" customFormat="1" x14ac:dyDescent="0.2">
      <c r="B279" s="145"/>
      <c r="D279" s="679"/>
      <c r="J279" s="140"/>
      <c r="K279" s="140"/>
      <c r="L279" s="140"/>
      <c r="M279" s="140"/>
      <c r="N279" s="140"/>
      <c r="O279" s="140"/>
      <c r="P279" s="140"/>
      <c r="Q279" s="140"/>
      <c r="R279" s="140"/>
      <c r="S279" s="140"/>
      <c r="T279" s="140"/>
      <c r="U279" s="140"/>
      <c r="V279" s="140"/>
      <c r="W279" s="140"/>
      <c r="X279" s="140"/>
      <c r="Y279" s="140"/>
      <c r="Z279" s="140"/>
      <c r="AA279" s="141"/>
      <c r="AE279" s="140"/>
      <c r="AI279" s="141"/>
      <c r="AM279" s="141"/>
      <c r="AQ279" s="141"/>
      <c r="AT279" s="140"/>
      <c r="AU279" s="140"/>
    </row>
    <row r="280" spans="2:47" s="134" customFormat="1" x14ac:dyDescent="0.2">
      <c r="B280" s="145"/>
      <c r="D280" s="679"/>
      <c r="J280" s="140"/>
      <c r="K280" s="140"/>
      <c r="L280" s="140"/>
      <c r="M280" s="140"/>
      <c r="N280" s="140"/>
      <c r="O280" s="140"/>
      <c r="P280" s="140"/>
      <c r="Q280" s="140"/>
      <c r="R280" s="140"/>
      <c r="S280" s="140"/>
      <c r="T280" s="140"/>
      <c r="U280" s="140"/>
      <c r="V280" s="140"/>
      <c r="W280" s="140"/>
      <c r="X280" s="140"/>
      <c r="Y280" s="140"/>
      <c r="Z280" s="140"/>
      <c r="AA280" s="141"/>
      <c r="AE280" s="140"/>
      <c r="AI280" s="141"/>
      <c r="AM280" s="141"/>
      <c r="AQ280" s="141"/>
      <c r="AT280" s="140"/>
      <c r="AU280" s="140"/>
    </row>
    <row r="281" spans="2:47" s="134" customFormat="1" x14ac:dyDescent="0.2">
      <c r="B281" s="145"/>
      <c r="D281" s="679"/>
      <c r="J281" s="140"/>
      <c r="K281" s="140"/>
      <c r="L281" s="140"/>
      <c r="M281" s="140"/>
      <c r="N281" s="140"/>
      <c r="O281" s="140"/>
      <c r="P281" s="140"/>
      <c r="Q281" s="140"/>
      <c r="R281" s="140"/>
      <c r="S281" s="140"/>
      <c r="T281" s="140"/>
      <c r="U281" s="140"/>
      <c r="V281" s="140"/>
      <c r="W281" s="140"/>
      <c r="X281" s="140"/>
      <c r="Y281" s="140"/>
      <c r="Z281" s="140"/>
      <c r="AA281" s="141"/>
      <c r="AE281" s="140"/>
      <c r="AI281" s="141"/>
      <c r="AM281" s="141"/>
      <c r="AQ281" s="141"/>
      <c r="AT281" s="140"/>
      <c r="AU281" s="140"/>
    </row>
    <row r="282" spans="2:47" s="134" customFormat="1" x14ac:dyDescent="0.2">
      <c r="B282" s="145"/>
      <c r="D282" s="679"/>
      <c r="J282" s="140"/>
      <c r="K282" s="140"/>
      <c r="L282" s="140"/>
      <c r="M282" s="140"/>
      <c r="N282" s="140"/>
      <c r="O282" s="140"/>
      <c r="P282" s="140"/>
      <c r="Q282" s="140"/>
      <c r="R282" s="140"/>
      <c r="S282" s="140"/>
      <c r="T282" s="140"/>
      <c r="U282" s="140"/>
      <c r="V282" s="140"/>
      <c r="W282" s="140"/>
      <c r="X282" s="140"/>
      <c r="Y282" s="140"/>
      <c r="Z282" s="140"/>
      <c r="AA282" s="141"/>
      <c r="AE282" s="140"/>
      <c r="AI282" s="141"/>
      <c r="AM282" s="141"/>
      <c r="AQ282" s="141"/>
      <c r="AT282" s="140"/>
      <c r="AU282" s="140"/>
    </row>
    <row r="283" spans="2:47" s="134" customFormat="1" x14ac:dyDescent="0.2">
      <c r="B283" s="145"/>
      <c r="D283" s="679"/>
      <c r="J283" s="140"/>
      <c r="K283" s="140"/>
      <c r="L283" s="140"/>
      <c r="M283" s="140"/>
      <c r="N283" s="140"/>
      <c r="O283" s="140"/>
      <c r="P283" s="140"/>
      <c r="Q283" s="140"/>
      <c r="R283" s="140"/>
      <c r="S283" s="140"/>
      <c r="T283" s="140"/>
      <c r="U283" s="140"/>
      <c r="V283" s="140"/>
      <c r="W283" s="140"/>
      <c r="X283" s="140"/>
      <c r="Y283" s="140"/>
      <c r="Z283" s="140"/>
      <c r="AA283" s="141"/>
      <c r="AE283" s="140"/>
      <c r="AI283" s="141"/>
      <c r="AM283" s="141"/>
      <c r="AQ283" s="141"/>
      <c r="AT283" s="140"/>
      <c r="AU283" s="140"/>
    </row>
    <row r="284" spans="2:47" s="134" customFormat="1" x14ac:dyDescent="0.2">
      <c r="B284" s="145"/>
      <c r="D284" s="679"/>
      <c r="J284" s="140"/>
      <c r="K284" s="140"/>
      <c r="L284" s="140"/>
      <c r="M284" s="140"/>
      <c r="N284" s="140"/>
      <c r="O284" s="140"/>
      <c r="P284" s="140"/>
      <c r="Q284" s="140"/>
      <c r="R284" s="140"/>
      <c r="S284" s="140"/>
      <c r="T284" s="140"/>
      <c r="U284" s="140"/>
      <c r="V284" s="140"/>
      <c r="W284" s="140"/>
      <c r="X284" s="140"/>
      <c r="Y284" s="140"/>
      <c r="Z284" s="140"/>
      <c r="AA284" s="141"/>
      <c r="AE284" s="140"/>
      <c r="AI284" s="141"/>
      <c r="AM284" s="141"/>
      <c r="AQ284" s="141"/>
      <c r="AT284" s="140"/>
      <c r="AU284" s="140"/>
    </row>
    <row r="285" spans="2:47" s="134" customFormat="1" x14ac:dyDescent="0.2">
      <c r="B285" s="145"/>
      <c r="D285" s="679"/>
      <c r="J285" s="140"/>
      <c r="K285" s="140"/>
      <c r="L285" s="140"/>
      <c r="M285" s="140"/>
      <c r="N285" s="140"/>
      <c r="O285" s="140"/>
      <c r="P285" s="140"/>
      <c r="Q285" s="140"/>
      <c r="R285" s="140"/>
      <c r="S285" s="140"/>
      <c r="T285" s="140"/>
      <c r="U285" s="140"/>
      <c r="V285" s="140"/>
      <c r="W285" s="140"/>
      <c r="X285" s="140"/>
      <c r="Y285" s="140"/>
      <c r="Z285" s="140"/>
      <c r="AA285" s="141"/>
      <c r="AE285" s="140"/>
      <c r="AI285" s="141"/>
      <c r="AM285" s="141"/>
      <c r="AQ285" s="141"/>
      <c r="AT285" s="140"/>
      <c r="AU285" s="140"/>
    </row>
    <row r="286" spans="2:47" s="134" customFormat="1" x14ac:dyDescent="0.2">
      <c r="B286" s="145"/>
      <c r="D286" s="679"/>
      <c r="J286" s="140"/>
      <c r="K286" s="140"/>
      <c r="L286" s="140"/>
      <c r="M286" s="140"/>
      <c r="N286" s="140"/>
      <c r="O286" s="140"/>
      <c r="P286" s="140"/>
      <c r="Q286" s="140"/>
      <c r="R286" s="140"/>
      <c r="S286" s="140"/>
      <c r="T286" s="140"/>
      <c r="U286" s="140"/>
      <c r="V286" s="140"/>
      <c r="W286" s="140"/>
      <c r="X286" s="140"/>
      <c r="Y286" s="140"/>
      <c r="Z286" s="140"/>
      <c r="AA286" s="141"/>
      <c r="AE286" s="140"/>
      <c r="AI286" s="141"/>
      <c r="AM286" s="141"/>
      <c r="AQ286" s="141"/>
      <c r="AT286" s="140"/>
      <c r="AU286" s="140"/>
    </row>
    <row r="287" spans="2:47" s="134" customFormat="1" x14ac:dyDescent="0.2">
      <c r="B287" s="145"/>
      <c r="D287" s="679"/>
      <c r="J287" s="140"/>
      <c r="K287" s="140"/>
      <c r="L287" s="140"/>
      <c r="M287" s="140"/>
      <c r="N287" s="140"/>
      <c r="O287" s="140"/>
      <c r="P287" s="140"/>
      <c r="Q287" s="140"/>
      <c r="R287" s="140"/>
      <c r="S287" s="140"/>
      <c r="T287" s="140"/>
      <c r="U287" s="140"/>
      <c r="V287" s="140"/>
      <c r="W287" s="140"/>
      <c r="X287" s="140"/>
      <c r="Y287" s="140"/>
      <c r="Z287" s="140"/>
      <c r="AA287" s="141"/>
      <c r="AE287" s="140"/>
      <c r="AI287" s="141"/>
      <c r="AM287" s="141"/>
      <c r="AQ287" s="141"/>
      <c r="AT287" s="140"/>
      <c r="AU287" s="140"/>
    </row>
    <row r="288" spans="2:47" s="134" customFormat="1" x14ac:dyDescent="0.2">
      <c r="B288" s="145"/>
      <c r="D288" s="679"/>
      <c r="J288" s="140"/>
      <c r="K288" s="140"/>
      <c r="L288" s="140"/>
      <c r="M288" s="140"/>
      <c r="N288" s="140"/>
      <c r="O288" s="140"/>
      <c r="P288" s="140"/>
      <c r="Q288" s="140"/>
      <c r="R288" s="140"/>
      <c r="S288" s="140"/>
      <c r="T288" s="140"/>
      <c r="U288" s="140"/>
      <c r="V288" s="140"/>
      <c r="W288" s="140"/>
      <c r="X288" s="140"/>
      <c r="Y288" s="140"/>
      <c r="Z288" s="140"/>
      <c r="AA288" s="141"/>
      <c r="AE288" s="140"/>
      <c r="AI288" s="141"/>
      <c r="AM288" s="141"/>
      <c r="AQ288" s="141"/>
      <c r="AT288" s="140"/>
      <c r="AU288" s="140"/>
    </row>
    <row r="289" spans="2:47" s="134" customFormat="1" x14ac:dyDescent="0.2">
      <c r="B289" s="145"/>
      <c r="D289" s="679"/>
      <c r="J289" s="140"/>
      <c r="K289" s="140"/>
      <c r="L289" s="140"/>
      <c r="M289" s="140"/>
      <c r="N289" s="140"/>
      <c r="O289" s="140"/>
      <c r="P289" s="140"/>
      <c r="Q289" s="140"/>
      <c r="R289" s="140"/>
      <c r="S289" s="140"/>
      <c r="T289" s="140"/>
      <c r="U289" s="140"/>
      <c r="V289" s="140"/>
      <c r="W289" s="140"/>
      <c r="X289" s="140"/>
      <c r="Y289" s="140"/>
      <c r="Z289" s="140"/>
      <c r="AA289" s="141"/>
      <c r="AE289" s="140"/>
      <c r="AI289" s="141"/>
      <c r="AM289" s="141"/>
      <c r="AQ289" s="141"/>
      <c r="AT289" s="140"/>
      <c r="AU289" s="140"/>
    </row>
    <row r="290" spans="2:47" s="134" customFormat="1" x14ac:dyDescent="0.2">
      <c r="B290" s="145"/>
      <c r="D290" s="679"/>
      <c r="J290" s="140"/>
      <c r="K290" s="140"/>
      <c r="L290" s="140"/>
      <c r="M290" s="140"/>
      <c r="N290" s="140"/>
      <c r="O290" s="140"/>
      <c r="P290" s="140"/>
      <c r="Q290" s="140"/>
      <c r="R290" s="140"/>
      <c r="S290" s="140"/>
      <c r="T290" s="140"/>
      <c r="U290" s="140"/>
      <c r="V290" s="140"/>
      <c r="W290" s="140"/>
      <c r="X290" s="140"/>
      <c r="Y290" s="140"/>
      <c r="Z290" s="140"/>
      <c r="AA290" s="141"/>
      <c r="AE290" s="140"/>
      <c r="AI290" s="141"/>
      <c r="AM290" s="141"/>
      <c r="AQ290" s="141"/>
      <c r="AT290" s="140"/>
      <c r="AU290" s="140"/>
    </row>
    <row r="291" spans="2:47" s="134" customFormat="1" x14ac:dyDescent="0.2">
      <c r="B291" s="145"/>
      <c r="D291" s="679"/>
      <c r="J291" s="140"/>
      <c r="K291" s="140"/>
      <c r="L291" s="140"/>
      <c r="M291" s="140"/>
      <c r="N291" s="140"/>
      <c r="O291" s="140"/>
      <c r="P291" s="140"/>
      <c r="Q291" s="140"/>
      <c r="R291" s="140"/>
      <c r="S291" s="140"/>
      <c r="T291" s="140"/>
      <c r="U291" s="140"/>
      <c r="V291" s="140"/>
      <c r="W291" s="140"/>
      <c r="X291" s="140"/>
      <c r="Y291" s="140"/>
      <c r="Z291" s="140"/>
      <c r="AA291" s="141"/>
      <c r="AE291" s="140"/>
      <c r="AI291" s="141"/>
      <c r="AM291" s="141"/>
      <c r="AQ291" s="141"/>
      <c r="AT291" s="140"/>
      <c r="AU291" s="140"/>
    </row>
    <row r="292" spans="2:47" s="134" customFormat="1" x14ac:dyDescent="0.2">
      <c r="B292" s="145"/>
      <c r="D292" s="679"/>
      <c r="J292" s="140"/>
      <c r="K292" s="140"/>
      <c r="L292" s="140"/>
      <c r="M292" s="140"/>
      <c r="N292" s="140"/>
      <c r="O292" s="140"/>
      <c r="P292" s="140"/>
      <c r="Q292" s="140"/>
      <c r="R292" s="140"/>
      <c r="S292" s="140"/>
      <c r="T292" s="140"/>
      <c r="U292" s="140"/>
      <c r="V292" s="140"/>
      <c r="W292" s="140"/>
      <c r="X292" s="140"/>
      <c r="Y292" s="140"/>
      <c r="Z292" s="140"/>
      <c r="AA292" s="141"/>
      <c r="AE292" s="140"/>
      <c r="AI292" s="141"/>
      <c r="AM292" s="141"/>
      <c r="AQ292" s="141"/>
      <c r="AT292" s="140"/>
      <c r="AU292" s="140"/>
    </row>
    <row r="293" spans="2:47" s="134" customFormat="1" x14ac:dyDescent="0.2">
      <c r="B293" s="145"/>
      <c r="D293" s="679"/>
      <c r="J293" s="140"/>
      <c r="K293" s="140"/>
      <c r="L293" s="140"/>
      <c r="M293" s="140"/>
      <c r="N293" s="140"/>
      <c r="O293" s="140"/>
      <c r="P293" s="140"/>
      <c r="Q293" s="140"/>
      <c r="R293" s="140"/>
      <c r="S293" s="140"/>
      <c r="T293" s="140"/>
      <c r="U293" s="140"/>
      <c r="V293" s="140"/>
      <c r="W293" s="140"/>
      <c r="X293" s="140"/>
      <c r="Y293" s="140"/>
      <c r="Z293" s="140"/>
      <c r="AA293" s="141"/>
      <c r="AE293" s="140"/>
      <c r="AI293" s="141"/>
      <c r="AM293" s="141"/>
      <c r="AQ293" s="141"/>
      <c r="AT293" s="140"/>
      <c r="AU293" s="140"/>
    </row>
    <row r="294" spans="2:47" s="134" customFormat="1" x14ac:dyDescent="0.2">
      <c r="B294" s="145"/>
      <c r="D294" s="679"/>
      <c r="J294" s="140"/>
      <c r="K294" s="140"/>
      <c r="L294" s="140"/>
      <c r="M294" s="140"/>
      <c r="N294" s="140"/>
      <c r="O294" s="140"/>
      <c r="P294" s="140"/>
      <c r="Q294" s="140"/>
      <c r="R294" s="140"/>
      <c r="S294" s="140"/>
      <c r="T294" s="140"/>
      <c r="U294" s="140"/>
      <c r="V294" s="140"/>
      <c r="W294" s="140"/>
      <c r="X294" s="140"/>
      <c r="Y294" s="140"/>
      <c r="Z294" s="140"/>
      <c r="AA294" s="141"/>
      <c r="AE294" s="140"/>
      <c r="AI294" s="141"/>
      <c r="AM294" s="141"/>
      <c r="AQ294" s="141"/>
      <c r="AT294" s="140"/>
      <c r="AU294" s="140"/>
    </row>
    <row r="295" spans="2:47" s="134" customFormat="1" x14ac:dyDescent="0.2">
      <c r="B295" s="145"/>
      <c r="D295" s="679"/>
      <c r="J295" s="140"/>
      <c r="K295" s="140"/>
      <c r="L295" s="140"/>
      <c r="M295" s="140"/>
      <c r="N295" s="140"/>
      <c r="O295" s="140"/>
      <c r="P295" s="140"/>
      <c r="Q295" s="140"/>
      <c r="R295" s="140"/>
      <c r="S295" s="140"/>
      <c r="T295" s="140"/>
      <c r="U295" s="140"/>
      <c r="V295" s="140"/>
      <c r="W295" s="140"/>
      <c r="X295" s="140"/>
      <c r="Y295" s="140"/>
      <c r="Z295" s="140"/>
      <c r="AA295" s="141"/>
      <c r="AE295" s="140"/>
      <c r="AI295" s="141"/>
      <c r="AM295" s="141"/>
      <c r="AQ295" s="141"/>
      <c r="AT295" s="140"/>
      <c r="AU295" s="140"/>
    </row>
    <row r="296" spans="2:47" s="134" customFormat="1" x14ac:dyDescent="0.2">
      <c r="B296" s="145"/>
      <c r="D296" s="679"/>
      <c r="J296" s="140"/>
      <c r="K296" s="140"/>
      <c r="L296" s="140"/>
      <c r="M296" s="140"/>
      <c r="N296" s="140"/>
      <c r="O296" s="140"/>
      <c r="P296" s="140"/>
      <c r="Q296" s="140"/>
      <c r="R296" s="140"/>
      <c r="S296" s="140"/>
      <c r="T296" s="140"/>
      <c r="U296" s="140"/>
      <c r="V296" s="140"/>
      <c r="W296" s="140"/>
      <c r="X296" s="140"/>
      <c r="Y296" s="140"/>
      <c r="Z296" s="140"/>
      <c r="AA296" s="141"/>
      <c r="AE296" s="140"/>
      <c r="AI296" s="141"/>
      <c r="AM296" s="141"/>
      <c r="AQ296" s="141"/>
      <c r="AT296" s="140"/>
      <c r="AU296" s="140"/>
    </row>
    <row r="297" spans="2:47" s="134" customFormat="1" x14ac:dyDescent="0.2">
      <c r="B297" s="145"/>
      <c r="D297" s="679"/>
      <c r="J297" s="140"/>
      <c r="K297" s="140"/>
      <c r="L297" s="140"/>
      <c r="M297" s="140"/>
      <c r="N297" s="140"/>
      <c r="O297" s="140"/>
      <c r="P297" s="140"/>
      <c r="Q297" s="140"/>
      <c r="R297" s="140"/>
      <c r="S297" s="140"/>
      <c r="T297" s="140"/>
      <c r="U297" s="140"/>
      <c r="V297" s="140"/>
      <c r="W297" s="140"/>
      <c r="X297" s="140"/>
      <c r="Y297" s="140"/>
      <c r="Z297" s="140"/>
      <c r="AA297" s="141"/>
      <c r="AE297" s="140"/>
      <c r="AI297" s="141"/>
      <c r="AM297" s="141"/>
      <c r="AQ297" s="141"/>
      <c r="AT297" s="140"/>
      <c r="AU297" s="140"/>
    </row>
    <row r="298" spans="2:47" s="134" customFormat="1" x14ac:dyDescent="0.2">
      <c r="B298" s="145"/>
      <c r="D298" s="679"/>
      <c r="J298" s="140"/>
      <c r="K298" s="140"/>
      <c r="L298" s="140"/>
      <c r="M298" s="140"/>
      <c r="N298" s="140"/>
      <c r="O298" s="140"/>
      <c r="P298" s="140"/>
      <c r="Q298" s="140"/>
      <c r="R298" s="140"/>
      <c r="S298" s="140"/>
      <c r="T298" s="140"/>
      <c r="U298" s="140"/>
      <c r="V298" s="140"/>
      <c r="W298" s="140"/>
      <c r="X298" s="140"/>
      <c r="Y298" s="140"/>
      <c r="Z298" s="140"/>
      <c r="AA298" s="141"/>
      <c r="AE298" s="140"/>
      <c r="AI298" s="141"/>
      <c r="AM298" s="141"/>
      <c r="AQ298" s="141"/>
      <c r="AT298" s="140"/>
      <c r="AU298" s="140"/>
    </row>
    <row r="299" spans="2:47" s="134" customFormat="1" x14ac:dyDescent="0.2">
      <c r="B299" s="145"/>
      <c r="D299" s="679"/>
      <c r="J299" s="140"/>
      <c r="K299" s="140"/>
      <c r="L299" s="140"/>
      <c r="M299" s="140"/>
      <c r="N299" s="140"/>
      <c r="O299" s="140"/>
      <c r="P299" s="140"/>
      <c r="Q299" s="140"/>
      <c r="R299" s="140"/>
      <c r="S299" s="140"/>
      <c r="T299" s="140"/>
      <c r="U299" s="140"/>
      <c r="V299" s="140"/>
      <c r="W299" s="140"/>
      <c r="X299" s="140"/>
      <c r="Y299" s="140"/>
      <c r="Z299" s="140"/>
      <c r="AA299" s="141"/>
      <c r="AE299" s="140"/>
      <c r="AI299" s="141"/>
      <c r="AM299" s="141"/>
      <c r="AQ299" s="141"/>
      <c r="AT299" s="140"/>
      <c r="AU299" s="140"/>
    </row>
    <row r="300" spans="2:47" s="134" customFormat="1" x14ac:dyDescent="0.2">
      <c r="B300" s="145"/>
      <c r="D300" s="679"/>
      <c r="J300" s="140"/>
      <c r="K300" s="140"/>
      <c r="L300" s="140"/>
      <c r="M300" s="140"/>
      <c r="N300" s="140"/>
      <c r="O300" s="140"/>
      <c r="P300" s="140"/>
      <c r="Q300" s="140"/>
      <c r="R300" s="140"/>
      <c r="S300" s="140"/>
      <c r="T300" s="140"/>
      <c r="U300" s="140"/>
      <c r="V300" s="140"/>
      <c r="W300" s="140"/>
      <c r="X300" s="140"/>
      <c r="Y300" s="140"/>
      <c r="Z300" s="140"/>
      <c r="AA300" s="141"/>
      <c r="AE300" s="140"/>
      <c r="AI300" s="141"/>
      <c r="AM300" s="141"/>
      <c r="AQ300" s="141"/>
      <c r="AT300" s="140"/>
      <c r="AU300" s="140"/>
    </row>
    <row r="301" spans="2:47" s="134" customFormat="1" x14ac:dyDescent="0.2">
      <c r="B301" s="145"/>
      <c r="D301" s="679"/>
      <c r="J301" s="140"/>
      <c r="K301" s="140"/>
      <c r="L301" s="140"/>
      <c r="M301" s="140"/>
      <c r="N301" s="140"/>
      <c r="O301" s="140"/>
      <c r="P301" s="140"/>
      <c r="Q301" s="140"/>
      <c r="R301" s="140"/>
      <c r="S301" s="140"/>
      <c r="T301" s="140"/>
      <c r="U301" s="140"/>
      <c r="V301" s="140"/>
      <c r="W301" s="140"/>
      <c r="X301" s="140"/>
      <c r="Y301" s="140"/>
      <c r="Z301" s="140"/>
      <c r="AA301" s="141"/>
      <c r="AE301" s="140"/>
      <c r="AI301" s="141"/>
      <c r="AM301" s="141"/>
      <c r="AQ301" s="141"/>
      <c r="AT301" s="140"/>
      <c r="AU301" s="140"/>
    </row>
    <row r="302" spans="2:47" s="134" customFormat="1" x14ac:dyDescent="0.2">
      <c r="B302" s="145"/>
      <c r="D302" s="679"/>
      <c r="J302" s="140"/>
      <c r="K302" s="140"/>
      <c r="L302" s="140"/>
      <c r="M302" s="140"/>
      <c r="N302" s="140"/>
      <c r="O302" s="140"/>
      <c r="P302" s="140"/>
      <c r="Q302" s="140"/>
      <c r="R302" s="140"/>
      <c r="S302" s="140"/>
      <c r="T302" s="140"/>
      <c r="U302" s="140"/>
      <c r="V302" s="140"/>
      <c r="W302" s="140"/>
      <c r="X302" s="140"/>
      <c r="Y302" s="140"/>
      <c r="Z302" s="140"/>
      <c r="AA302" s="141"/>
      <c r="AE302" s="140"/>
      <c r="AI302" s="141"/>
      <c r="AM302" s="141"/>
      <c r="AQ302" s="141"/>
      <c r="AT302" s="140"/>
      <c r="AU302" s="140"/>
    </row>
    <row r="303" spans="2:47" s="134" customFormat="1" x14ac:dyDescent="0.2">
      <c r="B303" s="145"/>
      <c r="D303" s="679"/>
      <c r="J303" s="140"/>
      <c r="K303" s="140"/>
      <c r="L303" s="140"/>
      <c r="M303" s="140"/>
      <c r="N303" s="140"/>
      <c r="O303" s="140"/>
      <c r="P303" s="140"/>
      <c r="Q303" s="140"/>
      <c r="R303" s="140"/>
      <c r="S303" s="140"/>
      <c r="T303" s="140"/>
      <c r="U303" s="140"/>
      <c r="V303" s="140"/>
      <c r="W303" s="140"/>
      <c r="X303" s="140"/>
      <c r="Y303" s="140"/>
      <c r="Z303" s="140"/>
      <c r="AA303" s="141"/>
      <c r="AE303" s="140"/>
      <c r="AI303" s="141"/>
      <c r="AM303" s="141"/>
      <c r="AQ303" s="141"/>
      <c r="AT303" s="140"/>
      <c r="AU303" s="140"/>
    </row>
    <row r="304" spans="2:47" s="134" customFormat="1" x14ac:dyDescent="0.2">
      <c r="B304" s="145"/>
      <c r="D304" s="679"/>
      <c r="J304" s="140"/>
      <c r="K304" s="140"/>
      <c r="L304" s="140"/>
      <c r="M304" s="140"/>
      <c r="N304" s="140"/>
      <c r="O304" s="140"/>
      <c r="P304" s="140"/>
      <c r="Q304" s="140"/>
      <c r="R304" s="140"/>
      <c r="S304" s="140"/>
      <c r="T304" s="140"/>
      <c r="U304" s="140"/>
      <c r="V304" s="140"/>
      <c r="W304" s="140"/>
      <c r="X304" s="140"/>
      <c r="Y304" s="140"/>
      <c r="Z304" s="140"/>
      <c r="AA304" s="141"/>
      <c r="AE304" s="140"/>
      <c r="AI304" s="141"/>
      <c r="AM304" s="141"/>
      <c r="AQ304" s="141"/>
      <c r="AT304" s="140"/>
      <c r="AU304" s="140"/>
    </row>
    <row r="305" spans="2:47" s="134" customFormat="1" x14ac:dyDescent="0.2">
      <c r="B305" s="145"/>
      <c r="D305" s="679"/>
      <c r="J305" s="140"/>
      <c r="K305" s="140"/>
      <c r="L305" s="140"/>
      <c r="M305" s="140"/>
      <c r="N305" s="140"/>
      <c r="O305" s="140"/>
      <c r="P305" s="140"/>
      <c r="Q305" s="140"/>
      <c r="R305" s="140"/>
      <c r="S305" s="140"/>
      <c r="T305" s="140"/>
      <c r="U305" s="140"/>
      <c r="V305" s="140"/>
      <c r="W305" s="140"/>
      <c r="X305" s="140"/>
      <c r="Y305" s="140"/>
      <c r="Z305" s="140"/>
      <c r="AA305" s="141"/>
      <c r="AE305" s="140"/>
      <c r="AI305" s="141"/>
      <c r="AM305" s="141"/>
      <c r="AQ305" s="141"/>
      <c r="AT305" s="140"/>
      <c r="AU305" s="140"/>
    </row>
    <row r="306" spans="2:47" s="134" customFormat="1" x14ac:dyDescent="0.2">
      <c r="B306" s="145"/>
      <c r="D306" s="679"/>
      <c r="J306" s="140"/>
      <c r="K306" s="140"/>
      <c r="L306" s="140"/>
      <c r="M306" s="140"/>
      <c r="N306" s="140"/>
      <c r="O306" s="140"/>
      <c r="P306" s="140"/>
      <c r="Q306" s="140"/>
      <c r="R306" s="140"/>
      <c r="S306" s="140"/>
      <c r="T306" s="140"/>
      <c r="U306" s="140"/>
      <c r="V306" s="140"/>
      <c r="W306" s="140"/>
      <c r="X306" s="140"/>
      <c r="Y306" s="140"/>
      <c r="Z306" s="140"/>
      <c r="AA306" s="141"/>
      <c r="AE306" s="140"/>
      <c r="AI306" s="141"/>
      <c r="AM306" s="141"/>
      <c r="AQ306" s="141"/>
      <c r="AT306" s="140"/>
      <c r="AU306" s="140"/>
    </row>
    <row r="307" spans="2:47" s="134" customFormat="1" x14ac:dyDescent="0.2">
      <c r="B307" s="145"/>
      <c r="D307" s="679"/>
      <c r="J307" s="140"/>
      <c r="K307" s="140"/>
      <c r="L307" s="140"/>
      <c r="M307" s="140"/>
      <c r="N307" s="140"/>
      <c r="O307" s="140"/>
      <c r="P307" s="140"/>
      <c r="Q307" s="140"/>
      <c r="R307" s="140"/>
      <c r="S307" s="140"/>
      <c r="T307" s="140"/>
      <c r="U307" s="140"/>
      <c r="V307" s="140"/>
      <c r="W307" s="140"/>
      <c r="X307" s="140"/>
      <c r="Y307" s="140"/>
      <c r="Z307" s="140"/>
      <c r="AA307" s="141"/>
      <c r="AE307" s="140"/>
      <c r="AI307" s="141"/>
      <c r="AM307" s="141"/>
      <c r="AQ307" s="141"/>
      <c r="AT307" s="140"/>
      <c r="AU307" s="140"/>
    </row>
    <row r="308" spans="2:47" s="134" customFormat="1" x14ac:dyDescent="0.2">
      <c r="B308" s="145"/>
      <c r="D308" s="679"/>
      <c r="J308" s="140"/>
      <c r="K308" s="140"/>
      <c r="L308" s="140"/>
      <c r="M308" s="140"/>
      <c r="N308" s="140"/>
      <c r="O308" s="140"/>
      <c r="P308" s="140"/>
      <c r="Q308" s="140"/>
      <c r="R308" s="140"/>
      <c r="S308" s="140"/>
      <c r="T308" s="140"/>
      <c r="U308" s="140"/>
      <c r="V308" s="140"/>
      <c r="W308" s="140"/>
      <c r="X308" s="140"/>
      <c r="Y308" s="140"/>
      <c r="Z308" s="140"/>
      <c r="AA308" s="141"/>
      <c r="AE308" s="140"/>
      <c r="AI308" s="141"/>
      <c r="AM308" s="141"/>
      <c r="AQ308" s="141"/>
      <c r="AT308" s="140"/>
      <c r="AU308" s="140"/>
    </row>
    <row r="309" spans="2:47" s="134" customFormat="1" x14ac:dyDescent="0.2">
      <c r="B309" s="145"/>
      <c r="D309" s="679"/>
      <c r="J309" s="140"/>
      <c r="K309" s="140"/>
      <c r="L309" s="140"/>
      <c r="M309" s="140"/>
      <c r="N309" s="140"/>
      <c r="O309" s="140"/>
      <c r="P309" s="140"/>
      <c r="Q309" s="140"/>
      <c r="R309" s="140"/>
      <c r="S309" s="140"/>
      <c r="T309" s="140"/>
      <c r="U309" s="140"/>
      <c r="V309" s="140"/>
      <c r="W309" s="140"/>
      <c r="X309" s="140"/>
      <c r="Y309" s="140"/>
      <c r="Z309" s="140"/>
      <c r="AA309" s="141"/>
      <c r="AE309" s="140"/>
      <c r="AI309" s="141"/>
      <c r="AM309" s="141"/>
      <c r="AQ309" s="141"/>
      <c r="AT309" s="140"/>
      <c r="AU309" s="140"/>
    </row>
    <row r="310" spans="2:47" s="134" customFormat="1" x14ac:dyDescent="0.2">
      <c r="B310" s="145"/>
      <c r="D310" s="679"/>
      <c r="J310" s="140"/>
      <c r="K310" s="140"/>
      <c r="L310" s="140"/>
      <c r="M310" s="140"/>
      <c r="N310" s="140"/>
      <c r="O310" s="140"/>
      <c r="P310" s="140"/>
      <c r="Q310" s="140"/>
      <c r="R310" s="140"/>
      <c r="S310" s="140"/>
      <c r="T310" s="140"/>
      <c r="U310" s="140"/>
      <c r="V310" s="140"/>
      <c r="W310" s="140"/>
      <c r="X310" s="140"/>
      <c r="Y310" s="140"/>
      <c r="Z310" s="140"/>
      <c r="AA310" s="141"/>
      <c r="AE310" s="140"/>
      <c r="AI310" s="141"/>
      <c r="AM310" s="141"/>
      <c r="AQ310" s="141"/>
      <c r="AT310" s="140"/>
      <c r="AU310" s="140"/>
    </row>
    <row r="311" spans="2:47" s="134" customFormat="1" x14ac:dyDescent="0.2">
      <c r="B311" s="145"/>
      <c r="D311" s="679"/>
      <c r="J311" s="140"/>
      <c r="K311" s="140"/>
      <c r="L311" s="140"/>
      <c r="M311" s="140"/>
      <c r="N311" s="140"/>
      <c r="O311" s="140"/>
      <c r="P311" s="140"/>
      <c r="Q311" s="140"/>
      <c r="R311" s="140"/>
      <c r="S311" s="140"/>
      <c r="T311" s="140"/>
      <c r="U311" s="140"/>
      <c r="V311" s="140"/>
      <c r="W311" s="140"/>
      <c r="X311" s="140"/>
      <c r="Y311" s="140"/>
      <c r="Z311" s="140"/>
      <c r="AA311" s="141"/>
      <c r="AE311" s="140"/>
      <c r="AI311" s="141"/>
      <c r="AM311" s="141"/>
      <c r="AQ311" s="141"/>
      <c r="AT311" s="140"/>
      <c r="AU311" s="140"/>
    </row>
    <row r="312" spans="2:47" s="134" customFormat="1" x14ac:dyDescent="0.2">
      <c r="B312" s="145"/>
      <c r="D312" s="679"/>
      <c r="J312" s="140"/>
      <c r="K312" s="140"/>
      <c r="L312" s="140"/>
      <c r="M312" s="140"/>
      <c r="N312" s="140"/>
      <c r="O312" s="140"/>
      <c r="P312" s="140"/>
      <c r="Q312" s="140"/>
      <c r="R312" s="140"/>
      <c r="S312" s="140"/>
      <c r="T312" s="140"/>
      <c r="U312" s="140"/>
      <c r="V312" s="140"/>
      <c r="W312" s="140"/>
      <c r="X312" s="140"/>
      <c r="Y312" s="140"/>
      <c r="Z312" s="140"/>
      <c r="AA312" s="141"/>
      <c r="AE312" s="140"/>
      <c r="AI312" s="141"/>
      <c r="AM312" s="141"/>
      <c r="AQ312" s="141"/>
      <c r="AT312" s="140"/>
      <c r="AU312" s="140"/>
    </row>
    <row r="313" spans="2:47" s="134" customFormat="1" x14ac:dyDescent="0.2">
      <c r="B313" s="145"/>
      <c r="D313" s="679"/>
      <c r="J313" s="140"/>
      <c r="K313" s="140"/>
      <c r="L313" s="140"/>
      <c r="M313" s="140"/>
      <c r="N313" s="140"/>
      <c r="O313" s="140"/>
      <c r="P313" s="140"/>
      <c r="Q313" s="140"/>
      <c r="R313" s="140"/>
      <c r="S313" s="140"/>
      <c r="T313" s="140"/>
      <c r="U313" s="140"/>
      <c r="V313" s="140"/>
      <c r="W313" s="140"/>
      <c r="X313" s="140"/>
      <c r="Y313" s="140"/>
      <c r="Z313" s="140"/>
      <c r="AA313" s="141"/>
      <c r="AE313" s="140"/>
      <c r="AI313" s="141"/>
      <c r="AM313" s="141"/>
      <c r="AQ313" s="141"/>
      <c r="AT313" s="140"/>
      <c r="AU313" s="140"/>
    </row>
    <row r="314" spans="2:47" s="134" customFormat="1" x14ac:dyDescent="0.2">
      <c r="B314" s="145"/>
      <c r="D314" s="679"/>
      <c r="J314" s="140"/>
      <c r="K314" s="140"/>
      <c r="L314" s="140"/>
      <c r="M314" s="140"/>
      <c r="N314" s="140"/>
      <c r="O314" s="140"/>
      <c r="P314" s="140"/>
      <c r="Q314" s="140"/>
      <c r="R314" s="140"/>
      <c r="S314" s="140"/>
      <c r="T314" s="140"/>
      <c r="U314" s="140"/>
      <c r="V314" s="140"/>
      <c r="W314" s="140"/>
      <c r="X314" s="140"/>
      <c r="Y314" s="140"/>
      <c r="Z314" s="140"/>
      <c r="AA314" s="141"/>
      <c r="AE314" s="140"/>
      <c r="AI314" s="141"/>
      <c r="AM314" s="141"/>
      <c r="AQ314" s="141"/>
      <c r="AT314" s="140"/>
      <c r="AU314" s="140"/>
    </row>
    <row r="315" spans="2:47" s="134" customFormat="1" x14ac:dyDescent="0.2">
      <c r="B315" s="145"/>
      <c r="D315" s="679"/>
      <c r="J315" s="140"/>
      <c r="K315" s="140"/>
      <c r="L315" s="140"/>
      <c r="M315" s="140"/>
      <c r="N315" s="140"/>
      <c r="O315" s="140"/>
      <c r="P315" s="140"/>
      <c r="Q315" s="140"/>
      <c r="R315" s="140"/>
      <c r="S315" s="140"/>
      <c r="T315" s="140"/>
      <c r="U315" s="140"/>
      <c r="V315" s="140"/>
      <c r="W315" s="140"/>
      <c r="X315" s="140"/>
      <c r="Y315" s="140"/>
      <c r="Z315" s="140"/>
      <c r="AA315" s="141"/>
      <c r="AE315" s="140"/>
      <c r="AI315" s="141"/>
      <c r="AM315" s="141"/>
      <c r="AQ315" s="141"/>
      <c r="AT315" s="140"/>
      <c r="AU315" s="140"/>
    </row>
    <row r="316" spans="2:47" s="134" customFormat="1" x14ac:dyDescent="0.2">
      <c r="B316" s="145"/>
      <c r="D316" s="679"/>
      <c r="J316" s="140"/>
      <c r="K316" s="140"/>
      <c r="L316" s="140"/>
      <c r="M316" s="140"/>
      <c r="N316" s="140"/>
      <c r="O316" s="140"/>
      <c r="P316" s="140"/>
      <c r="Q316" s="140"/>
      <c r="R316" s="140"/>
      <c r="S316" s="140"/>
      <c r="T316" s="140"/>
      <c r="U316" s="140"/>
      <c r="V316" s="140"/>
      <c r="W316" s="140"/>
      <c r="X316" s="140"/>
      <c r="Y316" s="140"/>
      <c r="Z316" s="140"/>
      <c r="AA316" s="141"/>
      <c r="AE316" s="140"/>
      <c r="AI316" s="141"/>
      <c r="AM316" s="141"/>
      <c r="AQ316" s="141"/>
      <c r="AT316" s="140"/>
      <c r="AU316" s="140"/>
    </row>
    <row r="317" spans="2:47" s="134" customFormat="1" x14ac:dyDescent="0.2">
      <c r="B317" s="145"/>
      <c r="D317" s="679"/>
      <c r="J317" s="140"/>
      <c r="K317" s="140"/>
      <c r="L317" s="140"/>
      <c r="M317" s="140"/>
      <c r="N317" s="140"/>
      <c r="O317" s="140"/>
      <c r="P317" s="140"/>
      <c r="Q317" s="140"/>
      <c r="R317" s="140"/>
      <c r="S317" s="140"/>
      <c r="T317" s="140"/>
      <c r="U317" s="140"/>
      <c r="V317" s="140"/>
      <c r="W317" s="140"/>
      <c r="X317" s="140"/>
      <c r="Y317" s="140"/>
      <c r="Z317" s="140"/>
      <c r="AA317" s="141"/>
      <c r="AE317" s="140"/>
      <c r="AI317" s="141"/>
      <c r="AM317" s="141"/>
      <c r="AQ317" s="141"/>
      <c r="AT317" s="140"/>
      <c r="AU317" s="140"/>
    </row>
    <row r="318" spans="2:47" s="134" customFormat="1" x14ac:dyDescent="0.2">
      <c r="B318" s="145"/>
      <c r="D318" s="679"/>
      <c r="J318" s="140"/>
      <c r="K318" s="140"/>
      <c r="L318" s="140"/>
      <c r="M318" s="140"/>
      <c r="N318" s="140"/>
      <c r="O318" s="140"/>
      <c r="P318" s="140"/>
      <c r="Q318" s="140"/>
      <c r="R318" s="140"/>
      <c r="S318" s="140"/>
      <c r="T318" s="140"/>
      <c r="U318" s="140"/>
      <c r="V318" s="140"/>
      <c r="W318" s="140"/>
      <c r="X318" s="140"/>
      <c r="Y318" s="140"/>
      <c r="Z318" s="140"/>
      <c r="AA318" s="141"/>
      <c r="AE318" s="140"/>
      <c r="AI318" s="141"/>
      <c r="AM318" s="141"/>
      <c r="AQ318" s="141"/>
      <c r="AT318" s="140"/>
      <c r="AU318" s="140"/>
    </row>
    <row r="319" spans="2:47" s="134" customFormat="1" x14ac:dyDescent="0.2">
      <c r="B319" s="145"/>
      <c r="D319" s="679"/>
      <c r="J319" s="140"/>
      <c r="K319" s="140"/>
      <c r="L319" s="140"/>
      <c r="M319" s="140"/>
      <c r="N319" s="140"/>
      <c r="O319" s="140"/>
      <c r="P319" s="140"/>
      <c r="Q319" s="140"/>
      <c r="R319" s="140"/>
      <c r="S319" s="140"/>
      <c r="T319" s="140"/>
      <c r="U319" s="140"/>
      <c r="V319" s="140"/>
      <c r="W319" s="140"/>
      <c r="X319" s="140"/>
      <c r="Y319" s="140"/>
      <c r="Z319" s="140"/>
      <c r="AA319" s="141"/>
      <c r="AE319" s="140"/>
      <c r="AI319" s="141"/>
      <c r="AM319" s="141"/>
      <c r="AQ319" s="141"/>
      <c r="AT319" s="140"/>
      <c r="AU319" s="140"/>
    </row>
    <row r="320" spans="2:47" s="134" customFormat="1" x14ac:dyDescent="0.2">
      <c r="B320" s="145"/>
      <c r="D320" s="679"/>
      <c r="J320" s="140"/>
      <c r="K320" s="140"/>
      <c r="L320" s="140"/>
      <c r="M320" s="140"/>
      <c r="N320" s="140"/>
      <c r="O320" s="140"/>
      <c r="P320" s="140"/>
      <c r="Q320" s="140"/>
      <c r="R320" s="140"/>
      <c r="S320" s="140"/>
      <c r="T320" s="140"/>
      <c r="U320" s="140"/>
      <c r="V320" s="140"/>
      <c r="W320" s="140"/>
      <c r="X320" s="140"/>
      <c r="Y320" s="140"/>
      <c r="Z320" s="140"/>
      <c r="AA320" s="141"/>
      <c r="AE320" s="140"/>
      <c r="AI320" s="141"/>
      <c r="AM320" s="141"/>
      <c r="AQ320" s="141"/>
      <c r="AT320" s="140"/>
      <c r="AU320" s="140"/>
    </row>
    <row r="321" spans="2:47" s="134" customFormat="1" x14ac:dyDescent="0.2">
      <c r="B321" s="145"/>
      <c r="D321" s="679"/>
      <c r="J321" s="140"/>
      <c r="K321" s="140"/>
      <c r="L321" s="140"/>
      <c r="M321" s="140"/>
      <c r="N321" s="140"/>
      <c r="O321" s="140"/>
      <c r="P321" s="140"/>
      <c r="Q321" s="140"/>
      <c r="R321" s="140"/>
      <c r="S321" s="140"/>
      <c r="T321" s="140"/>
      <c r="U321" s="140"/>
      <c r="V321" s="140"/>
      <c r="W321" s="140"/>
      <c r="X321" s="140"/>
      <c r="Y321" s="140"/>
      <c r="Z321" s="140"/>
      <c r="AA321" s="141"/>
      <c r="AE321" s="140"/>
      <c r="AI321" s="141"/>
      <c r="AM321" s="141"/>
      <c r="AQ321" s="141"/>
      <c r="AT321" s="140"/>
      <c r="AU321" s="140"/>
    </row>
    <row r="322" spans="2:47" s="134" customFormat="1" x14ac:dyDescent="0.2">
      <c r="B322" s="145"/>
      <c r="D322" s="679"/>
      <c r="J322" s="140"/>
      <c r="K322" s="140"/>
      <c r="L322" s="140"/>
      <c r="M322" s="140"/>
      <c r="N322" s="140"/>
      <c r="O322" s="140"/>
      <c r="P322" s="140"/>
      <c r="Q322" s="140"/>
      <c r="R322" s="140"/>
      <c r="S322" s="140"/>
      <c r="T322" s="140"/>
      <c r="U322" s="140"/>
      <c r="V322" s="140"/>
      <c r="W322" s="140"/>
      <c r="X322" s="140"/>
      <c r="Y322" s="140"/>
      <c r="Z322" s="140"/>
      <c r="AA322" s="141"/>
      <c r="AE322" s="140"/>
      <c r="AI322" s="141"/>
      <c r="AM322" s="141"/>
      <c r="AQ322" s="141"/>
      <c r="AT322" s="140"/>
      <c r="AU322" s="140"/>
    </row>
    <row r="323" spans="2:47" s="134" customFormat="1" x14ac:dyDescent="0.2">
      <c r="B323" s="145"/>
      <c r="D323" s="679"/>
      <c r="J323" s="140"/>
      <c r="K323" s="140"/>
      <c r="L323" s="140"/>
      <c r="M323" s="140"/>
      <c r="N323" s="140"/>
      <c r="O323" s="140"/>
      <c r="P323" s="140"/>
      <c r="Q323" s="140"/>
      <c r="R323" s="140"/>
      <c r="S323" s="140"/>
      <c r="T323" s="140"/>
      <c r="U323" s="140"/>
      <c r="V323" s="140"/>
      <c r="W323" s="140"/>
      <c r="X323" s="140"/>
      <c r="Y323" s="140"/>
      <c r="Z323" s="140"/>
      <c r="AA323" s="141"/>
      <c r="AE323" s="140"/>
      <c r="AI323" s="141"/>
      <c r="AM323" s="141"/>
      <c r="AQ323" s="141"/>
      <c r="AT323" s="140"/>
      <c r="AU323" s="140"/>
    </row>
    <row r="324" spans="2:47" s="134" customFormat="1" x14ac:dyDescent="0.2">
      <c r="B324" s="145"/>
      <c r="D324" s="679"/>
      <c r="J324" s="140"/>
      <c r="K324" s="140"/>
      <c r="L324" s="140"/>
      <c r="M324" s="140"/>
      <c r="N324" s="140"/>
      <c r="O324" s="140"/>
      <c r="P324" s="140"/>
      <c r="Q324" s="140"/>
      <c r="R324" s="140"/>
      <c r="S324" s="140"/>
      <c r="T324" s="140"/>
      <c r="U324" s="140"/>
      <c r="V324" s="140"/>
      <c r="W324" s="140"/>
      <c r="X324" s="140"/>
      <c r="Y324" s="140"/>
      <c r="Z324" s="140"/>
      <c r="AA324" s="141"/>
      <c r="AE324" s="140"/>
      <c r="AI324" s="141"/>
      <c r="AM324" s="141"/>
      <c r="AQ324" s="141"/>
      <c r="AT324" s="140"/>
      <c r="AU324" s="140"/>
    </row>
    <row r="325" spans="2:47" s="134" customFormat="1" x14ac:dyDescent="0.2">
      <c r="B325" s="145"/>
      <c r="D325" s="679"/>
      <c r="J325" s="140"/>
      <c r="K325" s="140"/>
      <c r="L325" s="140"/>
      <c r="M325" s="140"/>
      <c r="N325" s="140"/>
      <c r="O325" s="140"/>
      <c r="P325" s="140"/>
      <c r="Q325" s="140"/>
      <c r="R325" s="140"/>
      <c r="S325" s="140"/>
      <c r="T325" s="140"/>
      <c r="U325" s="140"/>
      <c r="V325" s="140"/>
      <c r="W325" s="140"/>
      <c r="X325" s="140"/>
      <c r="Y325" s="140"/>
      <c r="Z325" s="140"/>
      <c r="AA325" s="141"/>
      <c r="AE325" s="140"/>
      <c r="AI325" s="141"/>
      <c r="AM325" s="141"/>
      <c r="AQ325" s="141"/>
      <c r="AT325" s="140"/>
      <c r="AU325" s="140"/>
    </row>
    <row r="326" spans="2:47" s="134" customFormat="1" x14ac:dyDescent="0.2">
      <c r="B326" s="145"/>
      <c r="D326" s="679"/>
      <c r="J326" s="140"/>
      <c r="K326" s="140"/>
      <c r="L326" s="140"/>
      <c r="M326" s="140"/>
      <c r="N326" s="140"/>
      <c r="O326" s="140"/>
      <c r="P326" s="140"/>
      <c r="Q326" s="140"/>
      <c r="R326" s="140"/>
      <c r="S326" s="140"/>
      <c r="T326" s="140"/>
      <c r="U326" s="140"/>
      <c r="V326" s="140"/>
      <c r="W326" s="140"/>
      <c r="X326" s="140"/>
      <c r="Y326" s="140"/>
      <c r="Z326" s="140"/>
      <c r="AA326" s="141"/>
      <c r="AE326" s="140"/>
      <c r="AI326" s="141"/>
      <c r="AM326" s="141"/>
      <c r="AQ326" s="141"/>
      <c r="AT326" s="140"/>
      <c r="AU326" s="140"/>
    </row>
    <row r="327" spans="2:47" s="134" customFormat="1" x14ac:dyDescent="0.2">
      <c r="B327" s="145"/>
      <c r="D327" s="679"/>
      <c r="J327" s="140"/>
      <c r="K327" s="140"/>
      <c r="L327" s="140"/>
      <c r="M327" s="140"/>
      <c r="N327" s="140"/>
      <c r="O327" s="140"/>
      <c r="P327" s="140"/>
      <c r="Q327" s="140"/>
      <c r="R327" s="140"/>
      <c r="S327" s="140"/>
      <c r="T327" s="140"/>
      <c r="U327" s="140"/>
      <c r="V327" s="140"/>
      <c r="W327" s="140"/>
      <c r="X327" s="140"/>
      <c r="Y327" s="140"/>
      <c r="Z327" s="140"/>
      <c r="AA327" s="141"/>
      <c r="AE327" s="140"/>
      <c r="AI327" s="141"/>
      <c r="AM327" s="141"/>
      <c r="AQ327" s="141"/>
      <c r="AT327" s="140"/>
      <c r="AU327" s="140"/>
    </row>
    <row r="328" spans="2:47" s="134" customFormat="1" x14ac:dyDescent="0.2">
      <c r="B328" s="145"/>
      <c r="D328" s="679"/>
      <c r="J328" s="140"/>
      <c r="K328" s="140"/>
      <c r="L328" s="140"/>
      <c r="M328" s="140"/>
      <c r="N328" s="140"/>
      <c r="O328" s="140"/>
      <c r="P328" s="140"/>
      <c r="Q328" s="140"/>
      <c r="R328" s="140"/>
      <c r="S328" s="140"/>
      <c r="T328" s="140"/>
      <c r="U328" s="140"/>
      <c r="V328" s="140"/>
      <c r="W328" s="140"/>
      <c r="X328" s="140"/>
      <c r="Y328" s="140"/>
      <c r="Z328" s="140"/>
      <c r="AA328" s="141"/>
      <c r="AE328" s="140"/>
      <c r="AI328" s="141"/>
      <c r="AM328" s="141"/>
      <c r="AQ328" s="141"/>
      <c r="AT328" s="140"/>
      <c r="AU328" s="140"/>
    </row>
    <row r="329" spans="2:47" s="134" customFormat="1" x14ac:dyDescent="0.2">
      <c r="B329" s="145"/>
      <c r="D329" s="679"/>
      <c r="J329" s="140"/>
      <c r="K329" s="140"/>
      <c r="L329" s="140"/>
      <c r="M329" s="140"/>
      <c r="N329" s="140"/>
      <c r="O329" s="140"/>
      <c r="P329" s="140"/>
      <c r="Q329" s="140"/>
      <c r="R329" s="140"/>
      <c r="S329" s="140"/>
      <c r="T329" s="140"/>
      <c r="U329" s="140"/>
      <c r="V329" s="140"/>
      <c r="W329" s="140"/>
      <c r="X329" s="140"/>
      <c r="Y329" s="140"/>
      <c r="Z329" s="140"/>
      <c r="AA329" s="141"/>
      <c r="AE329" s="140"/>
      <c r="AI329" s="141"/>
      <c r="AM329" s="141"/>
      <c r="AQ329" s="141"/>
      <c r="AT329" s="140"/>
      <c r="AU329" s="140"/>
    </row>
    <row r="330" spans="2:47" s="134" customFormat="1" x14ac:dyDescent="0.2">
      <c r="B330" s="145"/>
      <c r="D330" s="679"/>
      <c r="J330" s="140"/>
      <c r="K330" s="140"/>
      <c r="L330" s="140"/>
      <c r="M330" s="140"/>
      <c r="N330" s="140"/>
      <c r="O330" s="140"/>
      <c r="P330" s="140"/>
      <c r="Q330" s="140"/>
      <c r="R330" s="140"/>
      <c r="S330" s="140"/>
      <c r="T330" s="140"/>
      <c r="U330" s="140"/>
      <c r="V330" s="140"/>
      <c r="W330" s="140"/>
      <c r="X330" s="140"/>
      <c r="Y330" s="140"/>
      <c r="Z330" s="140"/>
      <c r="AA330" s="141"/>
      <c r="AE330" s="140"/>
      <c r="AI330" s="141"/>
      <c r="AM330" s="141"/>
      <c r="AQ330" s="141"/>
      <c r="AT330" s="140"/>
      <c r="AU330" s="140"/>
    </row>
    <row r="331" spans="2:47" s="134" customFormat="1" x14ac:dyDescent="0.2">
      <c r="B331" s="145"/>
      <c r="D331" s="679"/>
      <c r="J331" s="140"/>
      <c r="K331" s="140"/>
      <c r="L331" s="140"/>
      <c r="M331" s="140"/>
      <c r="N331" s="140"/>
      <c r="O331" s="140"/>
      <c r="P331" s="140"/>
      <c r="Q331" s="140"/>
      <c r="R331" s="140"/>
      <c r="S331" s="140"/>
      <c r="T331" s="140"/>
      <c r="U331" s="140"/>
      <c r="V331" s="140"/>
      <c r="W331" s="140"/>
      <c r="X331" s="140"/>
      <c r="Y331" s="140"/>
      <c r="Z331" s="140"/>
      <c r="AA331" s="141"/>
      <c r="AE331" s="140"/>
      <c r="AI331" s="141"/>
      <c r="AM331" s="141"/>
      <c r="AQ331" s="141"/>
      <c r="AT331" s="140"/>
      <c r="AU331" s="140"/>
    </row>
    <row r="332" spans="2:47" s="134" customFormat="1" x14ac:dyDescent="0.2">
      <c r="B332" s="145"/>
      <c r="D332" s="679"/>
      <c r="J332" s="140"/>
      <c r="K332" s="140"/>
      <c r="L332" s="140"/>
      <c r="M332" s="140"/>
      <c r="N332" s="140"/>
      <c r="O332" s="140"/>
      <c r="P332" s="140"/>
      <c r="Q332" s="140"/>
      <c r="R332" s="140"/>
      <c r="S332" s="140"/>
      <c r="T332" s="140"/>
      <c r="U332" s="140"/>
      <c r="V332" s="140"/>
      <c r="W332" s="140"/>
      <c r="X332" s="140"/>
      <c r="Y332" s="140"/>
      <c r="Z332" s="140"/>
      <c r="AA332" s="141"/>
      <c r="AE332" s="140"/>
      <c r="AI332" s="141"/>
      <c r="AM332" s="141"/>
      <c r="AQ332" s="141"/>
      <c r="AT332" s="140"/>
      <c r="AU332" s="140"/>
    </row>
    <row r="333" spans="2:47" s="134" customFormat="1" x14ac:dyDescent="0.2">
      <c r="B333" s="145"/>
      <c r="D333" s="679"/>
      <c r="J333" s="140"/>
      <c r="K333" s="140"/>
      <c r="L333" s="140"/>
      <c r="M333" s="140"/>
      <c r="N333" s="140"/>
      <c r="O333" s="140"/>
      <c r="P333" s="140"/>
      <c r="Q333" s="140"/>
      <c r="R333" s="140"/>
      <c r="S333" s="140"/>
      <c r="T333" s="140"/>
      <c r="U333" s="140"/>
      <c r="V333" s="140"/>
      <c r="W333" s="140"/>
      <c r="X333" s="140"/>
      <c r="Y333" s="140"/>
      <c r="Z333" s="140"/>
      <c r="AA333" s="141"/>
      <c r="AE333" s="140"/>
      <c r="AI333" s="141"/>
      <c r="AM333" s="141"/>
      <c r="AQ333" s="141"/>
      <c r="AT333" s="140"/>
      <c r="AU333" s="140"/>
    </row>
    <row r="334" spans="2:47" s="134" customFormat="1" x14ac:dyDescent="0.2">
      <c r="B334" s="145"/>
      <c r="D334" s="679"/>
      <c r="J334" s="140"/>
      <c r="K334" s="140"/>
      <c r="L334" s="140"/>
      <c r="M334" s="140"/>
      <c r="N334" s="140"/>
      <c r="O334" s="140"/>
      <c r="P334" s="140"/>
      <c r="Q334" s="140"/>
      <c r="R334" s="140"/>
      <c r="S334" s="140"/>
      <c r="T334" s="140"/>
      <c r="U334" s="140"/>
      <c r="V334" s="140"/>
      <c r="W334" s="140"/>
      <c r="X334" s="140"/>
      <c r="Y334" s="140"/>
      <c r="Z334" s="140"/>
      <c r="AA334" s="141"/>
      <c r="AE334" s="140"/>
      <c r="AI334" s="141"/>
      <c r="AM334" s="141"/>
      <c r="AQ334" s="141"/>
      <c r="AT334" s="140"/>
      <c r="AU334" s="140"/>
    </row>
    <row r="335" spans="2:47" s="134" customFormat="1" x14ac:dyDescent="0.2">
      <c r="B335" s="145"/>
      <c r="D335" s="679"/>
      <c r="J335" s="140"/>
      <c r="K335" s="140"/>
      <c r="L335" s="140"/>
      <c r="M335" s="140"/>
      <c r="N335" s="140"/>
      <c r="O335" s="140"/>
      <c r="P335" s="140"/>
      <c r="Q335" s="140"/>
      <c r="R335" s="140"/>
      <c r="S335" s="140"/>
      <c r="T335" s="140"/>
      <c r="U335" s="140"/>
      <c r="V335" s="140"/>
      <c r="W335" s="140"/>
      <c r="X335" s="140"/>
      <c r="Y335" s="140"/>
      <c r="Z335" s="140"/>
      <c r="AA335" s="141"/>
      <c r="AE335" s="140"/>
      <c r="AI335" s="141"/>
      <c r="AM335" s="141"/>
      <c r="AQ335" s="141"/>
      <c r="AT335" s="140"/>
      <c r="AU335" s="140"/>
    </row>
    <row r="336" spans="2:47" s="134" customFormat="1" x14ac:dyDescent="0.2">
      <c r="B336" s="145"/>
      <c r="D336" s="679"/>
      <c r="J336" s="140"/>
      <c r="K336" s="140"/>
      <c r="L336" s="140"/>
      <c r="M336" s="140"/>
      <c r="N336" s="140"/>
      <c r="O336" s="140"/>
      <c r="P336" s="140"/>
      <c r="Q336" s="140"/>
      <c r="R336" s="140"/>
      <c r="S336" s="140"/>
      <c r="T336" s="140"/>
      <c r="U336" s="140"/>
      <c r="V336" s="140"/>
      <c r="W336" s="140"/>
      <c r="X336" s="140"/>
      <c r="Y336" s="140"/>
      <c r="Z336" s="140"/>
      <c r="AA336" s="141"/>
      <c r="AE336" s="140"/>
      <c r="AI336" s="141"/>
      <c r="AM336" s="141"/>
      <c r="AQ336" s="141"/>
      <c r="AT336" s="140"/>
      <c r="AU336" s="140"/>
    </row>
    <row r="337" spans="2:47" s="134" customFormat="1" x14ac:dyDescent="0.2">
      <c r="B337" s="145"/>
      <c r="D337" s="679"/>
      <c r="J337" s="140"/>
      <c r="K337" s="140"/>
      <c r="L337" s="140"/>
      <c r="M337" s="140"/>
      <c r="N337" s="140"/>
      <c r="O337" s="140"/>
      <c r="P337" s="140"/>
      <c r="Q337" s="140"/>
      <c r="R337" s="140"/>
      <c r="S337" s="140"/>
      <c r="T337" s="140"/>
      <c r="U337" s="140"/>
      <c r="V337" s="140"/>
      <c r="W337" s="140"/>
      <c r="X337" s="140"/>
      <c r="Y337" s="140"/>
      <c r="Z337" s="140"/>
      <c r="AA337" s="141"/>
      <c r="AE337" s="140"/>
      <c r="AI337" s="141"/>
      <c r="AM337" s="141"/>
      <c r="AQ337" s="141"/>
      <c r="AT337" s="140"/>
      <c r="AU337" s="140"/>
    </row>
    <row r="338" spans="2:47" s="134" customFormat="1" x14ac:dyDescent="0.2">
      <c r="B338" s="145"/>
      <c r="D338" s="679"/>
      <c r="J338" s="140"/>
      <c r="K338" s="140"/>
      <c r="L338" s="140"/>
      <c r="M338" s="140"/>
      <c r="N338" s="140"/>
      <c r="O338" s="140"/>
      <c r="P338" s="140"/>
      <c r="Q338" s="140"/>
      <c r="R338" s="140"/>
      <c r="S338" s="140"/>
      <c r="T338" s="140"/>
      <c r="U338" s="140"/>
      <c r="V338" s="140"/>
      <c r="W338" s="140"/>
      <c r="X338" s="140"/>
      <c r="Y338" s="140"/>
      <c r="Z338" s="140"/>
      <c r="AA338" s="141"/>
      <c r="AE338" s="140"/>
      <c r="AI338" s="141"/>
      <c r="AM338" s="141"/>
      <c r="AQ338" s="141"/>
      <c r="AT338" s="140"/>
      <c r="AU338" s="140"/>
    </row>
    <row r="339" spans="2:47" s="134" customFormat="1" x14ac:dyDescent="0.2">
      <c r="B339" s="145"/>
      <c r="D339" s="679"/>
      <c r="J339" s="140"/>
      <c r="K339" s="140"/>
      <c r="L339" s="140"/>
      <c r="M339" s="140"/>
      <c r="N339" s="140"/>
      <c r="O339" s="140"/>
      <c r="P339" s="140"/>
      <c r="Q339" s="140"/>
      <c r="R339" s="140"/>
      <c r="S339" s="140"/>
      <c r="T339" s="140"/>
      <c r="U339" s="140"/>
      <c r="V339" s="140"/>
      <c r="W339" s="140"/>
      <c r="X339" s="140"/>
      <c r="Y339" s="140"/>
      <c r="Z339" s="140"/>
      <c r="AA339" s="141"/>
      <c r="AE339" s="140"/>
      <c r="AI339" s="141"/>
      <c r="AM339" s="141"/>
      <c r="AQ339" s="141"/>
      <c r="AT339" s="140"/>
      <c r="AU339" s="140"/>
    </row>
    <row r="340" spans="2:47" s="134" customFormat="1" x14ac:dyDescent="0.2">
      <c r="B340" s="145"/>
      <c r="D340" s="679"/>
      <c r="J340" s="140"/>
      <c r="K340" s="140"/>
      <c r="L340" s="140"/>
      <c r="M340" s="140"/>
      <c r="N340" s="140"/>
      <c r="O340" s="140"/>
      <c r="P340" s="140"/>
      <c r="Q340" s="140"/>
      <c r="R340" s="140"/>
      <c r="S340" s="140"/>
      <c r="T340" s="140"/>
      <c r="U340" s="140"/>
      <c r="V340" s="140"/>
      <c r="W340" s="140"/>
      <c r="X340" s="140"/>
      <c r="Y340" s="140"/>
      <c r="Z340" s="140"/>
      <c r="AA340" s="141"/>
      <c r="AE340" s="140"/>
      <c r="AI340" s="141"/>
      <c r="AM340" s="141"/>
      <c r="AQ340" s="141"/>
      <c r="AT340" s="140"/>
      <c r="AU340" s="140"/>
    </row>
    <row r="341" spans="2:47" s="134" customFormat="1" x14ac:dyDescent="0.2">
      <c r="B341" s="145"/>
      <c r="D341" s="679"/>
      <c r="J341" s="140"/>
      <c r="K341" s="140"/>
      <c r="L341" s="140"/>
      <c r="M341" s="140"/>
      <c r="N341" s="140"/>
      <c r="O341" s="140"/>
      <c r="P341" s="140"/>
      <c r="Q341" s="140"/>
      <c r="R341" s="140"/>
      <c r="S341" s="140"/>
      <c r="T341" s="140"/>
      <c r="U341" s="140"/>
      <c r="V341" s="140"/>
      <c r="W341" s="140"/>
      <c r="X341" s="140"/>
      <c r="Y341" s="140"/>
      <c r="Z341" s="140"/>
      <c r="AA341" s="141"/>
      <c r="AE341" s="140"/>
      <c r="AI341" s="141"/>
      <c r="AM341" s="141"/>
      <c r="AQ341" s="141"/>
      <c r="AT341" s="140"/>
      <c r="AU341" s="140"/>
    </row>
    <row r="342" spans="2:47" s="134" customFormat="1" x14ac:dyDescent="0.2">
      <c r="B342" s="145"/>
      <c r="D342" s="679"/>
      <c r="J342" s="140"/>
      <c r="K342" s="140"/>
      <c r="L342" s="140"/>
      <c r="M342" s="140"/>
      <c r="N342" s="140"/>
      <c r="O342" s="140"/>
      <c r="P342" s="140"/>
      <c r="Q342" s="140"/>
      <c r="R342" s="140"/>
      <c r="S342" s="140"/>
      <c r="T342" s="140"/>
      <c r="U342" s="140"/>
      <c r="V342" s="140"/>
      <c r="W342" s="140"/>
      <c r="X342" s="140"/>
      <c r="Y342" s="140"/>
      <c r="Z342" s="140"/>
      <c r="AA342" s="141"/>
      <c r="AE342" s="140"/>
      <c r="AI342" s="141"/>
      <c r="AM342" s="141"/>
      <c r="AQ342" s="141"/>
      <c r="AT342" s="140"/>
      <c r="AU342" s="140"/>
    </row>
    <row r="343" spans="2:47" s="134" customFormat="1" x14ac:dyDescent="0.2">
      <c r="B343" s="145"/>
      <c r="D343" s="679"/>
      <c r="J343" s="140"/>
      <c r="K343" s="140"/>
      <c r="L343" s="140"/>
      <c r="M343" s="140"/>
      <c r="N343" s="140"/>
      <c r="O343" s="140"/>
      <c r="P343" s="140"/>
      <c r="Q343" s="140"/>
      <c r="R343" s="140"/>
      <c r="S343" s="140"/>
      <c r="T343" s="140"/>
      <c r="U343" s="140"/>
      <c r="V343" s="140"/>
      <c r="W343" s="140"/>
      <c r="X343" s="140"/>
      <c r="Y343" s="140"/>
      <c r="Z343" s="140"/>
      <c r="AA343" s="141"/>
      <c r="AE343" s="140"/>
      <c r="AI343" s="141"/>
      <c r="AM343" s="141"/>
      <c r="AQ343" s="141"/>
      <c r="AT343" s="140"/>
      <c r="AU343" s="140"/>
    </row>
    <row r="344" spans="2:47" s="134" customFormat="1" x14ac:dyDescent="0.2">
      <c r="B344" s="145"/>
      <c r="D344" s="679"/>
      <c r="J344" s="140"/>
      <c r="K344" s="140"/>
      <c r="L344" s="140"/>
      <c r="M344" s="140"/>
      <c r="N344" s="140"/>
      <c r="O344" s="140"/>
      <c r="P344" s="140"/>
      <c r="Q344" s="140"/>
      <c r="R344" s="140"/>
      <c r="S344" s="140"/>
      <c r="T344" s="140"/>
      <c r="U344" s="140"/>
      <c r="V344" s="140"/>
      <c r="W344" s="140"/>
      <c r="X344" s="140"/>
      <c r="Y344" s="140"/>
      <c r="Z344" s="140"/>
      <c r="AA344" s="141"/>
      <c r="AE344" s="140"/>
      <c r="AI344" s="141"/>
      <c r="AM344" s="141"/>
      <c r="AQ344" s="141"/>
      <c r="AT344" s="140"/>
      <c r="AU344" s="140"/>
    </row>
    <row r="345" spans="2:47" s="134" customFormat="1" x14ac:dyDescent="0.2">
      <c r="B345" s="145"/>
      <c r="D345" s="679"/>
      <c r="J345" s="140"/>
      <c r="K345" s="140"/>
      <c r="L345" s="140"/>
      <c r="M345" s="140"/>
      <c r="N345" s="140"/>
      <c r="O345" s="140"/>
      <c r="P345" s="140"/>
      <c r="Q345" s="140"/>
      <c r="R345" s="140"/>
      <c r="S345" s="140"/>
      <c r="T345" s="140"/>
      <c r="U345" s="140"/>
      <c r="V345" s="140"/>
      <c r="W345" s="140"/>
      <c r="X345" s="140"/>
      <c r="Y345" s="140"/>
      <c r="Z345" s="140"/>
      <c r="AA345" s="141"/>
      <c r="AE345" s="140"/>
      <c r="AI345" s="141"/>
      <c r="AM345" s="141"/>
      <c r="AQ345" s="141"/>
      <c r="AT345" s="140"/>
      <c r="AU345" s="140"/>
    </row>
    <row r="346" spans="2:47" s="134" customFormat="1" x14ac:dyDescent="0.2">
      <c r="B346" s="145"/>
      <c r="D346" s="679"/>
      <c r="J346" s="140"/>
      <c r="K346" s="140"/>
      <c r="L346" s="140"/>
      <c r="M346" s="140"/>
      <c r="N346" s="140"/>
      <c r="O346" s="140"/>
      <c r="P346" s="140"/>
      <c r="Q346" s="140"/>
      <c r="R346" s="140"/>
      <c r="S346" s="140"/>
      <c r="T346" s="140"/>
      <c r="U346" s="140"/>
      <c r="V346" s="140"/>
      <c r="W346" s="140"/>
      <c r="X346" s="140"/>
      <c r="Y346" s="140"/>
      <c r="Z346" s="140"/>
      <c r="AA346" s="141"/>
      <c r="AE346" s="140"/>
      <c r="AI346" s="141"/>
      <c r="AM346" s="141"/>
      <c r="AQ346" s="141"/>
      <c r="AT346" s="140"/>
      <c r="AU346" s="140"/>
    </row>
    <row r="347" spans="2:47" s="134" customFormat="1" x14ac:dyDescent="0.2">
      <c r="B347" s="145"/>
      <c r="D347" s="679"/>
      <c r="J347" s="140"/>
      <c r="K347" s="140"/>
      <c r="L347" s="140"/>
      <c r="M347" s="140"/>
      <c r="N347" s="140"/>
      <c r="O347" s="140"/>
      <c r="P347" s="140"/>
      <c r="Q347" s="140"/>
      <c r="R347" s="140"/>
      <c r="S347" s="140"/>
      <c r="T347" s="140"/>
      <c r="U347" s="140"/>
      <c r="V347" s="140"/>
      <c r="W347" s="140"/>
      <c r="X347" s="140"/>
      <c r="Y347" s="140"/>
      <c r="Z347" s="140"/>
      <c r="AA347" s="141"/>
      <c r="AE347" s="140"/>
      <c r="AI347" s="141"/>
      <c r="AM347" s="141"/>
      <c r="AQ347" s="141"/>
      <c r="AT347" s="140"/>
      <c r="AU347" s="140"/>
    </row>
    <row r="348" spans="2:47" s="134" customFormat="1" x14ac:dyDescent="0.2">
      <c r="B348" s="145"/>
      <c r="D348" s="679"/>
      <c r="J348" s="140"/>
      <c r="K348" s="140"/>
      <c r="L348" s="140"/>
      <c r="M348" s="140"/>
      <c r="N348" s="140"/>
      <c r="O348" s="140"/>
      <c r="P348" s="140"/>
      <c r="Q348" s="140"/>
      <c r="R348" s="140"/>
      <c r="S348" s="140"/>
      <c r="T348" s="140"/>
      <c r="U348" s="140"/>
      <c r="V348" s="140"/>
      <c r="W348" s="140"/>
      <c r="X348" s="140"/>
      <c r="Y348" s="140"/>
      <c r="Z348" s="140"/>
      <c r="AA348" s="141"/>
      <c r="AE348" s="140"/>
      <c r="AI348" s="141"/>
      <c r="AM348" s="141"/>
      <c r="AQ348" s="141"/>
      <c r="AT348" s="140"/>
      <c r="AU348" s="140"/>
    </row>
    <row r="349" spans="2:47" s="134" customFormat="1" x14ac:dyDescent="0.2">
      <c r="B349" s="145"/>
      <c r="D349" s="679"/>
      <c r="J349" s="140"/>
      <c r="K349" s="140"/>
      <c r="L349" s="140"/>
      <c r="M349" s="140"/>
      <c r="N349" s="140"/>
      <c r="O349" s="140"/>
      <c r="P349" s="140"/>
      <c r="Q349" s="140"/>
      <c r="R349" s="140"/>
      <c r="S349" s="140"/>
      <c r="T349" s="140"/>
      <c r="U349" s="140"/>
      <c r="V349" s="140"/>
      <c r="W349" s="140"/>
      <c r="X349" s="140"/>
      <c r="Y349" s="140"/>
      <c r="Z349" s="140"/>
      <c r="AA349" s="141"/>
      <c r="AE349" s="140"/>
      <c r="AI349" s="141"/>
      <c r="AM349" s="141"/>
      <c r="AQ349" s="141"/>
      <c r="AT349" s="140"/>
      <c r="AU349" s="140"/>
    </row>
    <row r="350" spans="2:47" s="134" customFormat="1" x14ac:dyDescent="0.2">
      <c r="B350" s="145"/>
      <c r="D350" s="679"/>
      <c r="J350" s="140"/>
      <c r="K350" s="140"/>
      <c r="L350" s="140"/>
      <c r="M350" s="140"/>
      <c r="N350" s="140"/>
      <c r="O350" s="140"/>
      <c r="P350" s="140"/>
      <c r="Q350" s="140"/>
      <c r="R350" s="140"/>
      <c r="S350" s="140"/>
      <c r="T350" s="140"/>
      <c r="U350" s="140"/>
      <c r="V350" s="140"/>
      <c r="W350" s="140"/>
      <c r="X350" s="140"/>
      <c r="Y350" s="140"/>
      <c r="Z350" s="140"/>
      <c r="AA350" s="141"/>
      <c r="AE350" s="140"/>
      <c r="AI350" s="141"/>
      <c r="AM350" s="141"/>
      <c r="AQ350" s="141"/>
      <c r="AT350" s="140"/>
      <c r="AU350" s="140"/>
    </row>
    <row r="351" spans="2:47" s="134" customFormat="1" x14ac:dyDescent="0.2">
      <c r="B351" s="145"/>
      <c r="D351" s="679"/>
      <c r="J351" s="140"/>
      <c r="K351" s="140"/>
      <c r="L351" s="140"/>
      <c r="M351" s="140"/>
      <c r="N351" s="140"/>
      <c r="O351" s="140"/>
      <c r="P351" s="140"/>
      <c r="Q351" s="140"/>
      <c r="R351" s="140"/>
      <c r="S351" s="140"/>
      <c r="T351" s="140"/>
      <c r="U351" s="140"/>
      <c r="V351" s="140"/>
      <c r="W351" s="140"/>
      <c r="X351" s="140"/>
      <c r="Y351" s="140"/>
      <c r="Z351" s="140"/>
      <c r="AA351" s="141"/>
      <c r="AE351" s="140"/>
      <c r="AI351" s="141"/>
      <c r="AM351" s="141"/>
      <c r="AQ351" s="141"/>
      <c r="AT351" s="140"/>
      <c r="AU351" s="140"/>
    </row>
    <row r="352" spans="2:47" s="134" customFormat="1" x14ac:dyDescent="0.2">
      <c r="B352" s="145"/>
      <c r="D352" s="679"/>
      <c r="J352" s="140"/>
      <c r="K352" s="140"/>
      <c r="L352" s="140"/>
      <c r="M352" s="140"/>
      <c r="N352" s="140"/>
      <c r="O352" s="140"/>
      <c r="P352" s="140"/>
      <c r="Q352" s="140"/>
      <c r="R352" s="140"/>
      <c r="S352" s="140"/>
      <c r="T352" s="140"/>
      <c r="U352" s="140"/>
      <c r="V352" s="140"/>
      <c r="W352" s="140"/>
      <c r="X352" s="140"/>
      <c r="Y352" s="140"/>
      <c r="Z352" s="140"/>
      <c r="AA352" s="141"/>
      <c r="AE352" s="140"/>
      <c r="AI352" s="141"/>
      <c r="AM352" s="141"/>
      <c r="AQ352" s="141"/>
      <c r="AT352" s="140"/>
      <c r="AU352" s="140"/>
    </row>
    <row r="353" spans="2:47" s="134" customFormat="1" x14ac:dyDescent="0.2">
      <c r="B353" s="145"/>
      <c r="D353" s="679"/>
      <c r="J353" s="140"/>
      <c r="K353" s="140"/>
      <c r="L353" s="140"/>
      <c r="M353" s="140"/>
      <c r="N353" s="140"/>
      <c r="O353" s="140"/>
      <c r="P353" s="140"/>
      <c r="Q353" s="140"/>
      <c r="R353" s="140"/>
      <c r="S353" s="140"/>
      <c r="T353" s="140"/>
      <c r="U353" s="140"/>
      <c r="V353" s="140"/>
      <c r="W353" s="140"/>
      <c r="X353" s="140"/>
      <c r="Y353" s="140"/>
      <c r="Z353" s="140"/>
      <c r="AA353" s="141"/>
      <c r="AE353" s="140"/>
      <c r="AI353" s="141"/>
      <c r="AM353" s="141"/>
      <c r="AQ353" s="141"/>
      <c r="AT353" s="140"/>
      <c r="AU353" s="140"/>
    </row>
    <row r="354" spans="2:47" s="134" customFormat="1" x14ac:dyDescent="0.2">
      <c r="B354" s="145"/>
      <c r="D354" s="679"/>
      <c r="J354" s="140"/>
      <c r="K354" s="140"/>
      <c r="L354" s="140"/>
      <c r="M354" s="140"/>
      <c r="N354" s="140"/>
      <c r="O354" s="140"/>
      <c r="P354" s="140"/>
      <c r="Q354" s="140"/>
      <c r="R354" s="140"/>
      <c r="S354" s="140"/>
      <c r="T354" s="140"/>
      <c r="U354" s="140"/>
      <c r="V354" s="140"/>
      <c r="W354" s="140"/>
      <c r="X354" s="140"/>
      <c r="Y354" s="140"/>
      <c r="Z354" s="140"/>
      <c r="AA354" s="141"/>
      <c r="AE354" s="140"/>
      <c r="AI354" s="141"/>
      <c r="AM354" s="141"/>
      <c r="AQ354" s="141"/>
      <c r="AT354" s="140"/>
      <c r="AU354" s="140"/>
    </row>
    <row r="355" spans="2:47" s="134" customFormat="1" x14ac:dyDescent="0.2">
      <c r="B355" s="145"/>
      <c r="D355" s="679"/>
      <c r="J355" s="140"/>
      <c r="K355" s="140"/>
      <c r="L355" s="140"/>
      <c r="M355" s="140"/>
      <c r="N355" s="140"/>
      <c r="O355" s="140"/>
      <c r="P355" s="140"/>
      <c r="Q355" s="140"/>
      <c r="R355" s="140"/>
      <c r="S355" s="140"/>
      <c r="T355" s="140"/>
      <c r="U355" s="140"/>
      <c r="V355" s="140"/>
      <c r="W355" s="140"/>
      <c r="X355" s="140"/>
      <c r="Y355" s="140"/>
      <c r="Z355" s="140"/>
      <c r="AA355" s="141"/>
      <c r="AE355" s="140"/>
      <c r="AI355" s="141"/>
      <c r="AM355" s="141"/>
      <c r="AQ355" s="141"/>
      <c r="AT355" s="140"/>
      <c r="AU355" s="140"/>
    </row>
    <row r="356" spans="2:47" s="134" customFormat="1" x14ac:dyDescent="0.2">
      <c r="B356" s="145"/>
      <c r="D356" s="679"/>
      <c r="J356" s="140"/>
      <c r="K356" s="140"/>
      <c r="L356" s="140"/>
      <c r="M356" s="140"/>
      <c r="N356" s="140"/>
      <c r="O356" s="140"/>
      <c r="P356" s="140"/>
      <c r="Q356" s="140"/>
      <c r="R356" s="140"/>
      <c r="S356" s="140"/>
      <c r="T356" s="140"/>
      <c r="U356" s="140"/>
      <c r="V356" s="140"/>
      <c r="W356" s="140"/>
      <c r="X356" s="140"/>
      <c r="Y356" s="140"/>
      <c r="Z356" s="140"/>
      <c r="AA356" s="141"/>
      <c r="AE356" s="140"/>
      <c r="AI356" s="141"/>
      <c r="AM356" s="141"/>
      <c r="AQ356" s="141"/>
      <c r="AT356" s="140"/>
      <c r="AU356" s="140"/>
    </row>
    <row r="357" spans="2:47" s="134" customFormat="1" x14ac:dyDescent="0.2">
      <c r="B357" s="145"/>
      <c r="D357" s="679"/>
      <c r="J357" s="140"/>
      <c r="K357" s="140"/>
      <c r="L357" s="140"/>
      <c r="M357" s="140"/>
      <c r="N357" s="140"/>
      <c r="O357" s="140"/>
      <c r="P357" s="140"/>
      <c r="Q357" s="140"/>
      <c r="R357" s="140"/>
      <c r="S357" s="140"/>
      <c r="T357" s="140"/>
      <c r="U357" s="140"/>
      <c r="V357" s="140"/>
      <c r="W357" s="140"/>
      <c r="X357" s="140"/>
      <c r="Y357" s="140"/>
      <c r="Z357" s="140"/>
      <c r="AA357" s="141"/>
      <c r="AE357" s="140"/>
      <c r="AI357" s="141"/>
      <c r="AM357" s="141"/>
      <c r="AQ357" s="141"/>
      <c r="AT357" s="140"/>
      <c r="AU357" s="140"/>
    </row>
    <row r="358" spans="2:47" s="134" customFormat="1" x14ac:dyDescent="0.2">
      <c r="B358" s="145"/>
      <c r="D358" s="679"/>
      <c r="J358" s="140"/>
      <c r="K358" s="140"/>
      <c r="L358" s="140"/>
      <c r="M358" s="140"/>
      <c r="N358" s="140"/>
      <c r="O358" s="140"/>
      <c r="P358" s="140"/>
      <c r="Q358" s="140"/>
      <c r="R358" s="140"/>
      <c r="S358" s="140"/>
      <c r="T358" s="140"/>
      <c r="U358" s="140"/>
      <c r="V358" s="140"/>
      <c r="W358" s="140"/>
      <c r="X358" s="140"/>
      <c r="Y358" s="140"/>
      <c r="Z358" s="140"/>
      <c r="AA358" s="141"/>
      <c r="AE358" s="140"/>
      <c r="AI358" s="141"/>
      <c r="AM358" s="141"/>
      <c r="AQ358" s="141"/>
      <c r="AT358" s="140"/>
      <c r="AU358" s="140"/>
    </row>
    <row r="359" spans="2:47" s="134" customFormat="1" x14ac:dyDescent="0.2">
      <c r="B359" s="145"/>
      <c r="D359" s="679"/>
      <c r="J359" s="140"/>
      <c r="K359" s="140"/>
      <c r="L359" s="140"/>
      <c r="M359" s="140"/>
      <c r="N359" s="140"/>
      <c r="O359" s="140"/>
      <c r="P359" s="140"/>
      <c r="Q359" s="140"/>
      <c r="R359" s="140"/>
      <c r="S359" s="140"/>
      <c r="T359" s="140"/>
      <c r="U359" s="140"/>
      <c r="V359" s="140"/>
      <c r="W359" s="140"/>
      <c r="X359" s="140"/>
      <c r="Y359" s="140"/>
      <c r="Z359" s="140"/>
      <c r="AA359" s="141"/>
      <c r="AE359" s="140"/>
      <c r="AI359" s="141"/>
      <c r="AM359" s="141"/>
      <c r="AQ359" s="141"/>
      <c r="AT359" s="140"/>
      <c r="AU359" s="140"/>
    </row>
    <row r="360" spans="2:47" s="134" customFormat="1" x14ac:dyDescent="0.2">
      <c r="B360" s="145"/>
      <c r="D360" s="679"/>
      <c r="J360" s="140"/>
      <c r="K360" s="140"/>
      <c r="L360" s="140"/>
      <c r="M360" s="140"/>
      <c r="N360" s="140"/>
      <c r="O360" s="140"/>
      <c r="P360" s="140"/>
      <c r="Q360" s="140"/>
      <c r="R360" s="140"/>
      <c r="S360" s="140"/>
      <c r="T360" s="140"/>
      <c r="U360" s="140"/>
      <c r="V360" s="140"/>
      <c r="W360" s="140"/>
      <c r="X360" s="140"/>
      <c r="Y360" s="140"/>
      <c r="Z360" s="140"/>
      <c r="AA360" s="141"/>
      <c r="AE360" s="140"/>
      <c r="AI360" s="141"/>
      <c r="AM360" s="141"/>
      <c r="AQ360" s="141"/>
      <c r="AT360" s="140"/>
      <c r="AU360" s="140"/>
    </row>
    <row r="361" spans="2:47" s="134" customFormat="1" x14ac:dyDescent="0.2">
      <c r="B361" s="145"/>
      <c r="D361" s="679"/>
      <c r="J361" s="140"/>
      <c r="K361" s="140"/>
      <c r="L361" s="140"/>
      <c r="M361" s="140"/>
      <c r="N361" s="140"/>
      <c r="O361" s="140"/>
      <c r="P361" s="140"/>
      <c r="Q361" s="140"/>
      <c r="R361" s="140"/>
      <c r="S361" s="140"/>
      <c r="T361" s="140"/>
      <c r="U361" s="140"/>
      <c r="V361" s="140"/>
      <c r="W361" s="140"/>
      <c r="X361" s="140"/>
      <c r="Y361" s="140"/>
      <c r="Z361" s="140"/>
      <c r="AA361" s="141"/>
      <c r="AE361" s="140"/>
      <c r="AI361" s="141"/>
      <c r="AM361" s="141"/>
      <c r="AQ361" s="141"/>
      <c r="AT361" s="140"/>
      <c r="AU361" s="140"/>
    </row>
    <row r="362" spans="2:47" s="134" customFormat="1" x14ac:dyDescent="0.2">
      <c r="B362" s="145"/>
      <c r="D362" s="679"/>
      <c r="J362" s="140"/>
      <c r="K362" s="140"/>
      <c r="L362" s="140"/>
      <c r="M362" s="140"/>
      <c r="N362" s="140"/>
      <c r="O362" s="140"/>
      <c r="P362" s="140"/>
      <c r="Q362" s="140"/>
      <c r="R362" s="140"/>
      <c r="S362" s="140"/>
      <c r="T362" s="140"/>
      <c r="U362" s="140"/>
      <c r="V362" s="140"/>
      <c r="W362" s="140"/>
      <c r="X362" s="140"/>
      <c r="Y362" s="140"/>
      <c r="Z362" s="140"/>
      <c r="AA362" s="141"/>
      <c r="AE362" s="140"/>
      <c r="AI362" s="141"/>
      <c r="AM362" s="141"/>
      <c r="AQ362" s="141"/>
      <c r="AT362" s="140"/>
      <c r="AU362" s="140"/>
    </row>
    <row r="363" spans="2:47" s="134" customFormat="1" x14ac:dyDescent="0.2">
      <c r="B363" s="145"/>
      <c r="D363" s="679"/>
      <c r="J363" s="140"/>
      <c r="K363" s="140"/>
      <c r="L363" s="140"/>
      <c r="M363" s="140"/>
      <c r="N363" s="140"/>
      <c r="O363" s="140"/>
      <c r="P363" s="140"/>
      <c r="Q363" s="140"/>
      <c r="R363" s="140"/>
      <c r="S363" s="140"/>
      <c r="T363" s="140"/>
      <c r="U363" s="140"/>
      <c r="V363" s="140"/>
      <c r="W363" s="140"/>
      <c r="X363" s="140"/>
      <c r="Y363" s="140"/>
      <c r="Z363" s="140"/>
      <c r="AA363" s="141"/>
      <c r="AE363" s="140"/>
      <c r="AI363" s="141"/>
      <c r="AM363" s="141"/>
      <c r="AQ363" s="141"/>
      <c r="AT363" s="140"/>
      <c r="AU363" s="140"/>
    </row>
    <row r="364" spans="2:47" s="134" customFormat="1" x14ac:dyDescent="0.2">
      <c r="B364" s="145"/>
      <c r="D364" s="679"/>
      <c r="J364" s="140"/>
      <c r="K364" s="140"/>
      <c r="L364" s="140"/>
      <c r="M364" s="140"/>
      <c r="N364" s="140"/>
      <c r="O364" s="140"/>
      <c r="P364" s="140"/>
      <c r="Q364" s="140"/>
      <c r="R364" s="140"/>
      <c r="S364" s="140"/>
      <c r="T364" s="140"/>
      <c r="U364" s="140"/>
      <c r="V364" s="140"/>
      <c r="W364" s="140"/>
      <c r="X364" s="140"/>
      <c r="Y364" s="140"/>
      <c r="Z364" s="140"/>
      <c r="AA364" s="141"/>
      <c r="AE364" s="140"/>
      <c r="AI364" s="141"/>
      <c r="AM364" s="141"/>
      <c r="AQ364" s="141"/>
      <c r="AT364" s="140"/>
      <c r="AU364" s="140"/>
    </row>
    <row r="365" spans="2:47" s="134" customFormat="1" x14ac:dyDescent="0.2">
      <c r="B365" s="145"/>
      <c r="D365" s="679"/>
      <c r="J365" s="140"/>
      <c r="K365" s="140"/>
      <c r="L365" s="140"/>
      <c r="M365" s="140"/>
      <c r="N365" s="140"/>
      <c r="O365" s="140"/>
      <c r="P365" s="140"/>
      <c r="Q365" s="140"/>
      <c r="R365" s="140"/>
      <c r="S365" s="140"/>
      <c r="T365" s="140"/>
      <c r="U365" s="140"/>
      <c r="V365" s="140"/>
      <c r="W365" s="140"/>
      <c r="X365" s="140"/>
      <c r="Y365" s="140"/>
      <c r="Z365" s="140"/>
      <c r="AA365" s="141"/>
      <c r="AE365" s="140"/>
      <c r="AI365" s="141"/>
      <c r="AM365" s="141"/>
      <c r="AQ365" s="141"/>
      <c r="AT365" s="140"/>
      <c r="AU365" s="140"/>
    </row>
    <row r="366" spans="2:47" s="134" customFormat="1" x14ac:dyDescent="0.2">
      <c r="B366" s="145"/>
      <c r="D366" s="679"/>
      <c r="J366" s="140"/>
      <c r="K366" s="140"/>
      <c r="L366" s="140"/>
      <c r="M366" s="140"/>
      <c r="N366" s="140"/>
      <c r="O366" s="140"/>
      <c r="P366" s="140"/>
      <c r="Q366" s="140"/>
      <c r="R366" s="140"/>
      <c r="S366" s="140"/>
      <c r="T366" s="140"/>
      <c r="U366" s="140"/>
      <c r="V366" s="140"/>
      <c r="W366" s="140"/>
      <c r="X366" s="140"/>
      <c r="Y366" s="140"/>
      <c r="Z366" s="140"/>
      <c r="AA366" s="141"/>
      <c r="AE366" s="140"/>
      <c r="AI366" s="141"/>
      <c r="AM366" s="141"/>
      <c r="AQ366" s="141"/>
      <c r="AT366" s="140"/>
      <c r="AU366" s="140"/>
    </row>
    <row r="367" spans="2:47" s="134" customFormat="1" x14ac:dyDescent="0.2">
      <c r="B367" s="145"/>
      <c r="D367" s="679"/>
      <c r="J367" s="140"/>
      <c r="K367" s="140"/>
      <c r="L367" s="140"/>
      <c r="M367" s="140"/>
      <c r="N367" s="140"/>
      <c r="O367" s="140"/>
      <c r="P367" s="140"/>
      <c r="Q367" s="140"/>
      <c r="R367" s="140"/>
      <c r="S367" s="140"/>
      <c r="T367" s="140"/>
      <c r="U367" s="140"/>
      <c r="V367" s="140"/>
      <c r="W367" s="140"/>
      <c r="X367" s="140"/>
      <c r="Y367" s="140"/>
      <c r="Z367" s="140"/>
      <c r="AA367" s="141"/>
      <c r="AE367" s="140"/>
      <c r="AI367" s="141"/>
      <c r="AM367" s="141"/>
      <c r="AQ367" s="141"/>
      <c r="AT367" s="140"/>
      <c r="AU367" s="140"/>
    </row>
    <row r="368" spans="2:47" s="134" customFormat="1" x14ac:dyDescent="0.2">
      <c r="B368" s="145"/>
      <c r="D368" s="679"/>
      <c r="J368" s="140"/>
      <c r="K368" s="140"/>
      <c r="L368" s="140"/>
      <c r="M368" s="140"/>
      <c r="N368" s="140"/>
      <c r="O368" s="140"/>
      <c r="P368" s="140"/>
      <c r="Q368" s="140"/>
      <c r="R368" s="140"/>
      <c r="S368" s="140"/>
      <c r="T368" s="140"/>
      <c r="U368" s="140"/>
      <c r="V368" s="140"/>
      <c r="W368" s="140"/>
      <c r="X368" s="140"/>
      <c r="Y368" s="140"/>
      <c r="Z368" s="140"/>
      <c r="AA368" s="141"/>
      <c r="AE368" s="140"/>
      <c r="AI368" s="141"/>
      <c r="AM368" s="141"/>
      <c r="AQ368" s="141"/>
      <c r="AT368" s="140"/>
      <c r="AU368" s="140"/>
    </row>
    <row r="369" spans="2:47" s="134" customFormat="1" x14ac:dyDescent="0.2">
      <c r="B369" s="145"/>
      <c r="D369" s="679"/>
      <c r="J369" s="140"/>
      <c r="K369" s="140"/>
      <c r="L369" s="140"/>
      <c r="M369" s="140"/>
      <c r="N369" s="140"/>
      <c r="O369" s="140"/>
      <c r="P369" s="140"/>
      <c r="Q369" s="140"/>
      <c r="R369" s="140"/>
      <c r="S369" s="140"/>
      <c r="T369" s="140"/>
      <c r="U369" s="140"/>
      <c r="V369" s="140"/>
      <c r="W369" s="140"/>
      <c r="X369" s="140"/>
      <c r="Y369" s="140"/>
      <c r="Z369" s="140"/>
      <c r="AA369" s="141"/>
      <c r="AE369" s="140"/>
      <c r="AI369" s="141"/>
      <c r="AM369" s="141"/>
      <c r="AQ369" s="141"/>
      <c r="AT369" s="140"/>
      <c r="AU369" s="140"/>
    </row>
    <row r="370" spans="2:47" s="134" customFormat="1" x14ac:dyDescent="0.2">
      <c r="B370" s="145"/>
      <c r="D370" s="679"/>
      <c r="J370" s="140"/>
      <c r="K370" s="140"/>
      <c r="L370" s="140"/>
      <c r="M370" s="140"/>
      <c r="N370" s="140"/>
      <c r="O370" s="140"/>
      <c r="P370" s="140"/>
      <c r="Q370" s="140"/>
      <c r="R370" s="140"/>
      <c r="S370" s="140"/>
      <c r="T370" s="140"/>
      <c r="U370" s="140"/>
      <c r="V370" s="140"/>
      <c r="W370" s="140"/>
      <c r="X370" s="140"/>
      <c r="Y370" s="140"/>
      <c r="Z370" s="140"/>
      <c r="AA370" s="141"/>
      <c r="AE370" s="140"/>
      <c r="AI370" s="141"/>
      <c r="AM370" s="141"/>
      <c r="AQ370" s="141"/>
      <c r="AT370" s="140"/>
      <c r="AU370" s="140"/>
    </row>
    <row r="371" spans="2:47" s="134" customFormat="1" x14ac:dyDescent="0.2">
      <c r="B371" s="145"/>
      <c r="D371" s="679"/>
      <c r="J371" s="140"/>
      <c r="K371" s="140"/>
      <c r="L371" s="140"/>
      <c r="M371" s="140"/>
      <c r="N371" s="140"/>
      <c r="O371" s="140"/>
      <c r="P371" s="140"/>
      <c r="Q371" s="140"/>
      <c r="R371" s="140"/>
      <c r="S371" s="140"/>
      <c r="T371" s="140"/>
      <c r="U371" s="140"/>
      <c r="V371" s="140"/>
      <c r="W371" s="140"/>
      <c r="X371" s="140"/>
      <c r="Y371" s="140"/>
      <c r="Z371" s="140"/>
      <c r="AA371" s="141"/>
      <c r="AE371" s="140"/>
      <c r="AI371" s="141"/>
      <c r="AM371" s="141"/>
      <c r="AQ371" s="141"/>
      <c r="AT371" s="140"/>
      <c r="AU371" s="140"/>
    </row>
    <row r="372" spans="2:47" s="134" customFormat="1" x14ac:dyDescent="0.2">
      <c r="B372" s="145"/>
      <c r="D372" s="679"/>
      <c r="J372" s="140"/>
      <c r="K372" s="140"/>
      <c r="L372" s="140"/>
      <c r="M372" s="140"/>
      <c r="N372" s="140"/>
      <c r="O372" s="140"/>
      <c r="P372" s="140"/>
      <c r="Q372" s="140"/>
      <c r="R372" s="140"/>
      <c r="S372" s="140"/>
      <c r="T372" s="140"/>
      <c r="U372" s="140"/>
      <c r="V372" s="140"/>
      <c r="W372" s="140"/>
      <c r="X372" s="140"/>
      <c r="Y372" s="140"/>
      <c r="Z372" s="140"/>
      <c r="AA372" s="141"/>
      <c r="AE372" s="140"/>
      <c r="AI372" s="141"/>
      <c r="AM372" s="141"/>
      <c r="AQ372" s="141"/>
      <c r="AT372" s="140"/>
      <c r="AU372" s="140"/>
    </row>
    <row r="373" spans="2:47" s="134" customFormat="1" x14ac:dyDescent="0.2">
      <c r="B373" s="145"/>
      <c r="D373" s="679"/>
      <c r="J373" s="140"/>
      <c r="K373" s="140"/>
      <c r="L373" s="140"/>
      <c r="M373" s="140"/>
      <c r="N373" s="140"/>
      <c r="O373" s="140"/>
      <c r="P373" s="140"/>
      <c r="Q373" s="140"/>
      <c r="R373" s="140"/>
      <c r="S373" s="140"/>
      <c r="T373" s="140"/>
      <c r="U373" s="140"/>
      <c r="V373" s="140"/>
      <c r="W373" s="140"/>
      <c r="X373" s="140"/>
      <c r="Y373" s="140"/>
      <c r="Z373" s="140"/>
      <c r="AA373" s="141"/>
      <c r="AE373" s="140"/>
      <c r="AI373" s="141"/>
      <c r="AM373" s="141"/>
      <c r="AQ373" s="141"/>
      <c r="AT373" s="140"/>
      <c r="AU373" s="140"/>
    </row>
    <row r="374" spans="2:47" s="134" customFormat="1" x14ac:dyDescent="0.2">
      <c r="B374" s="145"/>
      <c r="D374" s="679"/>
      <c r="J374" s="140"/>
      <c r="K374" s="140"/>
      <c r="L374" s="140"/>
      <c r="M374" s="140"/>
      <c r="N374" s="140"/>
      <c r="O374" s="140"/>
      <c r="P374" s="140"/>
      <c r="Q374" s="140"/>
      <c r="R374" s="140"/>
      <c r="S374" s="140"/>
      <c r="T374" s="140"/>
      <c r="U374" s="140"/>
      <c r="V374" s="140"/>
      <c r="W374" s="140"/>
      <c r="X374" s="140"/>
      <c r="Y374" s="140"/>
      <c r="Z374" s="140"/>
      <c r="AA374" s="141"/>
      <c r="AE374" s="140"/>
      <c r="AI374" s="141"/>
      <c r="AM374" s="141"/>
      <c r="AQ374" s="141"/>
      <c r="AT374" s="140"/>
      <c r="AU374" s="140"/>
    </row>
    <row r="375" spans="2:47" s="134" customFormat="1" x14ac:dyDescent="0.2">
      <c r="B375" s="145"/>
      <c r="D375" s="679"/>
      <c r="J375" s="140"/>
      <c r="K375" s="140"/>
      <c r="L375" s="140"/>
      <c r="M375" s="140"/>
      <c r="N375" s="140"/>
      <c r="O375" s="140"/>
      <c r="P375" s="140"/>
      <c r="Q375" s="140"/>
      <c r="R375" s="140"/>
      <c r="S375" s="140"/>
      <c r="T375" s="140"/>
      <c r="U375" s="140"/>
      <c r="V375" s="140"/>
      <c r="W375" s="140"/>
      <c r="X375" s="140"/>
      <c r="Y375" s="140"/>
      <c r="Z375" s="140"/>
      <c r="AA375" s="141"/>
      <c r="AE375" s="140"/>
      <c r="AI375" s="141"/>
      <c r="AM375" s="141"/>
      <c r="AQ375" s="141"/>
      <c r="AT375" s="140"/>
      <c r="AU375" s="140"/>
    </row>
    <row r="376" spans="2:47" s="134" customFormat="1" x14ac:dyDescent="0.2">
      <c r="B376" s="145"/>
      <c r="D376" s="679"/>
      <c r="J376" s="140"/>
      <c r="K376" s="140"/>
      <c r="L376" s="140"/>
      <c r="M376" s="140"/>
      <c r="N376" s="140"/>
      <c r="O376" s="140"/>
      <c r="P376" s="140"/>
      <c r="Q376" s="140"/>
      <c r="R376" s="140"/>
      <c r="S376" s="140"/>
      <c r="T376" s="140"/>
      <c r="U376" s="140"/>
      <c r="V376" s="140"/>
      <c r="W376" s="140"/>
      <c r="X376" s="140"/>
      <c r="Y376" s="140"/>
      <c r="Z376" s="140"/>
      <c r="AA376" s="141"/>
      <c r="AE376" s="140"/>
      <c r="AI376" s="141"/>
      <c r="AM376" s="141"/>
      <c r="AQ376" s="141"/>
      <c r="AT376" s="140"/>
      <c r="AU376" s="140"/>
    </row>
    <row r="377" spans="2:47" s="134" customFormat="1" x14ac:dyDescent="0.2">
      <c r="B377" s="145"/>
      <c r="D377" s="679"/>
      <c r="J377" s="140"/>
      <c r="K377" s="140"/>
      <c r="L377" s="140"/>
      <c r="M377" s="140"/>
      <c r="N377" s="140"/>
      <c r="O377" s="140"/>
      <c r="P377" s="140"/>
      <c r="Q377" s="140"/>
      <c r="R377" s="140"/>
      <c r="S377" s="140"/>
      <c r="T377" s="140"/>
      <c r="U377" s="140"/>
      <c r="V377" s="140"/>
      <c r="W377" s="140"/>
      <c r="X377" s="140"/>
      <c r="Y377" s="140"/>
      <c r="Z377" s="140"/>
      <c r="AA377" s="141"/>
      <c r="AE377" s="140"/>
      <c r="AI377" s="141"/>
      <c r="AM377" s="141"/>
      <c r="AQ377" s="141"/>
      <c r="AT377" s="140"/>
      <c r="AU377" s="140"/>
    </row>
    <row r="378" spans="2:47" s="134" customFormat="1" x14ac:dyDescent="0.2">
      <c r="B378" s="145"/>
      <c r="D378" s="679"/>
      <c r="J378" s="140"/>
      <c r="K378" s="140"/>
      <c r="L378" s="140"/>
      <c r="M378" s="140"/>
      <c r="N378" s="140"/>
      <c r="O378" s="140"/>
      <c r="P378" s="140"/>
      <c r="Q378" s="140"/>
      <c r="R378" s="140"/>
      <c r="S378" s="140"/>
      <c r="T378" s="140"/>
      <c r="U378" s="140"/>
      <c r="V378" s="140"/>
      <c r="W378" s="140"/>
      <c r="X378" s="140"/>
      <c r="Y378" s="140"/>
      <c r="Z378" s="140"/>
      <c r="AA378" s="141"/>
      <c r="AE378" s="140"/>
      <c r="AI378" s="141"/>
      <c r="AM378" s="141"/>
      <c r="AQ378" s="141"/>
      <c r="AT378" s="140"/>
      <c r="AU378" s="140"/>
    </row>
    <row r="379" spans="2:47" s="134" customFormat="1" x14ac:dyDescent="0.2">
      <c r="B379" s="145"/>
      <c r="D379" s="679"/>
      <c r="J379" s="140"/>
      <c r="K379" s="140"/>
      <c r="L379" s="140"/>
      <c r="M379" s="140"/>
      <c r="N379" s="140"/>
      <c r="O379" s="140"/>
      <c r="P379" s="140"/>
      <c r="Q379" s="140"/>
      <c r="R379" s="140"/>
      <c r="S379" s="140"/>
      <c r="T379" s="140"/>
      <c r="U379" s="140"/>
      <c r="V379" s="140"/>
      <c r="W379" s="140"/>
      <c r="X379" s="140"/>
      <c r="Y379" s="140"/>
      <c r="Z379" s="140"/>
      <c r="AA379" s="141"/>
      <c r="AE379" s="140"/>
      <c r="AI379" s="141"/>
      <c r="AM379" s="141"/>
      <c r="AQ379" s="141"/>
      <c r="AT379" s="140"/>
      <c r="AU379" s="140"/>
    </row>
    <row r="380" spans="2:47" s="134" customFormat="1" x14ac:dyDescent="0.2">
      <c r="B380" s="145"/>
      <c r="D380" s="679"/>
      <c r="J380" s="140"/>
      <c r="K380" s="140"/>
      <c r="L380" s="140"/>
      <c r="M380" s="140"/>
      <c r="N380" s="140"/>
      <c r="O380" s="140"/>
      <c r="P380" s="140"/>
      <c r="Q380" s="140"/>
      <c r="R380" s="140"/>
      <c r="S380" s="140"/>
      <c r="T380" s="140"/>
      <c r="U380" s="140"/>
      <c r="V380" s="140"/>
      <c r="W380" s="140"/>
      <c r="X380" s="140"/>
      <c r="Y380" s="140"/>
      <c r="Z380" s="140"/>
      <c r="AA380" s="141"/>
      <c r="AE380" s="140"/>
      <c r="AI380" s="141"/>
      <c r="AM380" s="141"/>
      <c r="AQ380" s="141"/>
      <c r="AT380" s="140"/>
      <c r="AU380" s="140"/>
    </row>
    <row r="381" spans="2:47" s="134" customFormat="1" x14ac:dyDescent="0.2">
      <c r="B381" s="145"/>
      <c r="D381" s="679"/>
      <c r="J381" s="140"/>
      <c r="K381" s="140"/>
      <c r="L381" s="140"/>
      <c r="M381" s="140"/>
      <c r="N381" s="140"/>
      <c r="O381" s="140"/>
      <c r="P381" s="140"/>
      <c r="Q381" s="140"/>
      <c r="R381" s="140"/>
      <c r="S381" s="140"/>
      <c r="T381" s="140"/>
      <c r="U381" s="140"/>
      <c r="V381" s="140"/>
      <c r="W381" s="140"/>
      <c r="X381" s="140"/>
      <c r="Y381" s="140"/>
      <c r="Z381" s="140"/>
      <c r="AA381" s="141"/>
      <c r="AE381" s="140"/>
      <c r="AI381" s="141"/>
      <c r="AM381" s="141"/>
      <c r="AQ381" s="141"/>
      <c r="AT381" s="140"/>
      <c r="AU381" s="140"/>
    </row>
    <row r="382" spans="2:47" s="134" customFormat="1" x14ac:dyDescent="0.2">
      <c r="B382" s="145"/>
      <c r="D382" s="679"/>
      <c r="J382" s="140"/>
      <c r="K382" s="140"/>
      <c r="L382" s="140"/>
      <c r="M382" s="140"/>
      <c r="N382" s="140"/>
      <c r="O382" s="140"/>
      <c r="P382" s="140"/>
      <c r="Q382" s="140"/>
      <c r="R382" s="140"/>
      <c r="S382" s="140"/>
      <c r="T382" s="140"/>
      <c r="U382" s="140"/>
      <c r="V382" s="140"/>
      <c r="W382" s="140"/>
      <c r="X382" s="140"/>
      <c r="Y382" s="140"/>
      <c r="Z382" s="140"/>
      <c r="AA382" s="141"/>
      <c r="AE382" s="140"/>
      <c r="AI382" s="141"/>
      <c r="AM382" s="141"/>
      <c r="AQ382" s="141"/>
      <c r="AT382" s="140"/>
      <c r="AU382" s="140"/>
    </row>
    <row r="383" spans="2:47" s="134" customFormat="1" x14ac:dyDescent="0.2">
      <c r="B383" s="145"/>
      <c r="D383" s="679"/>
      <c r="J383" s="140"/>
      <c r="K383" s="140"/>
      <c r="L383" s="140"/>
      <c r="M383" s="140"/>
      <c r="N383" s="140"/>
      <c r="O383" s="140"/>
      <c r="P383" s="140"/>
      <c r="Q383" s="140"/>
      <c r="R383" s="140"/>
      <c r="S383" s="140"/>
      <c r="T383" s="140"/>
      <c r="U383" s="140"/>
      <c r="V383" s="140"/>
      <c r="W383" s="140"/>
      <c r="X383" s="140"/>
      <c r="Y383" s="140"/>
      <c r="Z383" s="140"/>
      <c r="AA383" s="141"/>
      <c r="AE383" s="140"/>
      <c r="AI383" s="141"/>
      <c r="AM383" s="141"/>
      <c r="AQ383" s="141"/>
      <c r="AT383" s="140"/>
      <c r="AU383" s="140"/>
    </row>
    <row r="384" spans="2:47" s="134" customFormat="1" x14ac:dyDescent="0.2">
      <c r="B384" s="145"/>
      <c r="D384" s="679"/>
      <c r="J384" s="140"/>
      <c r="K384" s="140"/>
      <c r="L384" s="140"/>
      <c r="M384" s="140"/>
      <c r="N384" s="140"/>
      <c r="O384" s="140"/>
      <c r="P384" s="140"/>
      <c r="Q384" s="140"/>
      <c r="R384" s="140"/>
      <c r="S384" s="140"/>
      <c r="T384" s="140"/>
      <c r="U384" s="140"/>
      <c r="V384" s="140"/>
      <c r="W384" s="140"/>
      <c r="X384" s="140"/>
      <c r="Y384" s="140"/>
      <c r="Z384" s="140"/>
      <c r="AA384" s="141"/>
      <c r="AE384" s="140"/>
      <c r="AI384" s="141"/>
      <c r="AM384" s="141"/>
      <c r="AQ384" s="141"/>
      <c r="AT384" s="140"/>
      <c r="AU384" s="140"/>
    </row>
    <row r="385" spans="2:47" s="134" customFormat="1" x14ac:dyDescent="0.2">
      <c r="B385" s="145"/>
      <c r="D385" s="679"/>
      <c r="J385" s="140"/>
      <c r="K385" s="140"/>
      <c r="L385" s="140"/>
      <c r="M385" s="140"/>
      <c r="N385" s="140"/>
      <c r="O385" s="140"/>
      <c r="P385" s="140"/>
      <c r="Q385" s="140"/>
      <c r="R385" s="140"/>
      <c r="S385" s="140"/>
      <c r="T385" s="140"/>
      <c r="U385" s="140"/>
      <c r="V385" s="140"/>
      <c r="W385" s="140"/>
      <c r="X385" s="140"/>
      <c r="Y385" s="140"/>
      <c r="Z385" s="140"/>
      <c r="AA385" s="141"/>
      <c r="AE385" s="140"/>
      <c r="AI385" s="141"/>
      <c r="AM385" s="141"/>
      <c r="AQ385" s="141"/>
      <c r="AT385" s="140"/>
      <c r="AU385" s="140"/>
    </row>
    <row r="386" spans="2:47" s="134" customFormat="1" x14ac:dyDescent="0.2">
      <c r="B386" s="145"/>
      <c r="D386" s="679"/>
      <c r="J386" s="140"/>
      <c r="K386" s="140"/>
      <c r="L386" s="140"/>
      <c r="M386" s="140"/>
      <c r="N386" s="140"/>
      <c r="O386" s="140"/>
      <c r="P386" s="140"/>
      <c r="Q386" s="140"/>
      <c r="R386" s="140"/>
      <c r="S386" s="140"/>
      <c r="T386" s="140"/>
      <c r="U386" s="140"/>
      <c r="V386" s="140"/>
      <c r="W386" s="140"/>
      <c r="X386" s="140"/>
      <c r="Y386" s="140"/>
      <c r="Z386" s="140"/>
      <c r="AA386" s="141"/>
      <c r="AE386" s="140"/>
      <c r="AI386" s="141"/>
      <c r="AM386" s="141"/>
      <c r="AQ386" s="141"/>
      <c r="AT386" s="140"/>
      <c r="AU386" s="140"/>
    </row>
    <row r="387" spans="2:47" s="134" customFormat="1" x14ac:dyDescent="0.2">
      <c r="B387" s="145"/>
      <c r="D387" s="679"/>
      <c r="J387" s="140"/>
      <c r="K387" s="140"/>
      <c r="L387" s="140"/>
      <c r="M387" s="140"/>
      <c r="N387" s="140"/>
      <c r="O387" s="140"/>
      <c r="P387" s="140"/>
      <c r="Q387" s="140"/>
      <c r="R387" s="140"/>
      <c r="S387" s="140"/>
      <c r="T387" s="140"/>
      <c r="U387" s="140"/>
      <c r="V387" s="140"/>
      <c r="W387" s="140"/>
      <c r="X387" s="140"/>
      <c r="Y387" s="140"/>
      <c r="Z387" s="140"/>
      <c r="AA387" s="141"/>
      <c r="AE387" s="140"/>
      <c r="AI387" s="141"/>
      <c r="AM387" s="141"/>
      <c r="AQ387" s="141"/>
      <c r="AT387" s="140"/>
      <c r="AU387" s="140"/>
    </row>
    <row r="388" spans="2:47" s="134" customFormat="1" x14ac:dyDescent="0.2">
      <c r="B388" s="145"/>
      <c r="D388" s="679"/>
      <c r="J388" s="140"/>
      <c r="K388" s="140"/>
      <c r="L388" s="140"/>
      <c r="M388" s="140"/>
      <c r="N388" s="140"/>
      <c r="O388" s="140"/>
      <c r="P388" s="140"/>
      <c r="Q388" s="140"/>
      <c r="R388" s="140"/>
      <c r="S388" s="140"/>
      <c r="T388" s="140"/>
      <c r="U388" s="140"/>
      <c r="V388" s="140"/>
      <c r="W388" s="140"/>
      <c r="X388" s="140"/>
      <c r="Y388" s="140"/>
      <c r="Z388" s="140"/>
      <c r="AA388" s="141"/>
      <c r="AE388" s="140"/>
      <c r="AI388" s="141"/>
      <c r="AM388" s="141"/>
      <c r="AQ388" s="141"/>
      <c r="AT388" s="140"/>
      <c r="AU388" s="140"/>
    </row>
    <row r="389" spans="2:47" s="134" customFormat="1" x14ac:dyDescent="0.2">
      <c r="B389" s="145"/>
      <c r="D389" s="679"/>
      <c r="J389" s="140"/>
      <c r="K389" s="140"/>
      <c r="L389" s="140"/>
      <c r="M389" s="140"/>
      <c r="N389" s="140"/>
      <c r="O389" s="140"/>
      <c r="P389" s="140"/>
      <c r="Q389" s="140"/>
      <c r="R389" s="140"/>
      <c r="S389" s="140"/>
      <c r="T389" s="140"/>
      <c r="U389" s="140"/>
      <c r="V389" s="140"/>
      <c r="W389" s="140"/>
      <c r="X389" s="140"/>
      <c r="Y389" s="140"/>
      <c r="Z389" s="140"/>
      <c r="AA389" s="141"/>
      <c r="AE389" s="140"/>
      <c r="AI389" s="141"/>
      <c r="AM389" s="141"/>
      <c r="AQ389" s="141"/>
      <c r="AT389" s="140"/>
      <c r="AU389" s="140"/>
    </row>
    <row r="390" spans="2:47" s="134" customFormat="1" x14ac:dyDescent="0.2">
      <c r="B390" s="145"/>
      <c r="D390" s="679"/>
      <c r="J390" s="140"/>
      <c r="K390" s="140"/>
      <c r="L390" s="140"/>
      <c r="M390" s="140"/>
      <c r="N390" s="140"/>
      <c r="O390" s="140"/>
      <c r="P390" s="140"/>
      <c r="Q390" s="140"/>
      <c r="R390" s="140"/>
      <c r="S390" s="140"/>
      <c r="T390" s="140"/>
      <c r="U390" s="140"/>
      <c r="V390" s="140"/>
      <c r="W390" s="140"/>
      <c r="X390" s="140"/>
      <c r="Y390" s="140"/>
      <c r="Z390" s="140"/>
      <c r="AA390" s="141"/>
      <c r="AE390" s="140"/>
      <c r="AI390" s="141"/>
      <c r="AM390" s="141"/>
      <c r="AQ390" s="141"/>
      <c r="AT390" s="140"/>
      <c r="AU390" s="140"/>
    </row>
    <row r="391" spans="2:47" s="134" customFormat="1" x14ac:dyDescent="0.2">
      <c r="B391" s="145"/>
      <c r="D391" s="679"/>
      <c r="J391" s="140"/>
      <c r="K391" s="140"/>
      <c r="L391" s="140"/>
      <c r="M391" s="140"/>
      <c r="N391" s="140"/>
      <c r="O391" s="140"/>
      <c r="P391" s="140"/>
      <c r="Q391" s="140"/>
      <c r="R391" s="140"/>
      <c r="S391" s="140"/>
      <c r="T391" s="140"/>
      <c r="U391" s="140"/>
      <c r="V391" s="140"/>
      <c r="W391" s="140"/>
      <c r="X391" s="140"/>
      <c r="Y391" s="140"/>
      <c r="Z391" s="140"/>
      <c r="AA391" s="141"/>
      <c r="AE391" s="140"/>
      <c r="AI391" s="141"/>
      <c r="AM391" s="141"/>
      <c r="AQ391" s="141"/>
      <c r="AT391" s="140"/>
      <c r="AU391" s="140"/>
    </row>
    <row r="392" spans="2:47" s="134" customFormat="1" x14ac:dyDescent="0.2">
      <c r="B392" s="145"/>
      <c r="D392" s="679"/>
      <c r="J392" s="140"/>
      <c r="K392" s="140"/>
      <c r="L392" s="140"/>
      <c r="M392" s="140"/>
      <c r="N392" s="140"/>
      <c r="O392" s="140"/>
      <c r="P392" s="140"/>
      <c r="Q392" s="140"/>
      <c r="R392" s="140"/>
      <c r="S392" s="140"/>
      <c r="T392" s="140"/>
      <c r="U392" s="140"/>
      <c r="V392" s="140"/>
      <c r="W392" s="140"/>
      <c r="X392" s="140"/>
      <c r="Y392" s="140"/>
      <c r="Z392" s="140"/>
      <c r="AA392" s="141"/>
      <c r="AE392" s="140"/>
      <c r="AI392" s="141"/>
      <c r="AM392" s="141"/>
      <c r="AQ392" s="141"/>
      <c r="AT392" s="140"/>
      <c r="AU392" s="140"/>
    </row>
    <row r="393" spans="2:47" s="134" customFormat="1" x14ac:dyDescent="0.2">
      <c r="B393" s="145"/>
      <c r="D393" s="679"/>
      <c r="J393" s="140"/>
      <c r="K393" s="140"/>
      <c r="L393" s="140"/>
      <c r="M393" s="140"/>
      <c r="N393" s="140"/>
      <c r="O393" s="140"/>
      <c r="P393" s="140"/>
      <c r="Q393" s="140"/>
      <c r="R393" s="140"/>
      <c r="S393" s="140"/>
      <c r="T393" s="140"/>
      <c r="U393" s="140"/>
      <c r="V393" s="140"/>
      <c r="W393" s="140"/>
      <c r="X393" s="140"/>
      <c r="Y393" s="140"/>
      <c r="Z393" s="140"/>
      <c r="AA393" s="141"/>
      <c r="AE393" s="140"/>
      <c r="AI393" s="141"/>
      <c r="AM393" s="141"/>
      <c r="AQ393" s="141"/>
      <c r="AT393" s="140"/>
      <c r="AU393" s="140"/>
    </row>
    <row r="394" spans="2:47" s="134" customFormat="1" x14ac:dyDescent="0.2">
      <c r="B394" s="145"/>
      <c r="D394" s="679"/>
      <c r="J394" s="140"/>
      <c r="K394" s="140"/>
      <c r="L394" s="140"/>
      <c r="M394" s="140"/>
      <c r="N394" s="140"/>
      <c r="O394" s="140"/>
      <c r="P394" s="140"/>
      <c r="Q394" s="140"/>
      <c r="R394" s="140"/>
      <c r="S394" s="140"/>
      <c r="T394" s="140"/>
      <c r="U394" s="140"/>
      <c r="V394" s="140"/>
      <c r="W394" s="140"/>
      <c r="X394" s="140"/>
      <c r="Y394" s="140"/>
      <c r="Z394" s="140"/>
      <c r="AA394" s="141"/>
      <c r="AE394" s="140"/>
      <c r="AI394" s="141"/>
      <c r="AM394" s="141"/>
      <c r="AQ394" s="141"/>
      <c r="AT394" s="140"/>
      <c r="AU394" s="140"/>
    </row>
    <row r="395" spans="2:47" s="134" customFormat="1" x14ac:dyDescent="0.2">
      <c r="B395" s="145"/>
      <c r="D395" s="679"/>
      <c r="J395" s="140"/>
      <c r="K395" s="140"/>
      <c r="L395" s="140"/>
      <c r="M395" s="140"/>
      <c r="N395" s="140"/>
      <c r="O395" s="140"/>
      <c r="P395" s="140"/>
      <c r="Q395" s="140"/>
      <c r="R395" s="140"/>
      <c r="S395" s="140"/>
      <c r="T395" s="140"/>
      <c r="U395" s="140"/>
      <c r="V395" s="140"/>
      <c r="W395" s="140"/>
      <c r="X395" s="140"/>
      <c r="Y395" s="140"/>
      <c r="Z395" s="140"/>
      <c r="AA395" s="141"/>
      <c r="AE395" s="140"/>
      <c r="AI395" s="141"/>
      <c r="AM395" s="141"/>
      <c r="AQ395" s="141"/>
      <c r="AT395" s="140"/>
      <c r="AU395" s="140"/>
    </row>
    <row r="396" spans="2:47" s="134" customFormat="1" x14ac:dyDescent="0.2">
      <c r="B396" s="145"/>
      <c r="D396" s="679"/>
      <c r="J396" s="140"/>
      <c r="K396" s="140"/>
      <c r="L396" s="140"/>
      <c r="M396" s="140"/>
      <c r="N396" s="140"/>
      <c r="O396" s="140"/>
      <c r="P396" s="140"/>
      <c r="Q396" s="140"/>
      <c r="R396" s="140"/>
      <c r="S396" s="140"/>
      <c r="T396" s="140"/>
      <c r="U396" s="140"/>
      <c r="V396" s="140"/>
      <c r="W396" s="140"/>
      <c r="X396" s="140"/>
      <c r="Y396" s="140"/>
      <c r="Z396" s="140"/>
      <c r="AA396" s="141"/>
      <c r="AE396" s="140"/>
      <c r="AI396" s="141"/>
      <c r="AM396" s="141"/>
      <c r="AQ396" s="141"/>
      <c r="AT396" s="140"/>
      <c r="AU396" s="140"/>
    </row>
    <row r="397" spans="2:47" s="134" customFormat="1" x14ac:dyDescent="0.2">
      <c r="B397" s="145"/>
      <c r="D397" s="679"/>
      <c r="J397" s="140"/>
      <c r="K397" s="140"/>
      <c r="L397" s="140"/>
      <c r="M397" s="140"/>
      <c r="N397" s="140"/>
      <c r="O397" s="140"/>
      <c r="P397" s="140"/>
      <c r="Q397" s="140"/>
      <c r="R397" s="140"/>
      <c r="S397" s="140"/>
      <c r="T397" s="140"/>
      <c r="U397" s="140"/>
      <c r="V397" s="140"/>
      <c r="W397" s="140"/>
      <c r="X397" s="140"/>
      <c r="Y397" s="140"/>
      <c r="Z397" s="140"/>
      <c r="AA397" s="141"/>
      <c r="AE397" s="140"/>
      <c r="AI397" s="141"/>
      <c r="AM397" s="141"/>
      <c r="AQ397" s="141"/>
      <c r="AT397" s="140"/>
      <c r="AU397" s="140"/>
    </row>
    <row r="398" spans="2:47" s="134" customFormat="1" x14ac:dyDescent="0.2">
      <c r="B398" s="145"/>
      <c r="D398" s="679"/>
      <c r="J398" s="140"/>
      <c r="K398" s="140"/>
      <c r="L398" s="140"/>
      <c r="M398" s="140"/>
      <c r="N398" s="140"/>
      <c r="O398" s="140"/>
      <c r="P398" s="140"/>
      <c r="Q398" s="140"/>
      <c r="R398" s="140"/>
      <c r="S398" s="140"/>
      <c r="T398" s="140"/>
      <c r="U398" s="140"/>
      <c r="V398" s="140"/>
      <c r="W398" s="140"/>
      <c r="X398" s="140"/>
      <c r="Y398" s="140"/>
      <c r="Z398" s="140"/>
      <c r="AA398" s="141"/>
      <c r="AE398" s="140"/>
      <c r="AI398" s="141"/>
      <c r="AM398" s="141"/>
      <c r="AQ398" s="141"/>
      <c r="AT398" s="140"/>
      <c r="AU398" s="140"/>
    </row>
    <row r="399" spans="2:47" s="134" customFormat="1" x14ac:dyDescent="0.2">
      <c r="B399" s="145"/>
      <c r="D399" s="679"/>
      <c r="J399" s="140"/>
      <c r="K399" s="140"/>
      <c r="L399" s="140"/>
      <c r="M399" s="140"/>
      <c r="N399" s="140"/>
      <c r="O399" s="140"/>
      <c r="P399" s="140"/>
      <c r="Q399" s="140"/>
      <c r="R399" s="140"/>
      <c r="S399" s="140"/>
      <c r="T399" s="140"/>
      <c r="U399" s="140"/>
      <c r="V399" s="140"/>
      <c r="W399" s="140"/>
      <c r="X399" s="140"/>
      <c r="Y399" s="140"/>
      <c r="Z399" s="140"/>
      <c r="AA399" s="141"/>
      <c r="AE399" s="140"/>
      <c r="AI399" s="141"/>
      <c r="AM399" s="141"/>
      <c r="AQ399" s="141"/>
      <c r="AT399" s="140"/>
      <c r="AU399" s="140"/>
    </row>
    <row r="400" spans="2:47" s="134" customFormat="1" x14ac:dyDescent="0.2">
      <c r="B400" s="145"/>
      <c r="D400" s="679"/>
      <c r="J400" s="140"/>
      <c r="K400" s="140"/>
      <c r="L400" s="140"/>
      <c r="M400" s="140"/>
      <c r="N400" s="140"/>
      <c r="O400" s="140"/>
      <c r="P400" s="140"/>
      <c r="Q400" s="140"/>
      <c r="R400" s="140"/>
      <c r="S400" s="140"/>
      <c r="T400" s="140"/>
      <c r="U400" s="140"/>
      <c r="V400" s="140"/>
      <c r="W400" s="140"/>
      <c r="X400" s="140"/>
      <c r="Y400" s="140"/>
      <c r="Z400" s="140"/>
      <c r="AA400" s="141"/>
      <c r="AE400" s="140"/>
      <c r="AI400" s="141"/>
      <c r="AM400" s="141"/>
      <c r="AQ400" s="141"/>
      <c r="AT400" s="140"/>
      <c r="AU400" s="140"/>
    </row>
    <row r="401" spans="2:47" s="134" customFormat="1" x14ac:dyDescent="0.2">
      <c r="B401" s="145"/>
      <c r="D401" s="679"/>
      <c r="J401" s="140"/>
      <c r="K401" s="140"/>
      <c r="L401" s="140"/>
      <c r="M401" s="140"/>
      <c r="N401" s="140"/>
      <c r="O401" s="140"/>
      <c r="P401" s="140"/>
      <c r="Q401" s="140"/>
      <c r="R401" s="140"/>
      <c r="S401" s="140"/>
      <c r="T401" s="140"/>
      <c r="U401" s="140"/>
      <c r="V401" s="140"/>
      <c r="W401" s="140"/>
      <c r="X401" s="140"/>
      <c r="Y401" s="140"/>
      <c r="Z401" s="140"/>
      <c r="AA401" s="141"/>
      <c r="AE401" s="140"/>
      <c r="AI401" s="141"/>
      <c r="AM401" s="141"/>
      <c r="AQ401" s="141"/>
      <c r="AT401" s="140"/>
      <c r="AU401" s="140"/>
    </row>
    <row r="402" spans="2:47" s="134" customFormat="1" x14ac:dyDescent="0.2">
      <c r="B402" s="145"/>
      <c r="D402" s="679"/>
      <c r="J402" s="140"/>
      <c r="K402" s="140"/>
      <c r="L402" s="140"/>
      <c r="M402" s="140"/>
      <c r="N402" s="140"/>
      <c r="O402" s="140"/>
      <c r="P402" s="140"/>
      <c r="Q402" s="140"/>
      <c r="R402" s="140"/>
      <c r="S402" s="140"/>
      <c r="T402" s="140"/>
      <c r="U402" s="140"/>
      <c r="V402" s="140"/>
      <c r="W402" s="140"/>
      <c r="X402" s="140"/>
      <c r="Y402" s="140"/>
      <c r="Z402" s="140"/>
      <c r="AA402" s="141"/>
      <c r="AE402" s="140"/>
      <c r="AI402" s="141"/>
      <c r="AM402" s="141"/>
      <c r="AQ402" s="141"/>
      <c r="AT402" s="140"/>
      <c r="AU402" s="140"/>
    </row>
    <row r="403" spans="2:47" s="134" customFormat="1" x14ac:dyDescent="0.2">
      <c r="B403" s="145"/>
      <c r="D403" s="679"/>
      <c r="J403" s="140"/>
      <c r="K403" s="140"/>
      <c r="L403" s="140"/>
      <c r="M403" s="140"/>
      <c r="N403" s="140"/>
      <c r="O403" s="140"/>
      <c r="P403" s="140"/>
      <c r="Q403" s="140"/>
      <c r="R403" s="140"/>
      <c r="S403" s="140"/>
      <c r="T403" s="140"/>
      <c r="U403" s="140"/>
      <c r="V403" s="140"/>
      <c r="W403" s="140"/>
      <c r="X403" s="140"/>
      <c r="Y403" s="140"/>
      <c r="Z403" s="140"/>
      <c r="AA403" s="141"/>
      <c r="AE403" s="140"/>
      <c r="AI403" s="141"/>
      <c r="AM403" s="141"/>
      <c r="AQ403" s="141"/>
      <c r="AT403" s="140"/>
      <c r="AU403" s="140"/>
    </row>
    <row r="404" spans="2:47" s="134" customFormat="1" x14ac:dyDescent="0.2">
      <c r="B404" s="145"/>
      <c r="D404" s="679"/>
      <c r="J404" s="140"/>
      <c r="K404" s="140"/>
      <c r="L404" s="140"/>
      <c r="M404" s="140"/>
      <c r="N404" s="140"/>
      <c r="O404" s="140"/>
      <c r="P404" s="140"/>
      <c r="Q404" s="140"/>
      <c r="R404" s="140"/>
      <c r="S404" s="140"/>
      <c r="T404" s="140"/>
      <c r="U404" s="140"/>
      <c r="V404" s="140"/>
      <c r="W404" s="140"/>
      <c r="X404" s="140"/>
      <c r="Y404" s="140"/>
      <c r="Z404" s="140"/>
      <c r="AA404" s="141"/>
      <c r="AE404" s="140"/>
      <c r="AI404" s="141"/>
      <c r="AM404" s="141"/>
      <c r="AQ404" s="141"/>
      <c r="AT404" s="140"/>
      <c r="AU404" s="140"/>
    </row>
    <row r="405" spans="2:47" s="134" customFormat="1" x14ac:dyDescent="0.2">
      <c r="B405" s="145"/>
      <c r="D405" s="679"/>
      <c r="J405" s="140"/>
      <c r="K405" s="140"/>
      <c r="L405" s="140"/>
      <c r="M405" s="140"/>
      <c r="N405" s="140"/>
      <c r="O405" s="140"/>
      <c r="P405" s="140"/>
      <c r="Q405" s="140"/>
      <c r="R405" s="140"/>
      <c r="S405" s="140"/>
      <c r="T405" s="140"/>
      <c r="U405" s="140"/>
      <c r="V405" s="140"/>
      <c r="W405" s="140"/>
      <c r="X405" s="140"/>
      <c r="Y405" s="140"/>
      <c r="Z405" s="140"/>
      <c r="AA405" s="141"/>
      <c r="AE405" s="140"/>
      <c r="AI405" s="141"/>
      <c r="AM405" s="141"/>
      <c r="AQ405" s="141"/>
      <c r="AT405" s="140"/>
      <c r="AU405" s="140"/>
    </row>
    <row r="406" spans="2:47" s="134" customFormat="1" x14ac:dyDescent="0.2">
      <c r="B406" s="145"/>
      <c r="D406" s="679"/>
      <c r="J406" s="140"/>
      <c r="K406" s="140"/>
      <c r="L406" s="140"/>
      <c r="M406" s="140"/>
      <c r="N406" s="140"/>
      <c r="O406" s="140"/>
      <c r="P406" s="140"/>
      <c r="Q406" s="140"/>
      <c r="R406" s="140"/>
      <c r="S406" s="140"/>
      <c r="T406" s="140"/>
      <c r="U406" s="140"/>
      <c r="V406" s="140"/>
      <c r="W406" s="140"/>
      <c r="X406" s="140"/>
      <c r="Y406" s="140"/>
      <c r="Z406" s="140"/>
      <c r="AA406" s="141"/>
      <c r="AE406" s="140"/>
      <c r="AI406" s="141"/>
      <c r="AM406" s="141"/>
      <c r="AQ406" s="141"/>
      <c r="AT406" s="140"/>
      <c r="AU406" s="140"/>
    </row>
    <row r="407" spans="2:47" s="134" customFormat="1" x14ac:dyDescent="0.2">
      <c r="B407" s="145"/>
      <c r="D407" s="679"/>
      <c r="J407" s="140"/>
      <c r="K407" s="140"/>
      <c r="L407" s="140"/>
      <c r="M407" s="140"/>
      <c r="N407" s="140"/>
      <c r="O407" s="140"/>
      <c r="P407" s="140"/>
      <c r="Q407" s="140"/>
      <c r="R407" s="140"/>
      <c r="S407" s="140"/>
      <c r="T407" s="140"/>
      <c r="U407" s="140"/>
      <c r="V407" s="140"/>
      <c r="W407" s="140"/>
      <c r="X407" s="140"/>
      <c r="Y407" s="140"/>
      <c r="Z407" s="140"/>
      <c r="AA407" s="141"/>
      <c r="AE407" s="140"/>
      <c r="AI407" s="141"/>
      <c r="AM407" s="141"/>
      <c r="AQ407" s="141"/>
      <c r="AT407" s="140"/>
      <c r="AU407" s="140"/>
    </row>
    <row r="408" spans="2:47" s="134" customFormat="1" x14ac:dyDescent="0.2">
      <c r="B408" s="145"/>
      <c r="D408" s="679"/>
      <c r="J408" s="140"/>
      <c r="K408" s="140"/>
      <c r="L408" s="140"/>
      <c r="M408" s="140"/>
      <c r="N408" s="140"/>
      <c r="O408" s="140"/>
      <c r="P408" s="140"/>
      <c r="Q408" s="140"/>
      <c r="R408" s="140"/>
      <c r="S408" s="140"/>
      <c r="T408" s="140"/>
      <c r="U408" s="140"/>
      <c r="V408" s="140"/>
      <c r="W408" s="140"/>
      <c r="X408" s="140"/>
      <c r="Y408" s="140"/>
      <c r="Z408" s="140"/>
      <c r="AA408" s="141"/>
      <c r="AE408" s="140"/>
      <c r="AI408" s="141"/>
      <c r="AM408" s="141"/>
      <c r="AQ408" s="141"/>
      <c r="AT408" s="140"/>
      <c r="AU408" s="140"/>
    </row>
    <row r="409" spans="2:47" s="134" customFormat="1" x14ac:dyDescent="0.2">
      <c r="B409" s="145"/>
      <c r="D409" s="679"/>
      <c r="J409" s="140"/>
      <c r="K409" s="140"/>
      <c r="L409" s="140"/>
      <c r="M409" s="140"/>
      <c r="N409" s="140"/>
      <c r="O409" s="140"/>
      <c r="P409" s="140"/>
      <c r="Q409" s="140"/>
      <c r="R409" s="140"/>
      <c r="S409" s="140"/>
      <c r="T409" s="140"/>
      <c r="U409" s="140"/>
      <c r="V409" s="140"/>
      <c r="W409" s="140"/>
      <c r="X409" s="140"/>
      <c r="Y409" s="140"/>
      <c r="Z409" s="140"/>
      <c r="AA409" s="141"/>
      <c r="AE409" s="140"/>
      <c r="AI409" s="141"/>
      <c r="AM409" s="141"/>
      <c r="AQ409" s="141"/>
      <c r="AT409" s="140"/>
      <c r="AU409" s="140"/>
    </row>
    <row r="410" spans="2:47" s="134" customFormat="1" x14ac:dyDescent="0.2">
      <c r="B410" s="145"/>
      <c r="D410" s="679"/>
      <c r="J410" s="140"/>
      <c r="K410" s="140"/>
      <c r="L410" s="140"/>
      <c r="M410" s="140"/>
      <c r="N410" s="140"/>
      <c r="O410" s="140"/>
      <c r="P410" s="140"/>
      <c r="Q410" s="140"/>
      <c r="R410" s="140"/>
      <c r="S410" s="140"/>
      <c r="T410" s="140"/>
      <c r="U410" s="140"/>
      <c r="V410" s="140"/>
      <c r="W410" s="140"/>
      <c r="X410" s="140"/>
      <c r="Y410" s="140"/>
      <c r="Z410" s="140"/>
      <c r="AA410" s="141"/>
      <c r="AE410" s="140"/>
      <c r="AI410" s="141"/>
      <c r="AM410" s="141"/>
      <c r="AQ410" s="141"/>
      <c r="AT410" s="140"/>
      <c r="AU410" s="140"/>
    </row>
    <row r="411" spans="2:47" s="134" customFormat="1" x14ac:dyDescent="0.2">
      <c r="B411" s="145"/>
      <c r="D411" s="679"/>
      <c r="J411" s="140"/>
      <c r="K411" s="140"/>
      <c r="L411" s="140"/>
      <c r="M411" s="140"/>
      <c r="N411" s="140"/>
      <c r="O411" s="140"/>
      <c r="P411" s="140"/>
      <c r="Q411" s="140"/>
      <c r="R411" s="140"/>
      <c r="S411" s="140"/>
      <c r="T411" s="140"/>
      <c r="U411" s="140"/>
      <c r="V411" s="140"/>
      <c r="W411" s="140"/>
      <c r="X411" s="140"/>
      <c r="Y411" s="140"/>
      <c r="Z411" s="140"/>
      <c r="AA411" s="141"/>
      <c r="AE411" s="140"/>
      <c r="AI411" s="141"/>
      <c r="AM411" s="141"/>
      <c r="AQ411" s="141"/>
      <c r="AT411" s="140"/>
      <c r="AU411" s="140"/>
    </row>
    <row r="412" spans="2:47" s="134" customFormat="1" x14ac:dyDescent="0.2">
      <c r="B412" s="145"/>
      <c r="D412" s="679"/>
      <c r="J412" s="140"/>
      <c r="K412" s="140"/>
      <c r="L412" s="140"/>
      <c r="M412" s="140"/>
      <c r="N412" s="140"/>
      <c r="O412" s="140"/>
      <c r="P412" s="140"/>
      <c r="Q412" s="140"/>
      <c r="R412" s="140"/>
      <c r="S412" s="140"/>
      <c r="T412" s="140"/>
      <c r="U412" s="140"/>
      <c r="V412" s="140"/>
      <c r="W412" s="140"/>
      <c r="X412" s="140"/>
      <c r="Y412" s="140"/>
      <c r="Z412" s="140"/>
      <c r="AA412" s="141"/>
      <c r="AE412" s="140"/>
      <c r="AI412" s="141"/>
      <c r="AM412" s="141"/>
      <c r="AQ412" s="141"/>
      <c r="AT412" s="140"/>
      <c r="AU412" s="140"/>
    </row>
    <row r="413" spans="2:47" s="134" customFormat="1" x14ac:dyDescent="0.2">
      <c r="B413" s="145"/>
      <c r="D413" s="679"/>
      <c r="J413" s="140"/>
      <c r="K413" s="140"/>
      <c r="L413" s="140"/>
      <c r="M413" s="140"/>
      <c r="N413" s="140"/>
      <c r="O413" s="140"/>
      <c r="P413" s="140"/>
      <c r="Q413" s="140"/>
      <c r="R413" s="140"/>
      <c r="S413" s="140"/>
      <c r="T413" s="140"/>
      <c r="U413" s="140"/>
      <c r="V413" s="140"/>
      <c r="W413" s="140"/>
      <c r="X413" s="140"/>
      <c r="Y413" s="140"/>
      <c r="Z413" s="140"/>
      <c r="AA413" s="141"/>
      <c r="AE413" s="140"/>
      <c r="AI413" s="141"/>
      <c r="AM413" s="141"/>
      <c r="AQ413" s="141"/>
      <c r="AT413" s="140"/>
      <c r="AU413" s="140"/>
    </row>
    <row r="414" spans="2:47" s="134" customFormat="1" x14ac:dyDescent="0.2">
      <c r="B414" s="145"/>
      <c r="D414" s="679"/>
      <c r="J414" s="140"/>
      <c r="K414" s="140"/>
      <c r="L414" s="140"/>
      <c r="M414" s="140"/>
      <c r="N414" s="140"/>
      <c r="O414" s="140"/>
      <c r="P414" s="140"/>
      <c r="Q414" s="140"/>
      <c r="R414" s="140"/>
      <c r="S414" s="140"/>
      <c r="T414" s="140"/>
      <c r="U414" s="140"/>
      <c r="V414" s="140"/>
      <c r="W414" s="140"/>
      <c r="X414" s="140"/>
      <c r="Y414" s="140"/>
      <c r="Z414" s="140"/>
      <c r="AA414" s="141"/>
      <c r="AE414" s="140"/>
      <c r="AI414" s="141"/>
      <c r="AM414" s="141"/>
      <c r="AQ414" s="141"/>
      <c r="AT414" s="140"/>
      <c r="AU414" s="140"/>
    </row>
    <row r="415" spans="2:47" s="134" customFormat="1" x14ac:dyDescent="0.2">
      <c r="B415" s="145"/>
      <c r="D415" s="679"/>
      <c r="J415" s="140"/>
      <c r="K415" s="140"/>
      <c r="L415" s="140"/>
      <c r="M415" s="140"/>
      <c r="N415" s="140"/>
      <c r="O415" s="140"/>
      <c r="P415" s="140"/>
      <c r="Q415" s="140"/>
      <c r="R415" s="140"/>
      <c r="S415" s="140"/>
      <c r="T415" s="140"/>
      <c r="U415" s="140"/>
      <c r="V415" s="140"/>
      <c r="W415" s="140"/>
      <c r="X415" s="140"/>
      <c r="Y415" s="140"/>
      <c r="Z415" s="140"/>
      <c r="AA415" s="141"/>
      <c r="AE415" s="140"/>
      <c r="AI415" s="141"/>
      <c r="AM415" s="141"/>
      <c r="AQ415" s="141"/>
      <c r="AT415" s="140"/>
      <c r="AU415" s="140"/>
    </row>
    <row r="416" spans="2:47" s="134" customFormat="1" x14ac:dyDescent="0.2">
      <c r="B416" s="145"/>
      <c r="D416" s="679"/>
      <c r="J416" s="140"/>
      <c r="K416" s="140"/>
      <c r="L416" s="140"/>
      <c r="M416" s="140"/>
      <c r="N416" s="140"/>
      <c r="O416" s="140"/>
      <c r="P416" s="140"/>
      <c r="Q416" s="140"/>
      <c r="R416" s="140"/>
      <c r="S416" s="140"/>
      <c r="T416" s="140"/>
      <c r="U416" s="140"/>
      <c r="V416" s="140"/>
      <c r="W416" s="140"/>
      <c r="X416" s="140"/>
      <c r="Y416" s="140"/>
      <c r="Z416" s="140"/>
      <c r="AA416" s="141"/>
      <c r="AE416" s="140"/>
      <c r="AI416" s="141"/>
      <c r="AM416" s="141"/>
      <c r="AQ416" s="141"/>
      <c r="AT416" s="140"/>
      <c r="AU416" s="140"/>
    </row>
    <row r="417" spans="2:47" s="134" customFormat="1" x14ac:dyDescent="0.2">
      <c r="B417" s="145"/>
      <c r="D417" s="679"/>
      <c r="J417" s="140"/>
      <c r="K417" s="140"/>
      <c r="L417" s="140"/>
      <c r="M417" s="140"/>
      <c r="N417" s="140"/>
      <c r="O417" s="140"/>
      <c r="P417" s="140"/>
      <c r="Q417" s="140"/>
      <c r="R417" s="140"/>
      <c r="S417" s="140"/>
      <c r="T417" s="140"/>
      <c r="U417" s="140"/>
      <c r="V417" s="140"/>
      <c r="W417" s="140"/>
      <c r="X417" s="140"/>
      <c r="Y417" s="140"/>
      <c r="Z417" s="140"/>
      <c r="AA417" s="141"/>
      <c r="AE417" s="140"/>
      <c r="AI417" s="141"/>
      <c r="AM417" s="141"/>
      <c r="AQ417" s="141"/>
      <c r="AT417" s="140"/>
      <c r="AU417" s="140"/>
    </row>
    <row r="418" spans="2:47" s="134" customFormat="1" x14ac:dyDescent="0.2">
      <c r="B418" s="145"/>
      <c r="D418" s="679"/>
      <c r="J418" s="140"/>
      <c r="K418" s="140"/>
      <c r="L418" s="140"/>
      <c r="M418" s="140"/>
      <c r="N418" s="140"/>
      <c r="O418" s="140"/>
      <c r="P418" s="140"/>
      <c r="Q418" s="140"/>
      <c r="R418" s="140"/>
      <c r="S418" s="140"/>
      <c r="T418" s="140"/>
      <c r="U418" s="140"/>
      <c r="V418" s="140"/>
      <c r="W418" s="140"/>
      <c r="X418" s="140"/>
      <c r="Y418" s="140"/>
      <c r="Z418" s="140"/>
      <c r="AA418" s="141"/>
      <c r="AE418" s="140"/>
      <c r="AI418" s="141"/>
      <c r="AM418" s="141"/>
      <c r="AQ418" s="141"/>
      <c r="AT418" s="140"/>
      <c r="AU418" s="140"/>
    </row>
    <row r="419" spans="2:47" s="134" customFormat="1" x14ac:dyDescent="0.2">
      <c r="B419" s="145"/>
      <c r="D419" s="679"/>
      <c r="J419" s="140"/>
      <c r="K419" s="140"/>
      <c r="L419" s="140"/>
      <c r="M419" s="140"/>
      <c r="N419" s="140"/>
      <c r="O419" s="140"/>
      <c r="P419" s="140"/>
      <c r="Q419" s="140"/>
      <c r="R419" s="140"/>
      <c r="S419" s="140"/>
      <c r="T419" s="140"/>
      <c r="U419" s="140"/>
      <c r="V419" s="140"/>
      <c r="W419" s="140"/>
      <c r="X419" s="140"/>
      <c r="Y419" s="140"/>
      <c r="Z419" s="140"/>
      <c r="AA419" s="141"/>
      <c r="AE419" s="140"/>
      <c r="AI419" s="141"/>
      <c r="AM419" s="141"/>
      <c r="AQ419" s="141"/>
      <c r="AT419" s="140"/>
      <c r="AU419" s="140"/>
    </row>
    <row r="420" spans="2:47" s="134" customFormat="1" x14ac:dyDescent="0.2">
      <c r="B420" s="145"/>
      <c r="D420" s="679"/>
      <c r="J420" s="140"/>
      <c r="K420" s="140"/>
      <c r="L420" s="140"/>
      <c r="M420" s="140"/>
      <c r="N420" s="140"/>
      <c r="O420" s="140"/>
      <c r="P420" s="140"/>
      <c r="Q420" s="140"/>
      <c r="R420" s="140"/>
      <c r="S420" s="140"/>
      <c r="T420" s="140"/>
      <c r="U420" s="140"/>
      <c r="V420" s="140"/>
      <c r="W420" s="140"/>
      <c r="X420" s="140"/>
      <c r="Y420" s="140"/>
      <c r="Z420" s="140"/>
      <c r="AA420" s="141"/>
      <c r="AE420" s="140"/>
      <c r="AI420" s="141"/>
      <c r="AM420" s="141"/>
      <c r="AQ420" s="141"/>
      <c r="AT420" s="140"/>
      <c r="AU420" s="140"/>
    </row>
    <row r="421" spans="2:47" s="134" customFormat="1" x14ac:dyDescent="0.2">
      <c r="B421" s="145"/>
      <c r="D421" s="679"/>
      <c r="J421" s="140"/>
      <c r="K421" s="140"/>
      <c r="L421" s="140"/>
      <c r="M421" s="140"/>
      <c r="N421" s="140"/>
      <c r="O421" s="140"/>
      <c r="P421" s="140"/>
      <c r="Q421" s="140"/>
      <c r="R421" s="140"/>
      <c r="S421" s="140"/>
      <c r="T421" s="140"/>
      <c r="U421" s="140"/>
      <c r="V421" s="140"/>
      <c r="W421" s="140"/>
      <c r="X421" s="140"/>
      <c r="Y421" s="140"/>
      <c r="Z421" s="140"/>
      <c r="AA421" s="141"/>
      <c r="AE421" s="140"/>
      <c r="AI421" s="141"/>
      <c r="AM421" s="141"/>
      <c r="AQ421" s="141"/>
      <c r="AT421" s="140"/>
      <c r="AU421" s="140"/>
    </row>
    <row r="422" spans="2:47" s="134" customFormat="1" x14ac:dyDescent="0.2">
      <c r="B422" s="145"/>
      <c r="D422" s="679"/>
      <c r="J422" s="140"/>
      <c r="K422" s="140"/>
      <c r="L422" s="140"/>
      <c r="M422" s="140"/>
      <c r="N422" s="140"/>
      <c r="O422" s="140"/>
      <c r="P422" s="140"/>
      <c r="Q422" s="140"/>
      <c r="R422" s="140"/>
      <c r="S422" s="140"/>
      <c r="T422" s="140"/>
      <c r="U422" s="140"/>
      <c r="V422" s="140"/>
      <c r="W422" s="140"/>
      <c r="X422" s="140"/>
      <c r="Y422" s="140"/>
      <c r="Z422" s="140"/>
      <c r="AA422" s="141"/>
      <c r="AE422" s="140"/>
      <c r="AI422" s="141"/>
      <c r="AM422" s="141"/>
      <c r="AQ422" s="141"/>
      <c r="AT422" s="140"/>
      <c r="AU422" s="140"/>
    </row>
    <row r="423" spans="2:47" s="134" customFormat="1" x14ac:dyDescent="0.2">
      <c r="B423" s="145"/>
      <c r="D423" s="679"/>
      <c r="J423" s="140"/>
      <c r="K423" s="140"/>
      <c r="L423" s="140"/>
      <c r="M423" s="140"/>
      <c r="N423" s="140"/>
      <c r="O423" s="140"/>
      <c r="P423" s="140"/>
      <c r="Q423" s="140"/>
      <c r="R423" s="140"/>
      <c r="S423" s="140"/>
      <c r="T423" s="140"/>
      <c r="U423" s="140"/>
      <c r="V423" s="140"/>
      <c r="W423" s="140"/>
      <c r="X423" s="140"/>
      <c r="Y423" s="140"/>
      <c r="Z423" s="140"/>
      <c r="AA423" s="141"/>
      <c r="AE423" s="140"/>
      <c r="AI423" s="141"/>
      <c r="AM423" s="141"/>
      <c r="AQ423" s="141"/>
      <c r="AT423" s="140"/>
      <c r="AU423" s="140"/>
    </row>
    <row r="424" spans="2:47" s="134" customFormat="1" x14ac:dyDescent="0.2">
      <c r="B424" s="145"/>
      <c r="D424" s="679"/>
      <c r="J424" s="140"/>
      <c r="K424" s="140"/>
      <c r="L424" s="140"/>
      <c r="M424" s="140"/>
      <c r="N424" s="140"/>
      <c r="O424" s="140"/>
      <c r="P424" s="140"/>
      <c r="Q424" s="140"/>
      <c r="R424" s="140"/>
      <c r="S424" s="140"/>
      <c r="T424" s="140"/>
      <c r="U424" s="140"/>
      <c r="V424" s="140"/>
      <c r="W424" s="140"/>
      <c r="X424" s="140"/>
      <c r="Y424" s="140"/>
      <c r="Z424" s="140"/>
      <c r="AA424" s="141"/>
      <c r="AE424" s="140"/>
      <c r="AI424" s="141"/>
      <c r="AM424" s="141"/>
      <c r="AQ424" s="141"/>
      <c r="AT424" s="140"/>
      <c r="AU424" s="140"/>
    </row>
    <row r="425" spans="2:47" s="134" customFormat="1" x14ac:dyDescent="0.2">
      <c r="B425" s="145"/>
      <c r="D425" s="679"/>
      <c r="J425" s="140"/>
      <c r="K425" s="140"/>
      <c r="L425" s="140"/>
      <c r="M425" s="140"/>
      <c r="N425" s="140"/>
      <c r="O425" s="140"/>
      <c r="P425" s="140"/>
      <c r="Q425" s="140"/>
      <c r="R425" s="140"/>
      <c r="S425" s="140"/>
      <c r="T425" s="140"/>
      <c r="U425" s="140"/>
      <c r="V425" s="140"/>
      <c r="W425" s="140"/>
      <c r="X425" s="140"/>
      <c r="Y425" s="140"/>
      <c r="Z425" s="140"/>
      <c r="AA425" s="141"/>
      <c r="AE425" s="140"/>
      <c r="AI425" s="141"/>
      <c r="AM425" s="141"/>
      <c r="AQ425" s="141"/>
      <c r="AT425" s="140"/>
      <c r="AU425" s="140"/>
    </row>
    <row r="426" spans="2:47" s="134" customFormat="1" x14ac:dyDescent="0.2">
      <c r="B426" s="145"/>
      <c r="D426" s="679"/>
      <c r="J426" s="140"/>
      <c r="K426" s="140"/>
      <c r="L426" s="140"/>
      <c r="M426" s="140"/>
      <c r="N426" s="140"/>
      <c r="O426" s="140"/>
      <c r="P426" s="140"/>
      <c r="Q426" s="140"/>
      <c r="R426" s="140"/>
      <c r="S426" s="140"/>
      <c r="T426" s="140"/>
      <c r="U426" s="140"/>
      <c r="V426" s="140"/>
      <c r="W426" s="140"/>
      <c r="X426" s="140"/>
      <c r="Y426" s="140"/>
      <c r="Z426" s="140"/>
      <c r="AA426" s="141"/>
      <c r="AE426" s="140"/>
      <c r="AI426" s="141"/>
      <c r="AM426" s="141"/>
      <c r="AQ426" s="141"/>
      <c r="AT426" s="140"/>
      <c r="AU426" s="140"/>
    </row>
    <row r="427" spans="2:47" s="134" customFormat="1" x14ac:dyDescent="0.2">
      <c r="B427" s="145"/>
      <c r="D427" s="679"/>
      <c r="J427" s="140"/>
      <c r="K427" s="140"/>
      <c r="L427" s="140"/>
      <c r="M427" s="140"/>
      <c r="N427" s="140"/>
      <c r="O427" s="140"/>
      <c r="P427" s="140"/>
      <c r="Q427" s="140"/>
      <c r="R427" s="140"/>
      <c r="S427" s="140"/>
      <c r="T427" s="140"/>
      <c r="U427" s="140"/>
      <c r="V427" s="140"/>
      <c r="W427" s="140"/>
      <c r="X427" s="140"/>
      <c r="Y427" s="140"/>
      <c r="Z427" s="140"/>
      <c r="AA427" s="141"/>
      <c r="AE427" s="140"/>
      <c r="AI427" s="141"/>
      <c r="AM427" s="141"/>
      <c r="AQ427" s="141"/>
      <c r="AT427" s="140"/>
      <c r="AU427" s="140"/>
    </row>
    <row r="428" spans="2:47" s="134" customFormat="1" x14ac:dyDescent="0.2">
      <c r="B428" s="145"/>
      <c r="D428" s="679"/>
      <c r="J428" s="140"/>
      <c r="K428" s="140"/>
      <c r="L428" s="140"/>
      <c r="M428" s="140"/>
      <c r="N428" s="140"/>
      <c r="O428" s="140"/>
      <c r="P428" s="140"/>
      <c r="Q428" s="140"/>
      <c r="R428" s="140"/>
      <c r="S428" s="140"/>
      <c r="T428" s="140"/>
      <c r="U428" s="140"/>
      <c r="V428" s="140"/>
      <c r="W428" s="140"/>
      <c r="X428" s="140"/>
      <c r="Y428" s="140"/>
      <c r="Z428" s="140"/>
      <c r="AA428" s="141"/>
      <c r="AE428" s="140"/>
      <c r="AI428" s="141"/>
      <c r="AM428" s="141"/>
      <c r="AQ428" s="141"/>
      <c r="AT428" s="140"/>
      <c r="AU428" s="140"/>
    </row>
    <row r="429" spans="2:47" s="134" customFormat="1" x14ac:dyDescent="0.2">
      <c r="B429" s="145"/>
      <c r="D429" s="679"/>
      <c r="J429" s="140"/>
      <c r="K429" s="140"/>
      <c r="L429" s="140"/>
      <c r="M429" s="140"/>
      <c r="N429" s="140"/>
      <c r="O429" s="140"/>
      <c r="P429" s="140"/>
      <c r="Q429" s="140"/>
      <c r="R429" s="140"/>
      <c r="S429" s="140"/>
      <c r="T429" s="140"/>
      <c r="U429" s="140"/>
      <c r="V429" s="140"/>
      <c r="W429" s="140"/>
      <c r="X429" s="140"/>
      <c r="Y429" s="140"/>
      <c r="Z429" s="140"/>
      <c r="AA429" s="141"/>
      <c r="AE429" s="140"/>
      <c r="AI429" s="141"/>
      <c r="AM429" s="141"/>
      <c r="AQ429" s="141"/>
      <c r="AT429" s="140"/>
      <c r="AU429" s="140"/>
    </row>
    <row r="430" spans="2:47" s="134" customFormat="1" x14ac:dyDescent="0.2">
      <c r="B430" s="145"/>
      <c r="D430" s="679"/>
      <c r="J430" s="140"/>
      <c r="K430" s="140"/>
      <c r="L430" s="140"/>
      <c r="M430" s="140"/>
      <c r="N430" s="140"/>
      <c r="O430" s="140"/>
      <c r="P430" s="140"/>
      <c r="Q430" s="140"/>
      <c r="R430" s="140"/>
      <c r="S430" s="140"/>
      <c r="T430" s="140"/>
      <c r="U430" s="140"/>
      <c r="V430" s="140"/>
      <c r="W430" s="140"/>
      <c r="X430" s="140"/>
      <c r="Y430" s="140"/>
      <c r="Z430" s="140"/>
      <c r="AA430" s="141"/>
      <c r="AE430" s="140"/>
      <c r="AI430" s="141"/>
      <c r="AM430" s="141"/>
      <c r="AQ430" s="141"/>
      <c r="AT430" s="140"/>
      <c r="AU430" s="140"/>
    </row>
    <row r="431" spans="2:47" s="134" customFormat="1" x14ac:dyDescent="0.2">
      <c r="B431" s="145"/>
      <c r="D431" s="679"/>
      <c r="J431" s="140"/>
      <c r="K431" s="140"/>
      <c r="L431" s="140"/>
      <c r="M431" s="140"/>
      <c r="N431" s="140"/>
      <c r="O431" s="140"/>
      <c r="P431" s="140"/>
      <c r="Q431" s="140"/>
      <c r="R431" s="140"/>
      <c r="S431" s="140"/>
      <c r="T431" s="140"/>
      <c r="U431" s="140"/>
      <c r="V431" s="140"/>
      <c r="W431" s="140"/>
      <c r="X431" s="140"/>
      <c r="Y431" s="140"/>
      <c r="Z431" s="140"/>
      <c r="AA431" s="141"/>
      <c r="AE431" s="140"/>
      <c r="AI431" s="141"/>
      <c r="AM431" s="141"/>
      <c r="AQ431" s="141"/>
      <c r="AT431" s="140"/>
      <c r="AU431" s="140"/>
    </row>
    <row r="432" spans="2:47" s="134" customFormat="1" x14ac:dyDescent="0.2">
      <c r="B432" s="145"/>
      <c r="D432" s="679"/>
      <c r="J432" s="140"/>
      <c r="K432" s="140"/>
      <c r="L432" s="140"/>
      <c r="M432" s="140"/>
      <c r="N432" s="140"/>
      <c r="O432" s="140"/>
      <c r="P432" s="140"/>
      <c r="Q432" s="140"/>
      <c r="R432" s="140"/>
      <c r="S432" s="140"/>
      <c r="T432" s="140"/>
      <c r="U432" s="140"/>
      <c r="V432" s="140"/>
      <c r="W432" s="140"/>
      <c r="X432" s="140"/>
      <c r="Y432" s="140"/>
      <c r="Z432" s="140"/>
      <c r="AA432" s="141"/>
      <c r="AE432" s="140"/>
      <c r="AI432" s="141"/>
      <c r="AM432" s="141"/>
      <c r="AQ432" s="141"/>
      <c r="AT432" s="140"/>
      <c r="AU432" s="140"/>
    </row>
    <row r="433" spans="2:47" s="134" customFormat="1" x14ac:dyDescent="0.2">
      <c r="B433" s="145"/>
      <c r="D433" s="679"/>
      <c r="J433" s="140"/>
      <c r="K433" s="140"/>
      <c r="L433" s="140"/>
      <c r="M433" s="140"/>
      <c r="N433" s="140"/>
      <c r="O433" s="140"/>
      <c r="P433" s="140"/>
      <c r="Q433" s="140"/>
      <c r="R433" s="140"/>
      <c r="S433" s="140"/>
      <c r="T433" s="140"/>
      <c r="U433" s="140"/>
      <c r="V433" s="140"/>
      <c r="W433" s="140"/>
      <c r="X433" s="140"/>
      <c r="Y433" s="140"/>
      <c r="Z433" s="140"/>
      <c r="AA433" s="141"/>
      <c r="AE433" s="140"/>
      <c r="AI433" s="141"/>
      <c r="AM433" s="141"/>
      <c r="AQ433" s="141"/>
      <c r="AT433" s="140"/>
      <c r="AU433" s="140"/>
    </row>
    <row r="434" spans="2:47" s="134" customFormat="1" x14ac:dyDescent="0.2">
      <c r="B434" s="145"/>
      <c r="D434" s="679"/>
      <c r="J434" s="140"/>
      <c r="K434" s="140"/>
      <c r="L434" s="140"/>
      <c r="M434" s="140"/>
      <c r="N434" s="140"/>
      <c r="O434" s="140"/>
      <c r="P434" s="140"/>
      <c r="Q434" s="140"/>
      <c r="R434" s="140"/>
      <c r="S434" s="140"/>
      <c r="T434" s="140"/>
      <c r="U434" s="140"/>
      <c r="V434" s="140"/>
      <c r="W434" s="140"/>
      <c r="X434" s="140"/>
      <c r="Y434" s="140"/>
      <c r="Z434" s="140"/>
      <c r="AA434" s="141"/>
      <c r="AE434" s="140"/>
      <c r="AI434" s="141"/>
      <c r="AM434" s="141"/>
      <c r="AQ434" s="141"/>
      <c r="AT434" s="140"/>
      <c r="AU434" s="140"/>
    </row>
    <row r="435" spans="2:47" s="134" customFormat="1" x14ac:dyDescent="0.2">
      <c r="B435" s="145"/>
      <c r="D435" s="679"/>
      <c r="J435" s="140"/>
      <c r="K435" s="140"/>
      <c r="L435" s="140"/>
      <c r="M435" s="140"/>
      <c r="N435" s="140"/>
      <c r="O435" s="140"/>
      <c r="P435" s="140"/>
      <c r="Q435" s="140"/>
      <c r="R435" s="140"/>
      <c r="S435" s="140"/>
      <c r="T435" s="140"/>
      <c r="U435" s="140"/>
      <c r="V435" s="140"/>
      <c r="W435" s="140"/>
      <c r="X435" s="140"/>
      <c r="Y435" s="140"/>
      <c r="Z435" s="140"/>
      <c r="AA435" s="141"/>
      <c r="AE435" s="140"/>
      <c r="AI435" s="141"/>
      <c r="AM435" s="141"/>
      <c r="AQ435" s="141"/>
      <c r="AT435" s="140"/>
      <c r="AU435" s="140"/>
    </row>
    <row r="436" spans="2:47" s="134" customFormat="1" x14ac:dyDescent="0.2">
      <c r="B436" s="145"/>
      <c r="D436" s="679"/>
      <c r="J436" s="140"/>
      <c r="K436" s="140"/>
      <c r="L436" s="140"/>
      <c r="M436" s="140"/>
      <c r="N436" s="140"/>
      <c r="O436" s="140"/>
      <c r="P436" s="140"/>
      <c r="Q436" s="140"/>
      <c r="R436" s="140"/>
      <c r="S436" s="140"/>
      <c r="T436" s="140"/>
      <c r="U436" s="140"/>
      <c r="V436" s="140"/>
      <c r="W436" s="140"/>
      <c r="X436" s="140"/>
      <c r="Y436" s="140"/>
      <c r="Z436" s="140"/>
      <c r="AA436" s="141"/>
      <c r="AE436" s="140"/>
      <c r="AI436" s="141"/>
      <c r="AM436" s="141"/>
      <c r="AQ436" s="141"/>
      <c r="AT436" s="140"/>
      <c r="AU436" s="140"/>
    </row>
    <row r="437" spans="2:47" s="134" customFormat="1" x14ac:dyDescent="0.2">
      <c r="B437" s="145"/>
      <c r="D437" s="679"/>
      <c r="J437" s="140"/>
      <c r="K437" s="140"/>
      <c r="L437" s="140"/>
      <c r="M437" s="140"/>
      <c r="N437" s="140"/>
      <c r="O437" s="140"/>
      <c r="P437" s="140"/>
      <c r="Q437" s="140"/>
      <c r="R437" s="140"/>
      <c r="S437" s="140"/>
      <c r="T437" s="140"/>
      <c r="U437" s="140"/>
      <c r="V437" s="140"/>
      <c r="W437" s="140"/>
      <c r="X437" s="140"/>
      <c r="Y437" s="140"/>
      <c r="Z437" s="140"/>
      <c r="AA437" s="141"/>
      <c r="AE437" s="140"/>
      <c r="AI437" s="141"/>
      <c r="AM437" s="141"/>
      <c r="AQ437" s="141"/>
      <c r="AT437" s="140"/>
      <c r="AU437" s="140"/>
    </row>
    <row r="438" spans="2:47" s="134" customFormat="1" x14ac:dyDescent="0.2">
      <c r="B438" s="145"/>
      <c r="D438" s="679"/>
      <c r="J438" s="140"/>
      <c r="K438" s="140"/>
      <c r="L438" s="140"/>
      <c r="M438" s="140"/>
      <c r="N438" s="140"/>
      <c r="O438" s="140"/>
      <c r="P438" s="140"/>
      <c r="Q438" s="140"/>
      <c r="R438" s="140"/>
      <c r="S438" s="140"/>
      <c r="T438" s="140"/>
      <c r="U438" s="140"/>
      <c r="V438" s="140"/>
      <c r="W438" s="140"/>
      <c r="X438" s="140"/>
      <c r="Y438" s="140"/>
      <c r="Z438" s="140"/>
      <c r="AA438" s="141"/>
      <c r="AE438" s="140"/>
      <c r="AI438" s="141"/>
      <c r="AM438" s="141"/>
      <c r="AQ438" s="141"/>
      <c r="AT438" s="140"/>
      <c r="AU438" s="140"/>
    </row>
    <row r="439" spans="2:47" s="134" customFormat="1" x14ac:dyDescent="0.2">
      <c r="B439" s="145"/>
      <c r="D439" s="679"/>
      <c r="J439" s="140"/>
      <c r="K439" s="140"/>
      <c r="L439" s="140"/>
      <c r="M439" s="140"/>
      <c r="N439" s="140"/>
      <c r="O439" s="140"/>
      <c r="P439" s="140"/>
      <c r="Q439" s="140"/>
      <c r="R439" s="140"/>
      <c r="S439" s="140"/>
      <c r="T439" s="140"/>
      <c r="U439" s="140"/>
      <c r="V439" s="140"/>
      <c r="W439" s="140"/>
      <c r="X439" s="140"/>
      <c r="Y439" s="140"/>
      <c r="Z439" s="140"/>
      <c r="AA439" s="141"/>
      <c r="AE439" s="140"/>
      <c r="AI439" s="141"/>
      <c r="AM439" s="141"/>
      <c r="AQ439" s="141"/>
      <c r="AT439" s="140"/>
      <c r="AU439" s="140"/>
    </row>
    <row r="440" spans="2:47" s="134" customFormat="1" x14ac:dyDescent="0.2">
      <c r="B440" s="145"/>
      <c r="D440" s="679"/>
      <c r="J440" s="140"/>
      <c r="K440" s="140"/>
      <c r="L440" s="140"/>
      <c r="M440" s="140"/>
      <c r="N440" s="140"/>
      <c r="O440" s="140"/>
      <c r="P440" s="140"/>
      <c r="Q440" s="140"/>
      <c r="R440" s="140"/>
      <c r="S440" s="140"/>
      <c r="T440" s="140"/>
      <c r="U440" s="140"/>
      <c r="V440" s="140"/>
      <c r="W440" s="140"/>
      <c r="X440" s="140"/>
      <c r="Y440" s="140"/>
      <c r="Z440" s="140"/>
      <c r="AA440" s="141"/>
      <c r="AE440" s="140"/>
      <c r="AI440" s="141"/>
      <c r="AM440" s="141"/>
      <c r="AQ440" s="141"/>
      <c r="AT440" s="140"/>
      <c r="AU440" s="140"/>
    </row>
    <row r="441" spans="2:47" s="134" customFormat="1" x14ac:dyDescent="0.2">
      <c r="B441" s="145"/>
      <c r="D441" s="679"/>
      <c r="J441" s="140"/>
      <c r="K441" s="140"/>
      <c r="L441" s="140"/>
      <c r="M441" s="140"/>
      <c r="N441" s="140"/>
      <c r="O441" s="140"/>
      <c r="P441" s="140"/>
      <c r="Q441" s="140"/>
      <c r="R441" s="140"/>
      <c r="S441" s="140"/>
      <c r="T441" s="140"/>
      <c r="U441" s="140"/>
      <c r="V441" s="140"/>
      <c r="W441" s="140"/>
      <c r="X441" s="140"/>
      <c r="Y441" s="140"/>
      <c r="Z441" s="140"/>
      <c r="AA441" s="141"/>
      <c r="AE441" s="140"/>
      <c r="AI441" s="141"/>
      <c r="AM441" s="141"/>
      <c r="AQ441" s="141"/>
      <c r="AT441" s="140"/>
      <c r="AU441" s="140"/>
    </row>
    <row r="442" spans="2:47" s="134" customFormat="1" x14ac:dyDescent="0.2">
      <c r="B442" s="145"/>
      <c r="D442" s="679"/>
      <c r="J442" s="140"/>
      <c r="K442" s="140"/>
      <c r="L442" s="140"/>
      <c r="M442" s="140"/>
      <c r="N442" s="140"/>
      <c r="O442" s="140"/>
      <c r="P442" s="140"/>
      <c r="Q442" s="140"/>
      <c r="R442" s="140"/>
      <c r="S442" s="140"/>
      <c r="T442" s="140"/>
      <c r="U442" s="140"/>
      <c r="V442" s="140"/>
      <c r="W442" s="140"/>
      <c r="X442" s="140"/>
      <c r="Y442" s="140"/>
      <c r="Z442" s="140"/>
      <c r="AA442" s="141"/>
      <c r="AE442" s="140"/>
      <c r="AI442" s="141"/>
      <c r="AM442" s="141"/>
      <c r="AQ442" s="141"/>
      <c r="AT442" s="140"/>
      <c r="AU442" s="140"/>
    </row>
    <row r="443" spans="2:47" s="134" customFormat="1" x14ac:dyDescent="0.2">
      <c r="B443" s="145"/>
      <c r="D443" s="679"/>
      <c r="J443" s="140"/>
      <c r="K443" s="140"/>
      <c r="L443" s="140"/>
      <c r="M443" s="140"/>
      <c r="N443" s="140"/>
      <c r="O443" s="140"/>
      <c r="P443" s="140"/>
      <c r="Q443" s="140"/>
      <c r="R443" s="140"/>
      <c r="S443" s="140"/>
      <c r="T443" s="140"/>
      <c r="U443" s="140"/>
      <c r="V443" s="140"/>
      <c r="W443" s="140"/>
      <c r="X443" s="140"/>
      <c r="Y443" s="140"/>
      <c r="Z443" s="140"/>
      <c r="AA443" s="141"/>
      <c r="AE443" s="140"/>
      <c r="AI443" s="141"/>
      <c r="AM443" s="141"/>
      <c r="AQ443" s="141"/>
      <c r="AT443" s="140"/>
      <c r="AU443" s="140"/>
    </row>
    <row r="444" spans="2:47" s="134" customFormat="1" x14ac:dyDescent="0.2">
      <c r="B444" s="145"/>
      <c r="D444" s="679"/>
      <c r="J444" s="140"/>
      <c r="K444" s="140"/>
      <c r="L444" s="140"/>
      <c r="M444" s="140"/>
      <c r="N444" s="140"/>
      <c r="O444" s="140"/>
      <c r="P444" s="140"/>
      <c r="Q444" s="140"/>
      <c r="R444" s="140"/>
      <c r="S444" s="140"/>
      <c r="T444" s="140"/>
      <c r="U444" s="140"/>
      <c r="V444" s="140"/>
      <c r="W444" s="140"/>
      <c r="X444" s="140"/>
      <c r="Y444" s="140"/>
      <c r="Z444" s="140"/>
      <c r="AA444" s="141"/>
      <c r="AE444" s="140"/>
      <c r="AI444" s="141"/>
      <c r="AM444" s="141"/>
      <c r="AQ444" s="141"/>
      <c r="AT444" s="140"/>
      <c r="AU444" s="140"/>
    </row>
    <row r="445" spans="2:47" s="134" customFormat="1" x14ac:dyDescent="0.2">
      <c r="B445" s="145"/>
      <c r="D445" s="679"/>
      <c r="J445" s="140"/>
      <c r="K445" s="140"/>
      <c r="L445" s="140"/>
      <c r="M445" s="140"/>
      <c r="N445" s="140"/>
      <c r="O445" s="140"/>
      <c r="P445" s="140"/>
      <c r="Q445" s="140"/>
      <c r="R445" s="140"/>
      <c r="S445" s="140"/>
      <c r="T445" s="140"/>
      <c r="U445" s="140"/>
      <c r="V445" s="140"/>
      <c r="W445" s="140"/>
      <c r="X445" s="140"/>
      <c r="Y445" s="140"/>
      <c r="Z445" s="140"/>
      <c r="AA445" s="141"/>
      <c r="AE445" s="140"/>
      <c r="AI445" s="141"/>
      <c r="AM445" s="141"/>
      <c r="AQ445" s="141"/>
      <c r="AT445" s="140"/>
      <c r="AU445" s="140"/>
    </row>
    <row r="446" spans="2:47" s="134" customFormat="1" x14ac:dyDescent="0.2">
      <c r="B446" s="145"/>
      <c r="D446" s="679"/>
      <c r="J446" s="140"/>
      <c r="K446" s="140"/>
      <c r="L446" s="140"/>
      <c r="M446" s="140"/>
      <c r="N446" s="140"/>
      <c r="O446" s="140"/>
      <c r="P446" s="140"/>
      <c r="Q446" s="140"/>
      <c r="R446" s="140"/>
      <c r="S446" s="140"/>
      <c r="T446" s="140"/>
      <c r="U446" s="140"/>
      <c r="V446" s="140"/>
      <c r="W446" s="140"/>
      <c r="X446" s="140"/>
      <c r="Y446" s="140"/>
      <c r="Z446" s="140"/>
      <c r="AA446" s="141"/>
      <c r="AE446" s="140"/>
      <c r="AI446" s="141"/>
      <c r="AM446" s="141"/>
      <c r="AQ446" s="141"/>
      <c r="AT446" s="140"/>
      <c r="AU446" s="140"/>
    </row>
    <row r="447" spans="2:47" s="134" customFormat="1" x14ac:dyDescent="0.2">
      <c r="B447" s="145"/>
      <c r="D447" s="679"/>
      <c r="J447" s="140"/>
      <c r="K447" s="140"/>
      <c r="L447" s="140"/>
      <c r="M447" s="140"/>
      <c r="N447" s="140"/>
      <c r="O447" s="140"/>
      <c r="P447" s="140"/>
      <c r="Q447" s="140"/>
      <c r="R447" s="140"/>
      <c r="S447" s="140"/>
      <c r="T447" s="140"/>
      <c r="U447" s="140"/>
      <c r="V447" s="140"/>
      <c r="W447" s="140"/>
      <c r="X447" s="140"/>
      <c r="Y447" s="140"/>
      <c r="Z447" s="140"/>
      <c r="AA447" s="141"/>
      <c r="AE447" s="140"/>
      <c r="AI447" s="141"/>
      <c r="AM447" s="141"/>
      <c r="AQ447" s="141"/>
      <c r="AT447" s="140"/>
      <c r="AU447" s="140"/>
    </row>
    <row r="448" spans="2:47" s="134" customFormat="1" x14ac:dyDescent="0.2">
      <c r="B448" s="145"/>
      <c r="D448" s="679"/>
      <c r="J448" s="140"/>
      <c r="K448" s="140"/>
      <c r="L448" s="140"/>
      <c r="M448" s="140"/>
      <c r="N448" s="140"/>
      <c r="O448" s="140"/>
      <c r="P448" s="140"/>
      <c r="Q448" s="140"/>
      <c r="R448" s="140"/>
      <c r="S448" s="140"/>
      <c r="T448" s="140"/>
      <c r="U448" s="140"/>
      <c r="V448" s="140"/>
      <c r="W448" s="140"/>
      <c r="X448" s="140"/>
      <c r="Y448" s="140"/>
      <c r="Z448" s="140"/>
      <c r="AA448" s="141"/>
      <c r="AE448" s="140"/>
      <c r="AI448" s="141"/>
      <c r="AM448" s="141"/>
      <c r="AQ448" s="141"/>
      <c r="AT448" s="140"/>
      <c r="AU448" s="140"/>
    </row>
    <row r="449" spans="2:47" s="134" customFormat="1" x14ac:dyDescent="0.2">
      <c r="B449" s="145"/>
      <c r="D449" s="679"/>
      <c r="J449" s="140"/>
      <c r="K449" s="140"/>
      <c r="L449" s="140"/>
      <c r="M449" s="140"/>
      <c r="N449" s="140"/>
      <c r="O449" s="140"/>
      <c r="P449" s="140"/>
      <c r="Q449" s="140"/>
      <c r="R449" s="140"/>
      <c r="S449" s="140"/>
      <c r="T449" s="140"/>
      <c r="U449" s="140"/>
      <c r="V449" s="140"/>
      <c r="W449" s="140"/>
      <c r="X449" s="140"/>
      <c r="Y449" s="140"/>
      <c r="Z449" s="140"/>
      <c r="AA449" s="141"/>
      <c r="AE449" s="140"/>
      <c r="AI449" s="141"/>
      <c r="AM449" s="141"/>
      <c r="AQ449" s="141"/>
      <c r="AT449" s="140"/>
      <c r="AU449" s="140"/>
    </row>
    <row r="450" spans="2:47" s="134" customFormat="1" x14ac:dyDescent="0.2">
      <c r="B450" s="145"/>
      <c r="D450" s="679"/>
      <c r="J450" s="140"/>
      <c r="K450" s="140"/>
      <c r="L450" s="140"/>
      <c r="M450" s="140"/>
      <c r="N450" s="140"/>
      <c r="O450" s="140"/>
      <c r="P450" s="140"/>
      <c r="Q450" s="140"/>
      <c r="R450" s="140"/>
      <c r="S450" s="140"/>
      <c r="T450" s="140"/>
      <c r="U450" s="140"/>
      <c r="V450" s="140"/>
      <c r="W450" s="140"/>
      <c r="X450" s="140"/>
      <c r="Y450" s="140"/>
      <c r="Z450" s="140"/>
      <c r="AA450" s="141"/>
      <c r="AE450" s="140"/>
      <c r="AI450" s="141"/>
      <c r="AM450" s="141"/>
      <c r="AQ450" s="141"/>
      <c r="AT450" s="140"/>
      <c r="AU450" s="140"/>
    </row>
    <row r="451" spans="2:47" s="134" customFormat="1" x14ac:dyDescent="0.2">
      <c r="B451" s="145"/>
      <c r="D451" s="679"/>
      <c r="J451" s="140"/>
      <c r="K451" s="140"/>
      <c r="L451" s="140"/>
      <c r="M451" s="140"/>
      <c r="N451" s="140"/>
      <c r="O451" s="140"/>
      <c r="P451" s="140"/>
      <c r="Q451" s="140"/>
      <c r="R451" s="140"/>
      <c r="S451" s="140"/>
      <c r="T451" s="140"/>
      <c r="U451" s="140"/>
      <c r="V451" s="140"/>
      <c r="W451" s="140"/>
      <c r="X451" s="140"/>
      <c r="Y451" s="140"/>
      <c r="Z451" s="140"/>
      <c r="AA451" s="141"/>
      <c r="AE451" s="140"/>
      <c r="AI451" s="141"/>
      <c r="AM451" s="141"/>
      <c r="AQ451" s="141"/>
      <c r="AT451" s="140"/>
      <c r="AU451" s="140"/>
    </row>
    <row r="452" spans="2:47" s="134" customFormat="1" x14ac:dyDescent="0.2">
      <c r="B452" s="145"/>
      <c r="D452" s="679"/>
      <c r="J452" s="140"/>
      <c r="K452" s="140"/>
      <c r="L452" s="140"/>
      <c r="M452" s="140"/>
      <c r="N452" s="140"/>
      <c r="O452" s="140"/>
      <c r="P452" s="140"/>
      <c r="Q452" s="140"/>
      <c r="R452" s="140"/>
      <c r="S452" s="140"/>
      <c r="T452" s="140"/>
      <c r="U452" s="140"/>
      <c r="V452" s="140"/>
      <c r="W452" s="140"/>
      <c r="X452" s="140"/>
      <c r="Y452" s="140"/>
      <c r="Z452" s="140"/>
      <c r="AA452" s="141"/>
      <c r="AE452" s="140"/>
      <c r="AI452" s="141"/>
      <c r="AM452" s="141"/>
      <c r="AQ452" s="141"/>
      <c r="AT452" s="140"/>
      <c r="AU452" s="140"/>
    </row>
    <row r="453" spans="2:47" s="134" customFormat="1" x14ac:dyDescent="0.2">
      <c r="B453" s="145"/>
      <c r="D453" s="679"/>
      <c r="J453" s="140"/>
      <c r="K453" s="140"/>
      <c r="L453" s="140"/>
      <c r="M453" s="140"/>
      <c r="N453" s="140"/>
      <c r="O453" s="140"/>
      <c r="P453" s="140"/>
      <c r="Q453" s="140"/>
      <c r="R453" s="140"/>
      <c r="S453" s="140"/>
      <c r="T453" s="140"/>
      <c r="U453" s="140"/>
      <c r="V453" s="140"/>
      <c r="W453" s="140"/>
      <c r="X453" s="140"/>
      <c r="Y453" s="140"/>
      <c r="Z453" s="140"/>
      <c r="AA453" s="141"/>
      <c r="AE453" s="140"/>
      <c r="AI453" s="141"/>
      <c r="AM453" s="141"/>
      <c r="AQ453" s="141"/>
      <c r="AT453" s="140"/>
      <c r="AU453" s="140"/>
    </row>
    <row r="454" spans="2:47" s="134" customFormat="1" x14ac:dyDescent="0.2">
      <c r="B454" s="145"/>
      <c r="D454" s="679"/>
      <c r="J454" s="140"/>
      <c r="K454" s="140"/>
      <c r="L454" s="140"/>
      <c r="M454" s="140"/>
      <c r="N454" s="140"/>
      <c r="O454" s="140"/>
      <c r="P454" s="140"/>
      <c r="Q454" s="140"/>
      <c r="R454" s="140"/>
      <c r="S454" s="140"/>
      <c r="T454" s="140"/>
      <c r="U454" s="140"/>
      <c r="V454" s="140"/>
      <c r="W454" s="140"/>
      <c r="X454" s="140"/>
      <c r="Y454" s="140"/>
      <c r="Z454" s="140"/>
      <c r="AA454" s="141"/>
      <c r="AE454" s="140"/>
      <c r="AI454" s="141"/>
      <c r="AM454" s="141"/>
      <c r="AQ454" s="141"/>
      <c r="AT454" s="140"/>
      <c r="AU454" s="140"/>
    </row>
    <row r="455" spans="2:47" s="134" customFormat="1" x14ac:dyDescent="0.2">
      <c r="B455" s="145"/>
      <c r="D455" s="679"/>
      <c r="J455" s="140"/>
      <c r="K455" s="140"/>
      <c r="L455" s="140"/>
      <c r="M455" s="140"/>
      <c r="N455" s="140"/>
      <c r="O455" s="140"/>
      <c r="P455" s="140"/>
      <c r="Q455" s="140"/>
      <c r="R455" s="140"/>
      <c r="S455" s="140"/>
      <c r="T455" s="140"/>
      <c r="U455" s="140"/>
      <c r="V455" s="140"/>
      <c r="W455" s="140"/>
      <c r="X455" s="140"/>
      <c r="Y455" s="140"/>
      <c r="Z455" s="140"/>
      <c r="AA455" s="141"/>
      <c r="AE455" s="140"/>
      <c r="AI455" s="141"/>
      <c r="AM455" s="141"/>
      <c r="AQ455" s="141"/>
      <c r="AT455" s="140"/>
      <c r="AU455" s="140"/>
    </row>
    <row r="456" spans="2:47" s="134" customFormat="1" x14ac:dyDescent="0.2">
      <c r="B456" s="145"/>
      <c r="D456" s="679"/>
      <c r="J456" s="140"/>
      <c r="K456" s="140"/>
      <c r="L456" s="140"/>
      <c r="M456" s="140"/>
      <c r="N456" s="140"/>
      <c r="O456" s="140"/>
      <c r="P456" s="140"/>
      <c r="Q456" s="140"/>
      <c r="R456" s="140"/>
      <c r="S456" s="140"/>
      <c r="T456" s="140"/>
      <c r="U456" s="140"/>
      <c r="V456" s="140"/>
      <c r="W456" s="140"/>
      <c r="X456" s="140"/>
      <c r="Y456" s="140"/>
      <c r="Z456" s="140"/>
      <c r="AA456" s="141"/>
      <c r="AE456" s="140"/>
      <c r="AI456" s="141"/>
      <c r="AM456" s="141"/>
      <c r="AQ456" s="141"/>
      <c r="AT456" s="140"/>
      <c r="AU456" s="140"/>
    </row>
    <row r="457" spans="2:47" s="134" customFormat="1" x14ac:dyDescent="0.2">
      <c r="B457" s="145"/>
      <c r="D457" s="679"/>
      <c r="J457" s="140"/>
      <c r="K457" s="140"/>
      <c r="L457" s="140"/>
      <c r="M457" s="140"/>
      <c r="N457" s="140"/>
      <c r="O457" s="140"/>
      <c r="P457" s="140"/>
      <c r="Q457" s="140"/>
      <c r="R457" s="140"/>
      <c r="S457" s="140"/>
      <c r="T457" s="140"/>
      <c r="U457" s="140"/>
      <c r="V457" s="140"/>
      <c r="W457" s="140"/>
      <c r="X457" s="140"/>
      <c r="Y457" s="140"/>
      <c r="Z457" s="140"/>
      <c r="AA457" s="141"/>
      <c r="AE457" s="140"/>
      <c r="AI457" s="141"/>
      <c r="AM457" s="141"/>
      <c r="AQ457" s="141"/>
      <c r="AT457" s="140"/>
      <c r="AU457" s="140"/>
    </row>
    <row r="458" spans="2:47" s="134" customFormat="1" x14ac:dyDescent="0.2">
      <c r="B458" s="145"/>
      <c r="D458" s="679"/>
      <c r="J458" s="140"/>
      <c r="K458" s="140"/>
      <c r="L458" s="140"/>
      <c r="M458" s="140"/>
      <c r="N458" s="140"/>
      <c r="O458" s="140"/>
      <c r="P458" s="140"/>
      <c r="Q458" s="140"/>
      <c r="R458" s="140"/>
      <c r="S458" s="140"/>
      <c r="T458" s="140"/>
      <c r="U458" s="140"/>
      <c r="V458" s="140"/>
      <c r="W458" s="140"/>
      <c r="X458" s="140"/>
      <c r="Y458" s="140"/>
      <c r="Z458" s="140"/>
      <c r="AA458" s="141"/>
      <c r="AE458" s="140"/>
      <c r="AI458" s="141"/>
      <c r="AM458" s="141"/>
      <c r="AQ458" s="141"/>
      <c r="AT458" s="140"/>
      <c r="AU458" s="140"/>
    </row>
    <row r="459" spans="2:47" s="134" customFormat="1" x14ac:dyDescent="0.2">
      <c r="B459" s="145"/>
      <c r="D459" s="679"/>
      <c r="J459" s="140"/>
      <c r="K459" s="140"/>
      <c r="L459" s="140"/>
      <c r="M459" s="140"/>
      <c r="N459" s="140"/>
      <c r="O459" s="140"/>
      <c r="P459" s="140"/>
      <c r="Q459" s="140"/>
      <c r="R459" s="140"/>
      <c r="S459" s="140"/>
      <c r="T459" s="140"/>
      <c r="U459" s="140"/>
      <c r="V459" s="140"/>
      <c r="W459" s="140"/>
      <c r="X459" s="140"/>
      <c r="Y459" s="140"/>
      <c r="Z459" s="140"/>
      <c r="AA459" s="141"/>
      <c r="AE459" s="140"/>
      <c r="AI459" s="141"/>
      <c r="AM459" s="141"/>
      <c r="AQ459" s="141"/>
      <c r="AT459" s="140"/>
      <c r="AU459" s="140"/>
    </row>
    <row r="460" spans="2:47" s="134" customFormat="1" x14ac:dyDescent="0.2">
      <c r="B460" s="145"/>
      <c r="D460" s="679"/>
      <c r="J460" s="140"/>
      <c r="K460" s="140"/>
      <c r="L460" s="140"/>
      <c r="M460" s="140"/>
      <c r="N460" s="140"/>
      <c r="O460" s="140"/>
      <c r="P460" s="140"/>
      <c r="Q460" s="140"/>
      <c r="R460" s="140"/>
      <c r="S460" s="140"/>
      <c r="T460" s="140"/>
      <c r="U460" s="140"/>
      <c r="V460" s="140"/>
      <c r="W460" s="140"/>
      <c r="X460" s="140"/>
      <c r="Y460" s="140"/>
      <c r="Z460" s="140"/>
      <c r="AA460" s="141"/>
      <c r="AE460" s="140"/>
      <c r="AI460" s="141"/>
      <c r="AM460" s="141"/>
      <c r="AQ460" s="141"/>
      <c r="AT460" s="140"/>
      <c r="AU460" s="140"/>
    </row>
    <row r="461" spans="2:47" s="134" customFormat="1" x14ac:dyDescent="0.2">
      <c r="B461" s="145"/>
      <c r="D461" s="679"/>
      <c r="J461" s="140"/>
      <c r="K461" s="140"/>
      <c r="L461" s="140"/>
      <c r="M461" s="140"/>
      <c r="N461" s="140"/>
      <c r="O461" s="140"/>
      <c r="P461" s="140"/>
      <c r="Q461" s="140"/>
      <c r="R461" s="140"/>
      <c r="S461" s="140"/>
      <c r="T461" s="140"/>
      <c r="U461" s="140"/>
      <c r="V461" s="140"/>
      <c r="W461" s="140"/>
      <c r="X461" s="140"/>
      <c r="Y461" s="140"/>
      <c r="Z461" s="140"/>
      <c r="AA461" s="141"/>
      <c r="AE461" s="140"/>
      <c r="AI461" s="141"/>
      <c r="AM461" s="141"/>
      <c r="AQ461" s="141"/>
      <c r="AT461" s="140"/>
      <c r="AU461" s="140"/>
    </row>
    <row r="462" spans="2:47" s="134" customFormat="1" x14ac:dyDescent="0.2">
      <c r="B462" s="145"/>
      <c r="D462" s="679"/>
      <c r="J462" s="140"/>
      <c r="K462" s="140"/>
      <c r="L462" s="140"/>
      <c r="M462" s="140"/>
      <c r="N462" s="140"/>
      <c r="O462" s="140"/>
      <c r="P462" s="140"/>
      <c r="Q462" s="140"/>
      <c r="R462" s="140"/>
      <c r="S462" s="140"/>
      <c r="T462" s="140"/>
      <c r="U462" s="140"/>
      <c r="V462" s="140"/>
      <c r="W462" s="140"/>
      <c r="X462" s="140"/>
      <c r="Y462" s="140"/>
      <c r="Z462" s="140"/>
      <c r="AA462" s="141"/>
      <c r="AE462" s="140"/>
      <c r="AI462" s="141"/>
      <c r="AM462" s="141"/>
      <c r="AQ462" s="141"/>
      <c r="AT462" s="140"/>
      <c r="AU462" s="140"/>
    </row>
    <row r="463" spans="2:47" s="134" customFormat="1" x14ac:dyDescent="0.2">
      <c r="B463" s="145"/>
      <c r="D463" s="679"/>
      <c r="J463" s="140"/>
      <c r="K463" s="140"/>
      <c r="L463" s="140"/>
      <c r="M463" s="140"/>
      <c r="N463" s="140"/>
      <c r="O463" s="140"/>
      <c r="P463" s="140"/>
      <c r="Q463" s="140"/>
      <c r="R463" s="140"/>
      <c r="S463" s="140"/>
      <c r="T463" s="140"/>
      <c r="U463" s="140"/>
      <c r="V463" s="140"/>
      <c r="W463" s="140"/>
      <c r="X463" s="140"/>
      <c r="Y463" s="140"/>
      <c r="Z463" s="140"/>
      <c r="AA463" s="141"/>
      <c r="AE463" s="140"/>
      <c r="AI463" s="141"/>
      <c r="AM463" s="141"/>
      <c r="AQ463" s="141"/>
      <c r="AT463" s="140"/>
      <c r="AU463" s="140"/>
    </row>
    <row r="464" spans="2:47" s="134" customFormat="1" x14ac:dyDescent="0.2">
      <c r="B464" s="145"/>
      <c r="D464" s="679"/>
      <c r="J464" s="140"/>
      <c r="K464" s="140"/>
      <c r="L464" s="140"/>
      <c r="M464" s="140"/>
      <c r="N464" s="140"/>
      <c r="O464" s="140"/>
      <c r="P464" s="140"/>
      <c r="Q464" s="140"/>
      <c r="R464" s="140"/>
      <c r="S464" s="140"/>
      <c r="T464" s="140"/>
      <c r="U464" s="140"/>
      <c r="V464" s="140"/>
      <c r="W464" s="140"/>
      <c r="X464" s="140"/>
      <c r="Y464" s="140"/>
      <c r="Z464" s="140"/>
      <c r="AA464" s="141"/>
      <c r="AE464" s="140"/>
      <c r="AI464" s="141"/>
      <c r="AM464" s="141"/>
      <c r="AQ464" s="141"/>
      <c r="AT464" s="140"/>
      <c r="AU464" s="140"/>
    </row>
    <row r="465" spans="2:47" s="134" customFormat="1" x14ac:dyDescent="0.2">
      <c r="B465" s="145"/>
      <c r="D465" s="679"/>
      <c r="J465" s="140"/>
      <c r="K465" s="140"/>
      <c r="L465" s="140"/>
      <c r="M465" s="140"/>
      <c r="N465" s="140"/>
      <c r="O465" s="140"/>
      <c r="P465" s="140"/>
      <c r="Q465" s="140"/>
      <c r="R465" s="140"/>
      <c r="S465" s="140"/>
      <c r="T465" s="140"/>
      <c r="U465" s="140"/>
      <c r="V465" s="140"/>
      <c r="W465" s="140"/>
      <c r="X465" s="140"/>
      <c r="Y465" s="140"/>
      <c r="Z465" s="140"/>
      <c r="AA465" s="141"/>
      <c r="AE465" s="140"/>
      <c r="AI465" s="141"/>
      <c r="AM465" s="141"/>
      <c r="AQ465" s="141"/>
      <c r="AT465" s="140"/>
      <c r="AU465" s="140"/>
    </row>
    <row r="466" spans="2:47" s="134" customFormat="1" x14ac:dyDescent="0.2">
      <c r="B466" s="145"/>
      <c r="D466" s="679"/>
      <c r="J466" s="140"/>
      <c r="K466" s="140"/>
      <c r="L466" s="140"/>
      <c r="M466" s="140"/>
      <c r="N466" s="140"/>
      <c r="O466" s="140"/>
      <c r="P466" s="140"/>
      <c r="Q466" s="140"/>
      <c r="R466" s="140"/>
      <c r="S466" s="140"/>
      <c r="T466" s="140"/>
      <c r="U466" s="140"/>
      <c r="V466" s="140"/>
      <c r="W466" s="140"/>
      <c r="X466" s="140"/>
      <c r="Y466" s="140"/>
      <c r="Z466" s="140"/>
      <c r="AA466" s="141"/>
      <c r="AE466" s="140"/>
      <c r="AI466" s="141"/>
      <c r="AM466" s="141"/>
      <c r="AQ466" s="141"/>
      <c r="AT466" s="140"/>
      <c r="AU466" s="140"/>
    </row>
    <row r="467" spans="2:47" s="134" customFormat="1" x14ac:dyDescent="0.2">
      <c r="B467" s="145"/>
      <c r="D467" s="679"/>
      <c r="J467" s="140"/>
      <c r="K467" s="140"/>
      <c r="L467" s="140"/>
      <c r="M467" s="140"/>
      <c r="N467" s="140"/>
      <c r="O467" s="140"/>
      <c r="P467" s="140"/>
      <c r="Q467" s="140"/>
      <c r="R467" s="140"/>
      <c r="S467" s="140"/>
      <c r="T467" s="140"/>
      <c r="U467" s="140"/>
      <c r="V467" s="140"/>
      <c r="W467" s="140"/>
      <c r="X467" s="140"/>
      <c r="Y467" s="140"/>
      <c r="Z467" s="140"/>
      <c r="AA467" s="141"/>
      <c r="AE467" s="140"/>
      <c r="AI467" s="141"/>
      <c r="AM467" s="141"/>
      <c r="AQ467" s="141"/>
      <c r="AT467" s="140"/>
      <c r="AU467" s="140"/>
    </row>
    <row r="468" spans="2:47" s="134" customFormat="1" x14ac:dyDescent="0.2">
      <c r="B468" s="145"/>
      <c r="D468" s="679"/>
      <c r="J468" s="140"/>
      <c r="K468" s="140"/>
      <c r="L468" s="140"/>
      <c r="M468" s="140"/>
      <c r="N468" s="140"/>
      <c r="O468" s="140"/>
      <c r="P468" s="140"/>
      <c r="Q468" s="140"/>
      <c r="R468" s="140"/>
      <c r="S468" s="140"/>
      <c r="T468" s="140"/>
      <c r="U468" s="140"/>
      <c r="V468" s="140"/>
      <c r="W468" s="140"/>
      <c r="X468" s="140"/>
      <c r="Y468" s="140"/>
      <c r="Z468" s="140"/>
      <c r="AA468" s="141"/>
      <c r="AE468" s="140"/>
      <c r="AI468" s="141"/>
      <c r="AM468" s="141"/>
      <c r="AQ468" s="141"/>
      <c r="AT468" s="140"/>
      <c r="AU468" s="140"/>
    </row>
    <row r="469" spans="2:47" s="134" customFormat="1" x14ac:dyDescent="0.2">
      <c r="B469" s="145"/>
      <c r="D469" s="679"/>
      <c r="J469" s="140"/>
      <c r="K469" s="140"/>
      <c r="L469" s="140"/>
      <c r="M469" s="140"/>
      <c r="N469" s="140"/>
      <c r="O469" s="140"/>
      <c r="P469" s="140"/>
      <c r="Q469" s="140"/>
      <c r="R469" s="140"/>
      <c r="S469" s="140"/>
      <c r="T469" s="140"/>
      <c r="U469" s="140"/>
      <c r="V469" s="140"/>
      <c r="W469" s="140"/>
      <c r="X469" s="140"/>
      <c r="Y469" s="140"/>
      <c r="Z469" s="140"/>
      <c r="AA469" s="141"/>
      <c r="AE469" s="140"/>
      <c r="AI469" s="141"/>
      <c r="AM469" s="141"/>
      <c r="AQ469" s="141"/>
      <c r="AT469" s="140"/>
      <c r="AU469" s="140"/>
    </row>
    <row r="470" spans="2:47" s="134" customFormat="1" x14ac:dyDescent="0.2">
      <c r="B470" s="145"/>
      <c r="D470" s="679"/>
      <c r="J470" s="140"/>
      <c r="K470" s="140"/>
      <c r="L470" s="140"/>
      <c r="M470" s="140"/>
      <c r="N470" s="140"/>
      <c r="O470" s="140"/>
      <c r="P470" s="140"/>
      <c r="Q470" s="140"/>
      <c r="R470" s="140"/>
      <c r="S470" s="140"/>
      <c r="T470" s="140"/>
      <c r="U470" s="140"/>
      <c r="V470" s="140"/>
      <c r="W470" s="140"/>
      <c r="X470" s="140"/>
      <c r="Y470" s="140"/>
      <c r="Z470" s="140"/>
      <c r="AA470" s="141"/>
      <c r="AE470" s="140"/>
      <c r="AI470" s="141"/>
      <c r="AM470" s="141"/>
      <c r="AQ470" s="141"/>
      <c r="AT470" s="140"/>
      <c r="AU470" s="140"/>
    </row>
    <row r="471" spans="2:47" s="134" customFormat="1" x14ac:dyDescent="0.2">
      <c r="B471" s="145"/>
      <c r="D471" s="679"/>
      <c r="J471" s="140"/>
      <c r="K471" s="140"/>
      <c r="L471" s="140"/>
      <c r="M471" s="140"/>
      <c r="N471" s="140"/>
      <c r="O471" s="140"/>
      <c r="P471" s="140"/>
      <c r="Q471" s="140"/>
      <c r="R471" s="140"/>
      <c r="S471" s="140"/>
      <c r="T471" s="140"/>
      <c r="U471" s="140"/>
      <c r="V471" s="140"/>
      <c r="W471" s="140"/>
      <c r="X471" s="140"/>
      <c r="Y471" s="140"/>
      <c r="Z471" s="140"/>
      <c r="AA471" s="141"/>
      <c r="AE471" s="140"/>
      <c r="AI471" s="141"/>
      <c r="AM471" s="141"/>
      <c r="AQ471" s="141"/>
      <c r="AT471" s="140"/>
      <c r="AU471" s="140"/>
    </row>
    <row r="472" spans="2:47" s="134" customFormat="1" x14ac:dyDescent="0.2">
      <c r="B472" s="145"/>
      <c r="D472" s="679"/>
      <c r="J472" s="140"/>
      <c r="K472" s="140"/>
      <c r="L472" s="140"/>
      <c r="M472" s="140"/>
      <c r="N472" s="140"/>
      <c r="O472" s="140"/>
      <c r="P472" s="140"/>
      <c r="Q472" s="140"/>
      <c r="R472" s="140"/>
      <c r="S472" s="140"/>
      <c r="T472" s="140"/>
      <c r="U472" s="140"/>
      <c r="V472" s="140"/>
      <c r="W472" s="140"/>
      <c r="X472" s="140"/>
      <c r="Y472" s="140"/>
      <c r="Z472" s="140"/>
      <c r="AA472" s="141"/>
      <c r="AE472" s="140"/>
      <c r="AI472" s="141"/>
      <c r="AM472" s="141"/>
      <c r="AQ472" s="141"/>
      <c r="AT472" s="140"/>
      <c r="AU472" s="140"/>
    </row>
    <row r="473" spans="2:47" s="134" customFormat="1" x14ac:dyDescent="0.2">
      <c r="B473" s="145"/>
      <c r="D473" s="679"/>
      <c r="J473" s="140"/>
      <c r="K473" s="140"/>
      <c r="L473" s="140"/>
      <c r="M473" s="140"/>
      <c r="N473" s="140"/>
      <c r="O473" s="140"/>
      <c r="P473" s="140"/>
      <c r="Q473" s="140"/>
      <c r="R473" s="140"/>
      <c r="S473" s="140"/>
      <c r="T473" s="140"/>
      <c r="U473" s="140"/>
      <c r="V473" s="140"/>
      <c r="W473" s="140"/>
      <c r="X473" s="140"/>
      <c r="Y473" s="140"/>
      <c r="Z473" s="140"/>
      <c r="AA473" s="141"/>
      <c r="AE473" s="140"/>
      <c r="AI473" s="141"/>
      <c r="AM473" s="141"/>
      <c r="AQ473" s="141"/>
      <c r="AT473" s="140"/>
      <c r="AU473" s="140"/>
    </row>
    <row r="474" spans="2:47" s="134" customFormat="1" x14ac:dyDescent="0.2">
      <c r="B474" s="145"/>
      <c r="D474" s="679"/>
      <c r="J474" s="140"/>
      <c r="K474" s="140"/>
      <c r="L474" s="140"/>
      <c r="M474" s="140"/>
      <c r="N474" s="140"/>
      <c r="O474" s="140"/>
      <c r="P474" s="140"/>
      <c r="Q474" s="140"/>
      <c r="R474" s="140"/>
      <c r="S474" s="140"/>
      <c r="T474" s="140"/>
      <c r="U474" s="140"/>
      <c r="V474" s="140"/>
      <c r="W474" s="140"/>
      <c r="X474" s="140"/>
      <c r="Y474" s="140"/>
      <c r="Z474" s="140"/>
      <c r="AA474" s="141"/>
      <c r="AE474" s="140"/>
      <c r="AI474" s="141"/>
      <c r="AM474" s="141"/>
      <c r="AQ474" s="141"/>
      <c r="AT474" s="140"/>
      <c r="AU474" s="140"/>
    </row>
    <row r="475" spans="2:47" s="134" customFormat="1" x14ac:dyDescent="0.2">
      <c r="B475" s="145"/>
      <c r="D475" s="679"/>
      <c r="J475" s="140"/>
      <c r="K475" s="140"/>
      <c r="L475" s="140"/>
      <c r="M475" s="140"/>
      <c r="N475" s="140"/>
      <c r="O475" s="140"/>
      <c r="P475" s="140"/>
      <c r="Q475" s="140"/>
      <c r="R475" s="140"/>
      <c r="S475" s="140"/>
      <c r="T475" s="140"/>
      <c r="U475" s="140"/>
      <c r="V475" s="140"/>
      <c r="W475" s="140"/>
      <c r="X475" s="140"/>
      <c r="Y475" s="140"/>
      <c r="Z475" s="140"/>
      <c r="AA475" s="141"/>
      <c r="AE475" s="140"/>
      <c r="AI475" s="141"/>
      <c r="AM475" s="141"/>
      <c r="AQ475" s="141"/>
      <c r="AT475" s="140"/>
      <c r="AU475" s="140"/>
    </row>
    <row r="476" spans="2:47" s="134" customFormat="1" x14ac:dyDescent="0.2">
      <c r="B476" s="145"/>
      <c r="D476" s="679"/>
      <c r="J476" s="140"/>
      <c r="K476" s="140"/>
      <c r="L476" s="140"/>
      <c r="M476" s="140"/>
      <c r="N476" s="140"/>
      <c r="O476" s="140"/>
      <c r="P476" s="140"/>
      <c r="Q476" s="140"/>
      <c r="R476" s="140"/>
      <c r="S476" s="140"/>
      <c r="T476" s="140"/>
      <c r="U476" s="140"/>
      <c r="V476" s="140"/>
      <c r="W476" s="140"/>
      <c r="X476" s="140"/>
      <c r="Y476" s="140"/>
      <c r="Z476" s="140"/>
      <c r="AA476" s="141"/>
      <c r="AE476" s="140"/>
      <c r="AI476" s="141"/>
      <c r="AM476" s="141"/>
      <c r="AQ476" s="141"/>
      <c r="AT476" s="140"/>
      <c r="AU476" s="140"/>
    </row>
    <row r="477" spans="2:47" s="134" customFormat="1" x14ac:dyDescent="0.2">
      <c r="B477" s="145"/>
      <c r="D477" s="679"/>
      <c r="J477" s="140"/>
      <c r="K477" s="140"/>
      <c r="L477" s="140"/>
      <c r="M477" s="140"/>
      <c r="N477" s="140"/>
      <c r="O477" s="140"/>
      <c r="P477" s="140"/>
      <c r="Q477" s="140"/>
      <c r="R477" s="140"/>
      <c r="S477" s="140"/>
      <c r="T477" s="140"/>
      <c r="U477" s="140"/>
      <c r="V477" s="140"/>
      <c r="W477" s="140"/>
      <c r="X477" s="140"/>
      <c r="Y477" s="140"/>
      <c r="Z477" s="140"/>
      <c r="AA477" s="141"/>
      <c r="AE477" s="140"/>
      <c r="AI477" s="141"/>
      <c r="AM477" s="141"/>
      <c r="AQ477" s="141"/>
      <c r="AT477" s="140"/>
      <c r="AU477" s="140"/>
    </row>
    <row r="478" spans="2:47" s="134" customFormat="1" x14ac:dyDescent="0.2">
      <c r="B478" s="145"/>
      <c r="D478" s="679"/>
      <c r="J478" s="140"/>
      <c r="K478" s="140"/>
      <c r="L478" s="140"/>
      <c r="M478" s="140"/>
      <c r="N478" s="140"/>
      <c r="O478" s="140"/>
      <c r="P478" s="140"/>
      <c r="Q478" s="140"/>
      <c r="R478" s="140"/>
      <c r="S478" s="140"/>
      <c r="T478" s="140"/>
      <c r="U478" s="140"/>
      <c r="V478" s="140"/>
      <c r="W478" s="140"/>
      <c r="X478" s="140"/>
      <c r="Y478" s="140"/>
      <c r="Z478" s="140"/>
      <c r="AA478" s="141"/>
      <c r="AE478" s="140"/>
      <c r="AI478" s="141"/>
      <c r="AM478" s="141"/>
      <c r="AQ478" s="141"/>
      <c r="AT478" s="140"/>
      <c r="AU478" s="140"/>
    </row>
    <row r="479" spans="2:47" s="134" customFormat="1" x14ac:dyDescent="0.2">
      <c r="B479" s="145"/>
      <c r="D479" s="679"/>
      <c r="J479" s="140"/>
      <c r="K479" s="140"/>
      <c r="L479" s="140"/>
      <c r="M479" s="140"/>
      <c r="N479" s="140"/>
      <c r="O479" s="140"/>
      <c r="P479" s="140"/>
      <c r="Q479" s="140"/>
      <c r="R479" s="140"/>
      <c r="S479" s="140"/>
      <c r="T479" s="140"/>
      <c r="U479" s="140"/>
      <c r="V479" s="140"/>
      <c r="W479" s="140"/>
      <c r="X479" s="140"/>
      <c r="Y479" s="140"/>
      <c r="Z479" s="140"/>
      <c r="AA479" s="141"/>
      <c r="AE479" s="140"/>
      <c r="AI479" s="141"/>
      <c r="AM479" s="141"/>
      <c r="AQ479" s="141"/>
      <c r="AT479" s="140"/>
      <c r="AU479" s="140"/>
    </row>
    <row r="480" spans="2:47" s="134" customFormat="1" x14ac:dyDescent="0.2">
      <c r="B480" s="145"/>
      <c r="D480" s="679"/>
      <c r="J480" s="140"/>
      <c r="K480" s="140"/>
      <c r="L480" s="140"/>
      <c r="M480" s="140"/>
      <c r="N480" s="140"/>
      <c r="O480" s="140"/>
      <c r="P480" s="140"/>
      <c r="Q480" s="140"/>
      <c r="R480" s="140"/>
      <c r="S480" s="140"/>
      <c r="T480" s="140"/>
      <c r="U480" s="140"/>
      <c r="V480" s="140"/>
      <c r="W480" s="140"/>
      <c r="X480" s="140"/>
      <c r="Y480" s="140"/>
      <c r="Z480" s="140"/>
      <c r="AA480" s="141"/>
      <c r="AE480" s="140"/>
      <c r="AI480" s="141"/>
      <c r="AM480" s="141"/>
      <c r="AQ480" s="141"/>
      <c r="AT480" s="140"/>
      <c r="AU480" s="140"/>
    </row>
    <row r="481" spans="2:47" s="134" customFormat="1" x14ac:dyDescent="0.2">
      <c r="B481" s="145"/>
      <c r="D481" s="679"/>
      <c r="J481" s="140"/>
      <c r="K481" s="140"/>
      <c r="L481" s="140"/>
      <c r="M481" s="140"/>
      <c r="N481" s="140"/>
      <c r="O481" s="140"/>
      <c r="P481" s="140"/>
      <c r="Q481" s="140"/>
      <c r="R481" s="140"/>
      <c r="S481" s="140"/>
      <c r="T481" s="140"/>
      <c r="U481" s="140"/>
      <c r="V481" s="140"/>
      <c r="W481" s="140"/>
      <c r="X481" s="140"/>
      <c r="Y481" s="140"/>
      <c r="Z481" s="140"/>
      <c r="AA481" s="141"/>
      <c r="AE481" s="140"/>
      <c r="AI481" s="141"/>
      <c r="AM481" s="141"/>
      <c r="AQ481" s="141"/>
      <c r="AT481" s="140"/>
      <c r="AU481" s="140"/>
    </row>
    <row r="482" spans="2:47" s="134" customFormat="1" x14ac:dyDescent="0.2">
      <c r="B482" s="145"/>
      <c r="D482" s="679"/>
      <c r="J482" s="140"/>
      <c r="K482" s="140"/>
      <c r="L482" s="140"/>
      <c r="M482" s="140"/>
      <c r="N482" s="140"/>
      <c r="O482" s="140"/>
      <c r="P482" s="140"/>
      <c r="Q482" s="140"/>
      <c r="R482" s="140"/>
      <c r="S482" s="140"/>
      <c r="T482" s="140"/>
      <c r="U482" s="140"/>
      <c r="V482" s="140"/>
      <c r="W482" s="140"/>
      <c r="X482" s="140"/>
      <c r="Y482" s="140"/>
      <c r="Z482" s="140"/>
      <c r="AA482" s="141"/>
      <c r="AE482" s="140"/>
      <c r="AI482" s="141"/>
      <c r="AM482" s="141"/>
      <c r="AQ482" s="141"/>
      <c r="AT482" s="140"/>
      <c r="AU482" s="140"/>
    </row>
    <row r="483" spans="2:47" s="134" customFormat="1" x14ac:dyDescent="0.2">
      <c r="B483" s="145"/>
      <c r="D483" s="679"/>
      <c r="J483" s="140"/>
      <c r="K483" s="140"/>
      <c r="L483" s="140"/>
      <c r="M483" s="140"/>
      <c r="N483" s="140"/>
      <c r="O483" s="140"/>
      <c r="P483" s="140"/>
      <c r="Q483" s="140"/>
      <c r="R483" s="140"/>
      <c r="S483" s="140"/>
      <c r="T483" s="140"/>
      <c r="U483" s="140"/>
      <c r="V483" s="140"/>
      <c r="W483" s="140"/>
      <c r="X483" s="140"/>
      <c r="Y483" s="140"/>
      <c r="Z483" s="140"/>
      <c r="AA483" s="141"/>
      <c r="AE483" s="140"/>
      <c r="AI483" s="141"/>
      <c r="AM483" s="141"/>
      <c r="AQ483" s="141"/>
      <c r="AT483" s="140"/>
      <c r="AU483" s="140"/>
    </row>
    <row r="484" spans="2:47" s="134" customFormat="1" x14ac:dyDescent="0.2">
      <c r="B484" s="145"/>
      <c r="D484" s="679"/>
      <c r="J484" s="140"/>
      <c r="K484" s="140"/>
      <c r="L484" s="140"/>
      <c r="M484" s="140"/>
      <c r="N484" s="140"/>
      <c r="O484" s="140"/>
      <c r="P484" s="140"/>
      <c r="Q484" s="140"/>
      <c r="R484" s="140"/>
      <c r="S484" s="140"/>
      <c r="T484" s="140"/>
      <c r="U484" s="140"/>
      <c r="V484" s="140"/>
      <c r="W484" s="140"/>
      <c r="X484" s="140"/>
      <c r="Y484" s="140"/>
      <c r="Z484" s="140"/>
      <c r="AA484" s="141"/>
      <c r="AE484" s="140"/>
      <c r="AI484" s="141"/>
      <c r="AM484" s="141"/>
      <c r="AQ484" s="141"/>
      <c r="AT484" s="140"/>
      <c r="AU484" s="140"/>
    </row>
    <row r="485" spans="2:47" s="134" customFormat="1" x14ac:dyDescent="0.2">
      <c r="B485" s="145"/>
      <c r="D485" s="679"/>
      <c r="J485" s="140"/>
      <c r="K485" s="140"/>
      <c r="L485" s="140"/>
      <c r="M485" s="140"/>
      <c r="N485" s="140"/>
      <c r="O485" s="140"/>
      <c r="P485" s="140"/>
      <c r="Q485" s="140"/>
      <c r="R485" s="140"/>
      <c r="S485" s="140"/>
      <c r="T485" s="140"/>
      <c r="U485" s="140"/>
      <c r="V485" s="140"/>
      <c r="W485" s="140"/>
      <c r="X485" s="140"/>
      <c r="Y485" s="140"/>
      <c r="Z485" s="140"/>
      <c r="AA485" s="141"/>
      <c r="AE485" s="140"/>
      <c r="AI485" s="141"/>
      <c r="AM485" s="141"/>
      <c r="AQ485" s="141"/>
      <c r="AT485" s="140"/>
      <c r="AU485" s="140"/>
    </row>
    <row r="486" spans="2:47" s="134" customFormat="1" x14ac:dyDescent="0.2">
      <c r="B486" s="145"/>
      <c r="D486" s="679"/>
      <c r="J486" s="140"/>
      <c r="K486" s="140"/>
      <c r="L486" s="140"/>
      <c r="M486" s="140"/>
      <c r="N486" s="140"/>
      <c r="O486" s="140"/>
      <c r="P486" s="140"/>
      <c r="Q486" s="140"/>
      <c r="R486" s="140"/>
      <c r="S486" s="140"/>
      <c r="T486" s="140"/>
      <c r="U486" s="140"/>
      <c r="V486" s="140"/>
      <c r="W486" s="140"/>
      <c r="X486" s="140"/>
      <c r="Y486" s="140"/>
      <c r="Z486" s="140"/>
      <c r="AA486" s="141"/>
      <c r="AE486" s="140"/>
      <c r="AI486" s="141"/>
      <c r="AM486" s="141"/>
      <c r="AQ486" s="141"/>
      <c r="AT486" s="140"/>
      <c r="AU486" s="140"/>
    </row>
    <row r="487" spans="2:47" s="134" customFormat="1" x14ac:dyDescent="0.2">
      <c r="B487" s="145"/>
      <c r="D487" s="679"/>
      <c r="J487" s="140"/>
      <c r="K487" s="140"/>
      <c r="L487" s="140"/>
      <c r="M487" s="140"/>
      <c r="N487" s="140"/>
      <c r="O487" s="140"/>
      <c r="P487" s="140"/>
      <c r="Q487" s="140"/>
      <c r="R487" s="140"/>
      <c r="S487" s="140"/>
      <c r="T487" s="140"/>
      <c r="U487" s="140"/>
      <c r="V487" s="140"/>
      <c r="W487" s="140"/>
      <c r="X487" s="140"/>
      <c r="Y487" s="140"/>
      <c r="Z487" s="140"/>
      <c r="AA487" s="141"/>
      <c r="AE487" s="140"/>
      <c r="AI487" s="141"/>
      <c r="AM487" s="141"/>
      <c r="AQ487" s="141"/>
      <c r="AT487" s="140"/>
      <c r="AU487" s="140"/>
    </row>
    <row r="488" spans="2:47" s="134" customFormat="1" x14ac:dyDescent="0.2">
      <c r="B488" s="145"/>
      <c r="D488" s="679"/>
      <c r="J488" s="140"/>
      <c r="K488" s="140"/>
      <c r="L488" s="140"/>
      <c r="M488" s="140"/>
      <c r="N488" s="140"/>
      <c r="O488" s="140"/>
      <c r="P488" s="140"/>
      <c r="Q488" s="140"/>
      <c r="R488" s="140"/>
      <c r="S488" s="140"/>
      <c r="T488" s="140"/>
      <c r="U488" s="140"/>
      <c r="V488" s="140"/>
      <c r="W488" s="140"/>
      <c r="X488" s="140"/>
      <c r="Y488" s="140"/>
      <c r="Z488" s="140"/>
      <c r="AA488" s="141"/>
      <c r="AE488" s="140"/>
      <c r="AI488" s="141"/>
      <c r="AM488" s="141"/>
      <c r="AQ488" s="141"/>
      <c r="AT488" s="140"/>
      <c r="AU488" s="140"/>
    </row>
    <row r="489" spans="2:47" s="134" customFormat="1" x14ac:dyDescent="0.2">
      <c r="B489" s="145"/>
      <c r="D489" s="679"/>
      <c r="J489" s="140"/>
      <c r="K489" s="140"/>
      <c r="L489" s="140"/>
      <c r="M489" s="140"/>
      <c r="N489" s="140"/>
      <c r="O489" s="140"/>
      <c r="P489" s="140"/>
      <c r="Q489" s="140"/>
      <c r="R489" s="140"/>
      <c r="S489" s="140"/>
      <c r="T489" s="140"/>
      <c r="U489" s="140"/>
      <c r="V489" s="140"/>
      <c r="W489" s="140"/>
      <c r="X489" s="140"/>
      <c r="Y489" s="140"/>
      <c r="Z489" s="140"/>
      <c r="AA489" s="141"/>
      <c r="AE489" s="140"/>
      <c r="AI489" s="141"/>
      <c r="AM489" s="141"/>
      <c r="AQ489" s="141"/>
      <c r="AT489" s="140"/>
      <c r="AU489" s="140"/>
    </row>
    <row r="490" spans="2:47" s="134" customFormat="1" x14ac:dyDescent="0.2">
      <c r="B490" s="145"/>
      <c r="D490" s="679"/>
      <c r="J490" s="140"/>
      <c r="K490" s="140"/>
      <c r="L490" s="140"/>
      <c r="M490" s="140"/>
      <c r="N490" s="140"/>
      <c r="O490" s="140"/>
      <c r="P490" s="140"/>
      <c r="Q490" s="140"/>
      <c r="R490" s="140"/>
      <c r="S490" s="140"/>
      <c r="T490" s="140"/>
      <c r="U490" s="140"/>
      <c r="V490" s="140"/>
      <c r="W490" s="140"/>
      <c r="X490" s="140"/>
      <c r="Y490" s="140"/>
      <c r="Z490" s="140"/>
      <c r="AA490" s="141"/>
      <c r="AE490" s="140"/>
      <c r="AI490" s="141"/>
      <c r="AM490" s="141"/>
      <c r="AQ490" s="141"/>
      <c r="AT490" s="140"/>
      <c r="AU490" s="140"/>
    </row>
    <row r="491" spans="2:47" s="134" customFormat="1" x14ac:dyDescent="0.2">
      <c r="B491" s="145"/>
      <c r="D491" s="679"/>
      <c r="J491" s="140"/>
      <c r="K491" s="140"/>
      <c r="L491" s="140"/>
      <c r="M491" s="140"/>
      <c r="N491" s="140"/>
      <c r="O491" s="140"/>
      <c r="P491" s="140"/>
      <c r="Q491" s="140"/>
      <c r="R491" s="140"/>
      <c r="S491" s="140"/>
      <c r="T491" s="140"/>
      <c r="U491" s="140"/>
      <c r="V491" s="140"/>
      <c r="W491" s="140"/>
      <c r="X491" s="140"/>
      <c r="Y491" s="140"/>
      <c r="Z491" s="140"/>
      <c r="AA491" s="141"/>
      <c r="AE491" s="140"/>
      <c r="AI491" s="141"/>
      <c r="AM491" s="141"/>
      <c r="AQ491" s="141"/>
      <c r="AT491" s="140"/>
      <c r="AU491" s="140"/>
    </row>
    <row r="492" spans="2:47" s="134" customFormat="1" x14ac:dyDescent="0.2">
      <c r="B492" s="145"/>
      <c r="D492" s="679"/>
      <c r="J492" s="140"/>
      <c r="K492" s="140"/>
      <c r="L492" s="140"/>
      <c r="M492" s="140"/>
      <c r="N492" s="140"/>
      <c r="O492" s="140"/>
      <c r="P492" s="140"/>
      <c r="Q492" s="140"/>
      <c r="R492" s="140"/>
      <c r="S492" s="140"/>
      <c r="T492" s="140"/>
      <c r="U492" s="140"/>
      <c r="V492" s="140"/>
      <c r="W492" s="140"/>
      <c r="X492" s="140"/>
      <c r="Y492" s="140"/>
      <c r="Z492" s="140"/>
      <c r="AA492" s="141"/>
      <c r="AE492" s="140"/>
      <c r="AI492" s="141"/>
      <c r="AM492" s="141"/>
      <c r="AQ492" s="141"/>
      <c r="AT492" s="140"/>
      <c r="AU492" s="140"/>
    </row>
    <row r="493" spans="2:47" s="134" customFormat="1" x14ac:dyDescent="0.2">
      <c r="B493" s="145"/>
      <c r="D493" s="679"/>
      <c r="J493" s="140"/>
      <c r="K493" s="140"/>
      <c r="L493" s="140"/>
      <c r="M493" s="140"/>
      <c r="N493" s="140"/>
      <c r="O493" s="140"/>
      <c r="P493" s="140"/>
      <c r="Q493" s="140"/>
      <c r="R493" s="140"/>
      <c r="S493" s="140"/>
      <c r="T493" s="140"/>
      <c r="U493" s="140"/>
      <c r="V493" s="140"/>
      <c r="W493" s="140"/>
      <c r="X493" s="140"/>
      <c r="Y493" s="140"/>
      <c r="Z493" s="140"/>
      <c r="AA493" s="141"/>
      <c r="AE493" s="140"/>
      <c r="AI493" s="141"/>
      <c r="AM493" s="141"/>
      <c r="AQ493" s="141"/>
      <c r="AT493" s="140"/>
      <c r="AU493" s="140"/>
    </row>
    <row r="494" spans="2:47" s="134" customFormat="1" x14ac:dyDescent="0.2">
      <c r="B494" s="145"/>
      <c r="D494" s="679"/>
      <c r="J494" s="140"/>
      <c r="K494" s="140"/>
      <c r="L494" s="140"/>
      <c r="M494" s="140"/>
      <c r="N494" s="140"/>
      <c r="O494" s="140"/>
      <c r="P494" s="140"/>
      <c r="Q494" s="140"/>
      <c r="R494" s="140"/>
      <c r="S494" s="140"/>
      <c r="T494" s="140"/>
      <c r="U494" s="140"/>
      <c r="V494" s="140"/>
      <c r="W494" s="140"/>
      <c r="X494" s="140"/>
      <c r="Y494" s="140"/>
      <c r="Z494" s="140"/>
      <c r="AA494" s="141"/>
      <c r="AE494" s="140"/>
      <c r="AI494" s="141"/>
      <c r="AM494" s="141"/>
      <c r="AQ494" s="141"/>
      <c r="AT494" s="140"/>
      <c r="AU494" s="140"/>
    </row>
    <row r="495" spans="2:47" s="134" customFormat="1" x14ac:dyDescent="0.2">
      <c r="B495" s="145"/>
      <c r="D495" s="679"/>
      <c r="J495" s="140"/>
      <c r="K495" s="140"/>
      <c r="L495" s="140"/>
      <c r="M495" s="140"/>
      <c r="N495" s="140"/>
      <c r="O495" s="140"/>
      <c r="P495" s="140"/>
      <c r="Q495" s="140"/>
      <c r="R495" s="140"/>
      <c r="S495" s="140"/>
      <c r="T495" s="140"/>
      <c r="U495" s="140"/>
      <c r="V495" s="140"/>
      <c r="W495" s="140"/>
      <c r="X495" s="140"/>
      <c r="Y495" s="140"/>
      <c r="Z495" s="140"/>
      <c r="AA495" s="141"/>
      <c r="AE495" s="140"/>
      <c r="AI495" s="141"/>
      <c r="AM495" s="141"/>
      <c r="AQ495" s="141"/>
      <c r="AT495" s="140"/>
      <c r="AU495" s="140"/>
    </row>
    <row r="496" spans="2:47" s="134" customFormat="1" x14ac:dyDescent="0.2">
      <c r="B496" s="145"/>
      <c r="D496" s="679"/>
      <c r="J496" s="140"/>
      <c r="K496" s="140"/>
      <c r="L496" s="140"/>
      <c r="M496" s="140"/>
      <c r="N496" s="140"/>
      <c r="O496" s="140"/>
      <c r="P496" s="140"/>
      <c r="Q496" s="140"/>
      <c r="R496" s="140"/>
      <c r="S496" s="140"/>
      <c r="T496" s="140"/>
      <c r="U496" s="140"/>
      <c r="V496" s="140"/>
      <c r="W496" s="140"/>
      <c r="X496" s="140"/>
      <c r="Y496" s="140"/>
      <c r="Z496" s="140"/>
      <c r="AA496" s="141"/>
      <c r="AE496" s="140"/>
      <c r="AI496" s="141"/>
      <c r="AM496" s="141"/>
      <c r="AQ496" s="141"/>
      <c r="AT496" s="140"/>
      <c r="AU496" s="140"/>
    </row>
    <row r="497" spans="2:47" s="134" customFormat="1" x14ac:dyDescent="0.2">
      <c r="B497" s="145"/>
      <c r="D497" s="679"/>
      <c r="J497" s="140"/>
      <c r="K497" s="140"/>
      <c r="L497" s="140"/>
      <c r="M497" s="140"/>
      <c r="N497" s="140"/>
      <c r="O497" s="140"/>
      <c r="P497" s="140"/>
      <c r="Q497" s="140"/>
      <c r="R497" s="140"/>
      <c r="S497" s="140"/>
      <c r="T497" s="140"/>
      <c r="U497" s="140"/>
      <c r="V497" s="140"/>
      <c r="W497" s="140"/>
      <c r="X497" s="140"/>
      <c r="Y497" s="140"/>
      <c r="Z497" s="140"/>
      <c r="AA497" s="141"/>
      <c r="AE497" s="140"/>
      <c r="AI497" s="141"/>
      <c r="AM497" s="141"/>
      <c r="AQ497" s="141"/>
      <c r="AT497" s="140"/>
      <c r="AU497" s="140"/>
    </row>
    <row r="498" spans="2:47" s="134" customFormat="1" x14ac:dyDescent="0.2">
      <c r="B498" s="145"/>
      <c r="D498" s="679"/>
      <c r="J498" s="140"/>
      <c r="K498" s="140"/>
      <c r="L498" s="140"/>
      <c r="M498" s="140"/>
      <c r="N498" s="140"/>
      <c r="O498" s="140"/>
      <c r="P498" s="140"/>
      <c r="Q498" s="140"/>
      <c r="R498" s="140"/>
      <c r="S498" s="140"/>
      <c r="T498" s="140"/>
      <c r="U498" s="140"/>
      <c r="V498" s="140"/>
      <c r="W498" s="140"/>
      <c r="X498" s="140"/>
      <c r="Y498" s="140"/>
      <c r="Z498" s="140"/>
      <c r="AA498" s="141"/>
      <c r="AE498" s="140"/>
      <c r="AI498" s="141"/>
      <c r="AM498" s="141"/>
      <c r="AQ498" s="141"/>
      <c r="AT498" s="140"/>
      <c r="AU498" s="140"/>
    </row>
    <row r="499" spans="2:47" s="134" customFormat="1" x14ac:dyDescent="0.2">
      <c r="B499" s="145"/>
      <c r="D499" s="679"/>
      <c r="J499" s="140"/>
      <c r="K499" s="140"/>
      <c r="L499" s="140"/>
      <c r="M499" s="140"/>
      <c r="N499" s="140"/>
      <c r="O499" s="140"/>
      <c r="P499" s="140"/>
      <c r="Q499" s="140"/>
      <c r="R499" s="140"/>
      <c r="S499" s="140"/>
      <c r="T499" s="140"/>
      <c r="U499" s="140"/>
      <c r="V499" s="140"/>
      <c r="W499" s="140"/>
      <c r="X499" s="140"/>
      <c r="Y499" s="140"/>
      <c r="Z499" s="140"/>
      <c r="AA499" s="141"/>
      <c r="AE499" s="140"/>
      <c r="AI499" s="141"/>
      <c r="AM499" s="141"/>
      <c r="AQ499" s="141"/>
      <c r="AT499" s="140"/>
      <c r="AU499" s="140"/>
    </row>
    <row r="500" spans="2:47" s="134" customFormat="1" x14ac:dyDescent="0.2">
      <c r="B500" s="145"/>
      <c r="D500" s="679"/>
      <c r="J500" s="140"/>
      <c r="K500" s="140"/>
      <c r="L500" s="140"/>
      <c r="M500" s="140"/>
      <c r="N500" s="140"/>
      <c r="O500" s="140"/>
      <c r="P500" s="140"/>
      <c r="Q500" s="140"/>
      <c r="R500" s="140"/>
      <c r="S500" s="140"/>
      <c r="T500" s="140"/>
      <c r="U500" s="140"/>
      <c r="V500" s="140"/>
      <c r="W500" s="140"/>
      <c r="X500" s="140"/>
      <c r="Y500" s="140"/>
      <c r="Z500" s="140"/>
      <c r="AA500" s="141"/>
      <c r="AE500" s="140"/>
      <c r="AI500" s="141"/>
      <c r="AM500" s="141"/>
      <c r="AQ500" s="141"/>
      <c r="AT500" s="140"/>
      <c r="AU500" s="140"/>
    </row>
    <row r="501" spans="2:47" s="134" customFormat="1" x14ac:dyDescent="0.2">
      <c r="B501" s="145"/>
      <c r="D501" s="679"/>
      <c r="J501" s="140"/>
      <c r="K501" s="140"/>
      <c r="L501" s="140"/>
      <c r="M501" s="140"/>
      <c r="N501" s="140"/>
      <c r="O501" s="140"/>
      <c r="P501" s="140"/>
      <c r="Q501" s="140"/>
      <c r="R501" s="140"/>
      <c r="S501" s="140"/>
      <c r="T501" s="140"/>
      <c r="U501" s="140"/>
      <c r="V501" s="140"/>
      <c r="W501" s="140"/>
      <c r="X501" s="140"/>
      <c r="Y501" s="140"/>
      <c r="Z501" s="140"/>
      <c r="AA501" s="141"/>
      <c r="AE501" s="140"/>
      <c r="AI501" s="141"/>
      <c r="AM501" s="141"/>
      <c r="AQ501" s="141"/>
      <c r="AT501" s="140"/>
      <c r="AU501" s="140"/>
    </row>
    <row r="502" spans="2:47" s="134" customFormat="1" x14ac:dyDescent="0.2">
      <c r="B502" s="145"/>
      <c r="D502" s="679"/>
      <c r="J502" s="140"/>
      <c r="K502" s="140"/>
      <c r="L502" s="140"/>
      <c r="M502" s="140"/>
      <c r="N502" s="140"/>
      <c r="O502" s="140"/>
      <c r="P502" s="140"/>
      <c r="Q502" s="140"/>
      <c r="R502" s="140"/>
      <c r="S502" s="140"/>
      <c r="T502" s="140"/>
      <c r="U502" s="140"/>
      <c r="V502" s="140"/>
      <c r="W502" s="140"/>
      <c r="X502" s="140"/>
      <c r="Y502" s="140"/>
      <c r="Z502" s="140"/>
      <c r="AA502" s="141"/>
      <c r="AE502" s="140"/>
      <c r="AI502" s="141"/>
      <c r="AM502" s="141"/>
      <c r="AQ502" s="141"/>
      <c r="AT502" s="140"/>
      <c r="AU502" s="140"/>
    </row>
    <row r="503" spans="2:47" s="134" customFormat="1" x14ac:dyDescent="0.2">
      <c r="B503" s="145"/>
      <c r="D503" s="679"/>
      <c r="J503" s="140"/>
      <c r="K503" s="140"/>
      <c r="L503" s="140"/>
      <c r="M503" s="140"/>
      <c r="N503" s="140"/>
      <c r="O503" s="140"/>
      <c r="P503" s="140"/>
      <c r="Q503" s="140"/>
      <c r="R503" s="140"/>
      <c r="S503" s="140"/>
      <c r="T503" s="140"/>
      <c r="U503" s="140"/>
      <c r="V503" s="140"/>
      <c r="W503" s="140"/>
      <c r="X503" s="140"/>
      <c r="Y503" s="140"/>
      <c r="Z503" s="140"/>
      <c r="AA503" s="141"/>
      <c r="AE503" s="140"/>
      <c r="AI503" s="141"/>
      <c r="AM503" s="141"/>
      <c r="AQ503" s="141"/>
      <c r="AT503" s="140"/>
      <c r="AU503" s="140"/>
    </row>
    <row r="504" spans="2:47" s="134" customFormat="1" x14ac:dyDescent="0.2">
      <c r="B504" s="145"/>
      <c r="D504" s="679"/>
      <c r="J504" s="140"/>
      <c r="K504" s="140"/>
      <c r="L504" s="140"/>
      <c r="M504" s="140"/>
      <c r="N504" s="140"/>
      <c r="O504" s="140"/>
      <c r="P504" s="140"/>
      <c r="Q504" s="140"/>
      <c r="R504" s="140"/>
      <c r="S504" s="140"/>
      <c r="T504" s="140"/>
      <c r="U504" s="140"/>
      <c r="V504" s="140"/>
      <c r="W504" s="140"/>
      <c r="X504" s="140"/>
      <c r="Y504" s="140"/>
      <c r="Z504" s="140"/>
      <c r="AA504" s="141"/>
      <c r="AE504" s="140"/>
      <c r="AI504" s="141"/>
      <c r="AM504" s="141"/>
      <c r="AQ504" s="141"/>
      <c r="AT504" s="140"/>
      <c r="AU504" s="140"/>
    </row>
    <row r="505" spans="2:47" s="134" customFormat="1" x14ac:dyDescent="0.2">
      <c r="B505" s="145"/>
      <c r="D505" s="679"/>
      <c r="J505" s="140"/>
      <c r="K505" s="140"/>
      <c r="L505" s="140"/>
      <c r="M505" s="140"/>
      <c r="N505" s="140"/>
      <c r="O505" s="140"/>
      <c r="P505" s="140"/>
      <c r="Q505" s="140"/>
      <c r="R505" s="140"/>
      <c r="S505" s="140"/>
      <c r="T505" s="140"/>
      <c r="U505" s="140"/>
      <c r="V505" s="140"/>
      <c r="W505" s="140"/>
      <c r="X505" s="140"/>
      <c r="Y505" s="140"/>
      <c r="Z505" s="140"/>
      <c r="AA505" s="141"/>
      <c r="AE505" s="140"/>
      <c r="AI505" s="141"/>
      <c r="AM505" s="141"/>
      <c r="AQ505" s="141"/>
      <c r="AT505" s="140"/>
      <c r="AU505" s="140"/>
    </row>
    <row r="506" spans="2:47" s="134" customFormat="1" x14ac:dyDescent="0.2">
      <c r="B506" s="145"/>
      <c r="D506" s="679"/>
      <c r="J506" s="140"/>
      <c r="K506" s="140"/>
      <c r="L506" s="140"/>
      <c r="M506" s="140"/>
      <c r="N506" s="140"/>
      <c r="O506" s="140"/>
      <c r="P506" s="140"/>
      <c r="Q506" s="140"/>
      <c r="R506" s="140"/>
      <c r="S506" s="140"/>
      <c r="T506" s="140"/>
      <c r="U506" s="140"/>
      <c r="V506" s="140"/>
      <c r="W506" s="140"/>
      <c r="X506" s="140"/>
      <c r="Y506" s="140"/>
      <c r="Z506" s="140"/>
      <c r="AA506" s="141"/>
      <c r="AE506" s="140"/>
      <c r="AI506" s="141"/>
      <c r="AM506" s="141"/>
      <c r="AQ506" s="141"/>
      <c r="AT506" s="140"/>
      <c r="AU506" s="140"/>
    </row>
    <row r="507" spans="2:47" s="134" customFormat="1" x14ac:dyDescent="0.2">
      <c r="B507" s="145"/>
      <c r="D507" s="679"/>
      <c r="J507" s="140"/>
      <c r="K507" s="140"/>
      <c r="L507" s="140"/>
      <c r="M507" s="140"/>
      <c r="N507" s="140"/>
      <c r="O507" s="140"/>
      <c r="P507" s="140"/>
      <c r="Q507" s="140"/>
      <c r="R507" s="140"/>
      <c r="S507" s="140"/>
      <c r="T507" s="140"/>
      <c r="U507" s="140"/>
      <c r="V507" s="140"/>
      <c r="W507" s="140"/>
      <c r="X507" s="140"/>
      <c r="Y507" s="140"/>
      <c r="Z507" s="140"/>
      <c r="AA507" s="141"/>
      <c r="AE507" s="140"/>
      <c r="AI507" s="141"/>
      <c r="AM507" s="141"/>
      <c r="AQ507" s="141"/>
      <c r="AT507" s="140"/>
      <c r="AU507" s="140"/>
    </row>
    <row r="508" spans="2:47" s="134" customFormat="1" x14ac:dyDescent="0.2">
      <c r="B508" s="145"/>
      <c r="D508" s="679"/>
      <c r="J508" s="140"/>
      <c r="K508" s="140"/>
      <c r="L508" s="140"/>
      <c r="M508" s="140"/>
      <c r="N508" s="140"/>
      <c r="O508" s="140"/>
      <c r="P508" s="140"/>
      <c r="Q508" s="140"/>
      <c r="R508" s="140"/>
      <c r="S508" s="140"/>
      <c r="T508" s="140"/>
      <c r="U508" s="140"/>
      <c r="V508" s="140"/>
      <c r="W508" s="140"/>
      <c r="X508" s="140"/>
      <c r="Y508" s="140"/>
      <c r="Z508" s="140"/>
      <c r="AA508" s="141"/>
      <c r="AE508" s="140"/>
      <c r="AI508" s="141"/>
      <c r="AM508" s="141"/>
      <c r="AQ508" s="141"/>
      <c r="AT508" s="140"/>
      <c r="AU508" s="140"/>
    </row>
    <row r="509" spans="2:47" s="134" customFormat="1" x14ac:dyDescent="0.2">
      <c r="B509" s="145"/>
      <c r="D509" s="679"/>
      <c r="J509" s="140"/>
      <c r="K509" s="140"/>
      <c r="L509" s="140"/>
      <c r="M509" s="140"/>
      <c r="N509" s="140"/>
      <c r="O509" s="140"/>
      <c r="P509" s="140"/>
      <c r="Q509" s="140"/>
      <c r="R509" s="140"/>
      <c r="S509" s="140"/>
      <c r="T509" s="140"/>
      <c r="U509" s="140"/>
      <c r="V509" s="140"/>
      <c r="W509" s="140"/>
      <c r="X509" s="140"/>
      <c r="Y509" s="140"/>
      <c r="Z509" s="140"/>
      <c r="AA509" s="141"/>
      <c r="AE509" s="140"/>
      <c r="AI509" s="141"/>
      <c r="AM509" s="141"/>
      <c r="AQ509" s="141"/>
      <c r="AT509" s="140"/>
      <c r="AU509" s="140"/>
    </row>
    <row r="510" spans="2:47" s="134" customFormat="1" x14ac:dyDescent="0.2">
      <c r="B510" s="145"/>
      <c r="D510" s="679"/>
      <c r="J510" s="140"/>
      <c r="K510" s="140"/>
      <c r="L510" s="140"/>
      <c r="M510" s="140"/>
      <c r="N510" s="140"/>
      <c r="O510" s="140"/>
      <c r="P510" s="140"/>
      <c r="Q510" s="140"/>
      <c r="R510" s="140"/>
      <c r="S510" s="140"/>
      <c r="T510" s="140"/>
      <c r="U510" s="140"/>
      <c r="V510" s="140"/>
      <c r="W510" s="140"/>
      <c r="X510" s="140"/>
      <c r="Y510" s="140"/>
      <c r="Z510" s="140"/>
      <c r="AA510" s="141"/>
      <c r="AE510" s="140"/>
      <c r="AI510" s="141"/>
      <c r="AM510" s="141"/>
      <c r="AQ510" s="141"/>
      <c r="AT510" s="140"/>
      <c r="AU510" s="140"/>
    </row>
    <row r="511" spans="2:47" s="134" customFormat="1" x14ac:dyDescent="0.2">
      <c r="B511" s="145"/>
      <c r="D511" s="679"/>
      <c r="J511" s="140"/>
      <c r="K511" s="140"/>
      <c r="L511" s="140"/>
      <c r="M511" s="140"/>
      <c r="N511" s="140"/>
      <c r="O511" s="140"/>
      <c r="P511" s="140"/>
      <c r="Q511" s="140"/>
      <c r="R511" s="140"/>
      <c r="S511" s="140"/>
      <c r="T511" s="140"/>
      <c r="U511" s="140"/>
      <c r="V511" s="140"/>
      <c r="W511" s="140"/>
      <c r="X511" s="140"/>
      <c r="Y511" s="140"/>
      <c r="Z511" s="140"/>
      <c r="AA511" s="141"/>
      <c r="AE511" s="140"/>
      <c r="AI511" s="141"/>
      <c r="AM511" s="141"/>
      <c r="AQ511" s="141"/>
      <c r="AT511" s="140"/>
      <c r="AU511" s="140"/>
    </row>
    <row r="512" spans="2:47" s="134" customFormat="1" x14ac:dyDescent="0.2">
      <c r="B512" s="145"/>
      <c r="D512" s="679"/>
      <c r="J512" s="140"/>
      <c r="K512" s="140"/>
      <c r="L512" s="140"/>
      <c r="M512" s="140"/>
      <c r="N512" s="140"/>
      <c r="O512" s="140"/>
      <c r="P512" s="140"/>
      <c r="Q512" s="140"/>
      <c r="R512" s="140"/>
      <c r="S512" s="140"/>
      <c r="T512" s="140"/>
      <c r="U512" s="140"/>
      <c r="V512" s="140"/>
      <c r="W512" s="140"/>
      <c r="X512" s="140"/>
      <c r="Y512" s="140"/>
      <c r="Z512" s="140"/>
      <c r="AA512" s="141"/>
      <c r="AE512" s="140"/>
      <c r="AI512" s="141"/>
      <c r="AM512" s="141"/>
      <c r="AQ512" s="141"/>
      <c r="AT512" s="140"/>
      <c r="AU512" s="140"/>
    </row>
    <row r="513" spans="2:47" s="134" customFormat="1" x14ac:dyDescent="0.2">
      <c r="B513" s="145"/>
      <c r="D513" s="679"/>
      <c r="J513" s="140"/>
      <c r="K513" s="140"/>
      <c r="L513" s="140"/>
      <c r="M513" s="140"/>
      <c r="N513" s="140"/>
      <c r="O513" s="140"/>
      <c r="P513" s="140"/>
      <c r="Q513" s="140"/>
      <c r="R513" s="140"/>
      <c r="S513" s="140"/>
      <c r="T513" s="140"/>
      <c r="U513" s="140"/>
      <c r="V513" s="140"/>
      <c r="W513" s="140"/>
      <c r="X513" s="140"/>
      <c r="Y513" s="140"/>
      <c r="Z513" s="140"/>
      <c r="AA513" s="141"/>
      <c r="AE513" s="140"/>
      <c r="AI513" s="141"/>
      <c r="AM513" s="141"/>
      <c r="AQ513" s="141"/>
      <c r="AT513" s="140"/>
      <c r="AU513" s="140"/>
    </row>
    <row r="514" spans="2:47" s="134" customFormat="1" x14ac:dyDescent="0.2">
      <c r="B514" s="145"/>
      <c r="D514" s="679"/>
      <c r="J514" s="140"/>
      <c r="K514" s="140"/>
      <c r="L514" s="140"/>
      <c r="M514" s="140"/>
      <c r="N514" s="140"/>
      <c r="O514" s="140"/>
      <c r="P514" s="140"/>
      <c r="Q514" s="140"/>
      <c r="R514" s="140"/>
      <c r="S514" s="140"/>
      <c r="T514" s="140"/>
      <c r="U514" s="140"/>
      <c r="V514" s="140"/>
      <c r="W514" s="140"/>
      <c r="X514" s="140"/>
      <c r="Y514" s="140"/>
      <c r="Z514" s="140"/>
      <c r="AA514" s="141"/>
      <c r="AE514" s="140"/>
      <c r="AI514" s="141"/>
      <c r="AM514" s="141"/>
      <c r="AQ514" s="141"/>
      <c r="AT514" s="140"/>
      <c r="AU514" s="140"/>
    </row>
    <row r="515" spans="2:47" s="134" customFormat="1" x14ac:dyDescent="0.2">
      <c r="B515" s="145"/>
      <c r="D515" s="679"/>
      <c r="J515" s="140"/>
      <c r="K515" s="140"/>
      <c r="L515" s="140"/>
      <c r="M515" s="140"/>
      <c r="N515" s="140"/>
      <c r="O515" s="140"/>
      <c r="P515" s="140"/>
      <c r="Q515" s="140"/>
      <c r="R515" s="140"/>
      <c r="S515" s="140"/>
      <c r="T515" s="140"/>
      <c r="U515" s="140"/>
      <c r="V515" s="140"/>
      <c r="W515" s="140"/>
      <c r="X515" s="140"/>
      <c r="Y515" s="140"/>
      <c r="Z515" s="140"/>
      <c r="AA515" s="141"/>
      <c r="AE515" s="140"/>
      <c r="AI515" s="141"/>
      <c r="AM515" s="141"/>
      <c r="AQ515" s="141"/>
      <c r="AT515" s="140"/>
      <c r="AU515" s="140"/>
    </row>
    <row r="516" spans="2:47" s="134" customFormat="1" x14ac:dyDescent="0.2">
      <c r="B516" s="145"/>
      <c r="D516" s="679"/>
      <c r="J516" s="140"/>
      <c r="K516" s="140"/>
      <c r="L516" s="140"/>
      <c r="M516" s="140"/>
      <c r="N516" s="140"/>
      <c r="O516" s="140"/>
      <c r="P516" s="140"/>
      <c r="Q516" s="140"/>
      <c r="R516" s="140"/>
      <c r="S516" s="140"/>
      <c r="T516" s="140"/>
      <c r="U516" s="140"/>
      <c r="V516" s="140"/>
      <c r="W516" s="140"/>
      <c r="X516" s="140"/>
      <c r="Y516" s="140"/>
      <c r="Z516" s="140"/>
      <c r="AA516" s="141"/>
      <c r="AE516" s="140"/>
      <c r="AI516" s="141"/>
      <c r="AM516" s="141"/>
      <c r="AQ516" s="141"/>
      <c r="AT516" s="140"/>
      <c r="AU516" s="140"/>
    </row>
    <row r="517" spans="2:47" s="134" customFormat="1" x14ac:dyDescent="0.2">
      <c r="B517" s="145"/>
      <c r="D517" s="679"/>
      <c r="J517" s="140"/>
      <c r="K517" s="140"/>
      <c r="L517" s="140"/>
      <c r="M517" s="140"/>
      <c r="N517" s="140"/>
      <c r="O517" s="140"/>
      <c r="P517" s="140"/>
      <c r="Q517" s="140"/>
      <c r="R517" s="140"/>
      <c r="S517" s="140"/>
      <c r="T517" s="140"/>
      <c r="U517" s="140"/>
      <c r="V517" s="140"/>
      <c r="W517" s="140"/>
      <c r="X517" s="140"/>
      <c r="Y517" s="140"/>
      <c r="Z517" s="140"/>
      <c r="AA517" s="141"/>
      <c r="AE517" s="140"/>
      <c r="AI517" s="141"/>
      <c r="AM517" s="141"/>
      <c r="AQ517" s="141"/>
      <c r="AT517" s="140"/>
      <c r="AU517" s="140"/>
    </row>
    <row r="518" spans="2:47" s="134" customFormat="1" x14ac:dyDescent="0.2">
      <c r="B518" s="145"/>
      <c r="D518" s="679"/>
      <c r="J518" s="140"/>
      <c r="K518" s="140"/>
      <c r="L518" s="140"/>
      <c r="M518" s="140"/>
      <c r="N518" s="140"/>
      <c r="O518" s="140"/>
      <c r="P518" s="140"/>
      <c r="Q518" s="140"/>
      <c r="R518" s="140"/>
      <c r="S518" s="140"/>
      <c r="T518" s="140"/>
      <c r="U518" s="140"/>
      <c r="V518" s="140"/>
      <c r="W518" s="140"/>
      <c r="X518" s="140"/>
      <c r="Y518" s="140"/>
      <c r="Z518" s="140"/>
      <c r="AA518" s="141"/>
      <c r="AE518" s="140"/>
      <c r="AI518" s="141"/>
      <c r="AM518" s="141"/>
      <c r="AQ518" s="141"/>
      <c r="AT518" s="140"/>
      <c r="AU518" s="140"/>
    </row>
    <row r="519" spans="2:47" s="134" customFormat="1" x14ac:dyDescent="0.2">
      <c r="B519" s="145"/>
      <c r="D519" s="679"/>
      <c r="J519" s="140"/>
      <c r="K519" s="140"/>
      <c r="L519" s="140"/>
      <c r="M519" s="140"/>
      <c r="N519" s="140"/>
      <c r="O519" s="140"/>
      <c r="P519" s="140"/>
      <c r="Q519" s="140"/>
      <c r="R519" s="140"/>
      <c r="S519" s="140"/>
      <c r="T519" s="140"/>
      <c r="U519" s="140"/>
      <c r="V519" s="140"/>
      <c r="W519" s="140"/>
      <c r="X519" s="140"/>
      <c r="Y519" s="140"/>
      <c r="Z519" s="140"/>
      <c r="AA519" s="141"/>
      <c r="AE519" s="140"/>
      <c r="AI519" s="141"/>
      <c r="AM519" s="141"/>
      <c r="AQ519" s="141"/>
      <c r="AT519" s="140"/>
      <c r="AU519" s="140"/>
    </row>
    <row r="520" spans="2:47" s="134" customFormat="1" x14ac:dyDescent="0.2">
      <c r="B520" s="145"/>
      <c r="D520" s="679"/>
      <c r="J520" s="140"/>
      <c r="K520" s="140"/>
      <c r="L520" s="140"/>
      <c r="M520" s="140"/>
      <c r="N520" s="140"/>
      <c r="O520" s="140"/>
      <c r="P520" s="140"/>
      <c r="Q520" s="140"/>
      <c r="R520" s="140"/>
      <c r="S520" s="140"/>
      <c r="T520" s="140"/>
      <c r="U520" s="140"/>
      <c r="V520" s="140"/>
      <c r="W520" s="140"/>
      <c r="X520" s="140"/>
      <c r="Y520" s="140"/>
      <c r="Z520" s="140"/>
      <c r="AA520" s="141"/>
      <c r="AE520" s="140"/>
      <c r="AI520" s="141"/>
      <c r="AM520" s="141"/>
      <c r="AQ520" s="141"/>
      <c r="AT520" s="140"/>
      <c r="AU520" s="140"/>
    </row>
    <row r="521" spans="2:47" s="134" customFormat="1" x14ac:dyDescent="0.2">
      <c r="B521" s="145"/>
      <c r="D521" s="679"/>
      <c r="J521" s="140"/>
      <c r="K521" s="140"/>
      <c r="L521" s="140"/>
      <c r="M521" s="140"/>
      <c r="N521" s="140"/>
      <c r="O521" s="140"/>
      <c r="P521" s="140"/>
      <c r="Q521" s="140"/>
      <c r="R521" s="140"/>
      <c r="S521" s="140"/>
      <c r="T521" s="140"/>
      <c r="U521" s="140"/>
      <c r="V521" s="140"/>
      <c r="W521" s="140"/>
      <c r="X521" s="140"/>
      <c r="Y521" s="140"/>
      <c r="Z521" s="140"/>
      <c r="AA521" s="141"/>
      <c r="AE521" s="140"/>
      <c r="AI521" s="141"/>
      <c r="AM521" s="141"/>
      <c r="AQ521" s="141"/>
      <c r="AT521" s="140"/>
      <c r="AU521" s="140"/>
    </row>
    <row r="522" spans="2:47" s="134" customFormat="1" x14ac:dyDescent="0.2">
      <c r="B522" s="145"/>
      <c r="D522" s="679"/>
      <c r="J522" s="140"/>
      <c r="K522" s="140"/>
      <c r="L522" s="140"/>
      <c r="M522" s="140"/>
      <c r="N522" s="140"/>
      <c r="O522" s="140"/>
      <c r="P522" s="140"/>
      <c r="Q522" s="140"/>
      <c r="R522" s="140"/>
      <c r="S522" s="140"/>
      <c r="T522" s="140"/>
      <c r="U522" s="140"/>
      <c r="V522" s="140"/>
      <c r="W522" s="140"/>
      <c r="X522" s="140"/>
      <c r="Y522" s="140"/>
      <c r="Z522" s="140"/>
      <c r="AA522" s="141"/>
      <c r="AE522" s="140"/>
      <c r="AI522" s="141"/>
      <c r="AM522" s="141"/>
      <c r="AQ522" s="141"/>
      <c r="AT522" s="140"/>
      <c r="AU522" s="140"/>
    </row>
    <row r="523" spans="2:47" s="134" customFormat="1" x14ac:dyDescent="0.2">
      <c r="B523" s="145"/>
      <c r="D523" s="679"/>
      <c r="J523" s="140"/>
      <c r="K523" s="140"/>
      <c r="L523" s="140"/>
      <c r="M523" s="140"/>
      <c r="N523" s="140"/>
      <c r="O523" s="140"/>
      <c r="P523" s="140"/>
      <c r="Q523" s="140"/>
      <c r="R523" s="140"/>
      <c r="S523" s="140"/>
      <c r="T523" s="140"/>
      <c r="U523" s="140"/>
      <c r="V523" s="140"/>
      <c r="W523" s="140"/>
      <c r="X523" s="140"/>
      <c r="Y523" s="140"/>
      <c r="Z523" s="140"/>
      <c r="AA523" s="141"/>
      <c r="AE523" s="140"/>
      <c r="AI523" s="141"/>
      <c r="AM523" s="141"/>
      <c r="AQ523" s="141"/>
      <c r="AT523" s="140"/>
      <c r="AU523" s="140"/>
    </row>
    <row r="524" spans="2:47" s="134" customFormat="1" x14ac:dyDescent="0.2">
      <c r="B524" s="145"/>
      <c r="D524" s="679"/>
      <c r="J524" s="140"/>
      <c r="K524" s="140"/>
      <c r="L524" s="140"/>
      <c r="M524" s="140"/>
      <c r="N524" s="140"/>
      <c r="O524" s="140"/>
      <c r="P524" s="140"/>
      <c r="Q524" s="140"/>
      <c r="R524" s="140"/>
      <c r="S524" s="140"/>
      <c r="T524" s="140"/>
      <c r="U524" s="140"/>
      <c r="V524" s="140"/>
      <c r="W524" s="140"/>
      <c r="X524" s="140"/>
      <c r="Y524" s="140"/>
      <c r="Z524" s="140"/>
      <c r="AA524" s="141"/>
      <c r="AE524" s="140"/>
      <c r="AI524" s="141"/>
      <c r="AM524" s="141"/>
      <c r="AQ524" s="141"/>
      <c r="AT524" s="140"/>
      <c r="AU524" s="140"/>
    </row>
    <row r="525" spans="2:47" s="134" customFormat="1" x14ac:dyDescent="0.2">
      <c r="B525" s="145"/>
      <c r="D525" s="679"/>
      <c r="J525" s="140"/>
      <c r="K525" s="140"/>
      <c r="L525" s="140"/>
      <c r="M525" s="140"/>
      <c r="N525" s="140"/>
      <c r="O525" s="140"/>
      <c r="P525" s="140"/>
      <c r="Q525" s="140"/>
      <c r="R525" s="140"/>
      <c r="S525" s="140"/>
      <c r="T525" s="140"/>
      <c r="U525" s="140"/>
      <c r="V525" s="140"/>
      <c r="W525" s="140"/>
      <c r="X525" s="140"/>
      <c r="Y525" s="140"/>
      <c r="Z525" s="140"/>
      <c r="AA525" s="141"/>
      <c r="AE525" s="140"/>
      <c r="AI525" s="141"/>
      <c r="AM525" s="141"/>
      <c r="AQ525" s="141"/>
      <c r="AT525" s="140"/>
      <c r="AU525" s="140"/>
    </row>
    <row r="526" spans="2:47" s="134" customFormat="1" x14ac:dyDescent="0.2">
      <c r="B526" s="145"/>
      <c r="D526" s="679"/>
      <c r="J526" s="140"/>
      <c r="K526" s="140"/>
      <c r="L526" s="140"/>
      <c r="M526" s="140"/>
      <c r="N526" s="140"/>
      <c r="O526" s="140"/>
      <c r="P526" s="140"/>
      <c r="Q526" s="140"/>
      <c r="R526" s="140"/>
      <c r="S526" s="140"/>
      <c r="T526" s="140"/>
      <c r="U526" s="140"/>
      <c r="V526" s="140"/>
      <c r="W526" s="140"/>
      <c r="X526" s="140"/>
      <c r="Y526" s="140"/>
      <c r="Z526" s="140"/>
      <c r="AA526" s="141"/>
      <c r="AE526" s="140"/>
      <c r="AI526" s="141"/>
      <c r="AM526" s="141"/>
      <c r="AQ526" s="141"/>
      <c r="AT526" s="140"/>
      <c r="AU526" s="140"/>
    </row>
    <row r="527" spans="2:47" s="134" customFormat="1" x14ac:dyDescent="0.2">
      <c r="B527" s="145"/>
      <c r="D527" s="679"/>
      <c r="J527" s="140"/>
      <c r="K527" s="140"/>
      <c r="L527" s="140"/>
      <c r="M527" s="140"/>
      <c r="N527" s="140"/>
      <c r="O527" s="140"/>
      <c r="P527" s="140"/>
      <c r="Q527" s="140"/>
      <c r="R527" s="140"/>
      <c r="S527" s="140"/>
      <c r="T527" s="140"/>
      <c r="U527" s="140"/>
      <c r="V527" s="140"/>
      <c r="W527" s="140"/>
      <c r="X527" s="140"/>
      <c r="Y527" s="140"/>
      <c r="Z527" s="140"/>
      <c r="AA527" s="141"/>
      <c r="AE527" s="140"/>
      <c r="AI527" s="141"/>
      <c r="AM527" s="141"/>
      <c r="AQ527" s="141"/>
      <c r="AT527" s="140"/>
      <c r="AU527" s="140"/>
    </row>
    <row r="528" spans="2:47" s="134" customFormat="1" x14ac:dyDescent="0.2">
      <c r="B528" s="145"/>
      <c r="D528" s="679"/>
      <c r="J528" s="140"/>
      <c r="K528" s="140"/>
      <c r="L528" s="140"/>
      <c r="M528" s="140"/>
      <c r="N528" s="140"/>
      <c r="O528" s="140"/>
      <c r="P528" s="140"/>
      <c r="Q528" s="140"/>
      <c r="R528" s="140"/>
      <c r="S528" s="140"/>
      <c r="T528" s="140"/>
      <c r="U528" s="140"/>
      <c r="V528" s="140"/>
      <c r="W528" s="140"/>
      <c r="X528" s="140"/>
      <c r="Y528" s="140"/>
      <c r="Z528" s="140"/>
      <c r="AA528" s="141"/>
      <c r="AE528" s="140"/>
      <c r="AI528" s="141"/>
      <c r="AM528" s="141"/>
      <c r="AQ528" s="141"/>
      <c r="AT528" s="140"/>
      <c r="AU528" s="140"/>
    </row>
    <row r="529" spans="2:47" s="134" customFormat="1" x14ac:dyDescent="0.2">
      <c r="B529" s="145"/>
      <c r="D529" s="679"/>
      <c r="J529" s="140"/>
      <c r="K529" s="140"/>
      <c r="L529" s="140"/>
      <c r="M529" s="140"/>
      <c r="N529" s="140"/>
      <c r="O529" s="140"/>
      <c r="P529" s="140"/>
      <c r="Q529" s="140"/>
      <c r="R529" s="140"/>
      <c r="S529" s="140"/>
      <c r="T529" s="140"/>
      <c r="U529" s="140"/>
      <c r="V529" s="140"/>
      <c r="W529" s="140"/>
      <c r="X529" s="140"/>
      <c r="Y529" s="140"/>
      <c r="Z529" s="140"/>
      <c r="AA529" s="141"/>
      <c r="AE529" s="140"/>
      <c r="AI529" s="141"/>
      <c r="AM529" s="141"/>
      <c r="AQ529" s="141"/>
      <c r="AT529" s="140"/>
      <c r="AU529" s="140"/>
    </row>
    <row r="530" spans="2:47" s="134" customFormat="1" x14ac:dyDescent="0.2">
      <c r="B530" s="145"/>
      <c r="D530" s="679"/>
      <c r="J530" s="140"/>
      <c r="K530" s="140"/>
      <c r="L530" s="140"/>
      <c r="M530" s="140"/>
      <c r="N530" s="140"/>
      <c r="O530" s="140"/>
      <c r="P530" s="140"/>
      <c r="Q530" s="140"/>
      <c r="R530" s="140"/>
      <c r="S530" s="140"/>
      <c r="T530" s="140"/>
      <c r="U530" s="140"/>
      <c r="V530" s="140"/>
      <c r="W530" s="140"/>
      <c r="X530" s="140"/>
      <c r="Y530" s="140"/>
      <c r="Z530" s="140"/>
      <c r="AA530" s="141"/>
      <c r="AE530" s="140"/>
      <c r="AI530" s="141"/>
      <c r="AM530" s="141"/>
      <c r="AQ530" s="141"/>
      <c r="AT530" s="140"/>
      <c r="AU530" s="140"/>
    </row>
    <row r="531" spans="2:47" s="134" customFormat="1" x14ac:dyDescent="0.2">
      <c r="B531" s="145"/>
      <c r="D531" s="679"/>
      <c r="J531" s="140"/>
      <c r="K531" s="140"/>
      <c r="L531" s="140"/>
      <c r="M531" s="140"/>
      <c r="N531" s="140"/>
      <c r="O531" s="140"/>
      <c r="P531" s="140"/>
      <c r="Q531" s="140"/>
      <c r="R531" s="140"/>
      <c r="S531" s="140"/>
      <c r="T531" s="140"/>
      <c r="U531" s="140"/>
      <c r="V531" s="140"/>
      <c r="W531" s="140"/>
      <c r="X531" s="140"/>
      <c r="Y531" s="140"/>
      <c r="Z531" s="140"/>
      <c r="AA531" s="141"/>
      <c r="AE531" s="140"/>
      <c r="AI531" s="141"/>
      <c r="AM531" s="141"/>
      <c r="AQ531" s="141"/>
      <c r="AT531" s="140"/>
      <c r="AU531" s="140"/>
    </row>
    <row r="532" spans="2:47" s="134" customFormat="1" x14ac:dyDescent="0.2">
      <c r="B532" s="145"/>
      <c r="D532" s="679"/>
      <c r="J532" s="140"/>
      <c r="K532" s="140"/>
      <c r="L532" s="140"/>
      <c r="M532" s="140"/>
      <c r="N532" s="140"/>
      <c r="O532" s="140"/>
      <c r="P532" s="140"/>
      <c r="Q532" s="140"/>
      <c r="R532" s="140"/>
      <c r="S532" s="140"/>
      <c r="T532" s="140"/>
      <c r="U532" s="140"/>
      <c r="V532" s="140"/>
      <c r="W532" s="140"/>
      <c r="X532" s="140"/>
      <c r="Y532" s="140"/>
      <c r="Z532" s="140"/>
      <c r="AA532" s="141"/>
      <c r="AE532" s="140"/>
      <c r="AI532" s="141"/>
      <c r="AM532" s="141"/>
      <c r="AQ532" s="141"/>
      <c r="AT532" s="140"/>
      <c r="AU532" s="140"/>
    </row>
    <row r="533" spans="2:47" s="134" customFormat="1" x14ac:dyDescent="0.2">
      <c r="B533" s="145"/>
      <c r="D533" s="679"/>
      <c r="J533" s="140"/>
      <c r="K533" s="140"/>
      <c r="L533" s="140"/>
      <c r="M533" s="140"/>
      <c r="N533" s="140"/>
      <c r="O533" s="140"/>
      <c r="P533" s="140"/>
      <c r="Q533" s="140"/>
      <c r="R533" s="140"/>
      <c r="S533" s="140"/>
      <c r="T533" s="140"/>
      <c r="U533" s="140"/>
      <c r="V533" s="140"/>
      <c r="W533" s="140"/>
      <c r="X533" s="140"/>
      <c r="Y533" s="140"/>
      <c r="Z533" s="140"/>
      <c r="AA533" s="141"/>
      <c r="AE533" s="140"/>
      <c r="AI533" s="141"/>
      <c r="AM533" s="141"/>
      <c r="AQ533" s="141"/>
      <c r="AT533" s="140"/>
      <c r="AU533" s="140"/>
    </row>
    <row r="534" spans="2:47" s="134" customFormat="1" x14ac:dyDescent="0.2">
      <c r="B534" s="145"/>
      <c r="D534" s="679"/>
      <c r="J534" s="140"/>
      <c r="K534" s="140"/>
      <c r="L534" s="140"/>
      <c r="M534" s="140"/>
      <c r="N534" s="140"/>
      <c r="O534" s="140"/>
      <c r="P534" s="140"/>
      <c r="Q534" s="140"/>
      <c r="R534" s="140"/>
      <c r="S534" s="140"/>
      <c r="T534" s="140"/>
      <c r="U534" s="140"/>
      <c r="V534" s="140"/>
      <c r="W534" s="140"/>
      <c r="X534" s="140"/>
      <c r="Y534" s="140"/>
      <c r="Z534" s="140"/>
      <c r="AA534" s="141"/>
      <c r="AE534" s="140"/>
      <c r="AI534" s="141"/>
      <c r="AM534" s="141"/>
      <c r="AQ534" s="141"/>
      <c r="AT534" s="140"/>
      <c r="AU534" s="140"/>
    </row>
    <row r="535" spans="2:47" s="134" customFormat="1" x14ac:dyDescent="0.2">
      <c r="B535" s="145"/>
      <c r="D535" s="679"/>
      <c r="J535" s="140"/>
      <c r="K535" s="140"/>
      <c r="L535" s="140"/>
      <c r="M535" s="140"/>
      <c r="N535" s="140"/>
      <c r="O535" s="140"/>
      <c r="P535" s="140"/>
      <c r="Q535" s="140"/>
      <c r="R535" s="140"/>
      <c r="S535" s="140"/>
      <c r="T535" s="140"/>
      <c r="U535" s="140"/>
      <c r="V535" s="140"/>
      <c r="W535" s="140"/>
      <c r="X535" s="140"/>
      <c r="Y535" s="140"/>
      <c r="Z535" s="140"/>
      <c r="AA535" s="141"/>
      <c r="AE535" s="140"/>
      <c r="AI535" s="141"/>
      <c r="AM535" s="141"/>
      <c r="AQ535" s="141"/>
      <c r="AT535" s="140"/>
      <c r="AU535" s="140"/>
    </row>
    <row r="536" spans="2:47" s="134" customFormat="1" x14ac:dyDescent="0.2">
      <c r="B536" s="145"/>
      <c r="D536" s="679"/>
      <c r="J536" s="140"/>
      <c r="K536" s="140"/>
      <c r="L536" s="140"/>
      <c r="M536" s="140"/>
      <c r="N536" s="140"/>
      <c r="O536" s="140"/>
      <c r="P536" s="140"/>
      <c r="Q536" s="140"/>
      <c r="R536" s="140"/>
      <c r="S536" s="140"/>
      <c r="T536" s="140"/>
      <c r="U536" s="140"/>
      <c r="V536" s="140"/>
      <c r="W536" s="140"/>
      <c r="X536" s="140"/>
      <c r="Y536" s="140"/>
      <c r="Z536" s="140"/>
      <c r="AA536" s="141"/>
      <c r="AE536" s="140"/>
      <c r="AI536" s="141"/>
      <c r="AM536" s="141"/>
      <c r="AQ536" s="141"/>
      <c r="AT536" s="140"/>
      <c r="AU536" s="140"/>
    </row>
    <row r="537" spans="2:47" s="134" customFormat="1" x14ac:dyDescent="0.2">
      <c r="B537" s="145"/>
      <c r="D537" s="679"/>
      <c r="J537" s="140"/>
      <c r="K537" s="140"/>
      <c r="L537" s="140"/>
      <c r="M537" s="140"/>
      <c r="N537" s="140"/>
      <c r="O537" s="140"/>
      <c r="P537" s="140"/>
      <c r="Q537" s="140"/>
      <c r="R537" s="140"/>
      <c r="S537" s="140"/>
      <c r="T537" s="140"/>
      <c r="U537" s="140"/>
      <c r="V537" s="140"/>
      <c r="W537" s="140"/>
      <c r="X537" s="140"/>
      <c r="Y537" s="140"/>
      <c r="Z537" s="140"/>
      <c r="AA537" s="141"/>
      <c r="AE537" s="140"/>
      <c r="AI537" s="141"/>
      <c r="AM537" s="141"/>
      <c r="AQ537" s="141"/>
      <c r="AT537" s="140"/>
      <c r="AU537" s="140"/>
    </row>
    <row r="538" spans="2:47" s="134" customFormat="1" x14ac:dyDescent="0.2">
      <c r="B538" s="145"/>
      <c r="D538" s="679"/>
      <c r="J538" s="140"/>
      <c r="K538" s="140"/>
      <c r="L538" s="140"/>
      <c r="M538" s="140"/>
      <c r="N538" s="140"/>
      <c r="O538" s="140"/>
      <c r="P538" s="140"/>
      <c r="Q538" s="140"/>
      <c r="R538" s="140"/>
      <c r="S538" s="140"/>
      <c r="T538" s="140"/>
      <c r="U538" s="140"/>
      <c r="V538" s="140"/>
      <c r="W538" s="140"/>
      <c r="X538" s="140"/>
      <c r="Y538" s="140"/>
      <c r="Z538" s="140"/>
      <c r="AA538" s="141"/>
      <c r="AE538" s="140"/>
      <c r="AI538" s="141"/>
      <c r="AM538" s="141"/>
      <c r="AQ538" s="141"/>
      <c r="AT538" s="140"/>
      <c r="AU538" s="140"/>
    </row>
    <row r="539" spans="2:47" s="134" customFormat="1" x14ac:dyDescent="0.2">
      <c r="B539" s="145"/>
      <c r="D539" s="679"/>
      <c r="J539" s="140"/>
      <c r="K539" s="140"/>
      <c r="L539" s="140"/>
      <c r="M539" s="140"/>
      <c r="N539" s="140"/>
      <c r="O539" s="140"/>
      <c r="P539" s="140"/>
      <c r="Q539" s="140"/>
      <c r="R539" s="140"/>
      <c r="S539" s="140"/>
      <c r="T539" s="140"/>
      <c r="U539" s="140"/>
      <c r="V539" s="140"/>
      <c r="W539" s="140"/>
      <c r="X539" s="140"/>
      <c r="Y539" s="140"/>
      <c r="Z539" s="140"/>
      <c r="AA539" s="141"/>
      <c r="AE539" s="140"/>
      <c r="AI539" s="141"/>
      <c r="AM539" s="141"/>
      <c r="AQ539" s="141"/>
      <c r="AT539" s="140"/>
      <c r="AU539" s="140"/>
    </row>
    <row r="540" spans="2:47" s="134" customFormat="1" x14ac:dyDescent="0.2">
      <c r="B540" s="145"/>
      <c r="D540" s="679"/>
      <c r="J540" s="140"/>
      <c r="K540" s="140"/>
      <c r="L540" s="140"/>
      <c r="M540" s="140"/>
      <c r="N540" s="140"/>
      <c r="O540" s="140"/>
      <c r="P540" s="140"/>
      <c r="Q540" s="140"/>
      <c r="R540" s="140"/>
      <c r="S540" s="140"/>
      <c r="T540" s="140"/>
      <c r="U540" s="140"/>
      <c r="V540" s="140"/>
      <c r="W540" s="140"/>
      <c r="X540" s="140"/>
      <c r="Y540" s="140"/>
      <c r="Z540" s="140"/>
      <c r="AA540" s="141"/>
      <c r="AE540" s="140"/>
      <c r="AI540" s="141"/>
      <c r="AM540" s="141"/>
      <c r="AQ540" s="141"/>
      <c r="AT540" s="140"/>
      <c r="AU540" s="140"/>
    </row>
    <row r="541" spans="2:47" s="134" customFormat="1" x14ac:dyDescent="0.2">
      <c r="B541" s="145"/>
      <c r="D541" s="679"/>
      <c r="J541" s="140"/>
      <c r="K541" s="140"/>
      <c r="L541" s="140"/>
      <c r="M541" s="140"/>
      <c r="N541" s="140"/>
      <c r="O541" s="140"/>
      <c r="P541" s="140"/>
      <c r="Q541" s="140"/>
      <c r="R541" s="140"/>
      <c r="S541" s="140"/>
      <c r="T541" s="140"/>
      <c r="U541" s="140"/>
      <c r="V541" s="140"/>
      <c r="W541" s="140"/>
      <c r="X541" s="140"/>
      <c r="Y541" s="140"/>
      <c r="Z541" s="140"/>
      <c r="AA541" s="141"/>
      <c r="AE541" s="140"/>
      <c r="AI541" s="141"/>
      <c r="AM541" s="141"/>
      <c r="AQ541" s="141"/>
      <c r="AT541" s="140"/>
      <c r="AU541" s="140"/>
    </row>
    <row r="542" spans="2:47" s="134" customFormat="1" x14ac:dyDescent="0.2">
      <c r="B542" s="145"/>
      <c r="D542" s="679"/>
      <c r="J542" s="140"/>
      <c r="K542" s="140"/>
      <c r="L542" s="140"/>
      <c r="M542" s="140"/>
      <c r="N542" s="140"/>
      <c r="O542" s="140"/>
      <c r="P542" s="140"/>
      <c r="Q542" s="140"/>
      <c r="R542" s="140"/>
      <c r="S542" s="140"/>
      <c r="T542" s="140"/>
      <c r="U542" s="140"/>
      <c r="V542" s="140"/>
      <c r="W542" s="140"/>
      <c r="X542" s="140"/>
      <c r="Y542" s="140"/>
      <c r="Z542" s="140"/>
      <c r="AA542" s="141"/>
      <c r="AE542" s="140"/>
      <c r="AI542" s="141"/>
      <c r="AM542" s="141"/>
      <c r="AQ542" s="141"/>
      <c r="AT542" s="140"/>
      <c r="AU542" s="140"/>
    </row>
    <row r="543" spans="2:47" s="134" customFormat="1" x14ac:dyDescent="0.2">
      <c r="B543" s="145"/>
      <c r="D543" s="679"/>
      <c r="J543" s="140"/>
      <c r="K543" s="140"/>
      <c r="L543" s="140"/>
      <c r="M543" s="140"/>
      <c r="N543" s="140"/>
      <c r="O543" s="140"/>
      <c r="P543" s="140"/>
      <c r="Q543" s="140"/>
      <c r="R543" s="140"/>
      <c r="S543" s="140"/>
      <c r="T543" s="140"/>
      <c r="U543" s="140"/>
      <c r="V543" s="140"/>
      <c r="W543" s="140"/>
      <c r="X543" s="140"/>
      <c r="Y543" s="140"/>
      <c r="Z543" s="140"/>
      <c r="AA543" s="141"/>
      <c r="AE543" s="140"/>
      <c r="AI543" s="141"/>
      <c r="AM543" s="141"/>
      <c r="AQ543" s="141"/>
      <c r="AT543" s="140"/>
      <c r="AU543" s="140"/>
    </row>
    <row r="544" spans="2:47" s="134" customFormat="1" x14ac:dyDescent="0.2">
      <c r="B544" s="145"/>
      <c r="D544" s="679"/>
      <c r="J544" s="140"/>
      <c r="K544" s="140"/>
      <c r="L544" s="140"/>
      <c r="M544" s="140"/>
      <c r="N544" s="140"/>
      <c r="O544" s="140"/>
      <c r="P544" s="140"/>
      <c r="Q544" s="140"/>
      <c r="R544" s="140"/>
      <c r="S544" s="140"/>
      <c r="T544" s="140"/>
      <c r="U544" s="140"/>
      <c r="V544" s="140"/>
      <c r="W544" s="140"/>
      <c r="X544" s="140"/>
      <c r="Y544" s="140"/>
      <c r="Z544" s="140"/>
      <c r="AA544" s="141"/>
      <c r="AE544" s="140"/>
      <c r="AI544" s="141"/>
      <c r="AM544" s="141"/>
      <c r="AQ544" s="141"/>
      <c r="AT544" s="140"/>
      <c r="AU544" s="140"/>
    </row>
    <row r="545" spans="2:47" s="134" customFormat="1" x14ac:dyDescent="0.2">
      <c r="B545" s="145"/>
      <c r="D545" s="679"/>
      <c r="J545" s="140"/>
      <c r="K545" s="140"/>
      <c r="L545" s="140"/>
      <c r="M545" s="140"/>
      <c r="N545" s="140"/>
      <c r="O545" s="140"/>
      <c r="P545" s="140"/>
      <c r="Q545" s="140"/>
      <c r="R545" s="140"/>
      <c r="S545" s="140"/>
      <c r="T545" s="140"/>
      <c r="U545" s="140"/>
      <c r="V545" s="140"/>
      <c r="W545" s="140"/>
      <c r="X545" s="140"/>
      <c r="Y545" s="140"/>
      <c r="Z545" s="140"/>
      <c r="AA545" s="141"/>
      <c r="AE545" s="140"/>
      <c r="AI545" s="141"/>
      <c r="AM545" s="141"/>
      <c r="AQ545" s="141"/>
      <c r="AT545" s="140"/>
      <c r="AU545" s="140"/>
    </row>
    <row r="546" spans="2:47" s="134" customFormat="1" x14ac:dyDescent="0.2">
      <c r="B546" s="145"/>
      <c r="D546" s="679"/>
      <c r="J546" s="140"/>
      <c r="K546" s="140"/>
      <c r="L546" s="140"/>
      <c r="M546" s="140"/>
      <c r="N546" s="140"/>
      <c r="O546" s="140"/>
      <c r="P546" s="140"/>
      <c r="Q546" s="140"/>
      <c r="R546" s="140"/>
      <c r="S546" s="140"/>
      <c r="T546" s="140"/>
      <c r="U546" s="140"/>
      <c r="V546" s="140"/>
      <c r="W546" s="140"/>
      <c r="X546" s="140"/>
      <c r="Y546" s="140"/>
      <c r="Z546" s="140"/>
      <c r="AA546" s="141"/>
      <c r="AE546" s="140"/>
      <c r="AI546" s="141"/>
      <c r="AM546" s="141"/>
      <c r="AQ546" s="141"/>
      <c r="AT546" s="140"/>
      <c r="AU546" s="140"/>
    </row>
    <row r="547" spans="2:47" s="134" customFormat="1" x14ac:dyDescent="0.2">
      <c r="B547" s="145"/>
      <c r="D547" s="679"/>
      <c r="J547" s="140"/>
      <c r="K547" s="140"/>
      <c r="L547" s="140"/>
      <c r="M547" s="140"/>
      <c r="N547" s="140"/>
      <c r="O547" s="140"/>
      <c r="P547" s="140"/>
      <c r="Q547" s="140"/>
      <c r="R547" s="140"/>
      <c r="S547" s="140"/>
      <c r="T547" s="140"/>
      <c r="U547" s="140"/>
      <c r="V547" s="140"/>
      <c r="W547" s="140"/>
      <c r="X547" s="140"/>
      <c r="Y547" s="140"/>
      <c r="Z547" s="140"/>
      <c r="AA547" s="141"/>
      <c r="AE547" s="140"/>
      <c r="AI547" s="141"/>
      <c r="AM547" s="141"/>
      <c r="AQ547" s="141"/>
      <c r="AT547" s="140"/>
      <c r="AU547" s="140"/>
    </row>
    <row r="548" spans="2:47" s="134" customFormat="1" x14ac:dyDescent="0.2">
      <c r="B548" s="145"/>
      <c r="D548" s="679"/>
      <c r="J548" s="140"/>
      <c r="K548" s="140"/>
      <c r="L548" s="140"/>
      <c r="M548" s="140"/>
      <c r="N548" s="140"/>
      <c r="O548" s="140"/>
      <c r="P548" s="140"/>
      <c r="Q548" s="140"/>
      <c r="R548" s="140"/>
      <c r="S548" s="140"/>
      <c r="T548" s="140"/>
      <c r="U548" s="140"/>
      <c r="V548" s="140"/>
      <c r="W548" s="140"/>
      <c r="X548" s="140"/>
      <c r="Y548" s="140"/>
      <c r="Z548" s="140"/>
      <c r="AA548" s="141"/>
      <c r="AE548" s="140"/>
      <c r="AI548" s="141"/>
      <c r="AM548" s="141"/>
      <c r="AQ548" s="141"/>
      <c r="AT548" s="140"/>
      <c r="AU548" s="140"/>
    </row>
    <row r="549" spans="2:47" s="134" customFormat="1" x14ac:dyDescent="0.2">
      <c r="B549" s="145"/>
      <c r="D549" s="679"/>
      <c r="J549" s="140"/>
      <c r="K549" s="140"/>
      <c r="L549" s="140"/>
      <c r="M549" s="140"/>
      <c r="N549" s="140"/>
      <c r="O549" s="140"/>
      <c r="P549" s="140"/>
      <c r="Q549" s="140"/>
      <c r="R549" s="140"/>
      <c r="S549" s="140"/>
      <c r="T549" s="140"/>
      <c r="U549" s="140"/>
      <c r="V549" s="140"/>
      <c r="W549" s="140"/>
      <c r="X549" s="140"/>
      <c r="Y549" s="140"/>
      <c r="Z549" s="140"/>
      <c r="AA549" s="141"/>
      <c r="AE549" s="140"/>
      <c r="AI549" s="141"/>
      <c r="AM549" s="141"/>
      <c r="AQ549" s="141"/>
      <c r="AT549" s="140"/>
      <c r="AU549" s="140"/>
    </row>
    <row r="550" spans="2:47" s="134" customFormat="1" x14ac:dyDescent="0.2">
      <c r="B550" s="145"/>
      <c r="D550" s="679"/>
      <c r="J550" s="140"/>
      <c r="K550" s="140"/>
      <c r="L550" s="140"/>
      <c r="M550" s="140"/>
      <c r="N550" s="140"/>
      <c r="O550" s="140"/>
      <c r="P550" s="140"/>
      <c r="Q550" s="140"/>
      <c r="R550" s="140"/>
      <c r="S550" s="140"/>
      <c r="T550" s="140"/>
      <c r="U550" s="140"/>
      <c r="V550" s="140"/>
      <c r="W550" s="140"/>
      <c r="X550" s="140"/>
      <c r="Y550" s="140"/>
      <c r="Z550" s="140"/>
      <c r="AA550" s="141"/>
      <c r="AE550" s="140"/>
      <c r="AI550" s="141"/>
      <c r="AM550" s="141"/>
      <c r="AQ550" s="141"/>
      <c r="AT550" s="140"/>
      <c r="AU550" s="140"/>
    </row>
    <row r="551" spans="2:47" s="134" customFormat="1" x14ac:dyDescent="0.2">
      <c r="B551" s="145"/>
      <c r="D551" s="679"/>
      <c r="J551" s="140"/>
      <c r="K551" s="140"/>
      <c r="L551" s="140"/>
      <c r="M551" s="140"/>
      <c r="N551" s="140"/>
      <c r="O551" s="140"/>
      <c r="P551" s="140"/>
      <c r="Q551" s="140"/>
      <c r="R551" s="140"/>
      <c r="S551" s="140"/>
      <c r="T551" s="140"/>
      <c r="U551" s="140"/>
      <c r="V551" s="140"/>
      <c r="W551" s="140"/>
      <c r="X551" s="140"/>
      <c r="Y551" s="140"/>
      <c r="Z551" s="140"/>
      <c r="AA551" s="141"/>
      <c r="AE551" s="140"/>
      <c r="AI551" s="141"/>
      <c r="AM551" s="141"/>
      <c r="AQ551" s="141"/>
      <c r="AT551" s="140"/>
      <c r="AU551" s="140"/>
    </row>
    <row r="552" spans="2:47" s="134" customFormat="1" x14ac:dyDescent="0.2">
      <c r="B552" s="145"/>
      <c r="D552" s="679"/>
      <c r="J552" s="140"/>
      <c r="K552" s="140"/>
      <c r="L552" s="140"/>
      <c r="M552" s="140"/>
      <c r="N552" s="140"/>
      <c r="O552" s="140"/>
      <c r="P552" s="140"/>
      <c r="Q552" s="140"/>
      <c r="R552" s="140"/>
      <c r="S552" s="140"/>
      <c r="T552" s="140"/>
      <c r="U552" s="140"/>
      <c r="V552" s="140"/>
      <c r="W552" s="140"/>
      <c r="X552" s="140"/>
      <c r="Y552" s="140"/>
      <c r="Z552" s="140"/>
      <c r="AA552" s="141"/>
      <c r="AE552" s="140"/>
      <c r="AI552" s="141"/>
      <c r="AM552" s="141"/>
      <c r="AQ552" s="141"/>
      <c r="AT552" s="140"/>
      <c r="AU552" s="140"/>
    </row>
    <row r="553" spans="2:47" s="134" customFormat="1" x14ac:dyDescent="0.2">
      <c r="B553" s="145"/>
      <c r="D553" s="679"/>
      <c r="J553" s="140"/>
      <c r="K553" s="140"/>
      <c r="L553" s="140"/>
      <c r="M553" s="140"/>
      <c r="N553" s="140"/>
      <c r="O553" s="140"/>
      <c r="P553" s="140"/>
      <c r="Q553" s="140"/>
      <c r="R553" s="140"/>
      <c r="S553" s="140"/>
      <c r="T553" s="140"/>
      <c r="U553" s="140"/>
      <c r="V553" s="140"/>
      <c r="W553" s="140"/>
      <c r="X553" s="140"/>
      <c r="Y553" s="140"/>
      <c r="Z553" s="140"/>
      <c r="AA553" s="141"/>
      <c r="AE553" s="140"/>
      <c r="AI553" s="141"/>
      <c r="AM553" s="141"/>
      <c r="AQ553" s="141"/>
      <c r="AT553" s="140"/>
      <c r="AU553" s="140"/>
    </row>
    <row r="554" spans="2:47" s="134" customFormat="1" x14ac:dyDescent="0.2">
      <c r="B554" s="145"/>
      <c r="D554" s="679"/>
      <c r="J554" s="140"/>
      <c r="K554" s="140"/>
      <c r="L554" s="140"/>
      <c r="M554" s="140"/>
      <c r="N554" s="140"/>
      <c r="O554" s="140"/>
      <c r="P554" s="140"/>
      <c r="Q554" s="140"/>
      <c r="R554" s="140"/>
      <c r="S554" s="140"/>
      <c r="T554" s="140"/>
      <c r="U554" s="140"/>
      <c r="V554" s="140"/>
      <c r="W554" s="140"/>
      <c r="X554" s="140"/>
      <c r="Y554" s="140"/>
      <c r="Z554" s="140"/>
      <c r="AA554" s="141"/>
      <c r="AE554" s="140"/>
      <c r="AI554" s="141"/>
      <c r="AM554" s="141"/>
      <c r="AQ554" s="141"/>
      <c r="AT554" s="140"/>
      <c r="AU554" s="140"/>
    </row>
    <row r="555" spans="2:47" s="134" customFormat="1" x14ac:dyDescent="0.2">
      <c r="B555" s="145"/>
      <c r="D555" s="679"/>
      <c r="J555" s="140"/>
      <c r="K555" s="140"/>
      <c r="L555" s="140"/>
      <c r="M555" s="140"/>
      <c r="N555" s="140"/>
      <c r="O555" s="140"/>
      <c r="P555" s="140"/>
      <c r="Q555" s="140"/>
      <c r="R555" s="140"/>
      <c r="S555" s="140"/>
      <c r="T555" s="140"/>
      <c r="U555" s="140"/>
      <c r="V555" s="140"/>
      <c r="W555" s="140"/>
      <c r="X555" s="140"/>
      <c r="Y555" s="140"/>
      <c r="Z555" s="140"/>
      <c r="AA555" s="141"/>
      <c r="AE555" s="140"/>
      <c r="AI555" s="141"/>
      <c r="AM555" s="141"/>
      <c r="AQ555" s="141"/>
      <c r="AT555" s="140"/>
      <c r="AU555" s="140"/>
    </row>
    <row r="556" spans="2:47" s="134" customFormat="1" x14ac:dyDescent="0.2">
      <c r="B556" s="145"/>
      <c r="D556" s="679"/>
      <c r="J556" s="140"/>
      <c r="K556" s="140"/>
      <c r="L556" s="140"/>
      <c r="M556" s="140"/>
      <c r="N556" s="140"/>
      <c r="O556" s="140"/>
      <c r="P556" s="140"/>
      <c r="Q556" s="140"/>
      <c r="R556" s="140"/>
      <c r="S556" s="140"/>
      <c r="T556" s="140"/>
      <c r="U556" s="140"/>
      <c r="V556" s="140"/>
      <c r="W556" s="140"/>
      <c r="X556" s="140"/>
      <c r="Y556" s="140"/>
      <c r="Z556" s="140"/>
      <c r="AA556" s="141"/>
      <c r="AE556" s="140"/>
      <c r="AI556" s="141"/>
      <c r="AM556" s="141"/>
      <c r="AQ556" s="141"/>
      <c r="AT556" s="140"/>
      <c r="AU556" s="140"/>
    </row>
    <row r="557" spans="2:47" s="134" customFormat="1" x14ac:dyDescent="0.2">
      <c r="B557" s="145"/>
      <c r="D557" s="679"/>
      <c r="J557" s="140"/>
      <c r="K557" s="140"/>
      <c r="L557" s="140"/>
      <c r="M557" s="140"/>
      <c r="N557" s="140"/>
      <c r="O557" s="140"/>
      <c r="P557" s="140"/>
      <c r="Q557" s="140"/>
      <c r="R557" s="140"/>
      <c r="S557" s="140"/>
      <c r="T557" s="140"/>
      <c r="U557" s="140"/>
      <c r="V557" s="140"/>
      <c r="W557" s="140"/>
      <c r="X557" s="140"/>
      <c r="Y557" s="140"/>
      <c r="Z557" s="140"/>
      <c r="AA557" s="141"/>
      <c r="AE557" s="140"/>
      <c r="AI557" s="141"/>
      <c r="AM557" s="141"/>
      <c r="AQ557" s="141"/>
      <c r="AT557" s="140"/>
      <c r="AU557" s="140"/>
    </row>
    <row r="558" spans="2:47" s="134" customFormat="1" x14ac:dyDescent="0.2">
      <c r="B558" s="145"/>
      <c r="D558" s="679"/>
      <c r="J558" s="140"/>
      <c r="K558" s="140"/>
      <c r="L558" s="140"/>
      <c r="M558" s="140"/>
      <c r="N558" s="140"/>
      <c r="O558" s="140"/>
      <c r="P558" s="140"/>
      <c r="Q558" s="140"/>
      <c r="R558" s="140"/>
      <c r="S558" s="140"/>
      <c r="T558" s="140"/>
      <c r="U558" s="140"/>
      <c r="V558" s="140"/>
      <c r="W558" s="140"/>
      <c r="X558" s="140"/>
      <c r="Y558" s="140"/>
      <c r="Z558" s="140"/>
      <c r="AA558" s="141"/>
      <c r="AE558" s="140"/>
      <c r="AI558" s="141"/>
      <c r="AM558" s="141"/>
      <c r="AQ558" s="141"/>
      <c r="AT558" s="140"/>
      <c r="AU558" s="140"/>
    </row>
    <row r="559" spans="2:47" s="134" customFormat="1" x14ac:dyDescent="0.2">
      <c r="B559" s="145"/>
      <c r="D559" s="679"/>
      <c r="J559" s="140"/>
      <c r="K559" s="140"/>
      <c r="L559" s="140"/>
      <c r="M559" s="140"/>
      <c r="N559" s="140"/>
      <c r="O559" s="140"/>
      <c r="P559" s="140"/>
      <c r="Q559" s="140"/>
      <c r="R559" s="140"/>
      <c r="S559" s="140"/>
      <c r="T559" s="140"/>
      <c r="U559" s="140"/>
      <c r="V559" s="140"/>
      <c r="W559" s="140"/>
      <c r="X559" s="140"/>
      <c r="Y559" s="140"/>
      <c r="Z559" s="140"/>
      <c r="AA559" s="141"/>
      <c r="AE559" s="140"/>
      <c r="AI559" s="141"/>
      <c r="AM559" s="141"/>
      <c r="AQ559" s="141"/>
      <c r="AT559" s="140"/>
      <c r="AU559" s="140"/>
    </row>
    <row r="560" spans="2:47" s="134" customFormat="1" x14ac:dyDescent="0.2">
      <c r="B560" s="145"/>
      <c r="D560" s="679"/>
      <c r="J560" s="140"/>
      <c r="K560" s="140"/>
      <c r="L560" s="140"/>
      <c r="M560" s="140"/>
      <c r="N560" s="140"/>
      <c r="O560" s="140"/>
      <c r="P560" s="140"/>
      <c r="Q560" s="140"/>
      <c r="R560" s="140"/>
      <c r="S560" s="140"/>
      <c r="T560" s="140"/>
      <c r="U560" s="140"/>
      <c r="V560" s="140"/>
      <c r="W560" s="140"/>
      <c r="X560" s="140"/>
      <c r="Y560" s="140"/>
      <c r="Z560" s="140"/>
      <c r="AA560" s="141"/>
      <c r="AE560" s="140"/>
      <c r="AI560" s="141"/>
      <c r="AM560" s="141"/>
      <c r="AQ560" s="141"/>
      <c r="AT560" s="140"/>
      <c r="AU560" s="140"/>
    </row>
    <row r="561" spans="2:47" s="134" customFormat="1" x14ac:dyDescent="0.2">
      <c r="B561" s="145"/>
      <c r="D561" s="679"/>
      <c r="J561" s="140"/>
      <c r="K561" s="140"/>
      <c r="L561" s="140"/>
      <c r="M561" s="140"/>
      <c r="N561" s="140"/>
      <c r="O561" s="140"/>
      <c r="P561" s="140"/>
      <c r="Q561" s="140"/>
      <c r="R561" s="140"/>
      <c r="S561" s="140"/>
      <c r="T561" s="140"/>
      <c r="U561" s="140"/>
      <c r="V561" s="140"/>
      <c r="W561" s="140"/>
      <c r="X561" s="140"/>
      <c r="Y561" s="140"/>
      <c r="Z561" s="140"/>
      <c r="AA561" s="141"/>
      <c r="AE561" s="140"/>
      <c r="AI561" s="141"/>
      <c r="AM561" s="141"/>
      <c r="AQ561" s="141"/>
      <c r="AT561" s="140"/>
      <c r="AU561" s="140"/>
    </row>
    <row r="562" spans="2:47" s="134" customFormat="1" x14ac:dyDescent="0.2">
      <c r="B562" s="145"/>
      <c r="D562" s="679"/>
      <c r="J562" s="140"/>
      <c r="K562" s="140"/>
      <c r="L562" s="140"/>
      <c r="M562" s="140"/>
      <c r="N562" s="140"/>
      <c r="O562" s="140"/>
      <c r="P562" s="140"/>
      <c r="Q562" s="140"/>
      <c r="R562" s="140"/>
      <c r="S562" s="140"/>
      <c r="T562" s="140"/>
      <c r="U562" s="140"/>
      <c r="V562" s="140"/>
      <c r="W562" s="140"/>
      <c r="X562" s="140"/>
      <c r="Y562" s="140"/>
      <c r="Z562" s="140"/>
      <c r="AA562" s="141"/>
      <c r="AE562" s="140"/>
      <c r="AI562" s="141"/>
      <c r="AM562" s="141"/>
      <c r="AQ562" s="141"/>
      <c r="AT562" s="140"/>
      <c r="AU562" s="140"/>
    </row>
    <row r="563" spans="2:47" s="134" customFormat="1" x14ac:dyDescent="0.2">
      <c r="B563" s="145"/>
      <c r="D563" s="679"/>
      <c r="J563" s="140"/>
      <c r="K563" s="140"/>
      <c r="L563" s="140"/>
      <c r="M563" s="140"/>
      <c r="N563" s="140"/>
      <c r="O563" s="140"/>
      <c r="P563" s="140"/>
      <c r="Q563" s="140"/>
      <c r="R563" s="140"/>
      <c r="S563" s="140"/>
      <c r="T563" s="140"/>
      <c r="U563" s="140"/>
      <c r="V563" s="140"/>
      <c r="W563" s="140"/>
      <c r="X563" s="140"/>
      <c r="Y563" s="140"/>
      <c r="Z563" s="140"/>
      <c r="AA563" s="141"/>
      <c r="AE563" s="140"/>
      <c r="AI563" s="141"/>
      <c r="AM563" s="141"/>
      <c r="AQ563" s="141"/>
      <c r="AT563" s="140"/>
      <c r="AU563" s="140"/>
    </row>
    <row r="564" spans="2:47" s="134" customFormat="1" x14ac:dyDescent="0.2">
      <c r="B564" s="145"/>
      <c r="D564" s="679"/>
      <c r="J564" s="140"/>
      <c r="K564" s="140"/>
      <c r="L564" s="140"/>
      <c r="M564" s="140"/>
      <c r="N564" s="140"/>
      <c r="O564" s="140"/>
      <c r="P564" s="140"/>
      <c r="Q564" s="140"/>
      <c r="R564" s="140"/>
      <c r="S564" s="140"/>
      <c r="T564" s="140"/>
      <c r="U564" s="140"/>
      <c r="V564" s="140"/>
      <c r="W564" s="140"/>
      <c r="X564" s="140"/>
      <c r="Y564" s="140"/>
      <c r="Z564" s="140"/>
      <c r="AA564" s="141"/>
      <c r="AE564" s="140"/>
      <c r="AI564" s="141"/>
      <c r="AM564" s="141"/>
      <c r="AQ564" s="141"/>
      <c r="AT564" s="140"/>
      <c r="AU564" s="140"/>
    </row>
    <row r="565" spans="2:47" s="134" customFormat="1" x14ac:dyDescent="0.2">
      <c r="B565" s="145"/>
      <c r="D565" s="679"/>
      <c r="J565" s="140"/>
      <c r="K565" s="140"/>
      <c r="L565" s="140"/>
      <c r="M565" s="140"/>
      <c r="N565" s="140"/>
      <c r="O565" s="140"/>
      <c r="P565" s="140"/>
      <c r="Q565" s="140"/>
      <c r="R565" s="140"/>
      <c r="S565" s="140"/>
      <c r="T565" s="140"/>
      <c r="U565" s="140"/>
      <c r="V565" s="140"/>
      <c r="W565" s="140"/>
      <c r="X565" s="140"/>
      <c r="Y565" s="140"/>
      <c r="Z565" s="140"/>
      <c r="AA565" s="141"/>
      <c r="AE565" s="140"/>
      <c r="AI565" s="141"/>
      <c r="AM565" s="141"/>
      <c r="AQ565" s="141"/>
      <c r="AT565" s="140"/>
      <c r="AU565" s="140"/>
    </row>
    <row r="566" spans="2:47" s="134" customFormat="1" x14ac:dyDescent="0.2">
      <c r="B566" s="145"/>
      <c r="D566" s="679"/>
      <c r="J566" s="140"/>
      <c r="K566" s="140"/>
      <c r="L566" s="140"/>
      <c r="M566" s="140"/>
      <c r="N566" s="140"/>
      <c r="O566" s="140"/>
      <c r="P566" s="140"/>
      <c r="Q566" s="140"/>
      <c r="R566" s="140"/>
      <c r="S566" s="140"/>
      <c r="T566" s="140"/>
      <c r="U566" s="140"/>
      <c r="V566" s="140"/>
      <c r="W566" s="140"/>
      <c r="X566" s="140"/>
      <c r="Y566" s="140"/>
      <c r="Z566" s="140"/>
      <c r="AA566" s="141"/>
      <c r="AE566" s="140"/>
      <c r="AI566" s="141"/>
      <c r="AM566" s="141"/>
      <c r="AQ566" s="141"/>
      <c r="AT566" s="140"/>
      <c r="AU566" s="140"/>
    </row>
    <row r="567" spans="2:47" s="134" customFormat="1" x14ac:dyDescent="0.2">
      <c r="B567" s="145"/>
      <c r="D567" s="679"/>
      <c r="J567" s="140"/>
      <c r="K567" s="140"/>
      <c r="L567" s="140"/>
      <c r="M567" s="140"/>
      <c r="N567" s="140"/>
      <c r="O567" s="140"/>
      <c r="P567" s="140"/>
      <c r="Q567" s="140"/>
      <c r="R567" s="140"/>
      <c r="S567" s="140"/>
      <c r="T567" s="140"/>
      <c r="U567" s="140"/>
      <c r="V567" s="140"/>
      <c r="W567" s="140"/>
      <c r="X567" s="140"/>
      <c r="Y567" s="140"/>
      <c r="Z567" s="140"/>
      <c r="AA567" s="141"/>
      <c r="AE567" s="140"/>
      <c r="AI567" s="141"/>
      <c r="AM567" s="141"/>
      <c r="AQ567" s="141"/>
      <c r="AT567" s="140"/>
      <c r="AU567" s="140"/>
    </row>
    <row r="568" spans="2:47" s="134" customFormat="1" x14ac:dyDescent="0.2">
      <c r="B568" s="145"/>
      <c r="D568" s="679"/>
      <c r="J568" s="140"/>
      <c r="K568" s="140"/>
      <c r="L568" s="140"/>
      <c r="M568" s="140"/>
      <c r="N568" s="140"/>
      <c r="O568" s="140"/>
      <c r="P568" s="140"/>
      <c r="Q568" s="140"/>
      <c r="R568" s="140"/>
      <c r="S568" s="140"/>
      <c r="T568" s="140"/>
      <c r="U568" s="140"/>
      <c r="V568" s="140"/>
      <c r="W568" s="140"/>
      <c r="X568" s="140"/>
      <c r="Y568" s="140"/>
      <c r="Z568" s="140"/>
      <c r="AA568" s="141"/>
      <c r="AE568" s="140"/>
      <c r="AI568" s="141"/>
      <c r="AM568" s="141"/>
      <c r="AQ568" s="141"/>
      <c r="AT568" s="140"/>
      <c r="AU568" s="140"/>
    </row>
    <row r="569" spans="2:47" s="134" customFormat="1" x14ac:dyDescent="0.2">
      <c r="B569" s="145"/>
      <c r="D569" s="679"/>
      <c r="J569" s="140"/>
      <c r="K569" s="140"/>
      <c r="L569" s="140"/>
      <c r="M569" s="140"/>
      <c r="N569" s="140"/>
      <c r="O569" s="140"/>
      <c r="P569" s="140"/>
      <c r="Q569" s="140"/>
      <c r="R569" s="140"/>
      <c r="S569" s="140"/>
      <c r="T569" s="140"/>
      <c r="U569" s="140"/>
      <c r="V569" s="140"/>
      <c r="W569" s="140"/>
      <c r="X569" s="140"/>
      <c r="Y569" s="140"/>
      <c r="Z569" s="140"/>
      <c r="AA569" s="141"/>
      <c r="AE569" s="140"/>
      <c r="AI569" s="141"/>
      <c r="AM569" s="141"/>
      <c r="AQ569" s="141"/>
      <c r="AT569" s="140"/>
      <c r="AU569" s="140"/>
    </row>
    <row r="570" spans="2:47" s="134" customFormat="1" x14ac:dyDescent="0.2">
      <c r="B570" s="145"/>
      <c r="D570" s="679"/>
      <c r="J570" s="140"/>
      <c r="K570" s="140"/>
      <c r="L570" s="140"/>
      <c r="M570" s="140"/>
      <c r="N570" s="140"/>
      <c r="O570" s="140"/>
      <c r="P570" s="140"/>
      <c r="Q570" s="140"/>
      <c r="R570" s="140"/>
      <c r="S570" s="140"/>
      <c r="T570" s="140"/>
      <c r="U570" s="140"/>
      <c r="V570" s="140"/>
      <c r="W570" s="140"/>
      <c r="X570" s="140"/>
      <c r="Y570" s="140"/>
      <c r="Z570" s="140"/>
      <c r="AA570" s="141"/>
      <c r="AE570" s="140"/>
      <c r="AI570" s="141"/>
      <c r="AM570" s="141"/>
      <c r="AQ570" s="141"/>
      <c r="AT570" s="140"/>
      <c r="AU570" s="140"/>
    </row>
    <row r="571" spans="2:47" s="134" customFormat="1" x14ac:dyDescent="0.2">
      <c r="B571" s="145"/>
      <c r="D571" s="679"/>
      <c r="J571" s="140"/>
      <c r="K571" s="140"/>
      <c r="L571" s="140"/>
      <c r="M571" s="140"/>
      <c r="N571" s="140"/>
      <c r="O571" s="140"/>
      <c r="P571" s="140"/>
      <c r="Q571" s="140"/>
      <c r="R571" s="140"/>
      <c r="S571" s="140"/>
      <c r="T571" s="140"/>
      <c r="U571" s="140"/>
      <c r="V571" s="140"/>
      <c r="W571" s="140"/>
      <c r="X571" s="140"/>
      <c r="Y571" s="140"/>
      <c r="Z571" s="140"/>
      <c r="AA571" s="141"/>
      <c r="AE571" s="140"/>
      <c r="AI571" s="141"/>
      <c r="AM571" s="141"/>
      <c r="AQ571" s="141"/>
      <c r="AT571" s="140"/>
      <c r="AU571" s="140"/>
    </row>
    <row r="572" spans="2:47" s="134" customFormat="1" x14ac:dyDescent="0.2">
      <c r="B572" s="145"/>
      <c r="D572" s="679"/>
      <c r="J572" s="140"/>
      <c r="K572" s="140"/>
      <c r="L572" s="140"/>
      <c r="M572" s="140"/>
      <c r="N572" s="140"/>
      <c r="O572" s="140"/>
      <c r="P572" s="140"/>
      <c r="Q572" s="140"/>
      <c r="R572" s="140"/>
      <c r="S572" s="140"/>
      <c r="T572" s="140"/>
      <c r="U572" s="140"/>
      <c r="V572" s="140"/>
      <c r="W572" s="140"/>
      <c r="X572" s="140"/>
      <c r="Y572" s="140"/>
      <c r="Z572" s="140"/>
      <c r="AA572" s="141"/>
      <c r="AE572" s="140"/>
      <c r="AI572" s="141"/>
      <c r="AM572" s="141"/>
      <c r="AQ572" s="141"/>
      <c r="AT572" s="140"/>
      <c r="AU572" s="140"/>
    </row>
    <row r="573" spans="2:47" s="134" customFormat="1" x14ac:dyDescent="0.2">
      <c r="B573" s="145"/>
      <c r="D573" s="679"/>
      <c r="J573" s="140"/>
      <c r="K573" s="140"/>
      <c r="L573" s="140"/>
      <c r="M573" s="140"/>
      <c r="N573" s="140"/>
      <c r="O573" s="140"/>
      <c r="P573" s="140"/>
      <c r="Q573" s="140"/>
      <c r="R573" s="140"/>
      <c r="S573" s="140"/>
      <c r="T573" s="140"/>
      <c r="U573" s="140"/>
      <c r="V573" s="140"/>
      <c r="W573" s="140"/>
      <c r="X573" s="140"/>
      <c r="Y573" s="140"/>
      <c r="Z573" s="140"/>
      <c r="AA573" s="141"/>
      <c r="AE573" s="140"/>
      <c r="AI573" s="141"/>
      <c r="AM573" s="141"/>
      <c r="AQ573" s="141"/>
      <c r="AT573" s="140"/>
      <c r="AU573" s="140"/>
    </row>
    <row r="574" spans="2:47" s="134" customFormat="1" x14ac:dyDescent="0.2">
      <c r="B574" s="145"/>
      <c r="D574" s="679"/>
      <c r="J574" s="140"/>
      <c r="K574" s="140"/>
      <c r="L574" s="140"/>
      <c r="M574" s="140"/>
      <c r="N574" s="140"/>
      <c r="O574" s="140"/>
      <c r="P574" s="140"/>
      <c r="Q574" s="140"/>
      <c r="R574" s="140"/>
      <c r="S574" s="140"/>
      <c r="T574" s="140"/>
      <c r="U574" s="140"/>
      <c r="V574" s="140"/>
      <c r="W574" s="140"/>
      <c r="X574" s="140"/>
      <c r="Y574" s="140"/>
      <c r="Z574" s="140"/>
      <c r="AA574" s="141"/>
      <c r="AE574" s="140"/>
      <c r="AI574" s="141"/>
      <c r="AM574" s="141"/>
      <c r="AQ574" s="141"/>
      <c r="AT574" s="140"/>
      <c r="AU574" s="140"/>
    </row>
    <row r="575" spans="2:47" s="134" customFormat="1" x14ac:dyDescent="0.2">
      <c r="B575" s="145"/>
      <c r="D575" s="679"/>
      <c r="J575" s="140"/>
      <c r="K575" s="140"/>
      <c r="L575" s="140"/>
      <c r="M575" s="140"/>
      <c r="N575" s="140"/>
      <c r="O575" s="140"/>
      <c r="P575" s="140"/>
      <c r="Q575" s="140"/>
      <c r="R575" s="140"/>
      <c r="S575" s="140"/>
      <c r="T575" s="140"/>
      <c r="U575" s="140"/>
      <c r="V575" s="140"/>
      <c r="W575" s="140"/>
      <c r="X575" s="140"/>
      <c r="Y575" s="140"/>
      <c r="Z575" s="140"/>
      <c r="AA575" s="141"/>
      <c r="AE575" s="140"/>
      <c r="AI575" s="141"/>
      <c r="AM575" s="141"/>
      <c r="AQ575" s="141"/>
      <c r="AT575" s="140"/>
      <c r="AU575" s="140"/>
    </row>
    <row r="576" spans="2:47" s="134" customFormat="1" x14ac:dyDescent="0.2">
      <c r="B576" s="145"/>
      <c r="D576" s="679"/>
      <c r="J576" s="140"/>
      <c r="K576" s="140"/>
      <c r="L576" s="140"/>
      <c r="M576" s="140"/>
      <c r="N576" s="140"/>
      <c r="O576" s="140"/>
      <c r="P576" s="140"/>
      <c r="Q576" s="140"/>
      <c r="R576" s="140"/>
      <c r="S576" s="140"/>
      <c r="T576" s="140"/>
      <c r="U576" s="140"/>
      <c r="V576" s="140"/>
      <c r="W576" s="140"/>
      <c r="X576" s="140"/>
      <c r="Y576" s="140"/>
      <c r="Z576" s="140"/>
      <c r="AA576" s="141"/>
      <c r="AE576" s="140"/>
      <c r="AI576" s="141"/>
      <c r="AM576" s="141"/>
      <c r="AQ576" s="141"/>
      <c r="AT576" s="140"/>
      <c r="AU576" s="140"/>
    </row>
    <row r="577" spans="2:47" s="134" customFormat="1" x14ac:dyDescent="0.2">
      <c r="B577" s="145"/>
      <c r="D577" s="679"/>
      <c r="J577" s="140"/>
      <c r="K577" s="140"/>
      <c r="L577" s="140"/>
      <c r="M577" s="140"/>
      <c r="N577" s="140"/>
      <c r="O577" s="140"/>
      <c r="P577" s="140"/>
      <c r="Q577" s="140"/>
      <c r="R577" s="140"/>
      <c r="S577" s="140"/>
      <c r="T577" s="140"/>
      <c r="U577" s="140"/>
      <c r="V577" s="140"/>
      <c r="W577" s="140"/>
      <c r="X577" s="140"/>
      <c r="Y577" s="140"/>
      <c r="Z577" s="140"/>
      <c r="AA577" s="141"/>
      <c r="AE577" s="140"/>
      <c r="AI577" s="141"/>
      <c r="AM577" s="141"/>
      <c r="AQ577" s="141"/>
      <c r="AT577" s="140"/>
      <c r="AU577" s="140"/>
    </row>
    <row r="578" spans="2:47" s="134" customFormat="1" x14ac:dyDescent="0.2">
      <c r="B578" s="145"/>
      <c r="D578" s="679"/>
      <c r="J578" s="140"/>
      <c r="K578" s="140"/>
      <c r="L578" s="140"/>
      <c r="M578" s="140"/>
      <c r="N578" s="140"/>
      <c r="O578" s="140"/>
      <c r="P578" s="140"/>
      <c r="Q578" s="140"/>
      <c r="R578" s="140"/>
      <c r="S578" s="140"/>
      <c r="T578" s="140"/>
      <c r="U578" s="140"/>
      <c r="V578" s="140"/>
      <c r="W578" s="140"/>
      <c r="X578" s="140"/>
      <c r="Y578" s="140"/>
      <c r="Z578" s="140"/>
      <c r="AA578" s="141"/>
      <c r="AE578" s="140"/>
      <c r="AI578" s="141"/>
      <c r="AM578" s="141"/>
      <c r="AQ578" s="141"/>
      <c r="AT578" s="140"/>
      <c r="AU578" s="140"/>
    </row>
    <row r="579" spans="2:47" s="134" customFormat="1" x14ac:dyDescent="0.2">
      <c r="B579" s="145"/>
      <c r="D579" s="679"/>
      <c r="J579" s="140"/>
      <c r="K579" s="140"/>
      <c r="L579" s="140"/>
      <c r="M579" s="140"/>
      <c r="N579" s="140"/>
      <c r="O579" s="140"/>
      <c r="P579" s="140"/>
      <c r="Q579" s="140"/>
      <c r="R579" s="140"/>
      <c r="S579" s="140"/>
      <c r="T579" s="140"/>
      <c r="U579" s="140"/>
      <c r="V579" s="140"/>
      <c r="W579" s="140"/>
      <c r="X579" s="140"/>
      <c r="Y579" s="140"/>
      <c r="Z579" s="140"/>
      <c r="AA579" s="141"/>
      <c r="AE579" s="140"/>
      <c r="AI579" s="141"/>
      <c r="AM579" s="141"/>
      <c r="AQ579" s="141"/>
      <c r="AT579" s="140"/>
      <c r="AU579" s="140"/>
    </row>
    <row r="580" spans="2:47" s="134" customFormat="1" x14ac:dyDescent="0.2">
      <c r="B580" s="145"/>
      <c r="D580" s="679"/>
      <c r="J580" s="140"/>
      <c r="K580" s="140"/>
      <c r="L580" s="140"/>
      <c r="M580" s="140"/>
      <c r="N580" s="140"/>
      <c r="O580" s="140"/>
      <c r="P580" s="140"/>
      <c r="Q580" s="140"/>
      <c r="R580" s="140"/>
      <c r="S580" s="140"/>
      <c r="T580" s="140"/>
      <c r="U580" s="140"/>
      <c r="V580" s="140"/>
      <c r="W580" s="140"/>
      <c r="X580" s="140"/>
      <c r="Y580" s="140"/>
      <c r="Z580" s="140"/>
      <c r="AA580" s="141"/>
      <c r="AE580" s="140"/>
      <c r="AI580" s="141"/>
      <c r="AM580" s="141"/>
      <c r="AQ580" s="141"/>
      <c r="AT580" s="140"/>
      <c r="AU580" s="140"/>
    </row>
    <row r="581" spans="2:47" s="134" customFormat="1" x14ac:dyDescent="0.2">
      <c r="B581" s="145"/>
      <c r="D581" s="679"/>
      <c r="J581" s="140"/>
      <c r="K581" s="140"/>
      <c r="L581" s="140"/>
      <c r="M581" s="140"/>
      <c r="N581" s="140"/>
      <c r="O581" s="140"/>
      <c r="P581" s="140"/>
      <c r="Q581" s="140"/>
      <c r="R581" s="140"/>
      <c r="S581" s="140"/>
      <c r="T581" s="140"/>
      <c r="U581" s="140"/>
      <c r="V581" s="140"/>
      <c r="W581" s="140"/>
      <c r="X581" s="140"/>
      <c r="Y581" s="140"/>
      <c r="Z581" s="140"/>
      <c r="AA581" s="141"/>
      <c r="AE581" s="140"/>
      <c r="AI581" s="141"/>
      <c r="AM581" s="141"/>
      <c r="AQ581" s="141"/>
      <c r="AT581" s="140"/>
      <c r="AU581" s="140"/>
    </row>
    <row r="582" spans="2:47" s="134" customFormat="1" x14ac:dyDescent="0.2">
      <c r="B582" s="145"/>
      <c r="D582" s="679"/>
      <c r="J582" s="140"/>
      <c r="K582" s="140"/>
      <c r="L582" s="140"/>
      <c r="M582" s="140"/>
      <c r="N582" s="140"/>
      <c r="O582" s="140"/>
      <c r="P582" s="140"/>
      <c r="Q582" s="140"/>
      <c r="R582" s="140"/>
      <c r="S582" s="140"/>
      <c r="T582" s="140"/>
      <c r="U582" s="140"/>
      <c r="V582" s="140"/>
      <c r="W582" s="140"/>
      <c r="X582" s="140"/>
      <c r="Y582" s="140"/>
      <c r="Z582" s="140"/>
      <c r="AA582" s="141"/>
      <c r="AE582" s="140"/>
      <c r="AI582" s="141"/>
      <c r="AM582" s="141"/>
      <c r="AQ582" s="141"/>
      <c r="AT582" s="140"/>
      <c r="AU582" s="140"/>
    </row>
    <row r="583" spans="2:47" s="134" customFormat="1" x14ac:dyDescent="0.2">
      <c r="B583" s="145"/>
      <c r="D583" s="679"/>
      <c r="J583" s="140"/>
      <c r="K583" s="140"/>
      <c r="L583" s="140"/>
      <c r="M583" s="140"/>
      <c r="N583" s="140"/>
      <c r="O583" s="140"/>
      <c r="P583" s="140"/>
      <c r="Q583" s="140"/>
      <c r="R583" s="140"/>
      <c r="S583" s="140"/>
      <c r="T583" s="140"/>
      <c r="U583" s="140"/>
      <c r="V583" s="140"/>
      <c r="W583" s="140"/>
      <c r="X583" s="140"/>
      <c r="Y583" s="140"/>
      <c r="Z583" s="140"/>
      <c r="AA583" s="141"/>
      <c r="AE583" s="140"/>
      <c r="AI583" s="141"/>
      <c r="AM583" s="141"/>
      <c r="AQ583" s="141"/>
      <c r="AT583" s="140"/>
      <c r="AU583" s="140"/>
    </row>
    <row r="584" spans="2:47" s="134" customFormat="1" x14ac:dyDescent="0.2">
      <c r="B584" s="145"/>
      <c r="D584" s="679"/>
      <c r="J584" s="140"/>
      <c r="K584" s="140"/>
      <c r="L584" s="140"/>
      <c r="M584" s="140"/>
      <c r="N584" s="140"/>
      <c r="O584" s="140"/>
      <c r="P584" s="140"/>
      <c r="Q584" s="140"/>
      <c r="R584" s="140"/>
      <c r="S584" s="140"/>
      <c r="T584" s="140"/>
      <c r="U584" s="140"/>
      <c r="V584" s="140"/>
      <c r="W584" s="140"/>
      <c r="X584" s="140"/>
      <c r="Y584" s="140"/>
      <c r="Z584" s="140"/>
      <c r="AA584" s="141"/>
      <c r="AE584" s="140"/>
      <c r="AI584" s="141"/>
      <c r="AM584" s="141"/>
      <c r="AQ584" s="141"/>
      <c r="AT584" s="140"/>
      <c r="AU584" s="140"/>
    </row>
    <row r="585" spans="2:47" s="134" customFormat="1" x14ac:dyDescent="0.2">
      <c r="B585" s="145"/>
      <c r="D585" s="679"/>
      <c r="J585" s="140"/>
      <c r="K585" s="140"/>
      <c r="L585" s="140"/>
      <c r="M585" s="140"/>
      <c r="N585" s="140"/>
      <c r="O585" s="140"/>
      <c r="P585" s="140"/>
      <c r="Q585" s="140"/>
      <c r="R585" s="140"/>
      <c r="S585" s="140"/>
      <c r="T585" s="140"/>
      <c r="U585" s="140"/>
      <c r="V585" s="140"/>
      <c r="W585" s="140"/>
      <c r="X585" s="140"/>
      <c r="Y585" s="140"/>
      <c r="Z585" s="140"/>
      <c r="AA585" s="141"/>
      <c r="AE585" s="140"/>
      <c r="AI585" s="141"/>
      <c r="AM585" s="141"/>
      <c r="AQ585" s="141"/>
      <c r="AT585" s="140"/>
      <c r="AU585" s="140"/>
    </row>
    <row r="586" spans="2:47" s="134" customFormat="1" x14ac:dyDescent="0.2">
      <c r="B586" s="145"/>
      <c r="D586" s="679"/>
      <c r="J586" s="140"/>
      <c r="K586" s="140"/>
      <c r="L586" s="140"/>
      <c r="M586" s="140"/>
      <c r="N586" s="140"/>
      <c r="O586" s="140"/>
      <c r="P586" s="140"/>
      <c r="Q586" s="140"/>
      <c r="R586" s="140"/>
      <c r="S586" s="140"/>
      <c r="T586" s="140"/>
      <c r="U586" s="140"/>
      <c r="V586" s="140"/>
      <c r="W586" s="140"/>
      <c r="X586" s="140"/>
      <c r="Y586" s="140"/>
      <c r="Z586" s="140"/>
      <c r="AA586" s="141"/>
      <c r="AE586" s="140"/>
      <c r="AI586" s="141"/>
      <c r="AM586" s="141"/>
      <c r="AQ586" s="141"/>
      <c r="AT586" s="140"/>
      <c r="AU586" s="140"/>
    </row>
    <row r="587" spans="2:47" s="134" customFormat="1" x14ac:dyDescent="0.2">
      <c r="B587" s="145"/>
      <c r="D587" s="679"/>
      <c r="J587" s="140"/>
      <c r="K587" s="140"/>
      <c r="L587" s="140"/>
      <c r="M587" s="140"/>
      <c r="N587" s="140"/>
      <c r="O587" s="140"/>
      <c r="P587" s="140"/>
      <c r="Q587" s="140"/>
      <c r="R587" s="140"/>
      <c r="S587" s="140"/>
      <c r="T587" s="140"/>
      <c r="U587" s="140"/>
      <c r="V587" s="140"/>
      <c r="W587" s="140"/>
      <c r="X587" s="140"/>
      <c r="Y587" s="140"/>
      <c r="Z587" s="140"/>
      <c r="AA587" s="141"/>
      <c r="AE587" s="140"/>
      <c r="AI587" s="141"/>
      <c r="AM587" s="141"/>
      <c r="AQ587" s="141"/>
      <c r="AT587" s="140"/>
      <c r="AU587" s="140"/>
    </row>
    <row r="588" spans="2:47" s="134" customFormat="1" x14ac:dyDescent="0.2">
      <c r="B588" s="145"/>
      <c r="D588" s="679"/>
      <c r="J588" s="140"/>
      <c r="K588" s="140"/>
      <c r="L588" s="140"/>
      <c r="M588" s="140"/>
      <c r="N588" s="140"/>
      <c r="O588" s="140"/>
      <c r="P588" s="140"/>
      <c r="Q588" s="140"/>
      <c r="R588" s="140"/>
      <c r="S588" s="140"/>
      <c r="T588" s="140"/>
      <c r="U588" s="140"/>
      <c r="V588" s="140"/>
      <c r="W588" s="140"/>
      <c r="X588" s="140"/>
      <c r="Y588" s="140"/>
      <c r="Z588" s="140"/>
      <c r="AA588" s="141"/>
      <c r="AE588" s="140"/>
      <c r="AI588" s="141"/>
      <c r="AM588" s="141"/>
      <c r="AQ588" s="141"/>
      <c r="AT588" s="140"/>
      <c r="AU588" s="140"/>
    </row>
    <row r="589" spans="2:47" s="134" customFormat="1" x14ac:dyDescent="0.2">
      <c r="B589" s="145"/>
      <c r="D589" s="679"/>
      <c r="J589" s="140"/>
      <c r="K589" s="140"/>
      <c r="L589" s="140"/>
      <c r="M589" s="140"/>
      <c r="N589" s="140"/>
      <c r="O589" s="140"/>
      <c r="P589" s="140"/>
      <c r="Q589" s="140"/>
      <c r="R589" s="140"/>
      <c r="S589" s="140"/>
      <c r="T589" s="140"/>
      <c r="U589" s="140"/>
      <c r="V589" s="140"/>
      <c r="W589" s="140"/>
      <c r="X589" s="140"/>
      <c r="Y589" s="140"/>
      <c r="Z589" s="140"/>
      <c r="AA589" s="141"/>
      <c r="AE589" s="140"/>
      <c r="AI589" s="141"/>
      <c r="AM589" s="141"/>
      <c r="AQ589" s="141"/>
      <c r="AT589" s="140"/>
      <c r="AU589" s="140"/>
    </row>
    <row r="590" spans="2:47" s="134" customFormat="1" x14ac:dyDescent="0.2">
      <c r="B590" s="145"/>
      <c r="D590" s="679"/>
      <c r="J590" s="140"/>
      <c r="K590" s="140"/>
      <c r="L590" s="140"/>
      <c r="M590" s="140"/>
      <c r="N590" s="140"/>
      <c r="O590" s="140"/>
      <c r="P590" s="140"/>
      <c r="Q590" s="140"/>
      <c r="R590" s="140"/>
      <c r="S590" s="140"/>
      <c r="T590" s="140"/>
      <c r="U590" s="140"/>
      <c r="V590" s="140"/>
      <c r="W590" s="140"/>
      <c r="X590" s="140"/>
      <c r="Y590" s="140"/>
      <c r="Z590" s="140"/>
      <c r="AA590" s="141"/>
      <c r="AE590" s="140"/>
      <c r="AI590" s="141"/>
      <c r="AM590" s="141"/>
      <c r="AQ590" s="141"/>
      <c r="AT590" s="140"/>
      <c r="AU590" s="140"/>
    </row>
    <row r="591" spans="2:47" s="134" customFormat="1" x14ac:dyDescent="0.2">
      <c r="B591" s="145"/>
      <c r="D591" s="679"/>
      <c r="J591" s="140"/>
      <c r="K591" s="140"/>
      <c r="L591" s="140"/>
      <c r="M591" s="140"/>
      <c r="N591" s="140"/>
      <c r="O591" s="140"/>
      <c r="P591" s="140"/>
      <c r="Q591" s="140"/>
      <c r="R591" s="140"/>
      <c r="S591" s="140"/>
      <c r="T591" s="140"/>
      <c r="U591" s="140"/>
      <c r="V591" s="140"/>
      <c r="W591" s="140"/>
      <c r="X591" s="140"/>
      <c r="Y591" s="140"/>
      <c r="Z591" s="140"/>
      <c r="AA591" s="141"/>
      <c r="AE591" s="140"/>
      <c r="AI591" s="141"/>
      <c r="AM591" s="141"/>
      <c r="AQ591" s="141"/>
      <c r="AT591" s="140"/>
      <c r="AU591" s="140"/>
    </row>
    <row r="592" spans="2:47" s="134" customFormat="1" x14ac:dyDescent="0.2">
      <c r="B592" s="145"/>
      <c r="D592" s="679"/>
      <c r="J592" s="140"/>
      <c r="K592" s="140"/>
      <c r="L592" s="140"/>
      <c r="M592" s="140"/>
      <c r="N592" s="140"/>
      <c r="O592" s="140"/>
      <c r="P592" s="140"/>
      <c r="Q592" s="140"/>
      <c r="R592" s="140"/>
      <c r="S592" s="140"/>
      <c r="T592" s="140"/>
      <c r="U592" s="140"/>
      <c r="V592" s="140"/>
      <c r="W592" s="140"/>
      <c r="X592" s="140"/>
      <c r="Y592" s="140"/>
      <c r="Z592" s="140"/>
      <c r="AA592" s="141"/>
      <c r="AE592" s="140"/>
      <c r="AI592" s="141"/>
      <c r="AM592" s="141"/>
      <c r="AQ592" s="141"/>
      <c r="AT592" s="140"/>
      <c r="AU592" s="140"/>
    </row>
    <row r="593" spans="2:47" s="134" customFormat="1" x14ac:dyDescent="0.2">
      <c r="B593" s="145"/>
      <c r="D593" s="679"/>
      <c r="J593" s="140"/>
      <c r="K593" s="140"/>
      <c r="L593" s="140"/>
      <c r="M593" s="140"/>
      <c r="N593" s="140"/>
      <c r="O593" s="140"/>
      <c r="P593" s="140"/>
      <c r="Q593" s="140"/>
      <c r="R593" s="140"/>
      <c r="S593" s="140"/>
      <c r="T593" s="140"/>
      <c r="U593" s="140"/>
      <c r="V593" s="140"/>
      <c r="W593" s="140"/>
      <c r="X593" s="140"/>
      <c r="Y593" s="140"/>
      <c r="Z593" s="140"/>
      <c r="AA593" s="141"/>
      <c r="AE593" s="140"/>
      <c r="AI593" s="141"/>
      <c r="AM593" s="141"/>
      <c r="AQ593" s="141"/>
      <c r="AT593" s="140"/>
      <c r="AU593" s="140"/>
    </row>
    <row r="594" spans="2:47" s="134" customFormat="1" x14ac:dyDescent="0.2">
      <c r="B594" s="145"/>
      <c r="D594" s="679"/>
      <c r="J594" s="140"/>
      <c r="K594" s="140"/>
      <c r="L594" s="140"/>
      <c r="M594" s="140"/>
      <c r="N594" s="140"/>
      <c r="O594" s="140"/>
      <c r="P594" s="140"/>
      <c r="Q594" s="140"/>
      <c r="R594" s="140"/>
      <c r="S594" s="140"/>
      <c r="T594" s="140"/>
      <c r="U594" s="140"/>
      <c r="V594" s="140"/>
      <c r="W594" s="140"/>
      <c r="X594" s="140"/>
      <c r="Y594" s="140"/>
      <c r="Z594" s="140"/>
      <c r="AA594" s="141"/>
      <c r="AE594" s="140"/>
      <c r="AI594" s="141"/>
      <c r="AM594" s="141"/>
      <c r="AQ594" s="141"/>
      <c r="AT594" s="140"/>
      <c r="AU594" s="140"/>
    </row>
    <row r="595" spans="2:47" s="134" customFormat="1" x14ac:dyDescent="0.2">
      <c r="B595" s="145"/>
      <c r="D595" s="679"/>
      <c r="J595" s="140"/>
      <c r="K595" s="140"/>
      <c r="L595" s="140"/>
      <c r="M595" s="140"/>
      <c r="N595" s="140"/>
      <c r="O595" s="140"/>
      <c r="P595" s="140"/>
      <c r="Q595" s="140"/>
      <c r="R595" s="140"/>
      <c r="S595" s="140"/>
      <c r="T595" s="140"/>
      <c r="U595" s="140"/>
      <c r="V595" s="140"/>
      <c r="W595" s="140"/>
      <c r="X595" s="140"/>
      <c r="Y595" s="140"/>
      <c r="Z595" s="140"/>
      <c r="AA595" s="141"/>
      <c r="AE595" s="140"/>
      <c r="AI595" s="141"/>
      <c r="AM595" s="141"/>
      <c r="AQ595" s="141"/>
      <c r="AT595" s="140"/>
      <c r="AU595" s="140"/>
    </row>
    <row r="596" spans="2:47" s="134" customFormat="1" x14ac:dyDescent="0.2">
      <c r="B596" s="145"/>
      <c r="D596" s="679"/>
      <c r="J596" s="140"/>
      <c r="K596" s="140"/>
      <c r="L596" s="140"/>
      <c r="M596" s="140"/>
      <c r="N596" s="140"/>
      <c r="O596" s="140"/>
      <c r="P596" s="140"/>
      <c r="Q596" s="140"/>
      <c r="R596" s="140"/>
      <c r="S596" s="140"/>
      <c r="T596" s="140"/>
      <c r="U596" s="140"/>
      <c r="V596" s="140"/>
      <c r="W596" s="140"/>
      <c r="X596" s="140"/>
      <c r="Y596" s="140"/>
      <c r="Z596" s="140"/>
      <c r="AA596" s="141"/>
      <c r="AE596" s="140"/>
      <c r="AI596" s="141"/>
      <c r="AM596" s="141"/>
      <c r="AQ596" s="141"/>
      <c r="AT596" s="140"/>
      <c r="AU596" s="140"/>
    </row>
    <row r="597" spans="2:47" s="134" customFormat="1" x14ac:dyDescent="0.2">
      <c r="B597" s="145"/>
      <c r="D597" s="679"/>
      <c r="J597" s="140"/>
      <c r="K597" s="140"/>
      <c r="L597" s="140"/>
      <c r="M597" s="140"/>
      <c r="N597" s="140"/>
      <c r="O597" s="140"/>
      <c r="P597" s="140"/>
      <c r="Q597" s="140"/>
      <c r="R597" s="140"/>
      <c r="S597" s="140"/>
      <c r="T597" s="140"/>
      <c r="U597" s="140"/>
      <c r="V597" s="140"/>
      <c r="W597" s="140"/>
      <c r="X597" s="140"/>
      <c r="Y597" s="140"/>
      <c r="Z597" s="140"/>
      <c r="AA597" s="141"/>
      <c r="AE597" s="140"/>
      <c r="AI597" s="141"/>
      <c r="AM597" s="141"/>
      <c r="AQ597" s="141"/>
      <c r="AT597" s="140"/>
      <c r="AU597" s="140"/>
    </row>
    <row r="598" spans="2:47" s="134" customFormat="1" x14ac:dyDescent="0.2">
      <c r="B598" s="145"/>
      <c r="D598" s="679"/>
      <c r="J598" s="140"/>
      <c r="K598" s="140"/>
      <c r="L598" s="140"/>
      <c r="M598" s="140"/>
      <c r="N598" s="140"/>
      <c r="O598" s="140"/>
      <c r="P598" s="140"/>
      <c r="Q598" s="140"/>
      <c r="R598" s="140"/>
      <c r="S598" s="140"/>
      <c r="T598" s="140"/>
      <c r="U598" s="140"/>
      <c r="V598" s="140"/>
      <c r="W598" s="140"/>
      <c r="X598" s="140"/>
      <c r="Y598" s="140"/>
      <c r="Z598" s="140"/>
      <c r="AA598" s="141"/>
      <c r="AE598" s="140"/>
      <c r="AI598" s="141"/>
      <c r="AM598" s="141"/>
      <c r="AQ598" s="141"/>
      <c r="AT598" s="140"/>
      <c r="AU598" s="140"/>
    </row>
    <row r="599" spans="2:47" s="134" customFormat="1" x14ac:dyDescent="0.2">
      <c r="B599" s="145"/>
      <c r="D599" s="679"/>
      <c r="J599" s="140"/>
      <c r="K599" s="140"/>
      <c r="L599" s="140"/>
      <c r="M599" s="140"/>
      <c r="N599" s="140"/>
      <c r="O599" s="140"/>
      <c r="P599" s="140"/>
      <c r="Q599" s="140"/>
      <c r="R599" s="140"/>
      <c r="S599" s="140"/>
      <c r="T599" s="140"/>
      <c r="U599" s="140"/>
      <c r="V599" s="140"/>
      <c r="W599" s="140"/>
      <c r="X599" s="140"/>
      <c r="Y599" s="140"/>
      <c r="Z599" s="140"/>
      <c r="AA599" s="141"/>
      <c r="AE599" s="140"/>
      <c r="AI599" s="141"/>
      <c r="AM599" s="141"/>
      <c r="AQ599" s="141"/>
      <c r="AT599" s="140"/>
      <c r="AU599" s="140"/>
    </row>
    <row r="600" spans="2:47" s="134" customFormat="1" x14ac:dyDescent="0.2">
      <c r="B600" s="145"/>
      <c r="D600" s="679"/>
      <c r="J600" s="140"/>
      <c r="K600" s="140"/>
      <c r="L600" s="140"/>
      <c r="M600" s="140"/>
      <c r="N600" s="140"/>
      <c r="O600" s="140"/>
      <c r="P600" s="140"/>
      <c r="Q600" s="140"/>
      <c r="R600" s="140"/>
      <c r="S600" s="140"/>
      <c r="T600" s="140"/>
      <c r="U600" s="140"/>
      <c r="V600" s="140"/>
      <c r="W600" s="140"/>
      <c r="X600" s="140"/>
      <c r="Y600" s="140"/>
      <c r="Z600" s="140"/>
      <c r="AA600" s="141"/>
      <c r="AE600" s="140"/>
      <c r="AI600" s="141"/>
      <c r="AM600" s="141"/>
      <c r="AQ600" s="141"/>
      <c r="AT600" s="140"/>
      <c r="AU600" s="140"/>
    </row>
    <row r="601" spans="2:47" s="134" customFormat="1" x14ac:dyDescent="0.2">
      <c r="B601" s="145"/>
      <c r="D601" s="679"/>
      <c r="J601" s="140"/>
      <c r="K601" s="140"/>
      <c r="L601" s="140"/>
      <c r="M601" s="140"/>
      <c r="N601" s="140"/>
      <c r="O601" s="140"/>
      <c r="P601" s="140"/>
      <c r="Q601" s="140"/>
      <c r="R601" s="140"/>
      <c r="S601" s="140"/>
      <c r="T601" s="140"/>
      <c r="U601" s="140"/>
      <c r="V601" s="140"/>
      <c r="W601" s="140"/>
      <c r="X601" s="140"/>
      <c r="Y601" s="140"/>
      <c r="Z601" s="140"/>
      <c r="AA601" s="141"/>
      <c r="AE601" s="140"/>
      <c r="AI601" s="141"/>
      <c r="AM601" s="141"/>
      <c r="AQ601" s="141"/>
      <c r="AT601" s="140"/>
      <c r="AU601" s="140"/>
    </row>
    <row r="602" spans="2:47" s="134" customFormat="1" x14ac:dyDescent="0.2">
      <c r="B602" s="145"/>
      <c r="D602" s="679"/>
      <c r="J602" s="140"/>
      <c r="K602" s="140"/>
      <c r="L602" s="140"/>
      <c r="M602" s="140"/>
      <c r="N602" s="140"/>
      <c r="O602" s="140"/>
      <c r="P602" s="140"/>
      <c r="Q602" s="140"/>
      <c r="R602" s="140"/>
      <c r="S602" s="140"/>
      <c r="T602" s="140"/>
      <c r="U602" s="140"/>
      <c r="V602" s="140"/>
      <c r="W602" s="140"/>
      <c r="X602" s="140"/>
      <c r="Y602" s="140"/>
      <c r="Z602" s="140"/>
      <c r="AA602" s="141"/>
      <c r="AE602" s="140"/>
      <c r="AI602" s="141"/>
      <c r="AM602" s="141"/>
      <c r="AQ602" s="141"/>
      <c r="AT602" s="140"/>
      <c r="AU602" s="140"/>
    </row>
    <row r="603" spans="2:47" s="134" customFormat="1" x14ac:dyDescent="0.2">
      <c r="B603" s="145"/>
      <c r="D603" s="679"/>
      <c r="J603" s="140"/>
      <c r="K603" s="140"/>
      <c r="L603" s="140"/>
      <c r="M603" s="140"/>
      <c r="N603" s="140"/>
      <c r="O603" s="140"/>
      <c r="P603" s="140"/>
      <c r="Q603" s="140"/>
      <c r="R603" s="140"/>
      <c r="S603" s="140"/>
      <c r="T603" s="140"/>
      <c r="U603" s="140"/>
      <c r="V603" s="140"/>
      <c r="W603" s="140"/>
      <c r="X603" s="140"/>
      <c r="Y603" s="140"/>
      <c r="Z603" s="140"/>
      <c r="AA603" s="141"/>
      <c r="AE603" s="140"/>
      <c r="AI603" s="141"/>
      <c r="AM603" s="141"/>
      <c r="AQ603" s="141"/>
      <c r="AT603" s="140"/>
      <c r="AU603" s="140"/>
    </row>
    <row r="604" spans="2:47" s="134" customFormat="1" x14ac:dyDescent="0.2">
      <c r="B604" s="145"/>
      <c r="D604" s="679"/>
      <c r="J604" s="140"/>
      <c r="K604" s="140"/>
      <c r="L604" s="140"/>
      <c r="M604" s="140"/>
      <c r="N604" s="140"/>
      <c r="O604" s="140"/>
      <c r="P604" s="140"/>
      <c r="Q604" s="140"/>
      <c r="R604" s="140"/>
      <c r="S604" s="140"/>
      <c r="T604" s="140"/>
      <c r="U604" s="140"/>
      <c r="V604" s="140"/>
      <c r="W604" s="140"/>
      <c r="X604" s="140"/>
      <c r="Y604" s="140"/>
      <c r="Z604" s="140"/>
      <c r="AA604" s="141"/>
      <c r="AE604" s="140"/>
      <c r="AI604" s="141"/>
      <c r="AM604" s="141"/>
      <c r="AQ604" s="141"/>
      <c r="AT604" s="140"/>
      <c r="AU604" s="140"/>
    </row>
    <row r="605" spans="2:47" s="134" customFormat="1" x14ac:dyDescent="0.2">
      <c r="B605" s="145"/>
      <c r="D605" s="679"/>
      <c r="J605" s="140"/>
      <c r="K605" s="140"/>
      <c r="L605" s="140"/>
      <c r="M605" s="140"/>
      <c r="N605" s="140"/>
      <c r="O605" s="140"/>
      <c r="P605" s="140"/>
      <c r="Q605" s="140"/>
      <c r="R605" s="140"/>
      <c r="S605" s="140"/>
      <c r="T605" s="140"/>
      <c r="U605" s="140"/>
      <c r="V605" s="140"/>
      <c r="W605" s="140"/>
      <c r="X605" s="140"/>
      <c r="Y605" s="140"/>
      <c r="Z605" s="140"/>
      <c r="AA605" s="141"/>
      <c r="AE605" s="140"/>
      <c r="AI605" s="141"/>
      <c r="AM605" s="141"/>
      <c r="AQ605" s="141"/>
      <c r="AT605" s="140"/>
      <c r="AU605" s="140"/>
    </row>
    <row r="606" spans="2:47" s="134" customFormat="1" x14ac:dyDescent="0.2">
      <c r="B606" s="145"/>
      <c r="D606" s="679"/>
      <c r="J606" s="140"/>
      <c r="K606" s="140"/>
      <c r="L606" s="140"/>
      <c r="M606" s="140"/>
      <c r="N606" s="140"/>
      <c r="O606" s="140"/>
      <c r="P606" s="140"/>
      <c r="Q606" s="140"/>
      <c r="R606" s="140"/>
      <c r="S606" s="140"/>
      <c r="T606" s="140"/>
      <c r="U606" s="140"/>
      <c r="V606" s="140"/>
      <c r="W606" s="140"/>
      <c r="X606" s="140"/>
      <c r="Y606" s="140"/>
      <c r="Z606" s="140"/>
      <c r="AA606" s="141"/>
      <c r="AE606" s="140"/>
      <c r="AI606" s="141"/>
      <c r="AM606" s="141"/>
      <c r="AQ606" s="141"/>
      <c r="AT606" s="140"/>
      <c r="AU606" s="140"/>
    </row>
    <row r="607" spans="2:47" s="134" customFormat="1" x14ac:dyDescent="0.2">
      <c r="B607" s="145"/>
      <c r="D607" s="679"/>
      <c r="J607" s="140"/>
      <c r="K607" s="140"/>
      <c r="L607" s="140"/>
      <c r="M607" s="140"/>
      <c r="N607" s="140"/>
      <c r="O607" s="140"/>
      <c r="P607" s="140"/>
      <c r="Q607" s="140"/>
      <c r="R607" s="140"/>
      <c r="S607" s="140"/>
      <c r="T607" s="140"/>
      <c r="U607" s="140"/>
      <c r="V607" s="140"/>
      <c r="W607" s="140"/>
      <c r="X607" s="140"/>
      <c r="Y607" s="140"/>
      <c r="Z607" s="140"/>
      <c r="AA607" s="141"/>
      <c r="AE607" s="140"/>
      <c r="AI607" s="141"/>
      <c r="AM607" s="141"/>
      <c r="AQ607" s="141"/>
      <c r="AT607" s="140"/>
      <c r="AU607" s="140"/>
    </row>
    <row r="608" spans="2:47" s="134" customFormat="1" x14ac:dyDescent="0.2">
      <c r="B608" s="145"/>
      <c r="D608" s="679"/>
      <c r="J608" s="140"/>
      <c r="K608" s="140"/>
      <c r="L608" s="140"/>
      <c r="M608" s="140"/>
      <c r="N608" s="140"/>
      <c r="O608" s="140"/>
      <c r="P608" s="140"/>
      <c r="Q608" s="140"/>
      <c r="R608" s="140"/>
      <c r="S608" s="140"/>
      <c r="T608" s="140"/>
      <c r="U608" s="140"/>
      <c r="V608" s="140"/>
      <c r="W608" s="140"/>
      <c r="X608" s="140"/>
      <c r="Y608" s="140"/>
      <c r="Z608" s="140"/>
      <c r="AA608" s="141"/>
      <c r="AE608" s="140"/>
      <c r="AI608" s="141"/>
      <c r="AM608" s="141"/>
      <c r="AQ608" s="141"/>
      <c r="AT608" s="140"/>
      <c r="AU608" s="140"/>
    </row>
    <row r="609" spans="2:47" s="134" customFormat="1" x14ac:dyDescent="0.2">
      <c r="B609" s="145"/>
      <c r="D609" s="679"/>
      <c r="J609" s="140"/>
      <c r="K609" s="140"/>
      <c r="L609" s="140"/>
      <c r="M609" s="140"/>
      <c r="N609" s="140"/>
      <c r="O609" s="140"/>
      <c r="P609" s="140"/>
      <c r="Q609" s="140"/>
      <c r="R609" s="140"/>
      <c r="S609" s="140"/>
      <c r="T609" s="140"/>
      <c r="U609" s="140"/>
      <c r="V609" s="140"/>
      <c r="W609" s="140"/>
      <c r="X609" s="140"/>
      <c r="Y609" s="140"/>
      <c r="Z609" s="140"/>
      <c r="AA609" s="141"/>
      <c r="AE609" s="140"/>
      <c r="AI609" s="141"/>
      <c r="AM609" s="141"/>
      <c r="AQ609" s="141"/>
      <c r="AT609" s="140"/>
      <c r="AU609" s="140"/>
    </row>
    <row r="610" spans="2:47" s="134" customFormat="1" x14ac:dyDescent="0.2">
      <c r="B610" s="145"/>
      <c r="D610" s="679"/>
      <c r="J610" s="140"/>
      <c r="K610" s="140"/>
      <c r="L610" s="140"/>
      <c r="M610" s="140"/>
      <c r="N610" s="140"/>
      <c r="O610" s="140"/>
      <c r="P610" s="140"/>
      <c r="Q610" s="140"/>
      <c r="R610" s="140"/>
      <c r="S610" s="140"/>
      <c r="T610" s="140"/>
      <c r="U610" s="140"/>
      <c r="V610" s="140"/>
      <c r="W610" s="140"/>
      <c r="X610" s="140"/>
      <c r="Y610" s="140"/>
      <c r="Z610" s="140"/>
      <c r="AA610" s="141"/>
      <c r="AE610" s="140"/>
      <c r="AI610" s="141"/>
      <c r="AM610" s="141"/>
      <c r="AQ610" s="141"/>
      <c r="AT610" s="140"/>
      <c r="AU610" s="140"/>
    </row>
    <row r="611" spans="2:47" s="134" customFormat="1" x14ac:dyDescent="0.2">
      <c r="B611" s="145"/>
      <c r="D611" s="679"/>
      <c r="J611" s="140"/>
      <c r="K611" s="140"/>
      <c r="L611" s="140"/>
      <c r="M611" s="140"/>
      <c r="N611" s="140"/>
      <c r="O611" s="140"/>
      <c r="P611" s="140"/>
      <c r="Q611" s="140"/>
      <c r="R611" s="140"/>
      <c r="S611" s="140"/>
      <c r="T611" s="140"/>
      <c r="U611" s="140"/>
      <c r="V611" s="140"/>
      <c r="W611" s="140"/>
      <c r="X611" s="140"/>
      <c r="Y611" s="140"/>
      <c r="Z611" s="140"/>
      <c r="AA611" s="141"/>
      <c r="AE611" s="140"/>
      <c r="AI611" s="141"/>
      <c r="AM611" s="141"/>
      <c r="AQ611" s="141"/>
      <c r="AT611" s="140"/>
      <c r="AU611" s="140"/>
    </row>
    <row r="612" spans="2:47" s="134" customFormat="1" x14ac:dyDescent="0.2">
      <c r="B612" s="145"/>
      <c r="D612" s="679"/>
      <c r="J612" s="140"/>
      <c r="K612" s="140"/>
      <c r="L612" s="140"/>
      <c r="M612" s="140"/>
      <c r="N612" s="140"/>
      <c r="O612" s="140"/>
      <c r="P612" s="140"/>
      <c r="Q612" s="140"/>
      <c r="R612" s="140"/>
      <c r="S612" s="140"/>
      <c r="T612" s="140"/>
      <c r="U612" s="140"/>
      <c r="V612" s="140"/>
      <c r="W612" s="140"/>
      <c r="X612" s="140"/>
      <c r="Y612" s="140"/>
      <c r="Z612" s="140"/>
      <c r="AA612" s="141"/>
      <c r="AE612" s="140"/>
      <c r="AI612" s="141"/>
      <c r="AM612" s="141"/>
      <c r="AQ612" s="141"/>
      <c r="AT612" s="140"/>
      <c r="AU612" s="140"/>
    </row>
    <row r="613" spans="2:47" s="134" customFormat="1" x14ac:dyDescent="0.2">
      <c r="B613" s="145"/>
      <c r="D613" s="679"/>
      <c r="J613" s="140"/>
      <c r="K613" s="140"/>
      <c r="L613" s="140"/>
      <c r="M613" s="140"/>
      <c r="N613" s="140"/>
      <c r="O613" s="140"/>
      <c r="P613" s="140"/>
      <c r="Q613" s="140"/>
      <c r="R613" s="140"/>
      <c r="S613" s="140"/>
      <c r="T613" s="140"/>
      <c r="U613" s="140"/>
      <c r="V613" s="140"/>
      <c r="W613" s="140"/>
      <c r="X613" s="140"/>
      <c r="Y613" s="140"/>
      <c r="Z613" s="140"/>
      <c r="AA613" s="141"/>
      <c r="AE613" s="140"/>
      <c r="AI613" s="141"/>
      <c r="AM613" s="141"/>
      <c r="AQ613" s="141"/>
      <c r="AT613" s="140"/>
      <c r="AU613" s="140"/>
    </row>
    <row r="614" spans="2:47" s="134" customFormat="1" x14ac:dyDescent="0.2">
      <c r="B614" s="145"/>
      <c r="D614" s="679"/>
      <c r="J614" s="140"/>
      <c r="K614" s="140"/>
      <c r="L614" s="140"/>
      <c r="M614" s="140"/>
      <c r="N614" s="140"/>
      <c r="O614" s="140"/>
      <c r="P614" s="140"/>
      <c r="Q614" s="140"/>
      <c r="R614" s="140"/>
      <c r="S614" s="140"/>
      <c r="T614" s="140"/>
      <c r="U614" s="140"/>
      <c r="V614" s="140"/>
      <c r="W614" s="140"/>
      <c r="X614" s="140"/>
      <c r="Y614" s="140"/>
      <c r="Z614" s="140"/>
      <c r="AA614" s="141"/>
      <c r="AE614" s="140"/>
      <c r="AI614" s="141"/>
      <c r="AM614" s="141"/>
      <c r="AQ614" s="141"/>
      <c r="AT614" s="140"/>
      <c r="AU614" s="140"/>
    </row>
    <row r="615" spans="2:47" s="134" customFormat="1" x14ac:dyDescent="0.2">
      <c r="B615" s="145"/>
      <c r="D615" s="679"/>
      <c r="J615" s="140"/>
      <c r="K615" s="140"/>
      <c r="L615" s="140"/>
      <c r="M615" s="140"/>
      <c r="N615" s="140"/>
      <c r="O615" s="140"/>
      <c r="P615" s="140"/>
      <c r="Q615" s="140"/>
      <c r="R615" s="140"/>
      <c r="S615" s="140"/>
      <c r="T615" s="140"/>
      <c r="U615" s="140"/>
      <c r="V615" s="140"/>
      <c r="W615" s="140"/>
      <c r="X615" s="140"/>
      <c r="Y615" s="140"/>
      <c r="Z615" s="140"/>
      <c r="AA615" s="141"/>
      <c r="AE615" s="140"/>
      <c r="AI615" s="141"/>
      <c r="AM615" s="141"/>
      <c r="AQ615" s="141"/>
      <c r="AT615" s="140"/>
      <c r="AU615" s="140"/>
    </row>
    <row r="616" spans="2:47" s="134" customFormat="1" x14ac:dyDescent="0.2">
      <c r="B616" s="145"/>
      <c r="D616" s="679"/>
      <c r="J616" s="140"/>
      <c r="K616" s="140"/>
      <c r="L616" s="140"/>
      <c r="M616" s="140"/>
      <c r="N616" s="140"/>
      <c r="O616" s="140"/>
      <c r="P616" s="140"/>
      <c r="Q616" s="140"/>
      <c r="R616" s="140"/>
      <c r="S616" s="140"/>
      <c r="T616" s="140"/>
      <c r="U616" s="140"/>
      <c r="V616" s="140"/>
      <c r="W616" s="140"/>
      <c r="X616" s="140"/>
      <c r="Y616" s="140"/>
      <c r="Z616" s="140"/>
      <c r="AA616" s="141"/>
      <c r="AE616" s="140"/>
      <c r="AI616" s="141"/>
      <c r="AM616" s="141"/>
      <c r="AQ616" s="141"/>
      <c r="AT616" s="140"/>
      <c r="AU616" s="140"/>
    </row>
    <row r="617" spans="2:47" s="134" customFormat="1" x14ac:dyDescent="0.2">
      <c r="B617" s="145"/>
      <c r="D617" s="679"/>
      <c r="J617" s="140"/>
      <c r="K617" s="140"/>
      <c r="L617" s="140"/>
      <c r="M617" s="140"/>
      <c r="N617" s="140"/>
      <c r="O617" s="140"/>
      <c r="P617" s="140"/>
      <c r="Q617" s="140"/>
      <c r="R617" s="140"/>
      <c r="S617" s="140"/>
      <c r="T617" s="140"/>
      <c r="U617" s="140"/>
      <c r="V617" s="140"/>
      <c r="W617" s="140"/>
      <c r="X617" s="140"/>
      <c r="Y617" s="140"/>
      <c r="Z617" s="140"/>
      <c r="AA617" s="141"/>
      <c r="AE617" s="140"/>
      <c r="AI617" s="141"/>
      <c r="AM617" s="141"/>
      <c r="AQ617" s="141"/>
      <c r="AT617" s="140"/>
      <c r="AU617" s="140"/>
    </row>
    <row r="618" spans="2:47" s="134" customFormat="1" x14ac:dyDescent="0.2">
      <c r="B618" s="145"/>
      <c r="D618" s="679"/>
      <c r="J618" s="140"/>
      <c r="K618" s="140"/>
      <c r="L618" s="140"/>
      <c r="M618" s="140"/>
      <c r="N618" s="140"/>
      <c r="O618" s="140"/>
      <c r="P618" s="140"/>
      <c r="Q618" s="140"/>
      <c r="R618" s="140"/>
      <c r="S618" s="140"/>
      <c r="T618" s="140"/>
      <c r="U618" s="140"/>
      <c r="V618" s="140"/>
      <c r="W618" s="140"/>
      <c r="X618" s="140"/>
      <c r="Y618" s="140"/>
      <c r="Z618" s="140"/>
      <c r="AA618" s="141"/>
      <c r="AE618" s="140"/>
      <c r="AI618" s="141"/>
      <c r="AM618" s="141"/>
      <c r="AQ618" s="141"/>
      <c r="AT618" s="140"/>
      <c r="AU618" s="140"/>
    </row>
    <row r="619" spans="2:47" s="134" customFormat="1" x14ac:dyDescent="0.2">
      <c r="B619" s="145"/>
      <c r="D619" s="679"/>
      <c r="J619" s="140"/>
      <c r="K619" s="140"/>
      <c r="L619" s="140"/>
      <c r="M619" s="140"/>
      <c r="N619" s="140"/>
      <c r="O619" s="140"/>
      <c r="P619" s="140"/>
      <c r="Q619" s="140"/>
      <c r="R619" s="140"/>
      <c r="S619" s="140"/>
      <c r="T619" s="140"/>
      <c r="U619" s="140"/>
      <c r="V619" s="140"/>
      <c r="W619" s="140"/>
      <c r="X619" s="140"/>
      <c r="Y619" s="140"/>
      <c r="Z619" s="140"/>
      <c r="AA619" s="141"/>
      <c r="AE619" s="140"/>
      <c r="AI619" s="141"/>
      <c r="AM619" s="141"/>
      <c r="AQ619" s="141"/>
      <c r="AT619" s="140"/>
      <c r="AU619" s="140"/>
    </row>
    <row r="620" spans="2:47" s="134" customFormat="1" x14ac:dyDescent="0.2">
      <c r="B620" s="145"/>
      <c r="D620" s="679"/>
      <c r="J620" s="140"/>
      <c r="K620" s="140"/>
      <c r="L620" s="140"/>
      <c r="M620" s="140"/>
      <c r="N620" s="140"/>
      <c r="O620" s="140"/>
      <c r="P620" s="140"/>
      <c r="Q620" s="140"/>
      <c r="R620" s="140"/>
      <c r="S620" s="140"/>
      <c r="T620" s="140"/>
      <c r="U620" s="140"/>
      <c r="V620" s="140"/>
      <c r="W620" s="140"/>
      <c r="X620" s="140"/>
      <c r="Y620" s="140"/>
      <c r="Z620" s="140"/>
      <c r="AA620" s="141"/>
      <c r="AE620" s="140"/>
      <c r="AI620" s="141"/>
      <c r="AM620" s="141"/>
      <c r="AQ620" s="141"/>
      <c r="AT620" s="140"/>
      <c r="AU620" s="140"/>
    </row>
    <row r="621" spans="2:47" s="134" customFormat="1" x14ac:dyDescent="0.2">
      <c r="B621" s="145"/>
      <c r="D621" s="679"/>
      <c r="J621" s="140"/>
      <c r="K621" s="140"/>
      <c r="L621" s="140"/>
      <c r="M621" s="140"/>
      <c r="N621" s="140"/>
      <c r="O621" s="140"/>
      <c r="P621" s="140"/>
      <c r="Q621" s="140"/>
      <c r="R621" s="140"/>
      <c r="S621" s="140"/>
      <c r="T621" s="140"/>
      <c r="U621" s="140"/>
      <c r="V621" s="140"/>
      <c r="W621" s="140"/>
      <c r="X621" s="140"/>
      <c r="Y621" s="140"/>
      <c r="Z621" s="140"/>
      <c r="AA621" s="141"/>
      <c r="AE621" s="140"/>
      <c r="AI621" s="141"/>
      <c r="AM621" s="141"/>
      <c r="AQ621" s="141"/>
      <c r="AT621" s="140"/>
      <c r="AU621" s="140"/>
    </row>
    <row r="622" spans="2:47" s="134" customFormat="1" x14ac:dyDescent="0.2">
      <c r="B622" s="145"/>
      <c r="D622" s="679"/>
      <c r="J622" s="140"/>
      <c r="K622" s="140"/>
      <c r="L622" s="140"/>
      <c r="M622" s="140"/>
      <c r="N622" s="140"/>
      <c r="O622" s="140"/>
      <c r="P622" s="140"/>
      <c r="Q622" s="140"/>
      <c r="R622" s="140"/>
      <c r="S622" s="140"/>
      <c r="T622" s="140"/>
      <c r="U622" s="140"/>
      <c r="V622" s="140"/>
      <c r="W622" s="140"/>
      <c r="X622" s="140"/>
      <c r="Y622" s="140"/>
      <c r="Z622" s="140"/>
      <c r="AA622" s="141"/>
      <c r="AE622" s="140"/>
      <c r="AI622" s="141"/>
      <c r="AM622" s="141"/>
      <c r="AQ622" s="141"/>
      <c r="AT622" s="140"/>
      <c r="AU622" s="140"/>
    </row>
    <row r="623" spans="2:47" s="134" customFormat="1" x14ac:dyDescent="0.2">
      <c r="B623" s="145"/>
      <c r="D623" s="679"/>
      <c r="J623" s="140"/>
      <c r="K623" s="140"/>
      <c r="L623" s="140"/>
      <c r="M623" s="140"/>
      <c r="N623" s="140"/>
      <c r="O623" s="140"/>
      <c r="P623" s="140"/>
      <c r="Q623" s="140"/>
      <c r="R623" s="140"/>
      <c r="S623" s="140"/>
      <c r="T623" s="140"/>
      <c r="U623" s="140"/>
      <c r="V623" s="140"/>
      <c r="W623" s="140"/>
      <c r="X623" s="140"/>
      <c r="Y623" s="140"/>
      <c r="Z623" s="140"/>
      <c r="AA623" s="141"/>
      <c r="AE623" s="140"/>
      <c r="AI623" s="141"/>
      <c r="AM623" s="141"/>
      <c r="AQ623" s="141"/>
      <c r="AT623" s="140"/>
      <c r="AU623" s="140"/>
    </row>
    <row r="624" spans="2:47" s="134" customFormat="1" x14ac:dyDescent="0.2">
      <c r="B624" s="145"/>
      <c r="D624" s="679"/>
      <c r="J624" s="140"/>
      <c r="K624" s="140"/>
      <c r="L624" s="140"/>
      <c r="M624" s="140"/>
      <c r="N624" s="140"/>
      <c r="O624" s="140"/>
      <c r="P624" s="140"/>
      <c r="Q624" s="140"/>
      <c r="R624" s="140"/>
      <c r="S624" s="140"/>
      <c r="T624" s="140"/>
      <c r="U624" s="140"/>
      <c r="V624" s="140"/>
      <c r="W624" s="140"/>
      <c r="X624" s="140"/>
      <c r="Y624" s="140"/>
      <c r="Z624" s="140"/>
      <c r="AA624" s="141"/>
      <c r="AE624" s="140"/>
      <c r="AI624" s="141"/>
      <c r="AM624" s="141"/>
      <c r="AQ624" s="141"/>
      <c r="AT624" s="140"/>
      <c r="AU624" s="140"/>
    </row>
    <row r="625" spans="2:47" s="134" customFormat="1" x14ac:dyDescent="0.2">
      <c r="B625" s="145"/>
      <c r="D625" s="679"/>
      <c r="J625" s="140"/>
      <c r="K625" s="140"/>
      <c r="L625" s="140"/>
      <c r="M625" s="140"/>
      <c r="N625" s="140"/>
      <c r="O625" s="140"/>
      <c r="P625" s="140"/>
      <c r="Q625" s="140"/>
      <c r="R625" s="140"/>
      <c r="S625" s="140"/>
      <c r="T625" s="140"/>
      <c r="U625" s="140"/>
      <c r="V625" s="140"/>
      <c r="W625" s="140"/>
      <c r="X625" s="140"/>
      <c r="Y625" s="140"/>
      <c r="Z625" s="140"/>
      <c r="AA625" s="141"/>
      <c r="AE625" s="140"/>
      <c r="AI625" s="141"/>
      <c r="AM625" s="141"/>
      <c r="AQ625" s="141"/>
      <c r="AT625" s="140"/>
      <c r="AU625" s="140"/>
    </row>
    <row r="626" spans="2:47" s="134" customFormat="1" x14ac:dyDescent="0.2">
      <c r="B626" s="145"/>
      <c r="D626" s="679"/>
      <c r="J626" s="140"/>
      <c r="K626" s="140"/>
      <c r="L626" s="140"/>
      <c r="M626" s="140"/>
      <c r="N626" s="140"/>
      <c r="O626" s="140"/>
      <c r="P626" s="140"/>
      <c r="Q626" s="140"/>
      <c r="R626" s="140"/>
      <c r="S626" s="140"/>
      <c r="T626" s="140"/>
      <c r="U626" s="140"/>
      <c r="V626" s="140"/>
      <c r="W626" s="140"/>
      <c r="X626" s="140"/>
      <c r="Y626" s="140"/>
      <c r="Z626" s="140"/>
      <c r="AA626" s="141"/>
      <c r="AE626" s="140"/>
      <c r="AI626" s="141"/>
      <c r="AM626" s="141"/>
      <c r="AQ626" s="141"/>
      <c r="AT626" s="140"/>
      <c r="AU626" s="140"/>
    </row>
    <row r="627" spans="2:47" s="134" customFormat="1" x14ac:dyDescent="0.2">
      <c r="B627" s="145"/>
      <c r="D627" s="679"/>
      <c r="J627" s="140"/>
      <c r="K627" s="140"/>
      <c r="L627" s="140"/>
      <c r="M627" s="140"/>
      <c r="N627" s="140"/>
      <c r="O627" s="140"/>
      <c r="P627" s="140"/>
      <c r="Q627" s="140"/>
      <c r="R627" s="140"/>
      <c r="S627" s="140"/>
      <c r="T627" s="140"/>
      <c r="U627" s="140"/>
      <c r="V627" s="140"/>
      <c r="W627" s="140"/>
      <c r="X627" s="140"/>
      <c r="Y627" s="140"/>
      <c r="Z627" s="140"/>
      <c r="AA627" s="141"/>
      <c r="AE627" s="140"/>
      <c r="AI627" s="141"/>
      <c r="AM627" s="141"/>
      <c r="AQ627" s="141"/>
      <c r="AT627" s="140"/>
      <c r="AU627" s="140"/>
    </row>
    <row r="628" spans="2:47" s="134" customFormat="1" x14ac:dyDescent="0.2">
      <c r="B628" s="145"/>
      <c r="D628" s="679"/>
      <c r="J628" s="140"/>
      <c r="K628" s="140"/>
      <c r="L628" s="140"/>
      <c r="M628" s="140"/>
      <c r="N628" s="140"/>
      <c r="O628" s="140"/>
      <c r="P628" s="140"/>
      <c r="Q628" s="140"/>
      <c r="R628" s="140"/>
      <c r="S628" s="140"/>
      <c r="T628" s="140"/>
      <c r="U628" s="140"/>
      <c r="V628" s="140"/>
      <c r="W628" s="140"/>
      <c r="X628" s="140"/>
      <c r="Y628" s="140"/>
      <c r="Z628" s="140"/>
      <c r="AA628" s="141"/>
      <c r="AE628" s="140"/>
      <c r="AI628" s="141"/>
      <c r="AM628" s="141"/>
      <c r="AQ628" s="141"/>
      <c r="AT628" s="140"/>
      <c r="AU628" s="140"/>
    </row>
    <row r="629" spans="2:47" s="134" customFormat="1" x14ac:dyDescent="0.2">
      <c r="B629" s="145"/>
      <c r="D629" s="679"/>
      <c r="J629" s="140"/>
      <c r="K629" s="140"/>
      <c r="L629" s="140"/>
      <c r="M629" s="140"/>
      <c r="N629" s="140"/>
      <c r="O629" s="140"/>
      <c r="P629" s="140"/>
      <c r="Q629" s="140"/>
      <c r="R629" s="140"/>
      <c r="S629" s="140"/>
      <c r="T629" s="140"/>
      <c r="U629" s="140"/>
      <c r="V629" s="140"/>
      <c r="W629" s="140"/>
      <c r="X629" s="140"/>
      <c r="Y629" s="140"/>
      <c r="Z629" s="140"/>
      <c r="AA629" s="141"/>
      <c r="AE629" s="140"/>
      <c r="AI629" s="141"/>
      <c r="AM629" s="141"/>
      <c r="AQ629" s="141"/>
      <c r="AT629" s="140"/>
      <c r="AU629" s="140"/>
    </row>
    <row r="630" spans="2:47" s="134" customFormat="1" x14ac:dyDescent="0.2">
      <c r="B630" s="145"/>
      <c r="D630" s="679"/>
      <c r="J630" s="140"/>
      <c r="K630" s="140"/>
      <c r="L630" s="140"/>
      <c r="M630" s="140"/>
      <c r="N630" s="140"/>
      <c r="O630" s="140"/>
      <c r="P630" s="140"/>
      <c r="Q630" s="140"/>
      <c r="R630" s="140"/>
      <c r="S630" s="140"/>
      <c r="T630" s="140"/>
      <c r="U630" s="140"/>
      <c r="V630" s="140"/>
      <c r="W630" s="140"/>
      <c r="X630" s="140"/>
      <c r="Y630" s="140"/>
      <c r="Z630" s="140"/>
      <c r="AA630" s="141"/>
      <c r="AE630" s="140"/>
      <c r="AI630" s="141"/>
      <c r="AM630" s="141"/>
      <c r="AQ630" s="141"/>
      <c r="AT630" s="140"/>
      <c r="AU630" s="140"/>
    </row>
    <row r="631" spans="2:47" s="134" customFormat="1" x14ac:dyDescent="0.2">
      <c r="B631" s="145"/>
      <c r="D631" s="679"/>
      <c r="J631" s="140"/>
      <c r="K631" s="140"/>
      <c r="L631" s="140"/>
      <c r="M631" s="140"/>
      <c r="N631" s="140"/>
      <c r="O631" s="140"/>
      <c r="P631" s="140"/>
      <c r="Q631" s="140"/>
      <c r="R631" s="140"/>
      <c r="S631" s="140"/>
      <c r="T631" s="140"/>
      <c r="U631" s="140"/>
      <c r="V631" s="140"/>
      <c r="W631" s="140"/>
      <c r="X631" s="140"/>
      <c r="Y631" s="140"/>
      <c r="Z631" s="140"/>
      <c r="AA631" s="141"/>
      <c r="AE631" s="140"/>
      <c r="AI631" s="141"/>
      <c r="AM631" s="141"/>
      <c r="AQ631" s="141"/>
      <c r="AT631" s="140"/>
      <c r="AU631" s="140"/>
    </row>
    <row r="632" spans="2:47" s="134" customFormat="1" x14ac:dyDescent="0.2">
      <c r="B632" s="145"/>
      <c r="D632" s="679"/>
      <c r="J632" s="140"/>
      <c r="K632" s="140"/>
      <c r="L632" s="140"/>
      <c r="M632" s="140"/>
      <c r="N632" s="140"/>
      <c r="O632" s="140"/>
      <c r="P632" s="140"/>
      <c r="Q632" s="140"/>
      <c r="R632" s="140"/>
      <c r="S632" s="140"/>
      <c r="T632" s="140"/>
      <c r="U632" s="140"/>
      <c r="V632" s="140"/>
      <c r="W632" s="140"/>
      <c r="X632" s="140"/>
      <c r="Y632" s="140"/>
      <c r="Z632" s="140"/>
      <c r="AA632" s="141"/>
      <c r="AE632" s="140"/>
      <c r="AI632" s="141"/>
      <c r="AM632" s="141"/>
      <c r="AQ632" s="141"/>
      <c r="AT632" s="140"/>
      <c r="AU632" s="140"/>
    </row>
    <row r="633" spans="2:47" s="134" customFormat="1" x14ac:dyDescent="0.2">
      <c r="B633" s="145"/>
      <c r="D633" s="679"/>
      <c r="J633" s="140"/>
      <c r="K633" s="140"/>
      <c r="L633" s="140"/>
      <c r="M633" s="140"/>
      <c r="N633" s="140"/>
      <c r="O633" s="140"/>
      <c r="P633" s="140"/>
      <c r="Q633" s="140"/>
      <c r="R633" s="140"/>
      <c r="S633" s="140"/>
      <c r="T633" s="140"/>
      <c r="U633" s="140"/>
      <c r="V633" s="140"/>
      <c r="W633" s="140"/>
      <c r="X633" s="140"/>
      <c r="Y633" s="140"/>
      <c r="Z633" s="140"/>
      <c r="AA633" s="141"/>
      <c r="AE633" s="140"/>
      <c r="AI633" s="141"/>
      <c r="AM633" s="141"/>
      <c r="AQ633" s="141"/>
      <c r="AT633" s="140"/>
      <c r="AU633" s="140"/>
    </row>
    <row r="634" spans="2:47" s="134" customFormat="1" x14ac:dyDescent="0.2">
      <c r="B634" s="145"/>
      <c r="D634" s="679"/>
      <c r="J634" s="140"/>
      <c r="K634" s="140"/>
      <c r="L634" s="140"/>
      <c r="M634" s="140"/>
      <c r="N634" s="140"/>
      <c r="O634" s="140"/>
      <c r="P634" s="140"/>
      <c r="Q634" s="140"/>
      <c r="R634" s="140"/>
      <c r="S634" s="140"/>
      <c r="T634" s="140"/>
      <c r="U634" s="140"/>
      <c r="V634" s="140"/>
      <c r="W634" s="140"/>
      <c r="X634" s="140"/>
      <c r="Y634" s="140"/>
      <c r="Z634" s="140"/>
      <c r="AA634" s="141"/>
      <c r="AE634" s="140"/>
      <c r="AI634" s="141"/>
      <c r="AM634" s="141"/>
      <c r="AQ634" s="141"/>
      <c r="AT634" s="140"/>
      <c r="AU634" s="140"/>
    </row>
    <row r="635" spans="2:47" s="134" customFormat="1" x14ac:dyDescent="0.2">
      <c r="B635" s="145"/>
      <c r="D635" s="679"/>
      <c r="J635" s="140"/>
      <c r="K635" s="140"/>
      <c r="L635" s="140"/>
      <c r="M635" s="140"/>
      <c r="N635" s="140"/>
      <c r="O635" s="140"/>
      <c r="P635" s="140"/>
      <c r="Q635" s="140"/>
      <c r="R635" s="140"/>
      <c r="S635" s="140"/>
      <c r="T635" s="140"/>
      <c r="U635" s="140"/>
      <c r="V635" s="140"/>
      <c r="W635" s="140"/>
      <c r="X635" s="140"/>
      <c r="Y635" s="140"/>
      <c r="Z635" s="140"/>
      <c r="AA635" s="141"/>
      <c r="AE635" s="140"/>
      <c r="AI635" s="141"/>
      <c r="AM635" s="141"/>
      <c r="AQ635" s="141"/>
      <c r="AT635" s="140"/>
      <c r="AU635" s="140"/>
    </row>
    <row r="636" spans="2:47" s="134" customFormat="1" x14ac:dyDescent="0.2">
      <c r="B636" s="145"/>
      <c r="D636" s="679"/>
      <c r="J636" s="140"/>
      <c r="K636" s="140"/>
      <c r="L636" s="140"/>
      <c r="M636" s="140"/>
      <c r="N636" s="140"/>
      <c r="O636" s="140"/>
      <c r="P636" s="140"/>
      <c r="Q636" s="140"/>
      <c r="R636" s="140"/>
      <c r="S636" s="140"/>
      <c r="T636" s="140"/>
      <c r="U636" s="140"/>
      <c r="V636" s="140"/>
      <c r="W636" s="140"/>
      <c r="X636" s="140"/>
      <c r="Y636" s="140"/>
      <c r="Z636" s="140"/>
      <c r="AA636" s="141"/>
      <c r="AE636" s="140"/>
      <c r="AI636" s="141"/>
      <c r="AM636" s="141"/>
      <c r="AQ636" s="141"/>
      <c r="AT636" s="140"/>
      <c r="AU636" s="140"/>
    </row>
    <row r="637" spans="2:47" s="134" customFormat="1" x14ac:dyDescent="0.2">
      <c r="B637" s="145"/>
      <c r="D637" s="679"/>
      <c r="J637" s="140"/>
      <c r="K637" s="140"/>
      <c r="L637" s="140"/>
      <c r="M637" s="140"/>
      <c r="N637" s="140"/>
      <c r="O637" s="140"/>
      <c r="P637" s="140"/>
      <c r="Q637" s="140"/>
      <c r="R637" s="140"/>
      <c r="S637" s="140"/>
      <c r="T637" s="140"/>
      <c r="U637" s="140"/>
      <c r="V637" s="140"/>
      <c r="W637" s="140"/>
      <c r="X637" s="140"/>
      <c r="Y637" s="140"/>
      <c r="Z637" s="140"/>
      <c r="AA637" s="141"/>
      <c r="AE637" s="140"/>
      <c r="AI637" s="141"/>
      <c r="AM637" s="141"/>
      <c r="AQ637" s="141"/>
      <c r="AT637" s="140"/>
      <c r="AU637" s="140"/>
    </row>
    <row r="638" spans="2:47" s="134" customFormat="1" x14ac:dyDescent="0.2">
      <c r="B638" s="145"/>
      <c r="D638" s="679"/>
      <c r="J638" s="140"/>
      <c r="K638" s="140"/>
      <c r="L638" s="140"/>
      <c r="M638" s="140"/>
      <c r="N638" s="140"/>
      <c r="O638" s="140"/>
      <c r="P638" s="140"/>
      <c r="Q638" s="140"/>
      <c r="R638" s="140"/>
      <c r="S638" s="140"/>
      <c r="T638" s="140"/>
      <c r="U638" s="140"/>
      <c r="V638" s="140"/>
      <c r="W638" s="140"/>
      <c r="X638" s="140"/>
      <c r="Y638" s="140"/>
      <c r="Z638" s="140"/>
      <c r="AA638" s="141"/>
      <c r="AE638" s="140"/>
      <c r="AI638" s="141"/>
      <c r="AM638" s="141"/>
      <c r="AQ638" s="141"/>
      <c r="AT638" s="140"/>
      <c r="AU638" s="140"/>
    </row>
    <row r="639" spans="2:47" s="134" customFormat="1" x14ac:dyDescent="0.2">
      <c r="B639" s="145"/>
      <c r="D639" s="679"/>
      <c r="J639" s="140"/>
      <c r="K639" s="140"/>
      <c r="L639" s="140"/>
      <c r="M639" s="140"/>
      <c r="N639" s="140"/>
      <c r="O639" s="140"/>
      <c r="P639" s="140"/>
      <c r="Q639" s="140"/>
      <c r="R639" s="140"/>
      <c r="S639" s="140"/>
      <c r="T639" s="140"/>
      <c r="U639" s="140"/>
      <c r="V639" s="140"/>
      <c r="W639" s="140"/>
      <c r="X639" s="140"/>
      <c r="Y639" s="140"/>
      <c r="Z639" s="140"/>
      <c r="AA639" s="141"/>
      <c r="AE639" s="140"/>
      <c r="AI639" s="141"/>
      <c r="AM639" s="141"/>
      <c r="AQ639" s="141"/>
      <c r="AT639" s="140"/>
      <c r="AU639" s="140"/>
    </row>
    <row r="640" spans="2:47" s="134" customFormat="1" x14ac:dyDescent="0.2">
      <c r="B640" s="145"/>
      <c r="D640" s="679"/>
      <c r="J640" s="140"/>
      <c r="K640" s="140"/>
      <c r="L640" s="140"/>
      <c r="M640" s="140"/>
      <c r="N640" s="140"/>
      <c r="O640" s="140"/>
      <c r="P640" s="140"/>
      <c r="Q640" s="140"/>
      <c r="R640" s="140"/>
      <c r="S640" s="140"/>
      <c r="T640" s="140"/>
      <c r="U640" s="140"/>
      <c r="V640" s="140"/>
      <c r="W640" s="140"/>
      <c r="X640" s="140"/>
      <c r="Y640" s="140"/>
      <c r="Z640" s="140"/>
      <c r="AA640" s="141"/>
      <c r="AE640" s="140"/>
      <c r="AI640" s="141"/>
      <c r="AM640" s="141"/>
      <c r="AQ640" s="141"/>
      <c r="AT640" s="140"/>
      <c r="AU640" s="140"/>
    </row>
    <row r="641" spans="2:47" s="134" customFormat="1" x14ac:dyDescent="0.2">
      <c r="B641" s="145"/>
      <c r="D641" s="679"/>
      <c r="J641" s="140"/>
      <c r="K641" s="140"/>
      <c r="L641" s="140"/>
      <c r="M641" s="140"/>
      <c r="N641" s="140"/>
      <c r="O641" s="140"/>
      <c r="P641" s="140"/>
      <c r="Q641" s="140"/>
      <c r="R641" s="140"/>
      <c r="S641" s="140"/>
      <c r="T641" s="140"/>
      <c r="U641" s="140"/>
      <c r="V641" s="140"/>
      <c r="W641" s="140"/>
      <c r="X641" s="140"/>
      <c r="Y641" s="140"/>
      <c r="Z641" s="140"/>
      <c r="AA641" s="141"/>
      <c r="AE641" s="140"/>
      <c r="AI641" s="141"/>
      <c r="AM641" s="141"/>
      <c r="AQ641" s="141"/>
      <c r="AT641" s="140"/>
      <c r="AU641" s="140"/>
    </row>
    <row r="642" spans="2:47" s="134" customFormat="1" x14ac:dyDescent="0.2">
      <c r="B642" s="145"/>
      <c r="D642" s="679"/>
      <c r="J642" s="140"/>
      <c r="K642" s="140"/>
      <c r="L642" s="140"/>
      <c r="M642" s="140"/>
      <c r="N642" s="140"/>
      <c r="O642" s="140"/>
      <c r="P642" s="140"/>
      <c r="Q642" s="140"/>
      <c r="R642" s="140"/>
      <c r="S642" s="140"/>
      <c r="T642" s="140"/>
      <c r="U642" s="140"/>
      <c r="V642" s="140"/>
      <c r="W642" s="140"/>
      <c r="X642" s="140"/>
      <c r="Y642" s="140"/>
      <c r="Z642" s="140"/>
      <c r="AA642" s="141"/>
      <c r="AE642" s="140"/>
      <c r="AI642" s="141"/>
      <c r="AM642" s="141"/>
      <c r="AQ642" s="141"/>
      <c r="AT642" s="140"/>
      <c r="AU642" s="140"/>
    </row>
    <row r="643" spans="2:47" s="134" customFormat="1" x14ac:dyDescent="0.2">
      <c r="B643" s="145"/>
      <c r="D643" s="679"/>
      <c r="J643" s="140"/>
      <c r="K643" s="140"/>
      <c r="L643" s="140"/>
      <c r="M643" s="140"/>
      <c r="N643" s="140"/>
      <c r="O643" s="140"/>
      <c r="P643" s="140"/>
      <c r="Q643" s="140"/>
      <c r="R643" s="140"/>
      <c r="S643" s="140"/>
      <c r="T643" s="140"/>
      <c r="U643" s="140"/>
      <c r="V643" s="140"/>
      <c r="W643" s="140"/>
      <c r="X643" s="140"/>
      <c r="Y643" s="140"/>
      <c r="Z643" s="140"/>
      <c r="AA643" s="141"/>
      <c r="AE643" s="140"/>
      <c r="AI643" s="141"/>
      <c r="AM643" s="141"/>
      <c r="AQ643" s="141"/>
      <c r="AT643" s="140"/>
      <c r="AU643" s="140"/>
    </row>
    <row r="644" spans="2:47" s="134" customFormat="1" x14ac:dyDescent="0.2">
      <c r="B644" s="145"/>
      <c r="D644" s="679"/>
      <c r="J644" s="140"/>
      <c r="K644" s="140"/>
      <c r="L644" s="140"/>
      <c r="M644" s="140"/>
      <c r="N644" s="140"/>
      <c r="O644" s="140"/>
      <c r="P644" s="140"/>
      <c r="Q644" s="140"/>
      <c r="R644" s="140"/>
      <c r="S644" s="140"/>
      <c r="T644" s="140"/>
      <c r="U644" s="140"/>
      <c r="V644" s="140"/>
      <c r="W644" s="140"/>
      <c r="X644" s="140"/>
      <c r="Y644" s="140"/>
      <c r="Z644" s="140"/>
      <c r="AA644" s="141"/>
      <c r="AE644" s="140"/>
      <c r="AI644" s="141"/>
      <c r="AM644" s="141"/>
      <c r="AQ644" s="141"/>
      <c r="AT644" s="140"/>
      <c r="AU644" s="140"/>
    </row>
    <row r="645" spans="2:47" s="134" customFormat="1" x14ac:dyDescent="0.2">
      <c r="B645" s="145"/>
      <c r="D645" s="679"/>
      <c r="J645" s="140"/>
      <c r="K645" s="140"/>
      <c r="L645" s="140"/>
      <c r="M645" s="140"/>
      <c r="N645" s="140"/>
      <c r="O645" s="140"/>
      <c r="P645" s="140"/>
      <c r="Q645" s="140"/>
      <c r="R645" s="140"/>
      <c r="S645" s="140"/>
      <c r="T645" s="140"/>
      <c r="U645" s="140"/>
      <c r="V645" s="140"/>
      <c r="W645" s="140"/>
      <c r="X645" s="140"/>
      <c r="Y645" s="140"/>
      <c r="Z645" s="140"/>
      <c r="AA645" s="141"/>
      <c r="AE645" s="140"/>
      <c r="AI645" s="141"/>
      <c r="AM645" s="141"/>
      <c r="AQ645" s="141"/>
      <c r="AT645" s="140"/>
      <c r="AU645" s="140"/>
    </row>
    <row r="646" spans="2:47" s="134" customFormat="1" x14ac:dyDescent="0.2">
      <c r="B646" s="145"/>
      <c r="D646" s="679"/>
      <c r="J646" s="140"/>
      <c r="K646" s="140"/>
      <c r="L646" s="140"/>
      <c r="M646" s="140"/>
      <c r="N646" s="140"/>
      <c r="O646" s="140"/>
      <c r="P646" s="140"/>
      <c r="Q646" s="140"/>
      <c r="R646" s="140"/>
      <c r="S646" s="140"/>
      <c r="T646" s="140"/>
      <c r="U646" s="140"/>
      <c r="V646" s="140"/>
      <c r="W646" s="140"/>
      <c r="X646" s="140"/>
      <c r="Y646" s="140"/>
      <c r="Z646" s="140"/>
      <c r="AA646" s="141"/>
      <c r="AE646" s="140"/>
      <c r="AI646" s="141"/>
      <c r="AM646" s="141"/>
      <c r="AQ646" s="141"/>
      <c r="AT646" s="140"/>
      <c r="AU646" s="140"/>
    </row>
    <row r="647" spans="2:47" s="134" customFormat="1" x14ac:dyDescent="0.2">
      <c r="B647" s="145"/>
      <c r="D647" s="679"/>
      <c r="J647" s="140"/>
      <c r="K647" s="140"/>
      <c r="L647" s="140"/>
      <c r="M647" s="140"/>
      <c r="N647" s="140"/>
      <c r="O647" s="140"/>
      <c r="P647" s="140"/>
      <c r="Q647" s="140"/>
      <c r="R647" s="140"/>
      <c r="S647" s="140"/>
      <c r="T647" s="140"/>
      <c r="U647" s="140"/>
      <c r="V647" s="140"/>
      <c r="W647" s="140"/>
      <c r="X647" s="140"/>
      <c r="Y647" s="140"/>
      <c r="Z647" s="140"/>
      <c r="AA647" s="141"/>
      <c r="AE647" s="140"/>
      <c r="AI647" s="141"/>
      <c r="AM647" s="141"/>
      <c r="AQ647" s="141"/>
      <c r="AT647" s="140"/>
      <c r="AU647" s="140"/>
    </row>
    <row r="648" spans="2:47" s="134" customFormat="1" x14ac:dyDescent="0.2">
      <c r="B648" s="145"/>
      <c r="D648" s="679"/>
      <c r="J648" s="140"/>
      <c r="K648" s="140"/>
      <c r="L648" s="140"/>
      <c r="M648" s="140"/>
      <c r="N648" s="140"/>
      <c r="O648" s="140"/>
      <c r="P648" s="140"/>
      <c r="Q648" s="140"/>
      <c r="R648" s="140"/>
      <c r="S648" s="140"/>
      <c r="T648" s="140"/>
      <c r="U648" s="140"/>
      <c r="V648" s="140"/>
      <c r="W648" s="140"/>
      <c r="X648" s="140"/>
      <c r="Y648" s="140"/>
      <c r="Z648" s="140"/>
      <c r="AA648" s="141"/>
      <c r="AE648" s="140"/>
      <c r="AI648" s="141"/>
      <c r="AM648" s="141"/>
      <c r="AQ648" s="141"/>
      <c r="AT648" s="140"/>
      <c r="AU648" s="140"/>
    </row>
    <row r="649" spans="2:47" s="134" customFormat="1" x14ac:dyDescent="0.2">
      <c r="B649" s="145"/>
      <c r="D649" s="679"/>
      <c r="J649" s="140"/>
      <c r="K649" s="140"/>
      <c r="L649" s="140"/>
      <c r="M649" s="140"/>
      <c r="N649" s="140"/>
      <c r="O649" s="140"/>
      <c r="P649" s="140"/>
      <c r="Q649" s="140"/>
      <c r="R649" s="140"/>
      <c r="S649" s="140"/>
      <c r="T649" s="140"/>
      <c r="U649" s="140"/>
      <c r="V649" s="140"/>
      <c r="W649" s="140"/>
      <c r="X649" s="140"/>
      <c r="Y649" s="140"/>
      <c r="Z649" s="140"/>
      <c r="AA649" s="141"/>
      <c r="AE649" s="140"/>
      <c r="AI649" s="141"/>
      <c r="AM649" s="141"/>
      <c r="AQ649" s="141"/>
      <c r="AT649" s="140"/>
      <c r="AU649" s="140"/>
    </row>
    <row r="650" spans="2:47" s="134" customFormat="1" x14ac:dyDescent="0.2">
      <c r="B650" s="145"/>
      <c r="D650" s="679"/>
      <c r="J650" s="140"/>
      <c r="K650" s="140"/>
      <c r="L650" s="140"/>
      <c r="M650" s="140"/>
      <c r="N650" s="140"/>
      <c r="O650" s="140"/>
      <c r="P650" s="140"/>
      <c r="Q650" s="140"/>
      <c r="R650" s="140"/>
      <c r="S650" s="140"/>
      <c r="T650" s="140"/>
      <c r="U650" s="140"/>
      <c r="V650" s="140"/>
      <c r="W650" s="140"/>
      <c r="X650" s="140"/>
      <c r="Y650" s="140"/>
      <c r="Z650" s="140"/>
      <c r="AA650" s="141"/>
      <c r="AE650" s="140"/>
      <c r="AI650" s="141"/>
      <c r="AM650" s="141"/>
      <c r="AQ650" s="141"/>
      <c r="AT650" s="140"/>
      <c r="AU650" s="140"/>
    </row>
    <row r="651" spans="2:47" s="134" customFormat="1" x14ac:dyDescent="0.2">
      <c r="B651" s="145"/>
      <c r="D651" s="679"/>
      <c r="J651" s="140"/>
      <c r="K651" s="140"/>
      <c r="L651" s="140"/>
      <c r="M651" s="140"/>
      <c r="N651" s="140"/>
      <c r="O651" s="140"/>
      <c r="P651" s="140"/>
      <c r="Q651" s="140"/>
      <c r="R651" s="140"/>
      <c r="S651" s="140"/>
      <c r="T651" s="140"/>
      <c r="U651" s="140"/>
      <c r="V651" s="140"/>
      <c r="W651" s="140"/>
      <c r="X651" s="140"/>
      <c r="Y651" s="140"/>
      <c r="Z651" s="140"/>
      <c r="AA651" s="141"/>
      <c r="AE651" s="140"/>
      <c r="AI651" s="141"/>
      <c r="AM651" s="141"/>
      <c r="AQ651" s="141"/>
      <c r="AT651" s="140"/>
      <c r="AU651" s="140"/>
    </row>
    <row r="652" spans="2:47" s="134" customFormat="1" x14ac:dyDescent="0.2">
      <c r="B652" s="145"/>
      <c r="D652" s="679"/>
      <c r="J652" s="140"/>
      <c r="K652" s="140"/>
      <c r="L652" s="140"/>
      <c r="M652" s="140"/>
      <c r="N652" s="140"/>
      <c r="O652" s="140"/>
      <c r="P652" s="140"/>
      <c r="Q652" s="140"/>
      <c r="R652" s="140"/>
      <c r="S652" s="140"/>
      <c r="T652" s="140"/>
      <c r="U652" s="140"/>
      <c r="V652" s="140"/>
      <c r="W652" s="140"/>
      <c r="X652" s="140"/>
      <c r="Y652" s="140"/>
      <c r="Z652" s="140"/>
      <c r="AA652" s="141"/>
      <c r="AE652" s="140"/>
      <c r="AI652" s="141"/>
      <c r="AM652" s="141"/>
      <c r="AQ652" s="141"/>
      <c r="AT652" s="140"/>
      <c r="AU652" s="140"/>
    </row>
    <row r="653" spans="2:47" s="134" customFormat="1" x14ac:dyDescent="0.2">
      <c r="B653" s="145"/>
      <c r="D653" s="679"/>
      <c r="J653" s="140"/>
      <c r="K653" s="140"/>
      <c r="L653" s="140"/>
      <c r="M653" s="140"/>
      <c r="N653" s="140"/>
      <c r="O653" s="140"/>
      <c r="P653" s="140"/>
      <c r="Q653" s="140"/>
      <c r="R653" s="140"/>
      <c r="S653" s="140"/>
      <c r="T653" s="140"/>
      <c r="U653" s="140"/>
      <c r="V653" s="140"/>
      <c r="W653" s="140"/>
      <c r="X653" s="140"/>
      <c r="Y653" s="140"/>
      <c r="Z653" s="140"/>
      <c r="AA653" s="141"/>
      <c r="AE653" s="140"/>
      <c r="AI653" s="141"/>
      <c r="AM653" s="141"/>
      <c r="AQ653" s="141"/>
      <c r="AT653" s="140"/>
      <c r="AU653" s="140"/>
    </row>
    <row r="654" spans="2:47" s="134" customFormat="1" x14ac:dyDescent="0.2">
      <c r="B654" s="145"/>
      <c r="D654" s="679"/>
      <c r="J654" s="140"/>
      <c r="K654" s="140"/>
      <c r="L654" s="140"/>
      <c r="M654" s="140"/>
      <c r="N654" s="140"/>
      <c r="O654" s="140"/>
      <c r="P654" s="140"/>
      <c r="Q654" s="140"/>
      <c r="R654" s="140"/>
      <c r="S654" s="140"/>
      <c r="T654" s="140"/>
      <c r="U654" s="140"/>
      <c r="V654" s="140"/>
      <c r="W654" s="140"/>
      <c r="X654" s="140"/>
      <c r="Y654" s="140"/>
      <c r="Z654" s="140"/>
      <c r="AA654" s="141"/>
      <c r="AE654" s="140"/>
      <c r="AI654" s="141"/>
      <c r="AM654" s="141"/>
      <c r="AQ654" s="141"/>
      <c r="AT654" s="140"/>
      <c r="AU654" s="140"/>
    </row>
    <row r="655" spans="2:47" s="134" customFormat="1" x14ac:dyDescent="0.2">
      <c r="B655" s="145"/>
      <c r="D655" s="679"/>
      <c r="J655" s="140"/>
      <c r="K655" s="140"/>
      <c r="L655" s="140"/>
      <c r="M655" s="140"/>
      <c r="N655" s="140"/>
      <c r="O655" s="140"/>
      <c r="P655" s="140"/>
      <c r="Q655" s="140"/>
      <c r="R655" s="140"/>
      <c r="S655" s="140"/>
      <c r="T655" s="140"/>
      <c r="U655" s="140"/>
      <c r="V655" s="140"/>
      <c r="W655" s="140"/>
      <c r="X655" s="140"/>
      <c r="Y655" s="140"/>
      <c r="Z655" s="140"/>
      <c r="AA655" s="141"/>
      <c r="AE655" s="140"/>
      <c r="AI655" s="141"/>
      <c r="AM655" s="141"/>
      <c r="AQ655" s="141"/>
      <c r="AT655" s="140"/>
      <c r="AU655" s="140"/>
    </row>
    <row r="656" spans="2:47" s="134" customFormat="1" x14ac:dyDescent="0.2">
      <c r="B656" s="145"/>
      <c r="D656" s="679"/>
      <c r="J656" s="140"/>
      <c r="K656" s="140"/>
      <c r="L656" s="140"/>
      <c r="M656" s="140"/>
      <c r="N656" s="140"/>
      <c r="O656" s="140"/>
      <c r="P656" s="140"/>
      <c r="Q656" s="140"/>
      <c r="R656" s="140"/>
      <c r="S656" s="140"/>
      <c r="T656" s="140"/>
      <c r="U656" s="140"/>
      <c r="V656" s="140"/>
      <c r="W656" s="140"/>
      <c r="X656" s="140"/>
      <c r="Y656" s="140"/>
      <c r="Z656" s="140"/>
      <c r="AA656" s="141"/>
      <c r="AE656" s="140"/>
      <c r="AI656" s="141"/>
      <c r="AM656" s="141"/>
      <c r="AQ656" s="141"/>
      <c r="AT656" s="140"/>
      <c r="AU656" s="140"/>
    </row>
    <row r="657" spans="2:47" s="134" customFormat="1" x14ac:dyDescent="0.2">
      <c r="B657" s="145"/>
      <c r="D657" s="679"/>
      <c r="J657" s="140"/>
      <c r="K657" s="140"/>
      <c r="L657" s="140"/>
      <c r="M657" s="140"/>
      <c r="N657" s="140"/>
      <c r="O657" s="140"/>
      <c r="P657" s="140"/>
      <c r="Q657" s="140"/>
      <c r="R657" s="140"/>
      <c r="S657" s="140"/>
      <c r="T657" s="140"/>
      <c r="U657" s="140"/>
      <c r="V657" s="140"/>
      <c r="W657" s="140"/>
      <c r="X657" s="140"/>
      <c r="Y657" s="140"/>
      <c r="Z657" s="140"/>
      <c r="AA657" s="141"/>
      <c r="AE657" s="140"/>
      <c r="AI657" s="141"/>
      <c r="AM657" s="141"/>
      <c r="AQ657" s="141"/>
      <c r="AT657" s="140"/>
      <c r="AU657" s="140"/>
    </row>
    <row r="658" spans="2:47" s="134" customFormat="1" x14ac:dyDescent="0.2">
      <c r="B658" s="145"/>
      <c r="D658" s="679"/>
      <c r="J658" s="140"/>
      <c r="K658" s="140"/>
      <c r="L658" s="140"/>
      <c r="M658" s="140"/>
      <c r="N658" s="140"/>
      <c r="O658" s="140"/>
      <c r="P658" s="140"/>
      <c r="Q658" s="140"/>
      <c r="R658" s="140"/>
      <c r="S658" s="140"/>
      <c r="T658" s="140"/>
      <c r="U658" s="140"/>
      <c r="V658" s="140"/>
      <c r="W658" s="140"/>
      <c r="X658" s="140"/>
      <c r="Y658" s="140"/>
      <c r="Z658" s="140"/>
      <c r="AA658" s="141"/>
      <c r="AE658" s="140"/>
      <c r="AI658" s="141"/>
      <c r="AM658" s="141"/>
      <c r="AQ658" s="141"/>
      <c r="AT658" s="140"/>
      <c r="AU658" s="140"/>
    </row>
    <row r="659" spans="2:47" s="134" customFormat="1" x14ac:dyDescent="0.2">
      <c r="B659" s="145"/>
      <c r="D659" s="679"/>
      <c r="J659" s="140"/>
      <c r="K659" s="140"/>
      <c r="L659" s="140"/>
      <c r="M659" s="140"/>
      <c r="N659" s="140"/>
      <c r="O659" s="140"/>
      <c r="P659" s="140"/>
      <c r="Q659" s="140"/>
      <c r="R659" s="140"/>
      <c r="S659" s="140"/>
      <c r="T659" s="140"/>
      <c r="U659" s="140"/>
      <c r="V659" s="140"/>
      <c r="W659" s="140"/>
      <c r="X659" s="140"/>
      <c r="Y659" s="140"/>
      <c r="Z659" s="140"/>
      <c r="AA659" s="141"/>
      <c r="AE659" s="140"/>
      <c r="AI659" s="141"/>
      <c r="AM659" s="141"/>
      <c r="AQ659" s="141"/>
      <c r="AT659" s="140"/>
      <c r="AU659" s="140"/>
    </row>
    <row r="660" spans="2:47" s="134" customFormat="1" x14ac:dyDescent="0.2">
      <c r="B660" s="145"/>
      <c r="D660" s="679"/>
      <c r="J660" s="140"/>
      <c r="K660" s="140"/>
      <c r="L660" s="140"/>
      <c r="M660" s="140"/>
      <c r="N660" s="140"/>
      <c r="O660" s="140"/>
      <c r="P660" s="140"/>
      <c r="Q660" s="140"/>
      <c r="R660" s="140"/>
      <c r="S660" s="140"/>
      <c r="T660" s="140"/>
      <c r="U660" s="140"/>
      <c r="V660" s="140"/>
      <c r="W660" s="140"/>
      <c r="X660" s="140"/>
      <c r="Y660" s="140"/>
      <c r="Z660" s="140"/>
      <c r="AA660" s="141"/>
      <c r="AE660" s="140"/>
      <c r="AI660" s="141"/>
      <c r="AM660" s="141"/>
      <c r="AQ660" s="141"/>
      <c r="AT660" s="140"/>
      <c r="AU660" s="140"/>
    </row>
    <row r="661" spans="2:47" s="134" customFormat="1" x14ac:dyDescent="0.2">
      <c r="B661" s="145"/>
      <c r="D661" s="679"/>
      <c r="J661" s="140"/>
      <c r="K661" s="140"/>
      <c r="L661" s="140"/>
      <c r="M661" s="140"/>
      <c r="N661" s="140"/>
      <c r="O661" s="140"/>
      <c r="P661" s="140"/>
      <c r="Q661" s="140"/>
      <c r="R661" s="140"/>
      <c r="S661" s="140"/>
      <c r="T661" s="140"/>
      <c r="U661" s="140"/>
      <c r="V661" s="140"/>
      <c r="W661" s="140"/>
      <c r="X661" s="140"/>
      <c r="Y661" s="140"/>
      <c r="Z661" s="140"/>
      <c r="AA661" s="141"/>
      <c r="AE661" s="140"/>
      <c r="AI661" s="141"/>
      <c r="AM661" s="141"/>
      <c r="AQ661" s="141"/>
      <c r="AT661" s="140"/>
      <c r="AU661" s="140"/>
    </row>
    <row r="662" spans="2:47" s="134" customFormat="1" x14ac:dyDescent="0.2">
      <c r="B662" s="145"/>
      <c r="D662" s="679"/>
      <c r="J662" s="140"/>
      <c r="K662" s="140"/>
      <c r="L662" s="140"/>
      <c r="M662" s="140"/>
      <c r="N662" s="140"/>
      <c r="O662" s="140"/>
      <c r="P662" s="140"/>
      <c r="Q662" s="140"/>
      <c r="R662" s="140"/>
      <c r="S662" s="140"/>
      <c r="T662" s="140"/>
      <c r="U662" s="140"/>
      <c r="V662" s="140"/>
      <c r="W662" s="140"/>
      <c r="X662" s="140"/>
      <c r="Y662" s="140"/>
      <c r="Z662" s="140"/>
      <c r="AA662" s="141"/>
      <c r="AE662" s="140"/>
      <c r="AI662" s="141"/>
      <c r="AM662" s="141"/>
      <c r="AQ662" s="141"/>
      <c r="AT662" s="140"/>
      <c r="AU662" s="140"/>
    </row>
    <row r="663" spans="2:47" s="134" customFormat="1" x14ac:dyDescent="0.2">
      <c r="B663" s="145"/>
      <c r="D663" s="679"/>
      <c r="J663" s="140"/>
      <c r="K663" s="140"/>
      <c r="L663" s="140"/>
      <c r="M663" s="140"/>
      <c r="N663" s="140"/>
      <c r="O663" s="140"/>
      <c r="P663" s="140"/>
      <c r="Q663" s="140"/>
      <c r="R663" s="140"/>
      <c r="S663" s="140"/>
      <c r="T663" s="140"/>
      <c r="U663" s="140"/>
      <c r="V663" s="140"/>
      <c r="W663" s="140"/>
      <c r="X663" s="140"/>
      <c r="Y663" s="140"/>
      <c r="Z663" s="140"/>
      <c r="AA663" s="141"/>
      <c r="AE663" s="140"/>
      <c r="AI663" s="141"/>
      <c r="AM663" s="141"/>
      <c r="AQ663" s="141"/>
      <c r="AT663" s="140"/>
      <c r="AU663" s="140"/>
    </row>
    <row r="664" spans="2:47" s="134" customFormat="1" x14ac:dyDescent="0.2">
      <c r="B664" s="145"/>
      <c r="D664" s="679"/>
      <c r="J664" s="140"/>
      <c r="K664" s="140"/>
      <c r="L664" s="140"/>
      <c r="M664" s="140"/>
      <c r="N664" s="140"/>
      <c r="O664" s="140"/>
      <c r="P664" s="140"/>
      <c r="Q664" s="140"/>
      <c r="R664" s="140"/>
      <c r="S664" s="140"/>
      <c r="T664" s="140"/>
      <c r="U664" s="140"/>
      <c r="V664" s="140"/>
      <c r="W664" s="140"/>
      <c r="X664" s="140"/>
      <c r="Y664" s="140"/>
      <c r="Z664" s="140"/>
      <c r="AA664" s="141"/>
      <c r="AE664" s="140"/>
      <c r="AI664" s="141"/>
      <c r="AM664" s="141"/>
      <c r="AQ664" s="141"/>
      <c r="AT664" s="140"/>
      <c r="AU664" s="140"/>
    </row>
    <row r="665" spans="2:47" s="134" customFormat="1" x14ac:dyDescent="0.2">
      <c r="B665" s="145"/>
      <c r="D665" s="679"/>
      <c r="J665" s="140"/>
      <c r="K665" s="140"/>
      <c r="L665" s="140"/>
      <c r="M665" s="140"/>
      <c r="N665" s="140"/>
      <c r="O665" s="140"/>
      <c r="P665" s="140"/>
      <c r="Q665" s="140"/>
      <c r="R665" s="140"/>
      <c r="S665" s="140"/>
      <c r="T665" s="140"/>
      <c r="U665" s="140"/>
      <c r="V665" s="140"/>
      <c r="W665" s="140"/>
      <c r="X665" s="140"/>
      <c r="Y665" s="140"/>
      <c r="Z665" s="140"/>
      <c r="AA665" s="141"/>
      <c r="AE665" s="140"/>
      <c r="AI665" s="141"/>
      <c r="AM665" s="141"/>
      <c r="AQ665" s="141"/>
      <c r="AT665" s="140"/>
      <c r="AU665" s="140"/>
    </row>
    <row r="666" spans="2:47" s="134" customFormat="1" x14ac:dyDescent="0.2">
      <c r="B666" s="145"/>
      <c r="D666" s="679"/>
      <c r="J666" s="140"/>
      <c r="K666" s="140"/>
      <c r="L666" s="140"/>
      <c r="M666" s="140"/>
      <c r="N666" s="140"/>
      <c r="O666" s="140"/>
      <c r="P666" s="140"/>
      <c r="Q666" s="140"/>
      <c r="R666" s="140"/>
      <c r="S666" s="140"/>
      <c r="T666" s="140"/>
      <c r="U666" s="140"/>
      <c r="V666" s="140"/>
      <c r="W666" s="140"/>
      <c r="X666" s="140"/>
      <c r="Y666" s="140"/>
      <c r="Z666" s="140"/>
      <c r="AA666" s="141"/>
      <c r="AE666" s="140"/>
      <c r="AI666" s="141"/>
      <c r="AM666" s="141"/>
      <c r="AQ666" s="141"/>
      <c r="AT666" s="140"/>
      <c r="AU666" s="140"/>
    </row>
    <row r="667" spans="2:47" s="134" customFormat="1" x14ac:dyDescent="0.2">
      <c r="B667" s="145"/>
      <c r="D667" s="679"/>
      <c r="J667" s="140"/>
      <c r="K667" s="140"/>
      <c r="L667" s="140"/>
      <c r="M667" s="140"/>
      <c r="N667" s="140"/>
      <c r="O667" s="140"/>
      <c r="P667" s="140"/>
      <c r="Q667" s="140"/>
      <c r="R667" s="140"/>
      <c r="S667" s="140"/>
      <c r="T667" s="140"/>
      <c r="U667" s="140"/>
      <c r="V667" s="140"/>
      <c r="W667" s="140"/>
      <c r="X667" s="140"/>
      <c r="Y667" s="140"/>
      <c r="Z667" s="140"/>
      <c r="AA667" s="141"/>
      <c r="AE667" s="140"/>
      <c r="AI667" s="141"/>
      <c r="AM667" s="141"/>
      <c r="AQ667" s="141"/>
      <c r="AT667" s="140"/>
      <c r="AU667" s="140"/>
    </row>
    <row r="668" spans="2:47" s="134" customFormat="1" x14ac:dyDescent="0.2">
      <c r="B668" s="145"/>
      <c r="D668" s="679"/>
      <c r="J668" s="140"/>
      <c r="K668" s="140"/>
      <c r="L668" s="140"/>
      <c r="M668" s="140"/>
      <c r="N668" s="140"/>
      <c r="O668" s="140"/>
      <c r="P668" s="140"/>
      <c r="Q668" s="140"/>
      <c r="R668" s="140"/>
      <c r="S668" s="140"/>
      <c r="T668" s="140"/>
      <c r="U668" s="140"/>
      <c r="V668" s="140"/>
      <c r="W668" s="140"/>
      <c r="X668" s="140"/>
      <c r="Y668" s="140"/>
      <c r="Z668" s="140"/>
      <c r="AA668" s="141"/>
      <c r="AE668" s="140"/>
      <c r="AI668" s="141"/>
      <c r="AM668" s="141"/>
      <c r="AQ668" s="141"/>
      <c r="AT668" s="140"/>
      <c r="AU668" s="140"/>
    </row>
    <row r="669" spans="2:47" s="134" customFormat="1" x14ac:dyDescent="0.2">
      <c r="B669" s="145"/>
      <c r="D669" s="679"/>
      <c r="J669" s="140"/>
      <c r="K669" s="140"/>
      <c r="L669" s="140"/>
      <c r="M669" s="140"/>
      <c r="N669" s="140"/>
      <c r="O669" s="140"/>
      <c r="P669" s="140"/>
      <c r="Q669" s="140"/>
      <c r="R669" s="140"/>
      <c r="S669" s="140"/>
      <c r="T669" s="140"/>
      <c r="U669" s="140"/>
      <c r="V669" s="140"/>
      <c r="W669" s="140"/>
      <c r="X669" s="140"/>
      <c r="Y669" s="140"/>
      <c r="Z669" s="140"/>
      <c r="AA669" s="141"/>
      <c r="AE669" s="140"/>
      <c r="AI669" s="141"/>
      <c r="AM669" s="141"/>
      <c r="AQ669" s="141"/>
      <c r="AT669" s="140"/>
      <c r="AU669" s="140"/>
    </row>
    <row r="670" spans="2:47" s="134" customFormat="1" x14ac:dyDescent="0.2">
      <c r="B670" s="145"/>
      <c r="D670" s="679"/>
      <c r="J670" s="140"/>
      <c r="K670" s="140"/>
      <c r="L670" s="140"/>
      <c r="M670" s="140"/>
      <c r="N670" s="140"/>
      <c r="O670" s="140"/>
      <c r="P670" s="140"/>
      <c r="Q670" s="140"/>
      <c r="R670" s="140"/>
      <c r="S670" s="140"/>
      <c r="T670" s="140"/>
      <c r="U670" s="140"/>
      <c r="V670" s="140"/>
      <c r="W670" s="140"/>
      <c r="X670" s="140"/>
      <c r="Y670" s="140"/>
      <c r="Z670" s="140"/>
      <c r="AA670" s="141"/>
      <c r="AE670" s="140"/>
      <c r="AI670" s="141"/>
      <c r="AM670" s="141"/>
      <c r="AQ670" s="141"/>
      <c r="AT670" s="140"/>
      <c r="AU670" s="140"/>
    </row>
    <row r="671" spans="2:47" s="134" customFormat="1" x14ac:dyDescent="0.2">
      <c r="B671" s="145"/>
      <c r="D671" s="679"/>
      <c r="J671" s="140"/>
      <c r="K671" s="140"/>
      <c r="L671" s="140"/>
      <c r="M671" s="140"/>
      <c r="N671" s="140"/>
      <c r="O671" s="140"/>
      <c r="P671" s="140"/>
      <c r="Q671" s="140"/>
      <c r="R671" s="140"/>
      <c r="S671" s="140"/>
      <c r="T671" s="140"/>
      <c r="U671" s="140"/>
      <c r="V671" s="140"/>
      <c r="W671" s="140"/>
      <c r="X671" s="140"/>
      <c r="Y671" s="140"/>
      <c r="Z671" s="140"/>
      <c r="AA671" s="141"/>
      <c r="AE671" s="140"/>
      <c r="AI671" s="141"/>
      <c r="AM671" s="141"/>
      <c r="AQ671" s="141"/>
      <c r="AT671" s="140"/>
      <c r="AU671" s="140"/>
    </row>
    <row r="672" spans="2:47" s="134" customFormat="1" x14ac:dyDescent="0.2">
      <c r="B672" s="145"/>
      <c r="D672" s="679"/>
      <c r="J672" s="140"/>
      <c r="K672" s="140"/>
      <c r="L672" s="140"/>
      <c r="M672" s="140"/>
      <c r="N672" s="140"/>
      <c r="O672" s="140"/>
      <c r="P672" s="140"/>
      <c r="Q672" s="140"/>
      <c r="R672" s="140"/>
      <c r="S672" s="140"/>
      <c r="T672" s="140"/>
      <c r="U672" s="140"/>
      <c r="V672" s="140"/>
      <c r="W672" s="140"/>
      <c r="X672" s="140"/>
      <c r="Y672" s="140"/>
      <c r="Z672" s="140"/>
      <c r="AA672" s="141"/>
      <c r="AE672" s="140"/>
      <c r="AI672" s="141"/>
      <c r="AM672" s="141"/>
      <c r="AQ672" s="141"/>
      <c r="AT672" s="140"/>
      <c r="AU672" s="140"/>
    </row>
    <row r="673" spans="2:47" s="134" customFormat="1" x14ac:dyDescent="0.2">
      <c r="B673" s="145"/>
      <c r="D673" s="679"/>
      <c r="J673" s="140"/>
      <c r="K673" s="140"/>
      <c r="L673" s="140"/>
      <c r="M673" s="140"/>
      <c r="N673" s="140"/>
      <c r="O673" s="140"/>
      <c r="P673" s="140"/>
      <c r="Q673" s="140"/>
      <c r="R673" s="140"/>
      <c r="S673" s="140"/>
      <c r="T673" s="140"/>
      <c r="U673" s="140"/>
      <c r="V673" s="140"/>
      <c r="W673" s="140"/>
      <c r="X673" s="140"/>
      <c r="Y673" s="140"/>
      <c r="Z673" s="140"/>
      <c r="AA673" s="141"/>
      <c r="AE673" s="140"/>
      <c r="AI673" s="141"/>
      <c r="AM673" s="141"/>
      <c r="AQ673" s="141"/>
      <c r="AT673" s="140"/>
      <c r="AU673" s="140"/>
    </row>
    <row r="674" spans="2:47" s="134" customFormat="1" x14ac:dyDescent="0.2">
      <c r="B674" s="145"/>
      <c r="D674" s="679"/>
      <c r="J674" s="140"/>
      <c r="K674" s="140"/>
      <c r="L674" s="140"/>
      <c r="M674" s="140"/>
      <c r="N674" s="140"/>
      <c r="O674" s="140"/>
      <c r="P674" s="140"/>
      <c r="Q674" s="140"/>
      <c r="R674" s="140"/>
      <c r="S674" s="140"/>
      <c r="T674" s="140"/>
      <c r="U674" s="140"/>
      <c r="V674" s="140"/>
      <c r="W674" s="140"/>
      <c r="X674" s="140"/>
      <c r="Y674" s="140"/>
      <c r="Z674" s="140"/>
      <c r="AA674" s="141"/>
      <c r="AE674" s="140"/>
      <c r="AI674" s="141"/>
      <c r="AM674" s="141"/>
      <c r="AQ674" s="141"/>
      <c r="AT674" s="140"/>
      <c r="AU674" s="140"/>
    </row>
    <row r="675" spans="2:47" s="134" customFormat="1" x14ac:dyDescent="0.2">
      <c r="B675" s="145"/>
      <c r="D675" s="679"/>
      <c r="J675" s="140"/>
      <c r="K675" s="140"/>
      <c r="L675" s="140"/>
      <c r="M675" s="140"/>
      <c r="N675" s="140"/>
      <c r="O675" s="140"/>
      <c r="P675" s="140"/>
      <c r="Q675" s="140"/>
      <c r="R675" s="140"/>
      <c r="S675" s="140"/>
      <c r="T675" s="140"/>
      <c r="U675" s="140"/>
      <c r="V675" s="140"/>
      <c r="W675" s="140"/>
      <c r="X675" s="140"/>
      <c r="Y675" s="140"/>
      <c r="Z675" s="140"/>
      <c r="AA675" s="141"/>
      <c r="AE675" s="140"/>
      <c r="AI675" s="141"/>
      <c r="AM675" s="141"/>
      <c r="AQ675" s="141"/>
      <c r="AT675" s="140"/>
      <c r="AU675" s="140"/>
    </row>
    <row r="676" spans="2:47" s="134" customFormat="1" x14ac:dyDescent="0.2">
      <c r="B676" s="145"/>
      <c r="D676" s="679"/>
      <c r="J676" s="140"/>
      <c r="K676" s="140"/>
      <c r="L676" s="140"/>
      <c r="M676" s="140"/>
      <c r="N676" s="140"/>
      <c r="O676" s="140"/>
      <c r="P676" s="140"/>
      <c r="Q676" s="140"/>
      <c r="R676" s="140"/>
      <c r="S676" s="140"/>
      <c r="T676" s="140"/>
      <c r="U676" s="140"/>
      <c r="V676" s="140"/>
      <c r="W676" s="140"/>
      <c r="X676" s="140"/>
      <c r="Y676" s="140"/>
      <c r="Z676" s="140"/>
      <c r="AA676" s="141"/>
      <c r="AE676" s="140"/>
      <c r="AI676" s="141"/>
      <c r="AM676" s="141"/>
      <c r="AQ676" s="141"/>
      <c r="AT676" s="140"/>
      <c r="AU676" s="140"/>
    </row>
    <row r="677" spans="2:47" s="134" customFormat="1" x14ac:dyDescent="0.2">
      <c r="B677" s="145"/>
      <c r="D677" s="679"/>
      <c r="J677" s="140"/>
      <c r="K677" s="140"/>
      <c r="L677" s="140"/>
      <c r="M677" s="140"/>
      <c r="N677" s="140"/>
      <c r="O677" s="140"/>
      <c r="P677" s="140"/>
      <c r="Q677" s="140"/>
      <c r="R677" s="140"/>
      <c r="S677" s="140"/>
      <c r="T677" s="140"/>
      <c r="U677" s="140"/>
      <c r="V677" s="140"/>
      <c r="W677" s="140"/>
      <c r="X677" s="140"/>
      <c r="Y677" s="140"/>
      <c r="Z677" s="140"/>
      <c r="AA677" s="141"/>
      <c r="AE677" s="140"/>
      <c r="AI677" s="141"/>
      <c r="AM677" s="141"/>
      <c r="AQ677" s="141"/>
      <c r="AT677" s="140"/>
      <c r="AU677" s="140"/>
    </row>
    <row r="678" spans="2:47" s="134" customFormat="1" x14ac:dyDescent="0.2">
      <c r="B678" s="145"/>
      <c r="D678" s="679"/>
      <c r="J678" s="140"/>
      <c r="K678" s="140"/>
      <c r="L678" s="140"/>
      <c r="M678" s="140"/>
      <c r="N678" s="140"/>
      <c r="O678" s="140"/>
      <c r="P678" s="140"/>
      <c r="Q678" s="140"/>
      <c r="R678" s="140"/>
      <c r="S678" s="140"/>
      <c r="T678" s="140"/>
      <c r="U678" s="140"/>
      <c r="V678" s="140"/>
      <c r="W678" s="140"/>
      <c r="X678" s="140"/>
      <c r="Y678" s="140"/>
      <c r="Z678" s="140"/>
      <c r="AA678" s="141"/>
      <c r="AE678" s="140"/>
      <c r="AI678" s="141"/>
      <c r="AM678" s="141"/>
      <c r="AQ678" s="141"/>
      <c r="AT678" s="140"/>
      <c r="AU678" s="140"/>
    </row>
    <row r="679" spans="2:47" s="134" customFormat="1" x14ac:dyDescent="0.2">
      <c r="B679" s="145"/>
      <c r="D679" s="679"/>
      <c r="J679" s="140"/>
      <c r="K679" s="140"/>
      <c r="L679" s="140"/>
      <c r="M679" s="140"/>
      <c r="N679" s="140"/>
      <c r="O679" s="140"/>
      <c r="P679" s="140"/>
      <c r="Q679" s="140"/>
      <c r="R679" s="140"/>
      <c r="S679" s="140"/>
      <c r="T679" s="140"/>
      <c r="U679" s="140"/>
      <c r="V679" s="140"/>
      <c r="W679" s="140"/>
      <c r="X679" s="140"/>
      <c r="Y679" s="140"/>
      <c r="Z679" s="140"/>
      <c r="AA679" s="141"/>
      <c r="AE679" s="140"/>
      <c r="AI679" s="141"/>
      <c r="AM679" s="141"/>
      <c r="AQ679" s="141"/>
      <c r="AT679" s="140"/>
      <c r="AU679" s="140"/>
    </row>
    <row r="680" spans="2:47" s="134" customFormat="1" x14ac:dyDescent="0.2">
      <c r="B680" s="145"/>
      <c r="D680" s="679"/>
      <c r="J680" s="140"/>
      <c r="K680" s="140"/>
      <c r="L680" s="140"/>
      <c r="M680" s="140"/>
      <c r="N680" s="140"/>
      <c r="O680" s="140"/>
      <c r="P680" s="140"/>
      <c r="Q680" s="140"/>
      <c r="R680" s="140"/>
      <c r="S680" s="140"/>
      <c r="T680" s="140"/>
      <c r="U680" s="140"/>
      <c r="V680" s="140"/>
      <c r="W680" s="140"/>
      <c r="X680" s="140"/>
      <c r="Y680" s="140"/>
      <c r="Z680" s="140"/>
      <c r="AA680" s="141"/>
      <c r="AE680" s="140"/>
      <c r="AI680" s="141"/>
      <c r="AM680" s="141"/>
      <c r="AQ680" s="141"/>
      <c r="AT680" s="140"/>
      <c r="AU680" s="140"/>
    </row>
    <row r="681" spans="2:47" s="134" customFormat="1" x14ac:dyDescent="0.2">
      <c r="B681" s="145"/>
      <c r="D681" s="679"/>
      <c r="J681" s="140"/>
      <c r="K681" s="140"/>
      <c r="L681" s="140"/>
      <c r="M681" s="140"/>
      <c r="N681" s="140"/>
      <c r="O681" s="140"/>
      <c r="P681" s="140"/>
      <c r="Q681" s="140"/>
      <c r="R681" s="140"/>
      <c r="S681" s="140"/>
      <c r="T681" s="140"/>
      <c r="U681" s="140"/>
      <c r="V681" s="140"/>
      <c r="W681" s="140"/>
      <c r="X681" s="140"/>
      <c r="Y681" s="140"/>
      <c r="Z681" s="140"/>
      <c r="AA681" s="141"/>
      <c r="AE681" s="140"/>
      <c r="AI681" s="141"/>
      <c r="AM681" s="141"/>
      <c r="AQ681" s="141"/>
      <c r="AT681" s="140"/>
      <c r="AU681" s="140"/>
    </row>
    <row r="682" spans="2:47" s="134" customFormat="1" x14ac:dyDescent="0.2">
      <c r="B682" s="145"/>
      <c r="D682" s="679"/>
      <c r="J682" s="140"/>
      <c r="K682" s="140"/>
      <c r="L682" s="140"/>
      <c r="M682" s="140"/>
      <c r="N682" s="140"/>
      <c r="O682" s="140"/>
      <c r="P682" s="140"/>
      <c r="Q682" s="140"/>
      <c r="R682" s="140"/>
      <c r="S682" s="140"/>
      <c r="T682" s="140"/>
      <c r="U682" s="140"/>
      <c r="V682" s="140"/>
      <c r="W682" s="140"/>
      <c r="X682" s="140"/>
      <c r="Y682" s="140"/>
      <c r="Z682" s="140"/>
      <c r="AA682" s="141"/>
      <c r="AE682" s="140"/>
      <c r="AI682" s="141"/>
      <c r="AM682" s="141"/>
      <c r="AQ682" s="141"/>
      <c r="AT682" s="140"/>
      <c r="AU682" s="140"/>
    </row>
    <row r="683" spans="2:47" s="134" customFormat="1" x14ac:dyDescent="0.2">
      <c r="B683" s="145"/>
      <c r="D683" s="679"/>
      <c r="J683" s="140"/>
      <c r="K683" s="140"/>
      <c r="L683" s="140"/>
      <c r="M683" s="140"/>
      <c r="N683" s="140"/>
      <c r="O683" s="140"/>
      <c r="P683" s="140"/>
      <c r="Q683" s="140"/>
      <c r="R683" s="140"/>
      <c r="S683" s="140"/>
      <c r="T683" s="140"/>
      <c r="U683" s="140"/>
      <c r="V683" s="140"/>
      <c r="W683" s="140"/>
      <c r="X683" s="140"/>
      <c r="Y683" s="140"/>
      <c r="Z683" s="140"/>
      <c r="AA683" s="141"/>
      <c r="AE683" s="140"/>
      <c r="AI683" s="141"/>
      <c r="AM683" s="141"/>
      <c r="AQ683" s="141"/>
      <c r="AT683" s="140"/>
      <c r="AU683" s="140"/>
    </row>
    <row r="684" spans="2:47" s="134" customFormat="1" x14ac:dyDescent="0.2">
      <c r="B684" s="145"/>
      <c r="D684" s="679"/>
      <c r="J684" s="140"/>
      <c r="K684" s="140"/>
      <c r="L684" s="140"/>
      <c r="M684" s="140"/>
      <c r="N684" s="140"/>
      <c r="O684" s="140"/>
      <c r="P684" s="140"/>
      <c r="Q684" s="140"/>
      <c r="R684" s="140"/>
      <c r="S684" s="140"/>
      <c r="T684" s="140"/>
      <c r="U684" s="140"/>
      <c r="V684" s="140"/>
      <c r="W684" s="140"/>
      <c r="X684" s="140"/>
      <c r="Y684" s="140"/>
      <c r="Z684" s="140"/>
      <c r="AA684" s="141"/>
      <c r="AE684" s="140"/>
      <c r="AI684" s="141"/>
      <c r="AM684" s="141"/>
      <c r="AQ684" s="141"/>
      <c r="AT684" s="140"/>
      <c r="AU684" s="140"/>
    </row>
    <row r="685" spans="2:47" s="134" customFormat="1" x14ac:dyDescent="0.2">
      <c r="B685" s="145"/>
      <c r="D685" s="679"/>
      <c r="J685" s="140"/>
      <c r="K685" s="140"/>
      <c r="L685" s="140"/>
      <c r="M685" s="140"/>
      <c r="N685" s="140"/>
      <c r="O685" s="140"/>
      <c r="P685" s="140"/>
      <c r="Q685" s="140"/>
      <c r="R685" s="140"/>
      <c r="S685" s="140"/>
      <c r="T685" s="140"/>
      <c r="U685" s="140"/>
      <c r="V685" s="140"/>
      <c r="W685" s="140"/>
      <c r="X685" s="140"/>
      <c r="Y685" s="140"/>
      <c r="Z685" s="140"/>
      <c r="AA685" s="141"/>
      <c r="AE685" s="140"/>
      <c r="AI685" s="141"/>
      <c r="AM685" s="141"/>
      <c r="AQ685" s="141"/>
      <c r="AT685" s="140"/>
      <c r="AU685" s="140"/>
    </row>
    <row r="686" spans="2:47" s="134" customFormat="1" x14ac:dyDescent="0.2">
      <c r="B686" s="145"/>
      <c r="D686" s="679"/>
      <c r="J686" s="140"/>
      <c r="K686" s="140"/>
      <c r="L686" s="140"/>
      <c r="M686" s="140"/>
      <c r="N686" s="140"/>
      <c r="O686" s="140"/>
      <c r="P686" s="140"/>
      <c r="Q686" s="140"/>
      <c r="R686" s="140"/>
      <c r="S686" s="140"/>
      <c r="T686" s="140"/>
      <c r="U686" s="140"/>
      <c r="V686" s="140"/>
      <c r="W686" s="140"/>
      <c r="X686" s="140"/>
      <c r="Y686" s="140"/>
      <c r="Z686" s="140"/>
      <c r="AA686" s="141"/>
      <c r="AE686" s="140"/>
      <c r="AI686" s="141"/>
      <c r="AM686" s="141"/>
      <c r="AQ686" s="141"/>
      <c r="AT686" s="140"/>
      <c r="AU686" s="140"/>
    </row>
    <row r="687" spans="2:47" s="134" customFormat="1" x14ac:dyDescent="0.2">
      <c r="B687" s="145"/>
      <c r="D687" s="679"/>
      <c r="J687" s="140"/>
      <c r="K687" s="140"/>
      <c r="L687" s="140"/>
      <c r="M687" s="140"/>
      <c r="N687" s="140"/>
      <c r="O687" s="140"/>
      <c r="P687" s="140"/>
      <c r="Q687" s="140"/>
      <c r="R687" s="140"/>
      <c r="S687" s="140"/>
      <c r="T687" s="140"/>
      <c r="U687" s="140"/>
      <c r="V687" s="140"/>
      <c r="W687" s="140"/>
      <c r="X687" s="140"/>
      <c r="Y687" s="140"/>
      <c r="Z687" s="140"/>
      <c r="AA687" s="141"/>
      <c r="AE687" s="140"/>
      <c r="AI687" s="141"/>
      <c r="AM687" s="141"/>
      <c r="AQ687" s="141"/>
      <c r="AT687" s="140"/>
      <c r="AU687" s="140"/>
    </row>
    <row r="688" spans="2:47" s="134" customFormat="1" x14ac:dyDescent="0.2">
      <c r="B688" s="145"/>
      <c r="D688" s="679"/>
      <c r="J688" s="140"/>
      <c r="K688" s="140"/>
      <c r="L688" s="140"/>
      <c r="M688" s="140"/>
      <c r="N688" s="140"/>
      <c r="O688" s="140"/>
      <c r="P688" s="140"/>
      <c r="Q688" s="140"/>
      <c r="R688" s="140"/>
      <c r="S688" s="140"/>
      <c r="T688" s="140"/>
      <c r="U688" s="140"/>
      <c r="V688" s="140"/>
      <c r="W688" s="140"/>
      <c r="X688" s="140"/>
      <c r="Y688" s="140"/>
      <c r="Z688" s="140"/>
      <c r="AA688" s="141"/>
      <c r="AE688" s="140"/>
      <c r="AI688" s="141"/>
      <c r="AM688" s="141"/>
      <c r="AQ688" s="141"/>
      <c r="AT688" s="140"/>
      <c r="AU688" s="140"/>
    </row>
    <row r="689" spans="2:47" s="134" customFormat="1" x14ac:dyDescent="0.2">
      <c r="B689" s="145"/>
      <c r="D689" s="679"/>
      <c r="J689" s="140"/>
      <c r="K689" s="140"/>
      <c r="L689" s="140"/>
      <c r="M689" s="140"/>
      <c r="N689" s="140"/>
      <c r="O689" s="140"/>
      <c r="P689" s="140"/>
      <c r="Q689" s="140"/>
      <c r="R689" s="140"/>
      <c r="S689" s="140"/>
      <c r="T689" s="140"/>
      <c r="U689" s="140"/>
      <c r="V689" s="140"/>
      <c r="W689" s="140"/>
      <c r="X689" s="140"/>
      <c r="Y689" s="140"/>
      <c r="Z689" s="140"/>
      <c r="AA689" s="141"/>
      <c r="AE689" s="140"/>
      <c r="AI689" s="141"/>
      <c r="AM689" s="141"/>
      <c r="AQ689" s="141"/>
      <c r="AT689" s="140"/>
      <c r="AU689" s="140"/>
    </row>
    <row r="690" spans="2:47" s="134" customFormat="1" x14ac:dyDescent="0.2">
      <c r="B690" s="145"/>
      <c r="D690" s="679"/>
      <c r="J690" s="140"/>
      <c r="K690" s="140"/>
      <c r="L690" s="140"/>
      <c r="M690" s="140"/>
      <c r="N690" s="140"/>
      <c r="O690" s="140"/>
      <c r="P690" s="140"/>
      <c r="Q690" s="140"/>
      <c r="R690" s="140"/>
      <c r="S690" s="140"/>
      <c r="T690" s="140"/>
      <c r="U690" s="140"/>
      <c r="V690" s="140"/>
      <c r="W690" s="140"/>
      <c r="X690" s="140"/>
      <c r="Y690" s="140"/>
      <c r="Z690" s="140"/>
      <c r="AA690" s="141"/>
      <c r="AE690" s="140"/>
      <c r="AI690" s="141"/>
      <c r="AM690" s="141"/>
      <c r="AQ690" s="141"/>
      <c r="AT690" s="140"/>
      <c r="AU690" s="140"/>
    </row>
    <row r="691" spans="2:47" s="134" customFormat="1" x14ac:dyDescent="0.2">
      <c r="B691" s="145"/>
      <c r="D691" s="679"/>
      <c r="J691" s="140"/>
      <c r="K691" s="140"/>
      <c r="L691" s="140"/>
      <c r="M691" s="140"/>
      <c r="N691" s="140"/>
      <c r="O691" s="140"/>
      <c r="P691" s="140"/>
      <c r="Q691" s="140"/>
      <c r="R691" s="140"/>
      <c r="S691" s="140"/>
      <c r="T691" s="140"/>
      <c r="U691" s="140"/>
      <c r="V691" s="140"/>
      <c r="W691" s="140"/>
      <c r="X691" s="140"/>
      <c r="Y691" s="140"/>
      <c r="Z691" s="140"/>
      <c r="AA691" s="141"/>
      <c r="AE691" s="140"/>
      <c r="AI691" s="141"/>
      <c r="AM691" s="141"/>
      <c r="AQ691" s="141"/>
      <c r="AT691" s="140"/>
      <c r="AU691" s="140"/>
    </row>
    <row r="692" spans="2:47" s="134" customFormat="1" x14ac:dyDescent="0.2">
      <c r="B692" s="145"/>
      <c r="D692" s="679"/>
      <c r="J692" s="140"/>
      <c r="K692" s="140"/>
      <c r="L692" s="140"/>
      <c r="M692" s="140"/>
      <c r="N692" s="140"/>
      <c r="O692" s="140"/>
      <c r="P692" s="140"/>
      <c r="Q692" s="140"/>
      <c r="R692" s="140"/>
      <c r="S692" s="140"/>
      <c r="T692" s="140"/>
      <c r="U692" s="140"/>
      <c r="V692" s="140"/>
      <c r="W692" s="140"/>
      <c r="X692" s="140"/>
      <c r="Y692" s="140"/>
      <c r="Z692" s="140"/>
      <c r="AA692" s="141"/>
      <c r="AE692" s="140"/>
      <c r="AI692" s="141"/>
      <c r="AM692" s="141"/>
      <c r="AQ692" s="141"/>
      <c r="AT692" s="140"/>
      <c r="AU692" s="140"/>
    </row>
    <row r="693" spans="2:47" s="134" customFormat="1" x14ac:dyDescent="0.2">
      <c r="B693" s="145"/>
      <c r="D693" s="679"/>
      <c r="J693" s="140"/>
      <c r="K693" s="140"/>
      <c r="L693" s="140"/>
      <c r="M693" s="140"/>
      <c r="N693" s="140"/>
      <c r="O693" s="140"/>
      <c r="P693" s="140"/>
      <c r="Q693" s="140"/>
      <c r="R693" s="140"/>
      <c r="S693" s="140"/>
      <c r="T693" s="140"/>
      <c r="U693" s="140"/>
      <c r="V693" s="140"/>
      <c r="W693" s="140"/>
      <c r="X693" s="140"/>
      <c r="Y693" s="140"/>
      <c r="Z693" s="140"/>
      <c r="AA693" s="141"/>
      <c r="AE693" s="140"/>
      <c r="AI693" s="141"/>
      <c r="AM693" s="141"/>
      <c r="AQ693" s="141"/>
      <c r="AT693" s="140"/>
      <c r="AU693" s="140"/>
    </row>
    <row r="694" spans="2:47" s="134" customFormat="1" x14ac:dyDescent="0.2">
      <c r="B694" s="145"/>
      <c r="D694" s="679"/>
      <c r="J694" s="140"/>
      <c r="K694" s="140"/>
      <c r="L694" s="140"/>
      <c r="M694" s="140"/>
      <c r="N694" s="140"/>
      <c r="O694" s="140"/>
      <c r="P694" s="140"/>
      <c r="Q694" s="140"/>
      <c r="R694" s="140"/>
      <c r="S694" s="140"/>
      <c r="T694" s="140"/>
      <c r="U694" s="140"/>
      <c r="V694" s="140"/>
      <c r="W694" s="140"/>
      <c r="X694" s="140"/>
      <c r="Y694" s="140"/>
      <c r="Z694" s="140"/>
      <c r="AA694" s="141"/>
      <c r="AE694" s="140"/>
      <c r="AI694" s="141"/>
      <c r="AM694" s="141"/>
      <c r="AQ694" s="141"/>
      <c r="AT694" s="140"/>
      <c r="AU694" s="140"/>
    </row>
    <row r="695" spans="2:47" s="134" customFormat="1" x14ac:dyDescent="0.2">
      <c r="B695" s="145"/>
      <c r="D695" s="679"/>
      <c r="J695" s="140"/>
      <c r="K695" s="140"/>
      <c r="L695" s="140"/>
      <c r="M695" s="140"/>
      <c r="N695" s="140"/>
      <c r="O695" s="140"/>
      <c r="P695" s="140"/>
      <c r="Q695" s="140"/>
      <c r="R695" s="140"/>
      <c r="S695" s="140"/>
      <c r="T695" s="140"/>
      <c r="U695" s="140"/>
      <c r="V695" s="140"/>
      <c r="W695" s="140"/>
      <c r="X695" s="140"/>
      <c r="Y695" s="140"/>
      <c r="Z695" s="140"/>
      <c r="AA695" s="141"/>
      <c r="AE695" s="140"/>
      <c r="AI695" s="141"/>
      <c r="AM695" s="141"/>
      <c r="AQ695" s="141"/>
      <c r="AT695" s="140"/>
      <c r="AU695" s="140"/>
    </row>
    <row r="696" spans="2:47" s="134" customFormat="1" x14ac:dyDescent="0.2">
      <c r="B696" s="145"/>
      <c r="D696" s="679"/>
      <c r="J696" s="140"/>
      <c r="K696" s="140"/>
      <c r="L696" s="140"/>
      <c r="M696" s="140"/>
      <c r="N696" s="140"/>
      <c r="O696" s="140"/>
      <c r="P696" s="140"/>
      <c r="Q696" s="140"/>
      <c r="R696" s="140"/>
      <c r="S696" s="140"/>
      <c r="T696" s="140"/>
      <c r="U696" s="140"/>
      <c r="V696" s="140"/>
      <c r="W696" s="140"/>
      <c r="X696" s="140"/>
      <c r="Y696" s="140"/>
      <c r="Z696" s="140"/>
      <c r="AA696" s="141"/>
      <c r="AE696" s="140"/>
      <c r="AI696" s="141"/>
      <c r="AM696" s="141"/>
      <c r="AQ696" s="141"/>
      <c r="AT696" s="140"/>
      <c r="AU696" s="140"/>
    </row>
    <row r="697" spans="2:47" s="134" customFormat="1" x14ac:dyDescent="0.2">
      <c r="B697" s="145"/>
      <c r="D697" s="679"/>
      <c r="J697" s="140"/>
      <c r="K697" s="140"/>
      <c r="L697" s="140"/>
      <c r="M697" s="140"/>
      <c r="N697" s="140"/>
      <c r="O697" s="140"/>
      <c r="P697" s="140"/>
      <c r="Q697" s="140"/>
      <c r="R697" s="140"/>
      <c r="S697" s="140"/>
      <c r="T697" s="140"/>
      <c r="U697" s="140"/>
      <c r="V697" s="140"/>
      <c r="W697" s="140"/>
      <c r="X697" s="140"/>
      <c r="Y697" s="140"/>
      <c r="Z697" s="140"/>
      <c r="AA697" s="141"/>
      <c r="AE697" s="140"/>
      <c r="AI697" s="141"/>
      <c r="AM697" s="141"/>
      <c r="AQ697" s="141"/>
      <c r="AT697" s="140"/>
      <c r="AU697" s="140"/>
    </row>
    <row r="698" spans="2:47" s="134" customFormat="1" x14ac:dyDescent="0.2">
      <c r="B698" s="145"/>
      <c r="D698" s="679"/>
      <c r="J698" s="140"/>
      <c r="K698" s="140"/>
      <c r="L698" s="140"/>
      <c r="M698" s="140"/>
      <c r="N698" s="140"/>
      <c r="O698" s="140"/>
      <c r="P698" s="140"/>
      <c r="Q698" s="140"/>
      <c r="R698" s="140"/>
      <c r="S698" s="140"/>
      <c r="T698" s="140"/>
      <c r="U698" s="140"/>
      <c r="V698" s="140"/>
      <c r="W698" s="140"/>
      <c r="X698" s="140"/>
      <c r="Y698" s="140"/>
      <c r="Z698" s="140"/>
      <c r="AA698" s="141"/>
      <c r="AE698" s="140"/>
      <c r="AI698" s="141"/>
      <c r="AM698" s="141"/>
      <c r="AQ698" s="141"/>
      <c r="AT698" s="140"/>
      <c r="AU698" s="140"/>
    </row>
    <row r="699" spans="2:47" s="134" customFormat="1" x14ac:dyDescent="0.2">
      <c r="B699" s="145"/>
      <c r="D699" s="679"/>
      <c r="J699" s="140"/>
      <c r="K699" s="140"/>
      <c r="L699" s="140"/>
      <c r="M699" s="140"/>
      <c r="N699" s="140"/>
      <c r="O699" s="140"/>
      <c r="P699" s="140"/>
      <c r="Q699" s="140"/>
      <c r="R699" s="140"/>
      <c r="S699" s="140"/>
      <c r="T699" s="140"/>
      <c r="U699" s="140"/>
      <c r="V699" s="140"/>
      <c r="W699" s="140"/>
      <c r="X699" s="140"/>
      <c r="Y699" s="140"/>
      <c r="Z699" s="140"/>
      <c r="AA699" s="141"/>
      <c r="AE699" s="140"/>
      <c r="AI699" s="141"/>
      <c r="AM699" s="141"/>
      <c r="AQ699" s="141"/>
      <c r="AT699" s="140"/>
      <c r="AU699" s="140"/>
    </row>
    <row r="700" spans="2:47" s="134" customFormat="1" x14ac:dyDescent="0.2">
      <c r="B700" s="145"/>
      <c r="D700" s="679"/>
      <c r="J700" s="140"/>
      <c r="K700" s="140"/>
      <c r="L700" s="140"/>
      <c r="M700" s="140"/>
      <c r="N700" s="140"/>
      <c r="O700" s="140"/>
      <c r="P700" s="140"/>
      <c r="Q700" s="140"/>
      <c r="R700" s="140"/>
      <c r="S700" s="140"/>
      <c r="T700" s="140"/>
      <c r="U700" s="140"/>
      <c r="V700" s="140"/>
      <c r="W700" s="140"/>
      <c r="X700" s="140"/>
      <c r="Y700" s="140"/>
      <c r="Z700" s="140"/>
      <c r="AA700" s="141"/>
      <c r="AE700" s="140"/>
      <c r="AI700" s="141"/>
      <c r="AM700" s="141"/>
      <c r="AQ700" s="141"/>
      <c r="AT700" s="140"/>
      <c r="AU700" s="140"/>
    </row>
    <row r="701" spans="2:47" s="134" customFormat="1" x14ac:dyDescent="0.2">
      <c r="B701" s="145"/>
      <c r="D701" s="679"/>
      <c r="J701" s="140"/>
      <c r="K701" s="140"/>
      <c r="L701" s="140"/>
      <c r="M701" s="140"/>
      <c r="N701" s="140"/>
      <c r="O701" s="140"/>
      <c r="P701" s="140"/>
      <c r="Q701" s="140"/>
      <c r="R701" s="140"/>
      <c r="S701" s="140"/>
      <c r="T701" s="140"/>
      <c r="U701" s="140"/>
      <c r="V701" s="140"/>
      <c r="W701" s="140"/>
      <c r="X701" s="140"/>
      <c r="Y701" s="140"/>
      <c r="Z701" s="140"/>
      <c r="AA701" s="141"/>
      <c r="AE701" s="140"/>
      <c r="AI701" s="141"/>
      <c r="AM701" s="141"/>
      <c r="AQ701" s="141"/>
      <c r="AT701" s="140"/>
      <c r="AU701" s="140"/>
    </row>
    <row r="702" spans="2:47" s="134" customFormat="1" x14ac:dyDescent="0.2">
      <c r="B702" s="145"/>
      <c r="D702" s="679"/>
      <c r="J702" s="140"/>
      <c r="K702" s="140"/>
      <c r="L702" s="140"/>
      <c r="M702" s="140"/>
      <c r="N702" s="140"/>
      <c r="O702" s="140"/>
      <c r="P702" s="140"/>
      <c r="Q702" s="140"/>
      <c r="R702" s="140"/>
      <c r="S702" s="140"/>
      <c r="T702" s="140"/>
      <c r="U702" s="140"/>
      <c r="V702" s="140"/>
      <c r="W702" s="140"/>
      <c r="X702" s="140"/>
      <c r="Y702" s="140"/>
      <c r="Z702" s="140"/>
      <c r="AA702" s="141"/>
      <c r="AE702" s="140"/>
      <c r="AI702" s="141"/>
      <c r="AM702" s="141"/>
      <c r="AQ702" s="141"/>
      <c r="AT702" s="140"/>
      <c r="AU702" s="140"/>
    </row>
    <row r="703" spans="2:47" s="134" customFormat="1" x14ac:dyDescent="0.2">
      <c r="B703" s="145"/>
      <c r="D703" s="679"/>
      <c r="J703" s="140"/>
      <c r="K703" s="140"/>
      <c r="L703" s="140"/>
      <c r="M703" s="140"/>
      <c r="N703" s="140"/>
      <c r="O703" s="140"/>
      <c r="P703" s="140"/>
      <c r="Q703" s="140"/>
      <c r="R703" s="140"/>
      <c r="S703" s="140"/>
      <c r="T703" s="140"/>
      <c r="U703" s="140"/>
      <c r="V703" s="140"/>
      <c r="W703" s="140"/>
      <c r="X703" s="140"/>
      <c r="Y703" s="140"/>
      <c r="Z703" s="140"/>
      <c r="AA703" s="141"/>
      <c r="AE703" s="140"/>
      <c r="AI703" s="141"/>
      <c r="AM703" s="141"/>
      <c r="AQ703" s="141"/>
      <c r="AT703" s="140"/>
      <c r="AU703" s="140"/>
    </row>
    <row r="704" spans="2:47" s="134" customFormat="1" x14ac:dyDescent="0.2">
      <c r="B704" s="145"/>
      <c r="D704" s="679"/>
      <c r="J704" s="140"/>
      <c r="K704" s="140"/>
      <c r="L704" s="140"/>
      <c r="M704" s="140"/>
      <c r="N704" s="140"/>
      <c r="O704" s="140"/>
      <c r="P704" s="140"/>
      <c r="Q704" s="140"/>
      <c r="R704" s="140"/>
      <c r="S704" s="140"/>
      <c r="T704" s="140"/>
      <c r="U704" s="140"/>
      <c r="V704" s="140"/>
      <c r="W704" s="140"/>
      <c r="X704" s="140"/>
      <c r="Y704" s="140"/>
      <c r="Z704" s="140"/>
      <c r="AA704" s="141"/>
      <c r="AE704" s="140"/>
      <c r="AI704" s="141"/>
      <c r="AM704" s="141"/>
      <c r="AQ704" s="141"/>
      <c r="AT704" s="140"/>
      <c r="AU704" s="140"/>
    </row>
    <row r="705" spans="2:47" s="134" customFormat="1" x14ac:dyDescent="0.2">
      <c r="B705" s="145"/>
      <c r="D705" s="679"/>
      <c r="J705" s="140"/>
      <c r="K705" s="140"/>
      <c r="L705" s="140"/>
      <c r="M705" s="140"/>
      <c r="N705" s="140"/>
      <c r="O705" s="140"/>
      <c r="P705" s="140"/>
      <c r="Q705" s="140"/>
      <c r="R705" s="140"/>
      <c r="S705" s="140"/>
      <c r="T705" s="140"/>
      <c r="U705" s="140"/>
      <c r="V705" s="140"/>
      <c r="W705" s="140"/>
      <c r="X705" s="140"/>
      <c r="Y705" s="140"/>
      <c r="Z705" s="140"/>
      <c r="AA705" s="141"/>
      <c r="AE705" s="140"/>
      <c r="AI705" s="141"/>
      <c r="AM705" s="141"/>
      <c r="AQ705" s="141"/>
      <c r="AT705" s="140"/>
      <c r="AU705" s="140"/>
    </row>
    <row r="706" spans="2:47" s="134" customFormat="1" x14ac:dyDescent="0.2">
      <c r="B706" s="145"/>
      <c r="D706" s="679"/>
      <c r="J706" s="140"/>
      <c r="K706" s="140"/>
      <c r="L706" s="140"/>
      <c r="M706" s="140"/>
      <c r="N706" s="140"/>
      <c r="O706" s="140"/>
      <c r="P706" s="140"/>
      <c r="Q706" s="140"/>
      <c r="R706" s="140"/>
      <c r="S706" s="140"/>
      <c r="T706" s="140"/>
      <c r="U706" s="140"/>
      <c r="V706" s="140"/>
      <c r="W706" s="140"/>
      <c r="X706" s="140"/>
      <c r="Y706" s="140"/>
      <c r="Z706" s="140"/>
      <c r="AA706" s="141"/>
      <c r="AE706" s="140"/>
      <c r="AI706" s="141"/>
      <c r="AM706" s="141"/>
      <c r="AQ706" s="141"/>
      <c r="AT706" s="140"/>
      <c r="AU706" s="140"/>
    </row>
    <row r="707" spans="2:47" s="134" customFormat="1" x14ac:dyDescent="0.2">
      <c r="B707" s="145"/>
      <c r="D707" s="679"/>
      <c r="J707" s="140"/>
      <c r="K707" s="140"/>
      <c r="L707" s="140"/>
      <c r="M707" s="140"/>
      <c r="N707" s="140"/>
      <c r="O707" s="140"/>
      <c r="P707" s="140"/>
      <c r="Q707" s="140"/>
      <c r="R707" s="140"/>
      <c r="S707" s="140"/>
      <c r="T707" s="140"/>
      <c r="U707" s="140"/>
      <c r="V707" s="140"/>
      <c r="W707" s="140"/>
      <c r="X707" s="140"/>
      <c r="Y707" s="140"/>
      <c r="Z707" s="140"/>
      <c r="AA707" s="141"/>
      <c r="AE707" s="140"/>
      <c r="AI707" s="141"/>
      <c r="AM707" s="141"/>
      <c r="AQ707" s="141"/>
      <c r="AT707" s="140"/>
      <c r="AU707" s="140"/>
    </row>
    <row r="708" spans="2:47" s="134" customFormat="1" x14ac:dyDescent="0.2">
      <c r="B708" s="145"/>
      <c r="D708" s="679"/>
      <c r="J708" s="140"/>
      <c r="K708" s="140"/>
      <c r="L708" s="140"/>
      <c r="M708" s="140"/>
      <c r="N708" s="140"/>
      <c r="O708" s="140"/>
      <c r="P708" s="140"/>
      <c r="Q708" s="140"/>
      <c r="R708" s="140"/>
      <c r="S708" s="140"/>
      <c r="T708" s="140"/>
      <c r="U708" s="140"/>
      <c r="V708" s="140"/>
      <c r="W708" s="140"/>
      <c r="X708" s="140"/>
      <c r="Y708" s="140"/>
      <c r="Z708" s="140"/>
      <c r="AA708" s="141"/>
      <c r="AE708" s="140"/>
      <c r="AI708" s="141"/>
      <c r="AM708" s="141"/>
      <c r="AQ708" s="141"/>
      <c r="AT708" s="140"/>
      <c r="AU708" s="140"/>
    </row>
    <row r="709" spans="2:47" s="134" customFormat="1" x14ac:dyDescent="0.2">
      <c r="B709" s="145"/>
      <c r="D709" s="679"/>
      <c r="J709" s="140"/>
      <c r="K709" s="140"/>
      <c r="L709" s="140"/>
      <c r="M709" s="140"/>
      <c r="N709" s="140"/>
      <c r="O709" s="140"/>
      <c r="P709" s="140"/>
      <c r="Q709" s="140"/>
      <c r="R709" s="140"/>
      <c r="S709" s="140"/>
      <c r="T709" s="140"/>
      <c r="U709" s="140"/>
      <c r="V709" s="140"/>
      <c r="W709" s="140"/>
      <c r="X709" s="140"/>
      <c r="Y709" s="140"/>
      <c r="Z709" s="140"/>
      <c r="AA709" s="141"/>
      <c r="AE709" s="140"/>
      <c r="AI709" s="141"/>
      <c r="AM709" s="141"/>
      <c r="AQ709" s="141"/>
      <c r="AT709" s="140"/>
      <c r="AU709" s="140"/>
    </row>
    <row r="710" spans="2:47" s="134" customFormat="1" x14ac:dyDescent="0.2">
      <c r="B710" s="145"/>
      <c r="D710" s="679"/>
      <c r="J710" s="140"/>
      <c r="K710" s="140"/>
      <c r="L710" s="140"/>
      <c r="M710" s="140"/>
      <c r="N710" s="140"/>
      <c r="O710" s="140"/>
      <c r="P710" s="140"/>
      <c r="Q710" s="140"/>
      <c r="R710" s="140"/>
      <c r="S710" s="140"/>
      <c r="T710" s="140"/>
      <c r="U710" s="140"/>
      <c r="V710" s="140"/>
      <c r="W710" s="140"/>
      <c r="X710" s="140"/>
      <c r="Y710" s="140"/>
      <c r="Z710" s="140"/>
      <c r="AA710" s="141"/>
      <c r="AE710" s="140"/>
      <c r="AI710" s="141"/>
      <c r="AM710" s="141"/>
      <c r="AQ710" s="141"/>
      <c r="AT710" s="140"/>
      <c r="AU710" s="140"/>
    </row>
    <row r="711" spans="2:47" s="134" customFormat="1" x14ac:dyDescent="0.2">
      <c r="B711" s="145"/>
      <c r="D711" s="679"/>
      <c r="J711" s="140"/>
      <c r="K711" s="140"/>
      <c r="L711" s="140"/>
      <c r="M711" s="140"/>
      <c r="N711" s="140"/>
      <c r="O711" s="140"/>
      <c r="P711" s="140"/>
      <c r="Q711" s="140"/>
      <c r="R711" s="140"/>
      <c r="S711" s="140"/>
      <c r="T711" s="140"/>
      <c r="U711" s="140"/>
      <c r="V711" s="140"/>
      <c r="W711" s="140"/>
      <c r="X711" s="140"/>
      <c r="Y711" s="140"/>
      <c r="Z711" s="140"/>
      <c r="AA711" s="141"/>
      <c r="AE711" s="140"/>
      <c r="AI711" s="141"/>
      <c r="AM711" s="141"/>
      <c r="AQ711" s="141"/>
      <c r="AT711" s="140"/>
      <c r="AU711" s="140"/>
    </row>
    <row r="712" spans="2:47" s="134" customFormat="1" x14ac:dyDescent="0.2">
      <c r="B712" s="145"/>
      <c r="D712" s="679"/>
      <c r="J712" s="140"/>
      <c r="K712" s="140"/>
      <c r="L712" s="140"/>
      <c r="M712" s="140"/>
      <c r="N712" s="140"/>
      <c r="O712" s="140"/>
      <c r="P712" s="140"/>
      <c r="Q712" s="140"/>
      <c r="R712" s="140"/>
      <c r="S712" s="140"/>
      <c r="T712" s="140"/>
      <c r="U712" s="140"/>
      <c r="V712" s="140"/>
      <c r="W712" s="140"/>
      <c r="X712" s="140"/>
      <c r="Y712" s="140"/>
      <c r="Z712" s="140"/>
      <c r="AA712" s="141"/>
      <c r="AE712" s="140"/>
      <c r="AI712" s="141"/>
      <c r="AM712" s="141"/>
      <c r="AQ712" s="141"/>
      <c r="AT712" s="140"/>
      <c r="AU712" s="140"/>
    </row>
    <row r="713" spans="2:47" s="134" customFormat="1" x14ac:dyDescent="0.2">
      <c r="B713" s="145"/>
      <c r="D713" s="679"/>
      <c r="J713" s="140"/>
      <c r="K713" s="140"/>
      <c r="L713" s="140"/>
      <c r="M713" s="140"/>
      <c r="N713" s="140"/>
      <c r="O713" s="140"/>
      <c r="P713" s="140"/>
      <c r="Q713" s="140"/>
      <c r="R713" s="140"/>
      <c r="S713" s="140"/>
      <c r="T713" s="140"/>
      <c r="U713" s="140"/>
      <c r="V713" s="140"/>
      <c r="W713" s="140"/>
      <c r="X713" s="140"/>
      <c r="Y713" s="140"/>
      <c r="Z713" s="140"/>
      <c r="AA713" s="141"/>
      <c r="AE713" s="140"/>
      <c r="AI713" s="141"/>
      <c r="AM713" s="141"/>
      <c r="AQ713" s="141"/>
      <c r="AT713" s="140"/>
      <c r="AU713" s="140"/>
    </row>
    <row r="714" spans="2:47" s="134" customFormat="1" x14ac:dyDescent="0.2">
      <c r="B714" s="145"/>
      <c r="D714" s="679"/>
      <c r="J714" s="140"/>
      <c r="K714" s="140"/>
      <c r="L714" s="140"/>
      <c r="M714" s="140"/>
      <c r="N714" s="140"/>
      <c r="O714" s="140"/>
      <c r="P714" s="140"/>
      <c r="Q714" s="140"/>
      <c r="R714" s="140"/>
      <c r="S714" s="140"/>
      <c r="T714" s="140"/>
      <c r="U714" s="140"/>
      <c r="V714" s="140"/>
      <c r="W714" s="140"/>
      <c r="X714" s="140"/>
      <c r="Y714" s="140"/>
      <c r="Z714" s="140"/>
      <c r="AA714" s="141"/>
      <c r="AE714" s="140"/>
      <c r="AI714" s="141"/>
      <c r="AM714" s="141"/>
      <c r="AQ714" s="141"/>
      <c r="AT714" s="140"/>
      <c r="AU714" s="140"/>
    </row>
    <row r="715" spans="2:47" s="134" customFormat="1" x14ac:dyDescent="0.2">
      <c r="B715" s="145"/>
      <c r="D715" s="679"/>
      <c r="J715" s="140"/>
      <c r="K715" s="140"/>
      <c r="L715" s="140"/>
      <c r="M715" s="140"/>
      <c r="N715" s="140"/>
      <c r="O715" s="140"/>
      <c r="P715" s="140"/>
      <c r="Q715" s="140"/>
      <c r="R715" s="140"/>
      <c r="S715" s="140"/>
      <c r="T715" s="140"/>
      <c r="U715" s="140"/>
      <c r="V715" s="140"/>
      <c r="W715" s="140"/>
      <c r="X715" s="140"/>
      <c r="Y715" s="140"/>
      <c r="Z715" s="140"/>
      <c r="AA715" s="141"/>
      <c r="AE715" s="140"/>
      <c r="AI715" s="141"/>
      <c r="AM715" s="141"/>
      <c r="AQ715" s="141"/>
      <c r="AT715" s="140"/>
      <c r="AU715" s="140"/>
    </row>
    <row r="716" spans="2:47" s="134" customFormat="1" x14ac:dyDescent="0.2">
      <c r="B716" s="145"/>
      <c r="D716" s="679"/>
      <c r="J716" s="140"/>
      <c r="K716" s="140"/>
      <c r="L716" s="140"/>
      <c r="M716" s="140"/>
      <c r="N716" s="140"/>
      <c r="O716" s="140"/>
      <c r="P716" s="140"/>
      <c r="Q716" s="140"/>
      <c r="R716" s="140"/>
      <c r="S716" s="140"/>
      <c r="T716" s="140"/>
      <c r="U716" s="140"/>
      <c r="V716" s="140"/>
      <c r="W716" s="140"/>
      <c r="X716" s="140"/>
      <c r="Y716" s="140"/>
      <c r="Z716" s="140"/>
      <c r="AA716" s="141"/>
      <c r="AE716" s="140"/>
      <c r="AI716" s="141"/>
      <c r="AM716" s="141"/>
      <c r="AQ716" s="141"/>
      <c r="AT716" s="140"/>
      <c r="AU716" s="140"/>
    </row>
    <row r="717" spans="2:47" s="134" customFormat="1" x14ac:dyDescent="0.2">
      <c r="B717" s="145"/>
      <c r="D717" s="679"/>
      <c r="J717" s="140"/>
      <c r="K717" s="140"/>
      <c r="L717" s="140"/>
      <c r="M717" s="140"/>
      <c r="N717" s="140"/>
      <c r="O717" s="140"/>
      <c r="P717" s="140"/>
      <c r="Q717" s="140"/>
      <c r="R717" s="140"/>
      <c r="S717" s="140"/>
      <c r="T717" s="140"/>
      <c r="U717" s="140"/>
      <c r="V717" s="140"/>
      <c r="W717" s="140"/>
      <c r="X717" s="140"/>
      <c r="Y717" s="140"/>
      <c r="Z717" s="140"/>
      <c r="AA717" s="141"/>
      <c r="AE717" s="140"/>
      <c r="AI717" s="141"/>
      <c r="AM717" s="141"/>
      <c r="AQ717" s="141"/>
      <c r="AT717" s="140"/>
      <c r="AU717" s="140"/>
    </row>
    <row r="718" spans="2:47" s="134" customFormat="1" x14ac:dyDescent="0.2">
      <c r="B718" s="145"/>
      <c r="D718" s="679"/>
      <c r="J718" s="140"/>
      <c r="K718" s="140"/>
      <c r="L718" s="140"/>
      <c r="M718" s="140"/>
      <c r="N718" s="140"/>
      <c r="O718" s="140"/>
      <c r="P718" s="140"/>
      <c r="Q718" s="140"/>
      <c r="R718" s="140"/>
      <c r="S718" s="140"/>
      <c r="T718" s="140"/>
      <c r="U718" s="140"/>
      <c r="V718" s="140"/>
      <c r="W718" s="140"/>
      <c r="X718" s="140"/>
      <c r="Y718" s="140"/>
      <c r="Z718" s="140"/>
      <c r="AA718" s="141"/>
      <c r="AE718" s="140"/>
      <c r="AI718" s="141"/>
      <c r="AM718" s="141"/>
      <c r="AQ718" s="141"/>
      <c r="AT718" s="140"/>
      <c r="AU718" s="140"/>
    </row>
    <row r="719" spans="2:47" s="134" customFormat="1" x14ac:dyDescent="0.2">
      <c r="B719" s="145"/>
      <c r="D719" s="679"/>
      <c r="J719" s="140"/>
      <c r="K719" s="140"/>
      <c r="L719" s="140"/>
      <c r="M719" s="140"/>
      <c r="N719" s="140"/>
      <c r="O719" s="140"/>
      <c r="P719" s="140"/>
      <c r="Q719" s="140"/>
      <c r="R719" s="140"/>
      <c r="S719" s="140"/>
      <c r="T719" s="140"/>
      <c r="U719" s="140"/>
      <c r="V719" s="140"/>
      <c r="W719" s="140"/>
      <c r="X719" s="140"/>
      <c r="Y719" s="140"/>
      <c r="Z719" s="140"/>
      <c r="AA719" s="141"/>
      <c r="AE719" s="140"/>
      <c r="AI719" s="141"/>
      <c r="AM719" s="141"/>
      <c r="AQ719" s="141"/>
      <c r="AT719" s="140"/>
      <c r="AU719" s="140"/>
    </row>
    <row r="720" spans="2:47" s="134" customFormat="1" x14ac:dyDescent="0.2">
      <c r="B720" s="145"/>
      <c r="D720" s="679"/>
      <c r="J720" s="140"/>
      <c r="K720" s="140"/>
      <c r="L720" s="140"/>
      <c r="M720" s="140"/>
      <c r="N720" s="140"/>
      <c r="O720" s="140"/>
      <c r="P720" s="140"/>
      <c r="Q720" s="140"/>
      <c r="R720" s="140"/>
      <c r="S720" s="140"/>
      <c r="T720" s="140"/>
      <c r="U720" s="140"/>
      <c r="V720" s="140"/>
      <c r="W720" s="140"/>
      <c r="X720" s="140"/>
      <c r="Y720" s="140"/>
      <c r="Z720" s="140"/>
      <c r="AA720" s="141"/>
      <c r="AE720" s="140"/>
      <c r="AI720" s="141"/>
      <c r="AM720" s="141"/>
      <c r="AQ720" s="141"/>
      <c r="AT720" s="140"/>
      <c r="AU720" s="140"/>
    </row>
    <row r="721" spans="2:47" s="134" customFormat="1" x14ac:dyDescent="0.2">
      <c r="B721" s="145"/>
      <c r="D721" s="679"/>
      <c r="J721" s="140"/>
      <c r="K721" s="140"/>
      <c r="L721" s="140"/>
      <c r="M721" s="140"/>
      <c r="N721" s="140"/>
      <c r="O721" s="140"/>
      <c r="P721" s="140"/>
      <c r="Q721" s="140"/>
      <c r="R721" s="140"/>
      <c r="S721" s="140"/>
      <c r="T721" s="140"/>
      <c r="U721" s="140"/>
      <c r="V721" s="140"/>
      <c r="W721" s="140"/>
      <c r="X721" s="140"/>
      <c r="Y721" s="140"/>
      <c r="Z721" s="140"/>
      <c r="AA721" s="141"/>
      <c r="AE721" s="140"/>
      <c r="AI721" s="141"/>
      <c r="AM721" s="141"/>
      <c r="AQ721" s="141"/>
      <c r="AT721" s="140"/>
      <c r="AU721" s="140"/>
    </row>
    <row r="722" spans="2:47" s="134" customFormat="1" x14ac:dyDescent="0.2">
      <c r="B722" s="145"/>
      <c r="D722" s="679"/>
      <c r="J722" s="140"/>
      <c r="K722" s="140"/>
      <c r="L722" s="140"/>
      <c r="M722" s="140"/>
      <c r="N722" s="140"/>
      <c r="O722" s="140"/>
      <c r="P722" s="140"/>
      <c r="Q722" s="140"/>
      <c r="R722" s="140"/>
      <c r="S722" s="140"/>
      <c r="T722" s="140"/>
      <c r="U722" s="140"/>
      <c r="V722" s="140"/>
      <c r="W722" s="140"/>
      <c r="X722" s="140"/>
      <c r="Y722" s="140"/>
      <c r="Z722" s="140"/>
      <c r="AA722" s="141"/>
      <c r="AE722" s="140"/>
      <c r="AI722" s="141"/>
      <c r="AM722" s="141"/>
      <c r="AQ722" s="141"/>
      <c r="AT722" s="140"/>
      <c r="AU722" s="140"/>
    </row>
    <row r="723" spans="2:47" s="134" customFormat="1" x14ac:dyDescent="0.2">
      <c r="B723" s="145"/>
      <c r="D723" s="679"/>
      <c r="J723" s="140"/>
      <c r="K723" s="140"/>
      <c r="L723" s="140"/>
      <c r="M723" s="140"/>
      <c r="N723" s="140"/>
      <c r="O723" s="140"/>
      <c r="P723" s="140"/>
      <c r="Q723" s="140"/>
      <c r="R723" s="140"/>
      <c r="S723" s="140"/>
      <c r="T723" s="140"/>
      <c r="U723" s="140"/>
      <c r="V723" s="140"/>
      <c r="W723" s="140"/>
      <c r="X723" s="140"/>
      <c r="Y723" s="140"/>
      <c r="Z723" s="140"/>
      <c r="AA723" s="141"/>
      <c r="AE723" s="140"/>
      <c r="AI723" s="141"/>
      <c r="AM723" s="141"/>
      <c r="AQ723" s="141"/>
      <c r="AT723" s="140"/>
      <c r="AU723" s="140"/>
    </row>
    <row r="724" spans="2:47" s="134" customFormat="1" x14ac:dyDescent="0.2">
      <c r="B724" s="145"/>
      <c r="D724" s="679"/>
      <c r="J724" s="140"/>
      <c r="K724" s="140"/>
      <c r="L724" s="140"/>
      <c r="M724" s="140"/>
      <c r="N724" s="140"/>
      <c r="O724" s="140"/>
      <c r="P724" s="140"/>
      <c r="Q724" s="140"/>
      <c r="R724" s="140"/>
      <c r="S724" s="140"/>
      <c r="T724" s="140"/>
      <c r="U724" s="140"/>
      <c r="V724" s="140"/>
      <c r="W724" s="140"/>
      <c r="X724" s="140"/>
      <c r="Y724" s="140"/>
      <c r="Z724" s="140"/>
      <c r="AA724" s="141"/>
      <c r="AE724" s="140"/>
      <c r="AI724" s="141"/>
      <c r="AM724" s="141"/>
      <c r="AQ724" s="141"/>
      <c r="AT724" s="140"/>
      <c r="AU724" s="140"/>
    </row>
    <row r="725" spans="2:47" s="134" customFormat="1" x14ac:dyDescent="0.2">
      <c r="B725" s="145"/>
      <c r="D725" s="679"/>
      <c r="J725" s="140"/>
      <c r="K725" s="140"/>
      <c r="L725" s="140"/>
      <c r="M725" s="140"/>
      <c r="N725" s="140"/>
      <c r="O725" s="140"/>
      <c r="P725" s="140"/>
      <c r="Q725" s="140"/>
      <c r="R725" s="140"/>
      <c r="S725" s="140"/>
      <c r="T725" s="140"/>
      <c r="U725" s="140"/>
      <c r="V725" s="140"/>
      <c r="W725" s="140"/>
      <c r="X725" s="140"/>
      <c r="Y725" s="140"/>
      <c r="Z725" s="140"/>
      <c r="AA725" s="141"/>
      <c r="AE725" s="140"/>
      <c r="AI725" s="141"/>
      <c r="AM725" s="141"/>
      <c r="AQ725" s="141"/>
      <c r="AT725" s="140"/>
      <c r="AU725" s="140"/>
    </row>
    <row r="726" spans="2:47" s="134" customFormat="1" x14ac:dyDescent="0.2">
      <c r="B726" s="145"/>
      <c r="D726" s="679"/>
      <c r="J726" s="140"/>
      <c r="K726" s="140"/>
      <c r="L726" s="140"/>
      <c r="M726" s="140"/>
      <c r="N726" s="140"/>
      <c r="O726" s="140"/>
      <c r="P726" s="140"/>
      <c r="Q726" s="140"/>
      <c r="R726" s="140"/>
      <c r="S726" s="140"/>
      <c r="T726" s="140"/>
      <c r="U726" s="140"/>
      <c r="V726" s="140"/>
      <c r="W726" s="140"/>
      <c r="X726" s="140"/>
      <c r="Y726" s="140"/>
      <c r="Z726" s="140"/>
      <c r="AA726" s="141"/>
      <c r="AE726" s="140"/>
      <c r="AI726" s="141"/>
      <c r="AM726" s="141"/>
      <c r="AQ726" s="141"/>
      <c r="AT726" s="140"/>
      <c r="AU726" s="140"/>
    </row>
    <row r="727" spans="2:47" s="134" customFormat="1" x14ac:dyDescent="0.2">
      <c r="B727" s="145"/>
      <c r="D727" s="679"/>
      <c r="J727" s="140"/>
      <c r="K727" s="140"/>
      <c r="L727" s="140"/>
      <c r="M727" s="140"/>
      <c r="N727" s="140"/>
      <c r="O727" s="140"/>
      <c r="P727" s="140"/>
      <c r="Q727" s="140"/>
      <c r="R727" s="140"/>
      <c r="S727" s="140"/>
      <c r="T727" s="140"/>
      <c r="U727" s="140"/>
      <c r="V727" s="140"/>
      <c r="W727" s="140"/>
      <c r="X727" s="140"/>
      <c r="Y727" s="140"/>
      <c r="Z727" s="140"/>
      <c r="AA727" s="141"/>
      <c r="AE727" s="140"/>
      <c r="AI727" s="141"/>
      <c r="AM727" s="141"/>
      <c r="AQ727" s="141"/>
      <c r="AT727" s="140"/>
      <c r="AU727" s="140"/>
    </row>
    <row r="728" spans="2:47" s="134" customFormat="1" x14ac:dyDescent="0.2">
      <c r="B728" s="145"/>
      <c r="D728" s="679"/>
      <c r="J728" s="140"/>
      <c r="K728" s="140"/>
      <c r="L728" s="140"/>
      <c r="M728" s="140"/>
      <c r="N728" s="140"/>
      <c r="O728" s="140"/>
      <c r="P728" s="140"/>
      <c r="Q728" s="140"/>
      <c r="R728" s="140"/>
      <c r="S728" s="140"/>
      <c r="T728" s="140"/>
      <c r="U728" s="140"/>
      <c r="V728" s="140"/>
      <c r="W728" s="140"/>
      <c r="X728" s="140"/>
      <c r="Y728" s="140"/>
      <c r="Z728" s="140"/>
      <c r="AA728" s="141"/>
      <c r="AE728" s="140"/>
      <c r="AI728" s="141"/>
      <c r="AM728" s="141"/>
      <c r="AQ728" s="141"/>
      <c r="AT728" s="140"/>
      <c r="AU728" s="140"/>
    </row>
    <row r="729" spans="2:47" s="134" customFormat="1" x14ac:dyDescent="0.2">
      <c r="B729" s="145"/>
      <c r="D729" s="679"/>
      <c r="J729" s="140"/>
      <c r="K729" s="140"/>
      <c r="L729" s="140"/>
      <c r="M729" s="140"/>
      <c r="N729" s="140"/>
      <c r="O729" s="140"/>
      <c r="P729" s="140"/>
      <c r="Q729" s="140"/>
      <c r="R729" s="140"/>
      <c r="S729" s="140"/>
      <c r="T729" s="140"/>
      <c r="U729" s="140"/>
      <c r="V729" s="140"/>
      <c r="W729" s="140"/>
      <c r="X729" s="140"/>
      <c r="Y729" s="140"/>
      <c r="Z729" s="140"/>
      <c r="AA729" s="141"/>
      <c r="AE729" s="140"/>
      <c r="AI729" s="141"/>
      <c r="AM729" s="141"/>
      <c r="AQ729" s="141"/>
      <c r="AT729" s="140"/>
      <c r="AU729" s="140"/>
    </row>
    <row r="730" spans="2:47" s="134" customFormat="1" x14ac:dyDescent="0.2">
      <c r="B730" s="145"/>
      <c r="D730" s="679"/>
      <c r="J730" s="140"/>
      <c r="K730" s="140"/>
      <c r="L730" s="140"/>
      <c r="M730" s="140"/>
      <c r="N730" s="140"/>
      <c r="O730" s="140"/>
      <c r="P730" s="140"/>
      <c r="Q730" s="140"/>
      <c r="R730" s="140"/>
      <c r="S730" s="140"/>
      <c r="T730" s="140"/>
      <c r="U730" s="140"/>
      <c r="V730" s="140"/>
      <c r="W730" s="140"/>
      <c r="X730" s="140"/>
      <c r="Y730" s="140"/>
      <c r="Z730" s="140"/>
      <c r="AA730" s="141"/>
      <c r="AE730" s="140"/>
      <c r="AI730" s="141"/>
      <c r="AM730" s="141"/>
      <c r="AQ730" s="141"/>
      <c r="AT730" s="140"/>
      <c r="AU730" s="140"/>
    </row>
    <row r="731" spans="2:47" s="134" customFormat="1" x14ac:dyDescent="0.2">
      <c r="B731" s="145"/>
      <c r="D731" s="679"/>
      <c r="J731" s="140"/>
      <c r="K731" s="140"/>
      <c r="L731" s="140"/>
      <c r="M731" s="140"/>
      <c r="N731" s="140"/>
      <c r="O731" s="140"/>
      <c r="P731" s="140"/>
      <c r="Q731" s="140"/>
      <c r="R731" s="140"/>
      <c r="S731" s="140"/>
      <c r="T731" s="140"/>
      <c r="U731" s="140"/>
      <c r="V731" s="140"/>
      <c r="W731" s="140"/>
      <c r="X731" s="140"/>
      <c r="Y731" s="140"/>
      <c r="Z731" s="140"/>
      <c r="AA731" s="141"/>
      <c r="AE731" s="140"/>
      <c r="AI731" s="141"/>
      <c r="AM731" s="141"/>
      <c r="AQ731" s="141"/>
      <c r="AT731" s="140"/>
      <c r="AU731" s="140"/>
    </row>
    <row r="732" spans="2:47" s="134" customFormat="1" x14ac:dyDescent="0.2">
      <c r="B732" s="145"/>
      <c r="D732" s="679"/>
      <c r="J732" s="140"/>
      <c r="K732" s="140"/>
      <c r="L732" s="140"/>
      <c r="M732" s="140"/>
      <c r="N732" s="140"/>
      <c r="O732" s="140"/>
      <c r="P732" s="140"/>
      <c r="Q732" s="140"/>
      <c r="R732" s="140"/>
      <c r="S732" s="140"/>
      <c r="T732" s="140"/>
      <c r="U732" s="140"/>
      <c r="V732" s="140"/>
      <c r="W732" s="140"/>
      <c r="X732" s="140"/>
      <c r="Y732" s="140"/>
      <c r="Z732" s="140"/>
      <c r="AA732" s="141"/>
      <c r="AE732" s="140"/>
      <c r="AI732" s="141"/>
      <c r="AM732" s="141"/>
      <c r="AQ732" s="141"/>
      <c r="AT732" s="140"/>
      <c r="AU732" s="140"/>
    </row>
    <row r="733" spans="2:47" s="134" customFormat="1" x14ac:dyDescent="0.2">
      <c r="B733" s="145"/>
      <c r="D733" s="679"/>
      <c r="J733" s="140"/>
      <c r="K733" s="140"/>
      <c r="L733" s="140"/>
      <c r="M733" s="140"/>
      <c r="N733" s="140"/>
      <c r="O733" s="140"/>
      <c r="P733" s="140"/>
      <c r="Q733" s="140"/>
      <c r="R733" s="140"/>
      <c r="S733" s="140"/>
      <c r="T733" s="140"/>
      <c r="U733" s="140"/>
      <c r="V733" s="140"/>
      <c r="W733" s="140"/>
      <c r="X733" s="140"/>
      <c r="Y733" s="140"/>
      <c r="Z733" s="140"/>
      <c r="AA733" s="141"/>
      <c r="AE733" s="140"/>
      <c r="AI733" s="141"/>
      <c r="AM733" s="141"/>
      <c r="AQ733" s="141"/>
      <c r="AT733" s="140"/>
      <c r="AU733" s="140"/>
    </row>
    <row r="734" spans="2:47" s="134" customFormat="1" x14ac:dyDescent="0.2">
      <c r="B734" s="145"/>
      <c r="D734" s="679"/>
      <c r="J734" s="140"/>
      <c r="K734" s="140"/>
      <c r="L734" s="140"/>
      <c r="M734" s="140"/>
      <c r="N734" s="140"/>
      <c r="O734" s="140"/>
      <c r="P734" s="140"/>
      <c r="Q734" s="140"/>
      <c r="R734" s="140"/>
      <c r="S734" s="140"/>
      <c r="T734" s="140"/>
      <c r="U734" s="140"/>
      <c r="V734" s="140"/>
      <c r="W734" s="140"/>
      <c r="X734" s="140"/>
      <c r="Y734" s="140"/>
      <c r="Z734" s="140"/>
      <c r="AA734" s="141"/>
      <c r="AE734" s="140"/>
      <c r="AI734" s="141"/>
      <c r="AM734" s="141"/>
      <c r="AQ734" s="141"/>
      <c r="AT734" s="140"/>
      <c r="AU734" s="140"/>
    </row>
    <row r="735" spans="2:47" s="134" customFormat="1" x14ac:dyDescent="0.2">
      <c r="B735" s="145"/>
      <c r="D735" s="679"/>
      <c r="J735" s="140"/>
      <c r="K735" s="140"/>
      <c r="L735" s="140"/>
      <c r="M735" s="140"/>
      <c r="N735" s="140"/>
      <c r="O735" s="140"/>
      <c r="P735" s="140"/>
      <c r="Q735" s="140"/>
      <c r="R735" s="140"/>
      <c r="S735" s="140"/>
      <c r="T735" s="140"/>
      <c r="U735" s="140"/>
      <c r="V735" s="140"/>
      <c r="W735" s="140"/>
      <c r="X735" s="140"/>
      <c r="Y735" s="140"/>
      <c r="Z735" s="140"/>
      <c r="AA735" s="141"/>
      <c r="AE735" s="140"/>
      <c r="AI735" s="141"/>
      <c r="AM735" s="141"/>
      <c r="AQ735" s="141"/>
      <c r="AT735" s="140"/>
      <c r="AU735" s="140"/>
    </row>
    <row r="736" spans="2:47" s="134" customFormat="1" x14ac:dyDescent="0.2">
      <c r="B736" s="145"/>
      <c r="D736" s="679"/>
      <c r="J736" s="140"/>
      <c r="K736" s="140"/>
      <c r="L736" s="140"/>
      <c r="M736" s="140"/>
      <c r="N736" s="140"/>
      <c r="O736" s="140"/>
      <c r="P736" s="140"/>
      <c r="Q736" s="140"/>
      <c r="R736" s="140"/>
      <c r="S736" s="140"/>
      <c r="T736" s="140"/>
      <c r="U736" s="140"/>
      <c r="V736" s="140"/>
      <c r="W736" s="140"/>
      <c r="X736" s="140"/>
      <c r="Y736" s="140"/>
      <c r="Z736" s="140"/>
      <c r="AA736" s="141"/>
      <c r="AE736" s="140"/>
      <c r="AI736" s="141"/>
      <c r="AM736" s="141"/>
      <c r="AQ736" s="141"/>
      <c r="AT736" s="140"/>
      <c r="AU736" s="140"/>
    </row>
    <row r="737" spans="2:47" s="134" customFormat="1" x14ac:dyDescent="0.2">
      <c r="B737" s="145"/>
      <c r="D737" s="679"/>
      <c r="J737" s="140"/>
      <c r="K737" s="140"/>
      <c r="L737" s="140"/>
      <c r="M737" s="140"/>
      <c r="N737" s="140"/>
      <c r="O737" s="140"/>
      <c r="P737" s="140"/>
      <c r="Q737" s="140"/>
      <c r="R737" s="140"/>
      <c r="S737" s="140"/>
      <c r="T737" s="140"/>
      <c r="U737" s="140"/>
      <c r="V737" s="140"/>
      <c r="W737" s="140"/>
      <c r="X737" s="140"/>
      <c r="Y737" s="140"/>
      <c r="Z737" s="140"/>
      <c r="AA737" s="141"/>
      <c r="AE737" s="140"/>
      <c r="AI737" s="141"/>
      <c r="AM737" s="141"/>
      <c r="AQ737" s="141"/>
      <c r="AT737" s="140"/>
      <c r="AU737" s="140"/>
    </row>
    <row r="738" spans="2:47" s="134" customFormat="1" x14ac:dyDescent="0.2">
      <c r="B738" s="145"/>
      <c r="D738" s="679"/>
      <c r="J738" s="140"/>
      <c r="K738" s="140"/>
      <c r="L738" s="140"/>
      <c r="M738" s="140"/>
      <c r="N738" s="140"/>
      <c r="O738" s="140"/>
      <c r="P738" s="140"/>
      <c r="Q738" s="140"/>
      <c r="R738" s="140"/>
      <c r="S738" s="140"/>
      <c r="T738" s="140"/>
      <c r="U738" s="140"/>
      <c r="V738" s="140"/>
      <c r="W738" s="140"/>
      <c r="X738" s="140"/>
      <c r="Y738" s="140"/>
      <c r="Z738" s="140"/>
      <c r="AA738" s="141"/>
      <c r="AE738" s="140"/>
      <c r="AI738" s="141"/>
      <c r="AM738" s="141"/>
      <c r="AQ738" s="141"/>
      <c r="AT738" s="140"/>
      <c r="AU738" s="140"/>
    </row>
    <row r="739" spans="2:47" s="134" customFormat="1" x14ac:dyDescent="0.2">
      <c r="B739" s="145"/>
      <c r="D739" s="679"/>
      <c r="J739" s="140"/>
      <c r="K739" s="140"/>
      <c r="L739" s="140"/>
      <c r="M739" s="140"/>
      <c r="N739" s="140"/>
      <c r="O739" s="140"/>
      <c r="P739" s="140"/>
      <c r="Q739" s="140"/>
      <c r="R739" s="140"/>
      <c r="S739" s="140"/>
      <c r="T739" s="140"/>
      <c r="U739" s="140"/>
      <c r="V739" s="140"/>
      <c r="W739" s="140"/>
      <c r="X739" s="140"/>
      <c r="Y739" s="140"/>
      <c r="Z739" s="140"/>
      <c r="AA739" s="141"/>
      <c r="AE739" s="140"/>
      <c r="AI739" s="141"/>
      <c r="AM739" s="141"/>
      <c r="AQ739" s="141"/>
      <c r="AT739" s="140"/>
      <c r="AU739" s="140"/>
    </row>
    <row r="740" spans="2:47" s="134" customFormat="1" x14ac:dyDescent="0.2">
      <c r="B740" s="145"/>
      <c r="D740" s="679"/>
      <c r="J740" s="140"/>
      <c r="K740" s="140"/>
      <c r="L740" s="140"/>
      <c r="M740" s="140"/>
      <c r="N740" s="140"/>
      <c r="O740" s="140"/>
      <c r="P740" s="140"/>
      <c r="Q740" s="140"/>
      <c r="R740" s="140"/>
      <c r="S740" s="140"/>
      <c r="T740" s="140"/>
      <c r="U740" s="140"/>
      <c r="V740" s="140"/>
      <c r="W740" s="140"/>
      <c r="X740" s="140"/>
      <c r="Y740" s="140"/>
      <c r="Z740" s="140"/>
      <c r="AA740" s="141"/>
      <c r="AE740" s="140"/>
      <c r="AI740" s="141"/>
      <c r="AM740" s="141"/>
      <c r="AQ740" s="141"/>
      <c r="AT740" s="140"/>
      <c r="AU740" s="140"/>
    </row>
    <row r="741" spans="2:47" s="134" customFormat="1" x14ac:dyDescent="0.2">
      <c r="B741" s="145"/>
      <c r="D741" s="679"/>
      <c r="J741" s="140"/>
      <c r="K741" s="140"/>
      <c r="L741" s="140"/>
      <c r="M741" s="140"/>
      <c r="N741" s="140"/>
      <c r="O741" s="140"/>
      <c r="P741" s="140"/>
      <c r="Q741" s="140"/>
      <c r="R741" s="140"/>
      <c r="S741" s="140"/>
      <c r="T741" s="140"/>
      <c r="U741" s="140"/>
      <c r="V741" s="140"/>
      <c r="W741" s="140"/>
      <c r="X741" s="140"/>
      <c r="Y741" s="140"/>
      <c r="Z741" s="140"/>
      <c r="AA741" s="141"/>
      <c r="AE741" s="140"/>
      <c r="AI741" s="141"/>
      <c r="AM741" s="141"/>
      <c r="AQ741" s="141"/>
      <c r="AT741" s="140"/>
      <c r="AU741" s="140"/>
    </row>
    <row r="742" spans="2:47" s="134" customFormat="1" x14ac:dyDescent="0.2">
      <c r="B742" s="145"/>
      <c r="D742" s="679"/>
      <c r="J742" s="140"/>
      <c r="K742" s="140"/>
      <c r="L742" s="140"/>
      <c r="M742" s="140"/>
      <c r="N742" s="140"/>
      <c r="O742" s="140"/>
      <c r="P742" s="140"/>
      <c r="Q742" s="140"/>
      <c r="R742" s="140"/>
      <c r="S742" s="140"/>
      <c r="T742" s="140"/>
      <c r="U742" s="140"/>
      <c r="V742" s="140"/>
      <c r="W742" s="140"/>
      <c r="X742" s="140"/>
      <c r="Y742" s="140"/>
      <c r="Z742" s="140"/>
      <c r="AA742" s="141"/>
      <c r="AE742" s="140"/>
      <c r="AI742" s="141"/>
      <c r="AM742" s="141"/>
      <c r="AQ742" s="141"/>
      <c r="AT742" s="140"/>
      <c r="AU742" s="140"/>
    </row>
    <row r="743" spans="2:47" s="134" customFormat="1" x14ac:dyDescent="0.2">
      <c r="B743" s="145"/>
      <c r="D743" s="679"/>
      <c r="J743" s="140"/>
      <c r="K743" s="140"/>
      <c r="L743" s="140"/>
      <c r="M743" s="140"/>
      <c r="N743" s="140"/>
      <c r="O743" s="140"/>
      <c r="P743" s="140"/>
      <c r="Q743" s="140"/>
      <c r="R743" s="140"/>
      <c r="S743" s="140"/>
      <c r="T743" s="140"/>
      <c r="U743" s="140"/>
      <c r="V743" s="140"/>
      <c r="W743" s="140"/>
      <c r="X743" s="140"/>
      <c r="Y743" s="140"/>
      <c r="Z743" s="140"/>
      <c r="AA743" s="141"/>
      <c r="AE743" s="140"/>
      <c r="AI743" s="141"/>
      <c r="AM743" s="141"/>
      <c r="AQ743" s="141"/>
      <c r="AT743" s="140"/>
      <c r="AU743" s="140"/>
    </row>
    <row r="744" spans="2:47" s="134" customFormat="1" x14ac:dyDescent="0.2">
      <c r="B744" s="145"/>
      <c r="D744" s="679"/>
      <c r="J744" s="140"/>
      <c r="K744" s="140"/>
      <c r="L744" s="140"/>
      <c r="M744" s="140"/>
      <c r="N744" s="140"/>
      <c r="O744" s="140"/>
      <c r="P744" s="140"/>
      <c r="Q744" s="140"/>
      <c r="R744" s="140"/>
      <c r="S744" s="140"/>
      <c r="T744" s="140"/>
      <c r="U744" s="140"/>
      <c r="V744" s="140"/>
      <c r="W744" s="140"/>
      <c r="X744" s="140"/>
      <c r="Y744" s="140"/>
      <c r="Z744" s="140"/>
      <c r="AA744" s="141"/>
      <c r="AE744" s="140"/>
      <c r="AI744" s="141"/>
      <c r="AM744" s="141"/>
      <c r="AQ744" s="141"/>
      <c r="AT744" s="140"/>
      <c r="AU744" s="140"/>
    </row>
    <row r="745" spans="2:47" s="134" customFormat="1" x14ac:dyDescent="0.2">
      <c r="B745" s="145"/>
      <c r="D745" s="679"/>
      <c r="J745" s="140"/>
      <c r="K745" s="140"/>
      <c r="L745" s="140"/>
      <c r="M745" s="140"/>
      <c r="N745" s="140"/>
      <c r="O745" s="140"/>
      <c r="P745" s="140"/>
      <c r="Q745" s="140"/>
      <c r="R745" s="140"/>
      <c r="S745" s="140"/>
      <c r="T745" s="140"/>
      <c r="U745" s="140"/>
      <c r="V745" s="140"/>
      <c r="W745" s="140"/>
      <c r="X745" s="140"/>
      <c r="Y745" s="140"/>
      <c r="Z745" s="140"/>
      <c r="AA745" s="141"/>
      <c r="AE745" s="140"/>
      <c r="AI745" s="141"/>
      <c r="AM745" s="141"/>
      <c r="AQ745" s="141"/>
      <c r="AT745" s="140"/>
      <c r="AU745" s="140"/>
    </row>
    <row r="746" spans="2:47" s="134" customFormat="1" x14ac:dyDescent="0.2">
      <c r="B746" s="145"/>
      <c r="D746" s="679"/>
      <c r="J746" s="140"/>
      <c r="K746" s="140"/>
      <c r="L746" s="140"/>
      <c r="M746" s="140"/>
      <c r="N746" s="140"/>
      <c r="O746" s="140"/>
      <c r="P746" s="140"/>
      <c r="Q746" s="140"/>
      <c r="R746" s="140"/>
      <c r="S746" s="140"/>
      <c r="T746" s="140"/>
      <c r="U746" s="140"/>
      <c r="V746" s="140"/>
      <c r="W746" s="140"/>
      <c r="X746" s="140"/>
      <c r="Y746" s="140"/>
      <c r="Z746" s="140"/>
      <c r="AA746" s="141"/>
      <c r="AE746" s="140"/>
      <c r="AI746" s="141"/>
      <c r="AM746" s="141"/>
      <c r="AQ746" s="141"/>
      <c r="AT746" s="140"/>
      <c r="AU746" s="140"/>
    </row>
    <row r="747" spans="2:47" s="134" customFormat="1" x14ac:dyDescent="0.2">
      <c r="B747" s="145"/>
      <c r="D747" s="679"/>
      <c r="J747" s="140"/>
      <c r="K747" s="140"/>
      <c r="L747" s="140"/>
      <c r="M747" s="140"/>
      <c r="N747" s="140"/>
      <c r="O747" s="140"/>
      <c r="P747" s="140"/>
      <c r="Q747" s="140"/>
      <c r="R747" s="140"/>
      <c r="S747" s="140"/>
      <c r="T747" s="140"/>
      <c r="U747" s="140"/>
      <c r="V747" s="140"/>
      <c r="W747" s="140"/>
      <c r="X747" s="140"/>
      <c r="Y747" s="140"/>
      <c r="Z747" s="140"/>
      <c r="AA747" s="141"/>
      <c r="AE747" s="140"/>
      <c r="AI747" s="141"/>
      <c r="AM747" s="141"/>
      <c r="AQ747" s="141"/>
      <c r="AT747" s="140"/>
      <c r="AU747" s="140"/>
    </row>
    <row r="748" spans="2:47" s="134" customFormat="1" x14ac:dyDescent="0.2">
      <c r="B748" s="145"/>
      <c r="D748" s="679"/>
      <c r="J748" s="140"/>
      <c r="K748" s="140"/>
      <c r="L748" s="140"/>
      <c r="M748" s="140"/>
      <c r="N748" s="140"/>
      <c r="O748" s="140"/>
      <c r="P748" s="140"/>
      <c r="Q748" s="140"/>
      <c r="R748" s="140"/>
      <c r="S748" s="140"/>
      <c r="T748" s="140"/>
      <c r="U748" s="140"/>
      <c r="V748" s="140"/>
      <c r="W748" s="140"/>
      <c r="X748" s="140"/>
      <c r="Y748" s="140"/>
      <c r="Z748" s="140"/>
      <c r="AA748" s="141"/>
      <c r="AE748" s="140"/>
      <c r="AI748" s="141"/>
      <c r="AM748" s="141"/>
      <c r="AQ748" s="141"/>
      <c r="AT748" s="140"/>
      <c r="AU748" s="140"/>
    </row>
    <row r="749" spans="2:47" s="134" customFormat="1" x14ac:dyDescent="0.2">
      <c r="B749" s="145"/>
      <c r="D749" s="679"/>
      <c r="J749" s="140"/>
      <c r="K749" s="140"/>
      <c r="L749" s="140"/>
      <c r="M749" s="140"/>
      <c r="N749" s="140"/>
      <c r="O749" s="140"/>
      <c r="P749" s="140"/>
      <c r="Q749" s="140"/>
      <c r="R749" s="140"/>
      <c r="S749" s="140"/>
      <c r="T749" s="140"/>
      <c r="U749" s="140"/>
      <c r="V749" s="140"/>
      <c r="W749" s="140"/>
      <c r="X749" s="140"/>
      <c r="Y749" s="140"/>
      <c r="Z749" s="140"/>
      <c r="AA749" s="141"/>
      <c r="AE749" s="140"/>
      <c r="AI749" s="141"/>
      <c r="AM749" s="141"/>
      <c r="AQ749" s="141"/>
      <c r="AT749" s="140"/>
      <c r="AU749" s="140"/>
    </row>
    <row r="750" spans="2:47" s="134" customFormat="1" x14ac:dyDescent="0.2">
      <c r="B750" s="145"/>
      <c r="D750" s="679"/>
      <c r="J750" s="140"/>
      <c r="K750" s="140"/>
      <c r="L750" s="140"/>
      <c r="M750" s="140"/>
      <c r="N750" s="140"/>
      <c r="O750" s="140"/>
      <c r="P750" s="140"/>
      <c r="Q750" s="140"/>
      <c r="R750" s="140"/>
      <c r="S750" s="140"/>
      <c r="T750" s="140"/>
      <c r="U750" s="140"/>
      <c r="V750" s="140"/>
      <c r="W750" s="140"/>
      <c r="X750" s="140"/>
      <c r="Y750" s="140"/>
      <c r="Z750" s="140"/>
      <c r="AA750" s="141"/>
      <c r="AE750" s="140"/>
      <c r="AI750" s="141"/>
      <c r="AM750" s="141"/>
      <c r="AQ750" s="141"/>
      <c r="AT750" s="140"/>
      <c r="AU750" s="140"/>
    </row>
    <row r="751" spans="2:47" s="134" customFormat="1" x14ac:dyDescent="0.2">
      <c r="B751" s="145"/>
      <c r="D751" s="679"/>
      <c r="J751" s="140"/>
      <c r="K751" s="140"/>
      <c r="L751" s="140"/>
      <c r="M751" s="140"/>
      <c r="N751" s="140"/>
      <c r="O751" s="140"/>
      <c r="P751" s="140"/>
      <c r="Q751" s="140"/>
      <c r="R751" s="140"/>
      <c r="S751" s="140"/>
      <c r="T751" s="140"/>
      <c r="U751" s="140"/>
      <c r="V751" s="140"/>
      <c r="W751" s="140"/>
      <c r="X751" s="140"/>
      <c r="Y751" s="140"/>
      <c r="Z751" s="140"/>
      <c r="AA751" s="141"/>
      <c r="AE751" s="140"/>
      <c r="AI751" s="141"/>
      <c r="AM751" s="141"/>
      <c r="AQ751" s="141"/>
      <c r="AT751" s="140"/>
      <c r="AU751" s="140"/>
    </row>
    <row r="752" spans="2:47" s="134" customFormat="1" x14ac:dyDescent="0.2">
      <c r="B752" s="145"/>
      <c r="D752" s="679"/>
      <c r="J752" s="140"/>
      <c r="K752" s="140"/>
      <c r="L752" s="140"/>
      <c r="M752" s="140"/>
      <c r="N752" s="140"/>
      <c r="O752" s="140"/>
      <c r="P752" s="140"/>
      <c r="Q752" s="140"/>
      <c r="R752" s="140"/>
      <c r="S752" s="140"/>
      <c r="T752" s="140"/>
      <c r="U752" s="140"/>
      <c r="V752" s="140"/>
      <c r="W752" s="140"/>
      <c r="X752" s="140"/>
      <c r="Y752" s="140"/>
      <c r="Z752" s="140"/>
      <c r="AA752" s="141"/>
      <c r="AE752" s="140"/>
      <c r="AI752" s="141"/>
      <c r="AM752" s="141"/>
      <c r="AQ752" s="141"/>
      <c r="AT752" s="140"/>
      <c r="AU752" s="140"/>
    </row>
    <row r="753" spans="2:47" s="134" customFormat="1" x14ac:dyDescent="0.2">
      <c r="B753" s="145"/>
      <c r="D753" s="679"/>
      <c r="J753" s="140"/>
      <c r="K753" s="140"/>
      <c r="L753" s="140"/>
      <c r="M753" s="140"/>
      <c r="N753" s="140"/>
      <c r="O753" s="140"/>
      <c r="P753" s="140"/>
      <c r="Q753" s="140"/>
      <c r="R753" s="140"/>
      <c r="S753" s="140"/>
      <c r="T753" s="140"/>
      <c r="U753" s="140"/>
      <c r="V753" s="140"/>
      <c r="W753" s="140"/>
      <c r="X753" s="140"/>
      <c r="Y753" s="140"/>
      <c r="Z753" s="140"/>
      <c r="AA753" s="141"/>
      <c r="AE753" s="140"/>
      <c r="AI753" s="141"/>
      <c r="AM753" s="141"/>
      <c r="AQ753" s="141"/>
      <c r="AT753" s="140"/>
      <c r="AU753" s="140"/>
    </row>
    <row r="754" spans="2:47" s="134" customFormat="1" x14ac:dyDescent="0.2">
      <c r="B754" s="145"/>
      <c r="D754" s="679"/>
      <c r="J754" s="140"/>
      <c r="K754" s="140"/>
      <c r="L754" s="140"/>
      <c r="M754" s="140"/>
      <c r="N754" s="140"/>
      <c r="O754" s="140"/>
      <c r="P754" s="140"/>
      <c r="Q754" s="140"/>
      <c r="R754" s="140"/>
      <c r="S754" s="140"/>
      <c r="T754" s="140"/>
      <c r="U754" s="140"/>
      <c r="V754" s="140"/>
      <c r="W754" s="140"/>
      <c r="X754" s="140"/>
      <c r="Y754" s="140"/>
      <c r="Z754" s="140"/>
      <c r="AA754" s="141"/>
      <c r="AE754" s="140"/>
      <c r="AI754" s="141"/>
      <c r="AM754" s="141"/>
      <c r="AQ754" s="141"/>
      <c r="AT754" s="140"/>
      <c r="AU754" s="140"/>
    </row>
    <row r="755" spans="2:47" s="134" customFormat="1" x14ac:dyDescent="0.2">
      <c r="B755" s="145"/>
      <c r="D755" s="679"/>
      <c r="J755" s="140"/>
      <c r="K755" s="140"/>
      <c r="L755" s="140"/>
      <c r="M755" s="140"/>
      <c r="N755" s="140"/>
      <c r="O755" s="140"/>
      <c r="P755" s="140"/>
      <c r="Q755" s="140"/>
      <c r="R755" s="140"/>
      <c r="S755" s="140"/>
      <c r="T755" s="140"/>
      <c r="U755" s="140"/>
      <c r="V755" s="140"/>
      <c r="W755" s="140"/>
      <c r="X755" s="140"/>
      <c r="Y755" s="140"/>
      <c r="Z755" s="140"/>
      <c r="AA755" s="141"/>
      <c r="AE755" s="140"/>
      <c r="AI755" s="141"/>
      <c r="AM755" s="141"/>
      <c r="AQ755" s="141"/>
      <c r="AT755" s="140"/>
      <c r="AU755" s="140"/>
    </row>
    <row r="756" spans="2:47" s="134" customFormat="1" x14ac:dyDescent="0.2">
      <c r="B756" s="145"/>
      <c r="D756" s="679"/>
      <c r="J756" s="140"/>
      <c r="K756" s="140"/>
      <c r="L756" s="140"/>
      <c r="M756" s="140"/>
      <c r="N756" s="140"/>
      <c r="O756" s="140"/>
      <c r="P756" s="140"/>
      <c r="Q756" s="140"/>
      <c r="R756" s="140"/>
      <c r="S756" s="140"/>
      <c r="T756" s="140"/>
      <c r="U756" s="140"/>
      <c r="V756" s="140"/>
      <c r="W756" s="140"/>
      <c r="X756" s="140"/>
      <c r="Y756" s="140"/>
      <c r="Z756" s="140"/>
      <c r="AA756" s="141"/>
      <c r="AE756" s="140"/>
      <c r="AI756" s="141"/>
      <c r="AM756" s="141"/>
      <c r="AQ756" s="141"/>
      <c r="AT756" s="140"/>
      <c r="AU756" s="140"/>
    </row>
    <row r="757" spans="2:47" s="134" customFormat="1" x14ac:dyDescent="0.2">
      <c r="B757" s="145"/>
      <c r="D757" s="679"/>
      <c r="J757" s="140"/>
      <c r="K757" s="140"/>
      <c r="L757" s="140"/>
      <c r="M757" s="140"/>
      <c r="N757" s="140"/>
      <c r="O757" s="140"/>
      <c r="P757" s="140"/>
      <c r="Q757" s="140"/>
      <c r="R757" s="140"/>
      <c r="S757" s="140"/>
      <c r="T757" s="140"/>
      <c r="U757" s="140"/>
      <c r="V757" s="140"/>
      <c r="W757" s="140"/>
      <c r="X757" s="140"/>
      <c r="Y757" s="140"/>
      <c r="Z757" s="140"/>
      <c r="AA757" s="141"/>
      <c r="AE757" s="140"/>
      <c r="AI757" s="141"/>
      <c r="AM757" s="141"/>
      <c r="AQ757" s="141"/>
      <c r="AT757" s="140"/>
      <c r="AU757" s="140"/>
    </row>
    <row r="758" spans="2:47" s="134" customFormat="1" x14ac:dyDescent="0.2">
      <c r="B758" s="145"/>
      <c r="D758" s="679"/>
      <c r="J758" s="140"/>
      <c r="K758" s="140"/>
      <c r="L758" s="140"/>
      <c r="M758" s="140"/>
      <c r="N758" s="140"/>
      <c r="O758" s="140"/>
      <c r="P758" s="140"/>
      <c r="Q758" s="140"/>
      <c r="R758" s="140"/>
      <c r="S758" s="140"/>
      <c r="T758" s="140"/>
      <c r="U758" s="140"/>
      <c r="V758" s="140"/>
      <c r="W758" s="140"/>
      <c r="X758" s="140"/>
      <c r="Y758" s="140"/>
      <c r="Z758" s="140"/>
      <c r="AA758" s="141"/>
      <c r="AE758" s="140"/>
      <c r="AI758" s="141"/>
      <c r="AM758" s="141"/>
      <c r="AQ758" s="141"/>
      <c r="AT758" s="140"/>
      <c r="AU758" s="140"/>
    </row>
    <row r="759" spans="2:47" s="134" customFormat="1" x14ac:dyDescent="0.2">
      <c r="B759" s="145"/>
      <c r="D759" s="679"/>
      <c r="J759" s="140"/>
      <c r="K759" s="140"/>
      <c r="L759" s="140"/>
      <c r="M759" s="140"/>
      <c r="N759" s="140"/>
      <c r="O759" s="140"/>
      <c r="P759" s="140"/>
      <c r="Q759" s="140"/>
      <c r="R759" s="140"/>
      <c r="S759" s="140"/>
      <c r="T759" s="140"/>
      <c r="U759" s="140"/>
      <c r="V759" s="140"/>
      <c r="W759" s="140"/>
      <c r="X759" s="140"/>
      <c r="Y759" s="140"/>
      <c r="Z759" s="140"/>
      <c r="AA759" s="141"/>
      <c r="AE759" s="140"/>
      <c r="AI759" s="141"/>
      <c r="AM759" s="141"/>
      <c r="AQ759" s="141"/>
      <c r="AT759" s="140"/>
      <c r="AU759" s="140"/>
    </row>
    <row r="760" spans="2:47" s="134" customFormat="1" x14ac:dyDescent="0.2">
      <c r="B760" s="145"/>
      <c r="D760" s="679"/>
      <c r="J760" s="140"/>
      <c r="K760" s="140"/>
      <c r="L760" s="140"/>
      <c r="M760" s="140"/>
      <c r="N760" s="140"/>
      <c r="O760" s="140"/>
      <c r="P760" s="140"/>
      <c r="Q760" s="140"/>
      <c r="R760" s="140"/>
      <c r="S760" s="140"/>
      <c r="T760" s="140"/>
      <c r="U760" s="140"/>
      <c r="V760" s="140"/>
      <c r="W760" s="140"/>
      <c r="X760" s="140"/>
      <c r="Y760" s="140"/>
      <c r="Z760" s="140"/>
      <c r="AA760" s="141"/>
      <c r="AE760" s="140"/>
      <c r="AI760" s="141"/>
      <c r="AM760" s="141"/>
      <c r="AQ760" s="141"/>
      <c r="AT760" s="140"/>
      <c r="AU760" s="140"/>
    </row>
    <row r="761" spans="2:47" s="134" customFormat="1" x14ac:dyDescent="0.2">
      <c r="B761" s="145"/>
      <c r="D761" s="679"/>
      <c r="J761" s="140"/>
      <c r="K761" s="140"/>
      <c r="L761" s="140"/>
      <c r="M761" s="140"/>
      <c r="N761" s="140"/>
      <c r="O761" s="140"/>
      <c r="P761" s="140"/>
      <c r="Q761" s="140"/>
      <c r="R761" s="140"/>
      <c r="S761" s="140"/>
      <c r="T761" s="140"/>
      <c r="U761" s="140"/>
      <c r="V761" s="140"/>
      <c r="W761" s="140"/>
      <c r="X761" s="140"/>
      <c r="Y761" s="140"/>
      <c r="Z761" s="140"/>
      <c r="AA761" s="141"/>
      <c r="AE761" s="140"/>
      <c r="AI761" s="141"/>
      <c r="AM761" s="141"/>
      <c r="AQ761" s="141"/>
      <c r="AT761" s="140"/>
      <c r="AU761" s="140"/>
    </row>
    <row r="762" spans="2:47" s="134" customFormat="1" x14ac:dyDescent="0.2">
      <c r="B762" s="145"/>
      <c r="D762" s="679"/>
      <c r="J762" s="140"/>
      <c r="K762" s="140"/>
      <c r="L762" s="140"/>
      <c r="M762" s="140"/>
      <c r="N762" s="140"/>
      <c r="O762" s="140"/>
      <c r="P762" s="140"/>
      <c r="Q762" s="140"/>
      <c r="R762" s="140"/>
      <c r="S762" s="140"/>
      <c r="T762" s="140"/>
      <c r="U762" s="140"/>
      <c r="V762" s="140"/>
      <c r="W762" s="140"/>
      <c r="X762" s="140"/>
      <c r="Y762" s="140"/>
      <c r="Z762" s="140"/>
      <c r="AA762" s="141"/>
      <c r="AE762" s="140"/>
      <c r="AI762" s="141"/>
      <c r="AM762" s="141"/>
      <c r="AQ762" s="141"/>
      <c r="AT762" s="140"/>
      <c r="AU762" s="140"/>
    </row>
    <row r="763" spans="2:47" s="134" customFormat="1" x14ac:dyDescent="0.2">
      <c r="B763" s="145"/>
      <c r="D763" s="679"/>
      <c r="J763" s="140"/>
      <c r="K763" s="140"/>
      <c r="L763" s="140"/>
      <c r="M763" s="140"/>
      <c r="N763" s="140"/>
      <c r="O763" s="140"/>
      <c r="P763" s="140"/>
      <c r="Q763" s="140"/>
      <c r="R763" s="140"/>
      <c r="S763" s="140"/>
      <c r="T763" s="140"/>
      <c r="U763" s="140"/>
      <c r="V763" s="140"/>
      <c r="W763" s="140"/>
      <c r="X763" s="140"/>
      <c r="Y763" s="140"/>
      <c r="Z763" s="140"/>
      <c r="AA763" s="141"/>
      <c r="AE763" s="140"/>
      <c r="AI763" s="141"/>
      <c r="AM763" s="141"/>
      <c r="AQ763" s="141"/>
      <c r="AT763" s="140"/>
      <c r="AU763" s="140"/>
    </row>
    <row r="764" spans="2:47" s="134" customFormat="1" x14ac:dyDescent="0.2">
      <c r="B764" s="145"/>
      <c r="D764" s="679"/>
      <c r="J764" s="140"/>
      <c r="K764" s="140"/>
      <c r="L764" s="140"/>
      <c r="M764" s="140"/>
      <c r="N764" s="140"/>
      <c r="O764" s="140"/>
      <c r="P764" s="140"/>
      <c r="Q764" s="140"/>
      <c r="R764" s="140"/>
      <c r="S764" s="140"/>
      <c r="T764" s="140"/>
      <c r="U764" s="140"/>
      <c r="V764" s="140"/>
      <c r="W764" s="140"/>
      <c r="X764" s="140"/>
      <c r="Y764" s="140"/>
      <c r="Z764" s="140"/>
      <c r="AA764" s="141"/>
      <c r="AE764" s="140"/>
      <c r="AI764" s="141"/>
      <c r="AM764" s="141"/>
      <c r="AQ764" s="141"/>
      <c r="AT764" s="140"/>
      <c r="AU764" s="140"/>
    </row>
    <row r="765" spans="2:47" s="134" customFormat="1" x14ac:dyDescent="0.2">
      <c r="B765" s="145"/>
      <c r="D765" s="679"/>
      <c r="J765" s="140"/>
      <c r="K765" s="140"/>
      <c r="L765" s="140"/>
      <c r="M765" s="140"/>
      <c r="N765" s="140"/>
      <c r="O765" s="140"/>
      <c r="P765" s="140"/>
      <c r="Q765" s="140"/>
      <c r="R765" s="140"/>
      <c r="S765" s="140"/>
      <c r="T765" s="140"/>
      <c r="U765" s="140"/>
      <c r="V765" s="140"/>
      <c r="W765" s="140"/>
      <c r="X765" s="140"/>
      <c r="Y765" s="140"/>
      <c r="Z765" s="140"/>
      <c r="AA765" s="141"/>
      <c r="AE765" s="140"/>
      <c r="AI765" s="141"/>
      <c r="AM765" s="141"/>
      <c r="AQ765" s="141"/>
      <c r="AT765" s="140"/>
      <c r="AU765" s="140"/>
    </row>
    <row r="766" spans="2:47" s="134" customFormat="1" x14ac:dyDescent="0.2">
      <c r="B766" s="145"/>
      <c r="D766" s="679"/>
      <c r="J766" s="140"/>
      <c r="K766" s="140"/>
      <c r="L766" s="140"/>
      <c r="M766" s="140"/>
      <c r="N766" s="140"/>
      <c r="O766" s="140"/>
      <c r="P766" s="140"/>
      <c r="Q766" s="140"/>
      <c r="R766" s="140"/>
      <c r="S766" s="140"/>
      <c r="T766" s="140"/>
      <c r="U766" s="140"/>
      <c r="V766" s="140"/>
      <c r="W766" s="140"/>
      <c r="X766" s="140"/>
      <c r="Y766" s="140"/>
      <c r="Z766" s="140"/>
      <c r="AA766" s="141"/>
      <c r="AE766" s="140"/>
      <c r="AI766" s="141"/>
      <c r="AM766" s="141"/>
      <c r="AQ766" s="141"/>
      <c r="AT766" s="140"/>
      <c r="AU766" s="140"/>
    </row>
    <row r="767" spans="2:47" s="134" customFormat="1" x14ac:dyDescent="0.2">
      <c r="B767" s="145"/>
      <c r="D767" s="679"/>
      <c r="J767" s="140"/>
      <c r="K767" s="140"/>
      <c r="L767" s="140"/>
      <c r="M767" s="140"/>
      <c r="N767" s="140"/>
      <c r="O767" s="140"/>
      <c r="P767" s="140"/>
      <c r="Q767" s="140"/>
      <c r="R767" s="140"/>
      <c r="S767" s="140"/>
      <c r="T767" s="140"/>
      <c r="U767" s="140"/>
      <c r="V767" s="140"/>
      <c r="W767" s="140"/>
      <c r="X767" s="140"/>
      <c r="Y767" s="140"/>
      <c r="Z767" s="140"/>
      <c r="AA767" s="141"/>
      <c r="AE767" s="140"/>
      <c r="AI767" s="141"/>
      <c r="AM767" s="141"/>
      <c r="AQ767" s="141"/>
      <c r="AT767" s="140"/>
      <c r="AU767" s="140"/>
    </row>
    <row r="768" spans="2:47" s="134" customFormat="1" x14ac:dyDescent="0.2">
      <c r="B768" s="145"/>
      <c r="D768" s="679"/>
      <c r="J768" s="140"/>
      <c r="K768" s="140"/>
      <c r="L768" s="140"/>
      <c r="M768" s="140"/>
      <c r="N768" s="140"/>
      <c r="O768" s="140"/>
      <c r="P768" s="140"/>
      <c r="Q768" s="140"/>
      <c r="R768" s="140"/>
      <c r="S768" s="140"/>
      <c r="T768" s="140"/>
      <c r="U768" s="140"/>
      <c r="V768" s="140"/>
      <c r="W768" s="140"/>
      <c r="X768" s="140"/>
      <c r="Y768" s="140"/>
      <c r="Z768" s="140"/>
      <c r="AA768" s="141"/>
      <c r="AE768" s="140"/>
      <c r="AI768" s="141"/>
      <c r="AM768" s="141"/>
      <c r="AQ768" s="141"/>
      <c r="AT768" s="140"/>
      <c r="AU768" s="140"/>
    </row>
    <row r="769" spans="2:47" s="134" customFormat="1" x14ac:dyDescent="0.2">
      <c r="B769" s="145"/>
      <c r="D769" s="679"/>
      <c r="J769" s="140"/>
      <c r="K769" s="140"/>
      <c r="L769" s="140"/>
      <c r="M769" s="140"/>
      <c r="N769" s="140"/>
      <c r="O769" s="140"/>
      <c r="P769" s="140"/>
      <c r="Q769" s="140"/>
      <c r="R769" s="140"/>
      <c r="S769" s="140"/>
      <c r="T769" s="140"/>
      <c r="U769" s="140"/>
      <c r="V769" s="140"/>
      <c r="W769" s="140"/>
      <c r="X769" s="140"/>
      <c r="Y769" s="140"/>
      <c r="Z769" s="140"/>
      <c r="AA769" s="141"/>
      <c r="AE769" s="140"/>
      <c r="AI769" s="141"/>
      <c r="AM769" s="141"/>
      <c r="AQ769" s="141"/>
      <c r="AT769" s="140"/>
      <c r="AU769" s="140"/>
    </row>
    <row r="770" spans="2:47" s="134" customFormat="1" x14ac:dyDescent="0.2">
      <c r="B770" s="145"/>
      <c r="D770" s="679"/>
      <c r="J770" s="140"/>
      <c r="K770" s="140"/>
      <c r="L770" s="140"/>
      <c r="M770" s="140"/>
      <c r="N770" s="140"/>
      <c r="O770" s="140"/>
      <c r="P770" s="140"/>
      <c r="Q770" s="140"/>
      <c r="R770" s="140"/>
      <c r="S770" s="140"/>
      <c r="T770" s="140"/>
      <c r="U770" s="140"/>
      <c r="V770" s="140"/>
      <c r="W770" s="140"/>
      <c r="X770" s="140"/>
      <c r="Y770" s="140"/>
      <c r="Z770" s="140"/>
      <c r="AA770" s="141"/>
      <c r="AE770" s="140"/>
      <c r="AI770" s="141"/>
      <c r="AM770" s="141"/>
      <c r="AQ770" s="141"/>
      <c r="AT770" s="140"/>
      <c r="AU770" s="140"/>
    </row>
    <row r="771" spans="2:47" s="134" customFormat="1" x14ac:dyDescent="0.2">
      <c r="B771" s="145"/>
      <c r="D771" s="679"/>
      <c r="J771" s="140"/>
      <c r="K771" s="140"/>
      <c r="L771" s="140"/>
      <c r="M771" s="140"/>
      <c r="N771" s="140"/>
      <c r="O771" s="140"/>
      <c r="P771" s="140"/>
      <c r="Q771" s="140"/>
      <c r="R771" s="140"/>
      <c r="S771" s="140"/>
      <c r="T771" s="140"/>
      <c r="U771" s="140"/>
      <c r="V771" s="140"/>
      <c r="W771" s="140"/>
      <c r="X771" s="140"/>
      <c r="Y771" s="140"/>
      <c r="Z771" s="140"/>
      <c r="AA771" s="141"/>
      <c r="AE771" s="140"/>
      <c r="AI771" s="141"/>
      <c r="AM771" s="141"/>
      <c r="AQ771" s="141"/>
      <c r="AT771" s="140"/>
      <c r="AU771" s="140"/>
    </row>
    <row r="772" spans="2:47" s="134" customFormat="1" x14ac:dyDescent="0.2">
      <c r="B772" s="145"/>
      <c r="D772" s="679"/>
      <c r="J772" s="140"/>
      <c r="K772" s="140"/>
      <c r="L772" s="140"/>
      <c r="M772" s="140"/>
      <c r="N772" s="140"/>
      <c r="O772" s="140"/>
      <c r="P772" s="140"/>
      <c r="Q772" s="140"/>
      <c r="R772" s="140"/>
      <c r="S772" s="140"/>
      <c r="T772" s="140"/>
      <c r="U772" s="140"/>
      <c r="V772" s="140"/>
      <c r="W772" s="140"/>
      <c r="X772" s="140"/>
      <c r="Y772" s="140"/>
      <c r="Z772" s="140"/>
      <c r="AA772" s="141"/>
      <c r="AE772" s="140"/>
      <c r="AI772" s="141"/>
      <c r="AM772" s="141"/>
      <c r="AQ772" s="141"/>
      <c r="AT772" s="140"/>
      <c r="AU772" s="140"/>
    </row>
    <row r="773" spans="2:47" s="134" customFormat="1" x14ac:dyDescent="0.2">
      <c r="B773" s="145"/>
      <c r="D773" s="679"/>
      <c r="J773" s="140"/>
      <c r="K773" s="140"/>
      <c r="L773" s="140"/>
      <c r="M773" s="140"/>
      <c r="N773" s="140"/>
      <c r="O773" s="140"/>
      <c r="P773" s="140"/>
      <c r="Q773" s="140"/>
      <c r="R773" s="140"/>
      <c r="S773" s="140"/>
      <c r="T773" s="140"/>
      <c r="U773" s="140"/>
      <c r="V773" s="140"/>
      <c r="W773" s="140"/>
      <c r="X773" s="140"/>
      <c r="Y773" s="140"/>
      <c r="Z773" s="140"/>
      <c r="AA773" s="141"/>
      <c r="AE773" s="140"/>
      <c r="AI773" s="141"/>
      <c r="AM773" s="141"/>
      <c r="AQ773" s="141"/>
      <c r="AT773" s="140"/>
      <c r="AU773" s="140"/>
    </row>
    <row r="774" spans="2:47" s="134" customFormat="1" x14ac:dyDescent="0.2">
      <c r="B774" s="145"/>
      <c r="D774" s="679"/>
      <c r="J774" s="140"/>
      <c r="K774" s="140"/>
      <c r="L774" s="140"/>
      <c r="M774" s="140"/>
      <c r="N774" s="140"/>
      <c r="O774" s="140"/>
      <c r="P774" s="140"/>
      <c r="Q774" s="140"/>
      <c r="R774" s="140"/>
      <c r="S774" s="140"/>
      <c r="T774" s="140"/>
      <c r="U774" s="140"/>
      <c r="V774" s="140"/>
      <c r="W774" s="140"/>
      <c r="X774" s="140"/>
      <c r="Y774" s="140"/>
      <c r="Z774" s="140"/>
      <c r="AA774" s="141"/>
      <c r="AE774" s="140"/>
      <c r="AI774" s="141"/>
      <c r="AM774" s="141"/>
      <c r="AQ774" s="141"/>
      <c r="AT774" s="140"/>
      <c r="AU774" s="140"/>
    </row>
    <row r="775" spans="2:47" s="134" customFormat="1" x14ac:dyDescent="0.2">
      <c r="B775" s="145"/>
      <c r="D775" s="679"/>
      <c r="J775" s="140"/>
      <c r="K775" s="140"/>
      <c r="L775" s="140"/>
      <c r="M775" s="140"/>
      <c r="N775" s="140"/>
      <c r="O775" s="140"/>
      <c r="P775" s="140"/>
      <c r="Q775" s="140"/>
      <c r="R775" s="140"/>
      <c r="S775" s="140"/>
      <c r="T775" s="140"/>
      <c r="U775" s="140"/>
      <c r="V775" s="140"/>
      <c r="W775" s="140"/>
      <c r="X775" s="140"/>
      <c r="Y775" s="140"/>
      <c r="Z775" s="140"/>
      <c r="AA775" s="141"/>
      <c r="AE775" s="140"/>
      <c r="AI775" s="141"/>
      <c r="AM775" s="141"/>
      <c r="AQ775" s="141"/>
      <c r="AT775" s="140"/>
      <c r="AU775" s="140"/>
    </row>
    <row r="776" spans="2:47" s="134" customFormat="1" x14ac:dyDescent="0.2">
      <c r="B776" s="145"/>
      <c r="D776" s="679"/>
      <c r="J776" s="140"/>
      <c r="K776" s="140"/>
      <c r="L776" s="140"/>
      <c r="M776" s="140"/>
      <c r="N776" s="140"/>
      <c r="O776" s="140"/>
      <c r="P776" s="140"/>
      <c r="Q776" s="140"/>
      <c r="R776" s="140"/>
      <c r="S776" s="140"/>
      <c r="T776" s="140"/>
      <c r="U776" s="140"/>
      <c r="V776" s="140"/>
      <c r="W776" s="140"/>
      <c r="X776" s="140"/>
      <c r="Y776" s="140"/>
      <c r="Z776" s="140"/>
      <c r="AA776" s="141"/>
      <c r="AE776" s="140"/>
      <c r="AI776" s="141"/>
      <c r="AM776" s="141"/>
      <c r="AQ776" s="141"/>
      <c r="AT776" s="140"/>
      <c r="AU776" s="140"/>
    </row>
    <row r="777" spans="2:47" s="134" customFormat="1" x14ac:dyDescent="0.2">
      <c r="B777" s="145"/>
      <c r="D777" s="679"/>
      <c r="J777" s="140"/>
      <c r="K777" s="140"/>
      <c r="L777" s="140"/>
      <c r="M777" s="140"/>
      <c r="N777" s="140"/>
      <c r="O777" s="140"/>
      <c r="P777" s="140"/>
      <c r="Q777" s="140"/>
      <c r="R777" s="140"/>
      <c r="S777" s="140"/>
      <c r="T777" s="140"/>
      <c r="U777" s="140"/>
      <c r="V777" s="140"/>
      <c r="W777" s="140"/>
      <c r="X777" s="140"/>
      <c r="Y777" s="140"/>
      <c r="Z777" s="140"/>
      <c r="AA777" s="141"/>
      <c r="AE777" s="140"/>
      <c r="AI777" s="141"/>
      <c r="AM777" s="141"/>
      <c r="AQ777" s="141"/>
      <c r="AT777" s="140"/>
      <c r="AU777" s="140"/>
    </row>
    <row r="778" spans="2:47" s="134" customFormat="1" x14ac:dyDescent="0.2">
      <c r="B778" s="145"/>
      <c r="D778" s="679"/>
      <c r="J778" s="140"/>
      <c r="K778" s="140"/>
      <c r="L778" s="140"/>
      <c r="M778" s="140"/>
      <c r="N778" s="140"/>
      <c r="O778" s="140"/>
      <c r="P778" s="140"/>
      <c r="Q778" s="140"/>
      <c r="R778" s="140"/>
      <c r="S778" s="140"/>
      <c r="T778" s="140"/>
      <c r="U778" s="140"/>
      <c r="V778" s="140"/>
      <c r="W778" s="140"/>
      <c r="X778" s="140"/>
      <c r="Y778" s="140"/>
      <c r="Z778" s="140"/>
      <c r="AA778" s="141"/>
      <c r="AE778" s="140"/>
      <c r="AI778" s="141"/>
      <c r="AM778" s="141"/>
      <c r="AQ778" s="141"/>
      <c r="AT778" s="140"/>
      <c r="AU778" s="140"/>
    </row>
    <row r="779" spans="2:47" s="134" customFormat="1" x14ac:dyDescent="0.2">
      <c r="B779" s="145"/>
      <c r="D779" s="679"/>
      <c r="J779" s="140"/>
      <c r="K779" s="140"/>
      <c r="L779" s="140"/>
      <c r="M779" s="140"/>
      <c r="N779" s="140"/>
      <c r="O779" s="140"/>
      <c r="P779" s="140"/>
      <c r="Q779" s="140"/>
      <c r="R779" s="140"/>
      <c r="S779" s="140"/>
      <c r="T779" s="140"/>
      <c r="U779" s="140"/>
      <c r="V779" s="140"/>
      <c r="W779" s="140"/>
      <c r="X779" s="140"/>
      <c r="Y779" s="140"/>
      <c r="Z779" s="140"/>
      <c r="AA779" s="141"/>
      <c r="AE779" s="140"/>
      <c r="AI779" s="141"/>
      <c r="AM779" s="141"/>
      <c r="AQ779" s="141"/>
      <c r="AT779" s="140"/>
      <c r="AU779" s="140"/>
    </row>
    <row r="780" spans="2:47" s="134" customFormat="1" x14ac:dyDescent="0.2">
      <c r="B780" s="145"/>
      <c r="D780" s="679"/>
      <c r="J780" s="140"/>
      <c r="K780" s="140"/>
      <c r="L780" s="140"/>
      <c r="M780" s="140"/>
      <c r="N780" s="140"/>
      <c r="O780" s="140"/>
      <c r="P780" s="140"/>
      <c r="Q780" s="140"/>
      <c r="R780" s="140"/>
      <c r="S780" s="140"/>
      <c r="T780" s="140"/>
      <c r="U780" s="140"/>
      <c r="V780" s="140"/>
      <c r="W780" s="140"/>
      <c r="X780" s="140"/>
      <c r="Y780" s="140"/>
      <c r="Z780" s="140"/>
      <c r="AA780" s="141"/>
      <c r="AE780" s="140"/>
      <c r="AI780" s="141"/>
      <c r="AM780" s="141"/>
      <c r="AQ780" s="141"/>
      <c r="AT780" s="140"/>
      <c r="AU780" s="140"/>
    </row>
    <row r="781" spans="2:47" s="134" customFormat="1" x14ac:dyDescent="0.2">
      <c r="B781" s="145"/>
      <c r="D781" s="679"/>
      <c r="J781" s="140"/>
      <c r="K781" s="140"/>
      <c r="L781" s="140"/>
      <c r="M781" s="140"/>
      <c r="N781" s="140"/>
      <c r="O781" s="140"/>
      <c r="P781" s="140"/>
      <c r="Q781" s="140"/>
      <c r="R781" s="140"/>
      <c r="S781" s="140"/>
      <c r="T781" s="140"/>
      <c r="U781" s="140"/>
      <c r="V781" s="140"/>
      <c r="W781" s="140"/>
      <c r="X781" s="140"/>
      <c r="Y781" s="140"/>
      <c r="Z781" s="140"/>
      <c r="AA781" s="141"/>
      <c r="AE781" s="140"/>
      <c r="AI781" s="141"/>
      <c r="AM781" s="141"/>
      <c r="AQ781" s="141"/>
      <c r="AT781" s="140"/>
      <c r="AU781" s="140"/>
    </row>
    <row r="782" spans="2:47" s="134" customFormat="1" x14ac:dyDescent="0.2">
      <c r="B782" s="145"/>
      <c r="D782" s="679"/>
      <c r="J782" s="140"/>
      <c r="K782" s="140"/>
      <c r="L782" s="140"/>
      <c r="M782" s="140"/>
      <c r="N782" s="140"/>
      <c r="O782" s="140"/>
      <c r="P782" s="140"/>
      <c r="Q782" s="140"/>
      <c r="R782" s="140"/>
      <c r="S782" s="140"/>
      <c r="T782" s="140"/>
      <c r="U782" s="140"/>
      <c r="V782" s="140"/>
      <c r="W782" s="140"/>
      <c r="X782" s="140"/>
      <c r="Y782" s="140"/>
      <c r="Z782" s="140"/>
      <c r="AA782" s="141"/>
      <c r="AE782" s="140"/>
      <c r="AI782" s="141"/>
      <c r="AM782" s="141"/>
      <c r="AQ782" s="141"/>
      <c r="AT782" s="140"/>
      <c r="AU782" s="140"/>
    </row>
    <row r="783" spans="2:47" s="134" customFormat="1" x14ac:dyDescent="0.2">
      <c r="B783" s="145"/>
      <c r="D783" s="679"/>
      <c r="J783" s="140"/>
      <c r="K783" s="140"/>
      <c r="L783" s="140"/>
      <c r="M783" s="140"/>
      <c r="N783" s="140"/>
      <c r="O783" s="140"/>
      <c r="P783" s="140"/>
      <c r="Q783" s="140"/>
      <c r="R783" s="140"/>
      <c r="S783" s="140"/>
      <c r="T783" s="140"/>
      <c r="U783" s="140"/>
      <c r="V783" s="140"/>
      <c r="W783" s="140"/>
      <c r="X783" s="140"/>
      <c r="Y783" s="140"/>
      <c r="Z783" s="140"/>
      <c r="AA783" s="141"/>
      <c r="AE783" s="140"/>
      <c r="AI783" s="141"/>
      <c r="AM783" s="141"/>
      <c r="AQ783" s="141"/>
      <c r="AT783" s="140"/>
      <c r="AU783" s="140"/>
    </row>
    <row r="784" spans="2:47" s="134" customFormat="1" x14ac:dyDescent="0.2">
      <c r="B784" s="145"/>
      <c r="D784" s="679"/>
      <c r="J784" s="140"/>
      <c r="K784" s="140"/>
      <c r="L784" s="140"/>
      <c r="M784" s="140"/>
      <c r="N784" s="140"/>
      <c r="O784" s="140"/>
      <c r="P784" s="140"/>
      <c r="Q784" s="140"/>
      <c r="R784" s="140"/>
      <c r="S784" s="140"/>
      <c r="T784" s="140"/>
      <c r="U784" s="140"/>
      <c r="V784" s="140"/>
      <c r="W784" s="140"/>
      <c r="X784" s="140"/>
      <c r="Y784" s="140"/>
      <c r="Z784" s="140"/>
      <c r="AA784" s="141"/>
      <c r="AE784" s="140"/>
      <c r="AI784" s="141"/>
      <c r="AM784" s="141"/>
      <c r="AQ784" s="141"/>
      <c r="AT784" s="140"/>
      <c r="AU784" s="140"/>
    </row>
    <row r="785" spans="2:47" s="134" customFormat="1" x14ac:dyDescent="0.2">
      <c r="B785" s="145"/>
      <c r="D785" s="679"/>
      <c r="J785" s="140"/>
      <c r="K785" s="140"/>
      <c r="L785" s="140"/>
      <c r="M785" s="140"/>
      <c r="N785" s="140"/>
      <c r="O785" s="140"/>
      <c r="P785" s="140"/>
      <c r="Q785" s="140"/>
      <c r="R785" s="140"/>
      <c r="S785" s="140"/>
      <c r="T785" s="140"/>
      <c r="U785" s="140"/>
      <c r="V785" s="140"/>
      <c r="W785" s="140"/>
      <c r="X785" s="140"/>
      <c r="Y785" s="140"/>
      <c r="Z785" s="140"/>
      <c r="AA785" s="141"/>
      <c r="AE785" s="140"/>
      <c r="AI785" s="141"/>
      <c r="AM785" s="141"/>
      <c r="AQ785" s="141"/>
      <c r="AT785" s="140"/>
      <c r="AU785" s="140"/>
    </row>
    <row r="786" spans="2:47" s="134" customFormat="1" x14ac:dyDescent="0.2">
      <c r="B786" s="145"/>
      <c r="D786" s="679"/>
      <c r="J786" s="140"/>
      <c r="K786" s="140"/>
      <c r="L786" s="140"/>
      <c r="M786" s="140"/>
      <c r="N786" s="140"/>
      <c r="O786" s="140"/>
      <c r="P786" s="140"/>
      <c r="Q786" s="140"/>
      <c r="R786" s="140"/>
      <c r="S786" s="140"/>
      <c r="T786" s="140"/>
      <c r="U786" s="140"/>
      <c r="V786" s="140"/>
      <c r="W786" s="140"/>
      <c r="X786" s="140"/>
      <c r="Y786" s="140"/>
      <c r="Z786" s="140"/>
      <c r="AA786" s="141"/>
      <c r="AE786" s="140"/>
      <c r="AI786" s="141"/>
      <c r="AM786" s="141"/>
      <c r="AQ786" s="141"/>
      <c r="AT786" s="140"/>
      <c r="AU786" s="140"/>
    </row>
    <row r="787" spans="2:47" s="134" customFormat="1" x14ac:dyDescent="0.2">
      <c r="B787" s="145"/>
      <c r="D787" s="679"/>
      <c r="J787" s="140"/>
      <c r="K787" s="140"/>
      <c r="L787" s="140"/>
      <c r="M787" s="140"/>
      <c r="N787" s="140"/>
      <c r="O787" s="140"/>
      <c r="P787" s="140"/>
      <c r="Q787" s="140"/>
      <c r="R787" s="140"/>
      <c r="S787" s="140"/>
      <c r="T787" s="140"/>
      <c r="U787" s="140"/>
      <c r="V787" s="140"/>
      <c r="W787" s="140"/>
      <c r="X787" s="140"/>
      <c r="Y787" s="140"/>
      <c r="Z787" s="140"/>
      <c r="AA787" s="141"/>
      <c r="AE787" s="140"/>
      <c r="AI787" s="141"/>
      <c r="AM787" s="141"/>
      <c r="AQ787" s="141"/>
      <c r="AT787" s="140"/>
      <c r="AU787" s="140"/>
    </row>
    <row r="788" spans="2:47" s="134" customFormat="1" x14ac:dyDescent="0.2">
      <c r="B788" s="145"/>
      <c r="D788" s="679"/>
      <c r="J788" s="140"/>
      <c r="K788" s="140"/>
      <c r="L788" s="140"/>
      <c r="M788" s="140"/>
      <c r="N788" s="140"/>
      <c r="O788" s="140"/>
      <c r="P788" s="140"/>
      <c r="Q788" s="140"/>
      <c r="R788" s="140"/>
      <c r="S788" s="140"/>
      <c r="T788" s="140"/>
      <c r="U788" s="140"/>
      <c r="V788" s="140"/>
      <c r="W788" s="140"/>
      <c r="X788" s="140"/>
      <c r="Y788" s="140"/>
      <c r="Z788" s="140"/>
      <c r="AA788" s="141"/>
      <c r="AE788" s="140"/>
      <c r="AI788" s="141"/>
      <c r="AM788" s="141"/>
      <c r="AQ788" s="141"/>
      <c r="AT788" s="140"/>
      <c r="AU788" s="140"/>
    </row>
    <row r="789" spans="2:47" s="134" customFormat="1" x14ac:dyDescent="0.2">
      <c r="B789" s="145"/>
      <c r="D789" s="679"/>
      <c r="J789" s="140"/>
      <c r="K789" s="140"/>
      <c r="L789" s="140"/>
      <c r="M789" s="140"/>
      <c r="N789" s="140"/>
      <c r="O789" s="140"/>
      <c r="P789" s="140"/>
      <c r="Q789" s="140"/>
      <c r="R789" s="140"/>
      <c r="S789" s="140"/>
      <c r="T789" s="140"/>
      <c r="U789" s="140"/>
      <c r="V789" s="140"/>
      <c r="W789" s="140"/>
      <c r="X789" s="140"/>
      <c r="Y789" s="140"/>
      <c r="Z789" s="140"/>
      <c r="AA789" s="141"/>
      <c r="AE789" s="140"/>
      <c r="AI789" s="141"/>
      <c r="AM789" s="141"/>
      <c r="AQ789" s="141"/>
      <c r="AT789" s="140"/>
      <c r="AU789" s="140"/>
    </row>
    <row r="790" spans="2:47" s="134" customFormat="1" x14ac:dyDescent="0.2">
      <c r="B790" s="145"/>
      <c r="D790" s="679"/>
      <c r="J790" s="140"/>
      <c r="K790" s="140"/>
      <c r="L790" s="140"/>
      <c r="M790" s="140"/>
      <c r="N790" s="140"/>
      <c r="O790" s="140"/>
      <c r="P790" s="140"/>
      <c r="Q790" s="140"/>
      <c r="R790" s="140"/>
      <c r="S790" s="140"/>
      <c r="T790" s="140"/>
      <c r="U790" s="140"/>
      <c r="V790" s="140"/>
      <c r="W790" s="140"/>
      <c r="X790" s="140"/>
      <c r="Y790" s="140"/>
      <c r="Z790" s="140"/>
      <c r="AA790" s="141"/>
      <c r="AE790" s="140"/>
      <c r="AI790" s="141"/>
      <c r="AM790" s="141"/>
      <c r="AQ790" s="141"/>
      <c r="AT790" s="140"/>
      <c r="AU790" s="140"/>
    </row>
    <row r="791" spans="2:47" s="134" customFormat="1" x14ac:dyDescent="0.2">
      <c r="B791" s="145"/>
      <c r="D791" s="679"/>
      <c r="J791" s="140"/>
      <c r="K791" s="140"/>
      <c r="L791" s="140"/>
      <c r="M791" s="140"/>
      <c r="N791" s="140"/>
      <c r="O791" s="140"/>
      <c r="P791" s="140"/>
      <c r="Q791" s="140"/>
      <c r="R791" s="140"/>
      <c r="S791" s="140"/>
      <c r="T791" s="140"/>
      <c r="U791" s="140"/>
      <c r="V791" s="140"/>
      <c r="W791" s="140"/>
      <c r="X791" s="140"/>
      <c r="Y791" s="140"/>
      <c r="Z791" s="140"/>
      <c r="AA791" s="141"/>
      <c r="AE791" s="140"/>
      <c r="AI791" s="141"/>
      <c r="AM791" s="141"/>
      <c r="AQ791" s="141"/>
      <c r="AT791" s="140"/>
      <c r="AU791" s="140"/>
    </row>
    <row r="792" spans="2:47" s="134" customFormat="1" x14ac:dyDescent="0.2">
      <c r="B792" s="145"/>
      <c r="D792" s="679"/>
      <c r="J792" s="140"/>
      <c r="K792" s="140"/>
      <c r="L792" s="140"/>
      <c r="M792" s="140"/>
      <c r="N792" s="140"/>
      <c r="O792" s="140"/>
      <c r="P792" s="140"/>
      <c r="Q792" s="140"/>
      <c r="R792" s="140"/>
      <c r="S792" s="140"/>
      <c r="T792" s="140"/>
      <c r="U792" s="140"/>
      <c r="V792" s="140"/>
      <c r="W792" s="140"/>
      <c r="X792" s="140"/>
      <c r="Y792" s="140"/>
      <c r="Z792" s="140"/>
      <c r="AA792" s="141"/>
      <c r="AE792" s="140"/>
      <c r="AI792" s="141"/>
      <c r="AM792" s="141"/>
      <c r="AQ792" s="141"/>
      <c r="AT792" s="140"/>
      <c r="AU792" s="140"/>
    </row>
    <row r="793" spans="2:47" s="134" customFormat="1" x14ac:dyDescent="0.2">
      <c r="B793" s="145"/>
      <c r="D793" s="679"/>
      <c r="J793" s="140"/>
      <c r="K793" s="140"/>
      <c r="L793" s="140"/>
      <c r="M793" s="140"/>
      <c r="N793" s="140"/>
      <c r="O793" s="140"/>
      <c r="P793" s="140"/>
      <c r="Q793" s="140"/>
      <c r="R793" s="140"/>
      <c r="S793" s="140"/>
      <c r="T793" s="140"/>
      <c r="U793" s="140"/>
      <c r="V793" s="140"/>
      <c r="W793" s="140"/>
      <c r="X793" s="140"/>
      <c r="Y793" s="140"/>
      <c r="Z793" s="140"/>
      <c r="AA793" s="141"/>
      <c r="AE793" s="140"/>
      <c r="AI793" s="141"/>
      <c r="AM793" s="141"/>
      <c r="AQ793" s="141"/>
      <c r="AT793" s="140"/>
      <c r="AU793" s="140"/>
    </row>
    <row r="794" spans="2:47" s="134" customFormat="1" x14ac:dyDescent="0.2">
      <c r="B794" s="145"/>
      <c r="D794" s="679"/>
      <c r="J794" s="140"/>
      <c r="K794" s="140"/>
      <c r="L794" s="140"/>
      <c r="M794" s="140"/>
      <c r="N794" s="140"/>
      <c r="O794" s="140"/>
      <c r="P794" s="140"/>
      <c r="Q794" s="140"/>
      <c r="R794" s="140"/>
      <c r="S794" s="140"/>
      <c r="T794" s="140"/>
      <c r="U794" s="140"/>
      <c r="V794" s="140"/>
      <c r="W794" s="140"/>
      <c r="X794" s="140"/>
      <c r="Y794" s="140"/>
      <c r="Z794" s="140"/>
      <c r="AA794" s="141"/>
      <c r="AE794" s="140"/>
      <c r="AI794" s="141"/>
      <c r="AM794" s="141"/>
      <c r="AQ794" s="141"/>
      <c r="AT794" s="140"/>
      <c r="AU794" s="140"/>
    </row>
    <row r="795" spans="2:47" s="134" customFormat="1" x14ac:dyDescent="0.2">
      <c r="B795" s="145"/>
      <c r="D795" s="679"/>
      <c r="J795" s="140"/>
      <c r="K795" s="140"/>
      <c r="L795" s="140"/>
      <c r="M795" s="140"/>
      <c r="N795" s="140"/>
      <c r="O795" s="140"/>
      <c r="P795" s="140"/>
      <c r="Q795" s="140"/>
      <c r="R795" s="140"/>
      <c r="S795" s="140"/>
      <c r="T795" s="140"/>
      <c r="U795" s="140"/>
      <c r="V795" s="140"/>
      <c r="W795" s="140"/>
      <c r="X795" s="140"/>
      <c r="Y795" s="140"/>
      <c r="Z795" s="140"/>
      <c r="AA795" s="141"/>
      <c r="AE795" s="140"/>
      <c r="AI795" s="141"/>
      <c r="AM795" s="141"/>
      <c r="AQ795" s="141"/>
      <c r="AT795" s="140"/>
      <c r="AU795" s="140"/>
    </row>
    <row r="796" spans="2:47" s="134" customFormat="1" x14ac:dyDescent="0.2">
      <c r="B796" s="145"/>
      <c r="D796" s="679"/>
      <c r="J796" s="140"/>
      <c r="K796" s="140"/>
      <c r="L796" s="140"/>
      <c r="M796" s="140"/>
      <c r="N796" s="140"/>
      <c r="O796" s="140"/>
      <c r="P796" s="140"/>
      <c r="Q796" s="140"/>
      <c r="R796" s="140"/>
      <c r="S796" s="140"/>
      <c r="T796" s="140"/>
      <c r="U796" s="140"/>
      <c r="V796" s="140"/>
      <c r="W796" s="140"/>
      <c r="X796" s="140"/>
      <c r="Y796" s="140"/>
      <c r="Z796" s="140"/>
      <c r="AA796" s="141"/>
      <c r="AE796" s="140"/>
      <c r="AI796" s="141"/>
      <c r="AM796" s="141"/>
      <c r="AQ796" s="141"/>
      <c r="AT796" s="140"/>
      <c r="AU796" s="140"/>
    </row>
    <row r="797" spans="2:47" s="134" customFormat="1" x14ac:dyDescent="0.2">
      <c r="B797" s="145"/>
      <c r="D797" s="679"/>
      <c r="J797" s="140"/>
      <c r="K797" s="140"/>
      <c r="L797" s="140"/>
      <c r="M797" s="140"/>
      <c r="N797" s="140"/>
      <c r="O797" s="140"/>
      <c r="P797" s="140"/>
      <c r="Q797" s="140"/>
      <c r="R797" s="140"/>
      <c r="S797" s="140"/>
      <c r="T797" s="140"/>
      <c r="U797" s="140"/>
      <c r="V797" s="140"/>
      <c r="W797" s="140"/>
      <c r="X797" s="140"/>
      <c r="Y797" s="140"/>
      <c r="Z797" s="140"/>
      <c r="AA797" s="141"/>
      <c r="AE797" s="140"/>
      <c r="AI797" s="141"/>
      <c r="AM797" s="141"/>
      <c r="AQ797" s="141"/>
      <c r="AT797" s="140"/>
      <c r="AU797" s="140"/>
    </row>
    <row r="798" spans="2:47" s="134" customFormat="1" x14ac:dyDescent="0.2">
      <c r="B798" s="145"/>
      <c r="D798" s="679"/>
      <c r="J798" s="140"/>
      <c r="K798" s="140"/>
      <c r="L798" s="140"/>
      <c r="M798" s="140"/>
      <c r="N798" s="140"/>
      <c r="O798" s="140"/>
      <c r="P798" s="140"/>
      <c r="Q798" s="140"/>
      <c r="R798" s="140"/>
      <c r="S798" s="140"/>
      <c r="T798" s="140"/>
      <c r="U798" s="140"/>
      <c r="V798" s="140"/>
      <c r="W798" s="140"/>
      <c r="X798" s="140"/>
      <c r="Y798" s="140"/>
      <c r="Z798" s="140"/>
      <c r="AA798" s="141"/>
      <c r="AE798" s="140"/>
      <c r="AI798" s="141"/>
      <c r="AM798" s="141"/>
      <c r="AQ798" s="141"/>
      <c r="AT798" s="140"/>
      <c r="AU798" s="140"/>
    </row>
    <row r="799" spans="2:47" s="134" customFormat="1" x14ac:dyDescent="0.2">
      <c r="B799" s="145"/>
      <c r="D799" s="679"/>
      <c r="J799" s="140"/>
      <c r="K799" s="140"/>
      <c r="L799" s="140"/>
      <c r="M799" s="140"/>
      <c r="N799" s="140"/>
      <c r="O799" s="140"/>
      <c r="P799" s="140"/>
      <c r="Q799" s="140"/>
      <c r="R799" s="140"/>
      <c r="S799" s="140"/>
      <c r="T799" s="140"/>
      <c r="U799" s="140"/>
      <c r="V799" s="140"/>
      <c r="W799" s="140"/>
      <c r="X799" s="140"/>
      <c r="Y799" s="140"/>
      <c r="Z799" s="140"/>
      <c r="AA799" s="141"/>
      <c r="AE799" s="140"/>
      <c r="AI799" s="141"/>
      <c r="AM799" s="141"/>
      <c r="AQ799" s="141"/>
      <c r="AT799" s="140"/>
      <c r="AU799" s="140"/>
    </row>
    <row r="800" spans="2:47" s="134" customFormat="1" x14ac:dyDescent="0.2">
      <c r="B800" s="145"/>
      <c r="D800" s="679"/>
      <c r="J800" s="140"/>
      <c r="K800" s="140"/>
      <c r="L800" s="140"/>
      <c r="M800" s="140"/>
      <c r="N800" s="140"/>
      <c r="O800" s="140"/>
      <c r="P800" s="140"/>
      <c r="Q800" s="140"/>
      <c r="R800" s="140"/>
      <c r="S800" s="140"/>
      <c r="T800" s="140"/>
      <c r="U800" s="140"/>
      <c r="V800" s="140"/>
      <c r="W800" s="140"/>
      <c r="X800" s="140"/>
      <c r="Y800" s="140"/>
      <c r="Z800" s="140"/>
      <c r="AA800" s="141"/>
      <c r="AE800" s="140"/>
      <c r="AI800" s="141"/>
      <c r="AM800" s="141"/>
      <c r="AQ800" s="141"/>
      <c r="AT800" s="140"/>
      <c r="AU800" s="140"/>
    </row>
    <row r="801" spans="2:47" s="134" customFormat="1" x14ac:dyDescent="0.2">
      <c r="B801" s="145"/>
      <c r="D801" s="679"/>
      <c r="J801" s="140"/>
      <c r="K801" s="140"/>
      <c r="L801" s="140"/>
      <c r="M801" s="140"/>
      <c r="N801" s="140"/>
      <c r="O801" s="140"/>
      <c r="P801" s="140"/>
      <c r="Q801" s="140"/>
      <c r="R801" s="140"/>
      <c r="S801" s="140"/>
      <c r="T801" s="140"/>
      <c r="U801" s="140"/>
      <c r="V801" s="140"/>
      <c r="W801" s="140"/>
      <c r="X801" s="140"/>
      <c r="Y801" s="140"/>
      <c r="Z801" s="140"/>
      <c r="AA801" s="141"/>
      <c r="AE801" s="140"/>
      <c r="AI801" s="141"/>
      <c r="AM801" s="141"/>
      <c r="AQ801" s="141"/>
      <c r="AT801" s="140"/>
      <c r="AU801" s="140"/>
    </row>
    <row r="802" spans="2:47" s="134" customFormat="1" x14ac:dyDescent="0.2">
      <c r="B802" s="145"/>
      <c r="D802" s="679"/>
      <c r="J802" s="140"/>
      <c r="K802" s="140"/>
      <c r="L802" s="140"/>
      <c r="M802" s="140"/>
      <c r="N802" s="140"/>
      <c r="O802" s="140"/>
      <c r="P802" s="140"/>
      <c r="Q802" s="140"/>
      <c r="R802" s="140"/>
      <c r="S802" s="140"/>
      <c r="T802" s="140"/>
      <c r="U802" s="140"/>
      <c r="V802" s="140"/>
      <c r="W802" s="140"/>
      <c r="X802" s="140"/>
      <c r="Y802" s="140"/>
      <c r="Z802" s="140"/>
      <c r="AA802" s="141"/>
      <c r="AE802" s="140"/>
      <c r="AI802" s="141"/>
      <c r="AM802" s="141"/>
      <c r="AQ802" s="141"/>
      <c r="AT802" s="140"/>
      <c r="AU802" s="140"/>
    </row>
    <row r="803" spans="2:47" s="134" customFormat="1" x14ac:dyDescent="0.2">
      <c r="B803" s="145"/>
      <c r="D803" s="679"/>
      <c r="J803" s="140"/>
      <c r="K803" s="140"/>
      <c r="L803" s="140"/>
      <c r="M803" s="140"/>
      <c r="N803" s="140"/>
      <c r="O803" s="140"/>
      <c r="P803" s="140"/>
      <c r="Q803" s="140"/>
      <c r="R803" s="140"/>
      <c r="S803" s="140"/>
      <c r="T803" s="140"/>
      <c r="U803" s="140"/>
      <c r="V803" s="140"/>
      <c r="W803" s="140"/>
      <c r="X803" s="140"/>
      <c r="Y803" s="140"/>
      <c r="Z803" s="140"/>
      <c r="AA803" s="141"/>
      <c r="AE803" s="140"/>
      <c r="AI803" s="141"/>
      <c r="AM803" s="141"/>
      <c r="AQ803" s="141"/>
      <c r="AT803" s="140"/>
      <c r="AU803" s="140"/>
    </row>
    <row r="804" spans="2:47" s="134" customFormat="1" x14ac:dyDescent="0.2">
      <c r="B804" s="145"/>
      <c r="D804" s="679"/>
      <c r="J804" s="140"/>
      <c r="K804" s="140"/>
      <c r="L804" s="140"/>
      <c r="M804" s="140"/>
      <c r="N804" s="140"/>
      <c r="O804" s="140"/>
      <c r="P804" s="140"/>
      <c r="Q804" s="140"/>
      <c r="R804" s="140"/>
      <c r="S804" s="140"/>
      <c r="T804" s="140"/>
      <c r="U804" s="140"/>
      <c r="V804" s="140"/>
      <c r="W804" s="140"/>
      <c r="X804" s="140"/>
      <c r="Y804" s="140"/>
      <c r="Z804" s="140"/>
      <c r="AA804" s="141"/>
      <c r="AE804" s="140"/>
      <c r="AI804" s="141"/>
      <c r="AM804" s="141"/>
      <c r="AQ804" s="141"/>
      <c r="AT804" s="140"/>
      <c r="AU804" s="140"/>
    </row>
    <row r="805" spans="2:47" s="134" customFormat="1" x14ac:dyDescent="0.2">
      <c r="B805" s="145"/>
      <c r="D805" s="679"/>
      <c r="J805" s="140"/>
      <c r="K805" s="140"/>
      <c r="L805" s="140"/>
      <c r="M805" s="140"/>
      <c r="N805" s="140"/>
      <c r="O805" s="140"/>
      <c r="P805" s="140"/>
      <c r="Q805" s="140"/>
      <c r="R805" s="140"/>
      <c r="S805" s="140"/>
      <c r="T805" s="140"/>
      <c r="U805" s="140"/>
      <c r="V805" s="140"/>
      <c r="W805" s="140"/>
      <c r="X805" s="140"/>
      <c r="Y805" s="140"/>
      <c r="Z805" s="140"/>
      <c r="AA805" s="141"/>
      <c r="AE805" s="140"/>
      <c r="AI805" s="141"/>
      <c r="AM805" s="141"/>
      <c r="AQ805" s="141"/>
      <c r="AT805" s="140"/>
      <c r="AU805" s="140"/>
    </row>
    <row r="806" spans="2:47" s="134" customFormat="1" x14ac:dyDescent="0.2">
      <c r="B806" s="145"/>
      <c r="D806" s="679"/>
      <c r="J806" s="140"/>
      <c r="K806" s="140"/>
      <c r="L806" s="140"/>
      <c r="M806" s="140"/>
      <c r="N806" s="140"/>
      <c r="O806" s="140"/>
      <c r="P806" s="140"/>
      <c r="Q806" s="140"/>
      <c r="R806" s="140"/>
      <c r="S806" s="140"/>
      <c r="T806" s="140"/>
      <c r="U806" s="140"/>
      <c r="V806" s="140"/>
      <c r="W806" s="140"/>
      <c r="X806" s="140"/>
      <c r="Y806" s="140"/>
      <c r="Z806" s="140"/>
      <c r="AA806" s="141"/>
      <c r="AE806" s="140"/>
      <c r="AI806" s="141"/>
      <c r="AM806" s="141"/>
      <c r="AQ806" s="141"/>
      <c r="AT806" s="140"/>
      <c r="AU806" s="140"/>
    </row>
    <row r="807" spans="2:47" s="134" customFormat="1" x14ac:dyDescent="0.2">
      <c r="B807" s="145"/>
      <c r="D807" s="679"/>
      <c r="J807" s="140"/>
      <c r="K807" s="140"/>
      <c r="L807" s="140"/>
      <c r="M807" s="140"/>
      <c r="N807" s="140"/>
      <c r="O807" s="140"/>
      <c r="P807" s="140"/>
      <c r="Q807" s="140"/>
      <c r="R807" s="140"/>
      <c r="S807" s="140"/>
      <c r="T807" s="140"/>
      <c r="U807" s="140"/>
      <c r="V807" s="140"/>
      <c r="W807" s="140"/>
      <c r="X807" s="140"/>
      <c r="Y807" s="140"/>
      <c r="Z807" s="140"/>
      <c r="AA807" s="141"/>
      <c r="AE807" s="140"/>
      <c r="AI807" s="141"/>
      <c r="AM807" s="141"/>
      <c r="AQ807" s="141"/>
      <c r="AT807" s="140"/>
      <c r="AU807" s="140"/>
    </row>
    <row r="808" spans="2:47" s="134" customFormat="1" x14ac:dyDescent="0.2">
      <c r="B808" s="145"/>
      <c r="D808" s="679"/>
      <c r="J808" s="140"/>
      <c r="K808" s="140"/>
      <c r="L808" s="140"/>
      <c r="M808" s="140"/>
      <c r="N808" s="140"/>
      <c r="O808" s="140"/>
      <c r="P808" s="140"/>
      <c r="Q808" s="140"/>
      <c r="R808" s="140"/>
      <c r="S808" s="140"/>
      <c r="T808" s="140"/>
      <c r="U808" s="140"/>
      <c r="V808" s="140"/>
      <c r="W808" s="140"/>
      <c r="X808" s="140"/>
      <c r="Y808" s="140"/>
      <c r="Z808" s="140"/>
      <c r="AA808" s="141"/>
      <c r="AE808" s="140"/>
      <c r="AI808" s="141"/>
      <c r="AM808" s="141"/>
      <c r="AQ808" s="141"/>
      <c r="AT808" s="140"/>
      <c r="AU808" s="140"/>
    </row>
    <row r="809" spans="2:47" s="134" customFormat="1" x14ac:dyDescent="0.2">
      <c r="B809" s="145"/>
      <c r="D809" s="679"/>
      <c r="J809" s="140"/>
      <c r="K809" s="140"/>
      <c r="L809" s="140"/>
      <c r="M809" s="140"/>
      <c r="N809" s="140"/>
      <c r="O809" s="140"/>
      <c r="P809" s="140"/>
      <c r="Q809" s="140"/>
      <c r="R809" s="140"/>
      <c r="S809" s="140"/>
      <c r="T809" s="140"/>
      <c r="U809" s="140"/>
      <c r="V809" s="140"/>
      <c r="W809" s="140"/>
      <c r="X809" s="140"/>
      <c r="Y809" s="140"/>
      <c r="Z809" s="140"/>
      <c r="AA809" s="141"/>
      <c r="AE809" s="140"/>
      <c r="AI809" s="141"/>
      <c r="AM809" s="141"/>
      <c r="AQ809" s="141"/>
      <c r="AT809" s="140"/>
      <c r="AU809" s="140"/>
    </row>
    <row r="810" spans="2:47" s="134" customFormat="1" x14ac:dyDescent="0.2">
      <c r="B810" s="145"/>
      <c r="D810" s="679"/>
      <c r="J810" s="140"/>
      <c r="K810" s="140"/>
      <c r="L810" s="140"/>
      <c r="M810" s="140"/>
      <c r="N810" s="140"/>
      <c r="O810" s="140"/>
      <c r="P810" s="140"/>
      <c r="Q810" s="140"/>
      <c r="R810" s="140"/>
      <c r="S810" s="140"/>
      <c r="T810" s="140"/>
      <c r="U810" s="140"/>
      <c r="V810" s="140"/>
      <c r="W810" s="140"/>
      <c r="X810" s="140"/>
      <c r="Y810" s="140"/>
      <c r="Z810" s="140"/>
      <c r="AA810" s="141"/>
      <c r="AE810" s="140"/>
      <c r="AI810" s="141"/>
      <c r="AM810" s="141"/>
      <c r="AQ810" s="141"/>
      <c r="AT810" s="140"/>
      <c r="AU810" s="140"/>
    </row>
    <row r="811" spans="2:47" s="134" customFormat="1" x14ac:dyDescent="0.2">
      <c r="B811" s="145"/>
      <c r="D811" s="679"/>
      <c r="J811" s="140"/>
      <c r="K811" s="140"/>
      <c r="L811" s="140"/>
      <c r="M811" s="140"/>
      <c r="N811" s="140"/>
      <c r="O811" s="140"/>
      <c r="P811" s="140"/>
      <c r="Q811" s="140"/>
      <c r="R811" s="140"/>
      <c r="S811" s="140"/>
      <c r="T811" s="140"/>
      <c r="U811" s="140"/>
      <c r="V811" s="140"/>
      <c r="W811" s="140"/>
      <c r="X811" s="140"/>
      <c r="Y811" s="140"/>
      <c r="Z811" s="140"/>
      <c r="AA811" s="141"/>
      <c r="AE811" s="140"/>
      <c r="AI811" s="141"/>
      <c r="AM811" s="141"/>
      <c r="AQ811" s="141"/>
      <c r="AT811" s="140"/>
      <c r="AU811" s="140"/>
    </row>
    <row r="812" spans="2:47" s="134" customFormat="1" x14ac:dyDescent="0.2">
      <c r="B812" s="145"/>
      <c r="D812" s="679"/>
      <c r="J812" s="140"/>
      <c r="K812" s="140"/>
      <c r="L812" s="140"/>
      <c r="M812" s="140"/>
      <c r="N812" s="140"/>
      <c r="O812" s="140"/>
      <c r="P812" s="140"/>
      <c r="Q812" s="140"/>
      <c r="R812" s="140"/>
      <c r="S812" s="140"/>
      <c r="T812" s="140"/>
      <c r="U812" s="140"/>
      <c r="V812" s="140"/>
      <c r="W812" s="140"/>
      <c r="X812" s="140"/>
      <c r="Y812" s="140"/>
      <c r="Z812" s="140"/>
      <c r="AA812" s="141"/>
      <c r="AE812" s="140"/>
      <c r="AI812" s="141"/>
      <c r="AM812" s="141"/>
      <c r="AQ812" s="141"/>
      <c r="AT812" s="140"/>
      <c r="AU812" s="140"/>
    </row>
    <row r="813" spans="2:47" s="134" customFormat="1" x14ac:dyDescent="0.2">
      <c r="B813" s="145"/>
      <c r="D813" s="679"/>
      <c r="J813" s="140"/>
      <c r="K813" s="140"/>
      <c r="L813" s="140"/>
      <c r="M813" s="140"/>
      <c r="N813" s="140"/>
      <c r="O813" s="140"/>
      <c r="P813" s="140"/>
      <c r="Q813" s="140"/>
      <c r="R813" s="140"/>
      <c r="S813" s="140"/>
      <c r="T813" s="140"/>
      <c r="U813" s="140"/>
      <c r="V813" s="140"/>
      <c r="W813" s="140"/>
      <c r="X813" s="140"/>
      <c r="Y813" s="140"/>
      <c r="Z813" s="140"/>
      <c r="AA813" s="141"/>
      <c r="AE813" s="140"/>
      <c r="AI813" s="141"/>
      <c r="AM813" s="141"/>
      <c r="AQ813" s="141"/>
      <c r="AT813" s="140"/>
      <c r="AU813" s="140"/>
    </row>
    <row r="814" spans="2:47" s="134" customFormat="1" x14ac:dyDescent="0.2">
      <c r="B814" s="145"/>
      <c r="D814" s="679"/>
      <c r="J814" s="140"/>
      <c r="K814" s="140"/>
      <c r="L814" s="140"/>
      <c r="M814" s="140"/>
      <c r="N814" s="140"/>
      <c r="O814" s="140"/>
      <c r="P814" s="140"/>
      <c r="Q814" s="140"/>
      <c r="R814" s="140"/>
      <c r="S814" s="140"/>
      <c r="T814" s="140"/>
      <c r="U814" s="140"/>
      <c r="V814" s="140"/>
      <c r="W814" s="140"/>
      <c r="X814" s="140"/>
      <c r="Y814" s="140"/>
      <c r="Z814" s="140"/>
      <c r="AA814" s="141"/>
      <c r="AE814" s="140"/>
      <c r="AI814" s="141"/>
      <c r="AM814" s="141"/>
      <c r="AQ814" s="141"/>
      <c r="AT814" s="140"/>
      <c r="AU814" s="140"/>
    </row>
    <row r="815" spans="2:47" s="134" customFormat="1" x14ac:dyDescent="0.2">
      <c r="B815" s="145"/>
      <c r="D815" s="679"/>
      <c r="J815" s="140"/>
      <c r="K815" s="140"/>
      <c r="L815" s="140"/>
      <c r="M815" s="140"/>
      <c r="N815" s="140"/>
      <c r="O815" s="140"/>
      <c r="P815" s="140"/>
      <c r="Q815" s="140"/>
      <c r="R815" s="140"/>
      <c r="S815" s="140"/>
      <c r="T815" s="140"/>
      <c r="U815" s="140"/>
      <c r="V815" s="140"/>
      <c r="W815" s="140"/>
      <c r="X815" s="140"/>
      <c r="Y815" s="140"/>
      <c r="Z815" s="140"/>
      <c r="AA815" s="141"/>
      <c r="AE815" s="140"/>
      <c r="AI815" s="141"/>
      <c r="AM815" s="141"/>
      <c r="AQ815" s="141"/>
      <c r="AT815" s="140"/>
      <c r="AU815" s="140"/>
    </row>
    <row r="816" spans="2:47" s="134" customFormat="1" x14ac:dyDescent="0.2">
      <c r="B816" s="145"/>
      <c r="D816" s="679"/>
      <c r="J816" s="140"/>
      <c r="K816" s="140"/>
      <c r="L816" s="140"/>
      <c r="M816" s="140"/>
      <c r="N816" s="140"/>
      <c r="O816" s="140"/>
      <c r="P816" s="140"/>
      <c r="Q816" s="140"/>
      <c r="R816" s="140"/>
      <c r="S816" s="140"/>
      <c r="T816" s="140"/>
      <c r="U816" s="140"/>
      <c r="V816" s="140"/>
      <c r="W816" s="140"/>
      <c r="X816" s="140"/>
      <c r="Y816" s="140"/>
      <c r="Z816" s="140"/>
      <c r="AA816" s="141"/>
      <c r="AE816" s="140"/>
      <c r="AI816" s="141"/>
      <c r="AM816" s="141"/>
      <c r="AQ816" s="141"/>
      <c r="AT816" s="140"/>
      <c r="AU816" s="140"/>
    </row>
    <row r="817" spans="2:47" s="134" customFormat="1" x14ac:dyDescent="0.2">
      <c r="B817" s="145"/>
      <c r="D817" s="679"/>
      <c r="J817" s="140"/>
      <c r="K817" s="140"/>
      <c r="L817" s="140"/>
      <c r="M817" s="140"/>
      <c r="N817" s="140"/>
      <c r="O817" s="140"/>
      <c r="P817" s="140"/>
      <c r="Q817" s="140"/>
      <c r="R817" s="140"/>
      <c r="S817" s="140"/>
      <c r="T817" s="140"/>
      <c r="U817" s="140"/>
      <c r="V817" s="140"/>
      <c r="W817" s="140"/>
      <c r="X817" s="140"/>
      <c r="Y817" s="140"/>
      <c r="Z817" s="140"/>
      <c r="AA817" s="141"/>
      <c r="AE817" s="140"/>
      <c r="AI817" s="141"/>
      <c r="AM817" s="141"/>
      <c r="AQ817" s="141"/>
      <c r="AT817" s="140"/>
      <c r="AU817" s="140"/>
    </row>
    <row r="818" spans="2:47" s="134" customFormat="1" x14ac:dyDescent="0.2">
      <c r="B818" s="145"/>
      <c r="D818" s="679"/>
      <c r="J818" s="140"/>
      <c r="K818" s="140"/>
      <c r="L818" s="140"/>
      <c r="M818" s="140"/>
      <c r="N818" s="140"/>
      <c r="O818" s="140"/>
      <c r="P818" s="140"/>
      <c r="Q818" s="140"/>
      <c r="R818" s="140"/>
      <c r="S818" s="140"/>
      <c r="T818" s="140"/>
      <c r="U818" s="140"/>
      <c r="V818" s="140"/>
      <c r="W818" s="140"/>
      <c r="X818" s="140"/>
      <c r="Y818" s="140"/>
      <c r="Z818" s="140"/>
      <c r="AA818" s="141"/>
      <c r="AE818" s="140"/>
      <c r="AI818" s="141"/>
      <c r="AM818" s="141"/>
      <c r="AQ818" s="141"/>
      <c r="AT818" s="140"/>
      <c r="AU818" s="140"/>
    </row>
    <row r="819" spans="2:47" s="134" customFormat="1" x14ac:dyDescent="0.2">
      <c r="B819" s="145"/>
      <c r="D819" s="679"/>
      <c r="J819" s="140"/>
      <c r="K819" s="140"/>
      <c r="L819" s="140"/>
      <c r="M819" s="140"/>
      <c r="N819" s="140"/>
      <c r="O819" s="140"/>
      <c r="P819" s="140"/>
      <c r="Q819" s="140"/>
      <c r="R819" s="140"/>
      <c r="S819" s="140"/>
      <c r="T819" s="140"/>
      <c r="U819" s="140"/>
      <c r="V819" s="140"/>
      <c r="W819" s="140"/>
      <c r="X819" s="140"/>
      <c r="Y819" s="140"/>
      <c r="Z819" s="140"/>
      <c r="AA819" s="141"/>
      <c r="AE819" s="140"/>
      <c r="AI819" s="141"/>
      <c r="AM819" s="141"/>
      <c r="AQ819" s="141"/>
      <c r="AT819" s="140"/>
      <c r="AU819" s="140"/>
    </row>
    <row r="820" spans="2:47" s="134" customFormat="1" x14ac:dyDescent="0.2">
      <c r="B820" s="145"/>
      <c r="D820" s="679"/>
      <c r="J820" s="140"/>
      <c r="K820" s="140"/>
      <c r="L820" s="140"/>
      <c r="M820" s="140"/>
      <c r="N820" s="140"/>
      <c r="O820" s="140"/>
      <c r="P820" s="140"/>
      <c r="Q820" s="140"/>
      <c r="R820" s="140"/>
      <c r="S820" s="140"/>
      <c r="T820" s="140"/>
      <c r="U820" s="140"/>
      <c r="V820" s="140"/>
      <c r="W820" s="140"/>
      <c r="X820" s="140"/>
      <c r="Y820" s="140"/>
      <c r="Z820" s="140"/>
      <c r="AA820" s="141"/>
      <c r="AE820" s="140"/>
      <c r="AI820" s="141"/>
      <c r="AM820" s="141"/>
      <c r="AQ820" s="141"/>
      <c r="AT820" s="140"/>
      <c r="AU820" s="140"/>
    </row>
    <row r="821" spans="2:47" s="134" customFormat="1" x14ac:dyDescent="0.2">
      <c r="B821" s="145"/>
      <c r="D821" s="679"/>
      <c r="J821" s="140"/>
      <c r="K821" s="140"/>
      <c r="L821" s="140"/>
      <c r="M821" s="140"/>
      <c r="N821" s="140"/>
      <c r="O821" s="140"/>
      <c r="P821" s="140"/>
      <c r="Q821" s="140"/>
      <c r="R821" s="140"/>
      <c r="S821" s="140"/>
      <c r="T821" s="140"/>
      <c r="U821" s="140"/>
      <c r="V821" s="140"/>
      <c r="W821" s="140"/>
      <c r="X821" s="140"/>
      <c r="Y821" s="140"/>
      <c r="Z821" s="140"/>
      <c r="AA821" s="141"/>
      <c r="AE821" s="140"/>
      <c r="AI821" s="141"/>
      <c r="AM821" s="141"/>
      <c r="AQ821" s="141"/>
      <c r="AT821" s="140"/>
      <c r="AU821" s="140"/>
    </row>
    <row r="822" spans="2:47" s="134" customFormat="1" x14ac:dyDescent="0.2">
      <c r="B822" s="145"/>
      <c r="D822" s="679"/>
      <c r="J822" s="140"/>
      <c r="K822" s="140"/>
      <c r="L822" s="140"/>
      <c r="M822" s="140"/>
      <c r="N822" s="140"/>
      <c r="O822" s="140"/>
      <c r="P822" s="140"/>
      <c r="Q822" s="140"/>
      <c r="R822" s="140"/>
      <c r="S822" s="140"/>
      <c r="T822" s="140"/>
      <c r="U822" s="140"/>
      <c r="V822" s="140"/>
      <c r="W822" s="140"/>
      <c r="X822" s="140"/>
      <c r="Y822" s="140"/>
      <c r="Z822" s="140"/>
      <c r="AA822" s="141"/>
      <c r="AE822" s="140"/>
      <c r="AI822" s="141"/>
      <c r="AM822" s="141"/>
      <c r="AQ822" s="141"/>
      <c r="AT822" s="140"/>
      <c r="AU822" s="140"/>
    </row>
    <row r="823" spans="2:47" s="134" customFormat="1" x14ac:dyDescent="0.2">
      <c r="B823" s="145"/>
      <c r="D823" s="679"/>
      <c r="J823" s="140"/>
      <c r="K823" s="140"/>
      <c r="L823" s="140"/>
      <c r="M823" s="140"/>
      <c r="N823" s="140"/>
      <c r="O823" s="140"/>
      <c r="P823" s="140"/>
      <c r="Q823" s="140"/>
      <c r="R823" s="140"/>
      <c r="S823" s="140"/>
      <c r="T823" s="140"/>
      <c r="U823" s="140"/>
      <c r="V823" s="140"/>
      <c r="W823" s="140"/>
      <c r="X823" s="140"/>
      <c r="Y823" s="140"/>
      <c r="Z823" s="140"/>
      <c r="AA823" s="141"/>
      <c r="AE823" s="140"/>
      <c r="AI823" s="141"/>
      <c r="AM823" s="141"/>
      <c r="AQ823" s="141"/>
      <c r="AT823" s="140"/>
      <c r="AU823" s="140"/>
    </row>
    <row r="824" spans="2:47" s="134" customFormat="1" x14ac:dyDescent="0.2">
      <c r="B824" s="145"/>
      <c r="D824" s="679"/>
      <c r="J824" s="140"/>
      <c r="K824" s="140"/>
      <c r="L824" s="140"/>
      <c r="M824" s="140"/>
      <c r="N824" s="140"/>
      <c r="O824" s="140"/>
      <c r="P824" s="140"/>
      <c r="Q824" s="140"/>
      <c r="R824" s="140"/>
      <c r="S824" s="140"/>
      <c r="T824" s="140"/>
      <c r="U824" s="140"/>
      <c r="V824" s="140"/>
      <c r="W824" s="140"/>
      <c r="X824" s="140"/>
      <c r="Y824" s="140"/>
      <c r="Z824" s="140"/>
      <c r="AA824" s="141"/>
      <c r="AE824" s="140"/>
      <c r="AI824" s="141"/>
      <c r="AM824" s="141"/>
      <c r="AQ824" s="141"/>
      <c r="AT824" s="140"/>
      <c r="AU824" s="140"/>
    </row>
    <row r="825" spans="2:47" s="134" customFormat="1" x14ac:dyDescent="0.2">
      <c r="B825" s="145"/>
      <c r="D825" s="679"/>
      <c r="J825" s="140"/>
      <c r="K825" s="140"/>
      <c r="L825" s="140"/>
      <c r="M825" s="140"/>
      <c r="N825" s="140"/>
      <c r="O825" s="140"/>
      <c r="P825" s="140"/>
      <c r="Q825" s="140"/>
      <c r="R825" s="140"/>
      <c r="S825" s="140"/>
      <c r="T825" s="140"/>
      <c r="U825" s="140"/>
      <c r="V825" s="140"/>
      <c r="W825" s="140"/>
      <c r="X825" s="140"/>
      <c r="Y825" s="140"/>
      <c r="Z825" s="140"/>
      <c r="AA825" s="141"/>
      <c r="AE825" s="140"/>
      <c r="AI825" s="141"/>
      <c r="AM825" s="141"/>
      <c r="AQ825" s="141"/>
      <c r="AT825" s="140"/>
      <c r="AU825" s="140"/>
    </row>
    <row r="826" spans="2:47" s="134" customFormat="1" x14ac:dyDescent="0.2">
      <c r="B826" s="145"/>
      <c r="D826" s="679"/>
      <c r="J826" s="140"/>
      <c r="K826" s="140"/>
      <c r="L826" s="140"/>
      <c r="M826" s="140"/>
      <c r="N826" s="140"/>
      <c r="O826" s="140"/>
      <c r="P826" s="140"/>
      <c r="Q826" s="140"/>
      <c r="R826" s="140"/>
      <c r="S826" s="140"/>
      <c r="T826" s="140"/>
      <c r="U826" s="140"/>
      <c r="V826" s="140"/>
      <c r="W826" s="140"/>
      <c r="X826" s="140"/>
      <c r="Y826" s="140"/>
      <c r="Z826" s="140"/>
      <c r="AA826" s="141"/>
      <c r="AE826" s="140"/>
      <c r="AI826" s="141"/>
      <c r="AM826" s="141"/>
      <c r="AQ826" s="141"/>
      <c r="AT826" s="140"/>
      <c r="AU826" s="140"/>
    </row>
    <row r="827" spans="2:47" s="134" customFormat="1" x14ac:dyDescent="0.2">
      <c r="B827" s="145"/>
      <c r="D827" s="679"/>
      <c r="J827" s="140"/>
      <c r="K827" s="140"/>
      <c r="L827" s="140"/>
      <c r="M827" s="140"/>
      <c r="N827" s="140"/>
      <c r="O827" s="140"/>
      <c r="P827" s="140"/>
      <c r="Q827" s="140"/>
      <c r="R827" s="140"/>
      <c r="S827" s="140"/>
      <c r="T827" s="140"/>
      <c r="U827" s="140"/>
      <c r="V827" s="140"/>
      <c r="W827" s="140"/>
      <c r="X827" s="140"/>
      <c r="Y827" s="140"/>
      <c r="Z827" s="140"/>
      <c r="AA827" s="141"/>
      <c r="AE827" s="140"/>
      <c r="AI827" s="141"/>
      <c r="AM827" s="141"/>
      <c r="AQ827" s="141"/>
      <c r="AT827" s="140"/>
      <c r="AU827" s="140"/>
    </row>
    <row r="828" spans="2:47" s="134" customFormat="1" x14ac:dyDescent="0.2">
      <c r="B828" s="145"/>
      <c r="D828" s="679"/>
      <c r="J828" s="140"/>
      <c r="K828" s="140"/>
      <c r="L828" s="140"/>
      <c r="M828" s="140"/>
      <c r="N828" s="140"/>
      <c r="O828" s="140"/>
      <c r="P828" s="140"/>
      <c r="Q828" s="140"/>
      <c r="R828" s="140"/>
      <c r="S828" s="140"/>
      <c r="T828" s="140"/>
      <c r="U828" s="140"/>
      <c r="V828" s="140"/>
      <c r="W828" s="140"/>
      <c r="X828" s="140"/>
      <c r="Y828" s="140"/>
      <c r="Z828" s="140"/>
      <c r="AA828" s="141"/>
      <c r="AE828" s="140"/>
      <c r="AI828" s="141"/>
      <c r="AM828" s="141"/>
      <c r="AQ828" s="141"/>
      <c r="AT828" s="140"/>
      <c r="AU828" s="140"/>
    </row>
    <row r="829" spans="2:47" s="134" customFormat="1" x14ac:dyDescent="0.2">
      <c r="B829" s="145"/>
      <c r="D829" s="679"/>
      <c r="J829" s="140"/>
      <c r="K829" s="140"/>
      <c r="L829" s="140"/>
      <c r="M829" s="140"/>
      <c r="N829" s="140"/>
      <c r="O829" s="140"/>
      <c r="P829" s="140"/>
      <c r="Q829" s="140"/>
      <c r="R829" s="140"/>
      <c r="S829" s="140"/>
      <c r="T829" s="140"/>
      <c r="U829" s="140"/>
      <c r="V829" s="140"/>
      <c r="W829" s="140"/>
      <c r="X829" s="140"/>
      <c r="Y829" s="140"/>
      <c r="Z829" s="140"/>
      <c r="AA829" s="141"/>
      <c r="AE829" s="140"/>
      <c r="AI829" s="141"/>
      <c r="AM829" s="141"/>
      <c r="AQ829" s="141"/>
      <c r="AT829" s="140"/>
      <c r="AU829" s="140"/>
    </row>
    <row r="830" spans="2:47" s="134" customFormat="1" x14ac:dyDescent="0.2">
      <c r="B830" s="145"/>
      <c r="D830" s="679"/>
      <c r="J830" s="140"/>
      <c r="K830" s="140"/>
      <c r="L830" s="140"/>
      <c r="M830" s="140"/>
      <c r="N830" s="140"/>
      <c r="O830" s="140"/>
      <c r="P830" s="140"/>
      <c r="Q830" s="140"/>
      <c r="R830" s="140"/>
      <c r="S830" s="140"/>
      <c r="T830" s="140"/>
      <c r="U830" s="140"/>
      <c r="V830" s="140"/>
      <c r="W830" s="140"/>
      <c r="X830" s="140"/>
      <c r="Y830" s="140"/>
      <c r="Z830" s="140"/>
      <c r="AA830" s="141"/>
      <c r="AE830" s="140"/>
      <c r="AI830" s="141"/>
      <c r="AM830" s="141"/>
      <c r="AQ830" s="141"/>
      <c r="AT830" s="140"/>
      <c r="AU830" s="140"/>
    </row>
    <row r="831" spans="2:47" s="134" customFormat="1" x14ac:dyDescent="0.2">
      <c r="B831" s="145"/>
      <c r="D831" s="679"/>
      <c r="J831" s="140"/>
      <c r="K831" s="140"/>
      <c r="L831" s="140"/>
      <c r="M831" s="140"/>
      <c r="N831" s="140"/>
      <c r="O831" s="140"/>
      <c r="P831" s="140"/>
      <c r="Q831" s="140"/>
      <c r="R831" s="140"/>
      <c r="S831" s="140"/>
      <c r="T831" s="140"/>
      <c r="U831" s="140"/>
      <c r="V831" s="140"/>
      <c r="W831" s="140"/>
      <c r="X831" s="140"/>
      <c r="Y831" s="140"/>
      <c r="Z831" s="140"/>
      <c r="AA831" s="141"/>
      <c r="AE831" s="140"/>
      <c r="AI831" s="141"/>
      <c r="AM831" s="141"/>
      <c r="AQ831" s="141"/>
      <c r="AT831" s="140"/>
      <c r="AU831" s="140"/>
    </row>
    <row r="832" spans="2:47" s="134" customFormat="1" x14ac:dyDescent="0.2">
      <c r="B832" s="145"/>
      <c r="D832" s="679"/>
      <c r="J832" s="140"/>
      <c r="K832" s="140"/>
      <c r="L832" s="140"/>
      <c r="M832" s="140"/>
      <c r="N832" s="140"/>
      <c r="O832" s="140"/>
      <c r="P832" s="140"/>
      <c r="Q832" s="140"/>
      <c r="R832" s="140"/>
      <c r="S832" s="140"/>
      <c r="T832" s="140"/>
      <c r="U832" s="140"/>
      <c r="V832" s="140"/>
      <c r="W832" s="140"/>
      <c r="X832" s="140"/>
      <c r="Y832" s="140"/>
      <c r="Z832" s="140"/>
      <c r="AA832" s="141"/>
      <c r="AE832" s="140"/>
      <c r="AI832" s="141"/>
      <c r="AM832" s="141"/>
      <c r="AQ832" s="141"/>
      <c r="AT832" s="140"/>
      <c r="AU832" s="140"/>
    </row>
    <row r="833" spans="2:47" s="134" customFormat="1" x14ac:dyDescent="0.2">
      <c r="B833" s="145"/>
      <c r="D833" s="679"/>
      <c r="J833" s="140"/>
      <c r="K833" s="140"/>
      <c r="L833" s="140"/>
      <c r="M833" s="140"/>
      <c r="N833" s="140"/>
      <c r="O833" s="140"/>
      <c r="P833" s="140"/>
      <c r="Q833" s="140"/>
      <c r="R833" s="140"/>
      <c r="S833" s="140"/>
      <c r="T833" s="140"/>
      <c r="U833" s="140"/>
      <c r="V833" s="140"/>
      <c r="W833" s="140"/>
      <c r="X833" s="140"/>
      <c r="Y833" s="140"/>
      <c r="Z833" s="140"/>
      <c r="AA833" s="141"/>
      <c r="AE833" s="140"/>
      <c r="AI833" s="141"/>
      <c r="AM833" s="141"/>
      <c r="AQ833" s="141"/>
      <c r="AT833" s="140"/>
      <c r="AU833" s="140"/>
    </row>
    <row r="834" spans="2:47" s="134" customFormat="1" x14ac:dyDescent="0.2">
      <c r="B834" s="145"/>
      <c r="D834" s="679"/>
      <c r="J834" s="140"/>
      <c r="K834" s="140"/>
      <c r="L834" s="140"/>
      <c r="M834" s="140"/>
      <c r="N834" s="140"/>
      <c r="O834" s="140"/>
      <c r="P834" s="140"/>
      <c r="Q834" s="140"/>
      <c r="R834" s="140"/>
      <c r="S834" s="140"/>
      <c r="T834" s="140"/>
      <c r="U834" s="140"/>
      <c r="V834" s="140"/>
      <c r="W834" s="140"/>
      <c r="X834" s="140"/>
      <c r="Y834" s="140"/>
      <c r="Z834" s="140"/>
      <c r="AA834" s="141"/>
      <c r="AE834" s="140"/>
      <c r="AI834" s="141"/>
      <c r="AM834" s="141"/>
      <c r="AQ834" s="141"/>
      <c r="AT834" s="140"/>
      <c r="AU834" s="140"/>
    </row>
    <row r="835" spans="2:47" s="134" customFormat="1" x14ac:dyDescent="0.2">
      <c r="B835" s="145"/>
      <c r="D835" s="679"/>
      <c r="J835" s="140"/>
      <c r="K835" s="140"/>
      <c r="L835" s="140"/>
      <c r="M835" s="140"/>
      <c r="N835" s="140"/>
      <c r="O835" s="140"/>
      <c r="P835" s="140"/>
      <c r="Q835" s="140"/>
      <c r="R835" s="140"/>
      <c r="S835" s="140"/>
      <c r="T835" s="140"/>
      <c r="U835" s="140"/>
      <c r="V835" s="140"/>
      <c r="W835" s="140"/>
      <c r="X835" s="140"/>
      <c r="Y835" s="140"/>
      <c r="Z835" s="140"/>
      <c r="AA835" s="141"/>
      <c r="AE835" s="140"/>
      <c r="AI835" s="141"/>
      <c r="AM835" s="141"/>
      <c r="AQ835" s="141"/>
      <c r="AT835" s="140"/>
      <c r="AU835" s="140"/>
    </row>
    <row r="836" spans="2:47" s="134" customFormat="1" x14ac:dyDescent="0.2">
      <c r="B836" s="145"/>
      <c r="D836" s="679"/>
      <c r="J836" s="140"/>
      <c r="K836" s="140"/>
      <c r="L836" s="140"/>
      <c r="M836" s="140"/>
      <c r="N836" s="140"/>
      <c r="O836" s="140"/>
      <c r="P836" s="140"/>
      <c r="Q836" s="140"/>
      <c r="R836" s="140"/>
      <c r="S836" s="140"/>
      <c r="T836" s="140"/>
      <c r="U836" s="140"/>
      <c r="V836" s="140"/>
      <c r="W836" s="140"/>
      <c r="X836" s="140"/>
      <c r="Y836" s="140"/>
      <c r="Z836" s="140"/>
      <c r="AA836" s="141"/>
      <c r="AE836" s="140"/>
      <c r="AI836" s="141"/>
      <c r="AM836" s="141"/>
      <c r="AQ836" s="141"/>
      <c r="AT836" s="140"/>
      <c r="AU836" s="140"/>
    </row>
    <row r="837" spans="2:47" s="134" customFormat="1" x14ac:dyDescent="0.2">
      <c r="B837" s="145"/>
      <c r="D837" s="679"/>
      <c r="J837" s="140"/>
      <c r="K837" s="140"/>
      <c r="L837" s="140"/>
      <c r="M837" s="140"/>
      <c r="N837" s="140"/>
      <c r="O837" s="140"/>
      <c r="P837" s="140"/>
      <c r="Q837" s="140"/>
      <c r="R837" s="140"/>
      <c r="S837" s="140"/>
      <c r="T837" s="140"/>
      <c r="U837" s="140"/>
      <c r="V837" s="140"/>
      <c r="W837" s="140"/>
      <c r="X837" s="140"/>
      <c r="Y837" s="140"/>
      <c r="Z837" s="140"/>
      <c r="AA837" s="141"/>
      <c r="AE837" s="140"/>
      <c r="AI837" s="141"/>
      <c r="AM837" s="141"/>
      <c r="AQ837" s="141"/>
      <c r="AT837" s="140"/>
      <c r="AU837" s="140"/>
    </row>
    <row r="838" spans="2:47" s="134" customFormat="1" x14ac:dyDescent="0.2">
      <c r="B838" s="145"/>
      <c r="D838" s="679"/>
      <c r="J838" s="140"/>
      <c r="K838" s="140"/>
      <c r="L838" s="140"/>
      <c r="M838" s="140"/>
      <c r="N838" s="140"/>
      <c r="O838" s="140"/>
      <c r="P838" s="140"/>
      <c r="Q838" s="140"/>
      <c r="R838" s="140"/>
      <c r="S838" s="140"/>
      <c r="T838" s="140"/>
      <c r="U838" s="140"/>
      <c r="V838" s="140"/>
      <c r="W838" s="140"/>
      <c r="X838" s="140"/>
      <c r="Y838" s="140"/>
      <c r="Z838" s="140"/>
      <c r="AA838" s="141"/>
      <c r="AE838" s="140"/>
      <c r="AI838" s="141"/>
      <c r="AM838" s="141"/>
      <c r="AQ838" s="141"/>
      <c r="AT838" s="140"/>
      <c r="AU838" s="140"/>
    </row>
    <row r="839" spans="2:47" s="134" customFormat="1" x14ac:dyDescent="0.2">
      <c r="B839" s="145"/>
      <c r="D839" s="679"/>
      <c r="J839" s="140"/>
      <c r="K839" s="140"/>
      <c r="L839" s="140"/>
      <c r="M839" s="140"/>
      <c r="N839" s="140"/>
      <c r="O839" s="140"/>
      <c r="P839" s="140"/>
      <c r="Q839" s="140"/>
      <c r="R839" s="140"/>
      <c r="S839" s="140"/>
      <c r="T839" s="140"/>
      <c r="U839" s="140"/>
      <c r="V839" s="140"/>
      <c r="W839" s="140"/>
      <c r="X839" s="140"/>
      <c r="Y839" s="140"/>
      <c r="Z839" s="140"/>
      <c r="AA839" s="141"/>
      <c r="AE839" s="140"/>
      <c r="AI839" s="141"/>
      <c r="AM839" s="141"/>
      <c r="AQ839" s="141"/>
      <c r="AT839" s="140"/>
      <c r="AU839" s="140"/>
    </row>
    <row r="840" spans="2:47" s="134" customFormat="1" x14ac:dyDescent="0.2">
      <c r="B840" s="145"/>
      <c r="D840" s="679"/>
      <c r="J840" s="140"/>
      <c r="K840" s="140"/>
      <c r="L840" s="140"/>
      <c r="M840" s="140"/>
      <c r="N840" s="140"/>
      <c r="O840" s="140"/>
      <c r="P840" s="140"/>
      <c r="Q840" s="140"/>
      <c r="R840" s="140"/>
      <c r="S840" s="140"/>
      <c r="T840" s="140"/>
      <c r="U840" s="140"/>
      <c r="V840" s="140"/>
      <c r="W840" s="140"/>
      <c r="X840" s="140"/>
      <c r="Y840" s="140"/>
      <c r="Z840" s="140"/>
      <c r="AA840" s="141"/>
      <c r="AE840" s="140"/>
      <c r="AI840" s="141"/>
      <c r="AM840" s="141"/>
      <c r="AQ840" s="141"/>
      <c r="AT840" s="140"/>
      <c r="AU840" s="140"/>
    </row>
    <row r="841" spans="2:47" s="134" customFormat="1" x14ac:dyDescent="0.2">
      <c r="B841" s="145"/>
      <c r="D841" s="679"/>
      <c r="J841" s="140"/>
      <c r="K841" s="140"/>
      <c r="L841" s="140"/>
      <c r="M841" s="140"/>
      <c r="N841" s="140"/>
      <c r="O841" s="140"/>
      <c r="P841" s="140"/>
      <c r="Q841" s="140"/>
      <c r="R841" s="140"/>
      <c r="S841" s="140"/>
      <c r="T841" s="140"/>
      <c r="U841" s="140"/>
      <c r="V841" s="140"/>
      <c r="W841" s="140"/>
      <c r="X841" s="140"/>
      <c r="Y841" s="140"/>
      <c r="Z841" s="140"/>
      <c r="AA841" s="141"/>
      <c r="AE841" s="140"/>
      <c r="AI841" s="141"/>
      <c r="AM841" s="141"/>
      <c r="AQ841" s="141"/>
      <c r="AT841" s="140"/>
      <c r="AU841" s="140"/>
    </row>
    <row r="842" spans="2:47" s="134" customFormat="1" x14ac:dyDescent="0.2">
      <c r="B842" s="145"/>
      <c r="D842" s="679"/>
      <c r="J842" s="140"/>
      <c r="K842" s="140"/>
      <c r="L842" s="140"/>
      <c r="M842" s="140"/>
      <c r="N842" s="140"/>
      <c r="O842" s="140"/>
      <c r="P842" s="140"/>
      <c r="Q842" s="140"/>
      <c r="R842" s="140"/>
      <c r="S842" s="140"/>
      <c r="T842" s="140"/>
      <c r="U842" s="140"/>
      <c r="V842" s="140"/>
      <c r="W842" s="140"/>
      <c r="X842" s="140"/>
      <c r="Y842" s="140"/>
      <c r="Z842" s="140"/>
      <c r="AA842" s="141"/>
      <c r="AE842" s="140"/>
      <c r="AI842" s="141"/>
      <c r="AM842" s="141"/>
      <c r="AQ842" s="141"/>
      <c r="AT842" s="140"/>
      <c r="AU842" s="140"/>
    </row>
    <row r="843" spans="2:47" s="134" customFormat="1" x14ac:dyDescent="0.2">
      <c r="B843" s="145"/>
      <c r="D843" s="679"/>
      <c r="J843" s="140"/>
      <c r="K843" s="140"/>
      <c r="L843" s="140"/>
      <c r="M843" s="140"/>
      <c r="N843" s="140"/>
      <c r="O843" s="140"/>
      <c r="P843" s="140"/>
      <c r="Q843" s="140"/>
      <c r="R843" s="140"/>
      <c r="S843" s="140"/>
      <c r="T843" s="140"/>
      <c r="U843" s="140"/>
      <c r="V843" s="140"/>
      <c r="W843" s="140"/>
      <c r="X843" s="140"/>
      <c r="Y843" s="140"/>
      <c r="Z843" s="140"/>
      <c r="AA843" s="141"/>
      <c r="AE843" s="140"/>
      <c r="AI843" s="141"/>
      <c r="AM843" s="141"/>
      <c r="AQ843" s="141"/>
      <c r="AT843" s="140"/>
      <c r="AU843" s="140"/>
    </row>
    <row r="844" spans="2:47" s="134" customFormat="1" x14ac:dyDescent="0.2">
      <c r="B844" s="145"/>
      <c r="D844" s="679"/>
      <c r="J844" s="140"/>
      <c r="K844" s="140"/>
      <c r="L844" s="140"/>
      <c r="M844" s="140"/>
      <c r="N844" s="140"/>
      <c r="O844" s="140"/>
      <c r="P844" s="140"/>
      <c r="Q844" s="140"/>
      <c r="R844" s="140"/>
      <c r="S844" s="140"/>
      <c r="T844" s="140"/>
      <c r="U844" s="140"/>
      <c r="V844" s="140"/>
      <c r="W844" s="140"/>
      <c r="X844" s="140"/>
      <c r="Y844" s="140"/>
      <c r="Z844" s="140"/>
      <c r="AA844" s="141"/>
      <c r="AE844" s="140"/>
      <c r="AI844" s="141"/>
      <c r="AM844" s="141"/>
      <c r="AQ844" s="141"/>
      <c r="AT844" s="140"/>
      <c r="AU844" s="140"/>
    </row>
    <row r="845" spans="2:47" s="134" customFormat="1" x14ac:dyDescent="0.2">
      <c r="B845" s="145"/>
      <c r="D845" s="679"/>
      <c r="J845" s="140"/>
      <c r="K845" s="140"/>
      <c r="L845" s="140"/>
      <c r="M845" s="140"/>
      <c r="N845" s="140"/>
      <c r="O845" s="140"/>
      <c r="P845" s="140"/>
      <c r="Q845" s="140"/>
      <c r="R845" s="140"/>
      <c r="S845" s="140"/>
      <c r="T845" s="140"/>
      <c r="U845" s="140"/>
      <c r="V845" s="140"/>
      <c r="W845" s="140"/>
      <c r="X845" s="140"/>
      <c r="Y845" s="140"/>
      <c r="Z845" s="140"/>
      <c r="AA845" s="141"/>
      <c r="AE845" s="140"/>
      <c r="AI845" s="141"/>
      <c r="AM845" s="141"/>
      <c r="AQ845" s="141"/>
      <c r="AT845" s="140"/>
      <c r="AU845" s="140"/>
    </row>
    <row r="846" spans="2:47" s="134" customFormat="1" x14ac:dyDescent="0.2">
      <c r="B846" s="145"/>
      <c r="D846" s="679"/>
      <c r="J846" s="140"/>
      <c r="K846" s="140"/>
      <c r="L846" s="140"/>
      <c r="M846" s="140"/>
      <c r="N846" s="140"/>
      <c r="O846" s="140"/>
      <c r="P846" s="140"/>
      <c r="Q846" s="140"/>
      <c r="R846" s="140"/>
      <c r="S846" s="140"/>
      <c r="T846" s="140"/>
      <c r="U846" s="140"/>
      <c r="V846" s="140"/>
      <c r="W846" s="140"/>
      <c r="X846" s="140"/>
      <c r="Y846" s="140"/>
      <c r="Z846" s="140"/>
      <c r="AA846" s="141"/>
      <c r="AE846" s="140"/>
      <c r="AI846" s="141"/>
      <c r="AM846" s="141"/>
      <c r="AQ846" s="141"/>
      <c r="AT846" s="140"/>
      <c r="AU846" s="140"/>
    </row>
    <row r="847" spans="2:47" s="134" customFormat="1" x14ac:dyDescent="0.2">
      <c r="B847" s="145"/>
      <c r="D847" s="679"/>
      <c r="J847" s="140"/>
      <c r="K847" s="140"/>
      <c r="L847" s="140"/>
      <c r="M847" s="140"/>
      <c r="N847" s="140"/>
      <c r="O847" s="140"/>
      <c r="P847" s="140"/>
      <c r="Q847" s="140"/>
      <c r="R847" s="140"/>
      <c r="S847" s="140"/>
      <c r="T847" s="140"/>
      <c r="U847" s="140"/>
      <c r="V847" s="140"/>
      <c r="W847" s="140"/>
      <c r="X847" s="140"/>
      <c r="Y847" s="140"/>
      <c r="Z847" s="140"/>
      <c r="AA847" s="141"/>
      <c r="AE847" s="140"/>
      <c r="AI847" s="141"/>
      <c r="AM847" s="141"/>
      <c r="AQ847" s="141"/>
      <c r="AT847" s="140"/>
      <c r="AU847" s="140"/>
    </row>
    <row r="848" spans="2:47" s="134" customFormat="1" x14ac:dyDescent="0.2">
      <c r="B848" s="145"/>
      <c r="D848" s="679"/>
      <c r="J848" s="140"/>
      <c r="K848" s="140"/>
      <c r="L848" s="140"/>
      <c r="M848" s="140"/>
      <c r="N848" s="140"/>
      <c r="O848" s="140"/>
      <c r="P848" s="140"/>
      <c r="Q848" s="140"/>
      <c r="R848" s="140"/>
      <c r="S848" s="140"/>
      <c r="T848" s="140"/>
      <c r="U848" s="140"/>
      <c r="V848" s="140"/>
      <c r="W848" s="140"/>
      <c r="X848" s="140"/>
      <c r="Y848" s="140"/>
      <c r="Z848" s="140"/>
      <c r="AA848" s="141"/>
      <c r="AE848" s="140"/>
      <c r="AI848" s="141"/>
      <c r="AM848" s="141"/>
      <c r="AQ848" s="141"/>
      <c r="AT848" s="140"/>
      <c r="AU848" s="140"/>
    </row>
    <row r="849" spans="2:47" s="134" customFormat="1" x14ac:dyDescent="0.2">
      <c r="B849" s="145"/>
      <c r="D849" s="679"/>
      <c r="J849" s="140"/>
      <c r="K849" s="140"/>
      <c r="L849" s="140"/>
      <c r="M849" s="140"/>
      <c r="N849" s="140"/>
      <c r="O849" s="140"/>
      <c r="P849" s="140"/>
      <c r="Q849" s="140"/>
      <c r="R849" s="140"/>
      <c r="S849" s="140"/>
      <c r="T849" s="140"/>
      <c r="U849" s="140"/>
      <c r="V849" s="140"/>
      <c r="W849" s="140"/>
      <c r="X849" s="140"/>
      <c r="Y849" s="140"/>
      <c r="Z849" s="140"/>
      <c r="AA849" s="141"/>
      <c r="AE849" s="140"/>
      <c r="AI849" s="141"/>
      <c r="AM849" s="141"/>
      <c r="AQ849" s="141"/>
      <c r="AT849" s="140"/>
      <c r="AU849" s="140"/>
    </row>
    <row r="850" spans="2:47" s="134" customFormat="1" x14ac:dyDescent="0.2">
      <c r="B850" s="145"/>
      <c r="D850" s="679"/>
      <c r="J850" s="140"/>
      <c r="K850" s="140"/>
      <c r="L850" s="140"/>
      <c r="M850" s="140"/>
      <c r="N850" s="140"/>
      <c r="O850" s="140"/>
      <c r="P850" s="140"/>
      <c r="Q850" s="140"/>
      <c r="R850" s="140"/>
      <c r="S850" s="140"/>
      <c r="T850" s="140"/>
      <c r="U850" s="140"/>
      <c r="V850" s="140"/>
      <c r="W850" s="140"/>
      <c r="X850" s="140"/>
      <c r="Y850" s="140"/>
      <c r="Z850" s="140"/>
      <c r="AA850" s="141"/>
      <c r="AE850" s="140"/>
      <c r="AI850" s="141"/>
      <c r="AM850" s="141"/>
      <c r="AQ850" s="141"/>
      <c r="AT850" s="140"/>
      <c r="AU850" s="140"/>
    </row>
    <row r="851" spans="2:47" s="134" customFormat="1" x14ac:dyDescent="0.2">
      <c r="B851" s="145"/>
      <c r="D851" s="679"/>
      <c r="J851" s="140"/>
      <c r="K851" s="140"/>
      <c r="L851" s="140"/>
      <c r="M851" s="140"/>
      <c r="N851" s="140"/>
      <c r="O851" s="140"/>
      <c r="P851" s="140"/>
      <c r="Q851" s="140"/>
      <c r="R851" s="140"/>
      <c r="S851" s="140"/>
      <c r="T851" s="140"/>
      <c r="U851" s="140"/>
      <c r="V851" s="140"/>
      <c r="W851" s="140"/>
      <c r="X851" s="140"/>
      <c r="Y851" s="140"/>
      <c r="Z851" s="140"/>
      <c r="AA851" s="141"/>
      <c r="AE851" s="140"/>
      <c r="AI851" s="141"/>
      <c r="AM851" s="141"/>
      <c r="AQ851" s="141"/>
      <c r="AT851" s="140"/>
      <c r="AU851" s="140"/>
    </row>
    <row r="852" spans="2:47" s="134" customFormat="1" x14ac:dyDescent="0.2">
      <c r="B852" s="145"/>
      <c r="D852" s="679"/>
      <c r="J852" s="140"/>
      <c r="K852" s="140"/>
      <c r="L852" s="140"/>
      <c r="M852" s="140"/>
      <c r="N852" s="140"/>
      <c r="O852" s="140"/>
      <c r="P852" s="140"/>
      <c r="Q852" s="140"/>
      <c r="R852" s="140"/>
      <c r="S852" s="140"/>
      <c r="T852" s="140"/>
      <c r="U852" s="140"/>
      <c r="V852" s="140"/>
      <c r="W852" s="140"/>
      <c r="X852" s="140"/>
      <c r="Y852" s="140"/>
      <c r="Z852" s="140"/>
      <c r="AA852" s="141"/>
      <c r="AE852" s="140"/>
      <c r="AI852" s="141"/>
      <c r="AM852" s="141"/>
      <c r="AQ852" s="141"/>
      <c r="AT852" s="140"/>
      <c r="AU852" s="140"/>
    </row>
    <row r="853" spans="2:47" s="134" customFormat="1" x14ac:dyDescent="0.2">
      <c r="B853" s="145"/>
      <c r="D853" s="679"/>
      <c r="J853" s="140"/>
      <c r="K853" s="140"/>
      <c r="L853" s="140"/>
      <c r="M853" s="140"/>
      <c r="N853" s="140"/>
      <c r="O853" s="140"/>
      <c r="P853" s="140"/>
      <c r="Q853" s="140"/>
      <c r="R853" s="140"/>
      <c r="S853" s="140"/>
      <c r="T853" s="140"/>
      <c r="U853" s="140"/>
      <c r="V853" s="140"/>
      <c r="W853" s="140"/>
      <c r="X853" s="140"/>
      <c r="Y853" s="140"/>
      <c r="Z853" s="140"/>
      <c r="AA853" s="141"/>
      <c r="AE853" s="140"/>
      <c r="AI853" s="141"/>
      <c r="AM853" s="141"/>
      <c r="AQ853" s="141"/>
      <c r="AT853" s="140"/>
      <c r="AU853" s="140"/>
    </row>
    <row r="854" spans="2:47" s="134" customFormat="1" x14ac:dyDescent="0.2">
      <c r="B854" s="145"/>
      <c r="D854" s="679"/>
      <c r="J854" s="140"/>
      <c r="K854" s="140"/>
      <c r="L854" s="140"/>
      <c r="M854" s="140"/>
      <c r="N854" s="140"/>
      <c r="O854" s="140"/>
      <c r="P854" s="140"/>
      <c r="Q854" s="140"/>
      <c r="R854" s="140"/>
      <c r="S854" s="140"/>
      <c r="T854" s="140"/>
      <c r="U854" s="140"/>
      <c r="V854" s="140"/>
      <c r="W854" s="140"/>
      <c r="X854" s="140"/>
      <c r="Y854" s="140"/>
      <c r="Z854" s="140"/>
      <c r="AA854" s="141"/>
      <c r="AE854" s="140"/>
      <c r="AI854" s="141"/>
      <c r="AM854" s="141"/>
      <c r="AQ854" s="141"/>
      <c r="AT854" s="140"/>
      <c r="AU854" s="140"/>
    </row>
    <row r="855" spans="2:47" s="134" customFormat="1" x14ac:dyDescent="0.2">
      <c r="B855" s="145"/>
      <c r="D855" s="679"/>
      <c r="J855" s="140"/>
      <c r="K855" s="140"/>
      <c r="L855" s="140"/>
      <c r="M855" s="140"/>
      <c r="N855" s="140"/>
      <c r="O855" s="140"/>
      <c r="P855" s="140"/>
      <c r="Q855" s="140"/>
      <c r="R855" s="140"/>
      <c r="S855" s="140"/>
      <c r="T855" s="140"/>
      <c r="U855" s="140"/>
      <c r="V855" s="140"/>
      <c r="W855" s="140"/>
      <c r="X855" s="140"/>
      <c r="Y855" s="140"/>
      <c r="Z855" s="140"/>
      <c r="AA855" s="141"/>
      <c r="AE855" s="140"/>
      <c r="AI855" s="141"/>
      <c r="AM855" s="141"/>
      <c r="AQ855" s="141"/>
      <c r="AT855" s="140"/>
      <c r="AU855" s="140"/>
    </row>
    <row r="856" spans="2:47" s="134" customFormat="1" x14ac:dyDescent="0.2">
      <c r="B856" s="145"/>
      <c r="D856" s="679"/>
      <c r="J856" s="140"/>
      <c r="K856" s="140"/>
      <c r="L856" s="140"/>
      <c r="M856" s="140"/>
      <c r="N856" s="140"/>
      <c r="O856" s="140"/>
      <c r="P856" s="140"/>
      <c r="Q856" s="140"/>
      <c r="R856" s="140"/>
      <c r="S856" s="140"/>
      <c r="T856" s="140"/>
      <c r="U856" s="140"/>
      <c r="V856" s="140"/>
      <c r="W856" s="140"/>
      <c r="X856" s="140"/>
      <c r="Y856" s="140"/>
      <c r="Z856" s="140"/>
      <c r="AA856" s="141"/>
      <c r="AE856" s="140"/>
      <c r="AI856" s="141"/>
      <c r="AM856" s="141"/>
      <c r="AQ856" s="141"/>
      <c r="AT856" s="140"/>
      <c r="AU856" s="140"/>
    </row>
    <row r="857" spans="2:47" s="134" customFormat="1" x14ac:dyDescent="0.2">
      <c r="B857" s="145"/>
      <c r="D857" s="679"/>
      <c r="J857" s="140"/>
      <c r="K857" s="140"/>
      <c r="L857" s="140"/>
      <c r="M857" s="140"/>
      <c r="N857" s="140"/>
      <c r="O857" s="140"/>
      <c r="P857" s="140"/>
      <c r="Q857" s="140"/>
      <c r="R857" s="140"/>
      <c r="S857" s="140"/>
      <c r="T857" s="140"/>
      <c r="U857" s="140"/>
      <c r="V857" s="140"/>
      <c r="W857" s="140"/>
      <c r="X857" s="140"/>
      <c r="Y857" s="140"/>
      <c r="Z857" s="140"/>
      <c r="AA857" s="141"/>
      <c r="AE857" s="140"/>
      <c r="AI857" s="141"/>
      <c r="AM857" s="141"/>
      <c r="AQ857" s="141"/>
      <c r="AT857" s="140"/>
      <c r="AU857" s="140"/>
    </row>
    <row r="858" spans="2:47" s="134" customFormat="1" x14ac:dyDescent="0.2">
      <c r="B858" s="145"/>
      <c r="D858" s="679"/>
      <c r="J858" s="140"/>
      <c r="K858" s="140"/>
      <c r="L858" s="140"/>
      <c r="M858" s="140"/>
      <c r="N858" s="140"/>
      <c r="O858" s="140"/>
      <c r="P858" s="140"/>
      <c r="Q858" s="140"/>
      <c r="R858" s="140"/>
      <c r="S858" s="140"/>
      <c r="T858" s="140"/>
      <c r="U858" s="140"/>
      <c r="V858" s="140"/>
      <c r="W858" s="140"/>
      <c r="X858" s="140"/>
      <c r="Y858" s="140"/>
      <c r="Z858" s="140"/>
      <c r="AA858" s="141"/>
      <c r="AE858" s="140"/>
      <c r="AI858" s="141"/>
      <c r="AM858" s="141"/>
      <c r="AQ858" s="141"/>
      <c r="AT858" s="140"/>
      <c r="AU858" s="140"/>
    </row>
    <row r="859" spans="2:47" s="134" customFormat="1" x14ac:dyDescent="0.2">
      <c r="B859" s="145"/>
      <c r="D859" s="679"/>
      <c r="J859" s="140"/>
      <c r="K859" s="140"/>
      <c r="L859" s="140"/>
      <c r="M859" s="140"/>
      <c r="N859" s="140"/>
      <c r="O859" s="140"/>
      <c r="P859" s="140"/>
      <c r="Q859" s="140"/>
      <c r="R859" s="140"/>
      <c r="S859" s="140"/>
      <c r="T859" s="140"/>
      <c r="U859" s="140"/>
      <c r="V859" s="140"/>
      <c r="W859" s="140"/>
      <c r="X859" s="140"/>
      <c r="Y859" s="140"/>
      <c r="Z859" s="140"/>
      <c r="AA859" s="141"/>
      <c r="AE859" s="140"/>
      <c r="AI859" s="141"/>
      <c r="AM859" s="141"/>
      <c r="AQ859" s="141"/>
      <c r="AT859" s="140"/>
      <c r="AU859" s="140"/>
    </row>
    <row r="860" spans="2:47" s="134" customFormat="1" x14ac:dyDescent="0.2">
      <c r="B860" s="145"/>
      <c r="D860" s="679"/>
      <c r="J860" s="140"/>
      <c r="K860" s="140"/>
      <c r="L860" s="140"/>
      <c r="M860" s="140"/>
      <c r="N860" s="140"/>
      <c r="O860" s="140"/>
      <c r="P860" s="140"/>
      <c r="Q860" s="140"/>
      <c r="R860" s="140"/>
      <c r="S860" s="140"/>
      <c r="T860" s="140"/>
      <c r="U860" s="140"/>
      <c r="V860" s="140"/>
      <c r="W860" s="140"/>
      <c r="X860" s="140"/>
      <c r="Y860" s="140"/>
      <c r="Z860" s="140"/>
      <c r="AA860" s="141"/>
      <c r="AE860" s="140"/>
      <c r="AI860" s="141"/>
      <c r="AM860" s="141"/>
      <c r="AQ860" s="141"/>
      <c r="AT860" s="140"/>
      <c r="AU860" s="140"/>
    </row>
    <row r="861" spans="2:47" s="134" customFormat="1" x14ac:dyDescent="0.2">
      <c r="B861" s="145"/>
      <c r="D861" s="679"/>
      <c r="J861" s="140"/>
      <c r="K861" s="140"/>
      <c r="L861" s="140"/>
      <c r="M861" s="140"/>
      <c r="N861" s="140"/>
      <c r="O861" s="140"/>
      <c r="P861" s="140"/>
      <c r="Q861" s="140"/>
      <c r="R861" s="140"/>
      <c r="S861" s="140"/>
      <c r="T861" s="140"/>
      <c r="U861" s="140"/>
      <c r="V861" s="140"/>
      <c r="W861" s="140"/>
      <c r="X861" s="140"/>
      <c r="Y861" s="140"/>
      <c r="Z861" s="140"/>
      <c r="AA861" s="141"/>
      <c r="AE861" s="140"/>
      <c r="AI861" s="141"/>
      <c r="AM861" s="141"/>
      <c r="AQ861" s="141"/>
      <c r="AT861" s="140"/>
      <c r="AU861" s="140"/>
    </row>
    <row r="862" spans="2:47" s="134" customFormat="1" x14ac:dyDescent="0.2">
      <c r="B862" s="145"/>
      <c r="D862" s="679"/>
      <c r="J862" s="140"/>
      <c r="K862" s="140"/>
      <c r="L862" s="140"/>
      <c r="M862" s="140"/>
      <c r="N862" s="140"/>
      <c r="O862" s="140"/>
      <c r="P862" s="140"/>
      <c r="Q862" s="140"/>
      <c r="R862" s="140"/>
      <c r="S862" s="140"/>
      <c r="T862" s="140"/>
      <c r="U862" s="140"/>
      <c r="V862" s="140"/>
      <c r="W862" s="140"/>
      <c r="X862" s="140"/>
      <c r="Y862" s="140"/>
      <c r="Z862" s="140"/>
      <c r="AA862" s="141"/>
      <c r="AE862" s="140"/>
      <c r="AI862" s="141"/>
      <c r="AM862" s="141"/>
      <c r="AQ862" s="141"/>
      <c r="AT862" s="140"/>
      <c r="AU862" s="140"/>
    </row>
    <row r="863" spans="2:47" s="134" customFormat="1" x14ac:dyDescent="0.2">
      <c r="B863" s="145"/>
      <c r="D863" s="679"/>
      <c r="J863" s="140"/>
      <c r="K863" s="140"/>
      <c r="L863" s="140"/>
      <c r="M863" s="140"/>
      <c r="N863" s="140"/>
      <c r="O863" s="140"/>
      <c r="P863" s="140"/>
      <c r="Q863" s="140"/>
      <c r="R863" s="140"/>
      <c r="S863" s="140"/>
      <c r="T863" s="140"/>
      <c r="U863" s="140"/>
      <c r="V863" s="140"/>
      <c r="W863" s="140"/>
      <c r="X863" s="140"/>
      <c r="Y863" s="140"/>
      <c r="Z863" s="140"/>
      <c r="AA863" s="141"/>
      <c r="AE863" s="140"/>
      <c r="AI863" s="141"/>
      <c r="AM863" s="141"/>
      <c r="AQ863" s="141"/>
      <c r="AT863" s="140"/>
      <c r="AU863" s="140"/>
    </row>
    <row r="864" spans="2:47" s="134" customFormat="1" x14ac:dyDescent="0.2">
      <c r="B864" s="145"/>
      <c r="D864" s="679"/>
      <c r="J864" s="140"/>
      <c r="K864" s="140"/>
      <c r="L864" s="140"/>
      <c r="M864" s="140"/>
      <c r="N864" s="140"/>
      <c r="O864" s="140"/>
      <c r="P864" s="140"/>
      <c r="Q864" s="140"/>
      <c r="R864" s="140"/>
      <c r="S864" s="140"/>
      <c r="T864" s="140"/>
      <c r="U864" s="140"/>
      <c r="V864" s="140"/>
      <c r="W864" s="140"/>
      <c r="X864" s="140"/>
      <c r="Y864" s="140"/>
      <c r="Z864" s="140"/>
      <c r="AA864" s="141"/>
      <c r="AE864" s="140"/>
      <c r="AI864" s="141"/>
      <c r="AM864" s="141"/>
      <c r="AQ864" s="141"/>
      <c r="AT864" s="140"/>
      <c r="AU864" s="140"/>
    </row>
    <row r="865" spans="2:47" s="134" customFormat="1" x14ac:dyDescent="0.2">
      <c r="B865" s="145"/>
      <c r="D865" s="679"/>
      <c r="J865" s="140"/>
      <c r="K865" s="140"/>
      <c r="L865" s="140"/>
      <c r="M865" s="140"/>
      <c r="N865" s="140"/>
      <c r="O865" s="140"/>
      <c r="P865" s="140"/>
      <c r="Q865" s="140"/>
      <c r="R865" s="140"/>
      <c r="S865" s="140"/>
      <c r="T865" s="140"/>
      <c r="U865" s="140"/>
      <c r="V865" s="140"/>
      <c r="W865" s="140"/>
      <c r="X865" s="140"/>
      <c r="Y865" s="140"/>
      <c r="Z865" s="140"/>
      <c r="AA865" s="141"/>
      <c r="AE865" s="140"/>
      <c r="AI865" s="141"/>
      <c r="AM865" s="141"/>
      <c r="AQ865" s="141"/>
      <c r="AT865" s="140"/>
      <c r="AU865" s="140"/>
    </row>
    <row r="866" spans="2:47" s="134" customFormat="1" x14ac:dyDescent="0.2">
      <c r="B866" s="145"/>
      <c r="D866" s="679"/>
      <c r="J866" s="140"/>
      <c r="K866" s="140"/>
      <c r="L866" s="140"/>
      <c r="M866" s="140"/>
      <c r="N866" s="140"/>
      <c r="O866" s="140"/>
      <c r="P866" s="140"/>
      <c r="Q866" s="140"/>
      <c r="R866" s="140"/>
      <c r="S866" s="140"/>
      <c r="T866" s="140"/>
      <c r="U866" s="140"/>
      <c r="V866" s="140"/>
      <c r="W866" s="140"/>
      <c r="X866" s="140"/>
      <c r="Y866" s="140"/>
      <c r="Z866" s="140"/>
      <c r="AA866" s="141"/>
      <c r="AE866" s="140"/>
      <c r="AI866" s="141"/>
      <c r="AM866" s="141"/>
      <c r="AQ866" s="141"/>
      <c r="AT866" s="140"/>
      <c r="AU866" s="140"/>
    </row>
    <row r="867" spans="2:47" s="134" customFormat="1" x14ac:dyDescent="0.2">
      <c r="B867" s="145"/>
      <c r="D867" s="679"/>
      <c r="J867" s="140"/>
      <c r="K867" s="140"/>
      <c r="L867" s="140"/>
      <c r="M867" s="140"/>
      <c r="N867" s="140"/>
      <c r="O867" s="140"/>
      <c r="P867" s="140"/>
      <c r="Q867" s="140"/>
      <c r="R867" s="140"/>
      <c r="S867" s="140"/>
      <c r="T867" s="140"/>
      <c r="U867" s="140"/>
      <c r="V867" s="140"/>
      <c r="W867" s="140"/>
      <c r="X867" s="140"/>
      <c r="Y867" s="140"/>
      <c r="Z867" s="140"/>
      <c r="AA867" s="141"/>
      <c r="AE867" s="140"/>
      <c r="AI867" s="141"/>
      <c r="AM867" s="141"/>
      <c r="AQ867" s="141"/>
      <c r="AT867" s="140"/>
      <c r="AU867" s="140"/>
    </row>
    <row r="868" spans="2:47" s="134" customFormat="1" x14ac:dyDescent="0.2">
      <c r="B868" s="145"/>
      <c r="D868" s="679"/>
      <c r="J868" s="140"/>
      <c r="K868" s="140"/>
      <c r="L868" s="140"/>
      <c r="M868" s="140"/>
      <c r="N868" s="140"/>
      <c r="O868" s="140"/>
      <c r="P868" s="140"/>
      <c r="Q868" s="140"/>
      <c r="R868" s="140"/>
      <c r="S868" s="140"/>
      <c r="T868" s="140"/>
      <c r="U868" s="140"/>
      <c r="V868" s="140"/>
      <c r="W868" s="140"/>
      <c r="X868" s="140"/>
      <c r="Y868" s="140"/>
      <c r="Z868" s="140"/>
      <c r="AA868" s="141"/>
      <c r="AE868" s="140"/>
      <c r="AI868" s="141"/>
      <c r="AM868" s="141"/>
      <c r="AQ868" s="141"/>
      <c r="AT868" s="140"/>
      <c r="AU868" s="140"/>
    </row>
    <row r="869" spans="2:47" s="134" customFormat="1" x14ac:dyDescent="0.2">
      <c r="B869" s="145"/>
      <c r="D869" s="679"/>
      <c r="J869" s="140"/>
      <c r="K869" s="140"/>
      <c r="L869" s="140"/>
      <c r="M869" s="140"/>
      <c r="N869" s="140"/>
      <c r="O869" s="140"/>
      <c r="P869" s="140"/>
      <c r="Q869" s="140"/>
      <c r="R869" s="140"/>
      <c r="S869" s="140"/>
      <c r="T869" s="140"/>
      <c r="U869" s="140"/>
      <c r="V869" s="140"/>
      <c r="W869" s="140"/>
      <c r="X869" s="140"/>
      <c r="Y869" s="140"/>
      <c r="Z869" s="140"/>
      <c r="AA869" s="141"/>
      <c r="AE869" s="140"/>
      <c r="AI869" s="141"/>
      <c r="AM869" s="141"/>
      <c r="AQ869" s="141"/>
      <c r="AT869" s="140"/>
      <c r="AU869" s="140"/>
    </row>
    <row r="870" spans="2:47" s="134" customFormat="1" x14ac:dyDescent="0.2">
      <c r="B870" s="145"/>
      <c r="D870" s="679"/>
      <c r="J870" s="140"/>
      <c r="K870" s="140"/>
      <c r="L870" s="140"/>
      <c r="M870" s="140"/>
      <c r="N870" s="140"/>
      <c r="O870" s="140"/>
      <c r="P870" s="140"/>
      <c r="Q870" s="140"/>
      <c r="R870" s="140"/>
      <c r="S870" s="140"/>
      <c r="T870" s="140"/>
      <c r="U870" s="140"/>
      <c r="V870" s="140"/>
      <c r="W870" s="140"/>
      <c r="X870" s="140"/>
      <c r="Y870" s="140"/>
      <c r="Z870" s="140"/>
      <c r="AA870" s="141"/>
      <c r="AE870" s="140"/>
      <c r="AI870" s="141"/>
      <c r="AM870" s="141"/>
      <c r="AQ870" s="141"/>
      <c r="AT870" s="140"/>
      <c r="AU870" s="140"/>
    </row>
    <row r="871" spans="2:47" s="134" customFormat="1" x14ac:dyDescent="0.2">
      <c r="B871" s="145"/>
      <c r="D871" s="679"/>
      <c r="J871" s="140"/>
      <c r="K871" s="140"/>
      <c r="L871" s="140"/>
      <c r="M871" s="140"/>
      <c r="N871" s="140"/>
      <c r="O871" s="140"/>
      <c r="P871" s="140"/>
      <c r="Q871" s="140"/>
      <c r="R871" s="140"/>
      <c r="S871" s="140"/>
      <c r="T871" s="140"/>
      <c r="U871" s="140"/>
      <c r="V871" s="140"/>
      <c r="W871" s="140"/>
      <c r="X871" s="140"/>
      <c r="Y871" s="140"/>
      <c r="Z871" s="140"/>
      <c r="AA871" s="141"/>
      <c r="AE871" s="140"/>
      <c r="AI871" s="141"/>
      <c r="AM871" s="141"/>
      <c r="AQ871" s="141"/>
      <c r="AT871" s="140"/>
      <c r="AU871" s="140"/>
    </row>
    <row r="872" spans="2:47" s="134" customFormat="1" x14ac:dyDescent="0.2">
      <c r="B872" s="145"/>
      <c r="D872" s="679"/>
      <c r="J872" s="140"/>
      <c r="K872" s="140"/>
      <c r="L872" s="140"/>
      <c r="M872" s="140"/>
      <c r="N872" s="140"/>
      <c r="O872" s="140"/>
      <c r="P872" s="140"/>
      <c r="Q872" s="140"/>
      <c r="R872" s="140"/>
      <c r="S872" s="140"/>
      <c r="T872" s="140"/>
      <c r="U872" s="140"/>
      <c r="V872" s="140"/>
      <c r="W872" s="140"/>
      <c r="X872" s="140"/>
      <c r="Y872" s="140"/>
      <c r="Z872" s="140"/>
      <c r="AA872" s="141"/>
      <c r="AE872" s="140"/>
      <c r="AI872" s="141"/>
      <c r="AM872" s="141"/>
      <c r="AQ872" s="141"/>
      <c r="AT872" s="140"/>
      <c r="AU872" s="140"/>
    </row>
    <row r="873" spans="2:47" s="134" customFormat="1" x14ac:dyDescent="0.2">
      <c r="B873" s="145"/>
      <c r="D873" s="679"/>
      <c r="J873" s="140"/>
      <c r="K873" s="140"/>
      <c r="L873" s="140"/>
      <c r="M873" s="140"/>
      <c r="N873" s="140"/>
      <c r="O873" s="140"/>
      <c r="P873" s="140"/>
      <c r="Q873" s="140"/>
      <c r="R873" s="140"/>
      <c r="S873" s="140"/>
      <c r="T873" s="140"/>
      <c r="U873" s="140"/>
      <c r="V873" s="140"/>
      <c r="W873" s="140"/>
      <c r="X873" s="140"/>
      <c r="Y873" s="140"/>
      <c r="Z873" s="140"/>
      <c r="AA873" s="141"/>
      <c r="AE873" s="140"/>
      <c r="AI873" s="141"/>
      <c r="AM873" s="141"/>
      <c r="AQ873" s="141"/>
      <c r="AT873" s="140"/>
      <c r="AU873" s="140"/>
    </row>
    <row r="874" spans="2:47" s="134" customFormat="1" x14ac:dyDescent="0.2">
      <c r="B874" s="145"/>
      <c r="D874" s="679"/>
      <c r="J874" s="140"/>
      <c r="K874" s="140"/>
      <c r="L874" s="140"/>
      <c r="M874" s="140"/>
      <c r="N874" s="140"/>
      <c r="O874" s="140"/>
      <c r="P874" s="140"/>
      <c r="Q874" s="140"/>
      <c r="R874" s="140"/>
      <c r="S874" s="140"/>
      <c r="T874" s="140"/>
      <c r="U874" s="140"/>
      <c r="V874" s="140"/>
      <c r="W874" s="140"/>
      <c r="X874" s="140"/>
      <c r="Y874" s="140"/>
      <c r="Z874" s="140"/>
      <c r="AA874" s="141"/>
      <c r="AE874" s="140"/>
      <c r="AI874" s="141"/>
      <c r="AM874" s="141"/>
      <c r="AQ874" s="141"/>
      <c r="AT874" s="140"/>
      <c r="AU874" s="140"/>
    </row>
    <row r="875" spans="2:47" s="134" customFormat="1" x14ac:dyDescent="0.2">
      <c r="B875" s="145"/>
      <c r="D875" s="679"/>
      <c r="J875" s="140"/>
      <c r="K875" s="140"/>
      <c r="L875" s="140"/>
      <c r="M875" s="140"/>
      <c r="N875" s="140"/>
      <c r="O875" s="140"/>
      <c r="P875" s="140"/>
      <c r="Q875" s="140"/>
      <c r="R875" s="140"/>
      <c r="S875" s="140"/>
      <c r="T875" s="140"/>
      <c r="U875" s="140"/>
      <c r="V875" s="140"/>
      <c r="W875" s="140"/>
      <c r="X875" s="140"/>
      <c r="Y875" s="140"/>
      <c r="Z875" s="140"/>
      <c r="AA875" s="141"/>
      <c r="AE875" s="140"/>
      <c r="AI875" s="141"/>
      <c r="AM875" s="141"/>
      <c r="AQ875" s="141"/>
      <c r="AT875" s="140"/>
      <c r="AU875" s="140"/>
    </row>
    <row r="876" spans="2:47" s="134" customFormat="1" x14ac:dyDescent="0.2">
      <c r="B876" s="145"/>
      <c r="D876" s="679"/>
      <c r="J876" s="140"/>
      <c r="K876" s="140"/>
      <c r="L876" s="140"/>
      <c r="M876" s="140"/>
      <c r="N876" s="140"/>
      <c r="O876" s="140"/>
      <c r="P876" s="140"/>
      <c r="Q876" s="140"/>
      <c r="R876" s="140"/>
      <c r="S876" s="140"/>
      <c r="T876" s="140"/>
      <c r="U876" s="140"/>
      <c r="V876" s="140"/>
      <c r="W876" s="140"/>
      <c r="X876" s="140"/>
      <c r="Y876" s="140"/>
      <c r="Z876" s="140"/>
      <c r="AA876" s="141"/>
      <c r="AE876" s="140"/>
      <c r="AI876" s="141"/>
      <c r="AM876" s="141"/>
      <c r="AQ876" s="141"/>
      <c r="AT876" s="140"/>
      <c r="AU876" s="140"/>
    </row>
    <row r="877" spans="2:47" s="134" customFormat="1" x14ac:dyDescent="0.2">
      <c r="B877" s="145"/>
      <c r="D877" s="679"/>
      <c r="J877" s="140"/>
      <c r="K877" s="140"/>
      <c r="L877" s="140"/>
      <c r="M877" s="140"/>
      <c r="N877" s="140"/>
      <c r="O877" s="140"/>
      <c r="P877" s="140"/>
      <c r="Q877" s="140"/>
      <c r="R877" s="140"/>
      <c r="S877" s="140"/>
      <c r="T877" s="140"/>
      <c r="U877" s="140"/>
      <c r="V877" s="140"/>
      <c r="W877" s="140"/>
      <c r="X877" s="140"/>
      <c r="Y877" s="140"/>
      <c r="Z877" s="140"/>
      <c r="AA877" s="141"/>
      <c r="AE877" s="140"/>
      <c r="AI877" s="141"/>
      <c r="AM877" s="141"/>
      <c r="AQ877" s="141"/>
      <c r="AT877" s="140"/>
      <c r="AU877" s="140"/>
    </row>
    <row r="878" spans="2:47" s="134" customFormat="1" x14ac:dyDescent="0.2">
      <c r="B878" s="145"/>
      <c r="D878" s="679"/>
      <c r="J878" s="140"/>
      <c r="K878" s="140"/>
      <c r="L878" s="140"/>
      <c r="M878" s="140"/>
      <c r="N878" s="140"/>
      <c r="O878" s="140"/>
      <c r="P878" s="140"/>
      <c r="Q878" s="140"/>
      <c r="R878" s="140"/>
      <c r="S878" s="140"/>
      <c r="T878" s="140"/>
      <c r="U878" s="140"/>
      <c r="V878" s="140"/>
      <c r="W878" s="140"/>
      <c r="X878" s="140"/>
      <c r="Y878" s="140"/>
      <c r="Z878" s="140"/>
      <c r="AA878" s="141"/>
      <c r="AE878" s="140"/>
      <c r="AI878" s="141"/>
      <c r="AM878" s="141"/>
      <c r="AQ878" s="141"/>
      <c r="AT878" s="140"/>
      <c r="AU878" s="140"/>
    </row>
    <row r="879" spans="2:47" s="134" customFormat="1" x14ac:dyDescent="0.2">
      <c r="B879" s="145"/>
      <c r="D879" s="679"/>
      <c r="J879" s="140"/>
      <c r="K879" s="140"/>
      <c r="L879" s="140"/>
      <c r="M879" s="140"/>
      <c r="N879" s="140"/>
      <c r="O879" s="140"/>
      <c r="P879" s="140"/>
      <c r="Q879" s="140"/>
      <c r="R879" s="140"/>
      <c r="S879" s="140"/>
      <c r="T879" s="140"/>
      <c r="U879" s="140"/>
      <c r="V879" s="140"/>
      <c r="W879" s="140"/>
      <c r="X879" s="140"/>
      <c r="Y879" s="140"/>
      <c r="Z879" s="140"/>
      <c r="AA879" s="141"/>
      <c r="AE879" s="140"/>
      <c r="AI879" s="141"/>
      <c r="AM879" s="141"/>
      <c r="AQ879" s="141"/>
      <c r="AT879" s="140"/>
      <c r="AU879" s="140"/>
    </row>
    <row r="880" spans="2:47" s="134" customFormat="1" x14ac:dyDescent="0.2">
      <c r="B880" s="145"/>
      <c r="D880" s="679"/>
      <c r="J880" s="140"/>
      <c r="K880" s="140"/>
      <c r="L880" s="140"/>
      <c r="M880" s="140"/>
      <c r="N880" s="140"/>
      <c r="O880" s="140"/>
      <c r="P880" s="140"/>
      <c r="Q880" s="140"/>
      <c r="R880" s="140"/>
      <c r="S880" s="140"/>
      <c r="T880" s="140"/>
      <c r="U880" s="140"/>
      <c r="V880" s="140"/>
      <c r="W880" s="140"/>
      <c r="X880" s="140"/>
      <c r="Y880" s="140"/>
      <c r="Z880" s="140"/>
      <c r="AA880" s="141"/>
      <c r="AE880" s="140"/>
      <c r="AI880" s="141"/>
      <c r="AM880" s="141"/>
      <c r="AQ880" s="141"/>
      <c r="AT880" s="140"/>
      <c r="AU880" s="140"/>
    </row>
    <row r="881" spans="2:47" s="134" customFormat="1" x14ac:dyDescent="0.2">
      <c r="B881" s="145"/>
      <c r="D881" s="679"/>
      <c r="J881" s="140"/>
      <c r="K881" s="140"/>
      <c r="L881" s="140"/>
      <c r="M881" s="140"/>
      <c r="N881" s="140"/>
      <c r="O881" s="140"/>
      <c r="P881" s="140"/>
      <c r="Q881" s="140"/>
      <c r="R881" s="140"/>
      <c r="S881" s="140"/>
      <c r="T881" s="140"/>
      <c r="U881" s="140"/>
      <c r="V881" s="140"/>
      <c r="W881" s="140"/>
      <c r="X881" s="140"/>
      <c r="Y881" s="140"/>
      <c r="Z881" s="140"/>
      <c r="AA881" s="141"/>
      <c r="AE881" s="140"/>
      <c r="AI881" s="141"/>
      <c r="AM881" s="141"/>
      <c r="AQ881" s="141"/>
      <c r="AT881" s="140"/>
      <c r="AU881" s="140"/>
    </row>
    <row r="882" spans="2:47" s="134" customFormat="1" x14ac:dyDescent="0.2">
      <c r="B882" s="145"/>
      <c r="D882" s="679"/>
      <c r="J882" s="140"/>
      <c r="K882" s="140"/>
      <c r="L882" s="140"/>
      <c r="M882" s="140"/>
      <c r="N882" s="140"/>
      <c r="O882" s="140"/>
      <c r="P882" s="140"/>
      <c r="Q882" s="140"/>
      <c r="R882" s="140"/>
      <c r="S882" s="140"/>
      <c r="T882" s="140"/>
      <c r="U882" s="140"/>
      <c r="V882" s="140"/>
      <c r="W882" s="140"/>
      <c r="X882" s="140"/>
      <c r="Y882" s="140"/>
      <c r="Z882" s="140"/>
      <c r="AA882" s="141"/>
      <c r="AE882" s="140"/>
      <c r="AI882" s="141"/>
      <c r="AM882" s="141"/>
      <c r="AQ882" s="141"/>
      <c r="AT882" s="140"/>
      <c r="AU882" s="140"/>
    </row>
    <row r="883" spans="2:47" s="134" customFormat="1" x14ac:dyDescent="0.2">
      <c r="B883" s="145"/>
      <c r="D883" s="679"/>
      <c r="J883" s="140"/>
      <c r="K883" s="140"/>
      <c r="L883" s="140"/>
      <c r="M883" s="140"/>
      <c r="N883" s="140"/>
      <c r="O883" s="140"/>
      <c r="P883" s="140"/>
      <c r="Q883" s="140"/>
      <c r="R883" s="140"/>
      <c r="S883" s="140"/>
      <c r="T883" s="140"/>
      <c r="U883" s="140"/>
      <c r="V883" s="140"/>
      <c r="W883" s="140"/>
      <c r="X883" s="140"/>
      <c r="Y883" s="140"/>
      <c r="Z883" s="140"/>
      <c r="AA883" s="141"/>
      <c r="AE883" s="140"/>
      <c r="AI883" s="141"/>
      <c r="AM883" s="141"/>
      <c r="AQ883" s="141"/>
      <c r="AT883" s="140"/>
      <c r="AU883" s="140"/>
    </row>
    <row r="884" spans="2:47" s="134" customFormat="1" x14ac:dyDescent="0.2">
      <c r="B884" s="145"/>
      <c r="D884" s="679"/>
      <c r="J884" s="140"/>
      <c r="K884" s="140"/>
      <c r="L884" s="140"/>
      <c r="M884" s="140"/>
      <c r="N884" s="140"/>
      <c r="O884" s="140"/>
      <c r="P884" s="140"/>
      <c r="Q884" s="140"/>
      <c r="R884" s="140"/>
      <c r="S884" s="140"/>
      <c r="T884" s="140"/>
      <c r="U884" s="140"/>
      <c r="V884" s="140"/>
      <c r="W884" s="140"/>
      <c r="X884" s="140"/>
      <c r="Y884" s="140"/>
      <c r="Z884" s="140"/>
      <c r="AA884" s="141"/>
      <c r="AE884" s="140"/>
      <c r="AI884" s="141"/>
      <c r="AM884" s="141"/>
      <c r="AQ884" s="141"/>
      <c r="AT884" s="140"/>
      <c r="AU884" s="140"/>
    </row>
    <row r="885" spans="2:47" s="134" customFormat="1" x14ac:dyDescent="0.2">
      <c r="B885" s="145"/>
      <c r="D885" s="679"/>
      <c r="J885" s="140"/>
      <c r="K885" s="140"/>
      <c r="L885" s="140"/>
      <c r="M885" s="140"/>
      <c r="N885" s="140"/>
      <c r="O885" s="140"/>
      <c r="P885" s="140"/>
      <c r="Q885" s="140"/>
      <c r="R885" s="140"/>
      <c r="S885" s="140"/>
      <c r="T885" s="140"/>
      <c r="U885" s="140"/>
      <c r="V885" s="140"/>
      <c r="W885" s="140"/>
      <c r="X885" s="140"/>
      <c r="Y885" s="140"/>
      <c r="Z885" s="140"/>
      <c r="AA885" s="141"/>
      <c r="AE885" s="140"/>
      <c r="AI885" s="141"/>
      <c r="AM885" s="141"/>
      <c r="AQ885" s="141"/>
      <c r="AT885" s="140"/>
      <c r="AU885" s="140"/>
    </row>
    <row r="886" spans="2:47" s="134" customFormat="1" x14ac:dyDescent="0.2">
      <c r="B886" s="145"/>
      <c r="D886" s="679"/>
      <c r="J886" s="140"/>
      <c r="K886" s="140"/>
      <c r="L886" s="140"/>
      <c r="M886" s="140"/>
      <c r="N886" s="140"/>
      <c r="O886" s="140"/>
      <c r="P886" s="140"/>
      <c r="Q886" s="140"/>
      <c r="R886" s="140"/>
      <c r="S886" s="140"/>
      <c r="T886" s="140"/>
      <c r="U886" s="140"/>
      <c r="V886" s="140"/>
      <c r="W886" s="140"/>
      <c r="X886" s="140"/>
      <c r="Y886" s="140"/>
      <c r="Z886" s="140"/>
      <c r="AA886" s="141"/>
      <c r="AE886" s="140"/>
      <c r="AI886" s="141"/>
      <c r="AM886" s="141"/>
      <c r="AQ886" s="141"/>
      <c r="AT886" s="140"/>
      <c r="AU886" s="140"/>
    </row>
    <row r="887" spans="2:47" s="134" customFormat="1" x14ac:dyDescent="0.2">
      <c r="B887" s="145"/>
      <c r="D887" s="679"/>
      <c r="J887" s="140"/>
      <c r="K887" s="140"/>
      <c r="L887" s="140"/>
      <c r="M887" s="140"/>
      <c r="N887" s="140"/>
      <c r="O887" s="140"/>
      <c r="P887" s="140"/>
      <c r="Q887" s="140"/>
      <c r="R887" s="140"/>
      <c r="S887" s="140"/>
      <c r="T887" s="140"/>
      <c r="U887" s="140"/>
      <c r="V887" s="140"/>
      <c r="W887" s="140"/>
      <c r="X887" s="140"/>
      <c r="Y887" s="140"/>
      <c r="Z887" s="140"/>
      <c r="AA887" s="141"/>
      <c r="AE887" s="140"/>
      <c r="AI887" s="141"/>
      <c r="AM887" s="141"/>
      <c r="AQ887" s="141"/>
      <c r="AT887" s="140"/>
      <c r="AU887" s="140"/>
    </row>
    <row r="888" spans="2:47" s="134" customFormat="1" x14ac:dyDescent="0.2">
      <c r="B888" s="145"/>
      <c r="D888" s="679"/>
      <c r="J888" s="140"/>
      <c r="K888" s="140"/>
      <c r="L888" s="140"/>
      <c r="M888" s="140"/>
      <c r="N888" s="140"/>
      <c r="O888" s="140"/>
      <c r="P888" s="140"/>
      <c r="Q888" s="140"/>
      <c r="R888" s="140"/>
      <c r="S888" s="140"/>
      <c r="T888" s="140"/>
      <c r="U888" s="140"/>
      <c r="V888" s="140"/>
      <c r="W888" s="140"/>
      <c r="X888" s="140"/>
      <c r="Y888" s="140"/>
      <c r="Z888" s="140"/>
      <c r="AA888" s="141"/>
      <c r="AE888" s="140"/>
      <c r="AI888" s="141"/>
      <c r="AM888" s="141"/>
      <c r="AQ888" s="141"/>
      <c r="AT888" s="140"/>
      <c r="AU888" s="140"/>
    </row>
    <row r="889" spans="2:47" s="134" customFormat="1" x14ac:dyDescent="0.2">
      <c r="B889" s="145"/>
      <c r="D889" s="679"/>
      <c r="J889" s="140"/>
      <c r="K889" s="140"/>
      <c r="L889" s="140"/>
      <c r="M889" s="140"/>
      <c r="N889" s="140"/>
      <c r="O889" s="140"/>
      <c r="P889" s="140"/>
      <c r="Q889" s="140"/>
      <c r="R889" s="140"/>
      <c r="S889" s="140"/>
      <c r="T889" s="140"/>
      <c r="U889" s="140"/>
      <c r="V889" s="140"/>
      <c r="W889" s="140"/>
      <c r="X889" s="140"/>
      <c r="Y889" s="140"/>
      <c r="Z889" s="140"/>
      <c r="AA889" s="141"/>
      <c r="AE889" s="140"/>
      <c r="AI889" s="141"/>
      <c r="AM889" s="141"/>
      <c r="AQ889" s="141"/>
      <c r="AT889" s="140"/>
      <c r="AU889" s="140"/>
    </row>
    <row r="890" spans="2:47" s="134" customFormat="1" x14ac:dyDescent="0.2">
      <c r="B890" s="145"/>
      <c r="D890" s="679"/>
      <c r="J890" s="140"/>
      <c r="K890" s="140"/>
      <c r="L890" s="140"/>
      <c r="M890" s="140"/>
      <c r="N890" s="140"/>
      <c r="O890" s="140"/>
      <c r="P890" s="140"/>
      <c r="Q890" s="140"/>
      <c r="R890" s="140"/>
      <c r="S890" s="140"/>
      <c r="T890" s="140"/>
      <c r="U890" s="140"/>
      <c r="V890" s="140"/>
      <c r="W890" s="140"/>
      <c r="X890" s="140"/>
      <c r="Y890" s="140"/>
      <c r="Z890" s="140"/>
      <c r="AA890" s="141"/>
      <c r="AE890" s="140"/>
      <c r="AI890" s="141"/>
      <c r="AM890" s="141"/>
      <c r="AQ890" s="141"/>
      <c r="AT890" s="140"/>
      <c r="AU890" s="140"/>
    </row>
    <row r="891" spans="2:47" s="134" customFormat="1" x14ac:dyDescent="0.2">
      <c r="B891" s="145"/>
      <c r="D891" s="679"/>
      <c r="J891" s="140"/>
      <c r="K891" s="140"/>
      <c r="L891" s="140"/>
      <c r="M891" s="140"/>
      <c r="N891" s="140"/>
      <c r="O891" s="140"/>
      <c r="P891" s="140"/>
      <c r="Q891" s="140"/>
      <c r="R891" s="140"/>
      <c r="S891" s="140"/>
      <c r="T891" s="140"/>
      <c r="U891" s="140"/>
      <c r="V891" s="140"/>
      <c r="W891" s="140"/>
      <c r="X891" s="140"/>
      <c r="Y891" s="140"/>
      <c r="Z891" s="140"/>
      <c r="AA891" s="141"/>
      <c r="AE891" s="140"/>
      <c r="AI891" s="141"/>
      <c r="AM891" s="141"/>
      <c r="AQ891" s="141"/>
      <c r="AT891" s="140"/>
      <c r="AU891" s="140"/>
    </row>
    <row r="892" spans="2:47" s="134" customFormat="1" x14ac:dyDescent="0.2">
      <c r="B892" s="145"/>
      <c r="D892" s="679"/>
      <c r="J892" s="140"/>
      <c r="K892" s="140"/>
      <c r="L892" s="140"/>
      <c r="M892" s="140"/>
      <c r="N892" s="140"/>
      <c r="O892" s="140"/>
      <c r="P892" s="140"/>
      <c r="Q892" s="140"/>
      <c r="R892" s="140"/>
      <c r="S892" s="140"/>
      <c r="T892" s="140"/>
      <c r="U892" s="140"/>
      <c r="V892" s="140"/>
      <c r="W892" s="140"/>
      <c r="X892" s="140"/>
      <c r="Y892" s="140"/>
      <c r="Z892" s="140"/>
      <c r="AA892" s="141"/>
      <c r="AE892" s="140"/>
      <c r="AI892" s="141"/>
      <c r="AM892" s="141"/>
      <c r="AQ892" s="141"/>
      <c r="AT892" s="140"/>
      <c r="AU892" s="140"/>
    </row>
    <row r="893" spans="2:47" s="134" customFormat="1" x14ac:dyDescent="0.2">
      <c r="B893" s="145"/>
      <c r="D893" s="679"/>
      <c r="J893" s="140"/>
      <c r="K893" s="140"/>
      <c r="L893" s="140"/>
      <c r="M893" s="140"/>
      <c r="N893" s="140"/>
      <c r="O893" s="140"/>
      <c r="P893" s="140"/>
      <c r="Q893" s="140"/>
      <c r="R893" s="140"/>
      <c r="S893" s="140"/>
      <c r="T893" s="140"/>
      <c r="U893" s="140"/>
      <c r="V893" s="140"/>
      <c r="W893" s="140"/>
      <c r="X893" s="140"/>
      <c r="Y893" s="140"/>
      <c r="Z893" s="140"/>
      <c r="AA893" s="141"/>
      <c r="AE893" s="140"/>
      <c r="AI893" s="141"/>
      <c r="AM893" s="141"/>
      <c r="AQ893" s="141"/>
      <c r="AT893" s="140"/>
      <c r="AU893" s="140"/>
    </row>
    <row r="894" spans="2:47" s="134" customFormat="1" x14ac:dyDescent="0.2">
      <c r="B894" s="145"/>
      <c r="D894" s="679"/>
      <c r="J894" s="140"/>
      <c r="K894" s="140"/>
      <c r="L894" s="140"/>
      <c r="M894" s="140"/>
      <c r="N894" s="140"/>
      <c r="O894" s="140"/>
      <c r="P894" s="140"/>
      <c r="Q894" s="140"/>
      <c r="R894" s="140"/>
      <c r="S894" s="140"/>
      <c r="T894" s="140"/>
      <c r="U894" s="140"/>
      <c r="V894" s="140"/>
      <c r="W894" s="140"/>
      <c r="X894" s="140"/>
      <c r="Y894" s="140"/>
      <c r="Z894" s="140"/>
      <c r="AA894" s="141"/>
      <c r="AE894" s="140"/>
      <c r="AI894" s="141"/>
      <c r="AM894" s="141"/>
      <c r="AQ894" s="141"/>
      <c r="AT894" s="140"/>
      <c r="AU894" s="140"/>
    </row>
    <row r="895" spans="2:47" s="134" customFormat="1" x14ac:dyDescent="0.2">
      <c r="B895" s="145"/>
      <c r="D895" s="679"/>
      <c r="J895" s="140"/>
      <c r="K895" s="140"/>
      <c r="L895" s="140"/>
      <c r="M895" s="140"/>
      <c r="N895" s="140"/>
      <c r="O895" s="140"/>
      <c r="P895" s="140"/>
      <c r="Q895" s="140"/>
      <c r="R895" s="140"/>
      <c r="S895" s="140"/>
      <c r="T895" s="140"/>
      <c r="U895" s="140"/>
      <c r="V895" s="140"/>
      <c r="W895" s="140"/>
      <c r="X895" s="140"/>
      <c r="Y895" s="140"/>
      <c r="Z895" s="140"/>
      <c r="AA895" s="141"/>
      <c r="AE895" s="140"/>
      <c r="AI895" s="141"/>
      <c r="AM895" s="141"/>
      <c r="AQ895" s="141"/>
      <c r="AT895" s="140"/>
      <c r="AU895" s="140"/>
    </row>
    <row r="896" spans="2:47" s="134" customFormat="1" x14ac:dyDescent="0.2">
      <c r="B896" s="145"/>
      <c r="D896" s="679"/>
      <c r="J896" s="140"/>
      <c r="K896" s="140"/>
      <c r="L896" s="140"/>
      <c r="M896" s="140"/>
      <c r="N896" s="140"/>
      <c r="O896" s="140"/>
      <c r="P896" s="140"/>
      <c r="Q896" s="140"/>
      <c r="R896" s="140"/>
      <c r="S896" s="140"/>
      <c r="T896" s="140"/>
      <c r="U896" s="140"/>
      <c r="V896" s="140"/>
      <c r="W896" s="140"/>
      <c r="X896" s="140"/>
      <c r="Y896" s="140"/>
      <c r="Z896" s="140"/>
      <c r="AA896" s="141"/>
      <c r="AE896" s="140"/>
      <c r="AI896" s="141"/>
      <c r="AM896" s="141"/>
      <c r="AQ896" s="141"/>
      <c r="AT896" s="140"/>
      <c r="AU896" s="140"/>
    </row>
    <row r="897" spans="2:47" s="134" customFormat="1" x14ac:dyDescent="0.2">
      <c r="B897" s="145"/>
      <c r="D897" s="679"/>
      <c r="J897" s="140"/>
      <c r="K897" s="140"/>
      <c r="L897" s="140"/>
      <c r="M897" s="140"/>
      <c r="N897" s="140"/>
      <c r="O897" s="140"/>
      <c r="P897" s="140"/>
      <c r="Q897" s="140"/>
      <c r="R897" s="140"/>
      <c r="S897" s="140"/>
      <c r="T897" s="140"/>
      <c r="U897" s="140"/>
      <c r="V897" s="140"/>
      <c r="W897" s="140"/>
      <c r="X897" s="140"/>
      <c r="Y897" s="140"/>
      <c r="Z897" s="140"/>
      <c r="AA897" s="141"/>
      <c r="AE897" s="140"/>
      <c r="AI897" s="141"/>
      <c r="AM897" s="141"/>
      <c r="AQ897" s="141"/>
      <c r="AT897" s="140"/>
      <c r="AU897" s="140"/>
    </row>
    <row r="898" spans="2:47" s="134" customFormat="1" x14ac:dyDescent="0.2">
      <c r="B898" s="145"/>
      <c r="D898" s="679"/>
      <c r="J898" s="140"/>
      <c r="K898" s="140"/>
      <c r="L898" s="140"/>
      <c r="M898" s="140"/>
      <c r="N898" s="140"/>
      <c r="O898" s="140"/>
      <c r="P898" s="140"/>
      <c r="Q898" s="140"/>
      <c r="R898" s="140"/>
      <c r="S898" s="140"/>
      <c r="T898" s="140"/>
      <c r="U898" s="140"/>
      <c r="V898" s="140"/>
      <c r="W898" s="140"/>
      <c r="X898" s="140"/>
      <c r="Y898" s="140"/>
      <c r="Z898" s="140"/>
      <c r="AA898" s="141"/>
      <c r="AE898" s="140"/>
      <c r="AI898" s="141"/>
      <c r="AM898" s="141"/>
      <c r="AQ898" s="141"/>
      <c r="AT898" s="140"/>
      <c r="AU898" s="140"/>
    </row>
    <row r="899" spans="2:47" s="134" customFormat="1" x14ac:dyDescent="0.2">
      <c r="B899" s="145"/>
      <c r="D899" s="679"/>
      <c r="J899" s="140"/>
      <c r="K899" s="140"/>
      <c r="L899" s="140"/>
      <c r="M899" s="140"/>
      <c r="N899" s="140"/>
      <c r="O899" s="140"/>
      <c r="P899" s="140"/>
      <c r="Q899" s="140"/>
      <c r="R899" s="140"/>
      <c r="S899" s="140"/>
      <c r="T899" s="140"/>
      <c r="U899" s="140"/>
      <c r="V899" s="140"/>
      <c r="W899" s="140"/>
      <c r="X899" s="140"/>
      <c r="Y899" s="140"/>
      <c r="Z899" s="140"/>
      <c r="AA899" s="141"/>
      <c r="AE899" s="140"/>
      <c r="AI899" s="141"/>
      <c r="AM899" s="141"/>
      <c r="AQ899" s="141"/>
      <c r="AT899" s="140"/>
      <c r="AU899" s="140"/>
    </row>
    <row r="900" spans="2:47" s="134" customFormat="1" x14ac:dyDescent="0.2">
      <c r="B900" s="145"/>
      <c r="D900" s="679"/>
      <c r="J900" s="140"/>
      <c r="K900" s="140"/>
      <c r="L900" s="140"/>
      <c r="M900" s="140"/>
      <c r="N900" s="140"/>
      <c r="O900" s="140"/>
      <c r="P900" s="140"/>
      <c r="Q900" s="140"/>
      <c r="R900" s="140"/>
      <c r="S900" s="140"/>
      <c r="T900" s="140"/>
      <c r="U900" s="140"/>
      <c r="V900" s="140"/>
      <c r="W900" s="140"/>
      <c r="X900" s="140"/>
      <c r="Y900" s="140"/>
      <c r="Z900" s="140"/>
      <c r="AA900" s="141"/>
      <c r="AE900" s="140"/>
      <c r="AI900" s="141"/>
      <c r="AM900" s="141"/>
      <c r="AQ900" s="141"/>
      <c r="AT900" s="140"/>
      <c r="AU900" s="140"/>
    </row>
    <row r="901" spans="2:47" s="134" customFormat="1" x14ac:dyDescent="0.2">
      <c r="B901" s="145"/>
      <c r="D901" s="679"/>
      <c r="J901" s="140"/>
      <c r="K901" s="140"/>
      <c r="L901" s="140"/>
      <c r="M901" s="140"/>
      <c r="N901" s="140"/>
      <c r="O901" s="140"/>
      <c r="P901" s="140"/>
      <c r="Q901" s="140"/>
      <c r="R901" s="140"/>
      <c r="S901" s="140"/>
      <c r="T901" s="140"/>
      <c r="U901" s="140"/>
      <c r="V901" s="140"/>
      <c r="W901" s="140"/>
      <c r="X901" s="140"/>
      <c r="Y901" s="140"/>
      <c r="Z901" s="140"/>
      <c r="AA901" s="141"/>
      <c r="AE901" s="140"/>
      <c r="AI901" s="141"/>
      <c r="AM901" s="141"/>
      <c r="AQ901" s="141"/>
      <c r="AT901" s="140"/>
      <c r="AU901" s="140"/>
    </row>
    <row r="902" spans="2:47" s="134" customFormat="1" x14ac:dyDescent="0.2">
      <c r="B902" s="145"/>
      <c r="D902" s="679"/>
      <c r="J902" s="140"/>
      <c r="K902" s="140"/>
      <c r="L902" s="140"/>
      <c r="M902" s="140"/>
      <c r="N902" s="140"/>
      <c r="O902" s="140"/>
      <c r="P902" s="140"/>
      <c r="Q902" s="140"/>
      <c r="R902" s="140"/>
      <c r="S902" s="140"/>
      <c r="T902" s="140"/>
      <c r="U902" s="140"/>
      <c r="V902" s="140"/>
      <c r="W902" s="140"/>
      <c r="X902" s="140"/>
      <c r="Y902" s="140"/>
      <c r="Z902" s="140"/>
      <c r="AA902" s="141"/>
      <c r="AE902" s="140"/>
      <c r="AI902" s="141"/>
      <c r="AM902" s="141"/>
      <c r="AQ902" s="141"/>
      <c r="AT902" s="140"/>
      <c r="AU902" s="140"/>
    </row>
    <row r="903" spans="2:47" s="134" customFormat="1" x14ac:dyDescent="0.2">
      <c r="B903" s="145"/>
      <c r="D903" s="679"/>
      <c r="J903" s="140"/>
      <c r="K903" s="140"/>
      <c r="L903" s="140"/>
      <c r="M903" s="140"/>
      <c r="N903" s="140"/>
      <c r="O903" s="140"/>
      <c r="P903" s="140"/>
      <c r="Q903" s="140"/>
      <c r="R903" s="140"/>
      <c r="S903" s="140"/>
      <c r="T903" s="140"/>
      <c r="U903" s="140"/>
      <c r="V903" s="140"/>
      <c r="W903" s="140"/>
      <c r="X903" s="140"/>
      <c r="Y903" s="140"/>
      <c r="Z903" s="140"/>
      <c r="AA903" s="141"/>
      <c r="AE903" s="140"/>
      <c r="AI903" s="141"/>
      <c r="AM903" s="141"/>
      <c r="AQ903" s="141"/>
      <c r="AT903" s="140"/>
      <c r="AU903" s="140"/>
    </row>
    <row r="904" spans="2:47" s="134" customFormat="1" x14ac:dyDescent="0.2">
      <c r="B904" s="145"/>
      <c r="D904" s="679"/>
      <c r="J904" s="140"/>
      <c r="K904" s="140"/>
      <c r="L904" s="140"/>
      <c r="M904" s="140"/>
      <c r="N904" s="140"/>
      <c r="O904" s="140"/>
      <c r="P904" s="140"/>
      <c r="Q904" s="140"/>
      <c r="R904" s="140"/>
      <c r="S904" s="140"/>
      <c r="T904" s="140"/>
      <c r="U904" s="140"/>
      <c r="V904" s="140"/>
      <c r="W904" s="140"/>
      <c r="X904" s="140"/>
      <c r="Y904" s="140"/>
      <c r="Z904" s="140"/>
      <c r="AA904" s="141"/>
      <c r="AE904" s="140"/>
      <c r="AI904" s="141"/>
      <c r="AM904" s="141"/>
      <c r="AQ904" s="141"/>
      <c r="AT904" s="140"/>
      <c r="AU904" s="140"/>
    </row>
    <row r="905" spans="2:47" s="134" customFormat="1" x14ac:dyDescent="0.2">
      <c r="B905" s="145"/>
      <c r="D905" s="679"/>
      <c r="J905" s="140"/>
      <c r="K905" s="140"/>
      <c r="L905" s="140"/>
      <c r="M905" s="140"/>
      <c r="N905" s="140"/>
      <c r="O905" s="140"/>
      <c r="P905" s="140"/>
      <c r="Q905" s="140"/>
      <c r="R905" s="140"/>
      <c r="S905" s="140"/>
      <c r="T905" s="140"/>
      <c r="U905" s="140"/>
      <c r="V905" s="140"/>
      <c r="W905" s="140"/>
      <c r="X905" s="140"/>
      <c r="Y905" s="140"/>
      <c r="Z905" s="140"/>
      <c r="AA905" s="141"/>
      <c r="AE905" s="140"/>
      <c r="AI905" s="141"/>
      <c r="AM905" s="141"/>
      <c r="AQ905" s="141"/>
      <c r="AT905" s="140"/>
      <c r="AU905" s="140"/>
    </row>
    <row r="906" spans="2:47" s="134" customFormat="1" x14ac:dyDescent="0.2">
      <c r="B906" s="145"/>
      <c r="D906" s="679"/>
      <c r="J906" s="140"/>
      <c r="K906" s="140"/>
      <c r="L906" s="140"/>
      <c r="M906" s="140"/>
      <c r="N906" s="140"/>
      <c r="O906" s="140"/>
      <c r="P906" s="140"/>
      <c r="Q906" s="140"/>
      <c r="R906" s="140"/>
      <c r="S906" s="140"/>
      <c r="T906" s="140"/>
      <c r="U906" s="140"/>
      <c r="V906" s="140"/>
      <c r="W906" s="140"/>
      <c r="X906" s="140"/>
      <c r="Y906" s="140"/>
      <c r="Z906" s="140"/>
      <c r="AA906" s="141"/>
      <c r="AE906" s="140"/>
      <c r="AI906" s="141"/>
      <c r="AM906" s="141"/>
      <c r="AQ906" s="141"/>
      <c r="AT906" s="140"/>
      <c r="AU906" s="140"/>
    </row>
    <row r="907" spans="2:47" s="134" customFormat="1" x14ac:dyDescent="0.2">
      <c r="B907" s="145"/>
      <c r="D907" s="679"/>
      <c r="J907" s="140"/>
      <c r="K907" s="140"/>
      <c r="L907" s="140"/>
      <c r="M907" s="140"/>
      <c r="N907" s="140"/>
      <c r="O907" s="140"/>
      <c r="P907" s="140"/>
      <c r="Q907" s="140"/>
      <c r="R907" s="140"/>
      <c r="S907" s="140"/>
      <c r="T907" s="140"/>
      <c r="U907" s="140"/>
      <c r="V907" s="140"/>
      <c r="W907" s="140"/>
      <c r="X907" s="140"/>
      <c r="Y907" s="140"/>
      <c r="Z907" s="140"/>
      <c r="AA907" s="141"/>
      <c r="AE907" s="140"/>
      <c r="AI907" s="141"/>
      <c r="AM907" s="141"/>
      <c r="AQ907" s="141"/>
      <c r="AT907" s="140"/>
      <c r="AU907" s="140"/>
    </row>
    <row r="908" spans="2:47" s="134" customFormat="1" x14ac:dyDescent="0.2">
      <c r="B908" s="145"/>
      <c r="D908" s="679"/>
      <c r="J908" s="140"/>
      <c r="K908" s="140"/>
      <c r="L908" s="140"/>
      <c r="M908" s="140"/>
      <c r="N908" s="140"/>
      <c r="O908" s="140"/>
      <c r="P908" s="140"/>
      <c r="Q908" s="140"/>
      <c r="R908" s="140"/>
      <c r="S908" s="140"/>
      <c r="T908" s="140"/>
      <c r="U908" s="140"/>
      <c r="V908" s="140"/>
      <c r="W908" s="140"/>
      <c r="X908" s="140"/>
      <c r="Y908" s="140"/>
      <c r="Z908" s="140"/>
      <c r="AA908" s="141"/>
      <c r="AE908" s="140"/>
      <c r="AI908" s="141"/>
      <c r="AM908" s="141"/>
      <c r="AQ908" s="141"/>
      <c r="AT908" s="140"/>
      <c r="AU908" s="140"/>
    </row>
    <row r="909" spans="2:47" s="134" customFormat="1" x14ac:dyDescent="0.2">
      <c r="B909" s="145"/>
      <c r="D909" s="679"/>
      <c r="J909" s="140"/>
      <c r="K909" s="140"/>
      <c r="L909" s="140"/>
      <c r="M909" s="140"/>
      <c r="N909" s="140"/>
      <c r="O909" s="140"/>
      <c r="P909" s="140"/>
      <c r="Q909" s="140"/>
      <c r="R909" s="140"/>
      <c r="S909" s="140"/>
      <c r="T909" s="140"/>
      <c r="U909" s="140"/>
      <c r="V909" s="140"/>
      <c r="W909" s="140"/>
      <c r="X909" s="140"/>
      <c r="Y909" s="140"/>
      <c r="Z909" s="140"/>
      <c r="AA909" s="141"/>
      <c r="AE909" s="140"/>
      <c r="AI909" s="141"/>
      <c r="AM909" s="141"/>
      <c r="AQ909" s="141"/>
      <c r="AT909" s="140"/>
      <c r="AU909" s="140"/>
    </row>
    <row r="910" spans="2:47" s="134" customFormat="1" x14ac:dyDescent="0.2">
      <c r="B910" s="145"/>
      <c r="D910" s="679"/>
      <c r="J910" s="140"/>
      <c r="K910" s="140"/>
      <c r="L910" s="140"/>
      <c r="M910" s="140"/>
      <c r="N910" s="140"/>
      <c r="O910" s="140"/>
      <c r="P910" s="140"/>
      <c r="Q910" s="140"/>
      <c r="R910" s="140"/>
      <c r="S910" s="140"/>
      <c r="T910" s="140"/>
      <c r="U910" s="140"/>
      <c r="V910" s="140"/>
      <c r="W910" s="140"/>
      <c r="X910" s="140"/>
      <c r="Y910" s="140"/>
      <c r="Z910" s="140"/>
      <c r="AA910" s="141"/>
      <c r="AE910" s="140"/>
      <c r="AI910" s="141"/>
      <c r="AM910" s="141"/>
      <c r="AQ910" s="141"/>
      <c r="AT910" s="140"/>
      <c r="AU910" s="140"/>
    </row>
    <row r="911" spans="2:47" s="134" customFormat="1" x14ac:dyDescent="0.2">
      <c r="B911" s="145"/>
      <c r="D911" s="679"/>
      <c r="J911" s="140"/>
      <c r="K911" s="140"/>
      <c r="L911" s="140"/>
      <c r="M911" s="140"/>
      <c r="N911" s="140"/>
      <c r="O911" s="140"/>
      <c r="P911" s="140"/>
      <c r="Q911" s="140"/>
      <c r="R911" s="140"/>
      <c r="S911" s="140"/>
      <c r="T911" s="140"/>
      <c r="U911" s="140"/>
      <c r="V911" s="140"/>
      <c r="W911" s="140"/>
      <c r="X911" s="140"/>
      <c r="Y911" s="140"/>
      <c r="Z911" s="140"/>
      <c r="AA911" s="141"/>
      <c r="AE911" s="140"/>
      <c r="AI911" s="141"/>
      <c r="AM911" s="141"/>
      <c r="AQ911" s="141"/>
      <c r="AT911" s="140"/>
      <c r="AU911" s="140"/>
    </row>
    <row r="912" spans="2:47" s="134" customFormat="1" x14ac:dyDescent="0.2">
      <c r="B912" s="145"/>
      <c r="D912" s="679"/>
      <c r="J912" s="140"/>
      <c r="K912" s="140"/>
      <c r="L912" s="140"/>
      <c r="M912" s="140"/>
      <c r="N912" s="140"/>
      <c r="O912" s="140"/>
      <c r="P912" s="140"/>
      <c r="Q912" s="140"/>
      <c r="R912" s="140"/>
      <c r="S912" s="140"/>
      <c r="T912" s="140"/>
      <c r="U912" s="140"/>
      <c r="V912" s="140"/>
      <c r="W912" s="140"/>
      <c r="X912" s="140"/>
      <c r="Y912" s="140"/>
      <c r="Z912" s="140"/>
      <c r="AA912" s="141"/>
      <c r="AE912" s="140"/>
      <c r="AI912" s="141"/>
      <c r="AM912" s="141"/>
      <c r="AQ912" s="141"/>
      <c r="AT912" s="140"/>
      <c r="AU912" s="140"/>
    </row>
    <row r="913" spans="2:47" s="134" customFormat="1" x14ac:dyDescent="0.2">
      <c r="B913" s="145"/>
      <c r="D913" s="679"/>
      <c r="J913" s="140"/>
      <c r="K913" s="140"/>
      <c r="L913" s="140"/>
      <c r="M913" s="140"/>
      <c r="N913" s="140"/>
      <c r="O913" s="140"/>
      <c r="P913" s="140"/>
      <c r="Q913" s="140"/>
      <c r="R913" s="140"/>
      <c r="S913" s="140"/>
      <c r="T913" s="140"/>
      <c r="U913" s="140"/>
      <c r="V913" s="140"/>
      <c r="W913" s="140"/>
      <c r="X913" s="140"/>
      <c r="Y913" s="140"/>
      <c r="Z913" s="140"/>
      <c r="AA913" s="141"/>
      <c r="AE913" s="140"/>
      <c r="AI913" s="141"/>
      <c r="AM913" s="141"/>
      <c r="AQ913" s="141"/>
      <c r="AT913" s="140"/>
      <c r="AU913" s="140"/>
    </row>
    <row r="914" spans="2:47" s="134" customFormat="1" x14ac:dyDescent="0.2">
      <c r="B914" s="145"/>
      <c r="D914" s="679"/>
      <c r="J914" s="140"/>
      <c r="K914" s="140"/>
      <c r="L914" s="140"/>
      <c r="M914" s="140"/>
      <c r="N914" s="140"/>
      <c r="O914" s="140"/>
      <c r="P914" s="140"/>
      <c r="Q914" s="140"/>
      <c r="R914" s="140"/>
      <c r="S914" s="140"/>
      <c r="T914" s="140"/>
      <c r="U914" s="140"/>
      <c r="V914" s="140"/>
      <c r="W914" s="140"/>
      <c r="X914" s="140"/>
      <c r="Y914" s="140"/>
      <c r="Z914" s="140"/>
      <c r="AA914" s="141"/>
      <c r="AE914" s="140"/>
      <c r="AI914" s="141"/>
      <c r="AM914" s="141"/>
      <c r="AQ914" s="141"/>
      <c r="AT914" s="140"/>
      <c r="AU914" s="140"/>
    </row>
    <row r="915" spans="2:47" s="134" customFormat="1" x14ac:dyDescent="0.2">
      <c r="B915" s="145"/>
      <c r="D915" s="679"/>
      <c r="J915" s="140"/>
      <c r="K915" s="140"/>
      <c r="L915" s="140"/>
      <c r="M915" s="140"/>
      <c r="N915" s="140"/>
      <c r="O915" s="140"/>
      <c r="P915" s="140"/>
      <c r="Q915" s="140"/>
      <c r="R915" s="140"/>
      <c r="S915" s="140"/>
      <c r="T915" s="140"/>
      <c r="U915" s="140"/>
      <c r="V915" s="140"/>
      <c r="W915" s="140"/>
      <c r="X915" s="140"/>
      <c r="Y915" s="140"/>
      <c r="Z915" s="140"/>
      <c r="AA915" s="141"/>
      <c r="AE915" s="140"/>
      <c r="AI915" s="141"/>
      <c r="AM915" s="141"/>
      <c r="AQ915" s="141"/>
      <c r="AT915" s="140"/>
      <c r="AU915" s="140"/>
    </row>
    <row r="916" spans="2:47" s="134" customFormat="1" x14ac:dyDescent="0.2">
      <c r="B916" s="145"/>
      <c r="D916" s="679"/>
      <c r="J916" s="140"/>
      <c r="K916" s="140"/>
      <c r="L916" s="140"/>
      <c r="M916" s="140"/>
      <c r="N916" s="140"/>
      <c r="O916" s="140"/>
      <c r="P916" s="140"/>
      <c r="Q916" s="140"/>
      <c r="R916" s="140"/>
      <c r="S916" s="140"/>
      <c r="T916" s="140"/>
      <c r="U916" s="140"/>
      <c r="V916" s="140"/>
      <c r="W916" s="140"/>
      <c r="X916" s="140"/>
      <c r="Y916" s="140"/>
      <c r="Z916" s="140"/>
      <c r="AA916" s="141"/>
      <c r="AE916" s="140"/>
      <c r="AI916" s="141"/>
      <c r="AM916" s="141"/>
      <c r="AQ916" s="141"/>
      <c r="AT916" s="140"/>
      <c r="AU916" s="140"/>
    </row>
    <row r="917" spans="2:47" s="134" customFormat="1" x14ac:dyDescent="0.2">
      <c r="B917" s="145"/>
      <c r="D917" s="679"/>
      <c r="J917" s="140"/>
      <c r="K917" s="140"/>
      <c r="L917" s="140"/>
      <c r="M917" s="140"/>
      <c r="N917" s="140"/>
      <c r="O917" s="140"/>
      <c r="P917" s="140"/>
      <c r="Q917" s="140"/>
      <c r="R917" s="140"/>
      <c r="S917" s="140"/>
      <c r="T917" s="140"/>
      <c r="U917" s="140"/>
      <c r="V917" s="140"/>
      <c r="W917" s="140"/>
      <c r="X917" s="140"/>
      <c r="Y917" s="140"/>
      <c r="Z917" s="140"/>
      <c r="AA917" s="141"/>
      <c r="AE917" s="140"/>
      <c r="AI917" s="141"/>
      <c r="AM917" s="141"/>
      <c r="AQ917" s="141"/>
      <c r="AT917" s="140"/>
      <c r="AU917" s="140"/>
    </row>
    <row r="918" spans="2:47" s="134" customFormat="1" x14ac:dyDescent="0.2">
      <c r="B918" s="145"/>
      <c r="D918" s="679"/>
      <c r="J918" s="140"/>
      <c r="K918" s="140"/>
      <c r="L918" s="140"/>
      <c r="M918" s="140"/>
      <c r="N918" s="140"/>
      <c r="O918" s="140"/>
      <c r="P918" s="140"/>
      <c r="Q918" s="140"/>
      <c r="R918" s="140"/>
      <c r="S918" s="140"/>
      <c r="T918" s="140"/>
      <c r="U918" s="140"/>
      <c r="V918" s="140"/>
      <c r="W918" s="140"/>
      <c r="X918" s="140"/>
      <c r="Y918" s="140"/>
      <c r="Z918" s="140"/>
      <c r="AA918" s="141"/>
      <c r="AE918" s="140"/>
      <c r="AI918" s="141"/>
      <c r="AM918" s="141"/>
      <c r="AQ918" s="141"/>
      <c r="AT918" s="140"/>
      <c r="AU918" s="140"/>
    </row>
    <row r="919" spans="2:47" s="134" customFormat="1" x14ac:dyDescent="0.2">
      <c r="B919" s="145"/>
      <c r="D919" s="679"/>
      <c r="J919" s="140"/>
      <c r="K919" s="140"/>
      <c r="L919" s="140"/>
      <c r="M919" s="140"/>
      <c r="N919" s="140"/>
      <c r="O919" s="140"/>
      <c r="P919" s="140"/>
      <c r="Q919" s="140"/>
      <c r="R919" s="140"/>
      <c r="S919" s="140"/>
      <c r="T919" s="140"/>
      <c r="U919" s="140"/>
      <c r="V919" s="140"/>
      <c r="W919" s="140"/>
      <c r="X919" s="140"/>
      <c r="Y919" s="140"/>
      <c r="Z919" s="140"/>
      <c r="AA919" s="141"/>
      <c r="AE919" s="140"/>
      <c r="AI919" s="141"/>
      <c r="AM919" s="141"/>
      <c r="AQ919" s="141"/>
      <c r="AT919" s="140"/>
      <c r="AU919" s="140"/>
    </row>
    <row r="920" spans="2:47" s="134" customFormat="1" x14ac:dyDescent="0.2">
      <c r="B920" s="145"/>
      <c r="D920" s="679"/>
      <c r="J920" s="140"/>
      <c r="K920" s="140"/>
      <c r="L920" s="140"/>
      <c r="M920" s="140"/>
      <c r="N920" s="140"/>
      <c r="O920" s="140"/>
      <c r="P920" s="140"/>
      <c r="Q920" s="140"/>
      <c r="R920" s="140"/>
      <c r="S920" s="140"/>
      <c r="T920" s="140"/>
      <c r="U920" s="140"/>
      <c r="V920" s="140"/>
      <c r="W920" s="140"/>
      <c r="X920" s="140"/>
      <c r="Y920" s="140"/>
      <c r="Z920" s="140"/>
      <c r="AA920" s="141"/>
      <c r="AE920" s="140"/>
      <c r="AI920" s="141"/>
      <c r="AM920" s="141"/>
      <c r="AQ920" s="141"/>
      <c r="AT920" s="140"/>
      <c r="AU920" s="140"/>
    </row>
    <row r="921" spans="2:47" s="134" customFormat="1" x14ac:dyDescent="0.2">
      <c r="B921" s="145"/>
      <c r="D921" s="679"/>
      <c r="J921" s="140"/>
      <c r="K921" s="140"/>
      <c r="L921" s="140"/>
      <c r="M921" s="140"/>
      <c r="N921" s="140"/>
      <c r="O921" s="140"/>
      <c r="P921" s="140"/>
      <c r="Q921" s="140"/>
      <c r="R921" s="140"/>
      <c r="S921" s="140"/>
      <c r="T921" s="140"/>
      <c r="U921" s="140"/>
      <c r="V921" s="140"/>
      <c r="W921" s="140"/>
      <c r="X921" s="140"/>
      <c r="Y921" s="140"/>
      <c r="Z921" s="140"/>
      <c r="AA921" s="141"/>
      <c r="AE921" s="140"/>
      <c r="AI921" s="141"/>
      <c r="AM921" s="141"/>
      <c r="AQ921" s="141"/>
      <c r="AT921" s="140"/>
      <c r="AU921" s="140"/>
    </row>
    <row r="922" spans="2:47" s="134" customFormat="1" x14ac:dyDescent="0.2">
      <c r="B922" s="145"/>
      <c r="D922" s="679"/>
      <c r="J922" s="140"/>
      <c r="K922" s="140"/>
      <c r="L922" s="140"/>
      <c r="M922" s="140"/>
      <c r="N922" s="140"/>
      <c r="O922" s="140"/>
      <c r="P922" s="140"/>
      <c r="Q922" s="140"/>
      <c r="R922" s="140"/>
      <c r="S922" s="140"/>
      <c r="T922" s="140"/>
      <c r="U922" s="140"/>
      <c r="V922" s="140"/>
      <c r="W922" s="140"/>
      <c r="X922" s="140"/>
      <c r="Y922" s="140"/>
      <c r="Z922" s="140"/>
      <c r="AA922" s="141"/>
      <c r="AE922" s="140"/>
      <c r="AI922" s="141"/>
      <c r="AM922" s="141"/>
      <c r="AQ922" s="141"/>
      <c r="AT922" s="140"/>
      <c r="AU922" s="140"/>
    </row>
    <row r="923" spans="2:47" s="134" customFormat="1" x14ac:dyDescent="0.2">
      <c r="B923" s="145"/>
      <c r="D923" s="679"/>
      <c r="J923" s="140"/>
      <c r="K923" s="140"/>
      <c r="L923" s="140"/>
      <c r="M923" s="140"/>
      <c r="N923" s="140"/>
      <c r="O923" s="140"/>
      <c r="P923" s="140"/>
      <c r="Q923" s="140"/>
      <c r="R923" s="140"/>
      <c r="S923" s="140"/>
      <c r="T923" s="140"/>
      <c r="U923" s="140"/>
      <c r="V923" s="140"/>
      <c r="W923" s="140"/>
      <c r="X923" s="140"/>
      <c r="Y923" s="140"/>
      <c r="Z923" s="140"/>
      <c r="AA923" s="141"/>
      <c r="AE923" s="140"/>
      <c r="AI923" s="141"/>
      <c r="AM923" s="141"/>
      <c r="AQ923" s="141"/>
      <c r="AT923" s="140"/>
      <c r="AU923" s="140"/>
    </row>
    <row r="924" spans="2:47" s="134" customFormat="1" x14ac:dyDescent="0.2">
      <c r="B924" s="145"/>
      <c r="D924" s="679"/>
      <c r="J924" s="140"/>
      <c r="K924" s="140"/>
      <c r="L924" s="140"/>
      <c r="M924" s="140"/>
      <c r="N924" s="140"/>
      <c r="O924" s="140"/>
      <c r="P924" s="140"/>
      <c r="Q924" s="140"/>
      <c r="R924" s="140"/>
      <c r="S924" s="140"/>
      <c r="T924" s="140"/>
      <c r="U924" s="140"/>
      <c r="V924" s="140"/>
      <c r="W924" s="140"/>
      <c r="X924" s="140"/>
      <c r="Y924" s="140"/>
      <c r="Z924" s="140"/>
      <c r="AA924" s="141"/>
      <c r="AE924" s="140"/>
      <c r="AI924" s="141"/>
      <c r="AM924" s="141"/>
      <c r="AQ924" s="141"/>
      <c r="AT924" s="140"/>
      <c r="AU924" s="140"/>
    </row>
    <row r="925" spans="2:47" s="134" customFormat="1" x14ac:dyDescent="0.2">
      <c r="B925" s="145"/>
      <c r="D925" s="679"/>
      <c r="J925" s="140"/>
      <c r="K925" s="140"/>
      <c r="L925" s="140"/>
      <c r="M925" s="140"/>
      <c r="N925" s="140"/>
      <c r="O925" s="140"/>
      <c r="P925" s="140"/>
      <c r="Q925" s="140"/>
      <c r="R925" s="140"/>
      <c r="S925" s="140"/>
      <c r="T925" s="140"/>
      <c r="U925" s="140"/>
      <c r="V925" s="140"/>
      <c r="W925" s="140"/>
      <c r="X925" s="140"/>
      <c r="Y925" s="140"/>
      <c r="Z925" s="140"/>
      <c r="AA925" s="141"/>
      <c r="AE925" s="140"/>
      <c r="AI925" s="141"/>
      <c r="AM925" s="141"/>
      <c r="AQ925" s="141"/>
      <c r="AT925" s="140"/>
      <c r="AU925" s="140"/>
    </row>
    <row r="926" spans="2:47" s="134" customFormat="1" x14ac:dyDescent="0.2">
      <c r="B926" s="145"/>
      <c r="D926" s="679"/>
      <c r="J926" s="140"/>
      <c r="K926" s="140"/>
      <c r="L926" s="140"/>
      <c r="M926" s="140"/>
      <c r="N926" s="140"/>
      <c r="O926" s="140"/>
      <c r="P926" s="140"/>
      <c r="Q926" s="140"/>
      <c r="R926" s="140"/>
      <c r="S926" s="140"/>
      <c r="T926" s="140"/>
      <c r="U926" s="140"/>
      <c r="V926" s="140"/>
      <c r="W926" s="140"/>
      <c r="X926" s="140"/>
      <c r="Y926" s="140"/>
      <c r="Z926" s="140"/>
      <c r="AA926" s="141"/>
      <c r="AE926" s="140"/>
      <c r="AI926" s="141"/>
      <c r="AM926" s="141"/>
      <c r="AQ926" s="141"/>
      <c r="AT926" s="140"/>
      <c r="AU926" s="140"/>
    </row>
    <row r="927" spans="2:47" s="134" customFormat="1" x14ac:dyDescent="0.2">
      <c r="B927" s="145"/>
      <c r="D927" s="679"/>
      <c r="J927" s="140"/>
      <c r="K927" s="140"/>
      <c r="L927" s="140"/>
      <c r="M927" s="140"/>
      <c r="N927" s="140"/>
      <c r="O927" s="140"/>
      <c r="P927" s="140"/>
      <c r="Q927" s="140"/>
      <c r="R927" s="140"/>
      <c r="S927" s="140"/>
      <c r="T927" s="140"/>
      <c r="U927" s="140"/>
      <c r="V927" s="140"/>
      <c r="W927" s="140"/>
      <c r="X927" s="140"/>
      <c r="Y927" s="140"/>
      <c r="Z927" s="140"/>
      <c r="AA927" s="141"/>
      <c r="AE927" s="140"/>
      <c r="AI927" s="141"/>
      <c r="AM927" s="141"/>
      <c r="AQ927" s="141"/>
      <c r="AT927" s="140"/>
      <c r="AU927" s="140"/>
    </row>
    <row r="928" spans="2:47" s="134" customFormat="1" x14ac:dyDescent="0.2">
      <c r="B928" s="145"/>
      <c r="D928" s="679"/>
      <c r="J928" s="140"/>
      <c r="K928" s="140"/>
      <c r="L928" s="140"/>
      <c r="M928" s="140"/>
      <c r="N928" s="140"/>
      <c r="O928" s="140"/>
      <c r="P928" s="140"/>
      <c r="Q928" s="140"/>
      <c r="R928" s="140"/>
      <c r="S928" s="140"/>
      <c r="T928" s="140"/>
      <c r="U928" s="140"/>
      <c r="V928" s="140"/>
      <c r="W928" s="140"/>
      <c r="X928" s="140"/>
      <c r="Y928" s="140"/>
      <c r="Z928" s="140"/>
      <c r="AA928" s="141"/>
      <c r="AE928" s="140"/>
      <c r="AI928" s="141"/>
      <c r="AM928" s="141"/>
      <c r="AQ928" s="141"/>
      <c r="AT928" s="140"/>
      <c r="AU928" s="140"/>
    </row>
    <row r="929" spans="2:47" s="134" customFormat="1" x14ac:dyDescent="0.2">
      <c r="B929" s="145"/>
      <c r="D929" s="679"/>
      <c r="J929" s="140"/>
      <c r="K929" s="140"/>
      <c r="L929" s="140"/>
      <c r="M929" s="140"/>
      <c r="N929" s="140"/>
      <c r="O929" s="140"/>
      <c r="P929" s="140"/>
      <c r="Q929" s="140"/>
      <c r="R929" s="140"/>
      <c r="S929" s="140"/>
      <c r="T929" s="140"/>
      <c r="U929" s="140"/>
      <c r="V929" s="140"/>
      <c r="W929" s="140"/>
      <c r="X929" s="140"/>
      <c r="Y929" s="140"/>
      <c r="Z929" s="140"/>
      <c r="AA929" s="141"/>
      <c r="AE929" s="140"/>
      <c r="AI929" s="141"/>
      <c r="AM929" s="141"/>
      <c r="AQ929" s="141"/>
      <c r="AT929" s="140"/>
      <c r="AU929" s="140"/>
    </row>
    <row r="930" spans="2:47" s="134" customFormat="1" x14ac:dyDescent="0.2">
      <c r="B930" s="145"/>
      <c r="D930" s="679"/>
      <c r="J930" s="140"/>
      <c r="K930" s="140"/>
      <c r="L930" s="140"/>
      <c r="M930" s="140"/>
      <c r="N930" s="140"/>
      <c r="O930" s="140"/>
      <c r="P930" s="140"/>
      <c r="Q930" s="140"/>
      <c r="R930" s="140"/>
      <c r="S930" s="140"/>
      <c r="T930" s="140"/>
      <c r="U930" s="140"/>
      <c r="V930" s="140"/>
      <c r="W930" s="140"/>
      <c r="X930" s="140"/>
      <c r="Y930" s="140"/>
      <c r="Z930" s="140"/>
      <c r="AA930" s="141"/>
      <c r="AE930" s="140"/>
      <c r="AI930" s="141"/>
      <c r="AM930" s="141"/>
      <c r="AQ930" s="141"/>
      <c r="AT930" s="140"/>
      <c r="AU930" s="140"/>
    </row>
    <row r="931" spans="2:47" s="134" customFormat="1" x14ac:dyDescent="0.2">
      <c r="B931" s="145"/>
      <c r="D931" s="679"/>
      <c r="J931" s="140"/>
      <c r="K931" s="140"/>
      <c r="L931" s="140"/>
      <c r="M931" s="140"/>
      <c r="N931" s="140"/>
      <c r="O931" s="140"/>
      <c r="P931" s="140"/>
      <c r="Q931" s="140"/>
      <c r="R931" s="140"/>
      <c r="S931" s="140"/>
      <c r="T931" s="140"/>
      <c r="U931" s="140"/>
      <c r="V931" s="140"/>
      <c r="W931" s="140"/>
      <c r="X931" s="140"/>
      <c r="Y931" s="140"/>
      <c r="Z931" s="140"/>
      <c r="AA931" s="141"/>
      <c r="AE931" s="140"/>
      <c r="AI931" s="141"/>
      <c r="AM931" s="141"/>
      <c r="AQ931" s="141"/>
      <c r="AT931" s="140"/>
      <c r="AU931" s="140"/>
    </row>
    <row r="932" spans="2:47" s="134" customFormat="1" x14ac:dyDescent="0.2">
      <c r="B932" s="145"/>
      <c r="D932" s="679"/>
      <c r="J932" s="140"/>
      <c r="K932" s="140"/>
      <c r="L932" s="140"/>
      <c r="M932" s="140"/>
      <c r="N932" s="140"/>
      <c r="O932" s="140"/>
      <c r="P932" s="140"/>
      <c r="Q932" s="140"/>
      <c r="R932" s="140"/>
      <c r="S932" s="140"/>
      <c r="T932" s="140"/>
      <c r="U932" s="140"/>
      <c r="V932" s="140"/>
      <c r="W932" s="140"/>
      <c r="X932" s="140"/>
      <c r="Y932" s="140"/>
      <c r="Z932" s="140"/>
      <c r="AA932" s="141"/>
      <c r="AE932" s="140"/>
      <c r="AI932" s="141"/>
      <c r="AM932" s="141"/>
      <c r="AQ932" s="141"/>
      <c r="AT932" s="140"/>
      <c r="AU932" s="140"/>
    </row>
    <row r="933" spans="2:47" s="134" customFormat="1" x14ac:dyDescent="0.2">
      <c r="B933" s="145"/>
      <c r="D933" s="679"/>
      <c r="J933" s="140"/>
      <c r="K933" s="140"/>
      <c r="L933" s="140"/>
      <c r="M933" s="140"/>
      <c r="N933" s="140"/>
      <c r="O933" s="140"/>
      <c r="P933" s="140"/>
      <c r="Q933" s="140"/>
      <c r="R933" s="140"/>
      <c r="S933" s="140"/>
      <c r="T933" s="140"/>
      <c r="U933" s="140"/>
      <c r="V933" s="140"/>
      <c r="W933" s="140"/>
      <c r="X933" s="140"/>
      <c r="Y933" s="140"/>
      <c r="Z933" s="140"/>
      <c r="AA933" s="141"/>
      <c r="AE933" s="140"/>
      <c r="AI933" s="141"/>
      <c r="AM933" s="141"/>
      <c r="AQ933" s="141"/>
      <c r="AT933" s="140"/>
      <c r="AU933" s="140"/>
    </row>
    <row r="934" spans="2:47" s="134" customFormat="1" x14ac:dyDescent="0.2">
      <c r="B934" s="145"/>
      <c r="D934" s="679"/>
      <c r="J934" s="140"/>
      <c r="K934" s="140"/>
      <c r="L934" s="140"/>
      <c r="M934" s="140"/>
      <c r="N934" s="140"/>
      <c r="O934" s="140"/>
      <c r="P934" s="140"/>
      <c r="Q934" s="140"/>
      <c r="R934" s="140"/>
      <c r="S934" s="140"/>
      <c r="T934" s="140"/>
      <c r="U934" s="140"/>
      <c r="V934" s="140"/>
      <c r="W934" s="140"/>
      <c r="X934" s="140"/>
      <c r="Y934" s="140"/>
      <c r="Z934" s="140"/>
      <c r="AA934" s="141"/>
      <c r="AE934" s="140"/>
      <c r="AI934" s="141"/>
      <c r="AM934" s="141"/>
      <c r="AQ934" s="141"/>
      <c r="AT934" s="140"/>
      <c r="AU934" s="140"/>
    </row>
    <row r="935" spans="2:47" s="134" customFormat="1" x14ac:dyDescent="0.2">
      <c r="B935" s="145"/>
      <c r="D935" s="679"/>
      <c r="J935" s="140"/>
      <c r="K935" s="140"/>
      <c r="L935" s="140"/>
      <c r="M935" s="140"/>
      <c r="N935" s="140"/>
      <c r="O935" s="140"/>
      <c r="P935" s="140"/>
      <c r="Q935" s="140"/>
      <c r="R935" s="140"/>
      <c r="S935" s="140"/>
      <c r="T935" s="140"/>
      <c r="U935" s="140"/>
      <c r="V935" s="140"/>
      <c r="W935" s="140"/>
      <c r="X935" s="140"/>
      <c r="Y935" s="140"/>
      <c r="Z935" s="140"/>
      <c r="AA935" s="141"/>
      <c r="AE935" s="140"/>
      <c r="AI935" s="141"/>
      <c r="AM935" s="141"/>
      <c r="AQ935" s="141"/>
      <c r="AT935" s="140"/>
      <c r="AU935" s="140"/>
    </row>
    <row r="936" spans="2:47" s="134" customFormat="1" x14ac:dyDescent="0.2">
      <c r="B936" s="145"/>
      <c r="D936" s="679"/>
      <c r="J936" s="140"/>
      <c r="K936" s="140"/>
      <c r="L936" s="140"/>
      <c r="M936" s="140"/>
      <c r="N936" s="140"/>
      <c r="O936" s="140"/>
      <c r="P936" s="140"/>
      <c r="Q936" s="140"/>
      <c r="R936" s="140"/>
      <c r="S936" s="140"/>
      <c r="T936" s="140"/>
      <c r="U936" s="140"/>
      <c r="V936" s="140"/>
      <c r="W936" s="140"/>
      <c r="X936" s="140"/>
      <c r="Y936" s="140"/>
      <c r="Z936" s="140"/>
      <c r="AA936" s="141"/>
      <c r="AE936" s="140"/>
      <c r="AI936" s="141"/>
      <c r="AM936" s="141"/>
      <c r="AQ936" s="141"/>
      <c r="AT936" s="140"/>
      <c r="AU936" s="140"/>
    </row>
    <row r="937" spans="2:47" s="134" customFormat="1" x14ac:dyDescent="0.2">
      <c r="B937" s="145"/>
      <c r="D937" s="679"/>
      <c r="J937" s="140"/>
      <c r="K937" s="140"/>
      <c r="L937" s="140"/>
      <c r="M937" s="140"/>
      <c r="N937" s="140"/>
      <c r="O937" s="140"/>
      <c r="P937" s="140"/>
      <c r="Q937" s="140"/>
      <c r="R937" s="140"/>
      <c r="S937" s="140"/>
      <c r="T937" s="140"/>
      <c r="U937" s="140"/>
      <c r="V937" s="140"/>
      <c r="W937" s="140"/>
      <c r="X937" s="140"/>
      <c r="Y937" s="140"/>
      <c r="Z937" s="140"/>
      <c r="AA937" s="141"/>
      <c r="AE937" s="140"/>
      <c r="AI937" s="141"/>
      <c r="AM937" s="141"/>
      <c r="AQ937" s="141"/>
      <c r="AT937" s="140"/>
      <c r="AU937" s="140"/>
    </row>
    <row r="938" spans="2:47" s="134" customFormat="1" x14ac:dyDescent="0.2">
      <c r="B938" s="145"/>
      <c r="D938" s="679"/>
      <c r="J938" s="140"/>
      <c r="K938" s="140"/>
      <c r="L938" s="140"/>
      <c r="M938" s="140"/>
      <c r="N938" s="140"/>
      <c r="O938" s="140"/>
      <c r="P938" s="140"/>
      <c r="Q938" s="140"/>
      <c r="R938" s="140"/>
      <c r="S938" s="140"/>
      <c r="T938" s="140"/>
      <c r="U938" s="140"/>
      <c r="V938" s="140"/>
      <c r="W938" s="140"/>
      <c r="X938" s="140"/>
      <c r="Y938" s="140"/>
      <c r="Z938" s="140"/>
      <c r="AA938" s="141"/>
      <c r="AE938" s="140"/>
      <c r="AI938" s="141"/>
      <c r="AM938" s="141"/>
      <c r="AQ938" s="141"/>
      <c r="AT938" s="140"/>
      <c r="AU938" s="140"/>
    </row>
    <row r="939" spans="2:47" s="134" customFormat="1" x14ac:dyDescent="0.2">
      <c r="B939" s="145"/>
      <c r="D939" s="679"/>
      <c r="J939" s="140"/>
      <c r="K939" s="140"/>
      <c r="L939" s="140"/>
      <c r="M939" s="140"/>
      <c r="N939" s="140"/>
      <c r="O939" s="140"/>
      <c r="P939" s="140"/>
      <c r="Q939" s="140"/>
      <c r="R939" s="140"/>
      <c r="S939" s="140"/>
      <c r="T939" s="140"/>
      <c r="U939" s="140"/>
      <c r="V939" s="140"/>
      <c r="W939" s="140"/>
      <c r="X939" s="140"/>
      <c r="Y939" s="140"/>
      <c r="Z939" s="140"/>
      <c r="AA939" s="141"/>
      <c r="AE939" s="140"/>
      <c r="AI939" s="141"/>
      <c r="AM939" s="141"/>
      <c r="AQ939" s="141"/>
      <c r="AT939" s="140"/>
      <c r="AU939" s="140"/>
    </row>
    <row r="940" spans="2:47" s="134" customFormat="1" x14ac:dyDescent="0.2">
      <c r="B940" s="145"/>
      <c r="D940" s="679"/>
      <c r="J940" s="140"/>
      <c r="K940" s="140"/>
      <c r="L940" s="140"/>
      <c r="M940" s="140"/>
      <c r="N940" s="140"/>
      <c r="O940" s="140"/>
      <c r="P940" s="140"/>
      <c r="Q940" s="140"/>
      <c r="R940" s="140"/>
      <c r="S940" s="140"/>
      <c r="T940" s="140"/>
      <c r="U940" s="140"/>
      <c r="V940" s="140"/>
      <c r="W940" s="140"/>
      <c r="X940" s="140"/>
      <c r="Y940" s="140"/>
      <c r="Z940" s="140"/>
      <c r="AA940" s="141"/>
      <c r="AE940" s="140"/>
      <c r="AI940" s="141"/>
      <c r="AM940" s="141"/>
      <c r="AQ940" s="141"/>
      <c r="AT940" s="140"/>
      <c r="AU940" s="140"/>
    </row>
    <row r="941" spans="2:47" s="134" customFormat="1" x14ac:dyDescent="0.2">
      <c r="B941" s="145"/>
      <c r="D941" s="679"/>
      <c r="J941" s="140"/>
      <c r="K941" s="140"/>
      <c r="L941" s="140"/>
      <c r="M941" s="140"/>
      <c r="N941" s="140"/>
      <c r="O941" s="140"/>
      <c r="P941" s="140"/>
      <c r="Q941" s="140"/>
      <c r="R941" s="140"/>
      <c r="S941" s="140"/>
      <c r="T941" s="140"/>
      <c r="U941" s="140"/>
      <c r="V941" s="140"/>
      <c r="W941" s="140"/>
      <c r="X941" s="140"/>
      <c r="Y941" s="140"/>
      <c r="Z941" s="140"/>
      <c r="AA941" s="141"/>
      <c r="AE941" s="140"/>
      <c r="AI941" s="141"/>
      <c r="AM941" s="141"/>
      <c r="AQ941" s="141"/>
      <c r="AT941" s="140"/>
      <c r="AU941" s="140"/>
    </row>
    <row r="942" spans="2:47" s="134" customFormat="1" x14ac:dyDescent="0.2">
      <c r="B942" s="145"/>
      <c r="D942" s="679"/>
      <c r="J942" s="140"/>
      <c r="K942" s="140"/>
      <c r="L942" s="140"/>
      <c r="M942" s="140"/>
      <c r="N942" s="140"/>
      <c r="O942" s="140"/>
      <c r="P942" s="140"/>
      <c r="Q942" s="140"/>
      <c r="R942" s="140"/>
      <c r="S942" s="140"/>
      <c r="T942" s="140"/>
      <c r="U942" s="140"/>
      <c r="V942" s="140"/>
      <c r="W942" s="140"/>
      <c r="X942" s="140"/>
      <c r="Y942" s="140"/>
      <c r="Z942" s="140"/>
      <c r="AA942" s="141"/>
      <c r="AE942" s="140"/>
      <c r="AI942" s="141"/>
      <c r="AM942" s="141"/>
      <c r="AQ942" s="141"/>
      <c r="AT942" s="140"/>
      <c r="AU942" s="140"/>
    </row>
    <row r="943" spans="2:47" s="134" customFormat="1" x14ac:dyDescent="0.2">
      <c r="B943" s="145"/>
      <c r="D943" s="679"/>
      <c r="J943" s="140"/>
      <c r="K943" s="140"/>
      <c r="L943" s="140"/>
      <c r="M943" s="140"/>
      <c r="N943" s="140"/>
      <c r="O943" s="140"/>
      <c r="P943" s="140"/>
      <c r="Q943" s="140"/>
      <c r="R943" s="140"/>
      <c r="S943" s="140"/>
      <c r="T943" s="140"/>
      <c r="U943" s="140"/>
      <c r="V943" s="140"/>
      <c r="W943" s="140"/>
      <c r="X943" s="140"/>
      <c r="Y943" s="140"/>
      <c r="Z943" s="140"/>
      <c r="AA943" s="141"/>
      <c r="AE943" s="140"/>
      <c r="AI943" s="141"/>
      <c r="AM943" s="141"/>
      <c r="AQ943" s="141"/>
      <c r="AT943" s="140"/>
      <c r="AU943" s="140"/>
    </row>
    <row r="944" spans="2:47" s="134" customFormat="1" x14ac:dyDescent="0.2">
      <c r="B944" s="145"/>
      <c r="D944" s="679"/>
      <c r="J944" s="140"/>
      <c r="K944" s="140"/>
      <c r="L944" s="140"/>
      <c r="M944" s="140"/>
      <c r="N944" s="140"/>
      <c r="O944" s="140"/>
      <c r="P944" s="140"/>
      <c r="Q944" s="140"/>
      <c r="R944" s="140"/>
      <c r="S944" s="140"/>
      <c r="T944" s="140"/>
      <c r="U944" s="140"/>
      <c r="V944" s="140"/>
      <c r="W944" s="140"/>
      <c r="X944" s="140"/>
      <c r="Y944" s="140"/>
      <c r="Z944" s="140"/>
      <c r="AA944" s="141"/>
      <c r="AE944" s="140"/>
      <c r="AI944" s="141"/>
      <c r="AM944" s="141"/>
      <c r="AQ944" s="141"/>
      <c r="AT944" s="140"/>
      <c r="AU944" s="140"/>
    </row>
    <row r="945" spans="2:47" s="134" customFormat="1" x14ac:dyDescent="0.2">
      <c r="B945" s="145"/>
      <c r="D945" s="679"/>
      <c r="J945" s="140"/>
      <c r="K945" s="140"/>
      <c r="L945" s="140"/>
      <c r="M945" s="140"/>
      <c r="N945" s="140"/>
      <c r="O945" s="140"/>
      <c r="P945" s="140"/>
      <c r="Q945" s="140"/>
      <c r="R945" s="140"/>
      <c r="S945" s="140"/>
      <c r="T945" s="140"/>
      <c r="U945" s="140"/>
      <c r="V945" s="140"/>
      <c r="W945" s="140"/>
      <c r="X945" s="140"/>
      <c r="Y945" s="140"/>
      <c r="Z945" s="140"/>
      <c r="AA945" s="141"/>
      <c r="AE945" s="140"/>
      <c r="AI945" s="141"/>
      <c r="AM945" s="141"/>
      <c r="AQ945" s="141"/>
      <c r="AT945" s="140"/>
      <c r="AU945" s="140"/>
    </row>
    <row r="946" spans="2:47" s="134" customFormat="1" x14ac:dyDescent="0.2">
      <c r="B946" s="145"/>
      <c r="D946" s="679"/>
      <c r="J946" s="140"/>
      <c r="K946" s="140"/>
      <c r="L946" s="140"/>
      <c r="M946" s="140"/>
      <c r="N946" s="140"/>
      <c r="O946" s="140"/>
      <c r="P946" s="140"/>
      <c r="Q946" s="140"/>
      <c r="R946" s="140"/>
      <c r="S946" s="140"/>
      <c r="T946" s="140"/>
      <c r="U946" s="140"/>
      <c r="V946" s="140"/>
      <c r="W946" s="140"/>
      <c r="X946" s="140"/>
      <c r="Y946" s="140"/>
      <c r="Z946" s="140"/>
      <c r="AA946" s="141"/>
      <c r="AE946" s="140"/>
      <c r="AI946" s="141"/>
      <c r="AM946" s="141"/>
      <c r="AQ946" s="141"/>
      <c r="AT946" s="140"/>
      <c r="AU946" s="140"/>
    </row>
    <row r="947" spans="2:47" s="134" customFormat="1" x14ac:dyDescent="0.2">
      <c r="B947" s="145"/>
      <c r="D947" s="679"/>
      <c r="J947" s="140"/>
      <c r="K947" s="140"/>
      <c r="L947" s="140"/>
      <c r="M947" s="140"/>
      <c r="N947" s="140"/>
      <c r="O947" s="140"/>
      <c r="P947" s="140"/>
      <c r="Q947" s="140"/>
      <c r="R947" s="140"/>
      <c r="S947" s="140"/>
      <c r="T947" s="140"/>
      <c r="U947" s="140"/>
      <c r="V947" s="140"/>
      <c r="W947" s="140"/>
      <c r="X947" s="140"/>
      <c r="Y947" s="140"/>
      <c r="Z947" s="140"/>
      <c r="AA947" s="141"/>
      <c r="AE947" s="140"/>
      <c r="AI947" s="141"/>
      <c r="AM947" s="141"/>
      <c r="AQ947" s="141"/>
      <c r="AT947" s="140"/>
      <c r="AU947" s="140"/>
    </row>
    <row r="948" spans="2:47" s="134" customFormat="1" x14ac:dyDescent="0.2">
      <c r="B948" s="145"/>
      <c r="D948" s="679"/>
      <c r="J948" s="140"/>
      <c r="K948" s="140"/>
      <c r="L948" s="140"/>
      <c r="M948" s="140"/>
      <c r="N948" s="140"/>
      <c r="O948" s="140"/>
      <c r="P948" s="140"/>
      <c r="Q948" s="140"/>
      <c r="R948" s="140"/>
      <c r="S948" s="140"/>
      <c r="T948" s="140"/>
      <c r="U948" s="140"/>
      <c r="V948" s="140"/>
      <c r="W948" s="140"/>
      <c r="X948" s="140"/>
      <c r="Y948" s="140"/>
      <c r="Z948" s="140"/>
      <c r="AA948" s="141"/>
      <c r="AE948" s="140"/>
      <c r="AI948" s="141"/>
      <c r="AM948" s="141"/>
      <c r="AQ948" s="141"/>
      <c r="AT948" s="140"/>
      <c r="AU948" s="140"/>
    </row>
    <row r="949" spans="2:47" s="134" customFormat="1" x14ac:dyDescent="0.2">
      <c r="B949" s="145"/>
      <c r="D949" s="679"/>
      <c r="J949" s="140"/>
      <c r="K949" s="140"/>
      <c r="L949" s="140"/>
      <c r="M949" s="140"/>
      <c r="N949" s="140"/>
      <c r="O949" s="140"/>
      <c r="P949" s="140"/>
      <c r="Q949" s="140"/>
      <c r="R949" s="140"/>
      <c r="S949" s="140"/>
      <c r="T949" s="140"/>
      <c r="U949" s="140"/>
      <c r="V949" s="140"/>
      <c r="W949" s="140"/>
      <c r="X949" s="140"/>
      <c r="Y949" s="140"/>
      <c r="Z949" s="140"/>
      <c r="AA949" s="141"/>
      <c r="AE949" s="140"/>
      <c r="AI949" s="141"/>
      <c r="AM949" s="141"/>
      <c r="AQ949" s="141"/>
      <c r="AT949" s="140"/>
      <c r="AU949" s="140"/>
    </row>
    <row r="950" spans="2:47" s="134" customFormat="1" x14ac:dyDescent="0.2">
      <c r="B950" s="145"/>
      <c r="D950" s="679"/>
      <c r="J950" s="140"/>
      <c r="K950" s="140"/>
      <c r="L950" s="140"/>
      <c r="M950" s="140"/>
      <c r="N950" s="140"/>
      <c r="O950" s="140"/>
      <c r="P950" s="140"/>
      <c r="Q950" s="140"/>
      <c r="R950" s="140"/>
      <c r="S950" s="140"/>
      <c r="T950" s="140"/>
      <c r="U950" s="140"/>
      <c r="V950" s="140"/>
      <c r="W950" s="140"/>
      <c r="X950" s="140"/>
      <c r="Y950" s="140"/>
      <c r="Z950" s="140"/>
      <c r="AA950" s="141"/>
      <c r="AE950" s="140"/>
      <c r="AI950" s="141"/>
      <c r="AM950" s="141"/>
      <c r="AQ950" s="141"/>
      <c r="AT950" s="140"/>
      <c r="AU950" s="140"/>
    </row>
    <row r="951" spans="2:47" s="134" customFormat="1" x14ac:dyDescent="0.2">
      <c r="B951" s="145"/>
      <c r="D951" s="679"/>
      <c r="J951" s="140"/>
      <c r="K951" s="140"/>
      <c r="L951" s="140"/>
      <c r="M951" s="140"/>
      <c r="N951" s="140"/>
      <c r="O951" s="140"/>
      <c r="P951" s="140"/>
      <c r="Q951" s="140"/>
      <c r="R951" s="140"/>
      <c r="S951" s="140"/>
      <c r="T951" s="140"/>
      <c r="U951" s="140"/>
      <c r="V951" s="140"/>
      <c r="W951" s="140"/>
      <c r="X951" s="140"/>
      <c r="Y951" s="140"/>
      <c r="Z951" s="140"/>
      <c r="AA951" s="141"/>
      <c r="AE951" s="140"/>
      <c r="AI951" s="141"/>
      <c r="AM951" s="141"/>
      <c r="AQ951" s="141"/>
      <c r="AT951" s="140"/>
      <c r="AU951" s="140"/>
    </row>
    <row r="952" spans="2:47" s="134" customFormat="1" x14ac:dyDescent="0.2">
      <c r="B952" s="145"/>
      <c r="D952" s="679"/>
      <c r="J952" s="140"/>
      <c r="K952" s="140"/>
      <c r="L952" s="140"/>
      <c r="M952" s="140"/>
      <c r="N952" s="140"/>
      <c r="O952" s="140"/>
      <c r="P952" s="140"/>
      <c r="Q952" s="140"/>
      <c r="R952" s="140"/>
      <c r="S952" s="140"/>
      <c r="T952" s="140"/>
      <c r="U952" s="140"/>
      <c r="V952" s="140"/>
      <c r="W952" s="140"/>
      <c r="X952" s="140"/>
      <c r="Y952" s="140"/>
      <c r="Z952" s="140"/>
      <c r="AA952" s="141"/>
      <c r="AE952" s="140"/>
      <c r="AI952" s="141"/>
      <c r="AM952" s="141"/>
      <c r="AQ952" s="141"/>
      <c r="AT952" s="140"/>
      <c r="AU952" s="140"/>
    </row>
    <row r="953" spans="2:47" s="134" customFormat="1" x14ac:dyDescent="0.2">
      <c r="B953" s="145"/>
      <c r="D953" s="679"/>
      <c r="J953" s="140"/>
      <c r="K953" s="140"/>
      <c r="L953" s="140"/>
      <c r="M953" s="140"/>
      <c r="N953" s="140"/>
      <c r="O953" s="140"/>
      <c r="P953" s="140"/>
      <c r="Q953" s="140"/>
      <c r="R953" s="140"/>
      <c r="S953" s="140"/>
      <c r="T953" s="140"/>
      <c r="U953" s="140"/>
      <c r="V953" s="140"/>
      <c r="W953" s="140"/>
      <c r="X953" s="140"/>
      <c r="Y953" s="140"/>
      <c r="Z953" s="140"/>
      <c r="AA953" s="141"/>
      <c r="AE953" s="140"/>
      <c r="AI953" s="141"/>
      <c r="AM953" s="141"/>
      <c r="AQ953" s="141"/>
      <c r="AT953" s="140"/>
      <c r="AU953" s="140"/>
    </row>
    <row r="954" spans="2:47" s="134" customFormat="1" x14ac:dyDescent="0.2">
      <c r="B954" s="145"/>
      <c r="D954" s="679"/>
      <c r="J954" s="140"/>
      <c r="K954" s="140"/>
      <c r="L954" s="140"/>
      <c r="M954" s="140"/>
      <c r="N954" s="140"/>
      <c r="O954" s="140"/>
      <c r="P954" s="140"/>
      <c r="Q954" s="140"/>
      <c r="R954" s="140"/>
      <c r="S954" s="140"/>
      <c r="T954" s="140"/>
      <c r="U954" s="140"/>
      <c r="V954" s="140"/>
      <c r="W954" s="140"/>
      <c r="X954" s="140"/>
      <c r="Y954" s="140"/>
      <c r="Z954" s="140"/>
      <c r="AA954" s="141"/>
      <c r="AE954" s="140"/>
      <c r="AI954" s="141"/>
      <c r="AM954" s="141"/>
      <c r="AQ954" s="141"/>
      <c r="AT954" s="140"/>
      <c r="AU954" s="140"/>
    </row>
    <row r="955" spans="2:47" s="134" customFormat="1" x14ac:dyDescent="0.2">
      <c r="B955" s="145"/>
      <c r="D955" s="679"/>
      <c r="J955" s="140"/>
      <c r="K955" s="140"/>
      <c r="L955" s="140"/>
      <c r="M955" s="140"/>
      <c r="N955" s="140"/>
      <c r="O955" s="140"/>
      <c r="P955" s="140"/>
      <c r="Q955" s="140"/>
      <c r="R955" s="140"/>
      <c r="S955" s="140"/>
      <c r="T955" s="140"/>
      <c r="U955" s="140"/>
      <c r="V955" s="140"/>
      <c r="W955" s="140"/>
      <c r="X955" s="140"/>
      <c r="Y955" s="140"/>
      <c r="Z955" s="140"/>
      <c r="AA955" s="141"/>
      <c r="AE955" s="140"/>
      <c r="AI955" s="141"/>
      <c r="AM955" s="141"/>
      <c r="AQ955" s="141"/>
      <c r="AT955" s="140"/>
      <c r="AU955" s="140"/>
    </row>
    <row r="956" spans="2:47" s="134" customFormat="1" x14ac:dyDescent="0.2">
      <c r="B956" s="145"/>
      <c r="D956" s="679"/>
      <c r="J956" s="140"/>
      <c r="K956" s="140"/>
      <c r="L956" s="140"/>
      <c r="M956" s="140"/>
      <c r="N956" s="140"/>
      <c r="O956" s="140"/>
      <c r="P956" s="140"/>
      <c r="Q956" s="140"/>
      <c r="R956" s="140"/>
      <c r="S956" s="140"/>
      <c r="T956" s="140"/>
      <c r="U956" s="140"/>
      <c r="V956" s="140"/>
      <c r="W956" s="140"/>
      <c r="X956" s="140"/>
      <c r="Y956" s="140"/>
      <c r="Z956" s="140"/>
      <c r="AA956" s="141"/>
      <c r="AE956" s="140"/>
      <c r="AI956" s="141"/>
      <c r="AM956" s="141"/>
      <c r="AQ956" s="141"/>
      <c r="AT956" s="140"/>
      <c r="AU956" s="140"/>
    </row>
    <row r="957" spans="2:47" s="134" customFormat="1" x14ac:dyDescent="0.2">
      <c r="B957" s="145"/>
      <c r="D957" s="679"/>
      <c r="J957" s="140"/>
      <c r="K957" s="140"/>
      <c r="L957" s="140"/>
      <c r="M957" s="140"/>
      <c r="N957" s="140"/>
      <c r="O957" s="140"/>
      <c r="P957" s="140"/>
      <c r="Q957" s="140"/>
      <c r="R957" s="140"/>
      <c r="S957" s="140"/>
      <c r="T957" s="140"/>
      <c r="U957" s="140"/>
      <c r="V957" s="140"/>
      <c r="W957" s="140"/>
      <c r="X957" s="140"/>
      <c r="Y957" s="140"/>
      <c r="Z957" s="140"/>
      <c r="AA957" s="141"/>
      <c r="AE957" s="140"/>
      <c r="AI957" s="141"/>
      <c r="AM957" s="141"/>
      <c r="AQ957" s="141"/>
      <c r="AT957" s="140"/>
      <c r="AU957" s="140"/>
    </row>
    <row r="958" spans="2:47" s="134" customFormat="1" x14ac:dyDescent="0.2">
      <c r="B958" s="145"/>
      <c r="D958" s="679"/>
      <c r="J958" s="140"/>
      <c r="K958" s="140"/>
      <c r="L958" s="140"/>
      <c r="M958" s="140"/>
      <c r="N958" s="140"/>
      <c r="O958" s="140"/>
      <c r="P958" s="140"/>
      <c r="Q958" s="140"/>
      <c r="R958" s="140"/>
      <c r="S958" s="140"/>
      <c r="T958" s="140"/>
      <c r="U958" s="140"/>
      <c r="V958" s="140"/>
      <c r="W958" s="140"/>
      <c r="X958" s="140"/>
      <c r="Y958" s="140"/>
      <c r="Z958" s="140"/>
      <c r="AA958" s="141"/>
      <c r="AE958" s="140"/>
      <c r="AI958" s="141"/>
      <c r="AM958" s="141"/>
      <c r="AQ958" s="141"/>
      <c r="AT958" s="140"/>
      <c r="AU958" s="140"/>
    </row>
    <row r="959" spans="2:47" s="134" customFormat="1" x14ac:dyDescent="0.2">
      <c r="B959" s="145"/>
      <c r="D959" s="679"/>
      <c r="J959" s="140"/>
      <c r="K959" s="140"/>
      <c r="L959" s="140"/>
      <c r="M959" s="140"/>
      <c r="N959" s="140"/>
      <c r="O959" s="140"/>
      <c r="P959" s="140"/>
      <c r="Q959" s="140"/>
      <c r="R959" s="140"/>
      <c r="S959" s="140"/>
      <c r="T959" s="140"/>
      <c r="U959" s="140"/>
      <c r="V959" s="140"/>
      <c r="W959" s="140"/>
      <c r="X959" s="140"/>
      <c r="Y959" s="140"/>
      <c r="Z959" s="140"/>
      <c r="AA959" s="141"/>
      <c r="AE959" s="140"/>
      <c r="AI959" s="141"/>
      <c r="AM959" s="141"/>
      <c r="AQ959" s="141"/>
      <c r="AT959" s="140"/>
      <c r="AU959" s="140"/>
    </row>
    <row r="960" spans="2:47" s="134" customFormat="1" x14ac:dyDescent="0.2">
      <c r="B960" s="145"/>
      <c r="D960" s="679"/>
      <c r="J960" s="140"/>
      <c r="K960" s="140"/>
      <c r="L960" s="140"/>
      <c r="M960" s="140"/>
      <c r="N960" s="140"/>
      <c r="O960" s="140"/>
      <c r="P960" s="140"/>
      <c r="Q960" s="140"/>
      <c r="R960" s="140"/>
      <c r="S960" s="140"/>
      <c r="T960" s="140"/>
      <c r="U960" s="140"/>
      <c r="V960" s="140"/>
      <c r="W960" s="140"/>
      <c r="X960" s="140"/>
      <c r="Y960" s="140"/>
      <c r="Z960" s="140"/>
      <c r="AA960" s="141"/>
      <c r="AE960" s="140"/>
      <c r="AI960" s="141"/>
      <c r="AM960" s="141"/>
      <c r="AQ960" s="141"/>
      <c r="AT960" s="140"/>
      <c r="AU960" s="140"/>
    </row>
    <row r="961" spans="2:47" s="134" customFormat="1" x14ac:dyDescent="0.2">
      <c r="B961" s="145"/>
      <c r="D961" s="679"/>
      <c r="J961" s="140"/>
      <c r="K961" s="140"/>
      <c r="L961" s="140"/>
      <c r="M961" s="140"/>
      <c r="N961" s="140"/>
      <c r="O961" s="140"/>
      <c r="P961" s="140"/>
      <c r="Q961" s="140"/>
      <c r="R961" s="140"/>
      <c r="S961" s="140"/>
      <c r="T961" s="140"/>
      <c r="U961" s="140"/>
      <c r="V961" s="140"/>
      <c r="W961" s="140"/>
      <c r="X961" s="140"/>
      <c r="Y961" s="140"/>
      <c r="Z961" s="140"/>
      <c r="AA961" s="141"/>
      <c r="AE961" s="140"/>
      <c r="AI961" s="141"/>
      <c r="AM961" s="141"/>
      <c r="AQ961" s="141"/>
      <c r="AT961" s="140"/>
      <c r="AU961" s="140"/>
    </row>
    <row r="962" spans="2:47" s="134" customFormat="1" x14ac:dyDescent="0.2">
      <c r="B962" s="145"/>
      <c r="D962" s="679"/>
      <c r="J962" s="140"/>
      <c r="K962" s="140"/>
      <c r="L962" s="140"/>
      <c r="M962" s="140"/>
      <c r="N962" s="140"/>
      <c r="O962" s="140"/>
      <c r="P962" s="140"/>
      <c r="Q962" s="140"/>
      <c r="R962" s="140"/>
      <c r="S962" s="140"/>
      <c r="T962" s="140"/>
      <c r="U962" s="140"/>
      <c r="V962" s="140"/>
      <c r="W962" s="140"/>
      <c r="X962" s="140"/>
      <c r="Y962" s="140"/>
      <c r="Z962" s="140"/>
      <c r="AA962" s="141"/>
      <c r="AE962" s="140"/>
      <c r="AI962" s="141"/>
      <c r="AM962" s="141"/>
      <c r="AQ962" s="141"/>
      <c r="AT962" s="140"/>
      <c r="AU962" s="140"/>
    </row>
    <row r="963" spans="2:47" s="134" customFormat="1" x14ac:dyDescent="0.2">
      <c r="B963" s="145"/>
      <c r="D963" s="679"/>
      <c r="J963" s="140"/>
      <c r="K963" s="140"/>
      <c r="L963" s="140"/>
      <c r="M963" s="140"/>
      <c r="N963" s="140"/>
      <c r="O963" s="140"/>
      <c r="P963" s="140"/>
      <c r="Q963" s="140"/>
      <c r="R963" s="140"/>
      <c r="S963" s="140"/>
      <c r="T963" s="140"/>
      <c r="U963" s="140"/>
      <c r="V963" s="140"/>
      <c r="W963" s="140"/>
      <c r="X963" s="140"/>
      <c r="Y963" s="140"/>
      <c r="Z963" s="140"/>
      <c r="AA963" s="141"/>
      <c r="AE963" s="140"/>
      <c r="AI963" s="141"/>
      <c r="AM963" s="141"/>
      <c r="AQ963" s="141"/>
      <c r="AT963" s="140"/>
      <c r="AU963" s="140"/>
    </row>
    <row r="964" spans="2:47" s="134" customFormat="1" x14ac:dyDescent="0.2">
      <c r="B964" s="145"/>
      <c r="D964" s="679"/>
      <c r="J964" s="140"/>
      <c r="K964" s="140"/>
      <c r="L964" s="140"/>
      <c r="M964" s="140"/>
      <c r="N964" s="140"/>
      <c r="O964" s="140"/>
      <c r="P964" s="140"/>
      <c r="Q964" s="140"/>
      <c r="R964" s="140"/>
      <c r="S964" s="140"/>
      <c r="T964" s="140"/>
      <c r="U964" s="140"/>
      <c r="V964" s="140"/>
      <c r="W964" s="140"/>
      <c r="X964" s="140"/>
      <c r="Y964" s="140"/>
      <c r="Z964" s="140"/>
      <c r="AA964" s="141"/>
      <c r="AE964" s="140"/>
      <c r="AI964" s="141"/>
      <c r="AM964" s="141"/>
      <c r="AQ964" s="141"/>
      <c r="AT964" s="140"/>
      <c r="AU964" s="140"/>
    </row>
    <row r="965" spans="2:47" s="134" customFormat="1" x14ac:dyDescent="0.2">
      <c r="B965" s="145"/>
      <c r="D965" s="679"/>
      <c r="J965" s="140"/>
      <c r="K965" s="140"/>
      <c r="L965" s="140"/>
      <c r="M965" s="140"/>
      <c r="N965" s="140"/>
      <c r="O965" s="140"/>
      <c r="P965" s="140"/>
      <c r="Q965" s="140"/>
      <c r="R965" s="140"/>
      <c r="S965" s="140"/>
      <c r="T965" s="140"/>
      <c r="U965" s="140"/>
      <c r="V965" s="140"/>
      <c r="W965" s="140"/>
      <c r="X965" s="140"/>
      <c r="Y965" s="140"/>
      <c r="Z965" s="140"/>
      <c r="AA965" s="141"/>
      <c r="AE965" s="140"/>
      <c r="AI965" s="141"/>
      <c r="AM965" s="141"/>
      <c r="AQ965" s="141"/>
      <c r="AT965" s="140"/>
      <c r="AU965" s="140"/>
    </row>
    <row r="966" spans="2:47" s="134" customFormat="1" x14ac:dyDescent="0.2">
      <c r="B966" s="145"/>
      <c r="D966" s="679"/>
      <c r="J966" s="140"/>
      <c r="K966" s="140"/>
      <c r="L966" s="140"/>
      <c r="M966" s="140"/>
      <c r="N966" s="140"/>
      <c r="O966" s="140"/>
      <c r="P966" s="140"/>
      <c r="Q966" s="140"/>
      <c r="R966" s="140"/>
      <c r="S966" s="140"/>
      <c r="T966" s="140"/>
      <c r="U966" s="140"/>
      <c r="V966" s="140"/>
      <c r="W966" s="140"/>
      <c r="X966" s="140"/>
      <c r="Y966" s="140"/>
      <c r="Z966" s="140"/>
      <c r="AA966" s="141"/>
      <c r="AE966" s="140"/>
      <c r="AI966" s="141"/>
      <c r="AM966" s="141"/>
      <c r="AQ966" s="141"/>
      <c r="AT966" s="140"/>
      <c r="AU966" s="140"/>
    </row>
    <row r="967" spans="2:47" s="134" customFormat="1" x14ac:dyDescent="0.2">
      <c r="B967" s="145"/>
      <c r="D967" s="679"/>
      <c r="J967" s="140"/>
      <c r="K967" s="140"/>
      <c r="L967" s="140"/>
      <c r="M967" s="140"/>
      <c r="N967" s="140"/>
      <c r="O967" s="140"/>
      <c r="P967" s="140"/>
      <c r="Q967" s="140"/>
      <c r="R967" s="140"/>
      <c r="S967" s="140"/>
      <c r="T967" s="140"/>
      <c r="U967" s="140"/>
      <c r="V967" s="140"/>
      <c r="W967" s="140"/>
      <c r="X967" s="140"/>
      <c r="Y967" s="140"/>
      <c r="Z967" s="140"/>
      <c r="AA967" s="141"/>
      <c r="AE967" s="140"/>
      <c r="AI967" s="141"/>
      <c r="AM967" s="141"/>
      <c r="AQ967" s="141"/>
      <c r="AT967" s="140"/>
      <c r="AU967" s="140"/>
    </row>
    <row r="968" spans="2:47" s="134" customFormat="1" x14ac:dyDescent="0.2">
      <c r="B968" s="145"/>
      <c r="D968" s="679"/>
      <c r="J968" s="140"/>
      <c r="K968" s="140"/>
      <c r="L968" s="140"/>
      <c r="M968" s="140"/>
      <c r="N968" s="140"/>
      <c r="O968" s="140"/>
      <c r="P968" s="140"/>
      <c r="Q968" s="140"/>
      <c r="R968" s="140"/>
      <c r="S968" s="140"/>
      <c r="T968" s="140"/>
      <c r="U968" s="140"/>
      <c r="V968" s="140"/>
      <c r="W968" s="140"/>
      <c r="X968" s="140"/>
      <c r="Y968" s="140"/>
      <c r="Z968" s="140"/>
      <c r="AA968" s="141"/>
      <c r="AE968" s="140"/>
      <c r="AI968" s="141"/>
      <c r="AM968" s="141"/>
      <c r="AQ968" s="141"/>
      <c r="AT968" s="140"/>
      <c r="AU968" s="140"/>
    </row>
    <row r="969" spans="2:47" s="134" customFormat="1" x14ac:dyDescent="0.2">
      <c r="B969" s="145"/>
      <c r="D969" s="679"/>
      <c r="J969" s="140"/>
      <c r="K969" s="140"/>
      <c r="L969" s="140"/>
      <c r="M969" s="140"/>
      <c r="N969" s="140"/>
      <c r="O969" s="140"/>
      <c r="P969" s="140"/>
      <c r="Q969" s="140"/>
      <c r="R969" s="140"/>
      <c r="S969" s="140"/>
      <c r="T969" s="140"/>
      <c r="U969" s="140"/>
      <c r="V969" s="140"/>
      <c r="W969" s="140"/>
      <c r="X969" s="140"/>
      <c r="Y969" s="140"/>
      <c r="Z969" s="140"/>
      <c r="AA969" s="141"/>
      <c r="AE969" s="140"/>
      <c r="AI969" s="141"/>
      <c r="AM969" s="141"/>
      <c r="AQ969" s="141"/>
      <c r="AT969" s="140"/>
      <c r="AU969" s="140"/>
    </row>
    <row r="970" spans="2:47" s="134" customFormat="1" x14ac:dyDescent="0.2">
      <c r="B970" s="145"/>
      <c r="D970" s="679"/>
      <c r="J970" s="140"/>
      <c r="K970" s="140"/>
      <c r="L970" s="140"/>
      <c r="M970" s="140"/>
      <c r="N970" s="140"/>
      <c r="O970" s="140"/>
      <c r="P970" s="140"/>
      <c r="Q970" s="140"/>
      <c r="R970" s="140"/>
      <c r="S970" s="140"/>
      <c r="T970" s="140"/>
      <c r="U970" s="140"/>
      <c r="V970" s="140"/>
      <c r="W970" s="140"/>
      <c r="X970" s="140"/>
      <c r="Y970" s="140"/>
      <c r="Z970" s="140"/>
      <c r="AA970" s="141"/>
      <c r="AE970" s="140"/>
      <c r="AI970" s="141"/>
      <c r="AM970" s="141"/>
      <c r="AQ970" s="141"/>
      <c r="AT970" s="140"/>
      <c r="AU970" s="140"/>
    </row>
    <row r="971" spans="2:47" s="134" customFormat="1" x14ac:dyDescent="0.2">
      <c r="B971" s="145"/>
      <c r="D971" s="679"/>
      <c r="J971" s="140"/>
      <c r="K971" s="140"/>
      <c r="L971" s="140"/>
      <c r="M971" s="140"/>
      <c r="N971" s="140"/>
      <c r="O971" s="140"/>
      <c r="P971" s="140"/>
      <c r="Q971" s="140"/>
      <c r="R971" s="140"/>
      <c r="S971" s="140"/>
      <c r="T971" s="140"/>
      <c r="U971" s="140"/>
      <c r="V971" s="140"/>
      <c r="W971" s="140"/>
      <c r="X971" s="140"/>
      <c r="Y971" s="140"/>
      <c r="Z971" s="140"/>
      <c r="AA971" s="141"/>
      <c r="AE971" s="140"/>
      <c r="AI971" s="141"/>
      <c r="AM971" s="141"/>
      <c r="AQ971" s="141"/>
      <c r="AT971" s="140"/>
      <c r="AU971" s="140"/>
    </row>
    <row r="972" spans="2:47" s="134" customFormat="1" x14ac:dyDescent="0.2">
      <c r="B972" s="145"/>
      <c r="D972" s="679"/>
      <c r="J972" s="140"/>
      <c r="K972" s="140"/>
      <c r="L972" s="140"/>
      <c r="M972" s="140"/>
      <c r="N972" s="140"/>
      <c r="O972" s="140"/>
      <c r="P972" s="140"/>
      <c r="Q972" s="140"/>
      <c r="R972" s="140"/>
      <c r="S972" s="140"/>
      <c r="T972" s="140"/>
      <c r="U972" s="140"/>
      <c r="V972" s="140"/>
      <c r="W972" s="140"/>
      <c r="X972" s="140"/>
      <c r="Y972" s="140"/>
      <c r="Z972" s="140"/>
      <c r="AA972" s="141"/>
      <c r="AE972" s="140"/>
      <c r="AI972" s="141"/>
      <c r="AM972" s="141"/>
      <c r="AQ972" s="141"/>
      <c r="AT972" s="140"/>
      <c r="AU972" s="140"/>
    </row>
    <row r="973" spans="2:47" s="134" customFormat="1" x14ac:dyDescent="0.2">
      <c r="B973" s="145"/>
      <c r="D973" s="679"/>
      <c r="J973" s="140"/>
      <c r="K973" s="140"/>
      <c r="L973" s="140"/>
      <c r="M973" s="140"/>
      <c r="N973" s="140"/>
      <c r="O973" s="140"/>
      <c r="P973" s="140"/>
      <c r="Q973" s="140"/>
      <c r="R973" s="140"/>
      <c r="S973" s="140"/>
      <c r="T973" s="140"/>
      <c r="U973" s="140"/>
      <c r="V973" s="140"/>
      <c r="W973" s="140"/>
      <c r="X973" s="140"/>
      <c r="Y973" s="140"/>
      <c r="Z973" s="140"/>
      <c r="AA973" s="141"/>
      <c r="AE973" s="140"/>
      <c r="AI973" s="141"/>
      <c r="AM973" s="141"/>
      <c r="AQ973" s="141"/>
      <c r="AT973" s="140"/>
      <c r="AU973" s="140"/>
    </row>
    <row r="974" spans="2:47" s="134" customFormat="1" x14ac:dyDescent="0.2">
      <c r="B974" s="145"/>
      <c r="D974" s="679"/>
      <c r="J974" s="140"/>
      <c r="K974" s="140"/>
      <c r="L974" s="140"/>
      <c r="M974" s="140"/>
      <c r="N974" s="140"/>
      <c r="O974" s="140"/>
      <c r="P974" s="140"/>
      <c r="Q974" s="140"/>
      <c r="R974" s="140"/>
      <c r="S974" s="140"/>
      <c r="T974" s="140"/>
      <c r="U974" s="140"/>
      <c r="V974" s="140"/>
      <c r="W974" s="140"/>
      <c r="X974" s="140"/>
      <c r="Y974" s="140"/>
      <c r="Z974" s="140"/>
      <c r="AA974" s="141"/>
      <c r="AE974" s="140"/>
      <c r="AI974" s="141"/>
      <c r="AM974" s="141"/>
      <c r="AQ974" s="141"/>
      <c r="AT974" s="140"/>
      <c r="AU974" s="140"/>
    </row>
    <row r="975" spans="2:47" s="134" customFormat="1" x14ac:dyDescent="0.2">
      <c r="B975" s="145"/>
      <c r="D975" s="679"/>
      <c r="J975" s="140"/>
      <c r="K975" s="140"/>
      <c r="L975" s="140"/>
      <c r="M975" s="140"/>
      <c r="N975" s="140"/>
      <c r="O975" s="140"/>
      <c r="P975" s="140"/>
      <c r="Q975" s="140"/>
      <c r="R975" s="140"/>
      <c r="S975" s="140"/>
      <c r="T975" s="140"/>
      <c r="U975" s="140"/>
      <c r="V975" s="140"/>
      <c r="W975" s="140"/>
      <c r="X975" s="140"/>
      <c r="Y975" s="140"/>
      <c r="Z975" s="140"/>
      <c r="AA975" s="141"/>
      <c r="AE975" s="140"/>
      <c r="AI975" s="141"/>
      <c r="AM975" s="141"/>
      <c r="AQ975" s="141"/>
      <c r="AT975" s="140"/>
      <c r="AU975" s="140"/>
    </row>
    <row r="976" spans="2:47" s="134" customFormat="1" x14ac:dyDescent="0.2">
      <c r="B976" s="145"/>
      <c r="D976" s="679"/>
      <c r="J976" s="140"/>
      <c r="K976" s="140"/>
      <c r="L976" s="140"/>
      <c r="M976" s="140"/>
      <c r="N976" s="140"/>
      <c r="O976" s="140"/>
      <c r="P976" s="140"/>
      <c r="Q976" s="140"/>
      <c r="R976" s="140"/>
      <c r="S976" s="140"/>
      <c r="T976" s="140"/>
      <c r="U976" s="140"/>
      <c r="V976" s="140"/>
      <c r="W976" s="140"/>
      <c r="X976" s="140"/>
      <c r="Y976" s="140"/>
      <c r="Z976" s="140"/>
      <c r="AA976" s="141"/>
      <c r="AE976" s="140"/>
      <c r="AI976" s="141"/>
      <c r="AM976" s="141"/>
      <c r="AQ976" s="141"/>
      <c r="AT976" s="140"/>
      <c r="AU976" s="140"/>
    </row>
    <row r="977" spans="2:47" s="134" customFormat="1" x14ac:dyDescent="0.2">
      <c r="B977" s="145"/>
      <c r="D977" s="679"/>
      <c r="J977" s="140"/>
      <c r="K977" s="140"/>
      <c r="L977" s="140"/>
      <c r="M977" s="140"/>
      <c r="N977" s="140"/>
      <c r="O977" s="140"/>
      <c r="P977" s="140"/>
      <c r="Q977" s="140"/>
      <c r="R977" s="140"/>
      <c r="S977" s="140"/>
      <c r="T977" s="140"/>
      <c r="U977" s="140"/>
      <c r="V977" s="140"/>
      <c r="W977" s="140"/>
      <c r="X977" s="140"/>
      <c r="Y977" s="140"/>
      <c r="Z977" s="140"/>
      <c r="AA977" s="141"/>
      <c r="AE977" s="140"/>
      <c r="AI977" s="141"/>
      <c r="AM977" s="141"/>
      <c r="AQ977" s="141"/>
      <c r="AT977" s="140"/>
      <c r="AU977" s="140"/>
    </row>
    <row r="978" spans="2:47" s="134" customFormat="1" x14ac:dyDescent="0.2">
      <c r="B978" s="145"/>
      <c r="D978" s="679"/>
      <c r="J978" s="140"/>
      <c r="K978" s="140"/>
      <c r="L978" s="140"/>
      <c r="M978" s="140"/>
      <c r="N978" s="140"/>
      <c r="O978" s="140"/>
      <c r="P978" s="140"/>
      <c r="Q978" s="140"/>
      <c r="R978" s="140"/>
      <c r="S978" s="140"/>
      <c r="T978" s="140"/>
      <c r="U978" s="140"/>
      <c r="V978" s="140"/>
      <c r="W978" s="140"/>
      <c r="X978" s="140"/>
      <c r="Y978" s="140"/>
      <c r="Z978" s="140"/>
      <c r="AA978" s="141"/>
      <c r="AE978" s="140"/>
      <c r="AI978" s="141"/>
      <c r="AM978" s="141"/>
      <c r="AQ978" s="141"/>
      <c r="AT978" s="140"/>
      <c r="AU978" s="140"/>
    </row>
    <row r="979" spans="2:47" s="134" customFormat="1" x14ac:dyDescent="0.2">
      <c r="B979" s="145"/>
      <c r="D979" s="679"/>
      <c r="J979" s="140"/>
      <c r="K979" s="140"/>
      <c r="L979" s="140"/>
      <c r="M979" s="140"/>
      <c r="N979" s="140"/>
      <c r="O979" s="140"/>
      <c r="P979" s="140"/>
      <c r="Q979" s="140"/>
      <c r="R979" s="140"/>
      <c r="S979" s="140"/>
      <c r="T979" s="140"/>
      <c r="U979" s="140"/>
      <c r="V979" s="140"/>
      <c r="W979" s="140"/>
      <c r="X979" s="140"/>
      <c r="Y979" s="140"/>
      <c r="Z979" s="140"/>
      <c r="AA979" s="141"/>
      <c r="AE979" s="140"/>
      <c r="AI979" s="141"/>
      <c r="AM979" s="141"/>
      <c r="AQ979" s="141"/>
      <c r="AT979" s="140"/>
      <c r="AU979" s="140"/>
    </row>
    <row r="980" spans="2:47" s="134" customFormat="1" x14ac:dyDescent="0.2">
      <c r="B980" s="145"/>
      <c r="D980" s="679"/>
      <c r="J980" s="140"/>
      <c r="K980" s="140"/>
      <c r="L980" s="140"/>
      <c r="M980" s="140"/>
      <c r="N980" s="140"/>
      <c r="O980" s="140"/>
      <c r="P980" s="140"/>
      <c r="Q980" s="140"/>
      <c r="R980" s="140"/>
      <c r="S980" s="140"/>
      <c r="T980" s="140"/>
      <c r="U980" s="140"/>
      <c r="V980" s="140"/>
      <c r="W980" s="140"/>
      <c r="X980" s="140"/>
      <c r="Y980" s="140"/>
      <c r="Z980" s="140"/>
      <c r="AA980" s="141"/>
      <c r="AE980" s="140"/>
      <c r="AI980" s="141"/>
      <c r="AM980" s="141"/>
      <c r="AQ980" s="141"/>
      <c r="AT980" s="140"/>
      <c r="AU980" s="140"/>
    </row>
    <row r="981" spans="2:47" s="134" customFormat="1" x14ac:dyDescent="0.2">
      <c r="B981" s="145"/>
      <c r="D981" s="679"/>
      <c r="J981" s="140"/>
      <c r="K981" s="140"/>
      <c r="L981" s="140"/>
      <c r="M981" s="140"/>
      <c r="N981" s="140"/>
      <c r="O981" s="140"/>
      <c r="P981" s="140"/>
      <c r="Q981" s="140"/>
      <c r="R981" s="140"/>
      <c r="S981" s="140"/>
      <c r="T981" s="140"/>
      <c r="U981" s="140"/>
      <c r="V981" s="140"/>
      <c r="W981" s="140"/>
      <c r="X981" s="140"/>
      <c r="Y981" s="140"/>
      <c r="Z981" s="140"/>
      <c r="AA981" s="141"/>
      <c r="AE981" s="140"/>
      <c r="AI981" s="141"/>
      <c r="AM981" s="141"/>
      <c r="AQ981" s="141"/>
      <c r="AT981" s="140"/>
      <c r="AU981" s="140"/>
    </row>
    <row r="982" spans="2:47" s="134" customFormat="1" x14ac:dyDescent="0.2">
      <c r="B982" s="145"/>
      <c r="D982" s="679"/>
      <c r="J982" s="140"/>
      <c r="K982" s="140"/>
      <c r="L982" s="140"/>
      <c r="M982" s="140"/>
      <c r="N982" s="140"/>
      <c r="O982" s="140"/>
      <c r="P982" s="140"/>
      <c r="Q982" s="140"/>
      <c r="R982" s="140"/>
      <c r="S982" s="140"/>
      <c r="T982" s="140"/>
      <c r="U982" s="140"/>
      <c r="V982" s="140"/>
      <c r="W982" s="140"/>
      <c r="X982" s="140"/>
      <c r="Y982" s="140"/>
      <c r="Z982" s="140"/>
      <c r="AA982" s="141"/>
      <c r="AE982" s="140"/>
      <c r="AI982" s="141"/>
      <c r="AM982" s="141"/>
      <c r="AQ982" s="141"/>
      <c r="AT982" s="140"/>
      <c r="AU982" s="140"/>
    </row>
    <row r="983" spans="2:47" s="134" customFormat="1" x14ac:dyDescent="0.2">
      <c r="B983" s="145"/>
      <c r="D983" s="679"/>
      <c r="J983" s="140"/>
      <c r="K983" s="140"/>
      <c r="L983" s="140"/>
      <c r="M983" s="140"/>
      <c r="N983" s="140"/>
      <c r="O983" s="140"/>
      <c r="P983" s="140"/>
      <c r="Q983" s="140"/>
      <c r="R983" s="140"/>
      <c r="S983" s="140"/>
      <c r="T983" s="140"/>
      <c r="U983" s="140"/>
      <c r="V983" s="140"/>
      <c r="W983" s="140"/>
      <c r="X983" s="140"/>
      <c r="Y983" s="140"/>
      <c r="Z983" s="140"/>
      <c r="AA983" s="141"/>
      <c r="AE983" s="140"/>
      <c r="AI983" s="141"/>
      <c r="AM983" s="141"/>
      <c r="AQ983" s="141"/>
      <c r="AT983" s="140"/>
      <c r="AU983" s="140"/>
    </row>
    <row r="984" spans="2:47" s="134" customFormat="1" x14ac:dyDescent="0.2">
      <c r="B984" s="145"/>
      <c r="D984" s="679"/>
      <c r="J984" s="140"/>
      <c r="K984" s="140"/>
      <c r="L984" s="140"/>
      <c r="M984" s="140"/>
      <c r="N984" s="140"/>
      <c r="O984" s="140"/>
      <c r="P984" s="140"/>
      <c r="Q984" s="140"/>
      <c r="R984" s="140"/>
      <c r="S984" s="140"/>
      <c r="T984" s="140"/>
      <c r="U984" s="140"/>
      <c r="V984" s="140"/>
      <c r="W984" s="140"/>
      <c r="X984" s="140"/>
      <c r="Y984" s="140"/>
      <c r="Z984" s="140"/>
      <c r="AA984" s="141"/>
      <c r="AE984" s="140"/>
      <c r="AI984" s="141"/>
      <c r="AM984" s="141"/>
      <c r="AQ984" s="141"/>
      <c r="AT984" s="140"/>
      <c r="AU984" s="140"/>
    </row>
    <row r="985" spans="2:47" s="134" customFormat="1" x14ac:dyDescent="0.2">
      <c r="B985" s="145"/>
      <c r="D985" s="679"/>
      <c r="J985" s="140"/>
      <c r="K985" s="140"/>
      <c r="L985" s="140"/>
      <c r="M985" s="140"/>
      <c r="N985" s="140"/>
      <c r="O985" s="140"/>
      <c r="P985" s="140"/>
      <c r="Q985" s="140"/>
      <c r="R985" s="140"/>
      <c r="S985" s="140"/>
      <c r="T985" s="140"/>
      <c r="U985" s="140"/>
      <c r="V985" s="140"/>
      <c r="W985" s="140"/>
      <c r="X985" s="140"/>
      <c r="Y985" s="140"/>
      <c r="Z985" s="140"/>
      <c r="AA985" s="141"/>
      <c r="AE985" s="140"/>
      <c r="AI985" s="141"/>
      <c r="AM985" s="141"/>
      <c r="AQ985" s="141"/>
      <c r="AT985" s="140"/>
      <c r="AU985" s="140"/>
    </row>
    <row r="986" spans="2:47" s="134" customFormat="1" x14ac:dyDescent="0.2">
      <c r="B986" s="145"/>
      <c r="D986" s="679"/>
      <c r="J986" s="140"/>
      <c r="K986" s="140"/>
      <c r="L986" s="140"/>
      <c r="M986" s="140"/>
      <c r="N986" s="140"/>
      <c r="O986" s="140"/>
      <c r="P986" s="140"/>
      <c r="Q986" s="140"/>
      <c r="R986" s="140"/>
      <c r="S986" s="140"/>
      <c r="T986" s="140"/>
      <c r="U986" s="140"/>
      <c r="V986" s="140"/>
      <c r="W986" s="140"/>
      <c r="X986" s="140"/>
      <c r="Y986" s="140"/>
      <c r="Z986" s="140"/>
      <c r="AA986" s="141"/>
      <c r="AE986" s="140"/>
      <c r="AI986" s="141"/>
      <c r="AM986" s="141"/>
      <c r="AQ986" s="141"/>
      <c r="AT986" s="140"/>
      <c r="AU986" s="140"/>
    </row>
    <row r="987" spans="2:47" s="134" customFormat="1" x14ac:dyDescent="0.2">
      <c r="B987" s="145"/>
      <c r="D987" s="679"/>
      <c r="J987" s="140"/>
      <c r="K987" s="140"/>
      <c r="L987" s="140"/>
      <c r="M987" s="140"/>
      <c r="N987" s="140"/>
      <c r="O987" s="140"/>
      <c r="P987" s="140"/>
      <c r="Q987" s="140"/>
      <c r="R987" s="140"/>
      <c r="S987" s="140"/>
      <c r="T987" s="140"/>
      <c r="U987" s="140"/>
      <c r="V987" s="140"/>
      <c r="W987" s="140"/>
      <c r="X987" s="140"/>
      <c r="Y987" s="140"/>
      <c r="Z987" s="140"/>
      <c r="AA987" s="141"/>
      <c r="AE987" s="140"/>
      <c r="AI987" s="141"/>
      <c r="AM987" s="141"/>
      <c r="AQ987" s="141"/>
      <c r="AT987" s="140"/>
      <c r="AU987" s="140"/>
    </row>
    <row r="988" spans="2:47" s="134" customFormat="1" x14ac:dyDescent="0.2">
      <c r="B988" s="145"/>
      <c r="D988" s="679"/>
      <c r="J988" s="140"/>
      <c r="K988" s="140"/>
      <c r="L988" s="140"/>
      <c r="M988" s="140"/>
      <c r="N988" s="140"/>
      <c r="O988" s="140"/>
      <c r="P988" s="140"/>
      <c r="Q988" s="140"/>
      <c r="R988" s="140"/>
      <c r="S988" s="140"/>
      <c r="T988" s="140"/>
      <c r="U988" s="140"/>
      <c r="V988" s="140"/>
      <c r="W988" s="140"/>
      <c r="X988" s="140"/>
      <c r="Y988" s="140"/>
      <c r="Z988" s="140"/>
      <c r="AA988" s="141"/>
      <c r="AE988" s="140"/>
      <c r="AI988" s="141"/>
      <c r="AM988" s="141"/>
      <c r="AQ988" s="141"/>
      <c r="AT988" s="140"/>
      <c r="AU988" s="140"/>
    </row>
    <row r="989" spans="2:47" s="134" customFormat="1" x14ac:dyDescent="0.2">
      <c r="B989" s="145"/>
      <c r="D989" s="679"/>
      <c r="J989" s="140"/>
      <c r="K989" s="140"/>
      <c r="L989" s="140"/>
      <c r="M989" s="140"/>
      <c r="N989" s="140"/>
      <c r="O989" s="140"/>
      <c r="P989" s="140"/>
      <c r="Q989" s="140"/>
      <c r="R989" s="140"/>
      <c r="S989" s="140"/>
      <c r="T989" s="140"/>
      <c r="U989" s="140"/>
      <c r="V989" s="140"/>
      <c r="W989" s="140"/>
      <c r="X989" s="140"/>
      <c r="Y989" s="140"/>
      <c r="Z989" s="140"/>
      <c r="AA989" s="141"/>
      <c r="AE989" s="140"/>
      <c r="AI989" s="141"/>
      <c r="AM989" s="141"/>
      <c r="AQ989" s="141"/>
      <c r="AT989" s="140"/>
      <c r="AU989" s="140"/>
    </row>
    <row r="990" spans="2:47" s="134" customFormat="1" x14ac:dyDescent="0.2">
      <c r="B990" s="145"/>
      <c r="D990" s="679"/>
      <c r="J990" s="140"/>
      <c r="K990" s="140"/>
      <c r="L990" s="140"/>
      <c r="M990" s="140"/>
      <c r="N990" s="140"/>
      <c r="O990" s="140"/>
      <c r="P990" s="140"/>
      <c r="Q990" s="140"/>
      <c r="R990" s="140"/>
      <c r="S990" s="140"/>
      <c r="T990" s="140"/>
      <c r="U990" s="140"/>
      <c r="V990" s="140"/>
      <c r="W990" s="140"/>
      <c r="X990" s="140"/>
      <c r="Y990" s="140"/>
      <c r="Z990" s="140"/>
      <c r="AA990" s="141"/>
      <c r="AE990" s="140"/>
      <c r="AI990" s="141"/>
      <c r="AM990" s="141"/>
      <c r="AQ990" s="141"/>
      <c r="AT990" s="140"/>
      <c r="AU990" s="140"/>
    </row>
    <row r="991" spans="2:47" s="134" customFormat="1" x14ac:dyDescent="0.2">
      <c r="B991" s="145"/>
      <c r="D991" s="679"/>
      <c r="J991" s="140"/>
      <c r="K991" s="140"/>
      <c r="L991" s="140"/>
      <c r="M991" s="140"/>
      <c r="N991" s="140"/>
      <c r="O991" s="140"/>
      <c r="P991" s="140"/>
      <c r="Q991" s="140"/>
      <c r="R991" s="140"/>
      <c r="S991" s="140"/>
      <c r="T991" s="140"/>
      <c r="U991" s="140"/>
      <c r="V991" s="140"/>
      <c r="W991" s="140"/>
      <c r="X991" s="140"/>
      <c r="Y991" s="140"/>
      <c r="Z991" s="140"/>
      <c r="AA991" s="141"/>
      <c r="AE991" s="140"/>
      <c r="AI991" s="141"/>
      <c r="AM991" s="141"/>
      <c r="AQ991" s="141"/>
      <c r="AT991" s="140"/>
      <c r="AU991" s="140"/>
    </row>
    <row r="992" spans="2:47" s="134" customFormat="1" x14ac:dyDescent="0.2">
      <c r="B992" s="145"/>
      <c r="D992" s="679"/>
      <c r="J992" s="140"/>
      <c r="K992" s="140"/>
      <c r="L992" s="140"/>
      <c r="M992" s="140"/>
      <c r="N992" s="140"/>
      <c r="O992" s="140"/>
      <c r="P992" s="140"/>
      <c r="Q992" s="140"/>
      <c r="R992" s="140"/>
      <c r="S992" s="140"/>
      <c r="T992" s="140"/>
      <c r="U992" s="140"/>
      <c r="V992" s="140"/>
      <c r="W992" s="140"/>
      <c r="X992" s="140"/>
      <c r="Y992" s="140"/>
      <c r="Z992" s="140"/>
      <c r="AA992" s="141"/>
      <c r="AE992" s="140"/>
      <c r="AI992" s="141"/>
      <c r="AM992" s="141"/>
      <c r="AQ992" s="141"/>
      <c r="AT992" s="140"/>
      <c r="AU992" s="140"/>
    </row>
    <row r="993" spans="2:47" s="134" customFormat="1" x14ac:dyDescent="0.2">
      <c r="B993" s="145"/>
      <c r="D993" s="679"/>
      <c r="J993" s="140"/>
      <c r="K993" s="140"/>
      <c r="L993" s="140"/>
      <c r="M993" s="140"/>
      <c r="N993" s="140"/>
      <c r="O993" s="140"/>
      <c r="P993" s="140"/>
      <c r="Q993" s="140"/>
      <c r="R993" s="140"/>
      <c r="S993" s="140"/>
      <c r="T993" s="140"/>
      <c r="U993" s="140"/>
      <c r="V993" s="140"/>
      <c r="W993" s="140"/>
      <c r="X993" s="140"/>
      <c r="Y993" s="140"/>
      <c r="Z993" s="140"/>
      <c r="AA993" s="141"/>
      <c r="AE993" s="140"/>
      <c r="AI993" s="141"/>
      <c r="AM993" s="141"/>
      <c r="AQ993" s="141"/>
      <c r="AT993" s="140"/>
      <c r="AU993" s="140"/>
    </row>
    <row r="994" spans="2:47" s="134" customFormat="1" x14ac:dyDescent="0.2">
      <c r="B994" s="145"/>
      <c r="D994" s="679"/>
      <c r="J994" s="140"/>
      <c r="K994" s="140"/>
      <c r="L994" s="140"/>
      <c r="M994" s="140"/>
      <c r="N994" s="140"/>
      <c r="O994" s="140"/>
      <c r="P994" s="140"/>
      <c r="Q994" s="140"/>
      <c r="R994" s="140"/>
      <c r="S994" s="140"/>
      <c r="T994" s="140"/>
      <c r="U994" s="140"/>
      <c r="V994" s="140"/>
      <c r="W994" s="140"/>
      <c r="X994" s="140"/>
      <c r="Y994" s="140"/>
      <c r="Z994" s="140"/>
      <c r="AA994" s="141"/>
      <c r="AE994" s="140"/>
      <c r="AI994" s="141"/>
      <c r="AM994" s="141"/>
      <c r="AQ994" s="141"/>
      <c r="AT994" s="140"/>
      <c r="AU994" s="140"/>
    </row>
    <row r="995" spans="2:47" s="134" customFormat="1" x14ac:dyDescent="0.2">
      <c r="B995" s="145"/>
      <c r="D995" s="679"/>
      <c r="J995" s="140"/>
      <c r="K995" s="140"/>
      <c r="L995" s="140"/>
      <c r="M995" s="140"/>
      <c r="N995" s="140"/>
      <c r="O995" s="140"/>
      <c r="P995" s="140"/>
      <c r="Q995" s="140"/>
      <c r="R995" s="140"/>
      <c r="S995" s="140"/>
      <c r="T995" s="140"/>
      <c r="U995" s="140"/>
      <c r="V995" s="140"/>
      <c r="W995" s="140"/>
      <c r="X995" s="140"/>
      <c r="Y995" s="140"/>
      <c r="Z995" s="140"/>
      <c r="AA995" s="141"/>
      <c r="AE995" s="140"/>
      <c r="AI995" s="141"/>
      <c r="AM995" s="141"/>
      <c r="AQ995" s="141"/>
      <c r="AT995" s="140"/>
      <c r="AU995" s="140"/>
    </row>
    <row r="996" spans="2:47" s="134" customFormat="1" x14ac:dyDescent="0.2">
      <c r="B996" s="145"/>
      <c r="D996" s="679"/>
      <c r="J996" s="140"/>
      <c r="K996" s="140"/>
      <c r="L996" s="140"/>
      <c r="M996" s="140"/>
      <c r="N996" s="140"/>
      <c r="O996" s="140"/>
      <c r="P996" s="140"/>
      <c r="Q996" s="140"/>
      <c r="R996" s="140"/>
      <c r="S996" s="140"/>
      <c r="T996" s="140"/>
      <c r="U996" s="140"/>
      <c r="V996" s="140"/>
      <c r="W996" s="140"/>
      <c r="X996" s="140"/>
      <c r="Y996" s="140"/>
      <c r="Z996" s="140"/>
      <c r="AA996" s="141"/>
      <c r="AE996" s="140"/>
      <c r="AI996" s="141"/>
      <c r="AM996" s="141"/>
      <c r="AQ996" s="141"/>
      <c r="AT996" s="140"/>
      <c r="AU996" s="140"/>
    </row>
    <row r="997" spans="2:47" s="134" customFormat="1" x14ac:dyDescent="0.2">
      <c r="B997" s="145"/>
      <c r="D997" s="679"/>
      <c r="J997" s="140"/>
      <c r="K997" s="140"/>
      <c r="L997" s="140"/>
      <c r="M997" s="140"/>
      <c r="N997" s="140"/>
      <c r="O997" s="140"/>
      <c r="P997" s="140"/>
      <c r="Q997" s="140"/>
      <c r="R997" s="140"/>
      <c r="S997" s="140"/>
      <c r="T997" s="140"/>
      <c r="U997" s="140"/>
      <c r="V997" s="140"/>
      <c r="W997" s="140"/>
      <c r="X997" s="140"/>
      <c r="Y997" s="140"/>
      <c r="Z997" s="140"/>
      <c r="AA997" s="141"/>
      <c r="AE997" s="140"/>
      <c r="AI997" s="141"/>
      <c r="AM997" s="141"/>
      <c r="AQ997" s="141"/>
      <c r="AT997" s="140"/>
      <c r="AU997" s="140"/>
    </row>
    <row r="998" spans="2:47" s="134" customFormat="1" x14ac:dyDescent="0.2">
      <c r="B998" s="145"/>
      <c r="D998" s="679"/>
      <c r="J998" s="140"/>
      <c r="K998" s="140"/>
      <c r="L998" s="140"/>
      <c r="M998" s="140"/>
      <c r="N998" s="140"/>
      <c r="O998" s="140"/>
      <c r="P998" s="140"/>
      <c r="Q998" s="140"/>
      <c r="R998" s="140"/>
      <c r="S998" s="140"/>
      <c r="T998" s="140"/>
      <c r="U998" s="140"/>
      <c r="V998" s="140"/>
      <c r="W998" s="140"/>
      <c r="X998" s="140"/>
      <c r="Y998" s="140"/>
      <c r="Z998" s="140"/>
      <c r="AA998" s="141"/>
      <c r="AE998" s="140"/>
      <c r="AI998" s="141"/>
      <c r="AM998" s="141"/>
      <c r="AQ998" s="141"/>
      <c r="AT998" s="140"/>
      <c r="AU998" s="140"/>
    </row>
    <row r="999" spans="2:47" s="134" customFormat="1" x14ac:dyDescent="0.2">
      <c r="B999" s="145"/>
      <c r="D999" s="679"/>
      <c r="J999" s="140"/>
      <c r="K999" s="140"/>
      <c r="L999" s="140"/>
      <c r="M999" s="140"/>
      <c r="N999" s="140"/>
      <c r="O999" s="140"/>
      <c r="P999" s="140"/>
      <c r="Q999" s="140"/>
      <c r="R999" s="140"/>
      <c r="S999" s="140"/>
      <c r="T999" s="140"/>
      <c r="U999" s="140"/>
      <c r="V999" s="140"/>
      <c r="W999" s="140"/>
      <c r="X999" s="140"/>
      <c r="Y999" s="140"/>
      <c r="Z999" s="140"/>
      <c r="AA999" s="141"/>
      <c r="AE999" s="140"/>
      <c r="AI999" s="141"/>
      <c r="AM999" s="141"/>
      <c r="AQ999" s="141"/>
      <c r="AT999" s="140"/>
      <c r="AU999" s="140"/>
    </row>
    <row r="1000" spans="2:47" s="134" customFormat="1" x14ac:dyDescent="0.2">
      <c r="B1000" s="145"/>
      <c r="D1000" s="679"/>
      <c r="J1000" s="140"/>
      <c r="K1000" s="140"/>
      <c r="L1000" s="140"/>
      <c r="M1000" s="140"/>
      <c r="N1000" s="140"/>
      <c r="O1000" s="140"/>
      <c r="P1000" s="140"/>
      <c r="Q1000" s="140"/>
      <c r="R1000" s="140"/>
      <c r="S1000" s="140"/>
      <c r="T1000" s="140"/>
      <c r="U1000" s="140"/>
      <c r="V1000" s="140"/>
      <c r="W1000" s="140"/>
      <c r="X1000" s="140"/>
      <c r="Y1000" s="140"/>
      <c r="Z1000" s="140"/>
      <c r="AA1000" s="141"/>
      <c r="AE1000" s="140"/>
      <c r="AI1000" s="141"/>
      <c r="AM1000" s="141"/>
      <c r="AQ1000" s="141"/>
      <c r="AT1000" s="140"/>
      <c r="AU1000" s="140"/>
    </row>
    <row r="1001" spans="2:47" s="134" customFormat="1" x14ac:dyDescent="0.2">
      <c r="B1001" s="145"/>
      <c r="D1001" s="679"/>
      <c r="J1001" s="140"/>
      <c r="K1001" s="140"/>
      <c r="L1001" s="140"/>
      <c r="M1001" s="140"/>
      <c r="N1001" s="140"/>
      <c r="O1001" s="140"/>
      <c r="P1001" s="140"/>
      <c r="Q1001" s="140"/>
      <c r="R1001" s="140"/>
      <c r="S1001" s="140"/>
      <c r="T1001" s="140"/>
      <c r="U1001" s="140"/>
      <c r="V1001" s="140"/>
      <c r="W1001" s="140"/>
      <c r="X1001" s="140"/>
      <c r="Y1001" s="140"/>
      <c r="Z1001" s="140"/>
      <c r="AA1001" s="141"/>
      <c r="AE1001" s="140"/>
      <c r="AI1001" s="141"/>
      <c r="AM1001" s="141"/>
      <c r="AQ1001" s="141"/>
      <c r="AT1001" s="140"/>
      <c r="AU1001" s="140"/>
    </row>
    <row r="1002" spans="2:47" s="134" customFormat="1" x14ac:dyDescent="0.2">
      <c r="B1002" s="145"/>
      <c r="D1002" s="679"/>
      <c r="J1002" s="140"/>
      <c r="K1002" s="140"/>
      <c r="L1002" s="140"/>
      <c r="M1002" s="140"/>
      <c r="N1002" s="140"/>
      <c r="O1002" s="140"/>
      <c r="P1002" s="140"/>
      <c r="Q1002" s="140"/>
      <c r="R1002" s="140"/>
      <c r="S1002" s="140"/>
      <c r="T1002" s="140"/>
      <c r="U1002" s="140"/>
      <c r="V1002" s="140"/>
      <c r="W1002" s="140"/>
      <c r="X1002" s="140"/>
      <c r="Y1002" s="140"/>
      <c r="Z1002" s="140"/>
      <c r="AA1002" s="141"/>
      <c r="AE1002" s="140"/>
      <c r="AI1002" s="141"/>
      <c r="AM1002" s="141"/>
      <c r="AQ1002" s="141"/>
      <c r="AT1002" s="140"/>
      <c r="AU1002" s="140"/>
    </row>
    <row r="1003" spans="2:47" s="134" customFormat="1" x14ac:dyDescent="0.2">
      <c r="B1003" s="145"/>
      <c r="D1003" s="679"/>
      <c r="J1003" s="140"/>
      <c r="K1003" s="140"/>
      <c r="L1003" s="140"/>
      <c r="M1003" s="140"/>
      <c r="N1003" s="140"/>
      <c r="O1003" s="140"/>
      <c r="P1003" s="140"/>
      <c r="Q1003" s="140"/>
      <c r="R1003" s="140"/>
      <c r="S1003" s="140"/>
      <c r="T1003" s="140"/>
      <c r="U1003" s="140"/>
      <c r="V1003" s="140"/>
      <c r="W1003" s="140"/>
      <c r="X1003" s="140"/>
      <c r="Y1003" s="140"/>
      <c r="Z1003" s="140"/>
      <c r="AA1003" s="141"/>
      <c r="AE1003" s="140"/>
      <c r="AI1003" s="141"/>
      <c r="AM1003" s="141"/>
      <c r="AQ1003" s="141"/>
      <c r="AT1003" s="140"/>
      <c r="AU1003" s="140"/>
    </row>
    <row r="1004" spans="2:47" s="134" customFormat="1" x14ac:dyDescent="0.2">
      <c r="B1004" s="145"/>
      <c r="D1004" s="679"/>
      <c r="J1004" s="140"/>
      <c r="K1004" s="140"/>
      <c r="L1004" s="140"/>
      <c r="M1004" s="140"/>
      <c r="N1004" s="140"/>
      <c r="O1004" s="140"/>
      <c r="P1004" s="140"/>
      <c r="Q1004" s="140"/>
      <c r="R1004" s="140"/>
      <c r="S1004" s="140"/>
      <c r="T1004" s="140"/>
      <c r="U1004" s="140"/>
      <c r="V1004" s="140"/>
      <c r="W1004" s="140"/>
      <c r="X1004" s="140"/>
      <c r="Y1004" s="140"/>
      <c r="Z1004" s="140"/>
      <c r="AA1004" s="141"/>
      <c r="AE1004" s="140"/>
      <c r="AI1004" s="141"/>
      <c r="AM1004" s="141"/>
      <c r="AQ1004" s="141"/>
      <c r="AT1004" s="140"/>
      <c r="AU1004" s="140"/>
    </row>
    <row r="1005" spans="2:47" s="134" customFormat="1" x14ac:dyDescent="0.2">
      <c r="B1005" s="145"/>
      <c r="D1005" s="679"/>
      <c r="J1005" s="140"/>
      <c r="K1005" s="140"/>
      <c r="L1005" s="140"/>
      <c r="M1005" s="140"/>
      <c r="N1005" s="140"/>
      <c r="O1005" s="140"/>
      <c r="P1005" s="140"/>
      <c r="Q1005" s="140"/>
      <c r="R1005" s="140"/>
      <c r="S1005" s="140"/>
      <c r="T1005" s="140"/>
      <c r="U1005" s="140"/>
      <c r="V1005" s="140"/>
      <c r="W1005" s="140"/>
      <c r="X1005" s="140"/>
      <c r="Y1005" s="140"/>
      <c r="Z1005" s="140"/>
      <c r="AA1005" s="141"/>
      <c r="AE1005" s="140"/>
      <c r="AI1005" s="141"/>
      <c r="AM1005" s="141"/>
      <c r="AQ1005" s="141"/>
      <c r="AT1005" s="140"/>
      <c r="AU1005" s="140"/>
    </row>
    <row r="1006" spans="2:47" s="134" customFormat="1" x14ac:dyDescent="0.2">
      <c r="B1006" s="145"/>
      <c r="D1006" s="679"/>
      <c r="J1006" s="140"/>
      <c r="K1006" s="140"/>
      <c r="L1006" s="140"/>
      <c r="M1006" s="140"/>
      <c r="N1006" s="140"/>
      <c r="O1006" s="140"/>
      <c r="P1006" s="140"/>
      <c r="Q1006" s="140"/>
      <c r="R1006" s="140"/>
      <c r="S1006" s="140"/>
      <c r="T1006" s="140"/>
      <c r="U1006" s="140"/>
      <c r="V1006" s="140"/>
      <c r="W1006" s="140"/>
      <c r="X1006" s="140"/>
      <c r="Y1006" s="140"/>
      <c r="Z1006" s="140"/>
      <c r="AA1006" s="141"/>
      <c r="AE1006" s="140"/>
      <c r="AI1006" s="141"/>
      <c r="AM1006" s="141"/>
      <c r="AQ1006" s="141"/>
      <c r="AT1006" s="140"/>
      <c r="AU1006" s="140"/>
    </row>
    <row r="1007" spans="2:47" s="134" customFormat="1" x14ac:dyDescent="0.2">
      <c r="B1007" s="145"/>
      <c r="D1007" s="679"/>
      <c r="J1007" s="140"/>
      <c r="K1007" s="140"/>
      <c r="L1007" s="140"/>
      <c r="M1007" s="140"/>
      <c r="N1007" s="140"/>
      <c r="O1007" s="140"/>
      <c r="P1007" s="140"/>
      <c r="Q1007" s="140"/>
      <c r="R1007" s="140"/>
      <c r="S1007" s="140"/>
      <c r="T1007" s="140"/>
      <c r="U1007" s="140"/>
      <c r="V1007" s="140"/>
      <c r="W1007" s="140"/>
      <c r="X1007" s="140"/>
      <c r="Y1007" s="140"/>
      <c r="Z1007" s="140"/>
      <c r="AA1007" s="141"/>
      <c r="AE1007" s="140"/>
      <c r="AI1007" s="141"/>
      <c r="AM1007" s="141"/>
      <c r="AQ1007" s="141"/>
      <c r="AT1007" s="140"/>
      <c r="AU1007" s="140"/>
    </row>
    <row r="1008" spans="2:47" s="134" customFormat="1" x14ac:dyDescent="0.2">
      <c r="B1008" s="145"/>
      <c r="D1008" s="679"/>
      <c r="J1008" s="140"/>
      <c r="K1008" s="140"/>
      <c r="L1008" s="140"/>
      <c r="M1008" s="140"/>
      <c r="N1008" s="140"/>
      <c r="O1008" s="140"/>
      <c r="P1008" s="140"/>
      <c r="Q1008" s="140"/>
      <c r="R1008" s="140"/>
      <c r="S1008" s="140"/>
      <c r="T1008" s="140"/>
      <c r="U1008" s="140"/>
      <c r="V1008" s="140"/>
      <c r="W1008" s="140"/>
      <c r="X1008" s="140"/>
      <c r="Y1008" s="140"/>
      <c r="Z1008" s="140"/>
      <c r="AA1008" s="141"/>
      <c r="AE1008" s="140"/>
      <c r="AI1008" s="141"/>
      <c r="AM1008" s="141"/>
      <c r="AQ1008" s="141"/>
      <c r="AT1008" s="140"/>
      <c r="AU1008" s="140"/>
    </row>
    <row r="1009" spans="2:47" s="134" customFormat="1" x14ac:dyDescent="0.2">
      <c r="B1009" s="145"/>
      <c r="D1009" s="679"/>
      <c r="J1009" s="140"/>
      <c r="K1009" s="140"/>
      <c r="L1009" s="140"/>
      <c r="M1009" s="140"/>
      <c r="N1009" s="140"/>
      <c r="O1009" s="140"/>
      <c r="P1009" s="140"/>
      <c r="Q1009" s="140"/>
      <c r="R1009" s="140"/>
      <c r="S1009" s="140"/>
      <c r="T1009" s="140"/>
      <c r="U1009" s="140"/>
      <c r="V1009" s="140"/>
      <c r="W1009" s="140"/>
      <c r="X1009" s="140"/>
      <c r="Y1009" s="140"/>
      <c r="Z1009" s="140"/>
      <c r="AA1009" s="141"/>
      <c r="AE1009" s="140"/>
      <c r="AI1009" s="141"/>
      <c r="AM1009" s="141"/>
      <c r="AQ1009" s="141"/>
      <c r="AT1009" s="140"/>
      <c r="AU1009" s="140"/>
    </row>
    <row r="1010" spans="2:47" s="134" customFormat="1" x14ac:dyDescent="0.2">
      <c r="B1010" s="145"/>
      <c r="D1010" s="679"/>
      <c r="J1010" s="140"/>
      <c r="K1010" s="140"/>
      <c r="L1010" s="140"/>
      <c r="M1010" s="140"/>
      <c r="N1010" s="140"/>
      <c r="O1010" s="140"/>
      <c r="P1010" s="140"/>
      <c r="Q1010" s="140"/>
      <c r="R1010" s="140"/>
      <c r="S1010" s="140"/>
      <c r="T1010" s="140"/>
      <c r="U1010" s="140"/>
      <c r="V1010" s="140"/>
      <c r="W1010" s="140"/>
      <c r="X1010" s="140"/>
      <c r="Y1010" s="140"/>
      <c r="Z1010" s="140"/>
      <c r="AA1010" s="141"/>
      <c r="AE1010" s="140"/>
      <c r="AI1010" s="141"/>
      <c r="AM1010" s="141"/>
      <c r="AQ1010" s="141"/>
      <c r="AT1010" s="140"/>
      <c r="AU1010" s="140"/>
    </row>
    <row r="1011" spans="2:47" s="134" customFormat="1" x14ac:dyDescent="0.2">
      <c r="B1011" s="145"/>
      <c r="D1011" s="679"/>
      <c r="J1011" s="140"/>
      <c r="K1011" s="140"/>
      <c r="L1011" s="140"/>
      <c r="M1011" s="140"/>
      <c r="N1011" s="140"/>
      <c r="O1011" s="140"/>
      <c r="P1011" s="140"/>
      <c r="Q1011" s="140"/>
      <c r="R1011" s="140"/>
      <c r="S1011" s="140"/>
      <c r="T1011" s="140"/>
      <c r="U1011" s="140"/>
      <c r="V1011" s="140"/>
      <c r="W1011" s="140"/>
      <c r="X1011" s="140"/>
      <c r="Y1011" s="140"/>
      <c r="Z1011" s="140"/>
      <c r="AA1011" s="141"/>
      <c r="AE1011" s="140"/>
      <c r="AI1011" s="141"/>
      <c r="AM1011" s="141"/>
      <c r="AQ1011" s="141"/>
      <c r="AT1011" s="140"/>
      <c r="AU1011" s="140"/>
    </row>
    <row r="1012" spans="2:47" s="134" customFormat="1" x14ac:dyDescent="0.2">
      <c r="B1012" s="145"/>
      <c r="D1012" s="679"/>
      <c r="J1012" s="140"/>
      <c r="K1012" s="140"/>
      <c r="L1012" s="140"/>
      <c r="M1012" s="140"/>
      <c r="N1012" s="140"/>
      <c r="O1012" s="140"/>
      <c r="P1012" s="140"/>
      <c r="Q1012" s="140"/>
      <c r="R1012" s="140"/>
      <c r="S1012" s="140"/>
      <c r="T1012" s="140"/>
      <c r="U1012" s="140"/>
      <c r="V1012" s="140"/>
      <c r="W1012" s="140"/>
      <c r="X1012" s="140"/>
      <c r="Y1012" s="140"/>
      <c r="Z1012" s="140"/>
      <c r="AA1012" s="141"/>
      <c r="AE1012" s="140"/>
      <c r="AI1012" s="141"/>
      <c r="AM1012" s="141"/>
      <c r="AQ1012" s="141"/>
      <c r="AT1012" s="140"/>
      <c r="AU1012" s="140"/>
    </row>
    <row r="1013" spans="2:47" s="134" customFormat="1" x14ac:dyDescent="0.2">
      <c r="B1013" s="145"/>
      <c r="D1013" s="679"/>
      <c r="J1013" s="140"/>
      <c r="K1013" s="140"/>
      <c r="L1013" s="140"/>
      <c r="M1013" s="140"/>
      <c r="N1013" s="140"/>
      <c r="O1013" s="140"/>
      <c r="P1013" s="140"/>
      <c r="Q1013" s="140"/>
      <c r="R1013" s="140"/>
      <c r="S1013" s="140"/>
      <c r="T1013" s="140"/>
      <c r="U1013" s="140"/>
      <c r="V1013" s="140"/>
      <c r="W1013" s="140"/>
      <c r="X1013" s="140"/>
      <c r="Y1013" s="140"/>
      <c r="Z1013" s="140"/>
      <c r="AA1013" s="141"/>
      <c r="AE1013" s="140"/>
      <c r="AI1013" s="141"/>
      <c r="AM1013" s="141"/>
      <c r="AQ1013" s="141"/>
      <c r="AT1013" s="140"/>
      <c r="AU1013" s="140"/>
    </row>
    <row r="1014" spans="2:47" s="134" customFormat="1" x14ac:dyDescent="0.2">
      <c r="B1014" s="145"/>
      <c r="D1014" s="679"/>
      <c r="J1014" s="140"/>
      <c r="K1014" s="140"/>
      <c r="L1014" s="140"/>
      <c r="M1014" s="140"/>
      <c r="N1014" s="140"/>
      <c r="O1014" s="140"/>
      <c r="P1014" s="140"/>
      <c r="Q1014" s="140"/>
      <c r="R1014" s="140"/>
      <c r="S1014" s="140"/>
      <c r="T1014" s="140"/>
      <c r="U1014" s="140"/>
      <c r="V1014" s="140"/>
      <c r="W1014" s="140"/>
      <c r="X1014" s="140"/>
      <c r="Y1014" s="140"/>
      <c r="Z1014" s="140"/>
      <c r="AA1014" s="141"/>
      <c r="AE1014" s="140"/>
      <c r="AI1014" s="141"/>
      <c r="AM1014" s="141"/>
      <c r="AQ1014" s="141"/>
      <c r="AT1014" s="140"/>
      <c r="AU1014" s="140"/>
    </row>
    <row r="1015" spans="2:47" s="134" customFormat="1" x14ac:dyDescent="0.2">
      <c r="B1015" s="145"/>
      <c r="D1015" s="679"/>
      <c r="J1015" s="140"/>
      <c r="K1015" s="140"/>
      <c r="L1015" s="140"/>
      <c r="M1015" s="140"/>
      <c r="N1015" s="140"/>
      <c r="O1015" s="140"/>
      <c r="P1015" s="140"/>
      <c r="Q1015" s="140"/>
      <c r="R1015" s="140"/>
      <c r="S1015" s="140"/>
      <c r="T1015" s="140"/>
      <c r="U1015" s="140"/>
      <c r="V1015" s="140"/>
      <c r="W1015" s="140"/>
      <c r="X1015" s="140"/>
      <c r="Y1015" s="140"/>
      <c r="Z1015" s="140"/>
      <c r="AA1015" s="141"/>
      <c r="AE1015" s="140"/>
      <c r="AI1015" s="141"/>
      <c r="AM1015" s="141"/>
      <c r="AQ1015" s="141"/>
      <c r="AT1015" s="140"/>
      <c r="AU1015" s="140"/>
    </row>
    <row r="1016" spans="2:47" s="134" customFormat="1" x14ac:dyDescent="0.2">
      <c r="B1016" s="145"/>
      <c r="D1016" s="679"/>
      <c r="J1016" s="140"/>
      <c r="K1016" s="140"/>
      <c r="L1016" s="140"/>
      <c r="M1016" s="140"/>
      <c r="N1016" s="140"/>
      <c r="O1016" s="140"/>
      <c r="P1016" s="140"/>
      <c r="Q1016" s="140"/>
      <c r="R1016" s="140"/>
      <c r="S1016" s="140"/>
      <c r="T1016" s="140"/>
      <c r="U1016" s="140"/>
      <c r="V1016" s="140"/>
      <c r="W1016" s="140"/>
      <c r="X1016" s="140"/>
      <c r="Y1016" s="140"/>
      <c r="Z1016" s="140"/>
      <c r="AA1016" s="141"/>
      <c r="AE1016" s="140"/>
      <c r="AI1016" s="141"/>
      <c r="AM1016" s="141"/>
      <c r="AQ1016" s="141"/>
      <c r="AT1016" s="140"/>
      <c r="AU1016" s="140"/>
    </row>
    <row r="1017" spans="2:47" s="134" customFormat="1" x14ac:dyDescent="0.2">
      <c r="B1017" s="145"/>
      <c r="D1017" s="679"/>
      <c r="J1017" s="140"/>
      <c r="K1017" s="140"/>
      <c r="L1017" s="140"/>
      <c r="M1017" s="140"/>
      <c r="N1017" s="140"/>
      <c r="O1017" s="140"/>
      <c r="P1017" s="140"/>
      <c r="Q1017" s="140"/>
      <c r="R1017" s="140"/>
      <c r="S1017" s="140"/>
      <c r="T1017" s="140"/>
      <c r="U1017" s="140"/>
      <c r="V1017" s="140"/>
      <c r="W1017" s="140"/>
      <c r="X1017" s="140"/>
      <c r="Y1017" s="140"/>
      <c r="Z1017" s="140"/>
      <c r="AA1017" s="141"/>
      <c r="AE1017" s="140"/>
      <c r="AI1017" s="141"/>
      <c r="AM1017" s="141"/>
      <c r="AQ1017" s="141"/>
      <c r="AT1017" s="140"/>
      <c r="AU1017" s="140"/>
    </row>
    <row r="1018" spans="2:47" s="134" customFormat="1" x14ac:dyDescent="0.2">
      <c r="B1018" s="145"/>
      <c r="D1018" s="679"/>
      <c r="J1018" s="140"/>
      <c r="K1018" s="140"/>
      <c r="L1018" s="140"/>
      <c r="M1018" s="140"/>
      <c r="N1018" s="140"/>
      <c r="O1018" s="140"/>
      <c r="P1018" s="140"/>
      <c r="Q1018" s="140"/>
      <c r="R1018" s="140"/>
      <c r="S1018" s="140"/>
      <c r="T1018" s="140"/>
      <c r="U1018" s="140"/>
      <c r="V1018" s="140"/>
      <c r="W1018" s="140"/>
      <c r="X1018" s="140"/>
      <c r="Y1018" s="140"/>
      <c r="Z1018" s="140"/>
      <c r="AA1018" s="141"/>
      <c r="AE1018" s="140"/>
      <c r="AI1018" s="141"/>
      <c r="AM1018" s="141"/>
      <c r="AQ1018" s="141"/>
      <c r="AT1018" s="140"/>
      <c r="AU1018" s="140"/>
    </row>
    <row r="1019" spans="2:47" s="134" customFormat="1" x14ac:dyDescent="0.2">
      <c r="B1019" s="145"/>
      <c r="D1019" s="679"/>
      <c r="J1019" s="140"/>
      <c r="K1019" s="140"/>
      <c r="L1019" s="140"/>
      <c r="M1019" s="140"/>
      <c r="N1019" s="140"/>
      <c r="O1019" s="140"/>
      <c r="P1019" s="140"/>
      <c r="Q1019" s="140"/>
      <c r="R1019" s="140"/>
      <c r="S1019" s="140"/>
      <c r="T1019" s="140"/>
      <c r="U1019" s="140"/>
      <c r="V1019" s="140"/>
      <c r="W1019" s="140"/>
      <c r="X1019" s="140"/>
      <c r="Y1019" s="140"/>
      <c r="Z1019" s="140"/>
      <c r="AA1019" s="141"/>
      <c r="AE1019" s="140"/>
      <c r="AI1019" s="141"/>
      <c r="AM1019" s="141"/>
      <c r="AQ1019" s="141"/>
      <c r="AT1019" s="140"/>
      <c r="AU1019" s="140"/>
    </row>
    <row r="1020" spans="2:47" s="134" customFormat="1" x14ac:dyDescent="0.2">
      <c r="B1020" s="145"/>
      <c r="D1020" s="679"/>
      <c r="J1020" s="140"/>
      <c r="K1020" s="140"/>
      <c r="L1020" s="140"/>
      <c r="M1020" s="140"/>
      <c r="N1020" s="140"/>
      <c r="O1020" s="140"/>
      <c r="P1020" s="140"/>
      <c r="Q1020" s="140"/>
      <c r="R1020" s="140"/>
      <c r="S1020" s="140"/>
      <c r="T1020" s="140"/>
      <c r="U1020" s="140"/>
      <c r="V1020" s="140"/>
      <c r="W1020" s="140"/>
      <c r="X1020" s="140"/>
      <c r="Y1020" s="140"/>
      <c r="Z1020" s="140"/>
      <c r="AA1020" s="141"/>
      <c r="AE1020" s="140"/>
      <c r="AI1020" s="141"/>
      <c r="AM1020" s="141"/>
      <c r="AQ1020" s="141"/>
      <c r="AT1020" s="140"/>
      <c r="AU1020" s="140"/>
    </row>
    <row r="1021" spans="2:47" s="134" customFormat="1" x14ac:dyDescent="0.2">
      <c r="B1021" s="145"/>
      <c r="D1021" s="679"/>
      <c r="J1021" s="140"/>
      <c r="K1021" s="140"/>
      <c r="L1021" s="140"/>
      <c r="M1021" s="140"/>
      <c r="N1021" s="140"/>
      <c r="O1021" s="140"/>
      <c r="P1021" s="140"/>
      <c r="Q1021" s="140"/>
      <c r="R1021" s="140"/>
      <c r="S1021" s="140"/>
      <c r="T1021" s="140"/>
      <c r="U1021" s="140"/>
      <c r="V1021" s="140"/>
      <c r="W1021" s="140"/>
      <c r="X1021" s="140"/>
      <c r="Y1021" s="140"/>
      <c r="Z1021" s="140"/>
      <c r="AA1021" s="141"/>
      <c r="AE1021" s="140"/>
      <c r="AI1021" s="141"/>
      <c r="AM1021" s="141"/>
      <c r="AQ1021" s="141"/>
      <c r="AT1021" s="140"/>
      <c r="AU1021" s="140"/>
    </row>
    <row r="1022" spans="2:47" s="134" customFormat="1" x14ac:dyDescent="0.2">
      <c r="B1022" s="145"/>
      <c r="D1022" s="679"/>
      <c r="J1022" s="140"/>
      <c r="K1022" s="140"/>
      <c r="L1022" s="140"/>
      <c r="M1022" s="140"/>
      <c r="N1022" s="140"/>
      <c r="O1022" s="140"/>
      <c r="P1022" s="140"/>
      <c r="Q1022" s="140"/>
      <c r="R1022" s="140"/>
      <c r="S1022" s="140"/>
      <c r="T1022" s="140"/>
      <c r="U1022" s="140"/>
      <c r="V1022" s="140"/>
      <c r="W1022" s="140"/>
      <c r="X1022" s="140"/>
      <c r="Y1022" s="140"/>
      <c r="Z1022" s="140"/>
      <c r="AA1022" s="141"/>
      <c r="AE1022" s="140"/>
      <c r="AI1022" s="141"/>
      <c r="AM1022" s="141"/>
      <c r="AQ1022" s="141"/>
      <c r="AT1022" s="140"/>
      <c r="AU1022" s="140"/>
    </row>
    <row r="1023" spans="2:47" s="134" customFormat="1" x14ac:dyDescent="0.2">
      <c r="B1023" s="145"/>
      <c r="D1023" s="679"/>
      <c r="J1023" s="140"/>
      <c r="K1023" s="140"/>
      <c r="L1023" s="140"/>
      <c r="M1023" s="140"/>
      <c r="N1023" s="140"/>
      <c r="O1023" s="140"/>
      <c r="P1023" s="140"/>
      <c r="Q1023" s="140"/>
      <c r="R1023" s="140"/>
      <c r="S1023" s="140"/>
      <c r="T1023" s="140"/>
      <c r="U1023" s="140"/>
      <c r="V1023" s="140"/>
      <c r="W1023" s="140"/>
      <c r="X1023" s="140"/>
      <c r="Y1023" s="140"/>
      <c r="Z1023" s="140"/>
      <c r="AA1023" s="141"/>
      <c r="AE1023" s="140"/>
      <c r="AI1023" s="141"/>
      <c r="AM1023" s="141"/>
      <c r="AQ1023" s="141"/>
      <c r="AT1023" s="140"/>
      <c r="AU1023" s="140"/>
    </row>
    <row r="1024" spans="2:47" s="134" customFormat="1" x14ac:dyDescent="0.2">
      <c r="B1024" s="145"/>
      <c r="D1024" s="679"/>
      <c r="J1024" s="140"/>
      <c r="K1024" s="140"/>
      <c r="L1024" s="140"/>
      <c r="M1024" s="140"/>
      <c r="N1024" s="140"/>
      <c r="O1024" s="140"/>
      <c r="P1024" s="140"/>
      <c r="Q1024" s="140"/>
      <c r="R1024" s="140"/>
      <c r="S1024" s="140"/>
      <c r="T1024" s="140"/>
      <c r="U1024" s="140"/>
      <c r="V1024" s="140"/>
      <c r="W1024" s="140"/>
      <c r="X1024" s="140"/>
      <c r="Y1024" s="140"/>
      <c r="Z1024" s="140"/>
      <c r="AA1024" s="141"/>
      <c r="AE1024" s="140"/>
      <c r="AI1024" s="141"/>
      <c r="AM1024" s="141"/>
      <c r="AQ1024" s="141"/>
      <c r="AT1024" s="140"/>
      <c r="AU1024" s="140"/>
    </row>
    <row r="1025" spans="2:47" s="134" customFormat="1" x14ac:dyDescent="0.2">
      <c r="B1025" s="145"/>
      <c r="D1025" s="679"/>
      <c r="J1025" s="140"/>
      <c r="K1025" s="140"/>
      <c r="L1025" s="140"/>
      <c r="M1025" s="140"/>
      <c r="N1025" s="140"/>
      <c r="O1025" s="140"/>
      <c r="P1025" s="140"/>
      <c r="Q1025" s="140"/>
      <c r="R1025" s="140"/>
      <c r="S1025" s="140"/>
      <c r="T1025" s="140"/>
      <c r="U1025" s="140"/>
      <c r="V1025" s="140"/>
      <c r="W1025" s="140"/>
      <c r="X1025" s="140"/>
      <c r="Y1025" s="140"/>
      <c r="Z1025" s="140"/>
      <c r="AA1025" s="141"/>
      <c r="AE1025" s="140"/>
      <c r="AI1025" s="141"/>
      <c r="AM1025" s="141"/>
      <c r="AQ1025" s="141"/>
      <c r="AT1025" s="140"/>
      <c r="AU1025" s="140"/>
    </row>
    <row r="1026" spans="2:47" s="134" customFormat="1" x14ac:dyDescent="0.2">
      <c r="B1026" s="145"/>
      <c r="D1026" s="679"/>
      <c r="J1026" s="140"/>
      <c r="K1026" s="140"/>
      <c r="L1026" s="140"/>
      <c r="M1026" s="140"/>
      <c r="N1026" s="140"/>
      <c r="O1026" s="140"/>
      <c r="P1026" s="140"/>
      <c r="Q1026" s="140"/>
      <c r="R1026" s="140"/>
      <c r="S1026" s="140"/>
      <c r="T1026" s="140"/>
      <c r="U1026" s="140"/>
      <c r="V1026" s="140"/>
      <c r="W1026" s="140"/>
      <c r="X1026" s="140"/>
      <c r="Y1026" s="140"/>
      <c r="Z1026" s="140"/>
      <c r="AA1026" s="141"/>
      <c r="AE1026" s="140"/>
      <c r="AI1026" s="141"/>
      <c r="AM1026" s="141"/>
      <c r="AQ1026" s="141"/>
      <c r="AT1026" s="140"/>
      <c r="AU1026" s="140"/>
    </row>
    <row r="1027" spans="2:47" s="134" customFormat="1" x14ac:dyDescent="0.2">
      <c r="B1027" s="145"/>
      <c r="D1027" s="679"/>
      <c r="J1027" s="140"/>
      <c r="K1027" s="140"/>
      <c r="L1027" s="140"/>
      <c r="M1027" s="140"/>
      <c r="N1027" s="140"/>
      <c r="O1027" s="140"/>
      <c r="P1027" s="140"/>
      <c r="Q1027" s="140"/>
      <c r="R1027" s="140"/>
      <c r="S1027" s="140"/>
      <c r="T1027" s="140"/>
      <c r="U1027" s="140"/>
      <c r="V1027" s="140"/>
      <c r="W1027" s="140"/>
      <c r="X1027" s="140"/>
      <c r="Y1027" s="140"/>
      <c r="Z1027" s="140"/>
      <c r="AA1027" s="141"/>
      <c r="AE1027" s="140"/>
      <c r="AI1027" s="141"/>
      <c r="AM1027" s="141"/>
      <c r="AQ1027" s="141"/>
      <c r="AT1027" s="140"/>
      <c r="AU1027" s="140"/>
    </row>
    <row r="1028" spans="2:47" s="134" customFormat="1" x14ac:dyDescent="0.2">
      <c r="B1028" s="145"/>
      <c r="D1028" s="679"/>
      <c r="J1028" s="140"/>
      <c r="K1028" s="140"/>
      <c r="L1028" s="140"/>
      <c r="M1028" s="140"/>
      <c r="N1028" s="140"/>
      <c r="O1028" s="140"/>
      <c r="P1028" s="140"/>
      <c r="Q1028" s="140"/>
      <c r="R1028" s="140"/>
      <c r="S1028" s="140"/>
      <c r="T1028" s="140"/>
      <c r="U1028" s="140"/>
      <c r="V1028" s="140"/>
      <c r="W1028" s="140"/>
      <c r="X1028" s="140"/>
      <c r="Y1028" s="140"/>
      <c r="Z1028" s="140"/>
      <c r="AA1028" s="141"/>
      <c r="AE1028" s="140"/>
      <c r="AI1028" s="141"/>
      <c r="AM1028" s="141"/>
      <c r="AQ1028" s="141"/>
      <c r="AT1028" s="140"/>
      <c r="AU1028" s="140"/>
    </row>
    <row r="1029" spans="2:47" s="134" customFormat="1" x14ac:dyDescent="0.2">
      <c r="B1029" s="145"/>
      <c r="D1029" s="679"/>
      <c r="J1029" s="140"/>
      <c r="K1029" s="140"/>
      <c r="L1029" s="140"/>
      <c r="M1029" s="140"/>
      <c r="N1029" s="140"/>
      <c r="O1029" s="140"/>
      <c r="P1029" s="140"/>
      <c r="Q1029" s="140"/>
      <c r="R1029" s="140"/>
      <c r="S1029" s="140"/>
      <c r="T1029" s="140"/>
      <c r="U1029" s="140"/>
      <c r="V1029" s="140"/>
      <c r="W1029" s="140"/>
      <c r="X1029" s="140"/>
      <c r="Y1029" s="140"/>
      <c r="Z1029" s="140"/>
      <c r="AA1029" s="141"/>
      <c r="AE1029" s="140"/>
      <c r="AI1029" s="141"/>
      <c r="AM1029" s="141"/>
      <c r="AQ1029" s="141"/>
      <c r="AT1029" s="140"/>
      <c r="AU1029" s="140"/>
    </row>
    <row r="1030" spans="2:47" s="134" customFormat="1" x14ac:dyDescent="0.2">
      <c r="B1030" s="145"/>
      <c r="D1030" s="679"/>
      <c r="J1030" s="140"/>
      <c r="K1030" s="140"/>
      <c r="L1030" s="140"/>
      <c r="M1030" s="140"/>
      <c r="N1030" s="140"/>
      <c r="O1030" s="140"/>
      <c r="P1030" s="140"/>
      <c r="Q1030" s="140"/>
      <c r="R1030" s="140"/>
      <c r="S1030" s="140"/>
      <c r="T1030" s="140"/>
      <c r="U1030" s="140"/>
      <c r="V1030" s="140"/>
      <c r="W1030" s="140"/>
      <c r="X1030" s="140"/>
      <c r="Y1030" s="140"/>
      <c r="Z1030" s="140"/>
      <c r="AA1030" s="141"/>
      <c r="AE1030" s="140"/>
      <c r="AI1030" s="141"/>
      <c r="AM1030" s="141"/>
      <c r="AQ1030" s="141"/>
      <c r="AT1030" s="140"/>
      <c r="AU1030" s="140"/>
    </row>
    <row r="1031" spans="2:47" s="134" customFormat="1" x14ac:dyDescent="0.2">
      <c r="B1031" s="145"/>
      <c r="D1031" s="679"/>
      <c r="J1031" s="140"/>
      <c r="K1031" s="140"/>
      <c r="L1031" s="140"/>
      <c r="M1031" s="140"/>
      <c r="N1031" s="140"/>
      <c r="O1031" s="140"/>
      <c r="P1031" s="140"/>
      <c r="Q1031" s="140"/>
      <c r="R1031" s="140"/>
      <c r="S1031" s="140"/>
      <c r="T1031" s="140"/>
      <c r="U1031" s="140"/>
      <c r="V1031" s="140"/>
      <c r="W1031" s="140"/>
      <c r="X1031" s="140"/>
      <c r="Y1031" s="140"/>
      <c r="Z1031" s="140"/>
      <c r="AA1031" s="141"/>
      <c r="AE1031" s="140"/>
      <c r="AI1031" s="141"/>
      <c r="AM1031" s="141"/>
      <c r="AQ1031" s="141"/>
      <c r="AT1031" s="140"/>
      <c r="AU1031" s="140"/>
    </row>
    <row r="1032" spans="2:47" s="134" customFormat="1" x14ac:dyDescent="0.2">
      <c r="B1032" s="145"/>
      <c r="D1032" s="679"/>
      <c r="J1032" s="140"/>
      <c r="K1032" s="140"/>
      <c r="L1032" s="140"/>
      <c r="M1032" s="140"/>
      <c r="N1032" s="140"/>
      <c r="O1032" s="140"/>
      <c r="P1032" s="140"/>
      <c r="Q1032" s="140"/>
      <c r="R1032" s="140"/>
      <c r="S1032" s="140"/>
      <c r="T1032" s="140"/>
      <c r="U1032" s="140"/>
      <c r="V1032" s="140"/>
      <c r="W1032" s="140"/>
      <c r="X1032" s="140"/>
      <c r="Y1032" s="140"/>
      <c r="Z1032" s="140"/>
      <c r="AA1032" s="141"/>
      <c r="AE1032" s="140"/>
      <c r="AI1032" s="141"/>
      <c r="AM1032" s="141"/>
      <c r="AQ1032" s="141"/>
      <c r="AT1032" s="140"/>
      <c r="AU1032" s="140"/>
    </row>
    <row r="1033" spans="2:47" s="134" customFormat="1" x14ac:dyDescent="0.2">
      <c r="B1033" s="145"/>
      <c r="D1033" s="679"/>
      <c r="J1033" s="140"/>
      <c r="K1033" s="140"/>
      <c r="L1033" s="140"/>
      <c r="M1033" s="140"/>
      <c r="N1033" s="140"/>
      <c r="O1033" s="140"/>
      <c r="P1033" s="140"/>
      <c r="Q1033" s="140"/>
      <c r="R1033" s="140"/>
      <c r="S1033" s="140"/>
      <c r="T1033" s="140"/>
      <c r="U1033" s="140"/>
      <c r="V1033" s="140"/>
      <c r="W1033" s="140"/>
      <c r="X1033" s="140"/>
      <c r="Y1033" s="140"/>
      <c r="Z1033" s="140"/>
      <c r="AA1033" s="141"/>
      <c r="AE1033" s="140"/>
      <c r="AI1033" s="141"/>
      <c r="AM1033" s="141"/>
      <c r="AQ1033" s="141"/>
      <c r="AT1033" s="140"/>
      <c r="AU1033" s="140"/>
    </row>
    <row r="1034" spans="2:47" s="134" customFormat="1" x14ac:dyDescent="0.2">
      <c r="B1034" s="145"/>
      <c r="D1034" s="679"/>
      <c r="J1034" s="140"/>
      <c r="K1034" s="140"/>
      <c r="L1034" s="140"/>
      <c r="M1034" s="140"/>
      <c r="N1034" s="140"/>
      <c r="O1034" s="140"/>
      <c r="P1034" s="140"/>
      <c r="Q1034" s="140"/>
      <c r="R1034" s="140"/>
      <c r="S1034" s="140"/>
      <c r="T1034" s="140"/>
      <c r="U1034" s="140"/>
      <c r="V1034" s="140"/>
      <c r="W1034" s="140"/>
      <c r="X1034" s="140"/>
      <c r="Y1034" s="140"/>
      <c r="Z1034" s="140"/>
      <c r="AA1034" s="141"/>
      <c r="AE1034" s="140"/>
      <c r="AI1034" s="141"/>
      <c r="AM1034" s="141"/>
      <c r="AQ1034" s="141"/>
      <c r="AT1034" s="140"/>
      <c r="AU1034" s="140"/>
    </row>
    <row r="1035" spans="2:47" s="134" customFormat="1" x14ac:dyDescent="0.2">
      <c r="B1035" s="145"/>
      <c r="D1035" s="679"/>
      <c r="J1035" s="140"/>
      <c r="K1035" s="140"/>
      <c r="L1035" s="140"/>
      <c r="M1035" s="140"/>
      <c r="N1035" s="140"/>
      <c r="O1035" s="140"/>
      <c r="P1035" s="140"/>
      <c r="Q1035" s="140"/>
      <c r="R1035" s="140"/>
      <c r="S1035" s="140"/>
      <c r="T1035" s="140"/>
      <c r="U1035" s="140"/>
      <c r="V1035" s="140"/>
      <c r="W1035" s="140"/>
      <c r="X1035" s="140"/>
      <c r="Y1035" s="140"/>
      <c r="Z1035" s="140"/>
      <c r="AA1035" s="141"/>
      <c r="AE1035" s="140"/>
      <c r="AI1035" s="141"/>
      <c r="AM1035" s="141"/>
      <c r="AQ1035" s="141"/>
      <c r="AT1035" s="140"/>
      <c r="AU1035" s="140"/>
    </row>
    <row r="1036" spans="2:47" s="134" customFormat="1" x14ac:dyDescent="0.2">
      <c r="B1036" s="145"/>
      <c r="D1036" s="679"/>
      <c r="J1036" s="140"/>
      <c r="K1036" s="140"/>
      <c r="L1036" s="140"/>
      <c r="M1036" s="140"/>
      <c r="N1036" s="140"/>
      <c r="O1036" s="140"/>
      <c r="P1036" s="140"/>
      <c r="Q1036" s="140"/>
      <c r="R1036" s="140"/>
      <c r="S1036" s="140"/>
      <c r="T1036" s="140"/>
      <c r="U1036" s="140"/>
      <c r="V1036" s="140"/>
      <c r="W1036" s="140"/>
      <c r="X1036" s="140"/>
      <c r="Y1036" s="140"/>
      <c r="Z1036" s="140"/>
      <c r="AA1036" s="141"/>
      <c r="AE1036" s="140"/>
      <c r="AI1036" s="141"/>
      <c r="AM1036" s="141"/>
      <c r="AQ1036" s="141"/>
      <c r="AT1036" s="140"/>
      <c r="AU1036" s="140"/>
    </row>
    <row r="1037" spans="2:47" s="134" customFormat="1" x14ac:dyDescent="0.2">
      <c r="B1037" s="145"/>
      <c r="D1037" s="679"/>
      <c r="J1037" s="140"/>
      <c r="K1037" s="140"/>
      <c r="L1037" s="140"/>
      <c r="M1037" s="140"/>
      <c r="N1037" s="140"/>
      <c r="O1037" s="140"/>
      <c r="P1037" s="140"/>
      <c r="Q1037" s="140"/>
      <c r="R1037" s="140"/>
      <c r="S1037" s="140"/>
      <c r="T1037" s="140"/>
      <c r="U1037" s="140"/>
      <c r="V1037" s="140"/>
      <c r="W1037" s="140"/>
      <c r="X1037" s="140"/>
      <c r="Y1037" s="140"/>
      <c r="Z1037" s="140"/>
      <c r="AA1037" s="141"/>
      <c r="AE1037" s="140"/>
      <c r="AI1037" s="141"/>
      <c r="AM1037" s="141"/>
      <c r="AQ1037" s="141"/>
      <c r="AT1037" s="140"/>
      <c r="AU1037" s="140"/>
    </row>
    <row r="1038" spans="2:47" s="134" customFormat="1" x14ac:dyDescent="0.2">
      <c r="B1038" s="145"/>
      <c r="D1038" s="679"/>
      <c r="J1038" s="140"/>
      <c r="K1038" s="140"/>
      <c r="L1038" s="140"/>
      <c r="M1038" s="140"/>
      <c r="N1038" s="140"/>
      <c r="O1038" s="140"/>
      <c r="P1038" s="140"/>
      <c r="Q1038" s="140"/>
      <c r="R1038" s="140"/>
      <c r="S1038" s="140"/>
      <c r="T1038" s="140"/>
      <c r="U1038" s="140"/>
      <c r="V1038" s="140"/>
      <c r="W1038" s="140"/>
      <c r="X1038" s="140"/>
      <c r="Y1038" s="140"/>
      <c r="Z1038" s="140"/>
      <c r="AA1038" s="141"/>
      <c r="AE1038" s="140"/>
      <c r="AI1038" s="141"/>
      <c r="AM1038" s="141"/>
      <c r="AQ1038" s="141"/>
      <c r="AT1038" s="140"/>
      <c r="AU1038" s="140"/>
    </row>
    <row r="1039" spans="2:47" s="134" customFormat="1" x14ac:dyDescent="0.2">
      <c r="B1039" s="145"/>
      <c r="D1039" s="679"/>
      <c r="J1039" s="140"/>
      <c r="K1039" s="140"/>
      <c r="L1039" s="140"/>
      <c r="M1039" s="140"/>
      <c r="N1039" s="140"/>
      <c r="O1039" s="140"/>
      <c r="P1039" s="140"/>
      <c r="Q1039" s="140"/>
      <c r="R1039" s="140"/>
      <c r="S1039" s="140"/>
      <c r="T1039" s="140"/>
      <c r="U1039" s="140"/>
      <c r="V1039" s="140"/>
      <c r="W1039" s="140"/>
      <c r="X1039" s="140"/>
      <c r="Y1039" s="140"/>
      <c r="Z1039" s="140"/>
      <c r="AA1039" s="141"/>
      <c r="AE1039" s="140"/>
      <c r="AI1039" s="141"/>
      <c r="AM1039" s="141"/>
      <c r="AQ1039" s="141"/>
      <c r="AT1039" s="140"/>
      <c r="AU1039" s="140"/>
    </row>
    <row r="1040" spans="2:47" s="134" customFormat="1" x14ac:dyDescent="0.2">
      <c r="B1040" s="145"/>
      <c r="D1040" s="679"/>
      <c r="J1040" s="140"/>
      <c r="K1040" s="140"/>
      <c r="L1040" s="140"/>
      <c r="M1040" s="140"/>
      <c r="N1040" s="140"/>
      <c r="O1040" s="140"/>
      <c r="P1040" s="140"/>
      <c r="Q1040" s="140"/>
      <c r="R1040" s="140"/>
      <c r="S1040" s="140"/>
      <c r="T1040" s="140"/>
      <c r="U1040" s="140"/>
      <c r="V1040" s="140"/>
      <c r="W1040" s="140"/>
      <c r="X1040" s="140"/>
      <c r="Y1040" s="140"/>
      <c r="Z1040" s="140"/>
      <c r="AA1040" s="141"/>
      <c r="AE1040" s="140"/>
      <c r="AI1040" s="141"/>
      <c r="AM1040" s="141"/>
      <c r="AQ1040" s="141"/>
      <c r="AT1040" s="140"/>
      <c r="AU1040" s="140"/>
    </row>
    <row r="1041" spans="2:47" s="134" customFormat="1" x14ac:dyDescent="0.2">
      <c r="B1041" s="145"/>
      <c r="D1041" s="679"/>
      <c r="J1041" s="140"/>
      <c r="K1041" s="140"/>
      <c r="L1041" s="140"/>
      <c r="M1041" s="140"/>
      <c r="N1041" s="140"/>
      <c r="O1041" s="140"/>
      <c r="P1041" s="140"/>
      <c r="Q1041" s="140"/>
      <c r="R1041" s="140"/>
      <c r="S1041" s="140"/>
      <c r="T1041" s="140"/>
      <c r="U1041" s="140"/>
      <c r="V1041" s="140"/>
      <c r="W1041" s="140"/>
      <c r="X1041" s="140"/>
      <c r="Y1041" s="140"/>
      <c r="Z1041" s="140"/>
      <c r="AA1041" s="141"/>
      <c r="AE1041" s="140"/>
      <c r="AI1041" s="141"/>
      <c r="AM1041" s="141"/>
      <c r="AQ1041" s="141"/>
      <c r="AT1041" s="140"/>
      <c r="AU1041" s="140"/>
    </row>
    <row r="1042" spans="2:47" s="134" customFormat="1" x14ac:dyDescent="0.2">
      <c r="B1042" s="145"/>
      <c r="D1042" s="679"/>
      <c r="J1042" s="140"/>
      <c r="K1042" s="140"/>
      <c r="L1042" s="140"/>
      <c r="M1042" s="140"/>
      <c r="N1042" s="140"/>
      <c r="O1042" s="140"/>
      <c r="P1042" s="140"/>
      <c r="Q1042" s="140"/>
      <c r="R1042" s="140"/>
      <c r="S1042" s="140"/>
      <c r="T1042" s="140"/>
      <c r="U1042" s="140"/>
      <c r="V1042" s="140"/>
      <c r="W1042" s="140"/>
      <c r="X1042" s="140"/>
      <c r="Y1042" s="140"/>
      <c r="Z1042" s="140"/>
      <c r="AA1042" s="141"/>
      <c r="AE1042" s="140"/>
      <c r="AI1042" s="141"/>
      <c r="AM1042" s="141"/>
      <c r="AQ1042" s="141"/>
      <c r="AT1042" s="140"/>
      <c r="AU1042" s="140"/>
    </row>
    <row r="1043" spans="2:47" s="134" customFormat="1" x14ac:dyDescent="0.2">
      <c r="B1043" s="145"/>
      <c r="D1043" s="679"/>
      <c r="J1043" s="140"/>
      <c r="K1043" s="140"/>
      <c r="L1043" s="140"/>
      <c r="M1043" s="140"/>
      <c r="N1043" s="140"/>
      <c r="O1043" s="140"/>
      <c r="P1043" s="140"/>
      <c r="Q1043" s="140"/>
      <c r="R1043" s="140"/>
      <c r="S1043" s="140"/>
      <c r="T1043" s="140"/>
      <c r="U1043" s="140"/>
      <c r="V1043" s="140"/>
      <c r="W1043" s="140"/>
      <c r="X1043" s="140"/>
      <c r="Y1043" s="140"/>
      <c r="Z1043" s="140"/>
      <c r="AA1043" s="141"/>
      <c r="AE1043" s="140"/>
      <c r="AI1043" s="141"/>
      <c r="AM1043" s="141"/>
      <c r="AQ1043" s="141"/>
      <c r="AT1043" s="140"/>
      <c r="AU1043" s="140"/>
    </row>
    <row r="1044" spans="2:47" s="134" customFormat="1" x14ac:dyDescent="0.2">
      <c r="B1044" s="145"/>
      <c r="D1044" s="679"/>
      <c r="J1044" s="140"/>
      <c r="K1044" s="140"/>
      <c r="L1044" s="140"/>
      <c r="M1044" s="140"/>
      <c r="N1044" s="140"/>
      <c r="O1044" s="140"/>
      <c r="P1044" s="140"/>
      <c r="Q1044" s="140"/>
      <c r="R1044" s="140"/>
      <c r="S1044" s="140"/>
      <c r="T1044" s="140"/>
      <c r="U1044" s="140"/>
      <c r="V1044" s="140"/>
      <c r="W1044" s="140"/>
      <c r="X1044" s="140"/>
      <c r="Y1044" s="140"/>
      <c r="Z1044" s="140"/>
      <c r="AA1044" s="141"/>
      <c r="AE1044" s="140"/>
      <c r="AI1044" s="141"/>
      <c r="AM1044" s="141"/>
      <c r="AQ1044" s="141"/>
      <c r="AT1044" s="140"/>
      <c r="AU1044" s="140"/>
    </row>
    <row r="1045" spans="2:47" s="134" customFormat="1" x14ac:dyDescent="0.2">
      <c r="B1045" s="145"/>
      <c r="D1045" s="679"/>
      <c r="J1045" s="140"/>
      <c r="K1045" s="140"/>
      <c r="L1045" s="140"/>
      <c r="M1045" s="140"/>
      <c r="N1045" s="140"/>
      <c r="O1045" s="140"/>
      <c r="P1045" s="140"/>
      <c r="Q1045" s="140"/>
      <c r="R1045" s="140"/>
      <c r="S1045" s="140"/>
      <c r="T1045" s="140"/>
      <c r="U1045" s="140"/>
      <c r="V1045" s="140"/>
      <c r="W1045" s="140"/>
      <c r="X1045" s="140"/>
      <c r="Y1045" s="140"/>
      <c r="Z1045" s="140"/>
      <c r="AA1045" s="141"/>
      <c r="AE1045" s="140"/>
      <c r="AI1045" s="141"/>
      <c r="AM1045" s="141"/>
      <c r="AQ1045" s="141"/>
      <c r="AT1045" s="140"/>
      <c r="AU1045" s="140"/>
    </row>
    <row r="1046" spans="2:47" s="134" customFormat="1" x14ac:dyDescent="0.2">
      <c r="B1046" s="145"/>
      <c r="D1046" s="679"/>
      <c r="J1046" s="140"/>
      <c r="K1046" s="140"/>
      <c r="L1046" s="140"/>
      <c r="M1046" s="140"/>
      <c r="N1046" s="140"/>
      <c r="O1046" s="140"/>
      <c r="P1046" s="140"/>
      <c r="Q1046" s="140"/>
      <c r="R1046" s="140"/>
      <c r="S1046" s="140"/>
      <c r="T1046" s="140"/>
      <c r="U1046" s="140"/>
      <c r="V1046" s="140"/>
      <c r="W1046" s="140"/>
      <c r="X1046" s="140"/>
      <c r="Y1046" s="140"/>
      <c r="Z1046" s="140"/>
      <c r="AA1046" s="141"/>
      <c r="AE1046" s="140"/>
      <c r="AI1046" s="141"/>
      <c r="AM1046" s="141"/>
      <c r="AQ1046" s="141"/>
      <c r="AT1046" s="140"/>
      <c r="AU1046" s="140"/>
    </row>
    <row r="1047" spans="2:47" s="134" customFormat="1" x14ac:dyDescent="0.2">
      <c r="B1047" s="145"/>
      <c r="D1047" s="679"/>
      <c r="J1047" s="140"/>
      <c r="K1047" s="140"/>
      <c r="L1047" s="140"/>
      <c r="M1047" s="140"/>
      <c r="N1047" s="140"/>
      <c r="O1047" s="140"/>
      <c r="P1047" s="140"/>
      <c r="Q1047" s="140"/>
      <c r="R1047" s="140"/>
      <c r="S1047" s="140"/>
      <c r="T1047" s="140"/>
      <c r="U1047" s="140"/>
      <c r="V1047" s="140"/>
      <c r="W1047" s="140"/>
      <c r="X1047" s="140"/>
      <c r="Y1047" s="140"/>
      <c r="Z1047" s="140"/>
      <c r="AA1047" s="141"/>
      <c r="AE1047" s="140"/>
      <c r="AI1047" s="141"/>
      <c r="AM1047" s="141"/>
      <c r="AQ1047" s="141"/>
      <c r="AT1047" s="140"/>
      <c r="AU1047" s="140"/>
    </row>
    <row r="1048" spans="2:47" s="134" customFormat="1" x14ac:dyDescent="0.2">
      <c r="B1048" s="145"/>
      <c r="D1048" s="679"/>
      <c r="J1048" s="140"/>
      <c r="K1048" s="140"/>
      <c r="L1048" s="140"/>
      <c r="M1048" s="140"/>
      <c r="N1048" s="140"/>
      <c r="O1048" s="140"/>
      <c r="P1048" s="140"/>
      <c r="Q1048" s="140"/>
      <c r="R1048" s="140"/>
      <c r="S1048" s="140"/>
      <c r="T1048" s="140"/>
      <c r="U1048" s="140"/>
      <c r="V1048" s="140"/>
      <c r="W1048" s="140"/>
      <c r="X1048" s="140"/>
      <c r="Y1048" s="140"/>
      <c r="Z1048" s="140"/>
      <c r="AA1048" s="141"/>
      <c r="AE1048" s="140"/>
      <c r="AI1048" s="141"/>
      <c r="AM1048" s="141"/>
      <c r="AQ1048" s="141"/>
      <c r="AT1048" s="140"/>
      <c r="AU1048" s="140"/>
    </row>
    <row r="1049" spans="2:47" s="134" customFormat="1" x14ac:dyDescent="0.2">
      <c r="B1049" s="145"/>
      <c r="D1049" s="679"/>
      <c r="J1049" s="140"/>
      <c r="K1049" s="140"/>
      <c r="L1049" s="140"/>
      <c r="M1049" s="140"/>
      <c r="N1049" s="140"/>
      <c r="O1049" s="140"/>
      <c r="P1049" s="140"/>
      <c r="Q1049" s="140"/>
      <c r="R1049" s="140"/>
      <c r="S1049" s="140"/>
      <c r="T1049" s="140"/>
      <c r="U1049" s="140"/>
      <c r="V1049" s="140"/>
      <c r="W1049" s="140"/>
      <c r="X1049" s="140"/>
      <c r="Y1049" s="140"/>
      <c r="Z1049" s="140"/>
      <c r="AA1049" s="141"/>
      <c r="AE1049" s="140"/>
      <c r="AI1049" s="141"/>
      <c r="AM1049" s="141"/>
      <c r="AQ1049" s="141"/>
      <c r="AT1049" s="140"/>
      <c r="AU1049" s="140"/>
    </row>
    <row r="1050" spans="2:47" s="134" customFormat="1" x14ac:dyDescent="0.2">
      <c r="B1050" s="145"/>
      <c r="D1050" s="679"/>
      <c r="J1050" s="140"/>
      <c r="K1050" s="140"/>
      <c r="L1050" s="140"/>
      <c r="M1050" s="140"/>
      <c r="N1050" s="140"/>
      <c r="O1050" s="140"/>
      <c r="P1050" s="140"/>
      <c r="Q1050" s="140"/>
      <c r="R1050" s="140"/>
      <c r="S1050" s="140"/>
      <c r="T1050" s="140"/>
      <c r="U1050" s="140"/>
      <c r="V1050" s="140"/>
      <c r="W1050" s="140"/>
      <c r="X1050" s="140"/>
      <c r="Y1050" s="140"/>
      <c r="Z1050" s="140"/>
      <c r="AA1050" s="141"/>
      <c r="AE1050" s="140"/>
      <c r="AI1050" s="141"/>
      <c r="AM1050" s="141"/>
      <c r="AQ1050" s="141"/>
      <c r="AT1050" s="140"/>
      <c r="AU1050" s="140"/>
    </row>
    <row r="1051" spans="2:47" s="134" customFormat="1" x14ac:dyDescent="0.2">
      <c r="B1051" s="145"/>
      <c r="D1051" s="679"/>
      <c r="J1051" s="140"/>
      <c r="K1051" s="140"/>
      <c r="L1051" s="140"/>
      <c r="M1051" s="140"/>
      <c r="N1051" s="140"/>
      <c r="O1051" s="140"/>
      <c r="P1051" s="140"/>
      <c r="Q1051" s="140"/>
      <c r="R1051" s="140"/>
      <c r="S1051" s="140"/>
      <c r="T1051" s="140"/>
      <c r="U1051" s="140"/>
      <c r="V1051" s="140"/>
      <c r="W1051" s="140"/>
      <c r="X1051" s="140"/>
      <c r="Y1051" s="140"/>
      <c r="Z1051" s="140"/>
      <c r="AA1051" s="141"/>
      <c r="AE1051" s="140"/>
      <c r="AI1051" s="141"/>
      <c r="AM1051" s="141"/>
      <c r="AQ1051" s="141"/>
      <c r="AT1051" s="140"/>
      <c r="AU1051" s="140"/>
    </row>
    <row r="1052" spans="2:47" s="134" customFormat="1" x14ac:dyDescent="0.2">
      <c r="B1052" s="145"/>
      <c r="D1052" s="679"/>
      <c r="J1052" s="140"/>
      <c r="K1052" s="140"/>
      <c r="L1052" s="140"/>
      <c r="M1052" s="140"/>
      <c r="N1052" s="140"/>
      <c r="O1052" s="140"/>
      <c r="P1052" s="140"/>
      <c r="Q1052" s="140"/>
      <c r="R1052" s="140"/>
      <c r="S1052" s="140"/>
      <c r="T1052" s="140"/>
      <c r="U1052" s="140"/>
      <c r="V1052" s="140"/>
      <c r="W1052" s="140"/>
      <c r="X1052" s="140"/>
      <c r="Y1052" s="140"/>
      <c r="Z1052" s="140"/>
      <c r="AA1052" s="141"/>
      <c r="AE1052" s="140"/>
      <c r="AI1052" s="141"/>
      <c r="AM1052" s="141"/>
      <c r="AQ1052" s="141"/>
      <c r="AT1052" s="140"/>
      <c r="AU1052" s="140"/>
    </row>
    <row r="1053" spans="2:47" s="134" customFormat="1" x14ac:dyDescent="0.2">
      <c r="B1053" s="145"/>
      <c r="D1053" s="679"/>
      <c r="J1053" s="140"/>
      <c r="K1053" s="140"/>
      <c r="L1053" s="140"/>
      <c r="M1053" s="140"/>
      <c r="N1053" s="140"/>
      <c r="O1053" s="140"/>
      <c r="P1053" s="140"/>
      <c r="Q1053" s="140"/>
      <c r="R1053" s="140"/>
      <c r="S1053" s="140"/>
      <c r="T1053" s="140"/>
      <c r="U1053" s="140"/>
      <c r="V1053" s="140"/>
      <c r="W1053" s="140"/>
      <c r="X1053" s="140"/>
      <c r="Y1053" s="140"/>
      <c r="Z1053" s="140"/>
      <c r="AA1053" s="141"/>
      <c r="AE1053" s="140"/>
      <c r="AI1053" s="141"/>
      <c r="AM1053" s="141"/>
      <c r="AQ1053" s="141"/>
      <c r="AT1053" s="140"/>
      <c r="AU1053" s="140"/>
    </row>
    <row r="1054" spans="2:47" s="134" customFormat="1" x14ac:dyDescent="0.2">
      <c r="B1054" s="145"/>
      <c r="D1054" s="679"/>
      <c r="J1054" s="140"/>
      <c r="K1054" s="140"/>
      <c r="L1054" s="140"/>
      <c r="M1054" s="140"/>
      <c r="N1054" s="140"/>
      <c r="O1054" s="140"/>
      <c r="P1054" s="140"/>
      <c r="Q1054" s="140"/>
      <c r="R1054" s="140"/>
      <c r="S1054" s="140"/>
      <c r="T1054" s="140"/>
      <c r="U1054" s="140"/>
      <c r="V1054" s="140"/>
      <c r="W1054" s="140"/>
      <c r="X1054" s="140"/>
      <c r="Y1054" s="140"/>
      <c r="Z1054" s="140"/>
      <c r="AA1054" s="141"/>
      <c r="AE1054" s="140"/>
      <c r="AI1054" s="141"/>
      <c r="AM1054" s="141"/>
      <c r="AQ1054" s="141"/>
      <c r="AT1054" s="140"/>
      <c r="AU1054" s="140"/>
    </row>
    <row r="1055" spans="2:47" s="134" customFormat="1" x14ac:dyDescent="0.2">
      <c r="B1055" s="145"/>
      <c r="D1055" s="679"/>
      <c r="J1055" s="140"/>
      <c r="K1055" s="140"/>
      <c r="L1055" s="140"/>
      <c r="M1055" s="140"/>
      <c r="N1055" s="140"/>
      <c r="O1055" s="140"/>
      <c r="P1055" s="140"/>
      <c r="Q1055" s="140"/>
      <c r="R1055" s="140"/>
      <c r="S1055" s="140"/>
      <c r="T1055" s="140"/>
      <c r="U1055" s="140"/>
      <c r="V1055" s="140"/>
      <c r="W1055" s="140"/>
      <c r="X1055" s="140"/>
      <c r="Y1055" s="140"/>
      <c r="Z1055" s="140"/>
      <c r="AA1055" s="141"/>
      <c r="AE1055" s="140"/>
      <c r="AI1055" s="141"/>
      <c r="AM1055" s="141"/>
      <c r="AQ1055" s="141"/>
      <c r="AT1055" s="140"/>
      <c r="AU1055" s="140"/>
    </row>
    <row r="1056" spans="2:47" s="134" customFormat="1" x14ac:dyDescent="0.2">
      <c r="B1056" s="145"/>
      <c r="D1056" s="679"/>
      <c r="J1056" s="140"/>
      <c r="K1056" s="140"/>
      <c r="L1056" s="140"/>
      <c r="M1056" s="140"/>
      <c r="N1056" s="140"/>
      <c r="O1056" s="140"/>
      <c r="P1056" s="140"/>
      <c r="Q1056" s="140"/>
      <c r="R1056" s="140"/>
      <c r="S1056" s="140"/>
      <c r="T1056" s="140"/>
      <c r="U1056" s="140"/>
      <c r="V1056" s="140"/>
      <c r="W1056" s="140"/>
      <c r="X1056" s="140"/>
      <c r="Y1056" s="140"/>
      <c r="Z1056" s="140"/>
      <c r="AA1056" s="141"/>
      <c r="AE1056" s="140"/>
      <c r="AI1056" s="141"/>
      <c r="AM1056" s="141"/>
      <c r="AQ1056" s="141"/>
      <c r="AT1056" s="140"/>
      <c r="AU1056" s="140"/>
    </row>
    <row r="1057" spans="2:47" s="134" customFormat="1" x14ac:dyDescent="0.2">
      <c r="B1057" s="145"/>
      <c r="D1057" s="679"/>
      <c r="J1057" s="140"/>
      <c r="K1057" s="140"/>
      <c r="L1057" s="140"/>
      <c r="M1057" s="140"/>
      <c r="N1057" s="140"/>
      <c r="O1057" s="140"/>
      <c r="P1057" s="140"/>
      <c r="Q1057" s="140"/>
      <c r="R1057" s="140"/>
      <c r="S1057" s="140"/>
      <c r="T1057" s="140"/>
      <c r="U1057" s="140"/>
      <c r="V1057" s="140"/>
      <c r="W1057" s="140"/>
      <c r="X1057" s="140"/>
      <c r="Y1057" s="140"/>
      <c r="Z1057" s="140"/>
      <c r="AA1057" s="141"/>
      <c r="AE1057" s="140"/>
      <c r="AI1057" s="141"/>
      <c r="AM1057" s="141"/>
      <c r="AQ1057" s="141"/>
      <c r="AT1057" s="140"/>
      <c r="AU1057" s="140"/>
    </row>
    <row r="1058" spans="2:47" s="134" customFormat="1" x14ac:dyDescent="0.2">
      <c r="B1058" s="145"/>
      <c r="D1058" s="679"/>
      <c r="J1058" s="140"/>
      <c r="K1058" s="140"/>
      <c r="L1058" s="140"/>
      <c r="M1058" s="140"/>
      <c r="N1058" s="140"/>
      <c r="O1058" s="140"/>
      <c r="P1058" s="140"/>
      <c r="Q1058" s="140"/>
      <c r="R1058" s="140"/>
      <c r="S1058" s="140"/>
      <c r="T1058" s="140"/>
      <c r="U1058" s="140"/>
      <c r="V1058" s="140"/>
      <c r="W1058" s="140"/>
      <c r="X1058" s="140"/>
      <c r="Y1058" s="140"/>
      <c r="Z1058" s="140"/>
      <c r="AA1058" s="141"/>
      <c r="AE1058" s="140"/>
      <c r="AI1058" s="141"/>
      <c r="AM1058" s="141"/>
      <c r="AQ1058" s="141"/>
      <c r="AT1058" s="140"/>
      <c r="AU1058" s="140"/>
    </row>
    <row r="1059" spans="2:47" s="134" customFormat="1" x14ac:dyDescent="0.2">
      <c r="B1059" s="145"/>
      <c r="D1059" s="679"/>
      <c r="J1059" s="140"/>
      <c r="K1059" s="140"/>
      <c r="L1059" s="140"/>
      <c r="M1059" s="140"/>
      <c r="N1059" s="140"/>
      <c r="O1059" s="140"/>
      <c r="P1059" s="140"/>
      <c r="Q1059" s="140"/>
      <c r="R1059" s="140"/>
      <c r="S1059" s="140"/>
      <c r="T1059" s="140"/>
      <c r="U1059" s="140"/>
      <c r="V1059" s="140"/>
      <c r="W1059" s="140"/>
      <c r="X1059" s="140"/>
      <c r="Y1059" s="140"/>
      <c r="Z1059" s="140"/>
      <c r="AA1059" s="141"/>
      <c r="AE1059" s="140"/>
      <c r="AI1059" s="141"/>
      <c r="AM1059" s="141"/>
      <c r="AQ1059" s="141"/>
      <c r="AT1059" s="140"/>
      <c r="AU1059" s="140"/>
    </row>
    <row r="1060" spans="2:47" s="134" customFormat="1" x14ac:dyDescent="0.2">
      <c r="B1060" s="145"/>
      <c r="D1060" s="679"/>
      <c r="J1060" s="140"/>
      <c r="K1060" s="140"/>
      <c r="L1060" s="140"/>
      <c r="M1060" s="140"/>
      <c r="N1060" s="140"/>
      <c r="O1060" s="140"/>
      <c r="P1060" s="140"/>
      <c r="Q1060" s="140"/>
      <c r="R1060" s="140"/>
      <c r="S1060" s="140"/>
      <c r="T1060" s="140"/>
      <c r="U1060" s="140"/>
      <c r="V1060" s="140"/>
      <c r="W1060" s="140"/>
      <c r="X1060" s="140"/>
      <c r="Y1060" s="140"/>
      <c r="Z1060" s="140"/>
      <c r="AA1060" s="141"/>
      <c r="AE1060" s="140"/>
      <c r="AI1060" s="141"/>
      <c r="AM1060" s="141"/>
      <c r="AQ1060" s="141"/>
      <c r="AT1060" s="140"/>
      <c r="AU1060" s="140"/>
    </row>
    <row r="1061" spans="2:47" s="134" customFormat="1" x14ac:dyDescent="0.2">
      <c r="B1061" s="145"/>
      <c r="D1061" s="679"/>
      <c r="J1061" s="140"/>
      <c r="K1061" s="140"/>
      <c r="L1061" s="140"/>
      <c r="M1061" s="140"/>
      <c r="N1061" s="140"/>
      <c r="O1061" s="140"/>
      <c r="P1061" s="140"/>
      <c r="Q1061" s="140"/>
      <c r="R1061" s="140"/>
      <c r="S1061" s="140"/>
      <c r="T1061" s="140"/>
      <c r="U1061" s="140"/>
      <c r="V1061" s="140"/>
      <c r="W1061" s="140"/>
      <c r="X1061" s="140"/>
      <c r="Y1061" s="140"/>
      <c r="Z1061" s="140"/>
      <c r="AA1061" s="141"/>
      <c r="AE1061" s="140"/>
      <c r="AI1061" s="141"/>
      <c r="AM1061" s="141"/>
      <c r="AQ1061" s="141"/>
      <c r="AT1061" s="140"/>
      <c r="AU1061" s="140"/>
    </row>
    <row r="1062" spans="2:47" s="134" customFormat="1" x14ac:dyDescent="0.2">
      <c r="B1062" s="145"/>
      <c r="D1062" s="679"/>
      <c r="J1062" s="140"/>
      <c r="K1062" s="140"/>
      <c r="L1062" s="140"/>
      <c r="M1062" s="140"/>
      <c r="N1062" s="140"/>
      <c r="O1062" s="140"/>
      <c r="P1062" s="140"/>
      <c r="Q1062" s="140"/>
      <c r="R1062" s="140"/>
      <c r="S1062" s="140"/>
      <c r="T1062" s="140"/>
      <c r="U1062" s="140"/>
      <c r="V1062" s="140"/>
      <c r="W1062" s="140"/>
      <c r="X1062" s="140"/>
      <c r="Y1062" s="140"/>
      <c r="Z1062" s="140"/>
      <c r="AA1062" s="141"/>
      <c r="AE1062" s="140"/>
      <c r="AI1062" s="141"/>
      <c r="AM1062" s="141"/>
      <c r="AQ1062" s="141"/>
      <c r="AT1062" s="140"/>
      <c r="AU1062" s="140"/>
    </row>
    <row r="1063" spans="2:47" s="134" customFormat="1" x14ac:dyDescent="0.2">
      <c r="B1063" s="145"/>
      <c r="D1063" s="679"/>
      <c r="J1063" s="140"/>
      <c r="K1063" s="140"/>
      <c r="L1063" s="140"/>
      <c r="M1063" s="140"/>
      <c r="N1063" s="140"/>
      <c r="O1063" s="140"/>
      <c r="P1063" s="140"/>
      <c r="Q1063" s="140"/>
      <c r="R1063" s="140"/>
      <c r="S1063" s="140"/>
      <c r="T1063" s="140"/>
      <c r="U1063" s="140"/>
      <c r="V1063" s="140"/>
      <c r="W1063" s="140"/>
      <c r="X1063" s="140"/>
      <c r="Y1063" s="140"/>
      <c r="Z1063" s="140"/>
      <c r="AA1063" s="141"/>
      <c r="AE1063" s="140"/>
      <c r="AI1063" s="141"/>
      <c r="AM1063" s="141"/>
      <c r="AQ1063" s="141"/>
      <c r="AT1063" s="140"/>
      <c r="AU1063" s="140"/>
    </row>
    <row r="1064" spans="2:47" s="134" customFormat="1" x14ac:dyDescent="0.2">
      <c r="B1064" s="145"/>
      <c r="D1064" s="679"/>
      <c r="J1064" s="140"/>
      <c r="K1064" s="140"/>
      <c r="L1064" s="140"/>
      <c r="M1064" s="140"/>
      <c r="N1064" s="140"/>
      <c r="O1064" s="140"/>
      <c r="P1064" s="140"/>
      <c r="Q1064" s="140"/>
      <c r="R1064" s="140"/>
      <c r="S1064" s="140"/>
      <c r="T1064" s="140"/>
      <c r="U1064" s="140"/>
      <c r="V1064" s="140"/>
      <c r="W1064" s="140"/>
      <c r="X1064" s="140"/>
      <c r="Y1064" s="140"/>
      <c r="Z1064" s="140"/>
      <c r="AA1064" s="141"/>
      <c r="AE1064" s="140"/>
      <c r="AI1064" s="141"/>
      <c r="AM1064" s="141"/>
      <c r="AQ1064" s="141"/>
      <c r="AT1064" s="140"/>
      <c r="AU1064" s="140"/>
    </row>
    <row r="1065" spans="2:47" s="134" customFormat="1" x14ac:dyDescent="0.2">
      <c r="B1065" s="145"/>
      <c r="D1065" s="679"/>
      <c r="J1065" s="140"/>
      <c r="K1065" s="140"/>
      <c r="L1065" s="140"/>
      <c r="M1065" s="140"/>
      <c r="N1065" s="140"/>
      <c r="O1065" s="140"/>
      <c r="P1065" s="140"/>
      <c r="Q1065" s="140"/>
      <c r="R1065" s="140"/>
      <c r="S1065" s="140"/>
      <c r="T1065" s="140"/>
      <c r="U1065" s="140"/>
      <c r="V1065" s="140"/>
      <c r="W1065" s="140"/>
      <c r="X1065" s="140"/>
      <c r="Y1065" s="140"/>
      <c r="Z1065" s="140"/>
      <c r="AA1065" s="141"/>
      <c r="AE1065" s="140"/>
      <c r="AI1065" s="141"/>
      <c r="AM1065" s="141"/>
      <c r="AQ1065" s="141"/>
      <c r="AT1065" s="140"/>
      <c r="AU1065" s="140"/>
    </row>
    <row r="1066" spans="2:47" s="134" customFormat="1" x14ac:dyDescent="0.2">
      <c r="B1066" s="145"/>
      <c r="D1066" s="679"/>
      <c r="J1066" s="140"/>
      <c r="K1066" s="140"/>
      <c r="L1066" s="140"/>
      <c r="M1066" s="140"/>
      <c r="N1066" s="140"/>
      <c r="O1066" s="140"/>
      <c r="P1066" s="140"/>
      <c r="Q1066" s="140"/>
      <c r="R1066" s="140"/>
      <c r="S1066" s="140"/>
      <c r="T1066" s="140"/>
      <c r="U1066" s="140"/>
      <c r="V1066" s="140"/>
      <c r="W1066" s="140"/>
      <c r="X1066" s="140"/>
      <c r="Y1066" s="140"/>
      <c r="Z1066" s="140"/>
      <c r="AA1066" s="141"/>
      <c r="AE1066" s="140"/>
      <c r="AI1066" s="141"/>
      <c r="AM1066" s="141"/>
      <c r="AQ1066" s="141"/>
      <c r="AT1066" s="140"/>
      <c r="AU1066" s="140"/>
    </row>
    <row r="1067" spans="2:47" s="134" customFormat="1" x14ac:dyDescent="0.2">
      <c r="B1067" s="145"/>
      <c r="D1067" s="679"/>
      <c r="J1067" s="140"/>
      <c r="K1067" s="140"/>
      <c r="L1067" s="140"/>
      <c r="M1067" s="140"/>
      <c r="N1067" s="140"/>
      <c r="O1067" s="140"/>
      <c r="P1067" s="140"/>
      <c r="Q1067" s="140"/>
      <c r="R1067" s="140"/>
      <c r="S1067" s="140"/>
      <c r="T1067" s="140"/>
      <c r="U1067" s="140"/>
      <c r="V1067" s="140"/>
      <c r="W1067" s="140"/>
      <c r="X1067" s="140"/>
      <c r="Y1067" s="140"/>
      <c r="Z1067" s="140"/>
      <c r="AA1067" s="141"/>
      <c r="AE1067" s="140"/>
      <c r="AI1067" s="141"/>
      <c r="AM1067" s="141"/>
      <c r="AQ1067" s="141"/>
      <c r="AT1067" s="140"/>
      <c r="AU1067" s="140"/>
    </row>
    <row r="1068" spans="2:47" s="134" customFormat="1" x14ac:dyDescent="0.2">
      <c r="B1068" s="145"/>
      <c r="D1068" s="679"/>
      <c r="J1068" s="140"/>
      <c r="K1068" s="140"/>
      <c r="L1068" s="140"/>
      <c r="M1068" s="140"/>
      <c r="N1068" s="140"/>
      <c r="O1068" s="140"/>
      <c r="P1068" s="140"/>
      <c r="Q1068" s="140"/>
      <c r="R1068" s="140"/>
      <c r="S1068" s="140"/>
      <c r="T1068" s="140"/>
      <c r="U1068" s="140"/>
      <c r="V1068" s="140"/>
      <c r="W1068" s="140"/>
      <c r="X1068" s="140"/>
      <c r="Y1068" s="140"/>
      <c r="Z1068" s="140"/>
      <c r="AA1068" s="141"/>
      <c r="AE1068" s="140"/>
      <c r="AI1068" s="141"/>
      <c r="AM1068" s="141"/>
      <c r="AQ1068" s="141"/>
      <c r="AT1068" s="140"/>
      <c r="AU1068" s="140"/>
    </row>
    <row r="1069" spans="2:47" s="134" customFormat="1" x14ac:dyDescent="0.2">
      <c r="B1069" s="145"/>
      <c r="D1069" s="679"/>
      <c r="J1069" s="140"/>
      <c r="K1069" s="140"/>
      <c r="L1069" s="140"/>
      <c r="M1069" s="140"/>
      <c r="N1069" s="140"/>
      <c r="O1069" s="140"/>
      <c r="P1069" s="140"/>
      <c r="Q1069" s="140"/>
      <c r="R1069" s="140"/>
      <c r="S1069" s="140"/>
      <c r="T1069" s="140"/>
      <c r="U1069" s="140"/>
      <c r="V1069" s="140"/>
      <c r="W1069" s="140"/>
      <c r="X1069" s="140"/>
      <c r="Y1069" s="140"/>
      <c r="Z1069" s="140"/>
      <c r="AA1069" s="141"/>
      <c r="AE1069" s="140"/>
      <c r="AI1069" s="141"/>
      <c r="AM1069" s="141"/>
      <c r="AQ1069" s="141"/>
      <c r="AT1069" s="140"/>
      <c r="AU1069" s="140"/>
    </row>
    <row r="1070" spans="2:47" s="134" customFormat="1" x14ac:dyDescent="0.2">
      <c r="B1070" s="145"/>
      <c r="D1070" s="679"/>
      <c r="J1070" s="140"/>
      <c r="K1070" s="140"/>
      <c r="L1070" s="140"/>
      <c r="M1070" s="140"/>
      <c r="N1070" s="140"/>
      <c r="O1070" s="140"/>
      <c r="P1070" s="140"/>
      <c r="Q1070" s="140"/>
      <c r="R1070" s="140"/>
      <c r="S1070" s="140"/>
      <c r="T1070" s="140"/>
      <c r="U1070" s="140"/>
      <c r="V1070" s="140"/>
      <c r="W1070" s="140"/>
      <c r="X1070" s="140"/>
      <c r="Y1070" s="140"/>
      <c r="Z1070" s="140"/>
      <c r="AA1070" s="141"/>
      <c r="AE1070" s="140"/>
      <c r="AI1070" s="141"/>
      <c r="AM1070" s="141"/>
      <c r="AQ1070" s="141"/>
      <c r="AT1070" s="140"/>
      <c r="AU1070" s="140"/>
    </row>
    <row r="1071" spans="2:47" s="134" customFormat="1" x14ac:dyDescent="0.2">
      <c r="B1071" s="145"/>
      <c r="D1071" s="679"/>
      <c r="J1071" s="140"/>
      <c r="K1071" s="140"/>
      <c r="L1071" s="140"/>
      <c r="M1071" s="140"/>
      <c r="N1071" s="140"/>
      <c r="O1071" s="140"/>
      <c r="P1071" s="140"/>
      <c r="Q1071" s="140"/>
      <c r="R1071" s="140"/>
      <c r="S1071" s="140"/>
      <c r="T1071" s="140"/>
      <c r="U1071" s="140"/>
      <c r="V1071" s="140"/>
      <c r="W1071" s="140"/>
      <c r="X1071" s="140"/>
      <c r="Y1071" s="140"/>
      <c r="Z1071" s="140"/>
      <c r="AA1071" s="141"/>
      <c r="AE1071" s="140"/>
      <c r="AI1071" s="141"/>
      <c r="AM1071" s="141"/>
      <c r="AQ1071" s="141"/>
      <c r="AT1071" s="140"/>
      <c r="AU1071" s="140"/>
    </row>
    <row r="1072" spans="2:47" s="134" customFormat="1" x14ac:dyDescent="0.2">
      <c r="B1072" s="145"/>
      <c r="D1072" s="679"/>
      <c r="J1072" s="140"/>
      <c r="K1072" s="140"/>
      <c r="L1072" s="140"/>
      <c r="M1072" s="140"/>
      <c r="N1072" s="140"/>
      <c r="O1072" s="140"/>
      <c r="P1072" s="140"/>
      <c r="Q1072" s="140"/>
      <c r="R1072" s="140"/>
      <c r="S1072" s="140"/>
      <c r="T1072" s="140"/>
      <c r="U1072" s="140"/>
      <c r="V1072" s="140"/>
      <c r="W1072" s="140"/>
      <c r="X1072" s="140"/>
      <c r="Y1072" s="140"/>
      <c r="Z1072" s="140"/>
      <c r="AA1072" s="141"/>
      <c r="AE1072" s="140"/>
      <c r="AI1072" s="141"/>
      <c r="AM1072" s="141"/>
      <c r="AQ1072" s="141"/>
      <c r="AT1072" s="140"/>
      <c r="AU1072" s="140"/>
    </row>
    <row r="1073" spans="2:47" s="134" customFormat="1" x14ac:dyDescent="0.2">
      <c r="B1073" s="145"/>
      <c r="D1073" s="679"/>
      <c r="J1073" s="140"/>
      <c r="K1073" s="140"/>
      <c r="L1073" s="140"/>
      <c r="M1073" s="140"/>
      <c r="N1073" s="140"/>
      <c r="O1073" s="140"/>
      <c r="P1073" s="140"/>
      <c r="Q1073" s="140"/>
      <c r="R1073" s="140"/>
      <c r="S1073" s="140"/>
      <c r="T1073" s="140"/>
      <c r="U1073" s="140"/>
      <c r="V1073" s="140"/>
      <c r="W1073" s="140"/>
      <c r="X1073" s="140"/>
      <c r="Y1073" s="140"/>
      <c r="Z1073" s="140"/>
      <c r="AA1073" s="141"/>
      <c r="AE1073" s="140"/>
      <c r="AI1073" s="141"/>
      <c r="AM1073" s="141"/>
      <c r="AQ1073" s="141"/>
      <c r="AT1073" s="140"/>
      <c r="AU1073" s="140"/>
    </row>
    <row r="1074" spans="2:47" s="134" customFormat="1" x14ac:dyDescent="0.2">
      <c r="B1074" s="145"/>
      <c r="D1074" s="679"/>
      <c r="J1074" s="140"/>
      <c r="K1074" s="140"/>
      <c r="L1074" s="140"/>
      <c r="M1074" s="140"/>
      <c r="N1074" s="140"/>
      <c r="O1074" s="140"/>
      <c r="P1074" s="140"/>
      <c r="Q1074" s="140"/>
      <c r="R1074" s="140"/>
      <c r="S1074" s="140"/>
      <c r="T1074" s="140"/>
      <c r="U1074" s="140"/>
      <c r="V1074" s="140"/>
      <c r="W1074" s="140"/>
      <c r="X1074" s="140"/>
      <c r="Y1074" s="140"/>
      <c r="Z1074" s="140"/>
      <c r="AA1074" s="141"/>
      <c r="AE1074" s="140"/>
      <c r="AI1074" s="141"/>
      <c r="AM1074" s="141"/>
      <c r="AQ1074" s="141"/>
      <c r="AT1074" s="140"/>
      <c r="AU1074" s="140"/>
    </row>
    <row r="1075" spans="2:47" s="134" customFormat="1" x14ac:dyDescent="0.2">
      <c r="B1075" s="145"/>
      <c r="D1075" s="679"/>
      <c r="J1075" s="140"/>
      <c r="K1075" s="140"/>
      <c r="L1075" s="140"/>
      <c r="M1075" s="140"/>
      <c r="N1075" s="140"/>
      <c r="O1075" s="140"/>
      <c r="P1075" s="140"/>
      <c r="Q1075" s="140"/>
      <c r="R1075" s="140"/>
      <c r="S1075" s="140"/>
      <c r="T1075" s="140"/>
      <c r="U1075" s="140"/>
      <c r="V1075" s="140"/>
      <c r="W1075" s="140"/>
      <c r="X1075" s="140"/>
      <c r="Y1075" s="140"/>
      <c r="Z1075" s="140"/>
      <c r="AA1075" s="141"/>
      <c r="AE1075" s="140"/>
      <c r="AI1075" s="141"/>
      <c r="AM1075" s="141"/>
      <c r="AQ1075" s="141"/>
      <c r="AT1075" s="140"/>
      <c r="AU1075" s="140"/>
    </row>
    <row r="1076" spans="2:47" s="134" customFormat="1" x14ac:dyDescent="0.2">
      <c r="B1076" s="145"/>
      <c r="D1076" s="679"/>
      <c r="J1076" s="140"/>
      <c r="K1076" s="140"/>
      <c r="L1076" s="140"/>
      <c r="M1076" s="140"/>
      <c r="N1076" s="140"/>
      <c r="O1076" s="140"/>
      <c r="P1076" s="140"/>
      <c r="Q1076" s="140"/>
      <c r="R1076" s="140"/>
      <c r="S1076" s="140"/>
      <c r="T1076" s="140"/>
      <c r="U1076" s="140"/>
      <c r="V1076" s="140"/>
      <c r="W1076" s="140"/>
      <c r="X1076" s="140"/>
      <c r="Y1076" s="140"/>
      <c r="Z1076" s="140"/>
      <c r="AA1076" s="141"/>
      <c r="AE1076" s="140"/>
      <c r="AI1076" s="141"/>
      <c r="AM1076" s="141"/>
      <c r="AQ1076" s="141"/>
      <c r="AT1076" s="140"/>
      <c r="AU1076" s="140"/>
    </row>
    <row r="1077" spans="2:47" s="134" customFormat="1" x14ac:dyDescent="0.2">
      <c r="B1077" s="145"/>
      <c r="D1077" s="679"/>
      <c r="J1077" s="140"/>
      <c r="K1077" s="140"/>
      <c r="L1077" s="140"/>
      <c r="M1077" s="140"/>
      <c r="N1077" s="140"/>
      <c r="O1077" s="140"/>
      <c r="P1077" s="140"/>
      <c r="Q1077" s="140"/>
      <c r="R1077" s="140"/>
      <c r="S1077" s="140"/>
      <c r="T1077" s="140"/>
      <c r="U1077" s="140"/>
      <c r="V1077" s="140"/>
      <c r="W1077" s="140"/>
      <c r="X1077" s="140"/>
      <c r="Y1077" s="140"/>
      <c r="Z1077" s="140"/>
      <c r="AA1077" s="141"/>
      <c r="AE1077" s="140"/>
      <c r="AI1077" s="141"/>
      <c r="AM1077" s="141"/>
      <c r="AQ1077" s="141"/>
      <c r="AT1077" s="140"/>
      <c r="AU1077" s="140"/>
    </row>
    <row r="1078" spans="2:47" s="134" customFormat="1" x14ac:dyDescent="0.2">
      <c r="B1078" s="145"/>
      <c r="D1078" s="679"/>
      <c r="J1078" s="140"/>
      <c r="K1078" s="140"/>
      <c r="L1078" s="140"/>
      <c r="M1078" s="140"/>
      <c r="N1078" s="140"/>
      <c r="O1078" s="140"/>
      <c r="P1078" s="140"/>
      <c r="Q1078" s="140"/>
      <c r="R1078" s="140"/>
      <c r="S1078" s="140"/>
      <c r="T1078" s="140"/>
      <c r="U1078" s="140"/>
      <c r="V1078" s="140"/>
      <c r="W1078" s="140"/>
      <c r="X1078" s="140"/>
      <c r="Y1078" s="140"/>
      <c r="Z1078" s="140"/>
      <c r="AA1078" s="141"/>
      <c r="AE1078" s="140"/>
      <c r="AI1078" s="141"/>
      <c r="AM1078" s="141"/>
      <c r="AQ1078" s="141"/>
      <c r="AT1078" s="140"/>
      <c r="AU1078" s="140"/>
    </row>
    <row r="1079" spans="2:47" s="134" customFormat="1" x14ac:dyDescent="0.2">
      <c r="B1079" s="145"/>
      <c r="D1079" s="679"/>
      <c r="J1079" s="140"/>
      <c r="K1079" s="140"/>
      <c r="L1079" s="140"/>
      <c r="M1079" s="140"/>
      <c r="N1079" s="140"/>
      <c r="O1079" s="140"/>
      <c r="P1079" s="140"/>
      <c r="Q1079" s="140"/>
      <c r="R1079" s="140"/>
      <c r="S1079" s="140"/>
      <c r="T1079" s="140"/>
      <c r="U1079" s="140"/>
      <c r="V1079" s="140"/>
      <c r="W1079" s="140"/>
      <c r="X1079" s="140"/>
      <c r="Y1079" s="140"/>
      <c r="Z1079" s="140"/>
      <c r="AA1079" s="141"/>
      <c r="AE1079" s="140"/>
      <c r="AI1079" s="141"/>
      <c r="AM1079" s="141"/>
      <c r="AQ1079" s="141"/>
      <c r="AT1079" s="140"/>
      <c r="AU1079" s="140"/>
    </row>
    <row r="1080" spans="2:47" s="134" customFormat="1" x14ac:dyDescent="0.2">
      <c r="B1080" s="145"/>
      <c r="D1080" s="679"/>
      <c r="J1080" s="140"/>
      <c r="K1080" s="140"/>
      <c r="L1080" s="140"/>
      <c r="M1080" s="140"/>
      <c r="N1080" s="140"/>
      <c r="O1080" s="140"/>
      <c r="P1080" s="140"/>
      <c r="Q1080" s="140"/>
      <c r="R1080" s="140"/>
      <c r="S1080" s="140"/>
      <c r="T1080" s="140"/>
      <c r="U1080" s="140"/>
      <c r="V1080" s="140"/>
      <c r="W1080" s="140"/>
      <c r="X1080" s="140"/>
      <c r="Y1080" s="140"/>
      <c r="Z1080" s="140"/>
      <c r="AA1080" s="141"/>
      <c r="AE1080" s="140"/>
      <c r="AI1080" s="141"/>
      <c r="AM1080" s="141"/>
      <c r="AQ1080" s="141"/>
      <c r="AT1080" s="140"/>
      <c r="AU1080" s="140"/>
    </row>
    <row r="1081" spans="2:47" s="134" customFormat="1" x14ac:dyDescent="0.2">
      <c r="B1081" s="145"/>
      <c r="D1081" s="679"/>
      <c r="J1081" s="140"/>
      <c r="K1081" s="140"/>
      <c r="L1081" s="140"/>
      <c r="M1081" s="140"/>
      <c r="N1081" s="140"/>
      <c r="O1081" s="140"/>
      <c r="P1081" s="140"/>
      <c r="Q1081" s="140"/>
      <c r="R1081" s="140"/>
      <c r="S1081" s="140"/>
      <c r="T1081" s="140"/>
      <c r="U1081" s="140"/>
      <c r="V1081" s="140"/>
      <c r="W1081" s="140"/>
      <c r="X1081" s="140"/>
      <c r="Y1081" s="140"/>
      <c r="Z1081" s="140"/>
      <c r="AA1081" s="141"/>
      <c r="AE1081" s="140"/>
      <c r="AI1081" s="141"/>
      <c r="AM1081" s="141"/>
      <c r="AQ1081" s="141"/>
      <c r="AT1081" s="140"/>
      <c r="AU1081" s="140"/>
    </row>
    <row r="1082" spans="2:47" s="134" customFormat="1" x14ac:dyDescent="0.2">
      <c r="B1082" s="145"/>
      <c r="D1082" s="679"/>
      <c r="J1082" s="140"/>
      <c r="K1082" s="140"/>
      <c r="L1082" s="140"/>
      <c r="M1082" s="140"/>
      <c r="N1082" s="140"/>
      <c r="O1082" s="140"/>
      <c r="P1082" s="140"/>
      <c r="Q1082" s="140"/>
      <c r="R1082" s="140"/>
      <c r="S1082" s="140"/>
      <c r="T1082" s="140"/>
      <c r="U1082" s="140"/>
      <c r="V1082" s="140"/>
      <c r="W1082" s="140"/>
      <c r="X1082" s="140"/>
      <c r="Y1082" s="140"/>
      <c r="Z1082" s="140"/>
      <c r="AA1082" s="141"/>
      <c r="AE1082" s="140"/>
      <c r="AI1082" s="141"/>
      <c r="AM1082" s="141"/>
      <c r="AQ1082" s="141"/>
      <c r="AT1082" s="140"/>
      <c r="AU1082" s="140"/>
    </row>
    <row r="1083" spans="2:47" s="134" customFormat="1" x14ac:dyDescent="0.2">
      <c r="B1083" s="145"/>
      <c r="D1083" s="679"/>
      <c r="J1083" s="140"/>
      <c r="K1083" s="140"/>
      <c r="L1083" s="140"/>
      <c r="M1083" s="140"/>
      <c r="N1083" s="140"/>
      <c r="O1083" s="140"/>
      <c r="P1083" s="140"/>
      <c r="Q1083" s="140"/>
      <c r="R1083" s="140"/>
      <c r="S1083" s="140"/>
      <c r="T1083" s="140"/>
      <c r="U1083" s="140"/>
      <c r="V1083" s="140"/>
      <c r="W1083" s="140"/>
      <c r="X1083" s="140"/>
      <c r="Y1083" s="140"/>
      <c r="Z1083" s="140"/>
      <c r="AA1083" s="141"/>
      <c r="AE1083" s="140"/>
      <c r="AI1083" s="141"/>
      <c r="AM1083" s="141"/>
      <c r="AQ1083" s="141"/>
      <c r="AT1083" s="140"/>
      <c r="AU1083" s="140"/>
    </row>
    <row r="1084" spans="2:47" s="134" customFormat="1" x14ac:dyDescent="0.2">
      <c r="B1084" s="145"/>
      <c r="D1084" s="679"/>
      <c r="J1084" s="140"/>
      <c r="K1084" s="140"/>
      <c r="L1084" s="140"/>
      <c r="M1084" s="140"/>
      <c r="N1084" s="140"/>
      <c r="O1084" s="140"/>
      <c r="P1084" s="140"/>
      <c r="Q1084" s="140"/>
      <c r="R1084" s="140"/>
      <c r="S1084" s="140"/>
      <c r="T1084" s="140"/>
      <c r="U1084" s="140"/>
      <c r="V1084" s="140"/>
      <c r="W1084" s="140"/>
      <c r="X1084" s="140"/>
      <c r="Y1084" s="140"/>
      <c r="Z1084" s="140"/>
      <c r="AA1084" s="141"/>
      <c r="AE1084" s="140"/>
      <c r="AI1084" s="141"/>
      <c r="AM1084" s="141"/>
      <c r="AQ1084" s="141"/>
      <c r="AT1084" s="140"/>
      <c r="AU1084" s="140"/>
    </row>
    <row r="1085" spans="2:47" s="134" customFormat="1" x14ac:dyDescent="0.2">
      <c r="B1085" s="145"/>
      <c r="D1085" s="679"/>
      <c r="J1085" s="140"/>
      <c r="K1085" s="140"/>
      <c r="L1085" s="140"/>
      <c r="M1085" s="140"/>
      <c r="N1085" s="140"/>
      <c r="O1085" s="140"/>
      <c r="P1085" s="140"/>
      <c r="Q1085" s="140"/>
      <c r="R1085" s="140"/>
      <c r="S1085" s="140"/>
      <c r="T1085" s="140"/>
      <c r="U1085" s="140"/>
      <c r="V1085" s="140"/>
      <c r="W1085" s="140"/>
      <c r="X1085" s="140"/>
      <c r="Y1085" s="140"/>
      <c r="Z1085" s="140"/>
      <c r="AA1085" s="141"/>
      <c r="AE1085" s="140"/>
      <c r="AI1085" s="141"/>
      <c r="AM1085" s="141"/>
      <c r="AQ1085" s="141"/>
      <c r="AT1085" s="140"/>
      <c r="AU1085" s="140"/>
    </row>
    <row r="1086" spans="2:47" s="134" customFormat="1" x14ac:dyDescent="0.2">
      <c r="B1086" s="145"/>
      <c r="D1086" s="679"/>
      <c r="J1086" s="140"/>
      <c r="K1086" s="140"/>
      <c r="L1086" s="140"/>
      <c r="M1086" s="140"/>
      <c r="N1086" s="140"/>
      <c r="O1086" s="140"/>
      <c r="P1086" s="140"/>
      <c r="Q1086" s="140"/>
      <c r="R1086" s="140"/>
      <c r="S1086" s="140"/>
      <c r="T1086" s="140"/>
      <c r="U1086" s="140"/>
      <c r="V1086" s="140"/>
      <c r="W1086" s="140"/>
      <c r="X1086" s="140"/>
      <c r="Y1086" s="140"/>
      <c r="Z1086" s="140"/>
      <c r="AA1086" s="141"/>
      <c r="AE1086" s="140"/>
      <c r="AI1086" s="141"/>
      <c r="AM1086" s="141"/>
      <c r="AQ1086" s="141"/>
      <c r="AT1086" s="140"/>
      <c r="AU1086" s="140"/>
    </row>
    <row r="1087" spans="2:47" s="134" customFormat="1" x14ac:dyDescent="0.2">
      <c r="B1087" s="145"/>
      <c r="D1087" s="679"/>
      <c r="J1087" s="140"/>
      <c r="K1087" s="140"/>
      <c r="L1087" s="140"/>
      <c r="M1087" s="140"/>
      <c r="N1087" s="140"/>
      <c r="O1087" s="140"/>
      <c r="P1087" s="140"/>
      <c r="Q1087" s="140"/>
      <c r="R1087" s="140"/>
      <c r="S1087" s="140"/>
      <c r="T1087" s="140"/>
      <c r="U1087" s="140"/>
      <c r="V1087" s="140"/>
      <c r="W1087" s="140"/>
      <c r="X1087" s="140"/>
      <c r="Y1087" s="140"/>
      <c r="Z1087" s="140"/>
      <c r="AA1087" s="141"/>
      <c r="AE1087" s="140"/>
      <c r="AI1087" s="141"/>
      <c r="AM1087" s="141"/>
      <c r="AQ1087" s="141"/>
      <c r="AT1087" s="140"/>
      <c r="AU1087" s="140"/>
    </row>
    <row r="1088" spans="2:47" s="134" customFormat="1" x14ac:dyDescent="0.2">
      <c r="B1088" s="145"/>
      <c r="D1088" s="679"/>
      <c r="J1088" s="140"/>
      <c r="K1088" s="140"/>
      <c r="L1088" s="140"/>
      <c r="M1088" s="140"/>
      <c r="N1088" s="140"/>
      <c r="O1088" s="140"/>
      <c r="P1088" s="140"/>
      <c r="Q1088" s="140"/>
      <c r="R1088" s="140"/>
      <c r="S1088" s="140"/>
      <c r="T1088" s="140"/>
      <c r="U1088" s="140"/>
      <c r="V1088" s="140"/>
      <c r="W1088" s="140"/>
      <c r="X1088" s="140"/>
      <c r="Y1088" s="140"/>
      <c r="Z1088" s="140"/>
      <c r="AA1088" s="141"/>
      <c r="AE1088" s="140"/>
      <c r="AI1088" s="141"/>
      <c r="AM1088" s="141"/>
      <c r="AQ1088" s="141"/>
      <c r="AT1088" s="140"/>
      <c r="AU1088" s="140"/>
    </row>
    <row r="1089" spans="2:47" s="134" customFormat="1" x14ac:dyDescent="0.2">
      <c r="B1089" s="145"/>
      <c r="D1089" s="679"/>
      <c r="J1089" s="140"/>
      <c r="K1089" s="140"/>
      <c r="L1089" s="140"/>
      <c r="M1089" s="140"/>
      <c r="N1089" s="140"/>
      <c r="O1089" s="140"/>
      <c r="P1089" s="140"/>
      <c r="Q1089" s="140"/>
      <c r="R1089" s="140"/>
      <c r="S1089" s="140"/>
      <c r="T1089" s="140"/>
      <c r="U1089" s="140"/>
      <c r="V1089" s="140"/>
      <c r="W1089" s="140"/>
      <c r="X1089" s="140"/>
      <c r="Y1089" s="140"/>
      <c r="Z1089" s="140"/>
      <c r="AA1089" s="141"/>
      <c r="AE1089" s="140"/>
      <c r="AI1089" s="141"/>
      <c r="AM1089" s="141"/>
      <c r="AQ1089" s="141"/>
      <c r="AT1089" s="140"/>
      <c r="AU1089" s="140"/>
    </row>
    <row r="1090" spans="2:47" s="134" customFormat="1" x14ac:dyDescent="0.2">
      <c r="B1090" s="145"/>
      <c r="D1090" s="679"/>
      <c r="J1090" s="140"/>
      <c r="K1090" s="140"/>
      <c r="L1090" s="140"/>
      <c r="M1090" s="140"/>
      <c r="N1090" s="140"/>
      <c r="O1090" s="140"/>
      <c r="P1090" s="140"/>
      <c r="Q1090" s="140"/>
      <c r="R1090" s="140"/>
      <c r="S1090" s="140"/>
      <c r="T1090" s="140"/>
      <c r="U1090" s="140"/>
      <c r="V1090" s="140"/>
      <c r="W1090" s="140"/>
      <c r="X1090" s="140"/>
      <c r="Y1090" s="140"/>
      <c r="Z1090" s="140"/>
      <c r="AA1090" s="141"/>
      <c r="AE1090" s="140"/>
      <c r="AI1090" s="141"/>
      <c r="AM1090" s="141"/>
      <c r="AQ1090" s="141"/>
      <c r="AT1090" s="140"/>
      <c r="AU1090" s="140"/>
    </row>
    <row r="1091" spans="2:47" s="134" customFormat="1" x14ac:dyDescent="0.2">
      <c r="B1091" s="145"/>
      <c r="D1091" s="679"/>
      <c r="J1091" s="140"/>
      <c r="K1091" s="140"/>
      <c r="L1091" s="140"/>
      <c r="M1091" s="140"/>
      <c r="N1091" s="140"/>
      <c r="O1091" s="140"/>
      <c r="P1091" s="140"/>
      <c r="Q1091" s="140"/>
      <c r="R1091" s="140"/>
      <c r="S1091" s="140"/>
      <c r="T1091" s="140"/>
      <c r="U1091" s="140"/>
      <c r="V1091" s="140"/>
      <c r="W1091" s="140"/>
      <c r="X1091" s="140"/>
      <c r="Y1091" s="140"/>
      <c r="Z1091" s="140"/>
      <c r="AA1091" s="141"/>
      <c r="AE1091" s="140"/>
      <c r="AI1091" s="141"/>
      <c r="AM1091" s="141"/>
      <c r="AQ1091" s="141"/>
      <c r="AT1091" s="140"/>
      <c r="AU1091" s="140"/>
    </row>
    <row r="1092" spans="2:47" s="134" customFormat="1" x14ac:dyDescent="0.2">
      <c r="B1092" s="145"/>
      <c r="D1092" s="679"/>
      <c r="J1092" s="140"/>
      <c r="K1092" s="140"/>
      <c r="L1092" s="140"/>
      <c r="M1092" s="140"/>
      <c r="N1092" s="140"/>
      <c r="O1092" s="140"/>
      <c r="P1092" s="140"/>
      <c r="Q1092" s="140"/>
      <c r="R1092" s="140"/>
      <c r="S1092" s="140"/>
      <c r="T1092" s="140"/>
      <c r="U1092" s="140"/>
      <c r="V1092" s="140"/>
      <c r="W1092" s="140"/>
      <c r="X1092" s="140"/>
      <c r="Y1092" s="140"/>
      <c r="Z1092" s="140"/>
      <c r="AA1092" s="141"/>
      <c r="AE1092" s="140"/>
      <c r="AI1092" s="141"/>
      <c r="AM1092" s="141"/>
      <c r="AQ1092" s="141"/>
      <c r="AT1092" s="140"/>
      <c r="AU1092" s="140"/>
    </row>
    <row r="1093" spans="2:47" s="134" customFormat="1" x14ac:dyDescent="0.2">
      <c r="B1093" s="145"/>
      <c r="D1093" s="679"/>
      <c r="J1093" s="140"/>
      <c r="K1093" s="140"/>
      <c r="L1093" s="140"/>
      <c r="M1093" s="140"/>
      <c r="N1093" s="140"/>
      <c r="O1093" s="140"/>
      <c r="P1093" s="140"/>
      <c r="Q1093" s="140"/>
      <c r="R1093" s="140"/>
      <c r="S1093" s="140"/>
      <c r="T1093" s="140"/>
      <c r="U1093" s="140"/>
      <c r="V1093" s="140"/>
      <c r="W1093" s="140"/>
      <c r="X1093" s="140"/>
      <c r="Y1093" s="140"/>
      <c r="Z1093" s="140"/>
      <c r="AA1093" s="141"/>
      <c r="AE1093" s="140"/>
      <c r="AI1093" s="141"/>
      <c r="AM1093" s="141"/>
      <c r="AQ1093" s="141"/>
      <c r="AT1093" s="140"/>
      <c r="AU1093" s="140"/>
    </row>
    <row r="1094" spans="2:47" s="134" customFormat="1" x14ac:dyDescent="0.2">
      <c r="B1094" s="145"/>
      <c r="D1094" s="679"/>
      <c r="J1094" s="140"/>
      <c r="K1094" s="140"/>
      <c r="L1094" s="140"/>
      <c r="M1094" s="140"/>
      <c r="N1094" s="140"/>
      <c r="O1094" s="140"/>
      <c r="P1094" s="140"/>
      <c r="Q1094" s="140"/>
      <c r="R1094" s="140"/>
      <c r="S1094" s="140"/>
      <c r="T1094" s="140"/>
      <c r="U1094" s="140"/>
      <c r="V1094" s="140"/>
      <c r="W1094" s="140"/>
      <c r="X1094" s="140"/>
      <c r="Y1094" s="140"/>
      <c r="Z1094" s="140"/>
      <c r="AA1094" s="141"/>
      <c r="AE1094" s="140"/>
      <c r="AI1094" s="141"/>
      <c r="AM1094" s="141"/>
      <c r="AQ1094" s="141"/>
      <c r="AT1094" s="140"/>
      <c r="AU1094" s="140"/>
    </row>
    <row r="1095" spans="2:47" s="134" customFormat="1" x14ac:dyDescent="0.2">
      <c r="B1095" s="145"/>
      <c r="D1095" s="679"/>
      <c r="J1095" s="140"/>
      <c r="K1095" s="140"/>
      <c r="L1095" s="140"/>
      <c r="M1095" s="140"/>
      <c r="N1095" s="140"/>
      <c r="O1095" s="140"/>
      <c r="P1095" s="140"/>
      <c r="Q1095" s="140"/>
      <c r="R1095" s="140"/>
      <c r="S1095" s="140"/>
      <c r="T1095" s="140"/>
      <c r="U1095" s="140"/>
      <c r="V1095" s="140"/>
      <c r="W1095" s="140"/>
      <c r="X1095" s="140"/>
      <c r="Y1095" s="140"/>
      <c r="Z1095" s="140"/>
      <c r="AA1095" s="141"/>
      <c r="AE1095" s="140"/>
      <c r="AI1095" s="141"/>
      <c r="AM1095" s="141"/>
      <c r="AQ1095" s="141"/>
      <c r="AT1095" s="140"/>
      <c r="AU1095" s="140"/>
    </row>
    <row r="1096" spans="2:47" s="134" customFormat="1" x14ac:dyDescent="0.2">
      <c r="B1096" s="145"/>
      <c r="D1096" s="679"/>
      <c r="J1096" s="140"/>
      <c r="K1096" s="140"/>
      <c r="L1096" s="140"/>
      <c r="M1096" s="140"/>
      <c r="N1096" s="140"/>
      <c r="O1096" s="140"/>
      <c r="P1096" s="140"/>
      <c r="Q1096" s="140"/>
      <c r="R1096" s="140"/>
      <c r="S1096" s="140"/>
      <c r="T1096" s="140"/>
      <c r="U1096" s="140"/>
      <c r="V1096" s="140"/>
      <c r="W1096" s="140"/>
      <c r="X1096" s="140"/>
      <c r="Y1096" s="140"/>
      <c r="Z1096" s="140"/>
      <c r="AA1096" s="141"/>
      <c r="AE1096" s="140"/>
      <c r="AI1096" s="141"/>
      <c r="AM1096" s="141"/>
      <c r="AQ1096" s="141"/>
      <c r="AT1096" s="140"/>
      <c r="AU1096" s="140"/>
    </row>
    <row r="1097" spans="2:47" s="134" customFormat="1" x14ac:dyDescent="0.2">
      <c r="B1097" s="145"/>
      <c r="D1097" s="679"/>
      <c r="J1097" s="140"/>
      <c r="K1097" s="140"/>
      <c r="L1097" s="140"/>
      <c r="M1097" s="140"/>
      <c r="N1097" s="140"/>
      <c r="O1097" s="140"/>
      <c r="P1097" s="140"/>
      <c r="Q1097" s="140"/>
      <c r="R1097" s="140"/>
      <c r="S1097" s="140"/>
      <c r="T1097" s="140"/>
      <c r="U1097" s="140"/>
      <c r="V1097" s="140"/>
      <c r="W1097" s="140"/>
      <c r="X1097" s="140"/>
      <c r="Y1097" s="140"/>
      <c r="Z1097" s="140"/>
      <c r="AA1097" s="141"/>
      <c r="AE1097" s="140"/>
      <c r="AI1097" s="141"/>
      <c r="AM1097" s="141"/>
      <c r="AQ1097" s="141"/>
      <c r="AT1097" s="140"/>
      <c r="AU1097" s="140"/>
    </row>
    <row r="1098" spans="2:47" s="134" customFormat="1" x14ac:dyDescent="0.2">
      <c r="B1098" s="145"/>
      <c r="D1098" s="679"/>
      <c r="J1098" s="140"/>
      <c r="K1098" s="140"/>
      <c r="L1098" s="140"/>
      <c r="M1098" s="140"/>
      <c r="N1098" s="140"/>
      <c r="O1098" s="140"/>
      <c r="P1098" s="140"/>
      <c r="Q1098" s="140"/>
      <c r="R1098" s="140"/>
      <c r="S1098" s="140"/>
      <c r="T1098" s="140"/>
      <c r="U1098" s="140"/>
      <c r="V1098" s="140"/>
      <c r="W1098" s="140"/>
      <c r="X1098" s="140"/>
      <c r="Y1098" s="140"/>
      <c r="Z1098" s="140"/>
      <c r="AA1098" s="141"/>
      <c r="AE1098" s="140"/>
      <c r="AI1098" s="141"/>
      <c r="AM1098" s="141"/>
      <c r="AQ1098" s="141"/>
      <c r="AT1098" s="140"/>
      <c r="AU1098" s="140"/>
    </row>
    <row r="1099" spans="2:47" s="134" customFormat="1" x14ac:dyDescent="0.2">
      <c r="B1099" s="145"/>
      <c r="D1099" s="679"/>
      <c r="J1099" s="140"/>
      <c r="K1099" s="140"/>
      <c r="L1099" s="140"/>
      <c r="M1099" s="140"/>
      <c r="N1099" s="140"/>
      <c r="O1099" s="140"/>
      <c r="P1099" s="140"/>
      <c r="Q1099" s="140"/>
      <c r="R1099" s="140"/>
      <c r="S1099" s="140"/>
      <c r="T1099" s="140"/>
      <c r="U1099" s="140"/>
      <c r="V1099" s="140"/>
      <c r="W1099" s="140"/>
      <c r="X1099" s="140"/>
      <c r="Y1099" s="140"/>
      <c r="Z1099" s="140"/>
      <c r="AA1099" s="141"/>
      <c r="AE1099" s="140"/>
      <c r="AI1099" s="141"/>
      <c r="AM1099" s="141"/>
      <c r="AQ1099" s="141"/>
      <c r="AT1099" s="140"/>
      <c r="AU1099" s="140"/>
    </row>
    <row r="1100" spans="2:47" s="134" customFormat="1" x14ac:dyDescent="0.2">
      <c r="B1100" s="145"/>
      <c r="D1100" s="679"/>
      <c r="J1100" s="140"/>
      <c r="K1100" s="140"/>
      <c r="L1100" s="140"/>
      <c r="M1100" s="140"/>
      <c r="N1100" s="140"/>
      <c r="O1100" s="140"/>
      <c r="P1100" s="140"/>
      <c r="Q1100" s="140"/>
      <c r="R1100" s="140"/>
      <c r="S1100" s="140"/>
      <c r="T1100" s="140"/>
      <c r="U1100" s="140"/>
      <c r="V1100" s="140"/>
      <c r="W1100" s="140"/>
      <c r="X1100" s="140"/>
      <c r="Y1100" s="140"/>
      <c r="Z1100" s="140"/>
      <c r="AA1100" s="141"/>
      <c r="AE1100" s="140"/>
      <c r="AI1100" s="141"/>
      <c r="AM1100" s="141"/>
      <c r="AQ1100" s="141"/>
      <c r="AT1100" s="140"/>
      <c r="AU1100" s="140"/>
    </row>
    <row r="1101" spans="2:47" s="134" customFormat="1" x14ac:dyDescent="0.2">
      <c r="B1101" s="145"/>
      <c r="D1101" s="679"/>
      <c r="J1101" s="140"/>
      <c r="K1101" s="140"/>
      <c r="L1101" s="140"/>
      <c r="M1101" s="140"/>
      <c r="N1101" s="140"/>
      <c r="O1101" s="140"/>
      <c r="P1101" s="140"/>
      <c r="Q1101" s="140"/>
      <c r="R1101" s="140"/>
      <c r="S1101" s="140"/>
      <c r="T1101" s="140"/>
      <c r="U1101" s="140"/>
      <c r="V1101" s="140"/>
      <c r="W1101" s="140"/>
      <c r="X1101" s="140"/>
      <c r="Y1101" s="140"/>
      <c r="Z1101" s="140"/>
      <c r="AA1101" s="141"/>
      <c r="AE1101" s="140"/>
      <c r="AI1101" s="141"/>
      <c r="AM1101" s="141"/>
      <c r="AQ1101" s="141"/>
      <c r="AT1101" s="140"/>
      <c r="AU1101" s="140"/>
    </row>
    <row r="1102" spans="2:47" s="134" customFormat="1" x14ac:dyDescent="0.2">
      <c r="B1102" s="145"/>
      <c r="D1102" s="679"/>
      <c r="J1102" s="140"/>
      <c r="K1102" s="140"/>
      <c r="L1102" s="140"/>
      <c r="M1102" s="140"/>
      <c r="N1102" s="140"/>
      <c r="O1102" s="140"/>
      <c r="P1102" s="140"/>
      <c r="Q1102" s="140"/>
      <c r="R1102" s="140"/>
      <c r="S1102" s="140"/>
      <c r="T1102" s="140"/>
      <c r="U1102" s="140"/>
      <c r="V1102" s="140"/>
      <c r="W1102" s="140"/>
      <c r="X1102" s="140"/>
      <c r="Y1102" s="140"/>
      <c r="Z1102" s="140"/>
      <c r="AA1102" s="141"/>
      <c r="AE1102" s="140"/>
      <c r="AI1102" s="141"/>
      <c r="AM1102" s="141"/>
      <c r="AQ1102" s="141"/>
      <c r="AT1102" s="140"/>
      <c r="AU1102" s="140"/>
    </row>
    <row r="1103" spans="2:47" s="134" customFormat="1" x14ac:dyDescent="0.2">
      <c r="B1103" s="145"/>
      <c r="D1103" s="679"/>
      <c r="J1103" s="140"/>
      <c r="K1103" s="140"/>
      <c r="L1103" s="140"/>
      <c r="M1103" s="140"/>
      <c r="N1103" s="140"/>
      <c r="O1103" s="140"/>
      <c r="P1103" s="140"/>
      <c r="Q1103" s="140"/>
      <c r="R1103" s="140"/>
      <c r="S1103" s="140"/>
      <c r="T1103" s="140"/>
      <c r="U1103" s="140"/>
      <c r="V1103" s="140"/>
      <c r="W1103" s="140"/>
      <c r="X1103" s="140"/>
      <c r="Y1103" s="140"/>
      <c r="Z1103" s="140"/>
      <c r="AA1103" s="141"/>
      <c r="AE1103" s="140"/>
      <c r="AI1103" s="141"/>
      <c r="AM1103" s="141"/>
      <c r="AQ1103" s="141"/>
      <c r="AT1103" s="140"/>
      <c r="AU1103" s="140"/>
    </row>
    <row r="1104" spans="2:47" s="134" customFormat="1" x14ac:dyDescent="0.2">
      <c r="B1104" s="145"/>
      <c r="D1104" s="679"/>
      <c r="J1104" s="140"/>
      <c r="K1104" s="140"/>
      <c r="L1104" s="140"/>
      <c r="M1104" s="140"/>
      <c r="N1104" s="140"/>
      <c r="O1104" s="140"/>
      <c r="P1104" s="140"/>
      <c r="Q1104" s="140"/>
      <c r="R1104" s="140"/>
      <c r="S1104" s="140"/>
      <c r="T1104" s="140"/>
      <c r="U1104" s="140"/>
      <c r="V1104" s="140"/>
      <c r="W1104" s="140"/>
      <c r="X1104" s="140"/>
      <c r="Y1104" s="140"/>
      <c r="Z1104" s="140"/>
      <c r="AA1104" s="141"/>
      <c r="AE1104" s="140"/>
      <c r="AI1104" s="141"/>
      <c r="AM1104" s="141"/>
      <c r="AQ1104" s="141"/>
      <c r="AT1104" s="140"/>
      <c r="AU1104" s="140"/>
    </row>
    <row r="1105" spans="2:47" s="134" customFormat="1" x14ac:dyDescent="0.2">
      <c r="B1105" s="145"/>
      <c r="D1105" s="679"/>
      <c r="J1105" s="140"/>
      <c r="K1105" s="140"/>
      <c r="L1105" s="140"/>
      <c r="M1105" s="140"/>
      <c r="N1105" s="140"/>
      <c r="O1105" s="140"/>
      <c r="P1105" s="140"/>
      <c r="Q1105" s="140"/>
      <c r="R1105" s="140"/>
      <c r="S1105" s="140"/>
      <c r="T1105" s="140"/>
      <c r="U1105" s="140"/>
      <c r="V1105" s="140"/>
      <c r="W1105" s="140"/>
      <c r="X1105" s="140"/>
      <c r="Y1105" s="140"/>
      <c r="Z1105" s="140"/>
      <c r="AA1105" s="141"/>
      <c r="AE1105" s="140"/>
      <c r="AI1105" s="141"/>
      <c r="AM1105" s="141"/>
      <c r="AQ1105" s="141"/>
      <c r="AT1105" s="140"/>
      <c r="AU1105" s="140"/>
    </row>
    <row r="1106" spans="2:47" s="134" customFormat="1" x14ac:dyDescent="0.2">
      <c r="B1106" s="145"/>
      <c r="D1106" s="679"/>
      <c r="J1106" s="140"/>
      <c r="K1106" s="140"/>
      <c r="L1106" s="140"/>
      <c r="M1106" s="140"/>
      <c r="N1106" s="140"/>
      <c r="O1106" s="140"/>
      <c r="P1106" s="140"/>
      <c r="Q1106" s="140"/>
      <c r="R1106" s="140"/>
      <c r="S1106" s="140"/>
      <c r="T1106" s="140"/>
      <c r="U1106" s="140"/>
      <c r="V1106" s="140"/>
      <c r="W1106" s="140"/>
      <c r="X1106" s="140"/>
      <c r="Y1106" s="140"/>
      <c r="Z1106" s="140"/>
      <c r="AA1106" s="141"/>
      <c r="AE1106" s="140"/>
      <c r="AI1106" s="141"/>
      <c r="AM1106" s="141"/>
      <c r="AQ1106" s="141"/>
      <c r="AT1106" s="140"/>
      <c r="AU1106" s="140"/>
    </row>
    <row r="1107" spans="2:47" s="134" customFormat="1" x14ac:dyDescent="0.2">
      <c r="B1107" s="145"/>
      <c r="D1107" s="679"/>
      <c r="J1107" s="140"/>
      <c r="K1107" s="140"/>
      <c r="L1107" s="140"/>
      <c r="M1107" s="140"/>
      <c r="N1107" s="140"/>
      <c r="O1107" s="140"/>
      <c r="P1107" s="140"/>
      <c r="Q1107" s="140"/>
      <c r="R1107" s="140"/>
      <c r="S1107" s="140"/>
      <c r="T1107" s="140"/>
      <c r="U1107" s="140"/>
      <c r="V1107" s="140"/>
      <c r="W1107" s="140"/>
      <c r="X1107" s="140"/>
      <c r="Y1107" s="140"/>
      <c r="Z1107" s="140"/>
      <c r="AA1107" s="141"/>
      <c r="AE1107" s="140"/>
      <c r="AI1107" s="141"/>
      <c r="AM1107" s="141"/>
      <c r="AQ1107" s="141"/>
      <c r="AT1107" s="140"/>
      <c r="AU1107" s="140"/>
    </row>
    <row r="1108" spans="2:47" s="134" customFormat="1" x14ac:dyDescent="0.2">
      <c r="B1108" s="145"/>
      <c r="D1108" s="679"/>
      <c r="J1108" s="140"/>
      <c r="K1108" s="140"/>
      <c r="L1108" s="140"/>
      <c r="M1108" s="140"/>
      <c r="N1108" s="140"/>
      <c r="O1108" s="140"/>
      <c r="P1108" s="140"/>
      <c r="Q1108" s="140"/>
      <c r="R1108" s="140"/>
      <c r="S1108" s="140"/>
      <c r="T1108" s="140"/>
      <c r="U1108" s="140"/>
      <c r="V1108" s="140"/>
      <c r="W1108" s="140"/>
      <c r="X1108" s="140"/>
      <c r="Y1108" s="140"/>
      <c r="Z1108" s="140"/>
      <c r="AA1108" s="141"/>
      <c r="AE1108" s="140"/>
      <c r="AI1108" s="141"/>
      <c r="AM1108" s="141"/>
      <c r="AQ1108" s="141"/>
      <c r="AT1108" s="140"/>
      <c r="AU1108" s="140"/>
    </row>
    <row r="1109" spans="2:47" s="134" customFormat="1" x14ac:dyDescent="0.2">
      <c r="B1109" s="145"/>
      <c r="D1109" s="679"/>
      <c r="J1109" s="140"/>
      <c r="K1109" s="140"/>
      <c r="L1109" s="140"/>
      <c r="M1109" s="140"/>
      <c r="N1109" s="140"/>
      <c r="O1109" s="140"/>
      <c r="P1109" s="140"/>
      <c r="Q1109" s="140"/>
      <c r="R1109" s="140"/>
      <c r="S1109" s="140"/>
      <c r="T1109" s="140"/>
      <c r="U1109" s="140"/>
      <c r="V1109" s="140"/>
      <c r="W1109" s="140"/>
      <c r="X1109" s="140"/>
      <c r="Y1109" s="140"/>
      <c r="Z1109" s="140"/>
      <c r="AA1109" s="141"/>
      <c r="AE1109" s="140"/>
      <c r="AI1109" s="141"/>
      <c r="AM1109" s="141"/>
      <c r="AQ1109" s="141"/>
      <c r="AT1109" s="140"/>
      <c r="AU1109" s="140"/>
    </row>
    <row r="1110" spans="2:47" s="134" customFormat="1" x14ac:dyDescent="0.2">
      <c r="B1110" s="145"/>
      <c r="D1110" s="679"/>
      <c r="J1110" s="140"/>
      <c r="K1110" s="140"/>
      <c r="L1110" s="140"/>
      <c r="M1110" s="140"/>
      <c r="N1110" s="140"/>
      <c r="O1110" s="140"/>
      <c r="P1110" s="140"/>
      <c r="Q1110" s="140"/>
      <c r="R1110" s="140"/>
      <c r="S1110" s="140"/>
      <c r="T1110" s="140"/>
      <c r="U1110" s="140"/>
      <c r="V1110" s="140"/>
      <c r="W1110" s="140"/>
      <c r="X1110" s="140"/>
      <c r="Y1110" s="140"/>
      <c r="Z1110" s="140"/>
      <c r="AA1110" s="141"/>
      <c r="AE1110" s="140"/>
      <c r="AI1110" s="141"/>
      <c r="AM1110" s="141"/>
      <c r="AQ1110" s="141"/>
      <c r="AT1110" s="140"/>
      <c r="AU1110" s="140"/>
    </row>
    <row r="1111" spans="2:47" s="134" customFormat="1" x14ac:dyDescent="0.2">
      <c r="B1111" s="145"/>
      <c r="D1111" s="679"/>
      <c r="J1111" s="140"/>
      <c r="K1111" s="140"/>
      <c r="L1111" s="140"/>
      <c r="M1111" s="140"/>
      <c r="N1111" s="140"/>
      <c r="O1111" s="140"/>
      <c r="P1111" s="140"/>
      <c r="Q1111" s="140"/>
      <c r="R1111" s="140"/>
      <c r="S1111" s="140"/>
      <c r="T1111" s="140"/>
      <c r="U1111" s="140"/>
      <c r="V1111" s="140"/>
      <c r="W1111" s="140"/>
      <c r="X1111" s="140"/>
      <c r="Y1111" s="140"/>
      <c r="Z1111" s="140"/>
      <c r="AA1111" s="141"/>
      <c r="AE1111" s="140"/>
      <c r="AI1111" s="141"/>
      <c r="AM1111" s="141"/>
      <c r="AQ1111" s="141"/>
      <c r="AT1111" s="140"/>
      <c r="AU1111" s="140"/>
    </row>
    <row r="1112" spans="2:47" s="134" customFormat="1" x14ac:dyDescent="0.2">
      <c r="B1112" s="145"/>
      <c r="D1112" s="679"/>
      <c r="J1112" s="140"/>
      <c r="K1112" s="140"/>
      <c r="L1112" s="140"/>
      <c r="M1112" s="140"/>
      <c r="N1112" s="140"/>
      <c r="O1112" s="140"/>
      <c r="P1112" s="140"/>
      <c r="Q1112" s="140"/>
      <c r="R1112" s="140"/>
      <c r="S1112" s="140"/>
      <c r="T1112" s="140"/>
      <c r="U1112" s="140"/>
      <c r="V1112" s="140"/>
      <c r="W1112" s="140"/>
      <c r="X1112" s="140"/>
      <c r="Y1112" s="140"/>
      <c r="Z1112" s="140"/>
      <c r="AA1112" s="141"/>
      <c r="AE1112" s="140"/>
      <c r="AI1112" s="141"/>
      <c r="AM1112" s="141"/>
      <c r="AQ1112" s="141"/>
      <c r="AT1112" s="140"/>
      <c r="AU1112" s="140"/>
    </row>
    <row r="1113" spans="2:47" s="134" customFormat="1" x14ac:dyDescent="0.2">
      <c r="B1113" s="145"/>
      <c r="D1113" s="679"/>
      <c r="J1113" s="140"/>
      <c r="K1113" s="140"/>
      <c r="L1113" s="140"/>
      <c r="M1113" s="140"/>
      <c r="N1113" s="140"/>
      <c r="O1113" s="140"/>
      <c r="P1113" s="140"/>
      <c r="Q1113" s="140"/>
      <c r="R1113" s="140"/>
      <c r="S1113" s="140"/>
      <c r="T1113" s="140"/>
      <c r="U1113" s="140"/>
      <c r="V1113" s="140"/>
      <c r="W1113" s="140"/>
      <c r="X1113" s="140"/>
      <c r="Y1113" s="140"/>
      <c r="Z1113" s="140"/>
      <c r="AA1113" s="141"/>
      <c r="AE1113" s="140"/>
      <c r="AI1113" s="141"/>
      <c r="AM1113" s="141"/>
      <c r="AQ1113" s="141"/>
      <c r="AT1113" s="140"/>
      <c r="AU1113" s="140"/>
    </row>
    <row r="1114" spans="2:47" s="134" customFormat="1" x14ac:dyDescent="0.2">
      <c r="B1114" s="145"/>
      <c r="D1114" s="679"/>
      <c r="J1114" s="140"/>
      <c r="K1114" s="140"/>
      <c r="L1114" s="140"/>
      <c r="M1114" s="140"/>
      <c r="N1114" s="140"/>
      <c r="O1114" s="140"/>
      <c r="P1114" s="140"/>
      <c r="Q1114" s="140"/>
      <c r="R1114" s="140"/>
      <c r="S1114" s="140"/>
      <c r="T1114" s="140"/>
      <c r="U1114" s="140"/>
      <c r="V1114" s="140"/>
      <c r="W1114" s="140"/>
      <c r="X1114" s="140"/>
      <c r="Y1114" s="140"/>
      <c r="Z1114" s="140"/>
      <c r="AA1114" s="141"/>
      <c r="AE1114" s="140"/>
      <c r="AI1114" s="141"/>
      <c r="AM1114" s="141"/>
      <c r="AQ1114" s="141"/>
      <c r="AT1114" s="140"/>
      <c r="AU1114" s="140"/>
    </row>
    <row r="1115" spans="2:47" s="134" customFormat="1" x14ac:dyDescent="0.2">
      <c r="B1115" s="145"/>
      <c r="D1115" s="679"/>
      <c r="J1115" s="140"/>
      <c r="K1115" s="140"/>
      <c r="L1115" s="140"/>
      <c r="M1115" s="140"/>
      <c r="N1115" s="140"/>
      <c r="O1115" s="140"/>
      <c r="P1115" s="140"/>
      <c r="Q1115" s="140"/>
      <c r="R1115" s="140"/>
      <c r="S1115" s="140"/>
      <c r="T1115" s="140"/>
      <c r="U1115" s="140"/>
      <c r="V1115" s="140"/>
      <c r="W1115" s="140"/>
      <c r="X1115" s="140"/>
      <c r="Y1115" s="140"/>
      <c r="Z1115" s="140"/>
      <c r="AA1115" s="141"/>
      <c r="AE1115" s="140"/>
      <c r="AI1115" s="141"/>
      <c r="AM1115" s="141"/>
      <c r="AQ1115" s="141"/>
      <c r="AT1115" s="140"/>
      <c r="AU1115" s="140"/>
    </row>
    <row r="1116" spans="2:47" s="134" customFormat="1" x14ac:dyDescent="0.2">
      <c r="B1116" s="145"/>
      <c r="D1116" s="679"/>
      <c r="J1116" s="140"/>
      <c r="K1116" s="140"/>
      <c r="L1116" s="140"/>
      <c r="M1116" s="140"/>
      <c r="N1116" s="140"/>
      <c r="O1116" s="140"/>
      <c r="P1116" s="140"/>
      <c r="Q1116" s="140"/>
      <c r="R1116" s="140"/>
      <c r="S1116" s="140"/>
      <c r="T1116" s="140"/>
      <c r="U1116" s="140"/>
      <c r="V1116" s="140"/>
      <c r="W1116" s="140"/>
      <c r="X1116" s="140"/>
      <c r="Y1116" s="140"/>
      <c r="Z1116" s="140"/>
      <c r="AA1116" s="141"/>
      <c r="AE1116" s="140"/>
      <c r="AI1116" s="141"/>
      <c r="AM1116" s="141"/>
      <c r="AQ1116" s="141"/>
      <c r="AT1116" s="140"/>
      <c r="AU1116" s="140"/>
    </row>
    <row r="1117" spans="2:47" s="134" customFormat="1" x14ac:dyDescent="0.2">
      <c r="B1117" s="145"/>
      <c r="D1117" s="679"/>
      <c r="J1117" s="140"/>
      <c r="K1117" s="140"/>
      <c r="L1117" s="140"/>
      <c r="M1117" s="140"/>
      <c r="N1117" s="140"/>
      <c r="O1117" s="140"/>
      <c r="P1117" s="140"/>
      <c r="Q1117" s="140"/>
      <c r="R1117" s="140"/>
      <c r="S1117" s="140"/>
      <c r="T1117" s="140"/>
      <c r="U1117" s="140"/>
      <c r="V1117" s="140"/>
      <c r="W1117" s="140"/>
      <c r="X1117" s="140"/>
      <c r="Y1117" s="140"/>
      <c r="Z1117" s="140"/>
      <c r="AA1117" s="141"/>
      <c r="AE1117" s="140"/>
      <c r="AI1117" s="141"/>
      <c r="AM1117" s="141"/>
      <c r="AQ1117" s="141"/>
      <c r="AT1117" s="140"/>
      <c r="AU1117" s="140"/>
    </row>
    <row r="1118" spans="2:47" s="134" customFormat="1" x14ac:dyDescent="0.2">
      <c r="B1118" s="145"/>
      <c r="D1118" s="679"/>
      <c r="J1118" s="140"/>
      <c r="K1118" s="140"/>
      <c r="L1118" s="140"/>
      <c r="M1118" s="140"/>
      <c r="N1118" s="140"/>
      <c r="O1118" s="140"/>
      <c r="P1118" s="140"/>
      <c r="Q1118" s="140"/>
      <c r="R1118" s="140"/>
      <c r="S1118" s="140"/>
      <c r="T1118" s="140"/>
      <c r="U1118" s="140"/>
      <c r="V1118" s="140"/>
      <c r="W1118" s="140"/>
      <c r="X1118" s="140"/>
      <c r="Y1118" s="140"/>
      <c r="Z1118" s="140"/>
      <c r="AA1118" s="141"/>
      <c r="AE1118" s="140"/>
      <c r="AI1118" s="141"/>
      <c r="AM1118" s="141"/>
      <c r="AQ1118" s="141"/>
      <c r="AT1118" s="140"/>
      <c r="AU1118" s="140"/>
    </row>
    <row r="1119" spans="2:47" s="134" customFormat="1" x14ac:dyDescent="0.2">
      <c r="B1119" s="145"/>
      <c r="D1119" s="679"/>
      <c r="J1119" s="140"/>
      <c r="K1119" s="140"/>
      <c r="L1119" s="140"/>
      <c r="M1119" s="140"/>
      <c r="N1119" s="140"/>
      <c r="O1119" s="140"/>
      <c r="P1119" s="140"/>
      <c r="Q1119" s="140"/>
      <c r="R1119" s="140"/>
      <c r="S1119" s="140"/>
      <c r="T1119" s="140"/>
      <c r="U1119" s="140"/>
      <c r="V1119" s="140"/>
      <c r="W1119" s="140"/>
      <c r="X1119" s="140"/>
      <c r="Y1119" s="140"/>
      <c r="Z1119" s="140"/>
      <c r="AA1119" s="141"/>
      <c r="AE1119" s="140"/>
      <c r="AI1119" s="141"/>
      <c r="AM1119" s="141"/>
      <c r="AQ1119" s="141"/>
      <c r="AT1119" s="140"/>
      <c r="AU1119" s="140"/>
    </row>
    <row r="1120" spans="2:47" s="134" customFormat="1" x14ac:dyDescent="0.2">
      <c r="B1120" s="145"/>
      <c r="D1120" s="679"/>
      <c r="J1120" s="140"/>
      <c r="K1120" s="140"/>
      <c r="L1120" s="140"/>
      <c r="M1120" s="140"/>
      <c r="N1120" s="140"/>
      <c r="O1120" s="140"/>
      <c r="P1120" s="140"/>
      <c r="Q1120" s="140"/>
      <c r="R1120" s="140"/>
      <c r="S1120" s="140"/>
      <c r="T1120" s="140"/>
      <c r="U1120" s="140"/>
      <c r="V1120" s="140"/>
      <c r="W1120" s="140"/>
      <c r="X1120" s="140"/>
      <c r="Y1120" s="140"/>
      <c r="Z1120" s="140"/>
      <c r="AA1120" s="141"/>
      <c r="AE1120" s="140"/>
      <c r="AI1120" s="141"/>
      <c r="AM1120" s="141"/>
      <c r="AQ1120" s="141"/>
      <c r="AT1120" s="140"/>
      <c r="AU1120" s="140"/>
    </row>
    <row r="1121" spans="2:47" s="134" customFormat="1" x14ac:dyDescent="0.2">
      <c r="B1121" s="145"/>
      <c r="D1121" s="679"/>
      <c r="J1121" s="140"/>
      <c r="K1121" s="140"/>
      <c r="L1121" s="140"/>
      <c r="M1121" s="140"/>
      <c r="N1121" s="140"/>
      <c r="O1121" s="140"/>
      <c r="P1121" s="140"/>
      <c r="Q1121" s="140"/>
      <c r="R1121" s="140"/>
      <c r="S1121" s="140"/>
      <c r="T1121" s="140"/>
      <c r="U1121" s="140"/>
      <c r="V1121" s="140"/>
      <c r="W1121" s="140"/>
      <c r="X1121" s="140"/>
      <c r="Y1121" s="140"/>
      <c r="Z1121" s="140"/>
      <c r="AA1121" s="141"/>
      <c r="AE1121" s="140"/>
      <c r="AI1121" s="141"/>
      <c r="AM1121" s="141"/>
      <c r="AQ1121" s="141"/>
      <c r="AT1121" s="140"/>
      <c r="AU1121" s="140"/>
    </row>
    <row r="1122" spans="2:47" s="134" customFormat="1" x14ac:dyDescent="0.2">
      <c r="B1122" s="145"/>
      <c r="D1122" s="679"/>
      <c r="J1122" s="140"/>
      <c r="K1122" s="140"/>
      <c r="L1122" s="140"/>
      <c r="M1122" s="140"/>
      <c r="N1122" s="140"/>
      <c r="O1122" s="140"/>
      <c r="P1122" s="140"/>
      <c r="Q1122" s="140"/>
      <c r="R1122" s="140"/>
      <c r="S1122" s="140"/>
      <c r="T1122" s="140"/>
      <c r="U1122" s="140"/>
      <c r="V1122" s="140"/>
      <c r="W1122" s="140"/>
      <c r="X1122" s="140"/>
      <c r="Y1122" s="140"/>
      <c r="Z1122" s="140"/>
      <c r="AA1122" s="141"/>
      <c r="AE1122" s="140"/>
      <c r="AI1122" s="141"/>
      <c r="AM1122" s="141"/>
      <c r="AQ1122" s="141"/>
      <c r="AT1122" s="140"/>
      <c r="AU1122" s="140"/>
    </row>
    <row r="1123" spans="2:47" s="134" customFormat="1" x14ac:dyDescent="0.2">
      <c r="B1123" s="145"/>
      <c r="D1123" s="679"/>
      <c r="J1123" s="140"/>
      <c r="K1123" s="140"/>
      <c r="L1123" s="140"/>
      <c r="M1123" s="140"/>
      <c r="N1123" s="140"/>
      <c r="O1123" s="140"/>
      <c r="P1123" s="140"/>
      <c r="Q1123" s="140"/>
      <c r="R1123" s="140"/>
      <c r="S1123" s="140"/>
      <c r="T1123" s="140"/>
      <c r="U1123" s="140"/>
      <c r="V1123" s="140"/>
      <c r="W1123" s="140"/>
      <c r="X1123" s="140"/>
      <c r="Y1123" s="140"/>
      <c r="Z1123" s="140"/>
      <c r="AA1123" s="141"/>
      <c r="AE1123" s="140"/>
      <c r="AI1123" s="141"/>
      <c r="AM1123" s="141"/>
      <c r="AQ1123" s="141"/>
      <c r="AT1123" s="140"/>
      <c r="AU1123" s="140"/>
    </row>
    <row r="1124" spans="2:47" s="134" customFormat="1" x14ac:dyDescent="0.2">
      <c r="B1124" s="145"/>
      <c r="D1124" s="679"/>
      <c r="J1124" s="140"/>
      <c r="K1124" s="140"/>
      <c r="L1124" s="140"/>
      <c r="M1124" s="140"/>
      <c r="N1124" s="140"/>
      <c r="O1124" s="140"/>
      <c r="P1124" s="140"/>
      <c r="Q1124" s="140"/>
      <c r="R1124" s="140"/>
      <c r="S1124" s="140"/>
      <c r="T1124" s="140"/>
      <c r="U1124" s="140"/>
      <c r="V1124" s="140"/>
      <c r="W1124" s="140"/>
      <c r="X1124" s="140"/>
      <c r="Y1124" s="140"/>
      <c r="Z1124" s="140"/>
      <c r="AA1124" s="141"/>
      <c r="AE1124" s="140"/>
      <c r="AI1124" s="141"/>
      <c r="AM1124" s="141"/>
      <c r="AQ1124" s="141"/>
      <c r="AT1124" s="140"/>
      <c r="AU1124" s="140"/>
    </row>
    <row r="1125" spans="2:47" s="134" customFormat="1" x14ac:dyDescent="0.2">
      <c r="B1125" s="145"/>
      <c r="D1125" s="679"/>
      <c r="J1125" s="140"/>
      <c r="K1125" s="140"/>
      <c r="L1125" s="140"/>
      <c r="M1125" s="140"/>
      <c r="N1125" s="140"/>
      <c r="O1125" s="140"/>
      <c r="P1125" s="140"/>
      <c r="Q1125" s="140"/>
      <c r="R1125" s="140"/>
      <c r="S1125" s="140"/>
      <c r="T1125" s="140"/>
      <c r="U1125" s="140"/>
      <c r="V1125" s="140"/>
      <c r="W1125" s="140"/>
      <c r="X1125" s="140"/>
      <c r="Y1125" s="140"/>
      <c r="Z1125" s="140"/>
      <c r="AA1125" s="141"/>
      <c r="AE1125" s="140"/>
      <c r="AI1125" s="141"/>
      <c r="AM1125" s="141"/>
      <c r="AQ1125" s="141"/>
      <c r="AT1125" s="140"/>
      <c r="AU1125" s="140"/>
    </row>
    <row r="1126" spans="2:47" s="134" customFormat="1" x14ac:dyDescent="0.2">
      <c r="B1126" s="145"/>
      <c r="D1126" s="679"/>
      <c r="J1126" s="140"/>
      <c r="K1126" s="140"/>
      <c r="L1126" s="140"/>
      <c r="M1126" s="140"/>
      <c r="N1126" s="140"/>
      <c r="O1126" s="140"/>
      <c r="P1126" s="140"/>
      <c r="Q1126" s="140"/>
      <c r="R1126" s="140"/>
      <c r="S1126" s="140"/>
      <c r="T1126" s="140"/>
      <c r="U1126" s="140"/>
      <c r="V1126" s="140"/>
      <c r="W1126" s="140"/>
      <c r="X1126" s="140"/>
      <c r="Y1126" s="140"/>
      <c r="Z1126" s="140"/>
      <c r="AA1126" s="141"/>
      <c r="AE1126" s="140"/>
      <c r="AI1126" s="141"/>
      <c r="AM1126" s="141"/>
      <c r="AQ1126" s="141"/>
      <c r="AT1126" s="140"/>
      <c r="AU1126" s="140"/>
    </row>
    <row r="1127" spans="2:47" s="134" customFormat="1" x14ac:dyDescent="0.2">
      <c r="B1127" s="145"/>
      <c r="D1127" s="679"/>
      <c r="J1127" s="140"/>
      <c r="K1127" s="140"/>
      <c r="L1127" s="140"/>
      <c r="M1127" s="140"/>
      <c r="N1127" s="140"/>
      <c r="O1127" s="140"/>
      <c r="P1127" s="140"/>
      <c r="Q1127" s="140"/>
      <c r="R1127" s="140"/>
      <c r="S1127" s="140"/>
      <c r="T1127" s="140"/>
      <c r="U1127" s="140"/>
      <c r="V1127" s="140"/>
      <c r="W1127" s="140"/>
      <c r="X1127" s="140"/>
      <c r="Y1127" s="140"/>
      <c r="Z1127" s="140"/>
      <c r="AA1127" s="141"/>
      <c r="AE1127" s="140"/>
      <c r="AI1127" s="141"/>
      <c r="AM1127" s="141"/>
      <c r="AQ1127" s="141"/>
      <c r="AT1127" s="140"/>
      <c r="AU1127" s="140"/>
    </row>
    <row r="1128" spans="2:47" s="134" customFormat="1" x14ac:dyDescent="0.2">
      <c r="B1128" s="145"/>
      <c r="D1128" s="679"/>
      <c r="J1128" s="140"/>
      <c r="K1128" s="140"/>
      <c r="L1128" s="140"/>
      <c r="M1128" s="140"/>
      <c r="N1128" s="140"/>
      <c r="O1128" s="140"/>
      <c r="P1128" s="140"/>
      <c r="Q1128" s="140"/>
      <c r="R1128" s="140"/>
      <c r="S1128" s="140"/>
      <c r="T1128" s="140"/>
      <c r="U1128" s="140"/>
      <c r="V1128" s="140"/>
      <c r="W1128" s="140"/>
      <c r="X1128" s="140"/>
      <c r="Y1128" s="140"/>
      <c r="Z1128" s="140"/>
      <c r="AA1128" s="141"/>
      <c r="AE1128" s="140"/>
      <c r="AI1128" s="141"/>
      <c r="AM1128" s="141"/>
      <c r="AQ1128" s="141"/>
      <c r="AT1128" s="140"/>
      <c r="AU1128" s="140"/>
    </row>
    <row r="1129" spans="2:47" s="134" customFormat="1" x14ac:dyDescent="0.2">
      <c r="B1129" s="145"/>
      <c r="D1129" s="679"/>
      <c r="J1129" s="140"/>
      <c r="K1129" s="140"/>
      <c r="L1129" s="140"/>
      <c r="M1129" s="140"/>
      <c r="N1129" s="140"/>
      <c r="O1129" s="140"/>
      <c r="P1129" s="140"/>
      <c r="Q1129" s="140"/>
      <c r="R1129" s="140"/>
      <c r="S1129" s="140"/>
      <c r="T1129" s="140"/>
      <c r="U1129" s="140"/>
      <c r="V1129" s="140"/>
      <c r="W1129" s="140"/>
      <c r="X1129" s="140"/>
      <c r="Y1129" s="140"/>
      <c r="Z1129" s="140"/>
      <c r="AA1129" s="141"/>
      <c r="AE1129" s="140"/>
      <c r="AI1129" s="141"/>
      <c r="AM1129" s="141"/>
      <c r="AQ1129" s="141"/>
      <c r="AT1129" s="140"/>
      <c r="AU1129" s="140"/>
    </row>
    <row r="1130" spans="2:47" s="134" customFormat="1" x14ac:dyDescent="0.2">
      <c r="B1130" s="145"/>
      <c r="D1130" s="679"/>
      <c r="J1130" s="140"/>
      <c r="K1130" s="140"/>
      <c r="L1130" s="140"/>
      <c r="M1130" s="140"/>
      <c r="N1130" s="140"/>
      <c r="O1130" s="140"/>
      <c r="P1130" s="140"/>
      <c r="Q1130" s="140"/>
      <c r="R1130" s="140"/>
      <c r="S1130" s="140"/>
      <c r="T1130" s="140"/>
      <c r="U1130" s="140"/>
      <c r="V1130" s="140"/>
      <c r="W1130" s="140"/>
      <c r="X1130" s="140"/>
      <c r="Y1130" s="140"/>
      <c r="Z1130" s="140"/>
      <c r="AA1130" s="141"/>
      <c r="AE1130" s="140"/>
      <c r="AI1130" s="141"/>
      <c r="AM1130" s="141"/>
      <c r="AQ1130" s="141"/>
      <c r="AT1130" s="140"/>
      <c r="AU1130" s="140"/>
    </row>
    <row r="1131" spans="2:47" s="134" customFormat="1" x14ac:dyDescent="0.2">
      <c r="B1131" s="145"/>
      <c r="D1131" s="679"/>
      <c r="J1131" s="140"/>
      <c r="K1131" s="140"/>
      <c r="L1131" s="140"/>
      <c r="M1131" s="140"/>
      <c r="N1131" s="140"/>
      <c r="O1131" s="140"/>
      <c r="P1131" s="140"/>
      <c r="Q1131" s="140"/>
      <c r="R1131" s="140"/>
      <c r="S1131" s="140"/>
      <c r="T1131" s="140"/>
      <c r="U1131" s="140"/>
      <c r="V1131" s="140"/>
      <c r="W1131" s="140"/>
      <c r="X1131" s="140"/>
      <c r="Y1131" s="140"/>
      <c r="Z1131" s="140"/>
      <c r="AA1131" s="141"/>
      <c r="AE1131" s="140"/>
      <c r="AI1131" s="141"/>
      <c r="AM1131" s="141"/>
      <c r="AQ1131" s="141"/>
      <c r="AT1131" s="140"/>
      <c r="AU1131" s="140"/>
    </row>
    <row r="1132" spans="2:47" s="134" customFormat="1" x14ac:dyDescent="0.2">
      <c r="B1132" s="145"/>
      <c r="D1132" s="679"/>
      <c r="J1132" s="140"/>
      <c r="K1132" s="140"/>
      <c r="L1132" s="140"/>
      <c r="M1132" s="140"/>
      <c r="N1132" s="140"/>
      <c r="O1132" s="140"/>
      <c r="P1132" s="140"/>
      <c r="Q1132" s="140"/>
      <c r="R1132" s="140"/>
      <c r="S1132" s="140"/>
      <c r="T1132" s="140"/>
      <c r="U1132" s="140"/>
      <c r="V1132" s="140"/>
      <c r="W1132" s="140"/>
      <c r="X1132" s="140"/>
      <c r="Y1132" s="140"/>
      <c r="Z1132" s="140"/>
      <c r="AA1132" s="141"/>
      <c r="AE1132" s="140"/>
      <c r="AI1132" s="141"/>
      <c r="AM1132" s="141"/>
      <c r="AQ1132" s="141"/>
      <c r="AT1132" s="140"/>
      <c r="AU1132" s="140"/>
    </row>
    <row r="1133" spans="2:47" s="134" customFormat="1" x14ac:dyDescent="0.2">
      <c r="B1133" s="145"/>
      <c r="D1133" s="679"/>
      <c r="J1133" s="140"/>
      <c r="K1133" s="140"/>
      <c r="L1133" s="140"/>
      <c r="M1133" s="140"/>
      <c r="N1133" s="140"/>
      <c r="O1133" s="140"/>
      <c r="P1133" s="140"/>
      <c r="Q1133" s="140"/>
      <c r="R1133" s="140"/>
      <c r="S1133" s="140"/>
      <c r="T1133" s="140"/>
      <c r="U1133" s="140"/>
      <c r="V1133" s="140"/>
      <c r="W1133" s="140"/>
      <c r="X1133" s="140"/>
      <c r="Y1133" s="140"/>
      <c r="Z1133" s="140"/>
      <c r="AA1133" s="141"/>
      <c r="AE1133" s="140"/>
      <c r="AI1133" s="141"/>
      <c r="AM1133" s="141"/>
      <c r="AQ1133" s="141"/>
      <c r="AT1133" s="140"/>
      <c r="AU1133" s="140"/>
    </row>
    <row r="1134" spans="2:47" s="134" customFormat="1" x14ac:dyDescent="0.2">
      <c r="B1134" s="145"/>
      <c r="D1134" s="679"/>
      <c r="J1134" s="140"/>
      <c r="K1134" s="140"/>
      <c r="L1134" s="140"/>
      <c r="M1134" s="140"/>
      <c r="N1134" s="140"/>
      <c r="O1134" s="140"/>
      <c r="P1134" s="140"/>
      <c r="Q1134" s="140"/>
      <c r="R1134" s="140"/>
      <c r="S1134" s="140"/>
      <c r="T1134" s="140"/>
      <c r="U1134" s="140"/>
      <c r="V1134" s="140"/>
      <c r="W1134" s="140"/>
      <c r="X1134" s="140"/>
      <c r="Y1134" s="140"/>
      <c r="Z1134" s="140"/>
      <c r="AA1134" s="141"/>
      <c r="AE1134" s="140"/>
      <c r="AI1134" s="141"/>
      <c r="AM1134" s="141"/>
      <c r="AQ1134" s="141"/>
      <c r="AT1134" s="140"/>
      <c r="AU1134" s="140"/>
    </row>
    <row r="1135" spans="2:47" s="134" customFormat="1" x14ac:dyDescent="0.2">
      <c r="B1135" s="145"/>
      <c r="D1135" s="679"/>
      <c r="J1135" s="140"/>
      <c r="K1135" s="140"/>
      <c r="L1135" s="140"/>
      <c r="M1135" s="140"/>
      <c r="N1135" s="140"/>
      <c r="O1135" s="140"/>
      <c r="P1135" s="140"/>
      <c r="Q1135" s="140"/>
      <c r="R1135" s="140"/>
      <c r="S1135" s="140"/>
      <c r="T1135" s="140"/>
      <c r="U1135" s="140"/>
      <c r="V1135" s="140"/>
      <c r="W1135" s="140"/>
      <c r="X1135" s="140"/>
      <c r="Y1135" s="140"/>
      <c r="Z1135" s="140"/>
      <c r="AA1135" s="141"/>
      <c r="AE1135" s="140"/>
      <c r="AI1135" s="141"/>
      <c r="AM1135" s="141"/>
      <c r="AQ1135" s="141"/>
      <c r="AT1135" s="140"/>
      <c r="AU1135" s="140"/>
    </row>
    <row r="1136" spans="2:47" s="134" customFormat="1" x14ac:dyDescent="0.2">
      <c r="B1136" s="145"/>
      <c r="D1136" s="679"/>
      <c r="J1136" s="140"/>
      <c r="K1136" s="140"/>
      <c r="L1136" s="140"/>
      <c r="M1136" s="140"/>
      <c r="N1136" s="140"/>
      <c r="O1136" s="140"/>
      <c r="P1136" s="140"/>
      <c r="Q1136" s="140"/>
      <c r="R1136" s="140"/>
      <c r="S1136" s="140"/>
      <c r="T1136" s="140"/>
      <c r="U1136" s="140"/>
      <c r="V1136" s="140"/>
      <c r="W1136" s="140"/>
      <c r="X1136" s="140"/>
      <c r="Y1136" s="140"/>
      <c r="Z1136" s="140"/>
      <c r="AA1136" s="141"/>
      <c r="AE1136" s="140"/>
      <c r="AI1136" s="141"/>
      <c r="AM1136" s="141"/>
      <c r="AQ1136" s="141"/>
      <c r="AT1136" s="140"/>
      <c r="AU1136" s="140"/>
    </row>
    <row r="1137" spans="2:47" s="134" customFormat="1" x14ac:dyDescent="0.2">
      <c r="B1137" s="145"/>
      <c r="D1137" s="679"/>
      <c r="J1137" s="140"/>
      <c r="K1137" s="140"/>
      <c r="L1137" s="140"/>
      <c r="M1137" s="140"/>
      <c r="N1137" s="140"/>
      <c r="O1137" s="140"/>
      <c r="P1137" s="140"/>
      <c r="Q1137" s="140"/>
      <c r="R1137" s="140"/>
      <c r="S1137" s="140"/>
      <c r="T1137" s="140"/>
      <c r="U1137" s="140"/>
      <c r="V1137" s="140"/>
      <c r="W1137" s="140"/>
      <c r="X1137" s="140"/>
      <c r="Y1137" s="140"/>
      <c r="Z1137" s="140"/>
      <c r="AA1137" s="141"/>
      <c r="AE1137" s="140"/>
      <c r="AI1137" s="141"/>
      <c r="AM1137" s="141"/>
      <c r="AQ1137" s="141"/>
      <c r="AT1137" s="140"/>
      <c r="AU1137" s="140"/>
    </row>
    <row r="1138" spans="2:47" s="134" customFormat="1" x14ac:dyDescent="0.2">
      <c r="B1138" s="145"/>
      <c r="D1138" s="679"/>
      <c r="J1138" s="140"/>
      <c r="K1138" s="140"/>
      <c r="L1138" s="140"/>
      <c r="M1138" s="140"/>
      <c r="N1138" s="140"/>
      <c r="O1138" s="140"/>
      <c r="P1138" s="140"/>
      <c r="Q1138" s="140"/>
      <c r="R1138" s="140"/>
      <c r="S1138" s="140"/>
      <c r="T1138" s="140"/>
      <c r="U1138" s="140"/>
      <c r="V1138" s="140"/>
      <c r="W1138" s="140"/>
      <c r="X1138" s="140"/>
      <c r="Y1138" s="140"/>
      <c r="Z1138" s="140"/>
      <c r="AA1138" s="141"/>
      <c r="AE1138" s="140"/>
      <c r="AI1138" s="141"/>
      <c r="AM1138" s="141"/>
      <c r="AQ1138" s="141"/>
      <c r="AT1138" s="140"/>
      <c r="AU1138" s="140"/>
    </row>
    <row r="1139" spans="2:47" s="134" customFormat="1" x14ac:dyDescent="0.2">
      <c r="B1139" s="145"/>
      <c r="D1139" s="679"/>
      <c r="J1139" s="140"/>
      <c r="K1139" s="140"/>
      <c r="L1139" s="140"/>
      <c r="M1139" s="140"/>
      <c r="N1139" s="140"/>
      <c r="O1139" s="140"/>
      <c r="P1139" s="140"/>
      <c r="Q1139" s="140"/>
      <c r="R1139" s="140"/>
      <c r="S1139" s="140"/>
      <c r="T1139" s="140"/>
      <c r="U1139" s="140"/>
      <c r="V1139" s="140"/>
      <c r="W1139" s="140"/>
      <c r="X1139" s="140"/>
      <c r="Y1139" s="140"/>
      <c r="Z1139" s="140"/>
      <c r="AA1139" s="141"/>
      <c r="AE1139" s="140"/>
      <c r="AI1139" s="141"/>
      <c r="AM1139" s="141"/>
      <c r="AQ1139" s="141"/>
      <c r="AT1139" s="140"/>
      <c r="AU1139" s="140"/>
    </row>
    <row r="1140" spans="2:47" s="134" customFormat="1" x14ac:dyDescent="0.2">
      <c r="B1140" s="145"/>
      <c r="D1140" s="679"/>
      <c r="J1140" s="140"/>
      <c r="K1140" s="140"/>
      <c r="L1140" s="140"/>
      <c r="M1140" s="140"/>
      <c r="N1140" s="140"/>
      <c r="O1140" s="140"/>
      <c r="P1140" s="140"/>
      <c r="Q1140" s="140"/>
      <c r="R1140" s="140"/>
      <c r="S1140" s="140"/>
      <c r="T1140" s="140"/>
      <c r="U1140" s="140"/>
      <c r="V1140" s="140"/>
      <c r="W1140" s="140"/>
      <c r="X1140" s="140"/>
      <c r="Y1140" s="140"/>
      <c r="Z1140" s="140"/>
      <c r="AA1140" s="141"/>
      <c r="AE1140" s="140"/>
      <c r="AI1140" s="141"/>
      <c r="AM1140" s="141"/>
      <c r="AQ1140" s="141"/>
      <c r="AT1140" s="140"/>
      <c r="AU1140" s="140"/>
    </row>
    <row r="1141" spans="2:47" s="134" customFormat="1" x14ac:dyDescent="0.2">
      <c r="B1141" s="145"/>
      <c r="D1141" s="679"/>
      <c r="J1141" s="140"/>
      <c r="K1141" s="140"/>
      <c r="L1141" s="140"/>
      <c r="M1141" s="140"/>
      <c r="N1141" s="140"/>
      <c r="O1141" s="140"/>
      <c r="P1141" s="140"/>
      <c r="Q1141" s="140"/>
      <c r="R1141" s="140"/>
      <c r="S1141" s="140"/>
      <c r="T1141" s="140"/>
      <c r="U1141" s="140"/>
      <c r="V1141" s="140"/>
      <c r="W1141" s="140"/>
      <c r="X1141" s="140"/>
      <c r="Y1141" s="140"/>
      <c r="Z1141" s="140"/>
      <c r="AA1141" s="141"/>
      <c r="AE1141" s="140"/>
      <c r="AI1141" s="141"/>
      <c r="AM1141" s="141"/>
      <c r="AQ1141" s="141"/>
      <c r="AT1141" s="140"/>
      <c r="AU1141" s="140"/>
    </row>
    <row r="1142" spans="2:47" s="134" customFormat="1" x14ac:dyDescent="0.2">
      <c r="B1142" s="145"/>
      <c r="D1142" s="679"/>
      <c r="J1142" s="140"/>
      <c r="K1142" s="140"/>
      <c r="L1142" s="140"/>
      <c r="M1142" s="140"/>
      <c r="N1142" s="140"/>
      <c r="O1142" s="140"/>
      <c r="P1142" s="140"/>
      <c r="Q1142" s="140"/>
      <c r="R1142" s="140"/>
      <c r="S1142" s="140"/>
      <c r="T1142" s="140"/>
      <c r="U1142" s="140"/>
      <c r="V1142" s="140"/>
      <c r="W1142" s="140"/>
      <c r="X1142" s="140"/>
      <c r="Y1142" s="140"/>
      <c r="Z1142" s="140"/>
      <c r="AA1142" s="141"/>
      <c r="AE1142" s="140"/>
      <c r="AI1142" s="141"/>
      <c r="AM1142" s="141"/>
      <c r="AQ1142" s="141"/>
      <c r="AT1142" s="140"/>
      <c r="AU1142" s="140"/>
    </row>
    <row r="1143" spans="2:47" s="134" customFormat="1" x14ac:dyDescent="0.2">
      <c r="B1143" s="145"/>
      <c r="D1143" s="679"/>
      <c r="J1143" s="140"/>
      <c r="K1143" s="140"/>
      <c r="L1143" s="140"/>
      <c r="M1143" s="140"/>
      <c r="N1143" s="140"/>
      <c r="O1143" s="140"/>
      <c r="P1143" s="140"/>
      <c r="Q1143" s="140"/>
      <c r="R1143" s="140"/>
      <c r="S1143" s="140"/>
      <c r="T1143" s="140"/>
      <c r="U1143" s="140"/>
      <c r="V1143" s="140"/>
      <c r="W1143" s="140"/>
      <c r="X1143" s="140"/>
      <c r="Y1143" s="140"/>
      <c r="Z1143" s="140"/>
      <c r="AA1143" s="141"/>
      <c r="AE1143" s="140"/>
      <c r="AI1143" s="141"/>
      <c r="AM1143" s="141"/>
      <c r="AQ1143" s="141"/>
      <c r="AT1143" s="140"/>
      <c r="AU1143" s="140"/>
    </row>
    <row r="1144" spans="2:47" s="134" customFormat="1" x14ac:dyDescent="0.2">
      <c r="B1144" s="145"/>
      <c r="D1144" s="679"/>
      <c r="J1144" s="140"/>
      <c r="K1144" s="140"/>
      <c r="L1144" s="140"/>
      <c r="M1144" s="140"/>
      <c r="N1144" s="140"/>
      <c r="O1144" s="140"/>
      <c r="P1144" s="140"/>
      <c r="Q1144" s="140"/>
      <c r="R1144" s="140"/>
      <c r="S1144" s="140"/>
      <c r="T1144" s="140"/>
      <c r="U1144" s="140"/>
      <c r="V1144" s="140"/>
      <c r="W1144" s="140"/>
      <c r="X1144" s="140"/>
      <c r="Y1144" s="140"/>
      <c r="Z1144" s="140"/>
      <c r="AA1144" s="141"/>
      <c r="AE1144" s="140"/>
      <c r="AI1144" s="141"/>
      <c r="AM1144" s="141"/>
      <c r="AQ1144" s="141"/>
      <c r="AT1144" s="140"/>
      <c r="AU1144" s="140"/>
    </row>
    <row r="1145" spans="2:47" s="134" customFormat="1" x14ac:dyDescent="0.2">
      <c r="B1145" s="145"/>
      <c r="D1145" s="679"/>
      <c r="J1145" s="140"/>
      <c r="K1145" s="140"/>
      <c r="L1145" s="140"/>
      <c r="M1145" s="140"/>
      <c r="N1145" s="140"/>
      <c r="O1145" s="140"/>
      <c r="P1145" s="140"/>
      <c r="Q1145" s="140"/>
      <c r="R1145" s="140"/>
      <c r="S1145" s="140"/>
      <c r="T1145" s="140"/>
      <c r="U1145" s="140"/>
      <c r="V1145" s="140"/>
      <c r="W1145" s="140"/>
      <c r="X1145" s="140"/>
      <c r="Y1145" s="140"/>
      <c r="Z1145" s="140"/>
      <c r="AA1145" s="141"/>
      <c r="AE1145" s="140"/>
      <c r="AI1145" s="141"/>
      <c r="AM1145" s="141"/>
      <c r="AQ1145" s="141"/>
      <c r="AT1145" s="140"/>
      <c r="AU1145" s="140"/>
    </row>
    <row r="1146" spans="2:47" s="134" customFormat="1" x14ac:dyDescent="0.2">
      <c r="B1146" s="145"/>
      <c r="D1146" s="679"/>
      <c r="J1146" s="140"/>
      <c r="K1146" s="140"/>
      <c r="L1146" s="140"/>
      <c r="M1146" s="140"/>
      <c r="N1146" s="140"/>
      <c r="O1146" s="140"/>
      <c r="P1146" s="140"/>
      <c r="Q1146" s="140"/>
      <c r="R1146" s="140"/>
      <c r="S1146" s="140"/>
      <c r="T1146" s="140"/>
      <c r="U1146" s="140"/>
      <c r="V1146" s="140"/>
      <c r="W1146" s="140"/>
      <c r="X1146" s="140"/>
      <c r="Y1146" s="140"/>
      <c r="Z1146" s="140"/>
      <c r="AA1146" s="141"/>
      <c r="AE1146" s="140"/>
      <c r="AI1146" s="141"/>
      <c r="AM1146" s="141"/>
      <c r="AQ1146" s="141"/>
      <c r="AT1146" s="140"/>
      <c r="AU1146" s="140"/>
    </row>
    <row r="1147" spans="2:47" s="134" customFormat="1" x14ac:dyDescent="0.2">
      <c r="B1147" s="145"/>
      <c r="D1147" s="679"/>
      <c r="J1147" s="140"/>
      <c r="K1147" s="140"/>
      <c r="L1147" s="140"/>
      <c r="M1147" s="140"/>
      <c r="N1147" s="140"/>
      <c r="O1147" s="140"/>
      <c r="P1147" s="140"/>
      <c r="Q1147" s="140"/>
      <c r="R1147" s="140"/>
      <c r="S1147" s="140"/>
      <c r="T1147" s="140"/>
      <c r="U1147" s="140"/>
      <c r="V1147" s="140"/>
      <c r="W1147" s="140"/>
      <c r="X1147" s="140"/>
      <c r="Y1147" s="140"/>
      <c r="Z1147" s="140"/>
      <c r="AA1147" s="141"/>
      <c r="AE1147" s="140"/>
      <c r="AI1147" s="141"/>
      <c r="AM1147" s="141"/>
      <c r="AQ1147" s="141"/>
      <c r="AT1147" s="140"/>
      <c r="AU1147" s="140"/>
    </row>
    <row r="1148" spans="2:47" s="134" customFormat="1" x14ac:dyDescent="0.2">
      <c r="B1148" s="145"/>
      <c r="D1148" s="679"/>
      <c r="J1148" s="140"/>
      <c r="K1148" s="140"/>
      <c r="L1148" s="140"/>
      <c r="M1148" s="140"/>
      <c r="N1148" s="140"/>
      <c r="O1148" s="140"/>
      <c r="P1148" s="140"/>
      <c r="Q1148" s="140"/>
      <c r="R1148" s="140"/>
      <c r="S1148" s="140"/>
      <c r="T1148" s="140"/>
      <c r="U1148" s="140"/>
      <c r="V1148" s="140"/>
      <c r="W1148" s="140"/>
      <c r="X1148" s="140"/>
      <c r="Y1148" s="140"/>
      <c r="Z1148" s="140"/>
      <c r="AA1148" s="141"/>
      <c r="AE1148" s="140"/>
      <c r="AI1148" s="141"/>
      <c r="AM1148" s="141"/>
      <c r="AQ1148" s="141"/>
      <c r="AT1148" s="140"/>
      <c r="AU1148" s="140"/>
    </row>
    <row r="1149" spans="2:47" s="134" customFormat="1" x14ac:dyDescent="0.2">
      <c r="B1149" s="145"/>
      <c r="D1149" s="679"/>
      <c r="J1149" s="140"/>
      <c r="K1149" s="140"/>
      <c r="L1149" s="140"/>
      <c r="M1149" s="140"/>
      <c r="N1149" s="140"/>
      <c r="O1149" s="140"/>
      <c r="P1149" s="140"/>
      <c r="Q1149" s="140"/>
      <c r="R1149" s="140"/>
      <c r="S1149" s="140"/>
      <c r="T1149" s="140"/>
      <c r="U1149" s="140"/>
      <c r="V1149" s="140"/>
      <c r="W1149" s="140"/>
      <c r="X1149" s="140"/>
      <c r="Y1149" s="140"/>
      <c r="Z1149" s="140"/>
      <c r="AA1149" s="141"/>
      <c r="AE1149" s="140"/>
      <c r="AI1149" s="141"/>
      <c r="AM1149" s="141"/>
      <c r="AQ1149" s="141"/>
      <c r="AT1149" s="140"/>
      <c r="AU1149" s="140"/>
    </row>
    <row r="1150" spans="2:47" s="134" customFormat="1" x14ac:dyDescent="0.2">
      <c r="B1150" s="145"/>
      <c r="D1150" s="679"/>
      <c r="J1150" s="140"/>
      <c r="K1150" s="140"/>
      <c r="L1150" s="140"/>
      <c r="M1150" s="140"/>
      <c r="N1150" s="140"/>
      <c r="O1150" s="140"/>
      <c r="P1150" s="140"/>
      <c r="Q1150" s="140"/>
      <c r="R1150" s="140"/>
      <c r="S1150" s="140"/>
      <c r="T1150" s="140"/>
      <c r="U1150" s="140"/>
      <c r="V1150" s="140"/>
      <c r="W1150" s="140"/>
      <c r="X1150" s="140"/>
      <c r="Y1150" s="140"/>
      <c r="Z1150" s="140"/>
      <c r="AA1150" s="141"/>
      <c r="AE1150" s="140"/>
      <c r="AI1150" s="141"/>
      <c r="AM1150" s="141"/>
      <c r="AQ1150" s="141"/>
      <c r="AT1150" s="140"/>
      <c r="AU1150" s="140"/>
    </row>
    <row r="1151" spans="2:47" s="134" customFormat="1" x14ac:dyDescent="0.2">
      <c r="B1151" s="145"/>
      <c r="D1151" s="679"/>
      <c r="J1151" s="140"/>
      <c r="K1151" s="140"/>
      <c r="L1151" s="140"/>
      <c r="M1151" s="140"/>
      <c r="N1151" s="140"/>
      <c r="O1151" s="140"/>
      <c r="P1151" s="140"/>
      <c r="Q1151" s="140"/>
      <c r="R1151" s="140"/>
      <c r="S1151" s="140"/>
      <c r="T1151" s="140"/>
      <c r="U1151" s="140"/>
      <c r="V1151" s="140"/>
      <c r="W1151" s="140"/>
      <c r="X1151" s="140"/>
      <c r="Y1151" s="140"/>
      <c r="Z1151" s="140"/>
      <c r="AA1151" s="141"/>
      <c r="AE1151" s="140"/>
      <c r="AI1151" s="141"/>
      <c r="AM1151" s="141"/>
      <c r="AQ1151" s="141"/>
      <c r="AT1151" s="140"/>
      <c r="AU1151" s="140"/>
    </row>
    <row r="1152" spans="2:47" s="134" customFormat="1" x14ac:dyDescent="0.2">
      <c r="B1152" s="145"/>
      <c r="D1152" s="679"/>
      <c r="J1152" s="140"/>
      <c r="K1152" s="140"/>
      <c r="L1152" s="140"/>
      <c r="M1152" s="140"/>
      <c r="N1152" s="140"/>
      <c r="O1152" s="140"/>
      <c r="P1152" s="140"/>
      <c r="Q1152" s="140"/>
      <c r="R1152" s="140"/>
      <c r="S1152" s="140"/>
      <c r="T1152" s="140"/>
      <c r="U1152" s="140"/>
      <c r="V1152" s="140"/>
      <c r="W1152" s="140"/>
      <c r="X1152" s="140"/>
      <c r="Y1152" s="140"/>
      <c r="Z1152" s="140"/>
      <c r="AA1152" s="141"/>
      <c r="AE1152" s="140"/>
      <c r="AI1152" s="141"/>
      <c r="AM1152" s="141"/>
      <c r="AQ1152" s="141"/>
      <c r="AT1152" s="140"/>
      <c r="AU1152" s="140"/>
    </row>
    <row r="1153" spans="2:47" s="134" customFormat="1" x14ac:dyDescent="0.2">
      <c r="B1153" s="145"/>
      <c r="D1153" s="679"/>
      <c r="J1153" s="140"/>
      <c r="K1153" s="140"/>
      <c r="L1153" s="140"/>
      <c r="M1153" s="140"/>
      <c r="N1153" s="140"/>
      <c r="O1153" s="140"/>
      <c r="P1153" s="140"/>
      <c r="Q1153" s="140"/>
      <c r="R1153" s="140"/>
      <c r="S1153" s="140"/>
      <c r="T1153" s="140"/>
      <c r="U1153" s="140"/>
      <c r="V1153" s="140"/>
      <c r="W1153" s="140"/>
      <c r="X1153" s="140"/>
      <c r="Y1153" s="140"/>
      <c r="Z1153" s="140"/>
      <c r="AA1153" s="141"/>
      <c r="AE1153" s="140"/>
      <c r="AI1153" s="141"/>
      <c r="AM1153" s="141"/>
      <c r="AQ1153" s="141"/>
      <c r="AT1153" s="140"/>
      <c r="AU1153" s="140"/>
    </row>
    <row r="1154" spans="2:47" s="134" customFormat="1" x14ac:dyDescent="0.2">
      <c r="B1154" s="145"/>
      <c r="D1154" s="679"/>
      <c r="J1154" s="140"/>
      <c r="K1154" s="140"/>
      <c r="L1154" s="140"/>
      <c r="M1154" s="140"/>
      <c r="N1154" s="140"/>
      <c r="O1154" s="140"/>
      <c r="P1154" s="140"/>
      <c r="Q1154" s="140"/>
      <c r="R1154" s="140"/>
      <c r="S1154" s="140"/>
      <c r="T1154" s="140"/>
      <c r="U1154" s="140"/>
      <c r="V1154" s="140"/>
      <c r="W1154" s="140"/>
      <c r="X1154" s="140"/>
      <c r="Y1154" s="140"/>
      <c r="Z1154" s="140"/>
      <c r="AA1154" s="141"/>
      <c r="AE1154" s="140"/>
      <c r="AI1154" s="141"/>
      <c r="AM1154" s="141"/>
      <c r="AQ1154" s="141"/>
      <c r="AT1154" s="140"/>
      <c r="AU1154" s="140"/>
    </row>
    <row r="1155" spans="2:47" s="134" customFormat="1" x14ac:dyDescent="0.2">
      <c r="B1155" s="145"/>
      <c r="D1155" s="679"/>
      <c r="J1155" s="140"/>
      <c r="K1155" s="140"/>
      <c r="L1155" s="140"/>
      <c r="M1155" s="140"/>
      <c r="N1155" s="140"/>
      <c r="O1155" s="140"/>
      <c r="P1155" s="140"/>
      <c r="Q1155" s="140"/>
      <c r="R1155" s="140"/>
      <c r="S1155" s="140"/>
      <c r="T1155" s="140"/>
      <c r="U1155" s="140"/>
      <c r="V1155" s="140"/>
      <c r="W1155" s="140"/>
      <c r="X1155" s="140"/>
      <c r="Y1155" s="140"/>
      <c r="Z1155" s="140"/>
      <c r="AA1155" s="141"/>
      <c r="AE1155" s="140"/>
      <c r="AI1155" s="141"/>
      <c r="AM1155" s="141"/>
      <c r="AQ1155" s="141"/>
      <c r="AT1155" s="140"/>
      <c r="AU1155" s="140"/>
    </row>
    <row r="1156" spans="2:47" s="134" customFormat="1" x14ac:dyDescent="0.2">
      <c r="B1156" s="145"/>
      <c r="D1156" s="679"/>
      <c r="J1156" s="140"/>
      <c r="K1156" s="140"/>
      <c r="L1156" s="140"/>
      <c r="M1156" s="140"/>
      <c r="N1156" s="140"/>
      <c r="O1156" s="140"/>
      <c r="P1156" s="140"/>
      <c r="Q1156" s="140"/>
      <c r="R1156" s="140"/>
      <c r="S1156" s="140"/>
      <c r="T1156" s="140"/>
      <c r="U1156" s="140"/>
      <c r="V1156" s="140"/>
      <c r="W1156" s="140"/>
      <c r="X1156" s="140"/>
      <c r="Y1156" s="140"/>
      <c r="Z1156" s="140"/>
      <c r="AA1156" s="141"/>
      <c r="AE1156" s="140"/>
      <c r="AI1156" s="141"/>
      <c r="AM1156" s="141"/>
      <c r="AQ1156" s="141"/>
      <c r="AT1156" s="140"/>
      <c r="AU1156" s="140"/>
    </row>
    <row r="1157" spans="2:47" s="134" customFormat="1" x14ac:dyDescent="0.2">
      <c r="B1157" s="145"/>
      <c r="D1157" s="679"/>
      <c r="J1157" s="140"/>
      <c r="K1157" s="140"/>
      <c r="L1157" s="140"/>
      <c r="M1157" s="140"/>
      <c r="N1157" s="140"/>
      <c r="O1157" s="140"/>
      <c r="P1157" s="140"/>
      <c r="Q1157" s="140"/>
      <c r="R1157" s="140"/>
      <c r="S1157" s="140"/>
      <c r="T1157" s="140"/>
      <c r="U1157" s="140"/>
      <c r="V1157" s="140"/>
      <c r="W1157" s="140"/>
      <c r="X1157" s="140"/>
      <c r="Y1157" s="140"/>
      <c r="Z1157" s="140"/>
      <c r="AA1157" s="141"/>
      <c r="AE1157" s="140"/>
      <c r="AI1157" s="141"/>
      <c r="AM1157" s="141"/>
      <c r="AQ1157" s="141"/>
      <c r="AT1157" s="140"/>
      <c r="AU1157" s="140"/>
    </row>
    <row r="1158" spans="2:47" s="134" customFormat="1" x14ac:dyDescent="0.2">
      <c r="B1158" s="145"/>
      <c r="D1158" s="679"/>
      <c r="J1158" s="140"/>
      <c r="K1158" s="140"/>
      <c r="L1158" s="140"/>
      <c r="M1158" s="140"/>
      <c r="N1158" s="140"/>
      <c r="O1158" s="140"/>
      <c r="P1158" s="140"/>
      <c r="Q1158" s="140"/>
      <c r="R1158" s="140"/>
      <c r="S1158" s="140"/>
      <c r="T1158" s="140"/>
      <c r="U1158" s="140"/>
      <c r="V1158" s="140"/>
      <c r="W1158" s="140"/>
      <c r="X1158" s="140"/>
      <c r="Y1158" s="140"/>
      <c r="Z1158" s="140"/>
      <c r="AA1158" s="141"/>
      <c r="AE1158" s="140"/>
      <c r="AI1158" s="141"/>
      <c r="AM1158" s="141"/>
      <c r="AQ1158" s="141"/>
      <c r="AT1158" s="140"/>
      <c r="AU1158" s="140"/>
    </row>
    <row r="1159" spans="2:47" s="134" customFormat="1" x14ac:dyDescent="0.2">
      <c r="B1159" s="145"/>
      <c r="D1159" s="679"/>
      <c r="J1159" s="140"/>
      <c r="K1159" s="140"/>
      <c r="L1159" s="140"/>
      <c r="M1159" s="140"/>
      <c r="N1159" s="140"/>
      <c r="O1159" s="140"/>
      <c r="P1159" s="140"/>
      <c r="Q1159" s="140"/>
      <c r="R1159" s="140"/>
      <c r="S1159" s="140"/>
      <c r="T1159" s="140"/>
      <c r="U1159" s="140"/>
      <c r="V1159" s="140"/>
      <c r="W1159" s="140"/>
      <c r="X1159" s="140"/>
      <c r="Y1159" s="140"/>
      <c r="Z1159" s="140"/>
      <c r="AA1159" s="141"/>
      <c r="AE1159" s="140"/>
      <c r="AI1159" s="141"/>
      <c r="AM1159" s="141"/>
      <c r="AQ1159" s="141"/>
      <c r="AT1159" s="140"/>
      <c r="AU1159" s="140"/>
    </row>
    <row r="1160" spans="2:47" s="134" customFormat="1" x14ac:dyDescent="0.2">
      <c r="B1160" s="145"/>
      <c r="D1160" s="679"/>
      <c r="J1160" s="140"/>
      <c r="K1160" s="140"/>
      <c r="L1160" s="140"/>
      <c r="M1160" s="140"/>
      <c r="N1160" s="140"/>
      <c r="O1160" s="140"/>
      <c r="P1160" s="140"/>
      <c r="Q1160" s="140"/>
      <c r="R1160" s="140"/>
      <c r="S1160" s="140"/>
      <c r="T1160" s="140"/>
      <c r="U1160" s="140"/>
      <c r="V1160" s="140"/>
      <c r="W1160" s="140"/>
      <c r="X1160" s="140"/>
      <c r="Y1160" s="140"/>
      <c r="Z1160" s="140"/>
      <c r="AA1160" s="141"/>
      <c r="AE1160" s="140"/>
      <c r="AI1160" s="141"/>
      <c r="AM1160" s="141"/>
      <c r="AQ1160" s="141"/>
      <c r="AT1160" s="140"/>
      <c r="AU1160" s="140"/>
    </row>
    <row r="1161" spans="2:47" s="134" customFormat="1" x14ac:dyDescent="0.2">
      <c r="B1161" s="145"/>
      <c r="D1161" s="679"/>
      <c r="J1161" s="140"/>
      <c r="K1161" s="140"/>
      <c r="L1161" s="140"/>
      <c r="M1161" s="140"/>
      <c r="N1161" s="140"/>
      <c r="O1161" s="140"/>
      <c r="P1161" s="140"/>
      <c r="Q1161" s="140"/>
      <c r="R1161" s="140"/>
      <c r="S1161" s="140"/>
      <c r="T1161" s="140"/>
      <c r="U1161" s="140"/>
      <c r="V1161" s="140"/>
      <c r="W1161" s="140"/>
      <c r="X1161" s="140"/>
      <c r="Y1161" s="140"/>
      <c r="Z1161" s="140"/>
      <c r="AA1161" s="141"/>
      <c r="AE1161" s="140"/>
      <c r="AI1161" s="141"/>
      <c r="AM1161" s="141"/>
      <c r="AQ1161" s="141"/>
      <c r="AT1161" s="140"/>
      <c r="AU1161" s="140"/>
    </row>
    <row r="1162" spans="2:47" s="134" customFormat="1" x14ac:dyDescent="0.2">
      <c r="B1162" s="145"/>
      <c r="D1162" s="679"/>
      <c r="J1162" s="140"/>
      <c r="K1162" s="140"/>
      <c r="L1162" s="140"/>
      <c r="M1162" s="140"/>
      <c r="N1162" s="140"/>
      <c r="O1162" s="140"/>
      <c r="P1162" s="140"/>
      <c r="Q1162" s="140"/>
      <c r="R1162" s="140"/>
      <c r="S1162" s="140"/>
      <c r="T1162" s="140"/>
      <c r="U1162" s="140"/>
      <c r="V1162" s="140"/>
      <c r="W1162" s="140"/>
      <c r="X1162" s="140"/>
      <c r="Y1162" s="140"/>
      <c r="Z1162" s="140"/>
      <c r="AA1162" s="141"/>
      <c r="AE1162" s="140"/>
      <c r="AI1162" s="141"/>
      <c r="AM1162" s="141"/>
      <c r="AQ1162" s="141"/>
      <c r="AT1162" s="140"/>
      <c r="AU1162" s="140"/>
    </row>
    <row r="1163" spans="2:47" s="134" customFormat="1" x14ac:dyDescent="0.2">
      <c r="B1163" s="145"/>
      <c r="D1163" s="679"/>
      <c r="J1163" s="140"/>
      <c r="K1163" s="140"/>
      <c r="L1163" s="140"/>
      <c r="M1163" s="140"/>
      <c r="N1163" s="140"/>
      <c r="O1163" s="140"/>
      <c r="P1163" s="140"/>
      <c r="Q1163" s="140"/>
      <c r="R1163" s="140"/>
      <c r="S1163" s="140"/>
      <c r="T1163" s="140"/>
      <c r="U1163" s="140"/>
      <c r="V1163" s="140"/>
      <c r="W1163" s="140"/>
      <c r="X1163" s="140"/>
      <c r="Y1163" s="140"/>
      <c r="Z1163" s="140"/>
      <c r="AA1163" s="141"/>
      <c r="AE1163" s="140"/>
      <c r="AI1163" s="141"/>
      <c r="AM1163" s="141"/>
      <c r="AQ1163" s="141"/>
      <c r="AT1163" s="140"/>
      <c r="AU1163" s="140"/>
    </row>
    <row r="1164" spans="2:47" s="134" customFormat="1" x14ac:dyDescent="0.2">
      <c r="B1164" s="145"/>
      <c r="D1164" s="679"/>
      <c r="J1164" s="140"/>
      <c r="K1164" s="140"/>
      <c r="L1164" s="140"/>
      <c r="M1164" s="140"/>
      <c r="N1164" s="140"/>
      <c r="O1164" s="140"/>
      <c r="P1164" s="140"/>
      <c r="Q1164" s="140"/>
      <c r="R1164" s="140"/>
      <c r="S1164" s="140"/>
      <c r="T1164" s="140"/>
      <c r="U1164" s="140"/>
      <c r="V1164" s="140"/>
      <c r="W1164" s="140"/>
      <c r="X1164" s="140"/>
      <c r="Y1164" s="140"/>
      <c r="Z1164" s="140"/>
      <c r="AA1164" s="141"/>
      <c r="AE1164" s="140"/>
      <c r="AI1164" s="141"/>
      <c r="AM1164" s="141"/>
      <c r="AQ1164" s="141"/>
      <c r="AT1164" s="140"/>
      <c r="AU1164" s="140"/>
    </row>
    <row r="1165" spans="2:47" s="134" customFormat="1" x14ac:dyDescent="0.2">
      <c r="B1165" s="145"/>
      <c r="D1165" s="679"/>
      <c r="J1165" s="140"/>
      <c r="K1165" s="140"/>
      <c r="L1165" s="140"/>
      <c r="M1165" s="140"/>
      <c r="N1165" s="140"/>
      <c r="O1165" s="140"/>
      <c r="P1165" s="140"/>
      <c r="Q1165" s="140"/>
      <c r="R1165" s="140"/>
      <c r="S1165" s="140"/>
      <c r="T1165" s="140"/>
      <c r="U1165" s="140"/>
      <c r="V1165" s="140"/>
      <c r="W1165" s="140"/>
      <c r="X1165" s="140"/>
      <c r="Y1165" s="140"/>
      <c r="Z1165" s="140"/>
      <c r="AA1165" s="141"/>
      <c r="AE1165" s="140"/>
      <c r="AI1165" s="141"/>
      <c r="AM1165" s="141"/>
      <c r="AQ1165" s="141"/>
      <c r="AT1165" s="140"/>
      <c r="AU1165" s="140"/>
    </row>
    <row r="1166" spans="2:47" s="134" customFormat="1" x14ac:dyDescent="0.2">
      <c r="B1166" s="145"/>
      <c r="D1166" s="679"/>
      <c r="J1166" s="140"/>
      <c r="K1166" s="140"/>
      <c r="L1166" s="140"/>
      <c r="M1166" s="140"/>
      <c r="N1166" s="140"/>
      <c r="O1166" s="140"/>
      <c r="P1166" s="140"/>
      <c r="Q1166" s="140"/>
      <c r="R1166" s="140"/>
      <c r="S1166" s="140"/>
      <c r="T1166" s="140"/>
      <c r="U1166" s="140"/>
      <c r="V1166" s="140"/>
      <c r="W1166" s="140"/>
      <c r="X1166" s="140"/>
      <c r="Y1166" s="140"/>
      <c r="Z1166" s="140"/>
      <c r="AA1166" s="141"/>
      <c r="AE1166" s="140"/>
      <c r="AI1166" s="141"/>
      <c r="AM1166" s="141"/>
      <c r="AQ1166" s="141"/>
      <c r="AT1166" s="140"/>
      <c r="AU1166" s="140"/>
    </row>
    <row r="1167" spans="2:47" s="134" customFormat="1" x14ac:dyDescent="0.2">
      <c r="B1167" s="145"/>
      <c r="D1167" s="679"/>
      <c r="J1167" s="140"/>
      <c r="K1167" s="140"/>
      <c r="L1167" s="140"/>
      <c r="M1167" s="140"/>
      <c r="N1167" s="140"/>
      <c r="O1167" s="140"/>
      <c r="P1167" s="140"/>
      <c r="Q1167" s="140"/>
      <c r="R1167" s="140"/>
      <c r="S1167" s="140"/>
      <c r="T1167" s="140"/>
      <c r="U1167" s="140"/>
      <c r="V1167" s="140"/>
      <c r="W1167" s="140"/>
      <c r="X1167" s="140"/>
      <c r="Y1167" s="140"/>
      <c r="Z1167" s="140"/>
      <c r="AA1167" s="141"/>
      <c r="AE1167" s="140"/>
      <c r="AI1167" s="141"/>
      <c r="AM1167" s="141"/>
      <c r="AQ1167" s="141"/>
      <c r="AT1167" s="140"/>
      <c r="AU1167" s="140"/>
    </row>
    <row r="1168" spans="2:47" s="134" customFormat="1" x14ac:dyDescent="0.2">
      <c r="B1168" s="145"/>
      <c r="D1168" s="679"/>
      <c r="J1168" s="140"/>
      <c r="K1168" s="140"/>
      <c r="L1168" s="140"/>
      <c r="M1168" s="140"/>
      <c r="N1168" s="140"/>
      <c r="O1168" s="140"/>
      <c r="P1168" s="140"/>
      <c r="Q1168" s="140"/>
      <c r="R1168" s="140"/>
      <c r="S1168" s="140"/>
      <c r="T1168" s="140"/>
      <c r="U1168" s="140"/>
      <c r="V1168" s="140"/>
      <c r="W1168" s="140"/>
      <c r="X1168" s="140"/>
      <c r="Y1168" s="140"/>
      <c r="Z1168" s="140"/>
      <c r="AA1168" s="141"/>
      <c r="AE1168" s="140"/>
      <c r="AI1168" s="141"/>
      <c r="AM1168" s="141"/>
      <c r="AQ1168" s="141"/>
      <c r="AT1168" s="140"/>
      <c r="AU1168" s="140"/>
    </row>
    <row r="1169" spans="2:47" s="134" customFormat="1" x14ac:dyDescent="0.2">
      <c r="B1169" s="145"/>
      <c r="D1169" s="679"/>
      <c r="J1169" s="140"/>
      <c r="K1169" s="140"/>
      <c r="L1169" s="140"/>
      <c r="M1169" s="140"/>
      <c r="N1169" s="140"/>
      <c r="O1169" s="140"/>
      <c r="P1169" s="140"/>
      <c r="Q1169" s="140"/>
      <c r="R1169" s="140"/>
      <c r="S1169" s="140"/>
      <c r="T1169" s="140"/>
      <c r="U1169" s="140"/>
      <c r="V1169" s="140"/>
      <c r="W1169" s="140"/>
      <c r="X1169" s="140"/>
      <c r="Y1169" s="140"/>
      <c r="Z1169" s="140"/>
      <c r="AA1169" s="141"/>
      <c r="AE1169" s="140"/>
      <c r="AI1169" s="141"/>
      <c r="AM1169" s="141"/>
      <c r="AQ1169" s="141"/>
      <c r="AT1169" s="140"/>
      <c r="AU1169" s="140"/>
    </row>
    <row r="1170" spans="2:47" s="134" customFormat="1" x14ac:dyDescent="0.2">
      <c r="B1170" s="145"/>
      <c r="D1170" s="679"/>
      <c r="J1170" s="140"/>
      <c r="K1170" s="140"/>
      <c r="L1170" s="140"/>
      <c r="M1170" s="140"/>
      <c r="N1170" s="140"/>
      <c r="O1170" s="140"/>
      <c r="P1170" s="140"/>
      <c r="Q1170" s="140"/>
      <c r="R1170" s="140"/>
      <c r="S1170" s="140"/>
      <c r="T1170" s="140"/>
      <c r="U1170" s="140"/>
      <c r="V1170" s="140"/>
      <c r="W1170" s="140"/>
      <c r="X1170" s="140"/>
      <c r="Y1170" s="140"/>
      <c r="Z1170" s="140"/>
      <c r="AA1170" s="141"/>
      <c r="AE1170" s="140"/>
      <c r="AI1170" s="141"/>
      <c r="AM1170" s="141"/>
      <c r="AQ1170" s="141"/>
      <c r="AT1170" s="140"/>
      <c r="AU1170" s="140"/>
    </row>
    <row r="1171" spans="2:47" s="134" customFormat="1" x14ac:dyDescent="0.2">
      <c r="B1171" s="145"/>
      <c r="D1171" s="679"/>
      <c r="J1171" s="140"/>
      <c r="K1171" s="140"/>
      <c r="L1171" s="140"/>
      <c r="M1171" s="140"/>
      <c r="N1171" s="140"/>
      <c r="O1171" s="140"/>
      <c r="P1171" s="140"/>
      <c r="Q1171" s="140"/>
      <c r="R1171" s="140"/>
      <c r="S1171" s="140"/>
      <c r="T1171" s="140"/>
      <c r="U1171" s="140"/>
      <c r="V1171" s="140"/>
      <c r="W1171" s="140"/>
      <c r="X1171" s="140"/>
      <c r="Y1171" s="140"/>
      <c r="Z1171" s="140"/>
      <c r="AA1171" s="141"/>
      <c r="AE1171" s="140"/>
      <c r="AI1171" s="141"/>
      <c r="AM1171" s="141"/>
      <c r="AQ1171" s="141"/>
      <c r="AT1171" s="140"/>
      <c r="AU1171" s="140"/>
    </row>
    <row r="1172" spans="2:47" s="134" customFormat="1" x14ac:dyDescent="0.2">
      <c r="B1172" s="145"/>
      <c r="D1172" s="679"/>
      <c r="J1172" s="140"/>
      <c r="K1172" s="140"/>
      <c r="L1172" s="140"/>
      <c r="M1172" s="140"/>
      <c r="N1172" s="140"/>
      <c r="O1172" s="140"/>
      <c r="P1172" s="140"/>
      <c r="Q1172" s="140"/>
      <c r="R1172" s="140"/>
      <c r="S1172" s="140"/>
      <c r="T1172" s="140"/>
      <c r="U1172" s="140"/>
      <c r="V1172" s="140"/>
      <c r="W1172" s="140"/>
      <c r="X1172" s="140"/>
      <c r="Y1172" s="140"/>
      <c r="Z1172" s="140"/>
      <c r="AA1172" s="141"/>
      <c r="AE1172" s="140"/>
      <c r="AI1172" s="141"/>
      <c r="AM1172" s="141"/>
      <c r="AQ1172" s="141"/>
      <c r="AT1172" s="140"/>
      <c r="AU1172" s="140"/>
    </row>
    <row r="1173" spans="2:47" s="134" customFormat="1" x14ac:dyDescent="0.2">
      <c r="B1173" s="145"/>
      <c r="D1173" s="679"/>
      <c r="J1173" s="140"/>
      <c r="K1173" s="140"/>
      <c r="L1173" s="140"/>
      <c r="M1173" s="140"/>
      <c r="N1173" s="140"/>
      <c r="O1173" s="140"/>
      <c r="P1173" s="140"/>
      <c r="Q1173" s="140"/>
      <c r="R1173" s="140"/>
      <c r="S1173" s="140"/>
      <c r="T1173" s="140"/>
      <c r="U1173" s="140"/>
      <c r="V1173" s="140"/>
      <c r="W1173" s="140"/>
      <c r="X1173" s="140"/>
      <c r="Y1173" s="140"/>
      <c r="Z1173" s="140"/>
      <c r="AA1173" s="141"/>
      <c r="AE1173" s="140"/>
      <c r="AI1173" s="141"/>
      <c r="AM1173" s="141"/>
      <c r="AQ1173" s="141"/>
      <c r="AT1173" s="140"/>
      <c r="AU1173" s="140"/>
    </row>
    <row r="1174" spans="2:47" s="134" customFormat="1" x14ac:dyDescent="0.2">
      <c r="B1174" s="145"/>
      <c r="D1174" s="679"/>
      <c r="J1174" s="140"/>
      <c r="K1174" s="140"/>
      <c r="L1174" s="140"/>
      <c r="M1174" s="140"/>
      <c r="N1174" s="140"/>
      <c r="O1174" s="140"/>
      <c r="P1174" s="140"/>
      <c r="Q1174" s="140"/>
      <c r="R1174" s="140"/>
      <c r="S1174" s="140"/>
      <c r="T1174" s="140"/>
      <c r="U1174" s="140"/>
      <c r="V1174" s="140"/>
      <c r="W1174" s="140"/>
      <c r="X1174" s="140"/>
      <c r="Y1174" s="140"/>
      <c r="Z1174" s="140"/>
      <c r="AA1174" s="141"/>
      <c r="AE1174" s="140"/>
      <c r="AI1174" s="141"/>
      <c r="AM1174" s="141"/>
      <c r="AQ1174" s="141"/>
      <c r="AT1174" s="140"/>
      <c r="AU1174" s="140"/>
    </row>
    <row r="1175" spans="2:47" s="134" customFormat="1" x14ac:dyDescent="0.2">
      <c r="B1175" s="145"/>
      <c r="D1175" s="679"/>
      <c r="J1175" s="140"/>
      <c r="K1175" s="140"/>
      <c r="L1175" s="140"/>
      <c r="M1175" s="140"/>
      <c r="N1175" s="140"/>
      <c r="O1175" s="140"/>
      <c r="P1175" s="140"/>
      <c r="Q1175" s="140"/>
      <c r="R1175" s="140"/>
      <c r="S1175" s="140"/>
      <c r="T1175" s="140"/>
      <c r="U1175" s="140"/>
      <c r="V1175" s="140"/>
      <c r="W1175" s="140"/>
      <c r="X1175" s="140"/>
      <c r="Y1175" s="140"/>
      <c r="Z1175" s="140"/>
      <c r="AA1175" s="141"/>
      <c r="AE1175" s="140"/>
      <c r="AI1175" s="141"/>
      <c r="AM1175" s="141"/>
      <c r="AQ1175" s="141"/>
      <c r="AT1175" s="140"/>
      <c r="AU1175" s="140"/>
    </row>
    <row r="1176" spans="2:47" s="134" customFormat="1" x14ac:dyDescent="0.2">
      <c r="B1176" s="145"/>
      <c r="D1176" s="679"/>
      <c r="J1176" s="140"/>
      <c r="K1176" s="140"/>
      <c r="L1176" s="140"/>
      <c r="M1176" s="140"/>
      <c r="N1176" s="140"/>
      <c r="O1176" s="140"/>
      <c r="P1176" s="140"/>
      <c r="Q1176" s="140"/>
      <c r="R1176" s="140"/>
      <c r="S1176" s="140"/>
      <c r="T1176" s="140"/>
      <c r="U1176" s="140"/>
      <c r="V1176" s="140"/>
      <c r="W1176" s="140"/>
      <c r="X1176" s="140"/>
      <c r="Y1176" s="140"/>
      <c r="Z1176" s="140"/>
      <c r="AA1176" s="141"/>
      <c r="AE1176" s="140"/>
      <c r="AI1176" s="141"/>
      <c r="AM1176" s="141"/>
      <c r="AQ1176" s="141"/>
      <c r="AT1176" s="140"/>
      <c r="AU1176" s="140"/>
    </row>
    <row r="1177" spans="2:47" s="134" customFormat="1" x14ac:dyDescent="0.2">
      <c r="B1177" s="145"/>
      <c r="D1177" s="679"/>
      <c r="J1177" s="140"/>
      <c r="K1177" s="140"/>
      <c r="L1177" s="140"/>
      <c r="M1177" s="140"/>
      <c r="N1177" s="140"/>
      <c r="O1177" s="140"/>
      <c r="P1177" s="140"/>
      <c r="Q1177" s="140"/>
      <c r="R1177" s="140"/>
      <c r="S1177" s="140"/>
      <c r="T1177" s="140"/>
      <c r="U1177" s="140"/>
      <c r="V1177" s="140"/>
      <c r="W1177" s="140"/>
      <c r="X1177" s="140"/>
      <c r="Y1177" s="140"/>
      <c r="Z1177" s="140"/>
      <c r="AA1177" s="141"/>
      <c r="AE1177" s="140"/>
      <c r="AI1177" s="141"/>
      <c r="AM1177" s="141"/>
      <c r="AQ1177" s="141"/>
      <c r="AT1177" s="140"/>
      <c r="AU1177" s="140"/>
    </row>
    <row r="1178" spans="2:47" s="134" customFormat="1" x14ac:dyDescent="0.2">
      <c r="B1178" s="145"/>
      <c r="D1178" s="679"/>
      <c r="J1178" s="140"/>
      <c r="K1178" s="140"/>
      <c r="L1178" s="140"/>
      <c r="M1178" s="140"/>
      <c r="N1178" s="140"/>
      <c r="O1178" s="140"/>
      <c r="P1178" s="140"/>
      <c r="Q1178" s="140"/>
      <c r="R1178" s="140"/>
      <c r="S1178" s="140"/>
      <c r="T1178" s="140"/>
      <c r="U1178" s="140"/>
      <c r="V1178" s="140"/>
      <c r="W1178" s="140"/>
      <c r="X1178" s="140"/>
      <c r="Y1178" s="140"/>
      <c r="Z1178" s="140"/>
      <c r="AA1178" s="141"/>
      <c r="AE1178" s="140"/>
      <c r="AI1178" s="141"/>
      <c r="AM1178" s="141"/>
      <c r="AQ1178" s="141"/>
      <c r="AT1178" s="140"/>
      <c r="AU1178" s="140"/>
    </row>
    <row r="1179" spans="2:47" s="134" customFormat="1" x14ac:dyDescent="0.2">
      <c r="B1179" s="145"/>
      <c r="D1179" s="679"/>
      <c r="J1179" s="140"/>
      <c r="K1179" s="140"/>
      <c r="L1179" s="140"/>
      <c r="M1179" s="140"/>
      <c r="N1179" s="140"/>
      <c r="O1179" s="140"/>
      <c r="P1179" s="140"/>
      <c r="Q1179" s="140"/>
      <c r="R1179" s="140"/>
      <c r="S1179" s="140"/>
      <c r="T1179" s="140"/>
      <c r="U1179" s="140"/>
      <c r="V1179" s="140"/>
      <c r="W1179" s="140"/>
      <c r="X1179" s="140"/>
      <c r="Y1179" s="140"/>
      <c r="Z1179" s="140"/>
      <c r="AA1179" s="141"/>
      <c r="AE1179" s="140"/>
      <c r="AI1179" s="141"/>
      <c r="AM1179" s="141"/>
      <c r="AQ1179" s="141"/>
      <c r="AT1179" s="140"/>
      <c r="AU1179" s="140"/>
    </row>
    <row r="1180" spans="2:47" s="134" customFormat="1" x14ac:dyDescent="0.2">
      <c r="B1180" s="145"/>
      <c r="D1180" s="679"/>
      <c r="J1180" s="140"/>
      <c r="K1180" s="140"/>
      <c r="L1180" s="140"/>
      <c r="M1180" s="140"/>
      <c r="N1180" s="140"/>
      <c r="O1180" s="140"/>
      <c r="P1180" s="140"/>
      <c r="Q1180" s="140"/>
      <c r="R1180" s="140"/>
      <c r="S1180" s="140"/>
      <c r="T1180" s="140"/>
      <c r="U1180" s="140"/>
      <c r="V1180" s="140"/>
      <c r="W1180" s="140"/>
      <c r="X1180" s="140"/>
      <c r="Y1180" s="140"/>
      <c r="Z1180" s="140"/>
      <c r="AA1180" s="141"/>
      <c r="AE1180" s="140"/>
      <c r="AI1180" s="141"/>
      <c r="AM1180" s="141"/>
      <c r="AQ1180" s="141"/>
      <c r="AT1180" s="140"/>
      <c r="AU1180" s="140"/>
    </row>
    <row r="1181" spans="2:47" s="134" customFormat="1" x14ac:dyDescent="0.2">
      <c r="B1181" s="145"/>
      <c r="D1181" s="679"/>
      <c r="J1181" s="140"/>
      <c r="K1181" s="140"/>
      <c r="L1181" s="140"/>
      <c r="M1181" s="140"/>
      <c r="N1181" s="140"/>
      <c r="O1181" s="140"/>
      <c r="P1181" s="140"/>
      <c r="Q1181" s="140"/>
      <c r="R1181" s="140"/>
      <c r="S1181" s="140"/>
      <c r="T1181" s="140"/>
      <c r="U1181" s="140"/>
      <c r="V1181" s="140"/>
      <c r="W1181" s="140"/>
      <c r="X1181" s="140"/>
      <c r="Y1181" s="140"/>
      <c r="Z1181" s="140"/>
      <c r="AA1181" s="141"/>
      <c r="AE1181" s="140"/>
      <c r="AI1181" s="141"/>
      <c r="AM1181" s="141"/>
      <c r="AQ1181" s="141"/>
      <c r="AT1181" s="140"/>
      <c r="AU1181" s="140"/>
    </row>
    <row r="1182" spans="2:47" s="134" customFormat="1" x14ac:dyDescent="0.2">
      <c r="B1182" s="145"/>
      <c r="D1182" s="679"/>
      <c r="J1182" s="140"/>
      <c r="K1182" s="140"/>
      <c r="L1182" s="140"/>
      <c r="M1182" s="140"/>
      <c r="N1182" s="140"/>
      <c r="O1182" s="140"/>
      <c r="P1182" s="140"/>
      <c r="Q1182" s="140"/>
      <c r="R1182" s="140"/>
      <c r="S1182" s="140"/>
      <c r="T1182" s="140"/>
      <c r="U1182" s="140"/>
      <c r="V1182" s="140"/>
      <c r="W1182" s="140"/>
      <c r="X1182" s="140"/>
      <c r="Y1182" s="140"/>
      <c r="Z1182" s="140"/>
      <c r="AA1182" s="141"/>
      <c r="AE1182" s="140"/>
      <c r="AI1182" s="141"/>
      <c r="AM1182" s="141"/>
      <c r="AQ1182" s="141"/>
      <c r="AT1182" s="140"/>
      <c r="AU1182" s="140"/>
    </row>
    <row r="1183" spans="2:47" s="134" customFormat="1" x14ac:dyDescent="0.2">
      <c r="B1183" s="145"/>
      <c r="D1183" s="679"/>
      <c r="J1183" s="140"/>
      <c r="K1183" s="140"/>
      <c r="L1183" s="140"/>
      <c r="M1183" s="140"/>
      <c r="N1183" s="140"/>
      <c r="O1183" s="140"/>
      <c r="P1183" s="140"/>
      <c r="Q1183" s="140"/>
      <c r="R1183" s="140"/>
      <c r="S1183" s="140"/>
      <c r="T1183" s="140"/>
      <c r="U1183" s="140"/>
      <c r="V1183" s="140"/>
      <c r="W1183" s="140"/>
      <c r="X1183" s="140"/>
      <c r="Y1183" s="140"/>
      <c r="Z1183" s="140"/>
      <c r="AA1183" s="141"/>
      <c r="AE1183" s="140"/>
      <c r="AI1183" s="141"/>
      <c r="AM1183" s="141"/>
      <c r="AQ1183" s="141"/>
      <c r="AT1183" s="140"/>
      <c r="AU1183" s="140"/>
    </row>
    <row r="1184" spans="2:47" s="134" customFormat="1" x14ac:dyDescent="0.2">
      <c r="B1184" s="145"/>
      <c r="D1184" s="679"/>
      <c r="J1184" s="140"/>
      <c r="K1184" s="140"/>
      <c r="L1184" s="140"/>
      <c r="M1184" s="140"/>
      <c r="N1184" s="140"/>
      <c r="O1184" s="140"/>
      <c r="P1184" s="140"/>
      <c r="Q1184" s="140"/>
      <c r="R1184" s="140"/>
      <c r="S1184" s="140"/>
      <c r="T1184" s="140"/>
      <c r="U1184" s="140"/>
      <c r="V1184" s="140"/>
      <c r="W1184" s="140"/>
      <c r="X1184" s="140"/>
      <c r="Y1184" s="140"/>
      <c r="Z1184" s="140"/>
      <c r="AA1184" s="141"/>
      <c r="AE1184" s="140"/>
      <c r="AI1184" s="141"/>
      <c r="AM1184" s="141"/>
      <c r="AQ1184" s="141"/>
      <c r="AT1184" s="140"/>
      <c r="AU1184" s="140"/>
    </row>
    <row r="1185" spans="2:47" s="134" customFormat="1" x14ac:dyDescent="0.2">
      <c r="B1185" s="145"/>
      <c r="D1185" s="679"/>
      <c r="J1185" s="140"/>
      <c r="K1185" s="140"/>
      <c r="L1185" s="140"/>
      <c r="M1185" s="140"/>
      <c r="N1185" s="140"/>
      <c r="O1185" s="140"/>
      <c r="P1185" s="140"/>
      <c r="Q1185" s="140"/>
      <c r="R1185" s="140"/>
      <c r="S1185" s="140"/>
      <c r="T1185" s="140"/>
      <c r="U1185" s="140"/>
      <c r="V1185" s="140"/>
      <c r="W1185" s="140"/>
      <c r="X1185" s="140"/>
      <c r="Y1185" s="140"/>
      <c r="Z1185" s="140"/>
      <c r="AA1185" s="141"/>
      <c r="AE1185" s="140"/>
      <c r="AI1185" s="141"/>
      <c r="AM1185" s="141"/>
      <c r="AQ1185" s="141"/>
      <c r="AT1185" s="140"/>
      <c r="AU1185" s="140"/>
    </row>
    <row r="1186" spans="2:47" s="134" customFormat="1" x14ac:dyDescent="0.2">
      <c r="B1186" s="145"/>
      <c r="D1186" s="679"/>
      <c r="J1186" s="140"/>
      <c r="K1186" s="140"/>
      <c r="L1186" s="140"/>
      <c r="M1186" s="140"/>
      <c r="N1186" s="140"/>
      <c r="O1186" s="140"/>
      <c r="P1186" s="140"/>
      <c r="Q1186" s="140"/>
      <c r="R1186" s="140"/>
      <c r="S1186" s="140"/>
      <c r="T1186" s="140"/>
      <c r="U1186" s="140"/>
      <c r="V1186" s="140"/>
      <c r="W1186" s="140"/>
      <c r="X1186" s="140"/>
      <c r="Y1186" s="140"/>
      <c r="Z1186" s="140"/>
      <c r="AA1186" s="141"/>
      <c r="AE1186" s="140"/>
      <c r="AI1186" s="141"/>
      <c r="AM1186" s="141"/>
      <c r="AQ1186" s="141"/>
      <c r="AT1186" s="140"/>
      <c r="AU1186" s="140"/>
    </row>
    <row r="1187" spans="2:47" s="134" customFormat="1" x14ac:dyDescent="0.2">
      <c r="B1187" s="145"/>
      <c r="D1187" s="679"/>
      <c r="J1187" s="140"/>
      <c r="K1187" s="140"/>
      <c r="L1187" s="140"/>
      <c r="M1187" s="140"/>
      <c r="N1187" s="140"/>
      <c r="O1187" s="140"/>
      <c r="P1187" s="140"/>
      <c r="Q1187" s="140"/>
      <c r="R1187" s="140"/>
      <c r="S1187" s="140"/>
      <c r="T1187" s="140"/>
      <c r="U1187" s="140"/>
      <c r="V1187" s="140"/>
      <c r="W1187" s="140"/>
      <c r="X1187" s="140"/>
      <c r="Y1187" s="140"/>
      <c r="Z1187" s="140"/>
      <c r="AA1187" s="141"/>
      <c r="AE1187" s="140"/>
      <c r="AI1187" s="141"/>
      <c r="AM1187" s="141"/>
      <c r="AQ1187" s="141"/>
      <c r="AT1187" s="140"/>
      <c r="AU1187" s="140"/>
    </row>
    <row r="1188" spans="2:47" s="134" customFormat="1" x14ac:dyDescent="0.2">
      <c r="B1188" s="145"/>
      <c r="D1188" s="679"/>
      <c r="J1188" s="140"/>
      <c r="K1188" s="140"/>
      <c r="L1188" s="140"/>
      <c r="M1188" s="140"/>
      <c r="N1188" s="140"/>
      <c r="O1188" s="140"/>
      <c r="P1188" s="140"/>
      <c r="Q1188" s="140"/>
      <c r="R1188" s="140"/>
      <c r="S1188" s="140"/>
      <c r="T1188" s="140"/>
      <c r="U1188" s="140"/>
      <c r="V1188" s="140"/>
      <c r="W1188" s="140"/>
      <c r="X1188" s="140"/>
      <c r="Y1188" s="140"/>
      <c r="Z1188" s="140"/>
      <c r="AA1188" s="141"/>
      <c r="AE1188" s="140"/>
      <c r="AI1188" s="141"/>
      <c r="AM1188" s="141"/>
      <c r="AQ1188" s="141"/>
      <c r="AT1188" s="140"/>
      <c r="AU1188" s="140"/>
    </row>
    <row r="1189" spans="2:47" s="134" customFormat="1" x14ac:dyDescent="0.2">
      <c r="B1189" s="145"/>
      <c r="D1189" s="679"/>
      <c r="J1189" s="140"/>
      <c r="K1189" s="140"/>
      <c r="L1189" s="140"/>
      <c r="M1189" s="140"/>
      <c r="N1189" s="140"/>
      <c r="O1189" s="140"/>
      <c r="P1189" s="140"/>
      <c r="Q1189" s="140"/>
      <c r="R1189" s="140"/>
      <c r="S1189" s="140"/>
      <c r="T1189" s="140"/>
      <c r="U1189" s="140"/>
      <c r="V1189" s="140"/>
      <c r="W1189" s="140"/>
      <c r="X1189" s="140"/>
      <c r="Y1189" s="140"/>
      <c r="Z1189" s="140"/>
      <c r="AA1189" s="141"/>
      <c r="AE1189" s="140"/>
      <c r="AI1189" s="141"/>
      <c r="AM1189" s="141"/>
      <c r="AQ1189" s="141"/>
      <c r="AT1189" s="140"/>
      <c r="AU1189" s="140"/>
    </row>
    <row r="1190" spans="2:47" s="134" customFormat="1" x14ac:dyDescent="0.2">
      <c r="B1190" s="145"/>
      <c r="D1190" s="679"/>
      <c r="J1190" s="140"/>
      <c r="K1190" s="140"/>
      <c r="L1190" s="140"/>
      <c r="M1190" s="140"/>
      <c r="N1190" s="140"/>
      <c r="O1190" s="140"/>
      <c r="P1190" s="140"/>
      <c r="Q1190" s="140"/>
      <c r="R1190" s="140"/>
      <c r="S1190" s="140"/>
      <c r="T1190" s="140"/>
      <c r="U1190" s="140"/>
      <c r="V1190" s="140"/>
      <c r="W1190" s="140"/>
      <c r="X1190" s="140"/>
      <c r="Y1190" s="140"/>
      <c r="Z1190" s="140"/>
      <c r="AA1190" s="141"/>
      <c r="AE1190" s="140"/>
      <c r="AI1190" s="141"/>
      <c r="AM1190" s="141"/>
      <c r="AQ1190" s="141"/>
      <c r="AT1190" s="140"/>
      <c r="AU1190" s="140"/>
    </row>
    <row r="1191" spans="2:47" s="134" customFormat="1" x14ac:dyDescent="0.2">
      <c r="B1191" s="145"/>
      <c r="D1191" s="679"/>
      <c r="J1191" s="140"/>
      <c r="K1191" s="140"/>
      <c r="L1191" s="140"/>
      <c r="M1191" s="140"/>
      <c r="N1191" s="140"/>
      <c r="O1191" s="140"/>
      <c r="P1191" s="140"/>
      <c r="Q1191" s="140"/>
      <c r="R1191" s="140"/>
      <c r="S1191" s="140"/>
      <c r="T1191" s="140"/>
      <c r="U1191" s="140"/>
      <c r="V1191" s="140"/>
      <c r="W1191" s="140"/>
      <c r="X1191" s="140"/>
      <c r="Y1191" s="140"/>
      <c r="Z1191" s="140"/>
      <c r="AA1191" s="141"/>
      <c r="AE1191" s="140"/>
      <c r="AI1191" s="141"/>
      <c r="AM1191" s="141"/>
      <c r="AQ1191" s="141"/>
      <c r="AT1191" s="140"/>
      <c r="AU1191" s="140"/>
    </row>
    <row r="1192" spans="2:47" s="134" customFormat="1" x14ac:dyDescent="0.2">
      <c r="B1192" s="145"/>
      <c r="D1192" s="679"/>
      <c r="J1192" s="140"/>
      <c r="K1192" s="140"/>
      <c r="L1192" s="140"/>
      <c r="M1192" s="140"/>
      <c r="N1192" s="140"/>
      <c r="O1192" s="140"/>
      <c r="P1192" s="140"/>
      <c r="Q1192" s="140"/>
      <c r="R1192" s="140"/>
      <c r="S1192" s="140"/>
      <c r="T1192" s="140"/>
      <c r="U1192" s="140"/>
      <c r="V1192" s="140"/>
      <c r="W1192" s="140"/>
      <c r="X1192" s="140"/>
      <c r="Y1192" s="140"/>
      <c r="Z1192" s="140"/>
      <c r="AA1192" s="141"/>
      <c r="AE1192" s="140"/>
      <c r="AI1192" s="141"/>
      <c r="AM1192" s="141"/>
      <c r="AQ1192" s="141"/>
      <c r="AT1192" s="140"/>
      <c r="AU1192" s="140"/>
    </row>
    <row r="1193" spans="2:47" s="134" customFormat="1" x14ac:dyDescent="0.2">
      <c r="B1193" s="145"/>
      <c r="D1193" s="679"/>
      <c r="J1193" s="140"/>
      <c r="K1193" s="140"/>
      <c r="L1193" s="140"/>
      <c r="M1193" s="140"/>
      <c r="N1193" s="140"/>
      <c r="O1193" s="140"/>
      <c r="P1193" s="140"/>
      <c r="Q1193" s="140"/>
      <c r="R1193" s="140"/>
      <c r="S1193" s="140"/>
      <c r="T1193" s="140"/>
      <c r="U1193" s="140"/>
      <c r="V1193" s="140"/>
      <c r="W1193" s="140"/>
      <c r="X1193" s="140"/>
      <c r="Y1193" s="140"/>
      <c r="Z1193" s="140"/>
      <c r="AA1193" s="141"/>
      <c r="AE1193" s="140"/>
      <c r="AI1193" s="141"/>
      <c r="AM1193" s="141"/>
      <c r="AQ1193" s="141"/>
      <c r="AT1193" s="140"/>
      <c r="AU1193" s="140"/>
    </row>
    <row r="1194" spans="2:47" s="134" customFormat="1" x14ac:dyDescent="0.2">
      <c r="B1194" s="145"/>
      <c r="D1194" s="679"/>
      <c r="J1194" s="140"/>
      <c r="K1194" s="140"/>
      <c r="L1194" s="140"/>
      <c r="M1194" s="140"/>
      <c r="N1194" s="140"/>
      <c r="O1194" s="140"/>
      <c r="P1194" s="140"/>
      <c r="Q1194" s="140"/>
      <c r="R1194" s="140"/>
      <c r="S1194" s="140"/>
      <c r="T1194" s="140"/>
      <c r="U1194" s="140"/>
      <c r="V1194" s="140"/>
      <c r="W1194" s="140"/>
      <c r="X1194" s="140"/>
      <c r="Y1194" s="140"/>
      <c r="Z1194" s="140"/>
      <c r="AA1194" s="141"/>
      <c r="AE1194" s="140"/>
      <c r="AI1194" s="141"/>
      <c r="AM1194" s="141"/>
      <c r="AQ1194" s="141"/>
      <c r="AT1194" s="140"/>
      <c r="AU1194" s="140"/>
    </row>
    <row r="1195" spans="2:47" s="134" customFormat="1" x14ac:dyDescent="0.2">
      <c r="B1195" s="145"/>
      <c r="D1195" s="679"/>
      <c r="J1195" s="140"/>
      <c r="K1195" s="140"/>
      <c r="L1195" s="140"/>
      <c r="M1195" s="140"/>
      <c r="N1195" s="140"/>
      <c r="O1195" s="140"/>
      <c r="P1195" s="140"/>
      <c r="Q1195" s="140"/>
      <c r="R1195" s="140"/>
      <c r="S1195" s="140"/>
      <c r="T1195" s="140"/>
      <c r="U1195" s="140"/>
      <c r="V1195" s="140"/>
      <c r="W1195" s="140"/>
      <c r="X1195" s="140"/>
      <c r="Y1195" s="140"/>
      <c r="Z1195" s="140"/>
      <c r="AA1195" s="141"/>
      <c r="AE1195" s="140"/>
      <c r="AI1195" s="141"/>
      <c r="AM1195" s="141"/>
      <c r="AQ1195" s="141"/>
      <c r="AT1195" s="140"/>
      <c r="AU1195" s="140"/>
    </row>
    <row r="1196" spans="2:47" s="134" customFormat="1" x14ac:dyDescent="0.2">
      <c r="B1196" s="145"/>
      <c r="D1196" s="679"/>
      <c r="J1196" s="140"/>
      <c r="K1196" s="140"/>
      <c r="L1196" s="140"/>
      <c r="M1196" s="140"/>
      <c r="N1196" s="140"/>
      <c r="O1196" s="140"/>
      <c r="P1196" s="140"/>
      <c r="Q1196" s="140"/>
      <c r="R1196" s="140"/>
      <c r="S1196" s="140"/>
      <c r="T1196" s="140"/>
      <c r="U1196" s="140"/>
      <c r="V1196" s="140"/>
      <c r="W1196" s="140"/>
      <c r="X1196" s="140"/>
      <c r="Y1196" s="140"/>
      <c r="Z1196" s="140"/>
      <c r="AA1196" s="141"/>
      <c r="AE1196" s="140"/>
      <c r="AI1196" s="141"/>
      <c r="AM1196" s="141"/>
      <c r="AQ1196" s="141"/>
      <c r="AT1196" s="140"/>
      <c r="AU1196" s="140"/>
    </row>
    <row r="1197" spans="2:47" s="134" customFormat="1" x14ac:dyDescent="0.2">
      <c r="B1197" s="145"/>
      <c r="D1197" s="679"/>
      <c r="J1197" s="140"/>
      <c r="K1197" s="140"/>
      <c r="L1197" s="140"/>
      <c r="M1197" s="140"/>
      <c r="N1197" s="140"/>
      <c r="O1197" s="140"/>
      <c r="P1197" s="140"/>
      <c r="Q1197" s="140"/>
      <c r="R1197" s="140"/>
      <c r="S1197" s="140"/>
      <c r="T1197" s="140"/>
      <c r="U1197" s="140"/>
      <c r="V1197" s="140"/>
      <c r="W1197" s="140"/>
      <c r="X1197" s="140"/>
      <c r="Y1197" s="140"/>
      <c r="Z1197" s="140"/>
      <c r="AA1197" s="141"/>
      <c r="AE1197" s="140"/>
      <c r="AI1197" s="141"/>
      <c r="AM1197" s="141"/>
      <c r="AQ1197" s="141"/>
      <c r="AT1197" s="140"/>
      <c r="AU1197" s="140"/>
    </row>
    <row r="1198" spans="2:47" s="134" customFormat="1" x14ac:dyDescent="0.2">
      <c r="B1198" s="145"/>
      <c r="D1198" s="679"/>
      <c r="J1198" s="140"/>
      <c r="K1198" s="140"/>
      <c r="L1198" s="140"/>
      <c r="M1198" s="140"/>
      <c r="N1198" s="140"/>
      <c r="O1198" s="140"/>
      <c r="P1198" s="140"/>
      <c r="Q1198" s="140"/>
      <c r="R1198" s="140"/>
      <c r="S1198" s="140"/>
      <c r="T1198" s="140"/>
      <c r="U1198" s="140"/>
      <c r="V1198" s="140"/>
      <c r="W1198" s="140"/>
      <c r="X1198" s="140"/>
      <c r="Y1198" s="140"/>
      <c r="Z1198" s="140"/>
      <c r="AA1198" s="141"/>
      <c r="AE1198" s="140"/>
      <c r="AI1198" s="141"/>
      <c r="AM1198" s="141"/>
      <c r="AQ1198" s="141"/>
      <c r="AT1198" s="140"/>
      <c r="AU1198" s="140"/>
    </row>
    <row r="1199" spans="2:47" s="134" customFormat="1" x14ac:dyDescent="0.2">
      <c r="B1199" s="145"/>
      <c r="D1199" s="679"/>
      <c r="J1199" s="140"/>
      <c r="K1199" s="140"/>
      <c r="L1199" s="140"/>
      <c r="M1199" s="140"/>
      <c r="N1199" s="140"/>
      <c r="O1199" s="140"/>
      <c r="P1199" s="140"/>
      <c r="Q1199" s="140"/>
      <c r="R1199" s="140"/>
      <c r="S1199" s="140"/>
      <c r="T1199" s="140"/>
      <c r="U1199" s="140"/>
      <c r="V1199" s="140"/>
      <c r="W1199" s="140"/>
      <c r="X1199" s="140"/>
      <c r="Y1199" s="140"/>
      <c r="Z1199" s="140"/>
      <c r="AA1199" s="141"/>
      <c r="AE1199" s="140"/>
      <c r="AI1199" s="141"/>
      <c r="AM1199" s="141"/>
      <c r="AQ1199" s="141"/>
      <c r="AT1199" s="140"/>
      <c r="AU1199" s="140"/>
    </row>
    <row r="1200" spans="2:47" s="134" customFormat="1" x14ac:dyDescent="0.2">
      <c r="B1200" s="145"/>
      <c r="D1200" s="679"/>
      <c r="J1200" s="140"/>
      <c r="K1200" s="140"/>
      <c r="L1200" s="140"/>
      <c r="M1200" s="140"/>
      <c r="N1200" s="140"/>
      <c r="O1200" s="140"/>
      <c r="P1200" s="140"/>
      <c r="Q1200" s="140"/>
      <c r="R1200" s="140"/>
      <c r="S1200" s="140"/>
      <c r="T1200" s="140"/>
      <c r="U1200" s="140"/>
      <c r="V1200" s="140"/>
      <c r="W1200" s="140"/>
      <c r="X1200" s="140"/>
      <c r="Y1200" s="140"/>
      <c r="Z1200" s="140"/>
      <c r="AA1200" s="141"/>
      <c r="AE1200" s="140"/>
      <c r="AI1200" s="141"/>
      <c r="AM1200" s="141"/>
      <c r="AQ1200" s="141"/>
      <c r="AT1200" s="140"/>
      <c r="AU1200" s="140"/>
    </row>
    <row r="1201" spans="2:47" s="134" customFormat="1" x14ac:dyDescent="0.2">
      <c r="B1201" s="145"/>
      <c r="D1201" s="679"/>
      <c r="J1201" s="140"/>
      <c r="K1201" s="140"/>
      <c r="L1201" s="140"/>
      <c r="M1201" s="140"/>
      <c r="N1201" s="140"/>
      <c r="O1201" s="140"/>
      <c r="P1201" s="140"/>
      <c r="Q1201" s="140"/>
      <c r="R1201" s="140"/>
      <c r="S1201" s="140"/>
      <c r="T1201" s="140"/>
      <c r="U1201" s="140"/>
      <c r="V1201" s="140"/>
      <c r="W1201" s="140"/>
      <c r="X1201" s="140"/>
      <c r="Y1201" s="140"/>
      <c r="Z1201" s="140"/>
      <c r="AA1201" s="141"/>
      <c r="AE1201" s="140"/>
      <c r="AI1201" s="141"/>
      <c r="AM1201" s="141"/>
      <c r="AQ1201" s="141"/>
      <c r="AT1201" s="140"/>
      <c r="AU1201" s="140"/>
    </row>
    <row r="1202" spans="2:47" s="134" customFormat="1" x14ac:dyDescent="0.2">
      <c r="B1202" s="145"/>
      <c r="D1202" s="679"/>
      <c r="J1202" s="140"/>
      <c r="K1202" s="140"/>
      <c r="L1202" s="140"/>
      <c r="M1202" s="140"/>
      <c r="N1202" s="140"/>
      <c r="O1202" s="140"/>
      <c r="P1202" s="140"/>
      <c r="Q1202" s="140"/>
      <c r="R1202" s="140"/>
      <c r="S1202" s="140"/>
      <c r="T1202" s="140"/>
      <c r="U1202" s="140"/>
      <c r="V1202" s="140"/>
      <c r="W1202" s="140"/>
      <c r="X1202" s="140"/>
      <c r="Y1202" s="140"/>
      <c r="Z1202" s="140"/>
      <c r="AA1202" s="141"/>
      <c r="AE1202" s="140"/>
      <c r="AI1202" s="141"/>
      <c r="AM1202" s="141"/>
      <c r="AQ1202" s="141"/>
      <c r="AT1202" s="140"/>
      <c r="AU1202" s="140"/>
    </row>
    <row r="1203" spans="2:47" s="134" customFormat="1" x14ac:dyDescent="0.2">
      <c r="B1203" s="145"/>
      <c r="D1203" s="679"/>
      <c r="J1203" s="140"/>
      <c r="K1203" s="140"/>
      <c r="L1203" s="140"/>
      <c r="M1203" s="140"/>
      <c r="N1203" s="140"/>
      <c r="O1203" s="140"/>
      <c r="P1203" s="140"/>
      <c r="Q1203" s="140"/>
      <c r="R1203" s="140"/>
      <c r="S1203" s="140"/>
      <c r="T1203" s="140"/>
      <c r="U1203" s="140"/>
      <c r="V1203" s="140"/>
      <c r="W1203" s="140"/>
      <c r="X1203" s="140"/>
      <c r="Y1203" s="140"/>
      <c r="Z1203" s="140"/>
      <c r="AA1203" s="141"/>
      <c r="AE1203" s="140"/>
      <c r="AI1203" s="141"/>
      <c r="AM1203" s="141"/>
      <c r="AQ1203" s="141"/>
      <c r="AT1203" s="140"/>
      <c r="AU1203" s="140"/>
    </row>
    <row r="1204" spans="2:47" s="134" customFormat="1" x14ac:dyDescent="0.2">
      <c r="B1204" s="145"/>
      <c r="D1204" s="679"/>
      <c r="J1204" s="140"/>
      <c r="K1204" s="140"/>
      <c r="L1204" s="140"/>
      <c r="M1204" s="140"/>
      <c r="N1204" s="140"/>
      <c r="O1204" s="140"/>
      <c r="P1204" s="140"/>
      <c r="Q1204" s="140"/>
      <c r="R1204" s="140"/>
      <c r="S1204" s="140"/>
      <c r="T1204" s="140"/>
      <c r="U1204" s="140"/>
      <c r="V1204" s="140"/>
      <c r="W1204" s="140"/>
      <c r="X1204" s="140"/>
      <c r="Y1204" s="140"/>
      <c r="Z1204" s="140"/>
      <c r="AA1204" s="141"/>
      <c r="AE1204" s="140"/>
      <c r="AI1204" s="141"/>
      <c r="AM1204" s="141"/>
      <c r="AQ1204" s="141"/>
      <c r="AT1204" s="140"/>
      <c r="AU1204" s="140"/>
    </row>
    <row r="1205" spans="2:47" s="134" customFormat="1" x14ac:dyDescent="0.2">
      <c r="B1205" s="145"/>
      <c r="D1205" s="679"/>
      <c r="J1205" s="140"/>
      <c r="K1205" s="140"/>
      <c r="L1205" s="140"/>
      <c r="M1205" s="140"/>
      <c r="N1205" s="140"/>
      <c r="O1205" s="140"/>
      <c r="P1205" s="140"/>
      <c r="Q1205" s="140"/>
      <c r="R1205" s="140"/>
      <c r="S1205" s="140"/>
      <c r="T1205" s="140"/>
      <c r="U1205" s="140"/>
      <c r="V1205" s="140"/>
      <c r="W1205" s="140"/>
      <c r="X1205" s="140"/>
      <c r="Y1205" s="140"/>
      <c r="Z1205" s="140"/>
      <c r="AA1205" s="141"/>
      <c r="AE1205" s="140"/>
      <c r="AI1205" s="141"/>
      <c r="AM1205" s="141"/>
      <c r="AQ1205" s="141"/>
      <c r="AT1205" s="140"/>
      <c r="AU1205" s="140"/>
    </row>
    <row r="1206" spans="2:47" s="134" customFormat="1" x14ac:dyDescent="0.2">
      <c r="B1206" s="145"/>
      <c r="D1206" s="679"/>
      <c r="J1206" s="140"/>
      <c r="K1206" s="140"/>
      <c r="L1206" s="140"/>
      <c r="M1206" s="140"/>
      <c r="N1206" s="140"/>
      <c r="O1206" s="140"/>
      <c r="P1206" s="140"/>
      <c r="Q1206" s="140"/>
      <c r="R1206" s="140"/>
      <c r="S1206" s="140"/>
      <c r="T1206" s="140"/>
      <c r="U1206" s="140"/>
      <c r="V1206" s="140"/>
      <c r="W1206" s="140"/>
      <c r="X1206" s="140"/>
      <c r="Y1206" s="140"/>
      <c r="Z1206" s="140"/>
      <c r="AA1206" s="141"/>
      <c r="AE1206" s="140"/>
      <c r="AI1206" s="141"/>
      <c r="AM1206" s="141"/>
      <c r="AQ1206" s="141"/>
      <c r="AT1206" s="140"/>
      <c r="AU1206" s="140"/>
    </row>
    <row r="1207" spans="2:47" s="134" customFormat="1" x14ac:dyDescent="0.2">
      <c r="B1207" s="145"/>
      <c r="D1207" s="679"/>
      <c r="J1207" s="140"/>
      <c r="K1207" s="140"/>
      <c r="L1207" s="140"/>
      <c r="M1207" s="140"/>
      <c r="N1207" s="140"/>
      <c r="O1207" s="140"/>
      <c r="P1207" s="140"/>
      <c r="Q1207" s="140"/>
      <c r="R1207" s="140"/>
      <c r="S1207" s="140"/>
      <c r="T1207" s="140"/>
      <c r="U1207" s="140"/>
      <c r="V1207" s="140"/>
      <c r="W1207" s="140"/>
      <c r="X1207" s="140"/>
      <c r="Y1207" s="140"/>
      <c r="Z1207" s="140"/>
      <c r="AA1207" s="141"/>
      <c r="AE1207" s="140"/>
      <c r="AI1207" s="141"/>
      <c r="AM1207" s="141"/>
      <c r="AQ1207" s="141"/>
      <c r="AT1207" s="140"/>
      <c r="AU1207" s="140"/>
    </row>
    <row r="1208" spans="2:47" s="134" customFormat="1" x14ac:dyDescent="0.2">
      <c r="B1208" s="145"/>
      <c r="D1208" s="679"/>
      <c r="J1208" s="140"/>
      <c r="K1208" s="140"/>
      <c r="L1208" s="140"/>
      <c r="M1208" s="140"/>
      <c r="N1208" s="140"/>
      <c r="O1208" s="140"/>
      <c r="P1208" s="140"/>
      <c r="Q1208" s="140"/>
      <c r="R1208" s="140"/>
      <c r="S1208" s="140"/>
      <c r="T1208" s="140"/>
      <c r="U1208" s="140"/>
      <c r="V1208" s="140"/>
      <c r="W1208" s="140"/>
      <c r="X1208" s="140"/>
      <c r="Y1208" s="140"/>
      <c r="Z1208" s="140"/>
      <c r="AA1208" s="141"/>
      <c r="AE1208" s="140"/>
      <c r="AI1208" s="141"/>
      <c r="AM1208" s="141"/>
      <c r="AQ1208" s="141"/>
      <c r="AT1208" s="140"/>
      <c r="AU1208" s="140"/>
    </row>
    <row r="1209" spans="2:47" s="134" customFormat="1" x14ac:dyDescent="0.2">
      <c r="B1209" s="145"/>
      <c r="D1209" s="679"/>
      <c r="J1209" s="140"/>
      <c r="K1209" s="140"/>
      <c r="L1209" s="140"/>
      <c r="M1209" s="140"/>
      <c r="N1209" s="140"/>
      <c r="O1209" s="140"/>
      <c r="P1209" s="140"/>
      <c r="Q1209" s="140"/>
      <c r="R1209" s="140"/>
      <c r="S1209" s="140"/>
      <c r="T1209" s="140"/>
      <c r="U1209" s="140"/>
      <c r="V1209" s="140"/>
      <c r="W1209" s="140"/>
      <c r="X1209" s="140"/>
      <c r="Y1209" s="140"/>
      <c r="Z1209" s="140"/>
      <c r="AA1209" s="141"/>
      <c r="AE1209" s="140"/>
      <c r="AI1209" s="141"/>
      <c r="AM1209" s="141"/>
      <c r="AQ1209" s="141"/>
      <c r="AT1209" s="140"/>
      <c r="AU1209" s="140"/>
    </row>
    <row r="1210" spans="2:47" s="134" customFormat="1" x14ac:dyDescent="0.2">
      <c r="B1210" s="145"/>
      <c r="D1210" s="679"/>
      <c r="J1210" s="140"/>
      <c r="K1210" s="140"/>
      <c r="L1210" s="140"/>
      <c r="M1210" s="140"/>
      <c r="N1210" s="140"/>
      <c r="O1210" s="140"/>
      <c r="P1210" s="140"/>
      <c r="Q1210" s="140"/>
      <c r="R1210" s="140"/>
      <c r="S1210" s="140"/>
      <c r="T1210" s="140"/>
      <c r="U1210" s="140"/>
      <c r="V1210" s="140"/>
      <c r="W1210" s="140"/>
      <c r="X1210" s="140"/>
      <c r="Y1210" s="140"/>
      <c r="Z1210" s="140"/>
      <c r="AA1210" s="141"/>
      <c r="AE1210" s="140"/>
      <c r="AI1210" s="141"/>
      <c r="AM1210" s="141"/>
      <c r="AQ1210" s="141"/>
      <c r="AT1210" s="140"/>
      <c r="AU1210" s="140"/>
    </row>
    <row r="1211" spans="2:47" s="134" customFormat="1" x14ac:dyDescent="0.2">
      <c r="B1211" s="145"/>
      <c r="D1211" s="679"/>
      <c r="J1211" s="140"/>
      <c r="K1211" s="140"/>
      <c r="L1211" s="140"/>
      <c r="M1211" s="140"/>
      <c r="N1211" s="140"/>
      <c r="O1211" s="140"/>
      <c r="P1211" s="140"/>
      <c r="Q1211" s="140"/>
      <c r="R1211" s="140"/>
      <c r="S1211" s="140"/>
      <c r="T1211" s="140"/>
      <c r="U1211" s="140"/>
      <c r="V1211" s="140"/>
      <c r="W1211" s="140"/>
      <c r="X1211" s="140"/>
      <c r="Y1211" s="140"/>
      <c r="Z1211" s="140"/>
      <c r="AA1211" s="141"/>
      <c r="AE1211" s="140"/>
      <c r="AI1211" s="141"/>
      <c r="AM1211" s="141"/>
      <c r="AQ1211" s="141"/>
      <c r="AT1211" s="140"/>
      <c r="AU1211" s="140"/>
    </row>
    <row r="1212" spans="2:47" s="134" customFormat="1" x14ac:dyDescent="0.2">
      <c r="B1212" s="145"/>
      <c r="D1212" s="679"/>
      <c r="J1212" s="140"/>
      <c r="K1212" s="140"/>
      <c r="L1212" s="140"/>
      <c r="M1212" s="140"/>
      <c r="N1212" s="140"/>
      <c r="O1212" s="140"/>
      <c r="P1212" s="140"/>
      <c r="Q1212" s="140"/>
      <c r="R1212" s="140"/>
      <c r="S1212" s="140"/>
      <c r="T1212" s="140"/>
      <c r="U1212" s="140"/>
      <c r="V1212" s="140"/>
      <c r="W1212" s="140"/>
      <c r="X1212" s="140"/>
      <c r="Y1212" s="140"/>
      <c r="Z1212" s="140"/>
      <c r="AA1212" s="141"/>
      <c r="AE1212" s="140"/>
      <c r="AI1212" s="141"/>
      <c r="AM1212" s="141"/>
      <c r="AQ1212" s="141"/>
      <c r="AT1212" s="140"/>
      <c r="AU1212" s="140"/>
    </row>
    <row r="1213" spans="2:47" s="134" customFormat="1" x14ac:dyDescent="0.2">
      <c r="B1213" s="145"/>
      <c r="D1213" s="679"/>
      <c r="J1213" s="140"/>
      <c r="K1213" s="140"/>
      <c r="L1213" s="140"/>
      <c r="M1213" s="140"/>
      <c r="N1213" s="140"/>
      <c r="O1213" s="140"/>
      <c r="P1213" s="140"/>
      <c r="Q1213" s="140"/>
      <c r="R1213" s="140"/>
      <c r="S1213" s="140"/>
      <c r="T1213" s="140"/>
      <c r="U1213" s="140"/>
      <c r="V1213" s="140"/>
      <c r="W1213" s="140"/>
      <c r="X1213" s="140"/>
      <c r="Y1213" s="140"/>
      <c r="Z1213" s="140"/>
      <c r="AA1213" s="141"/>
      <c r="AE1213" s="140"/>
      <c r="AI1213" s="141"/>
      <c r="AM1213" s="141"/>
      <c r="AQ1213" s="141"/>
      <c r="AT1213" s="140"/>
      <c r="AU1213" s="140"/>
    </row>
    <row r="1214" spans="2:47" s="134" customFormat="1" x14ac:dyDescent="0.2">
      <c r="B1214" s="145"/>
      <c r="D1214" s="679"/>
      <c r="J1214" s="140"/>
      <c r="K1214" s="140"/>
      <c r="L1214" s="140"/>
      <c r="M1214" s="140"/>
      <c r="N1214" s="140"/>
      <c r="O1214" s="140"/>
      <c r="P1214" s="140"/>
      <c r="Q1214" s="140"/>
      <c r="R1214" s="140"/>
      <c r="S1214" s="140"/>
      <c r="T1214" s="140"/>
      <c r="U1214" s="140"/>
      <c r="V1214" s="140"/>
      <c r="W1214" s="140"/>
      <c r="X1214" s="140"/>
      <c r="Y1214" s="140"/>
      <c r="Z1214" s="140"/>
      <c r="AA1214" s="141"/>
      <c r="AE1214" s="140"/>
      <c r="AI1214" s="141"/>
      <c r="AM1214" s="141"/>
      <c r="AQ1214" s="141"/>
      <c r="AT1214" s="140"/>
      <c r="AU1214" s="140"/>
    </row>
    <row r="1215" spans="2:47" s="134" customFormat="1" x14ac:dyDescent="0.2">
      <c r="B1215" s="145"/>
      <c r="D1215" s="679"/>
      <c r="J1215" s="140"/>
      <c r="K1215" s="140"/>
      <c r="L1215" s="140"/>
      <c r="M1215" s="140"/>
      <c r="N1215" s="140"/>
      <c r="O1215" s="140"/>
      <c r="P1215" s="140"/>
      <c r="Q1215" s="140"/>
      <c r="R1215" s="140"/>
      <c r="S1215" s="140"/>
      <c r="T1215" s="140"/>
      <c r="U1215" s="140"/>
      <c r="V1215" s="140"/>
      <c r="W1215" s="140"/>
      <c r="X1215" s="140"/>
      <c r="Y1215" s="140"/>
      <c r="Z1215" s="140"/>
      <c r="AA1215" s="141"/>
      <c r="AE1215" s="140"/>
      <c r="AI1215" s="141"/>
      <c r="AM1215" s="141"/>
      <c r="AQ1215" s="141"/>
      <c r="AT1215" s="140"/>
      <c r="AU1215" s="140"/>
    </row>
    <row r="1216" spans="2:47" s="134" customFormat="1" x14ac:dyDescent="0.2">
      <c r="B1216" s="145"/>
      <c r="D1216" s="679"/>
      <c r="J1216" s="140"/>
      <c r="K1216" s="140"/>
      <c r="L1216" s="140"/>
      <c r="M1216" s="140"/>
      <c r="N1216" s="140"/>
      <c r="O1216" s="140"/>
      <c r="P1216" s="140"/>
      <c r="Q1216" s="140"/>
      <c r="R1216" s="140"/>
      <c r="S1216" s="140"/>
      <c r="T1216" s="140"/>
      <c r="U1216" s="140"/>
      <c r="V1216" s="140"/>
      <c r="W1216" s="140"/>
      <c r="X1216" s="140"/>
      <c r="Y1216" s="140"/>
      <c r="Z1216" s="140"/>
      <c r="AA1216" s="141"/>
      <c r="AE1216" s="140"/>
      <c r="AI1216" s="141"/>
      <c r="AM1216" s="141"/>
      <c r="AQ1216" s="141"/>
      <c r="AT1216" s="140"/>
      <c r="AU1216" s="140"/>
    </row>
    <row r="1217" spans="2:47" s="134" customFormat="1" x14ac:dyDescent="0.2">
      <c r="B1217" s="145"/>
      <c r="D1217" s="679"/>
      <c r="J1217" s="140"/>
      <c r="K1217" s="140"/>
      <c r="L1217" s="140"/>
      <c r="M1217" s="140"/>
      <c r="N1217" s="140"/>
      <c r="O1217" s="140"/>
      <c r="P1217" s="140"/>
      <c r="Q1217" s="140"/>
      <c r="R1217" s="140"/>
      <c r="S1217" s="140"/>
      <c r="T1217" s="140"/>
      <c r="U1217" s="140"/>
      <c r="V1217" s="140"/>
      <c r="W1217" s="140"/>
      <c r="X1217" s="140"/>
      <c r="Y1217" s="140"/>
      <c r="Z1217" s="140"/>
      <c r="AA1217" s="141"/>
      <c r="AE1217" s="140"/>
      <c r="AI1217" s="141"/>
      <c r="AM1217" s="141"/>
      <c r="AQ1217" s="141"/>
      <c r="AT1217" s="140"/>
      <c r="AU1217" s="140"/>
    </row>
    <row r="1218" spans="2:47" s="134" customFormat="1" x14ac:dyDescent="0.2">
      <c r="B1218" s="145"/>
      <c r="D1218" s="679"/>
      <c r="J1218" s="140"/>
      <c r="K1218" s="140"/>
      <c r="L1218" s="140"/>
      <c r="M1218" s="140"/>
      <c r="N1218" s="140"/>
      <c r="O1218" s="140"/>
      <c r="P1218" s="140"/>
      <c r="Q1218" s="140"/>
      <c r="R1218" s="140"/>
      <c r="S1218" s="140"/>
      <c r="T1218" s="140"/>
      <c r="U1218" s="140"/>
      <c r="V1218" s="140"/>
      <c r="W1218" s="140"/>
      <c r="X1218" s="140"/>
      <c r="Y1218" s="140"/>
      <c r="Z1218" s="140"/>
      <c r="AA1218" s="141"/>
      <c r="AE1218" s="140"/>
      <c r="AI1218" s="141"/>
      <c r="AM1218" s="141"/>
      <c r="AQ1218" s="141"/>
      <c r="AT1218" s="140"/>
      <c r="AU1218" s="140"/>
    </row>
    <row r="1219" spans="2:47" s="134" customFormat="1" x14ac:dyDescent="0.2">
      <c r="B1219" s="145"/>
      <c r="D1219" s="679"/>
      <c r="J1219" s="140"/>
      <c r="K1219" s="140"/>
      <c r="L1219" s="140"/>
      <c r="M1219" s="140"/>
      <c r="N1219" s="140"/>
      <c r="O1219" s="140"/>
      <c r="P1219" s="140"/>
      <c r="Q1219" s="140"/>
      <c r="R1219" s="140"/>
      <c r="S1219" s="140"/>
      <c r="T1219" s="140"/>
      <c r="U1219" s="140"/>
      <c r="V1219" s="140"/>
      <c r="W1219" s="140"/>
      <c r="X1219" s="140"/>
      <c r="Y1219" s="140"/>
      <c r="Z1219" s="140"/>
      <c r="AA1219" s="141"/>
      <c r="AE1219" s="140"/>
      <c r="AI1219" s="141"/>
      <c r="AM1219" s="141"/>
      <c r="AQ1219" s="141"/>
      <c r="AT1219" s="140"/>
      <c r="AU1219" s="140"/>
    </row>
    <row r="1220" spans="2:47" s="134" customFormat="1" x14ac:dyDescent="0.2">
      <c r="B1220" s="145"/>
      <c r="D1220" s="679"/>
      <c r="J1220" s="140"/>
      <c r="K1220" s="140"/>
      <c r="L1220" s="140"/>
      <c r="M1220" s="140"/>
      <c r="N1220" s="140"/>
      <c r="O1220" s="140"/>
      <c r="P1220" s="140"/>
      <c r="Q1220" s="140"/>
      <c r="R1220" s="140"/>
      <c r="S1220" s="140"/>
      <c r="T1220" s="140"/>
      <c r="U1220" s="140"/>
      <c r="V1220" s="140"/>
      <c r="W1220" s="140"/>
      <c r="X1220" s="140"/>
      <c r="Y1220" s="140"/>
      <c r="Z1220" s="140"/>
      <c r="AA1220" s="141"/>
      <c r="AE1220" s="140"/>
      <c r="AI1220" s="141"/>
      <c r="AM1220" s="141"/>
      <c r="AQ1220" s="141"/>
      <c r="AT1220" s="140"/>
      <c r="AU1220" s="140"/>
    </row>
    <row r="1221" spans="2:47" s="134" customFormat="1" x14ac:dyDescent="0.2">
      <c r="B1221" s="145"/>
      <c r="D1221" s="679"/>
      <c r="J1221" s="140"/>
      <c r="K1221" s="140"/>
      <c r="L1221" s="140"/>
      <c r="M1221" s="140"/>
      <c r="N1221" s="140"/>
      <c r="O1221" s="140"/>
      <c r="P1221" s="140"/>
      <c r="Q1221" s="140"/>
      <c r="R1221" s="140"/>
      <c r="S1221" s="140"/>
      <c r="T1221" s="140"/>
      <c r="U1221" s="140"/>
      <c r="V1221" s="140"/>
      <c r="W1221" s="140"/>
      <c r="X1221" s="140"/>
      <c r="Y1221" s="140"/>
      <c r="Z1221" s="140"/>
      <c r="AA1221" s="141"/>
      <c r="AE1221" s="140"/>
      <c r="AI1221" s="141"/>
      <c r="AM1221" s="141"/>
      <c r="AQ1221" s="141"/>
      <c r="AT1221" s="140"/>
      <c r="AU1221" s="140"/>
    </row>
    <row r="1222" spans="2:47" s="134" customFormat="1" x14ac:dyDescent="0.2">
      <c r="B1222" s="145"/>
      <c r="D1222" s="679"/>
      <c r="J1222" s="140"/>
      <c r="K1222" s="140"/>
      <c r="L1222" s="140"/>
      <c r="M1222" s="140"/>
      <c r="N1222" s="140"/>
      <c r="O1222" s="140"/>
      <c r="P1222" s="140"/>
      <c r="Q1222" s="140"/>
      <c r="R1222" s="140"/>
      <c r="S1222" s="140"/>
      <c r="T1222" s="140"/>
      <c r="U1222" s="140"/>
      <c r="V1222" s="140"/>
      <c r="W1222" s="140"/>
      <c r="X1222" s="140"/>
      <c r="Y1222" s="140"/>
      <c r="Z1222" s="140"/>
      <c r="AA1222" s="141"/>
      <c r="AE1222" s="140"/>
      <c r="AI1222" s="141"/>
      <c r="AM1222" s="141"/>
      <c r="AQ1222" s="141"/>
      <c r="AT1222" s="140"/>
      <c r="AU1222" s="140"/>
    </row>
    <row r="1223" spans="2:47" s="134" customFormat="1" x14ac:dyDescent="0.2">
      <c r="B1223" s="145"/>
      <c r="D1223" s="679"/>
      <c r="J1223" s="140"/>
      <c r="K1223" s="140"/>
      <c r="L1223" s="140"/>
      <c r="M1223" s="140"/>
      <c r="N1223" s="140"/>
      <c r="O1223" s="140"/>
      <c r="P1223" s="140"/>
      <c r="Q1223" s="140"/>
      <c r="R1223" s="140"/>
      <c r="S1223" s="140"/>
      <c r="T1223" s="140"/>
      <c r="U1223" s="140"/>
      <c r="V1223" s="140"/>
      <c r="W1223" s="140"/>
      <c r="X1223" s="140"/>
      <c r="Y1223" s="140"/>
      <c r="Z1223" s="140"/>
      <c r="AA1223" s="141"/>
      <c r="AE1223" s="140"/>
      <c r="AI1223" s="141"/>
      <c r="AM1223" s="141"/>
      <c r="AQ1223" s="141"/>
      <c r="AT1223" s="140"/>
      <c r="AU1223" s="140"/>
    </row>
    <row r="1224" spans="2:47" s="134" customFormat="1" x14ac:dyDescent="0.2">
      <c r="B1224" s="145"/>
      <c r="D1224" s="679"/>
      <c r="J1224" s="140"/>
      <c r="K1224" s="140"/>
      <c r="L1224" s="140"/>
      <c r="M1224" s="140"/>
      <c r="N1224" s="140"/>
      <c r="O1224" s="140"/>
      <c r="P1224" s="140"/>
      <c r="Q1224" s="140"/>
      <c r="R1224" s="140"/>
      <c r="S1224" s="140"/>
      <c r="T1224" s="140"/>
      <c r="U1224" s="140"/>
      <c r="V1224" s="140"/>
      <c r="W1224" s="140"/>
      <c r="X1224" s="140"/>
      <c r="Y1224" s="140"/>
      <c r="Z1224" s="140"/>
      <c r="AA1224" s="141"/>
      <c r="AE1224" s="140"/>
      <c r="AI1224" s="141"/>
      <c r="AM1224" s="141"/>
      <c r="AQ1224" s="141"/>
      <c r="AT1224" s="140"/>
      <c r="AU1224" s="140"/>
    </row>
    <row r="1225" spans="2:47" s="134" customFormat="1" x14ac:dyDescent="0.2">
      <c r="B1225" s="145"/>
      <c r="D1225" s="679"/>
      <c r="J1225" s="140"/>
      <c r="K1225" s="140"/>
      <c r="L1225" s="140"/>
      <c r="M1225" s="140"/>
      <c r="N1225" s="140"/>
      <c r="O1225" s="140"/>
      <c r="P1225" s="140"/>
      <c r="Q1225" s="140"/>
      <c r="R1225" s="140"/>
      <c r="S1225" s="140"/>
      <c r="T1225" s="140"/>
      <c r="U1225" s="140"/>
      <c r="V1225" s="140"/>
      <c r="W1225" s="140"/>
      <c r="X1225" s="140"/>
      <c r="Y1225" s="140"/>
      <c r="Z1225" s="140"/>
      <c r="AA1225" s="141"/>
      <c r="AE1225" s="140"/>
      <c r="AI1225" s="141"/>
      <c r="AM1225" s="141"/>
      <c r="AQ1225" s="141"/>
      <c r="AT1225" s="140"/>
      <c r="AU1225" s="140"/>
    </row>
    <row r="1226" spans="2:47" s="134" customFormat="1" x14ac:dyDescent="0.2">
      <c r="B1226" s="145"/>
      <c r="D1226" s="679"/>
      <c r="J1226" s="140"/>
      <c r="K1226" s="140"/>
      <c r="L1226" s="140"/>
      <c r="M1226" s="140"/>
      <c r="N1226" s="140"/>
      <c r="O1226" s="140"/>
      <c r="P1226" s="140"/>
      <c r="Q1226" s="140"/>
      <c r="R1226" s="140"/>
      <c r="S1226" s="140"/>
      <c r="T1226" s="140"/>
      <c r="U1226" s="140"/>
      <c r="V1226" s="140"/>
      <c r="W1226" s="140"/>
      <c r="X1226" s="140"/>
      <c r="Y1226" s="140"/>
      <c r="Z1226" s="140"/>
      <c r="AA1226" s="141"/>
      <c r="AE1226" s="140"/>
      <c r="AI1226" s="141"/>
      <c r="AM1226" s="141"/>
      <c r="AQ1226" s="141"/>
      <c r="AT1226" s="140"/>
      <c r="AU1226" s="140"/>
    </row>
    <row r="1227" spans="2:47" s="134" customFormat="1" x14ac:dyDescent="0.2">
      <c r="B1227" s="145"/>
      <c r="D1227" s="679"/>
      <c r="J1227" s="140"/>
      <c r="K1227" s="140"/>
      <c r="L1227" s="140"/>
      <c r="M1227" s="140"/>
      <c r="N1227" s="140"/>
      <c r="O1227" s="140"/>
      <c r="P1227" s="140"/>
      <c r="Q1227" s="140"/>
      <c r="R1227" s="140"/>
      <c r="S1227" s="140"/>
      <c r="T1227" s="140"/>
      <c r="U1227" s="140"/>
      <c r="V1227" s="140"/>
      <c r="W1227" s="140"/>
      <c r="X1227" s="140"/>
      <c r="Y1227" s="140"/>
      <c r="Z1227" s="140"/>
      <c r="AA1227" s="141"/>
      <c r="AE1227" s="140"/>
      <c r="AI1227" s="141"/>
      <c r="AM1227" s="141"/>
      <c r="AQ1227" s="141"/>
      <c r="AT1227" s="140"/>
      <c r="AU1227" s="140"/>
    </row>
    <row r="1228" spans="2:47" s="134" customFormat="1" x14ac:dyDescent="0.2">
      <c r="B1228" s="145"/>
      <c r="D1228" s="679"/>
      <c r="J1228" s="140"/>
      <c r="K1228" s="140"/>
      <c r="L1228" s="140"/>
      <c r="M1228" s="140"/>
      <c r="N1228" s="140"/>
      <c r="O1228" s="140"/>
      <c r="P1228" s="140"/>
      <c r="Q1228" s="140"/>
      <c r="R1228" s="140"/>
      <c r="S1228" s="140"/>
      <c r="T1228" s="140"/>
      <c r="U1228" s="140"/>
      <c r="V1228" s="140"/>
      <c r="W1228" s="140"/>
      <c r="X1228" s="140"/>
      <c r="Y1228" s="140"/>
      <c r="Z1228" s="140"/>
      <c r="AA1228" s="141"/>
      <c r="AE1228" s="140"/>
      <c r="AI1228" s="141"/>
      <c r="AM1228" s="141"/>
      <c r="AQ1228" s="141"/>
      <c r="AT1228" s="140"/>
      <c r="AU1228" s="140"/>
    </row>
    <row r="1229" spans="2:47" s="134" customFormat="1" x14ac:dyDescent="0.2">
      <c r="B1229" s="145"/>
      <c r="D1229" s="679"/>
      <c r="J1229" s="140"/>
      <c r="K1229" s="140"/>
      <c r="L1229" s="140"/>
      <c r="M1229" s="140"/>
      <c r="N1229" s="140"/>
      <c r="O1229" s="140"/>
      <c r="P1229" s="140"/>
      <c r="Q1229" s="140"/>
      <c r="R1229" s="140"/>
      <c r="S1229" s="140"/>
      <c r="T1229" s="140"/>
      <c r="U1229" s="140"/>
      <c r="V1229" s="140"/>
      <c r="W1229" s="140"/>
      <c r="X1229" s="140"/>
      <c r="Y1229" s="140"/>
      <c r="Z1229" s="140"/>
      <c r="AA1229" s="141"/>
      <c r="AE1229" s="140"/>
      <c r="AI1229" s="141"/>
      <c r="AM1229" s="141"/>
      <c r="AQ1229" s="141"/>
      <c r="AT1229" s="140"/>
      <c r="AU1229" s="140"/>
    </row>
    <row r="1230" spans="2:47" s="134" customFormat="1" x14ac:dyDescent="0.2">
      <c r="B1230" s="145"/>
      <c r="D1230" s="679"/>
      <c r="J1230" s="140"/>
      <c r="K1230" s="140"/>
      <c r="L1230" s="140"/>
      <c r="M1230" s="140"/>
      <c r="N1230" s="140"/>
      <c r="O1230" s="140"/>
      <c r="P1230" s="140"/>
      <c r="Q1230" s="140"/>
      <c r="R1230" s="140"/>
      <c r="S1230" s="140"/>
      <c r="T1230" s="140"/>
      <c r="U1230" s="140"/>
      <c r="V1230" s="140"/>
      <c r="W1230" s="140"/>
      <c r="X1230" s="140"/>
      <c r="Y1230" s="140"/>
      <c r="Z1230" s="140"/>
      <c r="AA1230" s="141"/>
      <c r="AE1230" s="140"/>
      <c r="AI1230" s="141"/>
      <c r="AM1230" s="141"/>
      <c r="AQ1230" s="141"/>
      <c r="AT1230" s="140"/>
      <c r="AU1230" s="140"/>
    </row>
    <row r="1231" spans="2:47" s="134" customFormat="1" x14ac:dyDescent="0.2">
      <c r="B1231" s="145"/>
      <c r="D1231" s="679"/>
      <c r="J1231" s="140"/>
      <c r="K1231" s="140"/>
      <c r="L1231" s="140"/>
      <c r="M1231" s="140"/>
      <c r="N1231" s="140"/>
      <c r="O1231" s="140"/>
      <c r="P1231" s="140"/>
      <c r="Q1231" s="140"/>
      <c r="R1231" s="140"/>
      <c r="S1231" s="140"/>
      <c r="T1231" s="140"/>
      <c r="U1231" s="140"/>
      <c r="V1231" s="140"/>
      <c r="W1231" s="140"/>
      <c r="X1231" s="140"/>
      <c r="Y1231" s="140"/>
      <c r="Z1231" s="140"/>
      <c r="AA1231" s="141"/>
      <c r="AE1231" s="140"/>
      <c r="AI1231" s="141"/>
      <c r="AM1231" s="141"/>
      <c r="AQ1231" s="141"/>
      <c r="AT1231" s="140"/>
      <c r="AU1231" s="140"/>
    </row>
    <row r="1232" spans="2:47" s="134" customFormat="1" x14ac:dyDescent="0.2">
      <c r="B1232" s="145"/>
      <c r="D1232" s="679"/>
      <c r="J1232" s="140"/>
      <c r="K1232" s="140"/>
      <c r="L1232" s="140"/>
      <c r="M1232" s="140"/>
      <c r="N1232" s="140"/>
      <c r="O1232" s="140"/>
      <c r="P1232" s="140"/>
      <c r="Q1232" s="140"/>
      <c r="R1232" s="140"/>
      <c r="S1232" s="140"/>
      <c r="T1232" s="140"/>
      <c r="U1232" s="140"/>
      <c r="V1232" s="140"/>
      <c r="W1232" s="140"/>
      <c r="X1232" s="140"/>
      <c r="Y1232" s="140"/>
      <c r="Z1232" s="140"/>
      <c r="AA1232" s="141"/>
      <c r="AE1232" s="140"/>
      <c r="AI1232" s="141"/>
      <c r="AM1232" s="141"/>
      <c r="AQ1232" s="141"/>
      <c r="AT1232" s="140"/>
      <c r="AU1232" s="140"/>
    </row>
    <row r="1233" spans="2:47" s="134" customFormat="1" x14ac:dyDescent="0.2">
      <c r="B1233" s="145"/>
      <c r="D1233" s="679"/>
      <c r="J1233" s="140"/>
      <c r="K1233" s="140"/>
      <c r="L1233" s="140"/>
      <c r="M1233" s="140"/>
      <c r="N1233" s="140"/>
      <c r="O1233" s="140"/>
      <c r="P1233" s="140"/>
      <c r="Q1233" s="140"/>
      <c r="R1233" s="140"/>
      <c r="S1233" s="140"/>
      <c r="T1233" s="140"/>
      <c r="U1233" s="140"/>
      <c r="V1233" s="140"/>
      <c r="W1233" s="140"/>
      <c r="X1233" s="140"/>
      <c r="Y1233" s="140"/>
      <c r="Z1233" s="140"/>
      <c r="AA1233" s="141"/>
      <c r="AE1233" s="140"/>
      <c r="AI1233" s="141"/>
      <c r="AM1233" s="141"/>
      <c r="AQ1233" s="141"/>
      <c r="AT1233" s="140"/>
      <c r="AU1233" s="140"/>
    </row>
    <row r="1234" spans="2:47" s="134" customFormat="1" x14ac:dyDescent="0.2">
      <c r="B1234" s="145"/>
      <c r="D1234" s="679"/>
      <c r="J1234" s="140"/>
      <c r="K1234" s="140"/>
      <c r="L1234" s="140"/>
      <c r="M1234" s="140"/>
      <c r="N1234" s="140"/>
      <c r="O1234" s="140"/>
      <c r="P1234" s="140"/>
      <c r="Q1234" s="140"/>
      <c r="R1234" s="140"/>
      <c r="S1234" s="140"/>
      <c r="T1234" s="140"/>
      <c r="U1234" s="140"/>
      <c r="V1234" s="140"/>
      <c r="W1234" s="140"/>
      <c r="X1234" s="140"/>
      <c r="Y1234" s="140"/>
      <c r="Z1234" s="140"/>
      <c r="AA1234" s="141"/>
      <c r="AE1234" s="140"/>
      <c r="AI1234" s="141"/>
      <c r="AM1234" s="141"/>
      <c r="AQ1234" s="141"/>
      <c r="AT1234" s="140"/>
      <c r="AU1234" s="140"/>
    </row>
    <row r="1235" spans="2:47" s="134" customFormat="1" x14ac:dyDescent="0.2">
      <c r="B1235" s="145"/>
      <c r="D1235" s="679"/>
      <c r="J1235" s="140"/>
      <c r="K1235" s="140"/>
      <c r="L1235" s="140"/>
      <c r="M1235" s="140"/>
      <c r="N1235" s="140"/>
      <c r="O1235" s="140"/>
      <c r="P1235" s="140"/>
      <c r="Q1235" s="140"/>
      <c r="R1235" s="140"/>
      <c r="S1235" s="140"/>
      <c r="T1235" s="140"/>
      <c r="U1235" s="140"/>
      <c r="V1235" s="140"/>
      <c r="W1235" s="140"/>
      <c r="X1235" s="140"/>
      <c r="Y1235" s="140"/>
      <c r="Z1235" s="140"/>
      <c r="AA1235" s="141"/>
      <c r="AE1235" s="140"/>
      <c r="AI1235" s="141"/>
      <c r="AM1235" s="141"/>
      <c r="AQ1235" s="141"/>
      <c r="AT1235" s="140"/>
      <c r="AU1235" s="140"/>
    </row>
    <row r="1236" spans="2:47" s="134" customFormat="1" x14ac:dyDescent="0.2">
      <c r="B1236" s="145"/>
      <c r="D1236" s="679"/>
      <c r="J1236" s="140"/>
      <c r="K1236" s="140"/>
      <c r="L1236" s="140"/>
      <c r="M1236" s="140"/>
      <c r="N1236" s="140"/>
      <c r="O1236" s="140"/>
      <c r="P1236" s="140"/>
      <c r="Q1236" s="140"/>
      <c r="R1236" s="140"/>
      <c r="S1236" s="140"/>
      <c r="T1236" s="140"/>
      <c r="U1236" s="140"/>
      <c r="V1236" s="140"/>
      <c r="W1236" s="140"/>
      <c r="X1236" s="140"/>
      <c r="Y1236" s="140"/>
      <c r="Z1236" s="140"/>
      <c r="AA1236" s="141"/>
      <c r="AE1236" s="140"/>
      <c r="AI1236" s="141"/>
      <c r="AM1236" s="141"/>
      <c r="AQ1236" s="141"/>
      <c r="AT1236" s="140"/>
      <c r="AU1236" s="140"/>
    </row>
    <row r="1237" spans="2:47" s="134" customFormat="1" x14ac:dyDescent="0.2">
      <c r="B1237" s="145"/>
      <c r="D1237" s="679"/>
      <c r="J1237" s="140"/>
      <c r="K1237" s="140"/>
      <c r="L1237" s="140"/>
      <c r="M1237" s="140"/>
      <c r="N1237" s="140"/>
      <c r="O1237" s="140"/>
      <c r="P1237" s="140"/>
      <c r="Q1237" s="140"/>
      <c r="R1237" s="140"/>
      <c r="S1237" s="140"/>
      <c r="T1237" s="140"/>
      <c r="U1237" s="140"/>
      <c r="V1237" s="140"/>
      <c r="W1237" s="140"/>
      <c r="X1237" s="140"/>
      <c r="Y1237" s="140"/>
      <c r="Z1237" s="140"/>
      <c r="AA1237" s="141"/>
      <c r="AE1237" s="140"/>
      <c r="AI1237" s="141"/>
      <c r="AM1237" s="141"/>
      <c r="AQ1237" s="141"/>
      <c r="AT1237" s="140"/>
      <c r="AU1237" s="140"/>
    </row>
    <row r="1238" spans="2:47" s="134" customFormat="1" x14ac:dyDescent="0.2">
      <c r="B1238" s="145"/>
      <c r="D1238" s="679"/>
      <c r="J1238" s="140"/>
      <c r="K1238" s="140"/>
      <c r="L1238" s="140"/>
      <c r="M1238" s="140"/>
      <c r="N1238" s="140"/>
      <c r="O1238" s="140"/>
      <c r="P1238" s="140"/>
      <c r="Q1238" s="140"/>
      <c r="R1238" s="140"/>
      <c r="S1238" s="140"/>
      <c r="T1238" s="140"/>
      <c r="U1238" s="140"/>
      <c r="V1238" s="140"/>
      <c r="W1238" s="140"/>
      <c r="X1238" s="140"/>
      <c r="Y1238" s="140"/>
      <c r="Z1238" s="140"/>
      <c r="AA1238" s="141"/>
      <c r="AE1238" s="140"/>
      <c r="AI1238" s="141"/>
      <c r="AM1238" s="141"/>
      <c r="AQ1238" s="141"/>
      <c r="AT1238" s="140"/>
      <c r="AU1238" s="140"/>
    </row>
    <row r="1239" spans="2:47" s="134" customFormat="1" x14ac:dyDescent="0.2">
      <c r="B1239" s="145"/>
      <c r="D1239" s="679"/>
      <c r="J1239" s="140"/>
      <c r="K1239" s="140"/>
      <c r="L1239" s="140"/>
      <c r="M1239" s="140"/>
      <c r="N1239" s="140"/>
      <c r="O1239" s="140"/>
      <c r="P1239" s="140"/>
      <c r="Q1239" s="140"/>
      <c r="R1239" s="140"/>
      <c r="S1239" s="140"/>
      <c r="T1239" s="140"/>
      <c r="U1239" s="140"/>
      <c r="V1239" s="140"/>
      <c r="W1239" s="140"/>
      <c r="X1239" s="140"/>
      <c r="Y1239" s="140"/>
      <c r="Z1239" s="140"/>
      <c r="AA1239" s="141"/>
      <c r="AE1239" s="140"/>
      <c r="AI1239" s="141"/>
      <c r="AM1239" s="141"/>
      <c r="AQ1239" s="141"/>
      <c r="AT1239" s="140"/>
      <c r="AU1239" s="140"/>
    </row>
    <row r="1240" spans="2:47" s="134" customFormat="1" x14ac:dyDescent="0.2">
      <c r="B1240" s="145"/>
      <c r="D1240" s="679"/>
      <c r="J1240" s="140"/>
      <c r="K1240" s="140"/>
      <c r="L1240" s="140"/>
      <c r="M1240" s="140"/>
      <c r="N1240" s="140"/>
      <c r="O1240" s="140"/>
      <c r="P1240" s="140"/>
      <c r="Q1240" s="140"/>
      <c r="R1240" s="140"/>
      <c r="S1240" s="140"/>
      <c r="T1240" s="140"/>
      <c r="U1240" s="140"/>
      <c r="V1240" s="140"/>
      <c r="W1240" s="140"/>
      <c r="X1240" s="140"/>
      <c r="Y1240" s="140"/>
      <c r="Z1240" s="140"/>
      <c r="AA1240" s="141"/>
      <c r="AE1240" s="140"/>
      <c r="AI1240" s="141"/>
      <c r="AM1240" s="141"/>
      <c r="AQ1240" s="141"/>
      <c r="AT1240" s="140"/>
      <c r="AU1240" s="140"/>
    </row>
    <row r="1241" spans="2:47" s="134" customFormat="1" x14ac:dyDescent="0.2">
      <c r="B1241" s="145"/>
      <c r="D1241" s="679"/>
      <c r="J1241" s="140"/>
      <c r="K1241" s="140"/>
      <c r="L1241" s="140"/>
      <c r="M1241" s="140"/>
      <c r="N1241" s="140"/>
      <c r="O1241" s="140"/>
      <c r="P1241" s="140"/>
      <c r="Q1241" s="140"/>
      <c r="R1241" s="140"/>
      <c r="S1241" s="140"/>
      <c r="T1241" s="140"/>
      <c r="U1241" s="140"/>
      <c r="V1241" s="140"/>
      <c r="W1241" s="140"/>
      <c r="X1241" s="140"/>
      <c r="Y1241" s="140"/>
      <c r="Z1241" s="140"/>
      <c r="AA1241" s="141"/>
      <c r="AE1241" s="140"/>
      <c r="AI1241" s="141"/>
      <c r="AM1241" s="141"/>
      <c r="AQ1241" s="141"/>
      <c r="AT1241" s="140"/>
      <c r="AU1241" s="140"/>
    </row>
    <row r="1242" spans="2:47" s="134" customFormat="1" x14ac:dyDescent="0.2">
      <c r="B1242" s="145"/>
      <c r="D1242" s="679"/>
      <c r="J1242" s="140"/>
      <c r="K1242" s="140"/>
      <c r="L1242" s="140"/>
      <c r="M1242" s="140"/>
      <c r="N1242" s="140"/>
      <c r="O1242" s="140"/>
      <c r="P1242" s="140"/>
      <c r="Q1242" s="140"/>
      <c r="R1242" s="140"/>
      <c r="S1242" s="140"/>
      <c r="T1242" s="140"/>
      <c r="U1242" s="140"/>
      <c r="V1242" s="140"/>
      <c r="W1242" s="140"/>
      <c r="X1242" s="140"/>
      <c r="Y1242" s="140"/>
      <c r="Z1242" s="140"/>
      <c r="AA1242" s="141"/>
      <c r="AE1242" s="140"/>
      <c r="AI1242" s="141"/>
      <c r="AM1242" s="141"/>
      <c r="AQ1242" s="141"/>
      <c r="AT1242" s="140"/>
      <c r="AU1242" s="140"/>
    </row>
    <row r="1243" spans="2:47" s="134" customFormat="1" x14ac:dyDescent="0.2">
      <c r="B1243" s="145"/>
      <c r="D1243" s="679"/>
      <c r="J1243" s="140"/>
      <c r="K1243" s="140"/>
      <c r="L1243" s="140"/>
      <c r="M1243" s="140"/>
      <c r="N1243" s="140"/>
      <c r="O1243" s="140"/>
      <c r="P1243" s="140"/>
      <c r="Q1243" s="140"/>
      <c r="R1243" s="140"/>
      <c r="S1243" s="140"/>
      <c r="T1243" s="140"/>
      <c r="U1243" s="140"/>
      <c r="V1243" s="140"/>
      <c r="W1243" s="140"/>
      <c r="X1243" s="140"/>
      <c r="Y1243" s="140"/>
      <c r="Z1243" s="140"/>
      <c r="AA1243" s="141"/>
      <c r="AE1243" s="140"/>
      <c r="AI1243" s="141"/>
      <c r="AM1243" s="141"/>
      <c r="AQ1243" s="141"/>
      <c r="AT1243" s="140"/>
      <c r="AU1243" s="140"/>
    </row>
    <row r="1244" spans="2:47" s="134" customFormat="1" x14ac:dyDescent="0.2">
      <c r="B1244" s="145"/>
      <c r="D1244" s="679"/>
      <c r="J1244" s="140"/>
      <c r="K1244" s="140"/>
      <c r="L1244" s="140"/>
      <c r="M1244" s="140"/>
      <c r="N1244" s="140"/>
      <c r="O1244" s="140"/>
      <c r="P1244" s="140"/>
      <c r="Q1244" s="140"/>
      <c r="R1244" s="140"/>
      <c r="S1244" s="140"/>
      <c r="T1244" s="140"/>
      <c r="U1244" s="140"/>
      <c r="V1244" s="140"/>
      <c r="W1244" s="140"/>
      <c r="X1244" s="140"/>
      <c r="Y1244" s="140"/>
      <c r="Z1244" s="140"/>
      <c r="AA1244" s="141"/>
      <c r="AE1244" s="140"/>
      <c r="AI1244" s="141"/>
      <c r="AM1244" s="141"/>
      <c r="AQ1244" s="141"/>
      <c r="AT1244" s="140"/>
      <c r="AU1244" s="140"/>
    </row>
    <row r="1245" spans="2:47" s="134" customFormat="1" x14ac:dyDescent="0.2">
      <c r="B1245" s="145"/>
      <c r="D1245" s="679"/>
      <c r="J1245" s="140"/>
      <c r="K1245" s="140"/>
      <c r="L1245" s="140"/>
      <c r="M1245" s="140"/>
      <c r="N1245" s="140"/>
      <c r="O1245" s="140"/>
      <c r="P1245" s="140"/>
      <c r="Q1245" s="140"/>
      <c r="R1245" s="140"/>
      <c r="S1245" s="140"/>
      <c r="T1245" s="140"/>
      <c r="U1245" s="140"/>
      <c r="V1245" s="140"/>
      <c r="W1245" s="140"/>
      <c r="X1245" s="140"/>
      <c r="Y1245" s="140"/>
      <c r="Z1245" s="140"/>
      <c r="AA1245" s="141"/>
      <c r="AE1245" s="140"/>
      <c r="AI1245" s="141"/>
      <c r="AM1245" s="141"/>
      <c r="AQ1245" s="141"/>
      <c r="AT1245" s="140"/>
      <c r="AU1245" s="140"/>
    </row>
    <row r="1246" spans="2:47" s="134" customFormat="1" x14ac:dyDescent="0.2">
      <c r="B1246" s="145"/>
      <c r="D1246" s="679"/>
      <c r="J1246" s="140"/>
      <c r="K1246" s="140"/>
      <c r="L1246" s="140"/>
      <c r="M1246" s="140"/>
      <c r="N1246" s="140"/>
      <c r="O1246" s="140"/>
      <c r="P1246" s="140"/>
      <c r="Q1246" s="140"/>
      <c r="R1246" s="140"/>
      <c r="S1246" s="140"/>
      <c r="T1246" s="140"/>
      <c r="U1246" s="140"/>
      <c r="V1246" s="140"/>
      <c r="W1246" s="140"/>
      <c r="X1246" s="140"/>
      <c r="Y1246" s="140"/>
      <c r="Z1246" s="140"/>
      <c r="AA1246" s="141"/>
      <c r="AE1246" s="140"/>
      <c r="AI1246" s="141"/>
      <c r="AM1246" s="141"/>
      <c r="AQ1246" s="141"/>
      <c r="AT1246" s="140"/>
      <c r="AU1246" s="140"/>
    </row>
    <row r="1247" spans="2:47" s="134" customFormat="1" x14ac:dyDescent="0.2">
      <c r="B1247" s="145"/>
      <c r="D1247" s="679"/>
      <c r="J1247" s="140"/>
      <c r="K1247" s="140"/>
      <c r="L1247" s="140"/>
      <c r="M1247" s="140"/>
      <c r="N1247" s="140"/>
      <c r="O1247" s="140"/>
      <c r="P1247" s="140"/>
      <c r="Q1247" s="140"/>
      <c r="R1247" s="140"/>
      <c r="S1247" s="140"/>
      <c r="T1247" s="140"/>
      <c r="U1247" s="140"/>
      <c r="V1247" s="140"/>
      <c r="W1247" s="140"/>
      <c r="X1247" s="140"/>
      <c r="Y1247" s="140"/>
      <c r="Z1247" s="140"/>
      <c r="AA1247" s="141"/>
      <c r="AE1247" s="140"/>
      <c r="AI1247" s="141"/>
      <c r="AM1247" s="141"/>
      <c r="AQ1247" s="141"/>
      <c r="AT1247" s="140"/>
      <c r="AU1247" s="140"/>
    </row>
    <row r="1248" spans="2:47" s="134" customFormat="1" x14ac:dyDescent="0.2">
      <c r="B1248" s="145"/>
      <c r="D1248" s="679"/>
      <c r="J1248" s="140"/>
      <c r="K1248" s="140"/>
      <c r="L1248" s="140"/>
      <c r="M1248" s="140"/>
      <c r="N1248" s="140"/>
      <c r="O1248" s="140"/>
      <c r="P1248" s="140"/>
      <c r="Q1248" s="140"/>
      <c r="R1248" s="140"/>
      <c r="S1248" s="140"/>
      <c r="T1248" s="140"/>
      <c r="U1248" s="140"/>
      <c r="V1248" s="140"/>
      <c r="W1248" s="140"/>
      <c r="X1248" s="140"/>
      <c r="Y1248" s="140"/>
      <c r="Z1248" s="140"/>
      <c r="AA1248" s="141"/>
      <c r="AE1248" s="140"/>
      <c r="AI1248" s="141"/>
      <c r="AM1248" s="141"/>
      <c r="AQ1248" s="141"/>
      <c r="AT1248" s="140"/>
      <c r="AU1248" s="140"/>
    </row>
    <row r="1249" spans="2:47" s="134" customFormat="1" x14ac:dyDescent="0.2">
      <c r="B1249" s="145"/>
      <c r="D1249" s="679"/>
      <c r="J1249" s="140"/>
      <c r="K1249" s="140"/>
      <c r="L1249" s="140"/>
      <c r="M1249" s="140"/>
      <c r="N1249" s="140"/>
      <c r="O1249" s="140"/>
      <c r="P1249" s="140"/>
      <c r="Q1249" s="140"/>
      <c r="R1249" s="140"/>
      <c r="S1249" s="140"/>
      <c r="T1249" s="140"/>
      <c r="U1249" s="140"/>
      <c r="V1249" s="140"/>
      <c r="W1249" s="140"/>
      <c r="X1249" s="140"/>
      <c r="Y1249" s="140"/>
      <c r="Z1249" s="140"/>
      <c r="AA1249" s="141"/>
      <c r="AE1249" s="140"/>
      <c r="AI1249" s="141"/>
      <c r="AM1249" s="141"/>
      <c r="AQ1249" s="141"/>
      <c r="AT1249" s="140"/>
      <c r="AU1249" s="140"/>
    </row>
    <row r="1250" spans="2:47" s="134" customFormat="1" x14ac:dyDescent="0.2">
      <c r="B1250" s="145"/>
      <c r="D1250" s="679"/>
      <c r="J1250" s="140"/>
      <c r="K1250" s="140"/>
      <c r="L1250" s="140"/>
      <c r="M1250" s="140"/>
      <c r="N1250" s="140"/>
      <c r="O1250" s="140"/>
      <c r="P1250" s="140"/>
      <c r="Q1250" s="140"/>
      <c r="R1250" s="140"/>
      <c r="S1250" s="140"/>
      <c r="T1250" s="140"/>
      <c r="U1250" s="140"/>
      <c r="V1250" s="140"/>
      <c r="W1250" s="140"/>
      <c r="X1250" s="140"/>
      <c r="Y1250" s="140"/>
      <c r="Z1250" s="140"/>
      <c r="AA1250" s="141"/>
      <c r="AE1250" s="140"/>
      <c r="AI1250" s="141"/>
      <c r="AM1250" s="141"/>
      <c r="AQ1250" s="141"/>
      <c r="AT1250" s="140"/>
      <c r="AU1250" s="140"/>
    </row>
    <row r="1251" spans="2:47" s="134" customFormat="1" x14ac:dyDescent="0.2">
      <c r="B1251" s="145"/>
      <c r="D1251" s="679"/>
      <c r="J1251" s="140"/>
      <c r="K1251" s="140"/>
      <c r="L1251" s="140"/>
      <c r="M1251" s="140"/>
      <c r="N1251" s="140"/>
      <c r="O1251" s="140"/>
      <c r="P1251" s="140"/>
      <c r="Q1251" s="140"/>
      <c r="R1251" s="140"/>
      <c r="S1251" s="140"/>
      <c r="T1251" s="140"/>
      <c r="U1251" s="140"/>
      <c r="V1251" s="140"/>
      <c r="W1251" s="140"/>
      <c r="X1251" s="140"/>
      <c r="Y1251" s="140"/>
      <c r="Z1251" s="140"/>
      <c r="AA1251" s="141"/>
      <c r="AE1251" s="140"/>
      <c r="AI1251" s="141"/>
      <c r="AM1251" s="141"/>
      <c r="AQ1251" s="141"/>
      <c r="AT1251" s="140"/>
      <c r="AU1251" s="140"/>
    </row>
    <row r="1252" spans="2:47" s="134" customFormat="1" x14ac:dyDescent="0.2">
      <c r="B1252" s="145"/>
      <c r="D1252" s="679"/>
      <c r="J1252" s="140"/>
      <c r="K1252" s="140"/>
      <c r="L1252" s="140"/>
      <c r="M1252" s="140"/>
      <c r="N1252" s="140"/>
      <c r="O1252" s="140"/>
      <c r="P1252" s="140"/>
      <c r="Q1252" s="140"/>
      <c r="R1252" s="140"/>
      <c r="S1252" s="140"/>
      <c r="T1252" s="140"/>
      <c r="U1252" s="140"/>
      <c r="V1252" s="140"/>
      <c r="W1252" s="140"/>
      <c r="X1252" s="140"/>
      <c r="Y1252" s="140"/>
      <c r="Z1252" s="140"/>
      <c r="AA1252" s="141"/>
      <c r="AE1252" s="140"/>
      <c r="AI1252" s="141"/>
      <c r="AM1252" s="141"/>
      <c r="AQ1252" s="141"/>
      <c r="AT1252" s="140"/>
      <c r="AU1252" s="140"/>
    </row>
    <row r="1253" spans="2:47" s="134" customFormat="1" x14ac:dyDescent="0.2">
      <c r="B1253" s="145"/>
      <c r="D1253" s="679"/>
      <c r="J1253" s="140"/>
      <c r="K1253" s="140"/>
      <c r="L1253" s="140"/>
      <c r="M1253" s="140"/>
      <c r="N1253" s="140"/>
      <c r="O1253" s="140"/>
      <c r="P1253" s="140"/>
      <c r="Q1253" s="140"/>
      <c r="R1253" s="140"/>
      <c r="S1253" s="140"/>
      <c r="T1253" s="140"/>
      <c r="U1253" s="140"/>
      <c r="V1253" s="140"/>
      <c r="W1253" s="140"/>
      <c r="X1253" s="140"/>
      <c r="Y1253" s="140"/>
      <c r="Z1253" s="140"/>
      <c r="AA1253" s="141"/>
      <c r="AE1253" s="140"/>
      <c r="AI1253" s="141"/>
      <c r="AM1253" s="141"/>
      <c r="AQ1253" s="141"/>
      <c r="AT1253" s="140"/>
      <c r="AU1253" s="140"/>
    </row>
    <row r="1254" spans="2:47" s="134" customFormat="1" x14ac:dyDescent="0.2">
      <c r="B1254" s="145"/>
      <c r="D1254" s="679"/>
      <c r="J1254" s="140"/>
      <c r="K1254" s="140"/>
      <c r="L1254" s="140"/>
      <c r="M1254" s="140"/>
      <c r="N1254" s="140"/>
      <c r="O1254" s="140"/>
      <c r="P1254" s="140"/>
      <c r="Q1254" s="140"/>
      <c r="R1254" s="140"/>
      <c r="S1254" s="140"/>
      <c r="T1254" s="140"/>
      <c r="U1254" s="140"/>
      <c r="V1254" s="140"/>
      <c r="W1254" s="140"/>
      <c r="X1254" s="140"/>
      <c r="Y1254" s="140"/>
      <c r="Z1254" s="140"/>
      <c r="AA1254" s="141"/>
      <c r="AE1254" s="140"/>
      <c r="AI1254" s="141"/>
      <c r="AM1254" s="141"/>
      <c r="AQ1254" s="141"/>
      <c r="AT1254" s="140"/>
      <c r="AU1254" s="140"/>
    </row>
    <row r="1255" spans="2:47" s="134" customFormat="1" x14ac:dyDescent="0.2">
      <c r="B1255" s="145"/>
      <c r="D1255" s="679"/>
      <c r="J1255" s="140"/>
      <c r="K1255" s="140"/>
      <c r="L1255" s="140"/>
      <c r="M1255" s="140"/>
      <c r="N1255" s="140"/>
      <c r="O1255" s="140"/>
      <c r="P1255" s="140"/>
      <c r="Q1255" s="140"/>
      <c r="R1255" s="140"/>
      <c r="S1255" s="140"/>
      <c r="T1255" s="140"/>
      <c r="U1255" s="140"/>
      <c r="V1255" s="140"/>
      <c r="W1255" s="140"/>
      <c r="X1255" s="140"/>
      <c r="Y1255" s="140"/>
      <c r="Z1255" s="140"/>
      <c r="AA1255" s="141"/>
      <c r="AE1255" s="140"/>
      <c r="AI1255" s="141"/>
      <c r="AM1255" s="141"/>
      <c r="AQ1255" s="141"/>
      <c r="AT1255" s="140"/>
      <c r="AU1255" s="140"/>
    </row>
    <row r="1256" spans="2:47" s="134" customFormat="1" x14ac:dyDescent="0.2">
      <c r="B1256" s="145"/>
      <c r="D1256" s="679"/>
      <c r="J1256" s="140"/>
      <c r="K1256" s="140"/>
      <c r="L1256" s="140"/>
      <c r="M1256" s="140"/>
      <c r="N1256" s="140"/>
      <c r="O1256" s="140"/>
      <c r="P1256" s="140"/>
      <c r="Q1256" s="140"/>
      <c r="R1256" s="140"/>
      <c r="S1256" s="140"/>
      <c r="T1256" s="140"/>
      <c r="U1256" s="140"/>
      <c r="V1256" s="140"/>
      <c r="W1256" s="140"/>
      <c r="X1256" s="140"/>
      <c r="Y1256" s="140"/>
      <c r="Z1256" s="140"/>
      <c r="AA1256" s="141"/>
      <c r="AE1256" s="140"/>
      <c r="AI1256" s="141"/>
      <c r="AM1256" s="141"/>
      <c r="AQ1256" s="141"/>
      <c r="AT1256" s="140"/>
      <c r="AU1256" s="140"/>
    </row>
    <row r="1257" spans="2:47" s="134" customFormat="1" x14ac:dyDescent="0.2">
      <c r="B1257" s="145"/>
      <c r="D1257" s="679"/>
      <c r="J1257" s="140"/>
      <c r="K1257" s="140"/>
      <c r="L1257" s="140"/>
      <c r="M1257" s="140"/>
      <c r="N1257" s="140"/>
      <c r="O1257" s="140"/>
      <c r="P1257" s="140"/>
      <c r="Q1257" s="140"/>
      <c r="R1257" s="140"/>
      <c r="S1257" s="140"/>
      <c r="T1257" s="140"/>
      <c r="U1257" s="140"/>
      <c r="V1257" s="140"/>
      <c r="W1257" s="140"/>
      <c r="X1257" s="140"/>
      <c r="Y1257" s="140"/>
      <c r="Z1257" s="140"/>
      <c r="AA1257" s="141"/>
      <c r="AE1257" s="140"/>
      <c r="AI1257" s="141"/>
      <c r="AM1257" s="141"/>
      <c r="AQ1257" s="141"/>
      <c r="AT1257" s="140"/>
      <c r="AU1257" s="140"/>
    </row>
    <row r="1258" spans="2:47" s="134" customFormat="1" x14ac:dyDescent="0.2">
      <c r="B1258" s="145"/>
      <c r="D1258" s="679"/>
      <c r="J1258" s="140"/>
      <c r="K1258" s="140"/>
      <c r="L1258" s="140"/>
      <c r="M1258" s="140"/>
      <c r="N1258" s="140"/>
      <c r="O1258" s="140"/>
      <c r="P1258" s="140"/>
      <c r="Q1258" s="140"/>
      <c r="R1258" s="140"/>
      <c r="S1258" s="140"/>
      <c r="T1258" s="140"/>
      <c r="U1258" s="140"/>
      <c r="V1258" s="140"/>
      <c r="W1258" s="140"/>
      <c r="X1258" s="140"/>
      <c r="Y1258" s="140"/>
      <c r="Z1258" s="140"/>
      <c r="AA1258" s="141"/>
      <c r="AE1258" s="140"/>
      <c r="AI1258" s="141"/>
      <c r="AM1258" s="141"/>
      <c r="AQ1258" s="141"/>
      <c r="AT1258" s="140"/>
      <c r="AU1258" s="140"/>
    </row>
    <row r="1259" spans="2:47" s="134" customFormat="1" x14ac:dyDescent="0.2">
      <c r="B1259" s="145"/>
      <c r="D1259" s="679"/>
      <c r="J1259" s="140"/>
      <c r="K1259" s="140"/>
      <c r="L1259" s="140"/>
      <c r="M1259" s="140"/>
      <c r="N1259" s="140"/>
      <c r="O1259" s="140"/>
      <c r="P1259" s="140"/>
      <c r="Q1259" s="140"/>
      <c r="R1259" s="140"/>
      <c r="S1259" s="140"/>
      <c r="T1259" s="140"/>
      <c r="U1259" s="140"/>
      <c r="V1259" s="140"/>
      <c r="W1259" s="140"/>
      <c r="X1259" s="140"/>
      <c r="Y1259" s="140"/>
      <c r="Z1259" s="140"/>
      <c r="AA1259" s="141"/>
      <c r="AE1259" s="140"/>
      <c r="AI1259" s="141"/>
      <c r="AM1259" s="141"/>
      <c r="AQ1259" s="141"/>
      <c r="AT1259" s="140"/>
      <c r="AU1259" s="140"/>
    </row>
    <row r="1260" spans="2:47" s="134" customFormat="1" x14ac:dyDescent="0.2">
      <c r="B1260" s="145"/>
      <c r="D1260" s="679"/>
      <c r="J1260" s="140"/>
      <c r="K1260" s="140"/>
      <c r="L1260" s="140"/>
      <c r="M1260" s="140"/>
      <c r="N1260" s="140"/>
      <c r="O1260" s="140"/>
      <c r="P1260" s="140"/>
      <c r="Q1260" s="140"/>
      <c r="R1260" s="140"/>
      <c r="S1260" s="140"/>
      <c r="T1260" s="140"/>
      <c r="U1260" s="140"/>
      <c r="V1260" s="140"/>
      <c r="W1260" s="140"/>
      <c r="X1260" s="140"/>
      <c r="Y1260" s="140"/>
      <c r="Z1260" s="140"/>
      <c r="AA1260" s="141"/>
      <c r="AE1260" s="140"/>
      <c r="AI1260" s="141"/>
      <c r="AM1260" s="141"/>
      <c r="AQ1260" s="141"/>
      <c r="AT1260" s="140"/>
      <c r="AU1260" s="140"/>
    </row>
    <row r="1261" spans="2:47" s="134" customFormat="1" x14ac:dyDescent="0.2">
      <c r="B1261" s="145"/>
      <c r="D1261" s="679"/>
      <c r="J1261" s="140"/>
      <c r="K1261" s="140"/>
      <c r="L1261" s="140"/>
      <c r="M1261" s="140"/>
      <c r="N1261" s="140"/>
      <c r="O1261" s="140"/>
      <c r="P1261" s="140"/>
      <c r="Q1261" s="140"/>
      <c r="R1261" s="140"/>
      <c r="S1261" s="140"/>
      <c r="T1261" s="140"/>
      <c r="U1261" s="140"/>
      <c r="V1261" s="140"/>
      <c r="W1261" s="140"/>
      <c r="X1261" s="140"/>
      <c r="Y1261" s="140"/>
      <c r="Z1261" s="140"/>
      <c r="AA1261" s="141"/>
      <c r="AE1261" s="140"/>
      <c r="AI1261" s="141"/>
      <c r="AM1261" s="141"/>
      <c r="AQ1261" s="141"/>
      <c r="AT1261" s="140"/>
      <c r="AU1261" s="140"/>
    </row>
    <row r="1262" spans="2:47" s="134" customFormat="1" x14ac:dyDescent="0.2">
      <c r="B1262" s="145"/>
      <c r="D1262" s="679"/>
      <c r="J1262" s="140"/>
      <c r="K1262" s="140"/>
      <c r="L1262" s="140"/>
      <c r="M1262" s="140"/>
      <c r="N1262" s="140"/>
      <c r="O1262" s="140"/>
      <c r="P1262" s="140"/>
      <c r="Q1262" s="140"/>
      <c r="R1262" s="140"/>
      <c r="S1262" s="140"/>
      <c r="T1262" s="140"/>
      <c r="U1262" s="140"/>
      <c r="V1262" s="140"/>
      <c r="W1262" s="140"/>
      <c r="X1262" s="140"/>
      <c r="Y1262" s="140"/>
      <c r="Z1262" s="140"/>
      <c r="AA1262" s="141"/>
      <c r="AE1262" s="140"/>
      <c r="AI1262" s="141"/>
      <c r="AM1262" s="141"/>
      <c r="AQ1262" s="141"/>
      <c r="AT1262" s="140"/>
      <c r="AU1262" s="140"/>
    </row>
    <row r="1263" spans="2:47" s="134" customFormat="1" x14ac:dyDescent="0.2">
      <c r="B1263" s="145"/>
      <c r="D1263" s="679"/>
      <c r="J1263" s="140"/>
      <c r="K1263" s="140"/>
      <c r="L1263" s="140"/>
      <c r="M1263" s="140"/>
      <c r="N1263" s="140"/>
      <c r="O1263" s="140"/>
      <c r="P1263" s="140"/>
      <c r="Q1263" s="140"/>
      <c r="R1263" s="140"/>
      <c r="S1263" s="140"/>
      <c r="T1263" s="140"/>
      <c r="U1263" s="140"/>
      <c r="V1263" s="140"/>
      <c r="W1263" s="140"/>
      <c r="X1263" s="140"/>
      <c r="Y1263" s="140"/>
      <c r="Z1263" s="140"/>
      <c r="AA1263" s="141"/>
      <c r="AE1263" s="140"/>
      <c r="AI1263" s="141"/>
      <c r="AM1263" s="141"/>
      <c r="AQ1263" s="141"/>
      <c r="AT1263" s="140"/>
      <c r="AU1263" s="140"/>
    </row>
    <row r="1264" spans="2:47" s="134" customFormat="1" x14ac:dyDescent="0.2">
      <c r="B1264" s="145"/>
      <c r="D1264" s="679"/>
      <c r="J1264" s="140"/>
      <c r="K1264" s="140"/>
      <c r="L1264" s="140"/>
      <c r="M1264" s="140"/>
      <c r="N1264" s="140"/>
      <c r="O1264" s="140"/>
      <c r="P1264" s="140"/>
      <c r="Q1264" s="140"/>
      <c r="R1264" s="140"/>
      <c r="S1264" s="140"/>
      <c r="T1264" s="140"/>
      <c r="U1264" s="140"/>
      <c r="V1264" s="140"/>
      <c r="W1264" s="140"/>
      <c r="X1264" s="140"/>
      <c r="Y1264" s="140"/>
      <c r="Z1264" s="140"/>
      <c r="AA1264" s="141"/>
      <c r="AE1264" s="140"/>
      <c r="AI1264" s="141"/>
      <c r="AM1264" s="141"/>
      <c r="AQ1264" s="141"/>
      <c r="AT1264" s="140"/>
      <c r="AU1264" s="140"/>
    </row>
    <row r="1265" spans="2:47" s="134" customFormat="1" x14ac:dyDescent="0.2">
      <c r="B1265" s="145"/>
      <c r="D1265" s="679"/>
      <c r="J1265" s="140"/>
      <c r="K1265" s="140"/>
      <c r="L1265" s="140"/>
      <c r="M1265" s="140"/>
      <c r="N1265" s="140"/>
      <c r="O1265" s="140"/>
      <c r="P1265" s="140"/>
      <c r="Q1265" s="140"/>
      <c r="R1265" s="140"/>
      <c r="S1265" s="140"/>
      <c r="T1265" s="140"/>
      <c r="U1265" s="140"/>
      <c r="V1265" s="140"/>
      <c r="W1265" s="140"/>
      <c r="X1265" s="140"/>
      <c r="Y1265" s="140"/>
      <c r="Z1265" s="140"/>
      <c r="AA1265" s="141"/>
      <c r="AE1265" s="140"/>
      <c r="AI1265" s="141"/>
      <c r="AM1265" s="141"/>
      <c r="AQ1265" s="141"/>
      <c r="AT1265" s="140"/>
      <c r="AU1265" s="140"/>
    </row>
    <row r="1266" spans="2:47" s="134" customFormat="1" x14ac:dyDescent="0.2">
      <c r="B1266" s="145"/>
      <c r="D1266" s="679"/>
      <c r="J1266" s="140"/>
      <c r="K1266" s="140"/>
      <c r="L1266" s="140"/>
      <c r="M1266" s="140"/>
      <c r="N1266" s="140"/>
      <c r="O1266" s="140"/>
      <c r="P1266" s="140"/>
      <c r="Q1266" s="140"/>
      <c r="R1266" s="140"/>
      <c r="S1266" s="140"/>
      <c r="T1266" s="140"/>
      <c r="U1266" s="140"/>
      <c r="V1266" s="140"/>
      <c r="W1266" s="140"/>
      <c r="X1266" s="140"/>
      <c r="Y1266" s="140"/>
      <c r="Z1266" s="140"/>
      <c r="AA1266" s="141"/>
      <c r="AE1266" s="140"/>
      <c r="AI1266" s="141"/>
      <c r="AM1266" s="141"/>
      <c r="AQ1266" s="141"/>
      <c r="AT1266" s="140"/>
      <c r="AU1266" s="140"/>
    </row>
    <row r="1267" spans="2:47" s="134" customFormat="1" x14ac:dyDescent="0.2">
      <c r="B1267" s="145"/>
      <c r="D1267" s="679"/>
      <c r="J1267" s="140"/>
      <c r="K1267" s="140"/>
      <c r="L1267" s="140"/>
      <c r="M1267" s="140"/>
      <c r="N1267" s="140"/>
      <c r="O1267" s="140"/>
      <c r="P1267" s="140"/>
      <c r="Q1267" s="140"/>
      <c r="R1267" s="140"/>
      <c r="S1267" s="140"/>
      <c r="T1267" s="140"/>
      <c r="U1267" s="140"/>
      <c r="V1267" s="140"/>
      <c r="W1267" s="140"/>
      <c r="X1267" s="140"/>
      <c r="Y1267" s="140"/>
      <c r="Z1267" s="140"/>
      <c r="AA1267" s="141"/>
      <c r="AE1267" s="140"/>
      <c r="AI1267" s="141"/>
      <c r="AM1267" s="141"/>
      <c r="AQ1267" s="141"/>
      <c r="AT1267" s="140"/>
      <c r="AU1267" s="140"/>
    </row>
    <row r="1268" spans="2:47" s="134" customFormat="1" x14ac:dyDescent="0.2">
      <c r="B1268" s="145"/>
      <c r="D1268" s="679"/>
      <c r="J1268" s="140"/>
      <c r="K1268" s="140"/>
      <c r="L1268" s="140"/>
      <c r="M1268" s="140"/>
      <c r="N1268" s="140"/>
      <c r="O1268" s="140"/>
      <c r="P1268" s="140"/>
      <c r="Q1268" s="140"/>
      <c r="R1268" s="140"/>
      <c r="S1268" s="140"/>
      <c r="T1268" s="140"/>
      <c r="U1268" s="140"/>
      <c r="V1268" s="140"/>
      <c r="W1268" s="140"/>
      <c r="X1268" s="140"/>
      <c r="Y1268" s="140"/>
      <c r="Z1268" s="140"/>
      <c r="AA1268" s="141"/>
      <c r="AE1268" s="140"/>
      <c r="AI1268" s="141"/>
      <c r="AM1268" s="141"/>
      <c r="AQ1268" s="141"/>
      <c r="AT1268" s="140"/>
      <c r="AU1268" s="140"/>
    </row>
    <row r="1269" spans="2:47" s="134" customFormat="1" x14ac:dyDescent="0.2">
      <c r="B1269" s="145"/>
      <c r="D1269" s="679"/>
      <c r="J1269" s="140"/>
      <c r="K1269" s="140"/>
      <c r="L1269" s="140"/>
      <c r="M1269" s="140"/>
      <c r="N1269" s="140"/>
      <c r="O1269" s="140"/>
      <c r="P1269" s="140"/>
      <c r="Q1269" s="140"/>
      <c r="R1269" s="140"/>
      <c r="S1269" s="140"/>
      <c r="T1269" s="140"/>
      <c r="U1269" s="140"/>
      <c r="V1269" s="140"/>
      <c r="W1269" s="140"/>
      <c r="X1269" s="140"/>
      <c r="Y1269" s="140"/>
      <c r="Z1269" s="140"/>
      <c r="AA1269" s="141"/>
      <c r="AE1269" s="140"/>
      <c r="AI1269" s="141"/>
      <c r="AM1269" s="141"/>
      <c r="AQ1269" s="141"/>
      <c r="AT1269" s="140"/>
      <c r="AU1269" s="140"/>
    </row>
    <row r="1270" spans="2:47" s="134" customFormat="1" x14ac:dyDescent="0.2">
      <c r="B1270" s="145"/>
      <c r="D1270" s="679"/>
      <c r="J1270" s="140"/>
      <c r="K1270" s="140"/>
      <c r="L1270" s="140"/>
      <c r="M1270" s="140"/>
      <c r="N1270" s="140"/>
      <c r="O1270" s="140"/>
      <c r="P1270" s="140"/>
      <c r="Q1270" s="140"/>
      <c r="R1270" s="140"/>
      <c r="S1270" s="140"/>
      <c r="T1270" s="140"/>
      <c r="U1270" s="140"/>
      <c r="V1270" s="140"/>
      <c r="W1270" s="140"/>
      <c r="X1270" s="140"/>
      <c r="Y1270" s="140"/>
      <c r="Z1270" s="140"/>
      <c r="AA1270" s="141"/>
      <c r="AE1270" s="140"/>
      <c r="AI1270" s="141"/>
      <c r="AM1270" s="141"/>
      <c r="AQ1270" s="141"/>
      <c r="AT1270" s="140"/>
      <c r="AU1270" s="140"/>
    </row>
    <row r="1271" spans="2:47" s="134" customFormat="1" x14ac:dyDescent="0.2">
      <c r="B1271" s="145"/>
      <c r="D1271" s="679"/>
      <c r="J1271" s="140"/>
      <c r="K1271" s="140"/>
      <c r="L1271" s="140"/>
      <c r="M1271" s="140"/>
      <c r="N1271" s="140"/>
      <c r="O1271" s="140"/>
      <c r="P1271" s="140"/>
      <c r="Q1271" s="140"/>
      <c r="R1271" s="140"/>
      <c r="S1271" s="140"/>
      <c r="T1271" s="140"/>
      <c r="U1271" s="140"/>
      <c r="V1271" s="140"/>
      <c r="W1271" s="140"/>
      <c r="X1271" s="140"/>
      <c r="Y1271" s="140"/>
      <c r="Z1271" s="140"/>
      <c r="AA1271" s="141"/>
      <c r="AE1271" s="140"/>
      <c r="AI1271" s="141"/>
      <c r="AM1271" s="141"/>
      <c r="AQ1271" s="141"/>
      <c r="AT1271" s="140"/>
      <c r="AU1271" s="140"/>
    </row>
    <row r="1272" spans="2:47" s="134" customFormat="1" x14ac:dyDescent="0.2">
      <c r="B1272" s="145"/>
      <c r="D1272" s="679"/>
      <c r="J1272" s="140"/>
      <c r="K1272" s="140"/>
      <c r="L1272" s="140"/>
      <c r="M1272" s="140"/>
      <c r="N1272" s="140"/>
      <c r="O1272" s="140"/>
      <c r="P1272" s="140"/>
      <c r="Q1272" s="140"/>
      <c r="R1272" s="140"/>
      <c r="S1272" s="140"/>
      <c r="T1272" s="140"/>
      <c r="U1272" s="140"/>
      <c r="V1272" s="140"/>
      <c r="W1272" s="140"/>
      <c r="X1272" s="140"/>
      <c r="Y1272" s="140"/>
      <c r="Z1272" s="140"/>
      <c r="AA1272" s="141"/>
      <c r="AE1272" s="140"/>
      <c r="AI1272" s="141"/>
      <c r="AM1272" s="141"/>
      <c r="AQ1272" s="141"/>
      <c r="AT1272" s="140"/>
      <c r="AU1272" s="140"/>
    </row>
    <row r="1273" spans="2:47" s="134" customFormat="1" x14ac:dyDescent="0.2">
      <c r="B1273" s="145"/>
      <c r="D1273" s="679"/>
      <c r="J1273" s="140"/>
      <c r="K1273" s="140"/>
      <c r="L1273" s="140"/>
      <c r="M1273" s="140"/>
      <c r="N1273" s="140"/>
      <c r="O1273" s="140"/>
      <c r="P1273" s="140"/>
      <c r="Q1273" s="140"/>
      <c r="R1273" s="140"/>
      <c r="S1273" s="140"/>
      <c r="T1273" s="140"/>
      <c r="U1273" s="140"/>
      <c r="V1273" s="140"/>
      <c r="W1273" s="140"/>
      <c r="X1273" s="140"/>
      <c r="Y1273" s="140"/>
      <c r="Z1273" s="140"/>
      <c r="AA1273" s="141"/>
      <c r="AE1273" s="140"/>
      <c r="AI1273" s="141"/>
      <c r="AM1273" s="141"/>
      <c r="AQ1273" s="141"/>
      <c r="AT1273" s="140"/>
      <c r="AU1273" s="140"/>
    </row>
    <row r="1274" spans="2:47" s="134" customFormat="1" x14ac:dyDescent="0.2">
      <c r="B1274" s="145"/>
      <c r="D1274" s="679"/>
      <c r="J1274" s="140"/>
      <c r="K1274" s="140"/>
      <c r="L1274" s="140"/>
      <c r="M1274" s="140"/>
      <c r="N1274" s="140"/>
      <c r="O1274" s="140"/>
      <c r="P1274" s="140"/>
      <c r="Q1274" s="140"/>
      <c r="R1274" s="140"/>
      <c r="S1274" s="140"/>
      <c r="T1274" s="140"/>
      <c r="U1274" s="140"/>
      <c r="V1274" s="140"/>
      <c r="W1274" s="140"/>
      <c r="X1274" s="140"/>
      <c r="Y1274" s="140"/>
      <c r="Z1274" s="140"/>
      <c r="AA1274" s="141"/>
      <c r="AE1274" s="140"/>
      <c r="AI1274" s="141"/>
      <c r="AM1274" s="141"/>
      <c r="AQ1274" s="141"/>
      <c r="AT1274" s="140"/>
      <c r="AU1274" s="140"/>
    </row>
    <row r="1275" spans="2:47" s="134" customFormat="1" x14ac:dyDescent="0.2">
      <c r="B1275" s="145"/>
      <c r="D1275" s="679"/>
      <c r="J1275" s="140"/>
      <c r="K1275" s="140"/>
      <c r="L1275" s="140"/>
      <c r="M1275" s="140"/>
      <c r="N1275" s="140"/>
      <c r="O1275" s="140"/>
      <c r="P1275" s="140"/>
      <c r="Q1275" s="140"/>
      <c r="R1275" s="140"/>
      <c r="S1275" s="140"/>
      <c r="T1275" s="140"/>
      <c r="U1275" s="140"/>
      <c r="V1275" s="140"/>
      <c r="W1275" s="140"/>
      <c r="X1275" s="140"/>
      <c r="Y1275" s="140"/>
      <c r="Z1275" s="140"/>
      <c r="AA1275" s="141"/>
      <c r="AE1275" s="140"/>
      <c r="AI1275" s="141"/>
      <c r="AM1275" s="141"/>
      <c r="AQ1275" s="141"/>
      <c r="AT1275" s="140"/>
      <c r="AU1275" s="140"/>
    </row>
    <row r="1276" spans="2:47" s="134" customFormat="1" x14ac:dyDescent="0.2">
      <c r="B1276" s="145"/>
      <c r="D1276" s="679"/>
      <c r="J1276" s="140"/>
      <c r="K1276" s="140"/>
      <c r="L1276" s="140"/>
      <c r="M1276" s="140"/>
      <c r="N1276" s="140"/>
      <c r="O1276" s="140"/>
      <c r="P1276" s="140"/>
      <c r="Q1276" s="140"/>
      <c r="R1276" s="140"/>
      <c r="S1276" s="140"/>
      <c r="T1276" s="140"/>
      <c r="U1276" s="140"/>
      <c r="V1276" s="140"/>
      <c r="W1276" s="140"/>
      <c r="X1276" s="140"/>
      <c r="Y1276" s="140"/>
      <c r="Z1276" s="140"/>
      <c r="AA1276" s="141"/>
      <c r="AE1276" s="140"/>
      <c r="AI1276" s="141"/>
      <c r="AM1276" s="141"/>
      <c r="AQ1276" s="141"/>
      <c r="AT1276" s="140"/>
      <c r="AU1276" s="140"/>
    </row>
    <row r="1277" spans="2:47" s="134" customFormat="1" x14ac:dyDescent="0.2">
      <c r="B1277" s="145"/>
      <c r="D1277" s="679"/>
      <c r="J1277" s="140"/>
      <c r="K1277" s="140"/>
      <c r="L1277" s="140"/>
      <c r="M1277" s="140"/>
      <c r="N1277" s="140"/>
      <c r="O1277" s="140"/>
      <c r="P1277" s="140"/>
      <c r="Q1277" s="140"/>
      <c r="R1277" s="140"/>
      <c r="S1277" s="140"/>
      <c r="T1277" s="140"/>
      <c r="U1277" s="140"/>
      <c r="V1277" s="140"/>
      <c r="W1277" s="140"/>
      <c r="X1277" s="140"/>
      <c r="Y1277" s="140"/>
      <c r="Z1277" s="140"/>
      <c r="AA1277" s="141"/>
      <c r="AE1277" s="140"/>
      <c r="AI1277" s="141"/>
      <c r="AM1277" s="141"/>
      <c r="AQ1277" s="141"/>
      <c r="AT1277" s="140"/>
      <c r="AU1277" s="140"/>
    </row>
    <row r="1278" spans="2:47" s="134" customFormat="1" x14ac:dyDescent="0.2">
      <c r="B1278" s="145"/>
      <c r="D1278" s="679"/>
      <c r="J1278" s="140"/>
      <c r="K1278" s="140"/>
      <c r="L1278" s="140"/>
      <c r="M1278" s="140"/>
      <c r="N1278" s="140"/>
      <c r="O1278" s="140"/>
      <c r="P1278" s="140"/>
      <c r="Q1278" s="140"/>
      <c r="R1278" s="140"/>
      <c r="S1278" s="140"/>
      <c r="T1278" s="140"/>
      <c r="U1278" s="140"/>
      <c r="V1278" s="140"/>
      <c r="W1278" s="140"/>
      <c r="X1278" s="140"/>
      <c r="Y1278" s="140"/>
      <c r="Z1278" s="140"/>
      <c r="AA1278" s="141"/>
      <c r="AE1278" s="140"/>
      <c r="AI1278" s="141"/>
      <c r="AM1278" s="141"/>
      <c r="AQ1278" s="141"/>
      <c r="AT1278" s="140"/>
      <c r="AU1278" s="140"/>
    </row>
    <row r="1279" spans="2:47" s="134" customFormat="1" x14ac:dyDescent="0.2">
      <c r="B1279" s="145"/>
      <c r="D1279" s="679"/>
      <c r="J1279" s="140"/>
      <c r="K1279" s="140"/>
      <c r="L1279" s="140"/>
      <c r="M1279" s="140"/>
      <c r="N1279" s="140"/>
      <c r="O1279" s="140"/>
      <c r="P1279" s="140"/>
      <c r="Q1279" s="140"/>
      <c r="R1279" s="140"/>
      <c r="S1279" s="140"/>
      <c r="T1279" s="140"/>
      <c r="U1279" s="140"/>
      <c r="V1279" s="140"/>
      <c r="W1279" s="140"/>
      <c r="X1279" s="140"/>
      <c r="Y1279" s="140"/>
      <c r="Z1279" s="140"/>
      <c r="AA1279" s="141"/>
      <c r="AE1279" s="140"/>
      <c r="AI1279" s="141"/>
      <c r="AM1279" s="141"/>
      <c r="AQ1279" s="141"/>
      <c r="AT1279" s="140"/>
      <c r="AU1279" s="140"/>
    </row>
    <row r="1280" spans="2:47" s="134" customFormat="1" x14ac:dyDescent="0.2">
      <c r="B1280" s="145"/>
      <c r="D1280" s="679"/>
      <c r="J1280" s="140"/>
      <c r="K1280" s="140"/>
      <c r="L1280" s="140"/>
      <c r="M1280" s="140"/>
      <c r="N1280" s="140"/>
      <c r="O1280" s="140"/>
      <c r="P1280" s="140"/>
      <c r="Q1280" s="140"/>
      <c r="R1280" s="140"/>
      <c r="S1280" s="140"/>
      <c r="T1280" s="140"/>
      <c r="U1280" s="140"/>
      <c r="V1280" s="140"/>
      <c r="W1280" s="140"/>
      <c r="X1280" s="140"/>
      <c r="Y1280" s="140"/>
      <c r="Z1280" s="140"/>
      <c r="AA1280" s="141"/>
      <c r="AE1280" s="140"/>
      <c r="AI1280" s="141"/>
      <c r="AM1280" s="141"/>
      <c r="AQ1280" s="141"/>
      <c r="AT1280" s="140"/>
      <c r="AU1280" s="140"/>
    </row>
    <row r="1281" spans="2:47" s="134" customFormat="1" x14ac:dyDescent="0.2">
      <c r="B1281" s="145"/>
      <c r="D1281" s="679"/>
      <c r="J1281" s="140"/>
      <c r="K1281" s="140"/>
      <c r="L1281" s="140"/>
      <c r="M1281" s="140"/>
      <c r="N1281" s="140"/>
      <c r="O1281" s="140"/>
      <c r="P1281" s="140"/>
      <c r="Q1281" s="140"/>
      <c r="R1281" s="140"/>
      <c r="S1281" s="140"/>
      <c r="T1281" s="140"/>
      <c r="U1281" s="140"/>
      <c r="V1281" s="140"/>
      <c r="W1281" s="140"/>
      <c r="X1281" s="140"/>
      <c r="Y1281" s="140"/>
      <c r="Z1281" s="140"/>
      <c r="AA1281" s="141"/>
      <c r="AE1281" s="140"/>
      <c r="AI1281" s="141"/>
      <c r="AM1281" s="141"/>
      <c r="AQ1281" s="141"/>
      <c r="AT1281" s="140"/>
      <c r="AU1281" s="140"/>
    </row>
    <row r="1282" spans="2:47" s="134" customFormat="1" x14ac:dyDescent="0.2">
      <c r="B1282" s="145"/>
      <c r="D1282" s="679"/>
      <c r="J1282" s="140"/>
      <c r="K1282" s="140"/>
      <c r="L1282" s="140"/>
      <c r="M1282" s="140"/>
      <c r="N1282" s="140"/>
      <c r="O1282" s="140"/>
      <c r="P1282" s="140"/>
      <c r="Q1282" s="140"/>
      <c r="R1282" s="140"/>
      <c r="S1282" s="140"/>
      <c r="T1282" s="140"/>
      <c r="U1282" s="140"/>
      <c r="V1282" s="140"/>
      <c r="W1282" s="140"/>
      <c r="X1282" s="140"/>
      <c r="Y1282" s="140"/>
      <c r="Z1282" s="140"/>
      <c r="AA1282" s="141"/>
      <c r="AE1282" s="140"/>
      <c r="AI1282" s="141"/>
      <c r="AM1282" s="141"/>
      <c r="AQ1282" s="141"/>
      <c r="AT1282" s="140"/>
      <c r="AU1282" s="140"/>
    </row>
    <row r="1283" spans="2:47" s="134" customFormat="1" x14ac:dyDescent="0.2">
      <c r="B1283" s="145"/>
      <c r="D1283" s="679"/>
      <c r="J1283" s="140"/>
      <c r="K1283" s="140"/>
      <c r="L1283" s="140"/>
      <c r="M1283" s="140"/>
      <c r="N1283" s="140"/>
      <c r="O1283" s="140"/>
      <c r="P1283" s="140"/>
      <c r="Q1283" s="140"/>
      <c r="R1283" s="140"/>
      <c r="S1283" s="140"/>
      <c r="T1283" s="140"/>
      <c r="U1283" s="140"/>
      <c r="V1283" s="140"/>
      <c r="W1283" s="140"/>
      <c r="X1283" s="140"/>
      <c r="Y1283" s="140"/>
      <c r="Z1283" s="140"/>
      <c r="AA1283" s="141"/>
      <c r="AE1283" s="140"/>
      <c r="AI1283" s="141"/>
      <c r="AM1283" s="141"/>
      <c r="AQ1283" s="141"/>
      <c r="AT1283" s="140"/>
      <c r="AU1283" s="140"/>
    </row>
    <row r="1284" spans="2:47" s="134" customFormat="1" x14ac:dyDescent="0.2">
      <c r="B1284" s="145"/>
      <c r="D1284" s="679"/>
      <c r="J1284" s="140"/>
      <c r="K1284" s="140"/>
      <c r="L1284" s="140"/>
      <c r="M1284" s="140"/>
      <c r="N1284" s="140"/>
      <c r="O1284" s="140"/>
      <c r="P1284" s="140"/>
      <c r="Q1284" s="140"/>
      <c r="R1284" s="140"/>
      <c r="S1284" s="140"/>
      <c r="T1284" s="140"/>
      <c r="U1284" s="140"/>
      <c r="V1284" s="140"/>
      <c r="W1284" s="140"/>
      <c r="X1284" s="140"/>
      <c r="Y1284" s="140"/>
      <c r="Z1284" s="140"/>
      <c r="AA1284" s="141"/>
      <c r="AE1284" s="140"/>
      <c r="AI1284" s="141"/>
      <c r="AM1284" s="141"/>
      <c r="AQ1284" s="141"/>
      <c r="AT1284" s="140"/>
      <c r="AU1284" s="140"/>
    </row>
    <row r="1285" spans="2:47" s="134" customFormat="1" x14ac:dyDescent="0.2">
      <c r="B1285" s="145"/>
      <c r="D1285" s="679"/>
      <c r="J1285" s="140"/>
      <c r="K1285" s="140"/>
      <c r="L1285" s="140"/>
      <c r="M1285" s="140"/>
      <c r="N1285" s="140"/>
      <c r="O1285" s="140"/>
      <c r="P1285" s="140"/>
      <c r="Q1285" s="140"/>
      <c r="R1285" s="140"/>
      <c r="S1285" s="140"/>
      <c r="T1285" s="140"/>
      <c r="U1285" s="140"/>
      <c r="V1285" s="140"/>
      <c r="W1285" s="140"/>
      <c r="X1285" s="140"/>
      <c r="Y1285" s="140"/>
      <c r="Z1285" s="140"/>
      <c r="AA1285" s="141"/>
      <c r="AE1285" s="140"/>
      <c r="AI1285" s="141"/>
      <c r="AM1285" s="141"/>
      <c r="AQ1285" s="141"/>
      <c r="AT1285" s="140"/>
      <c r="AU1285" s="140"/>
    </row>
    <row r="1286" spans="2:47" s="134" customFormat="1" x14ac:dyDescent="0.2">
      <c r="B1286" s="145"/>
      <c r="D1286" s="679"/>
      <c r="J1286" s="140"/>
      <c r="K1286" s="140"/>
      <c r="L1286" s="140"/>
      <c r="M1286" s="140"/>
      <c r="N1286" s="140"/>
      <c r="O1286" s="140"/>
      <c r="P1286" s="140"/>
      <c r="Q1286" s="140"/>
      <c r="R1286" s="140"/>
      <c r="S1286" s="140"/>
      <c r="T1286" s="140"/>
      <c r="U1286" s="140"/>
      <c r="V1286" s="140"/>
      <c r="W1286" s="140"/>
      <c r="X1286" s="140"/>
      <c r="Y1286" s="140"/>
      <c r="Z1286" s="140"/>
      <c r="AA1286" s="141"/>
      <c r="AE1286" s="140"/>
      <c r="AI1286" s="141"/>
      <c r="AM1286" s="141"/>
      <c r="AQ1286" s="141"/>
      <c r="AT1286" s="140"/>
      <c r="AU1286" s="140"/>
    </row>
    <row r="1287" spans="2:47" s="134" customFormat="1" x14ac:dyDescent="0.2">
      <c r="B1287" s="145"/>
      <c r="D1287" s="679"/>
      <c r="J1287" s="140"/>
      <c r="K1287" s="140"/>
      <c r="L1287" s="140"/>
      <c r="M1287" s="140"/>
      <c r="N1287" s="140"/>
      <c r="O1287" s="140"/>
      <c r="P1287" s="140"/>
      <c r="Q1287" s="140"/>
      <c r="R1287" s="140"/>
      <c r="S1287" s="140"/>
      <c r="T1287" s="140"/>
      <c r="U1287" s="140"/>
      <c r="V1287" s="140"/>
      <c r="W1287" s="140"/>
      <c r="X1287" s="140"/>
      <c r="Y1287" s="140"/>
      <c r="Z1287" s="140"/>
      <c r="AA1287" s="141"/>
      <c r="AE1287" s="140"/>
      <c r="AI1287" s="141"/>
      <c r="AM1287" s="141"/>
      <c r="AQ1287" s="141"/>
      <c r="AT1287" s="140"/>
      <c r="AU1287" s="140"/>
    </row>
    <row r="1288" spans="2:47" s="134" customFormat="1" x14ac:dyDescent="0.2">
      <c r="B1288" s="145"/>
      <c r="D1288" s="679"/>
      <c r="J1288" s="140"/>
      <c r="K1288" s="140"/>
      <c r="L1288" s="140"/>
      <c r="M1288" s="140"/>
      <c r="N1288" s="140"/>
      <c r="O1288" s="140"/>
      <c r="P1288" s="140"/>
      <c r="Q1288" s="140"/>
      <c r="R1288" s="140"/>
      <c r="S1288" s="140"/>
      <c r="T1288" s="140"/>
      <c r="U1288" s="140"/>
      <c r="V1288" s="140"/>
      <c r="W1288" s="140"/>
      <c r="X1288" s="140"/>
      <c r="Y1288" s="140"/>
      <c r="Z1288" s="140"/>
      <c r="AA1288" s="141"/>
      <c r="AE1288" s="140"/>
      <c r="AI1288" s="141"/>
      <c r="AM1288" s="141"/>
      <c r="AQ1288" s="141"/>
      <c r="AT1288" s="140"/>
      <c r="AU1288" s="140"/>
    </row>
    <row r="1289" spans="2:47" s="134" customFormat="1" x14ac:dyDescent="0.2">
      <c r="B1289" s="145"/>
      <c r="D1289" s="679"/>
      <c r="J1289" s="140"/>
      <c r="K1289" s="140"/>
      <c r="L1289" s="140"/>
      <c r="M1289" s="140"/>
      <c r="N1289" s="140"/>
      <c r="O1289" s="140"/>
      <c r="P1289" s="140"/>
      <c r="Q1289" s="140"/>
      <c r="R1289" s="140"/>
      <c r="S1289" s="140"/>
      <c r="T1289" s="140"/>
      <c r="U1289" s="140"/>
      <c r="V1289" s="140"/>
      <c r="W1289" s="140"/>
      <c r="X1289" s="140"/>
      <c r="Y1289" s="140"/>
      <c r="Z1289" s="140"/>
      <c r="AA1289" s="141"/>
      <c r="AE1289" s="140"/>
      <c r="AI1289" s="141"/>
      <c r="AM1289" s="141"/>
      <c r="AQ1289" s="141"/>
      <c r="AT1289" s="140"/>
      <c r="AU1289" s="140"/>
    </row>
    <row r="1290" spans="2:47" s="134" customFormat="1" x14ac:dyDescent="0.2">
      <c r="B1290" s="145"/>
      <c r="D1290" s="679"/>
      <c r="J1290" s="140"/>
      <c r="K1290" s="140"/>
      <c r="L1290" s="140"/>
      <c r="M1290" s="140"/>
      <c r="N1290" s="140"/>
      <c r="O1290" s="140"/>
      <c r="P1290" s="140"/>
      <c r="Q1290" s="140"/>
      <c r="R1290" s="140"/>
      <c r="S1290" s="140"/>
      <c r="T1290" s="140"/>
      <c r="U1290" s="140"/>
      <c r="V1290" s="140"/>
      <c r="W1290" s="140"/>
      <c r="X1290" s="140"/>
      <c r="Y1290" s="140"/>
      <c r="Z1290" s="140"/>
      <c r="AA1290" s="141"/>
      <c r="AE1290" s="140"/>
      <c r="AI1290" s="141"/>
      <c r="AM1290" s="141"/>
      <c r="AQ1290" s="141"/>
      <c r="AT1290" s="140"/>
      <c r="AU1290" s="140"/>
    </row>
    <row r="1291" spans="2:47" s="134" customFormat="1" x14ac:dyDescent="0.2">
      <c r="B1291" s="145"/>
      <c r="D1291" s="679"/>
      <c r="J1291" s="140"/>
      <c r="K1291" s="140"/>
      <c r="L1291" s="140"/>
      <c r="M1291" s="140"/>
      <c r="N1291" s="140"/>
      <c r="O1291" s="140"/>
      <c r="P1291" s="140"/>
      <c r="Q1291" s="140"/>
      <c r="R1291" s="140"/>
      <c r="S1291" s="140"/>
      <c r="T1291" s="140"/>
      <c r="U1291" s="140"/>
      <c r="V1291" s="140"/>
      <c r="W1291" s="140"/>
      <c r="X1291" s="140"/>
      <c r="Y1291" s="140"/>
      <c r="Z1291" s="140"/>
      <c r="AA1291" s="141"/>
      <c r="AE1291" s="140"/>
      <c r="AI1291" s="141"/>
      <c r="AM1291" s="141"/>
      <c r="AQ1291" s="141"/>
      <c r="AT1291" s="140"/>
      <c r="AU1291" s="140"/>
    </row>
    <row r="1292" spans="2:47" s="134" customFormat="1" x14ac:dyDescent="0.2">
      <c r="B1292" s="145"/>
      <c r="D1292" s="679"/>
      <c r="J1292" s="140"/>
      <c r="K1292" s="140"/>
      <c r="L1292" s="140"/>
      <c r="M1292" s="140"/>
      <c r="N1292" s="140"/>
      <c r="O1292" s="140"/>
      <c r="P1292" s="140"/>
      <c r="Q1292" s="140"/>
      <c r="R1292" s="140"/>
      <c r="S1292" s="140"/>
      <c r="T1292" s="140"/>
      <c r="U1292" s="140"/>
      <c r="V1292" s="140"/>
      <c r="W1292" s="140"/>
      <c r="X1292" s="140"/>
      <c r="Y1292" s="140"/>
      <c r="Z1292" s="140"/>
      <c r="AA1292" s="141"/>
      <c r="AE1292" s="140"/>
      <c r="AI1292" s="141"/>
      <c r="AM1292" s="141"/>
      <c r="AQ1292" s="141"/>
      <c r="AT1292" s="140"/>
      <c r="AU1292" s="140"/>
    </row>
    <row r="1293" spans="2:47" s="134" customFormat="1" x14ac:dyDescent="0.2">
      <c r="B1293" s="145"/>
      <c r="D1293" s="679"/>
      <c r="J1293" s="140"/>
      <c r="K1293" s="140"/>
      <c r="L1293" s="140"/>
      <c r="M1293" s="140"/>
      <c r="N1293" s="140"/>
      <c r="O1293" s="140"/>
      <c r="P1293" s="140"/>
      <c r="Q1293" s="140"/>
      <c r="R1293" s="140"/>
      <c r="S1293" s="140"/>
      <c r="T1293" s="140"/>
      <c r="U1293" s="140"/>
      <c r="V1293" s="140"/>
      <c r="W1293" s="140"/>
      <c r="X1293" s="140"/>
      <c r="Y1293" s="140"/>
      <c r="Z1293" s="140"/>
      <c r="AA1293" s="141"/>
      <c r="AE1293" s="140"/>
      <c r="AI1293" s="141"/>
      <c r="AM1293" s="141"/>
      <c r="AQ1293" s="141"/>
      <c r="AT1293" s="140"/>
      <c r="AU1293" s="140"/>
    </row>
    <row r="1294" spans="2:47" s="134" customFormat="1" x14ac:dyDescent="0.2">
      <c r="B1294" s="145"/>
      <c r="D1294" s="679"/>
      <c r="J1294" s="140"/>
      <c r="K1294" s="140"/>
      <c r="L1294" s="140"/>
      <c r="M1294" s="140"/>
      <c r="N1294" s="140"/>
      <c r="O1294" s="140"/>
      <c r="P1294" s="140"/>
      <c r="Q1294" s="140"/>
      <c r="R1294" s="140"/>
      <c r="S1294" s="140"/>
      <c r="T1294" s="140"/>
      <c r="U1294" s="140"/>
      <c r="V1294" s="140"/>
      <c r="W1294" s="140"/>
      <c r="X1294" s="140"/>
      <c r="Y1294" s="140"/>
      <c r="Z1294" s="140"/>
      <c r="AA1294" s="141"/>
      <c r="AE1294" s="140"/>
      <c r="AI1294" s="141"/>
      <c r="AM1294" s="141"/>
      <c r="AQ1294" s="141"/>
      <c r="AT1294" s="140"/>
      <c r="AU1294" s="140"/>
    </row>
    <row r="1295" spans="2:47" s="134" customFormat="1" x14ac:dyDescent="0.2">
      <c r="B1295" s="145"/>
      <c r="D1295" s="679"/>
      <c r="J1295" s="140"/>
      <c r="K1295" s="140"/>
      <c r="L1295" s="140"/>
      <c r="M1295" s="140"/>
      <c r="N1295" s="140"/>
      <c r="O1295" s="140"/>
      <c r="P1295" s="140"/>
      <c r="Q1295" s="140"/>
      <c r="R1295" s="140"/>
      <c r="S1295" s="140"/>
      <c r="T1295" s="140"/>
      <c r="U1295" s="140"/>
      <c r="V1295" s="140"/>
      <c r="W1295" s="140"/>
      <c r="X1295" s="140"/>
      <c r="Y1295" s="140"/>
      <c r="Z1295" s="140"/>
      <c r="AA1295" s="141"/>
      <c r="AE1295" s="140"/>
      <c r="AI1295" s="141"/>
      <c r="AM1295" s="141"/>
      <c r="AQ1295" s="141"/>
      <c r="AT1295" s="140"/>
      <c r="AU1295" s="140"/>
    </row>
    <row r="1296" spans="2:47" s="134" customFormat="1" x14ac:dyDescent="0.2">
      <c r="B1296" s="145"/>
      <c r="D1296" s="679"/>
      <c r="J1296" s="140"/>
      <c r="K1296" s="140"/>
      <c r="L1296" s="140"/>
      <c r="M1296" s="140"/>
      <c r="N1296" s="140"/>
      <c r="O1296" s="140"/>
      <c r="P1296" s="140"/>
      <c r="Q1296" s="140"/>
      <c r="R1296" s="140"/>
      <c r="S1296" s="140"/>
      <c r="T1296" s="140"/>
      <c r="U1296" s="140"/>
      <c r="V1296" s="140"/>
      <c r="W1296" s="140"/>
      <c r="X1296" s="140"/>
      <c r="Y1296" s="140"/>
      <c r="Z1296" s="140"/>
      <c r="AA1296" s="141"/>
      <c r="AE1296" s="140"/>
      <c r="AI1296" s="141"/>
      <c r="AM1296" s="141"/>
      <c r="AQ1296" s="141"/>
      <c r="AT1296" s="140"/>
      <c r="AU1296" s="140"/>
    </row>
    <row r="1297" spans="2:47" s="134" customFormat="1" x14ac:dyDescent="0.2">
      <c r="B1297" s="145"/>
      <c r="D1297" s="679"/>
      <c r="J1297" s="140"/>
      <c r="K1297" s="140"/>
      <c r="L1297" s="140"/>
      <c r="M1297" s="140"/>
      <c r="N1297" s="140"/>
      <c r="O1297" s="140"/>
      <c r="P1297" s="140"/>
      <c r="Q1297" s="140"/>
      <c r="R1297" s="140"/>
      <c r="S1297" s="140"/>
      <c r="T1297" s="140"/>
      <c r="U1297" s="140"/>
      <c r="V1297" s="140"/>
      <c r="W1297" s="140"/>
      <c r="X1297" s="140"/>
      <c r="Y1297" s="140"/>
      <c r="Z1297" s="140"/>
      <c r="AA1297" s="141"/>
      <c r="AE1297" s="140"/>
      <c r="AI1297" s="141"/>
      <c r="AM1297" s="141"/>
      <c r="AQ1297" s="141"/>
      <c r="AT1297" s="140"/>
      <c r="AU1297" s="140"/>
    </row>
    <row r="1298" spans="2:47" s="134" customFormat="1" x14ac:dyDescent="0.2">
      <c r="B1298" s="145"/>
      <c r="D1298" s="679"/>
      <c r="J1298" s="140"/>
      <c r="K1298" s="140"/>
      <c r="L1298" s="140"/>
      <c r="M1298" s="140"/>
      <c r="N1298" s="140"/>
      <c r="O1298" s="140"/>
      <c r="P1298" s="140"/>
      <c r="Q1298" s="140"/>
      <c r="R1298" s="140"/>
      <c r="S1298" s="140"/>
      <c r="T1298" s="140"/>
      <c r="U1298" s="140"/>
      <c r="V1298" s="140"/>
      <c r="W1298" s="140"/>
      <c r="X1298" s="140"/>
      <c r="Y1298" s="140"/>
      <c r="Z1298" s="140"/>
      <c r="AA1298" s="141"/>
      <c r="AE1298" s="140"/>
      <c r="AI1298" s="141"/>
      <c r="AM1298" s="141"/>
      <c r="AQ1298" s="141"/>
      <c r="AT1298" s="140"/>
      <c r="AU1298" s="140"/>
    </row>
    <row r="1299" spans="2:47" s="134" customFormat="1" x14ac:dyDescent="0.2">
      <c r="B1299" s="145"/>
      <c r="D1299" s="679"/>
      <c r="J1299" s="140"/>
      <c r="K1299" s="140"/>
      <c r="L1299" s="140"/>
      <c r="M1299" s="140"/>
      <c r="N1299" s="140"/>
      <c r="O1299" s="140"/>
      <c r="P1299" s="140"/>
      <c r="Q1299" s="140"/>
      <c r="R1299" s="140"/>
      <c r="S1299" s="140"/>
      <c r="T1299" s="140"/>
      <c r="U1299" s="140"/>
      <c r="V1299" s="140"/>
      <c r="W1299" s="140"/>
      <c r="X1299" s="140"/>
      <c r="Y1299" s="140"/>
      <c r="Z1299" s="140"/>
      <c r="AA1299" s="141"/>
      <c r="AE1299" s="140"/>
      <c r="AI1299" s="141"/>
      <c r="AM1299" s="141"/>
      <c r="AQ1299" s="141"/>
      <c r="AT1299" s="140"/>
      <c r="AU1299" s="140"/>
    </row>
    <row r="1300" spans="2:47" s="134" customFormat="1" x14ac:dyDescent="0.2">
      <c r="B1300" s="145"/>
      <c r="D1300" s="679"/>
      <c r="J1300" s="140"/>
      <c r="K1300" s="140"/>
      <c r="L1300" s="140"/>
      <c r="M1300" s="140"/>
      <c r="N1300" s="140"/>
      <c r="O1300" s="140"/>
      <c r="P1300" s="140"/>
      <c r="Q1300" s="140"/>
      <c r="R1300" s="140"/>
      <c r="S1300" s="140"/>
      <c r="T1300" s="140"/>
      <c r="U1300" s="140"/>
      <c r="V1300" s="140"/>
      <c r="W1300" s="140"/>
      <c r="X1300" s="140"/>
      <c r="Y1300" s="140"/>
      <c r="Z1300" s="140"/>
      <c r="AA1300" s="141"/>
      <c r="AE1300" s="140"/>
      <c r="AI1300" s="141"/>
      <c r="AM1300" s="141"/>
      <c r="AQ1300" s="141"/>
      <c r="AT1300" s="140"/>
      <c r="AU1300" s="140"/>
    </row>
    <row r="1301" spans="2:47" s="134" customFormat="1" x14ac:dyDescent="0.2">
      <c r="B1301" s="145"/>
      <c r="D1301" s="679"/>
      <c r="J1301" s="140"/>
      <c r="K1301" s="140"/>
      <c r="L1301" s="140"/>
      <c r="M1301" s="140"/>
      <c r="N1301" s="140"/>
      <c r="O1301" s="140"/>
      <c r="P1301" s="140"/>
      <c r="Q1301" s="140"/>
      <c r="R1301" s="140"/>
      <c r="S1301" s="140"/>
      <c r="T1301" s="140"/>
      <c r="U1301" s="140"/>
      <c r="V1301" s="140"/>
      <c r="W1301" s="140"/>
      <c r="X1301" s="140"/>
      <c r="Y1301" s="140"/>
      <c r="Z1301" s="140"/>
      <c r="AA1301" s="141"/>
      <c r="AE1301" s="140"/>
      <c r="AI1301" s="141"/>
      <c r="AM1301" s="141"/>
      <c r="AQ1301" s="141"/>
      <c r="AT1301" s="140"/>
      <c r="AU1301" s="140"/>
    </row>
    <row r="1302" spans="2:47" s="134" customFormat="1" x14ac:dyDescent="0.2">
      <c r="B1302" s="145"/>
      <c r="D1302" s="679"/>
      <c r="J1302" s="140"/>
      <c r="K1302" s="140"/>
      <c r="L1302" s="140"/>
      <c r="M1302" s="140"/>
      <c r="N1302" s="140"/>
      <c r="O1302" s="140"/>
      <c r="P1302" s="140"/>
      <c r="Q1302" s="140"/>
      <c r="R1302" s="140"/>
      <c r="S1302" s="140"/>
      <c r="T1302" s="140"/>
      <c r="U1302" s="140"/>
      <c r="V1302" s="140"/>
      <c r="W1302" s="140"/>
      <c r="X1302" s="140"/>
      <c r="Y1302" s="140"/>
      <c r="Z1302" s="140"/>
      <c r="AA1302" s="141"/>
      <c r="AE1302" s="140"/>
      <c r="AI1302" s="141"/>
      <c r="AM1302" s="141"/>
      <c r="AQ1302" s="141"/>
      <c r="AT1302" s="140"/>
      <c r="AU1302" s="140"/>
    </row>
    <row r="1303" spans="2:47" s="134" customFormat="1" x14ac:dyDescent="0.2">
      <c r="B1303" s="145"/>
      <c r="D1303" s="679"/>
      <c r="J1303" s="140"/>
      <c r="K1303" s="140"/>
      <c r="L1303" s="140"/>
      <c r="M1303" s="140"/>
      <c r="N1303" s="140"/>
      <c r="O1303" s="140"/>
      <c r="P1303" s="140"/>
      <c r="Q1303" s="140"/>
      <c r="R1303" s="140"/>
      <c r="S1303" s="140"/>
      <c r="T1303" s="140"/>
      <c r="U1303" s="140"/>
      <c r="V1303" s="140"/>
      <c r="W1303" s="140"/>
      <c r="X1303" s="140"/>
      <c r="Y1303" s="140"/>
      <c r="Z1303" s="140"/>
      <c r="AA1303" s="141"/>
      <c r="AE1303" s="140"/>
      <c r="AI1303" s="141"/>
      <c r="AM1303" s="141"/>
      <c r="AQ1303" s="141"/>
      <c r="AT1303" s="140"/>
      <c r="AU1303" s="140"/>
    </row>
    <row r="1304" spans="2:47" s="134" customFormat="1" x14ac:dyDescent="0.2">
      <c r="B1304" s="145"/>
      <c r="D1304" s="679"/>
      <c r="J1304" s="140"/>
      <c r="K1304" s="140"/>
      <c r="L1304" s="140"/>
      <c r="M1304" s="140"/>
      <c r="N1304" s="140"/>
      <c r="O1304" s="140"/>
      <c r="P1304" s="140"/>
      <c r="Q1304" s="140"/>
      <c r="R1304" s="140"/>
      <c r="S1304" s="140"/>
      <c r="T1304" s="140"/>
      <c r="U1304" s="140"/>
      <c r="V1304" s="140"/>
      <c r="W1304" s="140"/>
      <c r="X1304" s="140"/>
      <c r="Y1304" s="140"/>
      <c r="Z1304" s="140"/>
      <c r="AA1304" s="141"/>
      <c r="AE1304" s="140"/>
      <c r="AI1304" s="141"/>
      <c r="AM1304" s="141"/>
      <c r="AQ1304" s="141"/>
      <c r="AT1304" s="140"/>
      <c r="AU1304" s="140"/>
    </row>
    <row r="1305" spans="2:47" s="134" customFormat="1" x14ac:dyDescent="0.2">
      <c r="B1305" s="145"/>
      <c r="D1305" s="679"/>
      <c r="J1305" s="140"/>
      <c r="K1305" s="140"/>
      <c r="L1305" s="140"/>
      <c r="M1305" s="140"/>
      <c r="N1305" s="140"/>
      <c r="O1305" s="140"/>
      <c r="P1305" s="140"/>
      <c r="Q1305" s="140"/>
      <c r="R1305" s="140"/>
      <c r="S1305" s="140"/>
      <c r="T1305" s="140"/>
      <c r="U1305" s="140"/>
      <c r="V1305" s="140"/>
      <c r="W1305" s="140"/>
      <c r="X1305" s="140"/>
      <c r="Y1305" s="140"/>
      <c r="Z1305" s="140"/>
      <c r="AA1305" s="141"/>
      <c r="AE1305" s="140"/>
      <c r="AI1305" s="141"/>
      <c r="AM1305" s="141"/>
      <c r="AQ1305" s="141"/>
      <c r="AT1305" s="140"/>
      <c r="AU1305" s="140"/>
    </row>
    <row r="1306" spans="2:47" s="134" customFormat="1" x14ac:dyDescent="0.2">
      <c r="B1306" s="145"/>
      <c r="D1306" s="679"/>
      <c r="J1306" s="140"/>
      <c r="K1306" s="140"/>
      <c r="L1306" s="140"/>
      <c r="M1306" s="140"/>
      <c r="N1306" s="140"/>
      <c r="O1306" s="140"/>
      <c r="P1306" s="140"/>
      <c r="Q1306" s="140"/>
      <c r="R1306" s="140"/>
      <c r="S1306" s="140"/>
      <c r="T1306" s="140"/>
      <c r="U1306" s="140"/>
      <c r="V1306" s="140"/>
      <c r="W1306" s="140"/>
      <c r="X1306" s="140"/>
      <c r="Y1306" s="140"/>
      <c r="Z1306" s="140"/>
      <c r="AA1306" s="141"/>
      <c r="AE1306" s="140"/>
      <c r="AI1306" s="141"/>
      <c r="AM1306" s="141"/>
      <c r="AQ1306" s="141"/>
      <c r="AT1306" s="140"/>
      <c r="AU1306" s="140"/>
    </row>
    <row r="1307" spans="2:47" s="134" customFormat="1" x14ac:dyDescent="0.2">
      <c r="B1307" s="145"/>
      <c r="D1307" s="679"/>
      <c r="J1307" s="140"/>
      <c r="K1307" s="140"/>
      <c r="L1307" s="140"/>
      <c r="M1307" s="140"/>
      <c r="N1307" s="140"/>
      <c r="O1307" s="140"/>
      <c r="P1307" s="140"/>
      <c r="Q1307" s="140"/>
      <c r="R1307" s="140"/>
      <c r="S1307" s="140"/>
      <c r="T1307" s="140"/>
      <c r="U1307" s="140"/>
      <c r="V1307" s="140"/>
      <c r="W1307" s="140"/>
      <c r="X1307" s="140"/>
      <c r="Y1307" s="140"/>
      <c r="Z1307" s="140"/>
      <c r="AA1307" s="141"/>
      <c r="AE1307" s="140"/>
      <c r="AI1307" s="141"/>
      <c r="AM1307" s="141"/>
      <c r="AQ1307" s="141"/>
      <c r="AT1307" s="140"/>
      <c r="AU1307" s="140"/>
    </row>
    <row r="1308" spans="2:47" s="134" customFormat="1" x14ac:dyDescent="0.2">
      <c r="B1308" s="145"/>
      <c r="D1308" s="679"/>
      <c r="J1308" s="140"/>
      <c r="K1308" s="140"/>
      <c r="L1308" s="140"/>
      <c r="M1308" s="140"/>
      <c r="N1308" s="140"/>
      <c r="O1308" s="140"/>
      <c r="P1308" s="140"/>
      <c r="Q1308" s="140"/>
      <c r="R1308" s="140"/>
      <c r="S1308" s="140"/>
      <c r="T1308" s="140"/>
      <c r="U1308" s="140"/>
      <c r="V1308" s="140"/>
      <c r="W1308" s="140"/>
      <c r="X1308" s="140"/>
      <c r="Y1308" s="140"/>
      <c r="Z1308" s="140"/>
      <c r="AA1308" s="141"/>
      <c r="AE1308" s="140"/>
      <c r="AI1308" s="141"/>
      <c r="AM1308" s="141"/>
      <c r="AQ1308" s="141"/>
      <c r="AT1308" s="140"/>
      <c r="AU1308" s="140"/>
    </row>
    <row r="1309" spans="2:47" s="134" customFormat="1" x14ac:dyDescent="0.2">
      <c r="B1309" s="145"/>
      <c r="D1309" s="679"/>
      <c r="J1309" s="140"/>
      <c r="K1309" s="140"/>
      <c r="L1309" s="140"/>
      <c r="M1309" s="140"/>
      <c r="N1309" s="140"/>
      <c r="O1309" s="140"/>
      <c r="P1309" s="140"/>
      <c r="Q1309" s="140"/>
      <c r="R1309" s="140"/>
      <c r="S1309" s="140"/>
      <c r="T1309" s="140"/>
      <c r="U1309" s="140"/>
      <c r="V1309" s="140"/>
      <c r="W1309" s="140"/>
      <c r="X1309" s="140"/>
      <c r="Y1309" s="140"/>
      <c r="Z1309" s="140"/>
      <c r="AA1309" s="141"/>
      <c r="AE1309" s="140"/>
      <c r="AI1309" s="141"/>
      <c r="AM1309" s="141"/>
      <c r="AQ1309" s="141"/>
      <c r="AT1309" s="140"/>
      <c r="AU1309" s="140"/>
    </row>
    <row r="1310" spans="2:47" s="134" customFormat="1" x14ac:dyDescent="0.2">
      <c r="B1310" s="145"/>
      <c r="D1310" s="679"/>
      <c r="J1310" s="140"/>
      <c r="K1310" s="140"/>
      <c r="L1310" s="140"/>
      <c r="M1310" s="140"/>
      <c r="N1310" s="140"/>
      <c r="O1310" s="140"/>
      <c r="P1310" s="140"/>
      <c r="Q1310" s="140"/>
      <c r="R1310" s="140"/>
      <c r="S1310" s="140"/>
      <c r="T1310" s="140"/>
      <c r="U1310" s="140"/>
      <c r="V1310" s="140"/>
      <c r="W1310" s="140"/>
      <c r="X1310" s="140"/>
      <c r="Y1310" s="140"/>
      <c r="Z1310" s="140"/>
      <c r="AA1310" s="141"/>
      <c r="AE1310" s="140"/>
      <c r="AI1310" s="141"/>
      <c r="AM1310" s="141"/>
      <c r="AQ1310" s="141"/>
      <c r="AT1310" s="140"/>
      <c r="AU1310" s="140"/>
    </row>
    <row r="1311" spans="2:47" s="134" customFormat="1" x14ac:dyDescent="0.2">
      <c r="B1311" s="145"/>
      <c r="D1311" s="679"/>
      <c r="J1311" s="140"/>
      <c r="K1311" s="140"/>
      <c r="L1311" s="140"/>
      <c r="M1311" s="140"/>
      <c r="N1311" s="140"/>
      <c r="O1311" s="140"/>
      <c r="P1311" s="140"/>
      <c r="Q1311" s="140"/>
      <c r="R1311" s="140"/>
      <c r="S1311" s="140"/>
      <c r="T1311" s="140"/>
      <c r="U1311" s="140"/>
      <c r="V1311" s="140"/>
      <c r="W1311" s="140"/>
      <c r="X1311" s="140"/>
      <c r="Y1311" s="140"/>
      <c r="Z1311" s="140"/>
      <c r="AA1311" s="141"/>
      <c r="AE1311" s="140"/>
      <c r="AI1311" s="141"/>
      <c r="AM1311" s="141"/>
      <c r="AQ1311" s="141"/>
      <c r="AT1311" s="140"/>
      <c r="AU1311" s="140"/>
    </row>
    <row r="1312" spans="2:47" s="134" customFormat="1" x14ac:dyDescent="0.2">
      <c r="B1312" s="145"/>
      <c r="D1312" s="679"/>
      <c r="J1312" s="140"/>
      <c r="K1312" s="140"/>
      <c r="L1312" s="140"/>
      <c r="M1312" s="140"/>
      <c r="N1312" s="140"/>
      <c r="O1312" s="140"/>
      <c r="P1312" s="140"/>
      <c r="Q1312" s="140"/>
      <c r="R1312" s="140"/>
      <c r="S1312" s="140"/>
      <c r="T1312" s="140"/>
      <c r="U1312" s="140"/>
      <c r="V1312" s="140"/>
      <c r="W1312" s="140"/>
      <c r="X1312" s="140"/>
      <c r="Y1312" s="140"/>
      <c r="Z1312" s="140"/>
      <c r="AA1312" s="141"/>
      <c r="AE1312" s="140"/>
      <c r="AI1312" s="141"/>
      <c r="AM1312" s="141"/>
      <c r="AQ1312" s="141"/>
      <c r="AT1312" s="140"/>
      <c r="AU1312" s="140"/>
    </row>
    <row r="1313" spans="2:47" s="134" customFormat="1" x14ac:dyDescent="0.2">
      <c r="B1313" s="145"/>
      <c r="D1313" s="679"/>
      <c r="J1313" s="140"/>
      <c r="K1313" s="140"/>
      <c r="L1313" s="140"/>
      <c r="M1313" s="140"/>
      <c r="N1313" s="140"/>
      <c r="O1313" s="140"/>
      <c r="P1313" s="140"/>
      <c r="Q1313" s="140"/>
      <c r="R1313" s="140"/>
      <c r="S1313" s="140"/>
      <c r="T1313" s="140"/>
      <c r="U1313" s="140"/>
      <c r="V1313" s="140"/>
      <c r="W1313" s="140"/>
      <c r="X1313" s="140"/>
      <c r="Y1313" s="140"/>
      <c r="Z1313" s="140"/>
      <c r="AA1313" s="141"/>
      <c r="AE1313" s="140"/>
      <c r="AI1313" s="141"/>
      <c r="AM1313" s="141"/>
      <c r="AQ1313" s="141"/>
      <c r="AT1313" s="140"/>
      <c r="AU1313" s="140"/>
    </row>
    <row r="1314" spans="2:47" s="134" customFormat="1" x14ac:dyDescent="0.2">
      <c r="B1314" s="145"/>
      <c r="D1314" s="679"/>
      <c r="J1314" s="140"/>
      <c r="K1314" s="140"/>
      <c r="L1314" s="140"/>
      <c r="M1314" s="140"/>
      <c r="N1314" s="140"/>
      <c r="O1314" s="140"/>
      <c r="P1314" s="140"/>
      <c r="Q1314" s="140"/>
      <c r="R1314" s="140"/>
      <c r="S1314" s="140"/>
      <c r="T1314" s="140"/>
      <c r="U1314" s="140"/>
      <c r="V1314" s="140"/>
      <c r="W1314" s="140"/>
      <c r="X1314" s="140"/>
      <c r="Y1314" s="140"/>
      <c r="Z1314" s="140"/>
      <c r="AA1314" s="141"/>
      <c r="AE1314" s="140"/>
      <c r="AI1314" s="141"/>
      <c r="AM1314" s="141"/>
      <c r="AQ1314" s="141"/>
      <c r="AT1314" s="140"/>
      <c r="AU1314" s="140"/>
    </row>
    <row r="1315" spans="2:47" s="134" customFormat="1" x14ac:dyDescent="0.2">
      <c r="B1315" s="145"/>
      <c r="D1315" s="679"/>
      <c r="J1315" s="140"/>
      <c r="K1315" s="140"/>
      <c r="L1315" s="140"/>
      <c r="M1315" s="140"/>
      <c r="N1315" s="140"/>
      <c r="O1315" s="140"/>
      <c r="P1315" s="140"/>
      <c r="Q1315" s="140"/>
      <c r="R1315" s="140"/>
      <c r="S1315" s="140"/>
      <c r="T1315" s="140"/>
      <c r="U1315" s="140"/>
      <c r="V1315" s="140"/>
      <c r="W1315" s="140"/>
      <c r="X1315" s="140"/>
      <c r="Y1315" s="140"/>
      <c r="Z1315" s="140"/>
      <c r="AA1315" s="141"/>
      <c r="AE1315" s="140"/>
      <c r="AI1315" s="141"/>
      <c r="AM1315" s="141"/>
      <c r="AQ1315" s="141"/>
      <c r="AT1315" s="140"/>
      <c r="AU1315" s="140"/>
    </row>
    <row r="1316" spans="2:47" s="134" customFormat="1" x14ac:dyDescent="0.2">
      <c r="B1316" s="145"/>
      <c r="D1316" s="679"/>
      <c r="J1316" s="140"/>
      <c r="K1316" s="140"/>
      <c r="L1316" s="140"/>
      <c r="M1316" s="140"/>
      <c r="N1316" s="140"/>
      <c r="O1316" s="140"/>
      <c r="P1316" s="140"/>
      <c r="Q1316" s="140"/>
      <c r="R1316" s="140"/>
      <c r="S1316" s="140"/>
      <c r="T1316" s="140"/>
      <c r="U1316" s="140"/>
      <c r="V1316" s="140"/>
      <c r="W1316" s="140"/>
      <c r="X1316" s="140"/>
      <c r="Y1316" s="140"/>
      <c r="Z1316" s="140"/>
      <c r="AA1316" s="141"/>
      <c r="AE1316" s="140"/>
      <c r="AI1316" s="141"/>
      <c r="AM1316" s="141"/>
      <c r="AQ1316" s="141"/>
      <c r="AT1316" s="140"/>
      <c r="AU1316" s="140"/>
    </row>
    <row r="1317" spans="2:47" s="134" customFormat="1" x14ac:dyDescent="0.2">
      <c r="B1317" s="145"/>
      <c r="D1317" s="679"/>
      <c r="J1317" s="140"/>
      <c r="K1317" s="140"/>
      <c r="L1317" s="140"/>
      <c r="M1317" s="140"/>
      <c r="N1317" s="140"/>
      <c r="O1317" s="140"/>
      <c r="P1317" s="140"/>
      <c r="Q1317" s="140"/>
      <c r="R1317" s="140"/>
      <c r="S1317" s="140"/>
      <c r="T1317" s="140"/>
      <c r="U1317" s="140"/>
      <c r="V1317" s="140"/>
      <c r="W1317" s="140"/>
      <c r="X1317" s="140"/>
      <c r="Y1317" s="140"/>
      <c r="Z1317" s="140"/>
      <c r="AA1317" s="141"/>
      <c r="AE1317" s="140"/>
      <c r="AI1317" s="141"/>
      <c r="AM1317" s="141"/>
      <c r="AQ1317" s="141"/>
      <c r="AT1317" s="140"/>
      <c r="AU1317" s="140"/>
    </row>
    <row r="1318" spans="2:47" s="134" customFormat="1" x14ac:dyDescent="0.2">
      <c r="B1318" s="145"/>
      <c r="D1318" s="679"/>
      <c r="J1318" s="140"/>
      <c r="K1318" s="140"/>
      <c r="L1318" s="140"/>
      <c r="M1318" s="140"/>
      <c r="N1318" s="140"/>
      <c r="O1318" s="140"/>
      <c r="P1318" s="140"/>
      <c r="Q1318" s="140"/>
      <c r="R1318" s="140"/>
      <c r="S1318" s="140"/>
      <c r="T1318" s="140"/>
      <c r="U1318" s="140"/>
      <c r="V1318" s="140"/>
      <c r="W1318" s="140"/>
      <c r="X1318" s="140"/>
      <c r="Y1318" s="140"/>
      <c r="Z1318" s="140"/>
      <c r="AA1318" s="141"/>
      <c r="AE1318" s="140"/>
      <c r="AI1318" s="141"/>
      <c r="AM1318" s="141"/>
      <c r="AQ1318" s="141"/>
      <c r="AT1318" s="140"/>
      <c r="AU1318" s="140"/>
    </row>
    <row r="1319" spans="2:47" s="134" customFormat="1" x14ac:dyDescent="0.2">
      <c r="B1319" s="145"/>
      <c r="D1319" s="679"/>
      <c r="J1319" s="140"/>
      <c r="K1319" s="140"/>
      <c r="L1319" s="140"/>
      <c r="M1319" s="140"/>
      <c r="N1319" s="140"/>
      <c r="O1319" s="140"/>
      <c r="P1319" s="140"/>
      <c r="Q1319" s="140"/>
      <c r="R1319" s="140"/>
      <c r="S1319" s="140"/>
      <c r="T1319" s="140"/>
      <c r="U1319" s="140"/>
      <c r="V1319" s="140"/>
      <c r="W1319" s="140"/>
      <c r="X1319" s="140"/>
      <c r="Y1319" s="140"/>
      <c r="Z1319" s="140"/>
      <c r="AA1319" s="141"/>
      <c r="AE1319" s="140"/>
      <c r="AI1319" s="141"/>
      <c r="AM1319" s="141"/>
      <c r="AQ1319" s="141"/>
      <c r="AT1319" s="140"/>
      <c r="AU1319" s="140"/>
    </row>
    <row r="1320" spans="2:47" s="134" customFormat="1" x14ac:dyDescent="0.2">
      <c r="B1320" s="145"/>
      <c r="D1320" s="679"/>
      <c r="J1320" s="140"/>
      <c r="K1320" s="140"/>
      <c r="L1320" s="140"/>
      <c r="M1320" s="140"/>
      <c r="N1320" s="140"/>
      <c r="O1320" s="140"/>
      <c r="P1320" s="140"/>
      <c r="Q1320" s="140"/>
      <c r="R1320" s="140"/>
      <c r="S1320" s="140"/>
      <c r="T1320" s="140"/>
      <c r="U1320" s="140"/>
      <c r="V1320" s="140"/>
      <c r="W1320" s="140"/>
      <c r="X1320" s="140"/>
      <c r="Y1320" s="140"/>
      <c r="Z1320" s="140"/>
      <c r="AA1320" s="141"/>
      <c r="AE1320" s="140"/>
      <c r="AI1320" s="141"/>
      <c r="AM1320" s="141"/>
      <c r="AQ1320" s="141"/>
      <c r="AT1320" s="140"/>
      <c r="AU1320" s="140"/>
    </row>
    <row r="1321" spans="2:47" s="134" customFormat="1" x14ac:dyDescent="0.2">
      <c r="B1321" s="145"/>
      <c r="D1321" s="679"/>
      <c r="J1321" s="140"/>
      <c r="K1321" s="140"/>
      <c r="L1321" s="140"/>
      <c r="M1321" s="140"/>
      <c r="N1321" s="140"/>
      <c r="O1321" s="140"/>
      <c r="P1321" s="140"/>
      <c r="Q1321" s="140"/>
      <c r="R1321" s="140"/>
      <c r="S1321" s="140"/>
      <c r="T1321" s="140"/>
      <c r="U1321" s="140"/>
      <c r="V1321" s="140"/>
      <c r="W1321" s="140"/>
      <c r="X1321" s="140"/>
      <c r="Y1321" s="140"/>
      <c r="Z1321" s="140"/>
      <c r="AA1321" s="141"/>
      <c r="AE1321" s="140"/>
      <c r="AI1321" s="141"/>
      <c r="AM1321" s="141"/>
      <c r="AQ1321" s="141"/>
      <c r="AT1321" s="140"/>
      <c r="AU1321" s="140"/>
    </row>
    <row r="1322" spans="2:47" s="134" customFormat="1" x14ac:dyDescent="0.2">
      <c r="B1322" s="145"/>
      <c r="D1322" s="679"/>
      <c r="J1322" s="140"/>
      <c r="K1322" s="140"/>
      <c r="L1322" s="140"/>
      <c r="M1322" s="140"/>
      <c r="N1322" s="140"/>
      <c r="O1322" s="140"/>
      <c r="P1322" s="140"/>
      <c r="Q1322" s="140"/>
      <c r="R1322" s="140"/>
      <c r="S1322" s="140"/>
      <c r="T1322" s="140"/>
      <c r="U1322" s="140"/>
      <c r="V1322" s="140"/>
      <c r="W1322" s="140"/>
      <c r="X1322" s="140"/>
      <c r="Y1322" s="140"/>
      <c r="Z1322" s="140"/>
      <c r="AA1322" s="141"/>
      <c r="AE1322" s="140"/>
      <c r="AI1322" s="141"/>
      <c r="AM1322" s="141"/>
      <c r="AQ1322" s="141"/>
      <c r="AT1322" s="140"/>
      <c r="AU1322" s="140"/>
    </row>
    <row r="1323" spans="2:47" s="134" customFormat="1" x14ac:dyDescent="0.2">
      <c r="B1323" s="145"/>
      <c r="D1323" s="679"/>
      <c r="J1323" s="140"/>
      <c r="K1323" s="140"/>
      <c r="L1323" s="140"/>
      <c r="M1323" s="140"/>
      <c r="N1323" s="140"/>
      <c r="O1323" s="140"/>
      <c r="P1323" s="140"/>
      <c r="Q1323" s="140"/>
      <c r="R1323" s="140"/>
      <c r="S1323" s="140"/>
      <c r="T1323" s="140"/>
      <c r="U1323" s="140"/>
      <c r="V1323" s="140"/>
      <c r="W1323" s="140"/>
      <c r="X1323" s="140"/>
      <c r="Y1323" s="140"/>
      <c r="Z1323" s="140"/>
      <c r="AA1323" s="141"/>
      <c r="AE1323" s="140"/>
      <c r="AI1323" s="141"/>
      <c r="AM1323" s="141"/>
      <c r="AQ1323" s="141"/>
      <c r="AT1323" s="140"/>
      <c r="AU1323" s="140"/>
    </row>
    <row r="1324" spans="2:47" s="134" customFormat="1" x14ac:dyDescent="0.2">
      <c r="B1324" s="145"/>
      <c r="D1324" s="679"/>
      <c r="J1324" s="140"/>
      <c r="K1324" s="140"/>
      <c r="L1324" s="140"/>
      <c r="M1324" s="140"/>
      <c r="N1324" s="140"/>
      <c r="O1324" s="140"/>
      <c r="P1324" s="140"/>
      <c r="Q1324" s="140"/>
      <c r="R1324" s="140"/>
      <c r="S1324" s="140"/>
      <c r="T1324" s="140"/>
      <c r="U1324" s="140"/>
      <c r="V1324" s="140"/>
      <c r="W1324" s="140"/>
      <c r="X1324" s="140"/>
      <c r="Y1324" s="140"/>
      <c r="Z1324" s="140"/>
      <c r="AA1324" s="141"/>
      <c r="AE1324" s="140"/>
      <c r="AI1324" s="141"/>
      <c r="AM1324" s="141"/>
      <c r="AQ1324" s="141"/>
      <c r="AT1324" s="140"/>
      <c r="AU1324" s="140"/>
    </row>
    <row r="1325" spans="2:47" s="134" customFormat="1" x14ac:dyDescent="0.2">
      <c r="B1325" s="145"/>
      <c r="D1325" s="679"/>
      <c r="J1325" s="140"/>
      <c r="K1325" s="140"/>
      <c r="L1325" s="140"/>
      <c r="M1325" s="140"/>
      <c r="N1325" s="140"/>
      <c r="O1325" s="140"/>
      <c r="P1325" s="140"/>
      <c r="Q1325" s="140"/>
      <c r="R1325" s="140"/>
      <c r="S1325" s="140"/>
      <c r="T1325" s="140"/>
      <c r="U1325" s="140"/>
      <c r="V1325" s="140"/>
      <c r="W1325" s="140"/>
      <c r="X1325" s="140"/>
      <c r="Y1325" s="140"/>
      <c r="Z1325" s="140"/>
      <c r="AA1325" s="141"/>
      <c r="AE1325" s="140"/>
      <c r="AI1325" s="141"/>
      <c r="AM1325" s="141"/>
      <c r="AQ1325" s="141"/>
      <c r="AT1325" s="140"/>
      <c r="AU1325" s="140"/>
    </row>
    <row r="1326" spans="2:47" s="134" customFormat="1" x14ac:dyDescent="0.2">
      <c r="B1326" s="145"/>
      <c r="D1326" s="679"/>
      <c r="J1326" s="140"/>
      <c r="K1326" s="140"/>
      <c r="L1326" s="140"/>
      <c r="M1326" s="140"/>
      <c r="N1326" s="140"/>
      <c r="O1326" s="140"/>
      <c r="P1326" s="140"/>
      <c r="Q1326" s="140"/>
      <c r="R1326" s="140"/>
      <c r="S1326" s="140"/>
      <c r="T1326" s="140"/>
      <c r="U1326" s="140"/>
      <c r="V1326" s="140"/>
      <c r="W1326" s="140"/>
      <c r="X1326" s="140"/>
      <c r="Y1326" s="140"/>
      <c r="Z1326" s="140"/>
      <c r="AA1326" s="141"/>
      <c r="AE1326" s="140"/>
      <c r="AI1326" s="141"/>
      <c r="AM1326" s="141"/>
      <c r="AQ1326" s="141"/>
      <c r="AT1326" s="140"/>
      <c r="AU1326" s="140"/>
    </row>
    <row r="1327" spans="2:47" s="134" customFormat="1" x14ac:dyDescent="0.2">
      <c r="B1327" s="145"/>
      <c r="D1327" s="679"/>
      <c r="J1327" s="140"/>
      <c r="K1327" s="140"/>
      <c r="L1327" s="140"/>
      <c r="M1327" s="140"/>
      <c r="N1327" s="140"/>
      <c r="O1327" s="140"/>
      <c r="P1327" s="140"/>
      <c r="Q1327" s="140"/>
      <c r="R1327" s="140"/>
      <c r="S1327" s="140"/>
      <c r="T1327" s="140"/>
      <c r="U1327" s="140"/>
      <c r="V1327" s="140"/>
      <c r="W1327" s="140"/>
      <c r="X1327" s="140"/>
      <c r="Y1327" s="140"/>
      <c r="Z1327" s="140"/>
      <c r="AA1327" s="141"/>
      <c r="AE1327" s="140"/>
      <c r="AI1327" s="141"/>
      <c r="AM1327" s="141"/>
      <c r="AQ1327" s="141"/>
      <c r="AT1327" s="140"/>
      <c r="AU1327" s="140"/>
    </row>
    <row r="1328" spans="2:47" s="134" customFormat="1" x14ac:dyDescent="0.2">
      <c r="B1328" s="145"/>
      <c r="D1328" s="679"/>
      <c r="J1328" s="140"/>
      <c r="K1328" s="140"/>
      <c r="L1328" s="140"/>
      <c r="M1328" s="140"/>
      <c r="N1328" s="140"/>
      <c r="O1328" s="140"/>
      <c r="P1328" s="140"/>
      <c r="Q1328" s="140"/>
      <c r="R1328" s="140"/>
      <c r="S1328" s="140"/>
      <c r="T1328" s="140"/>
      <c r="U1328" s="140"/>
      <c r="V1328" s="140"/>
      <c r="W1328" s="140"/>
      <c r="X1328" s="140"/>
      <c r="Y1328" s="140"/>
      <c r="Z1328" s="140"/>
      <c r="AA1328" s="141"/>
      <c r="AE1328" s="140"/>
      <c r="AI1328" s="141"/>
      <c r="AM1328" s="141"/>
      <c r="AQ1328" s="141"/>
      <c r="AT1328" s="140"/>
      <c r="AU1328" s="140"/>
    </row>
    <row r="1329" spans="2:47" s="134" customFormat="1" x14ac:dyDescent="0.2">
      <c r="B1329" s="145"/>
      <c r="D1329" s="679"/>
      <c r="J1329" s="140"/>
      <c r="K1329" s="140"/>
      <c r="L1329" s="140"/>
      <c r="M1329" s="140"/>
      <c r="N1329" s="140"/>
      <c r="O1329" s="140"/>
      <c r="P1329" s="140"/>
      <c r="Q1329" s="140"/>
      <c r="R1329" s="140"/>
      <c r="S1329" s="140"/>
      <c r="T1329" s="140"/>
      <c r="U1329" s="140"/>
      <c r="V1329" s="140"/>
      <c r="W1329" s="140"/>
      <c r="X1329" s="140"/>
      <c r="Y1329" s="140"/>
      <c r="Z1329" s="140"/>
      <c r="AA1329" s="141"/>
      <c r="AE1329" s="140"/>
      <c r="AI1329" s="141"/>
      <c r="AM1329" s="141"/>
      <c r="AQ1329" s="141"/>
      <c r="AT1329" s="140"/>
      <c r="AU1329" s="140"/>
    </row>
    <row r="1330" spans="2:47" s="134" customFormat="1" x14ac:dyDescent="0.2">
      <c r="B1330" s="145"/>
      <c r="D1330" s="679"/>
      <c r="J1330" s="140"/>
      <c r="K1330" s="140"/>
      <c r="L1330" s="140"/>
      <c r="M1330" s="140"/>
      <c r="N1330" s="140"/>
      <c r="O1330" s="140"/>
      <c r="P1330" s="140"/>
      <c r="Q1330" s="140"/>
      <c r="R1330" s="140"/>
      <c r="S1330" s="140"/>
      <c r="T1330" s="140"/>
      <c r="U1330" s="140"/>
      <c r="V1330" s="140"/>
      <c r="W1330" s="140"/>
      <c r="X1330" s="140"/>
      <c r="Y1330" s="140"/>
      <c r="Z1330" s="140"/>
      <c r="AA1330" s="141"/>
      <c r="AE1330" s="140"/>
      <c r="AI1330" s="141"/>
      <c r="AM1330" s="141"/>
      <c r="AQ1330" s="141"/>
      <c r="AT1330" s="140"/>
      <c r="AU1330" s="140"/>
    </row>
    <row r="1331" spans="2:47" s="134" customFormat="1" x14ac:dyDescent="0.2">
      <c r="B1331" s="145"/>
      <c r="D1331" s="679"/>
      <c r="J1331" s="140"/>
      <c r="K1331" s="140"/>
      <c r="L1331" s="140"/>
      <c r="M1331" s="140"/>
      <c r="N1331" s="140"/>
      <c r="O1331" s="140"/>
      <c r="P1331" s="140"/>
      <c r="Q1331" s="140"/>
      <c r="R1331" s="140"/>
      <c r="S1331" s="140"/>
      <c r="T1331" s="140"/>
      <c r="U1331" s="140"/>
      <c r="V1331" s="140"/>
      <c r="W1331" s="140"/>
      <c r="X1331" s="140"/>
      <c r="Y1331" s="140"/>
      <c r="Z1331" s="140"/>
      <c r="AA1331" s="141"/>
      <c r="AE1331" s="140"/>
      <c r="AI1331" s="141"/>
      <c r="AM1331" s="141"/>
      <c r="AQ1331" s="141"/>
      <c r="AT1331" s="140"/>
      <c r="AU1331" s="140"/>
    </row>
    <row r="1332" spans="2:47" s="134" customFormat="1" x14ac:dyDescent="0.2">
      <c r="B1332" s="145"/>
      <c r="D1332" s="679"/>
      <c r="J1332" s="140"/>
      <c r="K1332" s="140"/>
      <c r="L1332" s="140"/>
      <c r="M1332" s="140"/>
      <c r="N1332" s="140"/>
      <c r="O1332" s="140"/>
      <c r="P1332" s="140"/>
      <c r="Q1332" s="140"/>
      <c r="R1332" s="140"/>
      <c r="S1332" s="140"/>
      <c r="T1332" s="140"/>
      <c r="U1332" s="140"/>
      <c r="V1332" s="140"/>
      <c r="W1332" s="140"/>
      <c r="X1332" s="140"/>
      <c r="Y1332" s="140"/>
      <c r="Z1332" s="140"/>
      <c r="AA1332" s="141"/>
      <c r="AE1332" s="140"/>
      <c r="AI1332" s="141"/>
      <c r="AM1332" s="141"/>
      <c r="AQ1332" s="141"/>
      <c r="AT1332" s="140"/>
      <c r="AU1332" s="140"/>
    </row>
    <row r="1333" spans="2:47" s="134" customFormat="1" x14ac:dyDescent="0.2">
      <c r="B1333" s="145"/>
      <c r="D1333" s="679"/>
      <c r="J1333" s="140"/>
      <c r="K1333" s="140"/>
      <c r="L1333" s="140"/>
      <c r="M1333" s="140"/>
      <c r="N1333" s="140"/>
      <c r="O1333" s="140"/>
      <c r="P1333" s="140"/>
      <c r="Q1333" s="140"/>
      <c r="R1333" s="140"/>
      <c r="S1333" s="140"/>
      <c r="T1333" s="140"/>
      <c r="U1333" s="140"/>
      <c r="V1333" s="140"/>
      <c r="W1333" s="140"/>
      <c r="X1333" s="140"/>
      <c r="Y1333" s="140"/>
      <c r="Z1333" s="140"/>
      <c r="AA1333" s="141"/>
      <c r="AE1333" s="140"/>
      <c r="AI1333" s="141"/>
      <c r="AM1333" s="141"/>
      <c r="AQ1333" s="141"/>
      <c r="AT1333" s="140"/>
      <c r="AU1333" s="140"/>
    </row>
    <row r="1334" spans="2:47" s="134" customFormat="1" x14ac:dyDescent="0.2">
      <c r="B1334" s="145"/>
      <c r="D1334" s="679"/>
      <c r="J1334" s="140"/>
      <c r="K1334" s="140"/>
      <c r="L1334" s="140"/>
      <c r="M1334" s="140"/>
      <c r="N1334" s="140"/>
      <c r="O1334" s="140"/>
      <c r="P1334" s="140"/>
      <c r="Q1334" s="140"/>
      <c r="R1334" s="140"/>
      <c r="S1334" s="140"/>
      <c r="T1334" s="140"/>
      <c r="U1334" s="140"/>
      <c r="V1334" s="140"/>
      <c r="W1334" s="140"/>
      <c r="X1334" s="140"/>
      <c r="Y1334" s="140"/>
      <c r="Z1334" s="140"/>
      <c r="AA1334" s="141"/>
      <c r="AE1334" s="140"/>
      <c r="AI1334" s="141"/>
      <c r="AM1334" s="141"/>
      <c r="AQ1334" s="141"/>
      <c r="AT1334" s="140"/>
      <c r="AU1334" s="140"/>
    </row>
    <row r="1335" spans="2:47" s="134" customFormat="1" x14ac:dyDescent="0.2">
      <c r="B1335" s="145"/>
      <c r="D1335" s="679"/>
      <c r="J1335" s="140"/>
      <c r="K1335" s="140"/>
      <c r="L1335" s="140"/>
      <c r="M1335" s="140"/>
      <c r="N1335" s="140"/>
      <c r="O1335" s="140"/>
      <c r="P1335" s="140"/>
      <c r="Q1335" s="140"/>
      <c r="R1335" s="140"/>
      <c r="S1335" s="140"/>
      <c r="T1335" s="140"/>
      <c r="U1335" s="140"/>
      <c r="V1335" s="140"/>
      <c r="W1335" s="140"/>
      <c r="X1335" s="140"/>
      <c r="Y1335" s="140"/>
      <c r="Z1335" s="140"/>
      <c r="AA1335" s="141"/>
      <c r="AE1335" s="140"/>
      <c r="AI1335" s="141"/>
      <c r="AM1335" s="141"/>
      <c r="AQ1335" s="141"/>
      <c r="AT1335" s="140"/>
      <c r="AU1335" s="140"/>
    </row>
    <row r="1336" spans="2:47" s="134" customFormat="1" x14ac:dyDescent="0.2">
      <c r="B1336" s="145"/>
      <c r="D1336" s="679"/>
      <c r="J1336" s="140"/>
      <c r="K1336" s="140"/>
      <c r="L1336" s="140"/>
      <c r="M1336" s="140"/>
      <c r="N1336" s="140"/>
      <c r="O1336" s="140"/>
      <c r="P1336" s="140"/>
      <c r="Q1336" s="140"/>
      <c r="R1336" s="140"/>
      <c r="S1336" s="140"/>
      <c r="T1336" s="140"/>
      <c r="U1336" s="140"/>
      <c r="V1336" s="140"/>
      <c r="W1336" s="140"/>
      <c r="X1336" s="140"/>
      <c r="Y1336" s="140"/>
      <c r="Z1336" s="140"/>
      <c r="AA1336" s="141"/>
      <c r="AE1336" s="140"/>
      <c r="AI1336" s="141"/>
      <c r="AM1336" s="141"/>
      <c r="AQ1336" s="141"/>
      <c r="AT1336" s="140"/>
      <c r="AU1336" s="140"/>
    </row>
    <row r="1337" spans="2:47" s="134" customFormat="1" x14ac:dyDescent="0.2">
      <c r="B1337" s="145"/>
      <c r="D1337" s="679"/>
      <c r="J1337" s="140"/>
      <c r="K1337" s="140"/>
      <c r="L1337" s="140"/>
      <c r="M1337" s="140"/>
      <c r="N1337" s="140"/>
      <c r="O1337" s="140"/>
      <c r="P1337" s="140"/>
      <c r="Q1337" s="140"/>
      <c r="R1337" s="140"/>
      <c r="S1337" s="140"/>
      <c r="T1337" s="140"/>
      <c r="U1337" s="140"/>
      <c r="V1337" s="140"/>
      <c r="W1337" s="140"/>
      <c r="X1337" s="140"/>
      <c r="Y1337" s="140"/>
      <c r="Z1337" s="140"/>
      <c r="AA1337" s="141"/>
      <c r="AE1337" s="140"/>
      <c r="AI1337" s="141"/>
      <c r="AM1337" s="141"/>
      <c r="AQ1337" s="141"/>
      <c r="AT1337" s="140"/>
      <c r="AU1337" s="140"/>
    </row>
    <row r="1338" spans="2:47" s="134" customFormat="1" x14ac:dyDescent="0.2">
      <c r="B1338" s="145"/>
      <c r="D1338" s="679"/>
      <c r="J1338" s="140"/>
      <c r="K1338" s="140"/>
      <c r="L1338" s="140"/>
      <c r="M1338" s="140"/>
      <c r="N1338" s="140"/>
      <c r="O1338" s="140"/>
      <c r="P1338" s="140"/>
      <c r="Q1338" s="140"/>
      <c r="R1338" s="140"/>
      <c r="S1338" s="140"/>
      <c r="T1338" s="140"/>
      <c r="U1338" s="140"/>
      <c r="V1338" s="140"/>
      <c r="W1338" s="140"/>
      <c r="X1338" s="140"/>
      <c r="Y1338" s="140"/>
      <c r="Z1338" s="140"/>
      <c r="AA1338" s="141"/>
      <c r="AE1338" s="140"/>
      <c r="AI1338" s="141"/>
      <c r="AM1338" s="141"/>
      <c r="AQ1338" s="141"/>
      <c r="AT1338" s="140"/>
      <c r="AU1338" s="140"/>
    </row>
    <row r="1339" spans="2:47" s="134" customFormat="1" x14ac:dyDescent="0.2">
      <c r="B1339" s="145"/>
      <c r="D1339" s="679"/>
      <c r="J1339" s="140"/>
      <c r="K1339" s="140"/>
      <c r="L1339" s="140"/>
      <c r="M1339" s="140"/>
      <c r="N1339" s="140"/>
      <c r="O1339" s="140"/>
      <c r="P1339" s="140"/>
      <c r="Q1339" s="140"/>
      <c r="R1339" s="140"/>
      <c r="S1339" s="140"/>
      <c r="T1339" s="140"/>
      <c r="U1339" s="140"/>
      <c r="V1339" s="140"/>
      <c r="W1339" s="140"/>
      <c r="X1339" s="140"/>
      <c r="Y1339" s="140"/>
      <c r="Z1339" s="140"/>
      <c r="AA1339" s="141"/>
      <c r="AE1339" s="140"/>
      <c r="AI1339" s="141"/>
      <c r="AM1339" s="141"/>
      <c r="AQ1339" s="141"/>
      <c r="AT1339" s="140"/>
      <c r="AU1339" s="140"/>
    </row>
    <row r="1340" spans="2:47" s="134" customFormat="1" x14ac:dyDescent="0.2">
      <c r="B1340" s="145"/>
      <c r="D1340" s="679"/>
      <c r="J1340" s="140"/>
      <c r="K1340" s="140"/>
      <c r="L1340" s="140"/>
      <c r="M1340" s="140"/>
      <c r="N1340" s="140"/>
      <c r="O1340" s="140"/>
      <c r="P1340" s="140"/>
      <c r="Q1340" s="140"/>
      <c r="R1340" s="140"/>
      <c r="S1340" s="140"/>
      <c r="T1340" s="140"/>
      <c r="U1340" s="140"/>
      <c r="V1340" s="140"/>
      <c r="W1340" s="140"/>
      <c r="X1340" s="140"/>
      <c r="Y1340" s="140"/>
      <c r="Z1340" s="140"/>
      <c r="AA1340" s="141"/>
      <c r="AE1340" s="140"/>
      <c r="AI1340" s="141"/>
      <c r="AM1340" s="141"/>
      <c r="AQ1340" s="141"/>
      <c r="AT1340" s="140"/>
      <c r="AU1340" s="140"/>
    </row>
    <row r="1341" spans="2:47" s="134" customFormat="1" x14ac:dyDescent="0.2">
      <c r="B1341" s="145"/>
      <c r="D1341" s="679"/>
      <c r="J1341" s="140"/>
      <c r="K1341" s="140"/>
      <c r="L1341" s="140"/>
      <c r="M1341" s="140"/>
      <c r="N1341" s="140"/>
      <c r="O1341" s="140"/>
      <c r="P1341" s="140"/>
      <c r="Q1341" s="140"/>
      <c r="R1341" s="140"/>
      <c r="S1341" s="140"/>
      <c r="T1341" s="140"/>
      <c r="U1341" s="140"/>
      <c r="V1341" s="140"/>
      <c r="W1341" s="140"/>
      <c r="X1341" s="140"/>
      <c r="Y1341" s="140"/>
      <c r="Z1341" s="140"/>
      <c r="AA1341" s="141"/>
      <c r="AE1341" s="140"/>
      <c r="AI1341" s="141"/>
      <c r="AM1341" s="141"/>
      <c r="AQ1341" s="141"/>
      <c r="AT1341" s="140"/>
      <c r="AU1341" s="140"/>
    </row>
    <row r="1342" spans="2:47" s="134" customFormat="1" x14ac:dyDescent="0.2">
      <c r="B1342" s="145"/>
      <c r="D1342" s="679"/>
      <c r="J1342" s="140"/>
      <c r="K1342" s="140"/>
      <c r="L1342" s="140"/>
      <c r="M1342" s="140"/>
      <c r="N1342" s="140"/>
      <c r="O1342" s="140"/>
      <c r="P1342" s="140"/>
      <c r="Q1342" s="140"/>
      <c r="R1342" s="140"/>
      <c r="S1342" s="140"/>
      <c r="T1342" s="140"/>
      <c r="U1342" s="140"/>
      <c r="V1342" s="140"/>
      <c r="W1342" s="140"/>
      <c r="X1342" s="140"/>
      <c r="Y1342" s="140"/>
      <c r="Z1342" s="140"/>
      <c r="AA1342" s="141"/>
      <c r="AE1342" s="140"/>
      <c r="AI1342" s="141"/>
      <c r="AM1342" s="141"/>
      <c r="AQ1342" s="141"/>
      <c r="AT1342" s="140"/>
      <c r="AU1342" s="140"/>
    </row>
    <row r="1343" spans="2:47" s="134" customFormat="1" x14ac:dyDescent="0.2">
      <c r="B1343" s="145"/>
      <c r="D1343" s="679"/>
      <c r="J1343" s="140"/>
      <c r="K1343" s="140"/>
      <c r="L1343" s="140"/>
      <c r="M1343" s="140"/>
      <c r="N1343" s="140"/>
      <c r="O1343" s="140"/>
      <c r="P1343" s="140"/>
      <c r="Q1343" s="140"/>
      <c r="R1343" s="140"/>
      <c r="S1343" s="140"/>
      <c r="T1343" s="140"/>
      <c r="U1343" s="140"/>
      <c r="V1343" s="140"/>
      <c r="W1343" s="140"/>
      <c r="X1343" s="140"/>
      <c r="Y1343" s="140"/>
      <c r="Z1343" s="140"/>
      <c r="AA1343" s="141"/>
      <c r="AE1343" s="140"/>
      <c r="AI1343" s="141"/>
      <c r="AM1343" s="141"/>
      <c r="AQ1343" s="141"/>
      <c r="AT1343" s="140"/>
      <c r="AU1343" s="140"/>
    </row>
    <row r="1344" spans="2:47" s="134" customFormat="1" x14ac:dyDescent="0.2">
      <c r="B1344" s="145"/>
      <c r="D1344" s="679"/>
      <c r="J1344" s="140"/>
      <c r="K1344" s="140"/>
      <c r="L1344" s="140"/>
      <c r="M1344" s="140"/>
      <c r="N1344" s="140"/>
      <c r="O1344" s="140"/>
      <c r="P1344" s="140"/>
      <c r="Q1344" s="140"/>
      <c r="R1344" s="140"/>
      <c r="S1344" s="140"/>
      <c r="T1344" s="140"/>
      <c r="U1344" s="140"/>
      <c r="V1344" s="140"/>
      <c r="W1344" s="140"/>
      <c r="X1344" s="140"/>
      <c r="Y1344" s="140"/>
      <c r="Z1344" s="140"/>
      <c r="AA1344" s="141"/>
      <c r="AE1344" s="140"/>
      <c r="AI1344" s="141"/>
      <c r="AM1344" s="141"/>
      <c r="AQ1344" s="141"/>
      <c r="AT1344" s="140"/>
      <c r="AU1344" s="140"/>
    </row>
    <row r="1345" spans="2:47" s="134" customFormat="1" x14ac:dyDescent="0.2">
      <c r="B1345" s="145"/>
      <c r="D1345" s="679"/>
      <c r="J1345" s="140"/>
      <c r="K1345" s="140"/>
      <c r="L1345" s="140"/>
      <c r="M1345" s="140"/>
      <c r="N1345" s="140"/>
      <c r="O1345" s="140"/>
      <c r="P1345" s="140"/>
      <c r="Q1345" s="140"/>
      <c r="R1345" s="140"/>
      <c r="S1345" s="140"/>
      <c r="T1345" s="140"/>
      <c r="U1345" s="140"/>
      <c r="V1345" s="140"/>
      <c r="W1345" s="140"/>
      <c r="X1345" s="140"/>
      <c r="Y1345" s="140"/>
      <c r="Z1345" s="140"/>
      <c r="AA1345" s="141"/>
      <c r="AE1345" s="140"/>
      <c r="AI1345" s="141"/>
      <c r="AM1345" s="141"/>
      <c r="AQ1345" s="141"/>
      <c r="AT1345" s="140"/>
      <c r="AU1345" s="140"/>
    </row>
    <row r="1346" spans="2:47" s="134" customFormat="1" x14ac:dyDescent="0.2">
      <c r="B1346" s="145"/>
      <c r="D1346" s="679"/>
      <c r="J1346" s="140"/>
      <c r="K1346" s="140"/>
      <c r="L1346" s="140"/>
      <c r="M1346" s="140"/>
      <c r="N1346" s="140"/>
      <c r="O1346" s="140"/>
      <c r="P1346" s="140"/>
      <c r="Q1346" s="140"/>
      <c r="R1346" s="140"/>
      <c r="S1346" s="140"/>
      <c r="T1346" s="140"/>
      <c r="U1346" s="140"/>
      <c r="V1346" s="140"/>
      <c r="W1346" s="140"/>
      <c r="X1346" s="140"/>
      <c r="Y1346" s="140"/>
      <c r="Z1346" s="140"/>
      <c r="AA1346" s="141"/>
      <c r="AE1346" s="140"/>
      <c r="AI1346" s="141"/>
      <c r="AM1346" s="141"/>
      <c r="AQ1346" s="141"/>
      <c r="AT1346" s="140"/>
      <c r="AU1346" s="140"/>
    </row>
    <row r="1347" spans="2:47" s="134" customFormat="1" x14ac:dyDescent="0.2">
      <c r="B1347" s="145"/>
      <c r="D1347" s="679"/>
      <c r="J1347" s="140"/>
      <c r="K1347" s="140"/>
      <c r="L1347" s="140"/>
      <c r="M1347" s="140"/>
      <c r="N1347" s="140"/>
      <c r="O1347" s="140"/>
      <c r="P1347" s="140"/>
      <c r="Q1347" s="140"/>
      <c r="R1347" s="140"/>
      <c r="S1347" s="140"/>
      <c r="T1347" s="140"/>
      <c r="U1347" s="140"/>
      <c r="V1347" s="140"/>
      <c r="W1347" s="140"/>
      <c r="X1347" s="140"/>
      <c r="Y1347" s="140"/>
      <c r="Z1347" s="140"/>
      <c r="AA1347" s="141"/>
      <c r="AE1347" s="140"/>
      <c r="AI1347" s="141"/>
      <c r="AM1347" s="141"/>
      <c r="AQ1347" s="141"/>
      <c r="AT1347" s="140"/>
      <c r="AU1347" s="140"/>
    </row>
    <row r="1348" spans="2:47" s="134" customFormat="1" x14ac:dyDescent="0.2">
      <c r="B1348" s="145"/>
      <c r="D1348" s="679"/>
      <c r="J1348" s="140"/>
      <c r="K1348" s="140"/>
      <c r="L1348" s="140"/>
      <c r="M1348" s="140"/>
      <c r="N1348" s="140"/>
      <c r="O1348" s="140"/>
      <c r="P1348" s="140"/>
      <c r="Q1348" s="140"/>
      <c r="R1348" s="140"/>
      <c r="S1348" s="140"/>
      <c r="T1348" s="140"/>
      <c r="U1348" s="140"/>
      <c r="V1348" s="140"/>
      <c r="W1348" s="140"/>
      <c r="X1348" s="140"/>
      <c r="Y1348" s="140"/>
      <c r="Z1348" s="140"/>
      <c r="AA1348" s="141"/>
      <c r="AE1348" s="140"/>
      <c r="AI1348" s="141"/>
      <c r="AM1348" s="141"/>
      <c r="AQ1348" s="141"/>
      <c r="AT1348" s="140"/>
      <c r="AU1348" s="140"/>
    </row>
    <row r="1349" spans="2:47" s="134" customFormat="1" x14ac:dyDescent="0.2">
      <c r="B1349" s="145"/>
      <c r="D1349" s="679"/>
      <c r="J1349" s="140"/>
      <c r="K1349" s="140"/>
      <c r="L1349" s="140"/>
      <c r="M1349" s="140"/>
      <c r="N1349" s="140"/>
      <c r="O1349" s="140"/>
      <c r="P1349" s="140"/>
      <c r="Q1349" s="140"/>
      <c r="R1349" s="140"/>
      <c r="S1349" s="140"/>
      <c r="T1349" s="140"/>
      <c r="U1349" s="140"/>
      <c r="V1349" s="140"/>
      <c r="W1349" s="140"/>
      <c r="X1349" s="140"/>
      <c r="Y1349" s="140"/>
      <c r="Z1349" s="140"/>
      <c r="AA1349" s="141"/>
      <c r="AE1349" s="140"/>
      <c r="AI1349" s="141"/>
      <c r="AM1349" s="141"/>
      <c r="AQ1349" s="141"/>
      <c r="AT1349" s="140"/>
      <c r="AU1349" s="140"/>
    </row>
    <row r="1350" spans="2:47" s="134" customFormat="1" x14ac:dyDescent="0.2">
      <c r="B1350" s="145"/>
      <c r="D1350" s="679"/>
      <c r="J1350" s="140"/>
      <c r="K1350" s="140"/>
      <c r="L1350" s="140"/>
      <c r="M1350" s="140"/>
      <c r="N1350" s="140"/>
      <c r="O1350" s="140"/>
      <c r="P1350" s="140"/>
      <c r="Q1350" s="140"/>
      <c r="R1350" s="140"/>
      <c r="S1350" s="140"/>
      <c r="T1350" s="140"/>
      <c r="U1350" s="140"/>
      <c r="V1350" s="140"/>
      <c r="W1350" s="140"/>
      <c r="X1350" s="140"/>
      <c r="Y1350" s="140"/>
      <c r="Z1350" s="140"/>
      <c r="AA1350" s="141"/>
      <c r="AE1350" s="140"/>
      <c r="AI1350" s="141"/>
      <c r="AM1350" s="141"/>
      <c r="AQ1350" s="141"/>
      <c r="AT1350" s="140"/>
      <c r="AU1350" s="140"/>
    </row>
    <row r="1351" spans="2:47" s="134" customFormat="1" x14ac:dyDescent="0.2">
      <c r="B1351" s="145"/>
      <c r="D1351" s="679"/>
      <c r="J1351" s="140"/>
      <c r="K1351" s="140"/>
      <c r="L1351" s="140"/>
      <c r="M1351" s="140"/>
      <c r="N1351" s="140"/>
      <c r="O1351" s="140"/>
      <c r="P1351" s="140"/>
      <c r="Q1351" s="140"/>
      <c r="R1351" s="140"/>
      <c r="S1351" s="140"/>
      <c r="T1351" s="140"/>
      <c r="U1351" s="140"/>
      <c r="V1351" s="140"/>
      <c r="W1351" s="140"/>
      <c r="X1351" s="140"/>
      <c r="Y1351" s="140"/>
      <c r="Z1351" s="140"/>
      <c r="AA1351" s="141"/>
      <c r="AE1351" s="140"/>
      <c r="AI1351" s="141"/>
      <c r="AM1351" s="141"/>
      <c r="AQ1351" s="141"/>
      <c r="AT1351" s="140"/>
      <c r="AU1351" s="140"/>
    </row>
    <row r="1352" spans="2:47" s="134" customFormat="1" x14ac:dyDescent="0.2">
      <c r="B1352" s="145"/>
      <c r="D1352" s="679"/>
      <c r="J1352" s="140"/>
      <c r="K1352" s="140"/>
      <c r="L1352" s="140"/>
      <c r="M1352" s="140"/>
      <c r="N1352" s="140"/>
      <c r="O1352" s="140"/>
      <c r="P1352" s="140"/>
      <c r="Q1352" s="140"/>
      <c r="R1352" s="140"/>
      <c r="S1352" s="140"/>
      <c r="T1352" s="140"/>
      <c r="U1352" s="140"/>
      <c r="V1352" s="140"/>
      <c r="W1352" s="140"/>
      <c r="X1352" s="140"/>
      <c r="Y1352" s="140"/>
      <c r="Z1352" s="140"/>
      <c r="AA1352" s="141"/>
      <c r="AE1352" s="140"/>
      <c r="AI1352" s="141"/>
      <c r="AM1352" s="141"/>
      <c r="AQ1352" s="141"/>
      <c r="AT1352" s="140"/>
      <c r="AU1352" s="140"/>
    </row>
    <row r="1353" spans="2:47" s="134" customFormat="1" x14ac:dyDescent="0.2">
      <c r="B1353" s="145"/>
      <c r="D1353" s="679"/>
      <c r="J1353" s="140"/>
      <c r="K1353" s="140"/>
      <c r="L1353" s="140"/>
      <c r="M1353" s="140"/>
      <c r="N1353" s="140"/>
      <c r="O1353" s="140"/>
      <c r="P1353" s="140"/>
      <c r="Q1353" s="140"/>
      <c r="R1353" s="140"/>
      <c r="S1353" s="140"/>
      <c r="T1353" s="140"/>
      <c r="U1353" s="140"/>
      <c r="V1353" s="140"/>
      <c r="W1353" s="140"/>
      <c r="X1353" s="140"/>
      <c r="Y1353" s="140"/>
      <c r="Z1353" s="140"/>
      <c r="AA1353" s="141"/>
      <c r="AE1353" s="140"/>
      <c r="AI1353" s="141"/>
      <c r="AM1353" s="141"/>
      <c r="AQ1353" s="141"/>
      <c r="AT1353" s="140"/>
      <c r="AU1353" s="140"/>
    </row>
    <row r="1354" spans="2:47" s="134" customFormat="1" x14ac:dyDescent="0.2">
      <c r="B1354" s="145"/>
      <c r="D1354" s="679"/>
      <c r="J1354" s="140"/>
      <c r="K1354" s="140"/>
      <c r="L1354" s="140"/>
      <c r="M1354" s="140"/>
      <c r="N1354" s="140"/>
      <c r="O1354" s="140"/>
      <c r="P1354" s="140"/>
      <c r="Q1354" s="140"/>
      <c r="R1354" s="140"/>
      <c r="S1354" s="140"/>
      <c r="T1354" s="140"/>
      <c r="U1354" s="140"/>
      <c r="V1354" s="140"/>
      <c r="W1354" s="140"/>
      <c r="X1354" s="140"/>
      <c r="Y1354" s="140"/>
      <c r="Z1354" s="140"/>
      <c r="AA1354" s="141"/>
      <c r="AE1354" s="140"/>
      <c r="AI1354" s="141"/>
      <c r="AM1354" s="141"/>
      <c r="AQ1354" s="141"/>
      <c r="AT1354" s="140"/>
      <c r="AU1354" s="140"/>
    </row>
    <row r="1355" spans="2:47" s="134" customFormat="1" x14ac:dyDescent="0.2">
      <c r="B1355" s="145"/>
      <c r="D1355" s="679"/>
      <c r="J1355" s="140"/>
      <c r="K1355" s="140"/>
      <c r="L1355" s="140"/>
      <c r="M1355" s="140"/>
      <c r="N1355" s="140"/>
      <c r="O1355" s="140"/>
      <c r="P1355" s="140"/>
      <c r="Q1355" s="140"/>
      <c r="R1355" s="140"/>
      <c r="S1355" s="140"/>
      <c r="T1355" s="140"/>
      <c r="U1355" s="140"/>
      <c r="V1355" s="140"/>
      <c r="W1355" s="140"/>
      <c r="X1355" s="140"/>
      <c r="Y1355" s="140"/>
      <c r="Z1355" s="140"/>
      <c r="AA1355" s="141"/>
      <c r="AE1355" s="140"/>
      <c r="AI1355" s="141"/>
      <c r="AM1355" s="141"/>
      <c r="AQ1355" s="141"/>
      <c r="AT1355" s="140"/>
      <c r="AU1355" s="140"/>
    </row>
    <row r="1356" spans="2:47" s="134" customFormat="1" x14ac:dyDescent="0.2">
      <c r="B1356" s="145"/>
      <c r="D1356" s="679"/>
      <c r="J1356" s="140"/>
      <c r="K1356" s="140"/>
      <c r="L1356" s="140"/>
      <c r="M1356" s="140"/>
      <c r="N1356" s="140"/>
      <c r="O1356" s="140"/>
      <c r="P1356" s="140"/>
      <c r="Q1356" s="140"/>
      <c r="R1356" s="140"/>
      <c r="S1356" s="140"/>
      <c r="T1356" s="140"/>
      <c r="U1356" s="140"/>
      <c r="V1356" s="140"/>
      <c r="W1356" s="140"/>
      <c r="X1356" s="140"/>
      <c r="Y1356" s="140"/>
      <c r="Z1356" s="140"/>
      <c r="AA1356" s="141"/>
      <c r="AE1356" s="140"/>
      <c r="AI1356" s="141"/>
      <c r="AM1356" s="141"/>
      <c r="AQ1356" s="141"/>
      <c r="AT1356" s="140"/>
      <c r="AU1356" s="140"/>
    </row>
    <row r="1357" spans="2:47" s="134" customFormat="1" x14ac:dyDescent="0.2">
      <c r="B1357" s="145"/>
      <c r="D1357" s="679"/>
      <c r="J1357" s="140"/>
      <c r="K1357" s="140"/>
      <c r="L1357" s="140"/>
      <c r="M1357" s="140"/>
      <c r="N1357" s="140"/>
      <c r="O1357" s="140"/>
      <c r="P1357" s="140"/>
      <c r="Q1357" s="140"/>
      <c r="R1357" s="140"/>
      <c r="S1357" s="140"/>
      <c r="T1357" s="140"/>
      <c r="U1357" s="140"/>
      <c r="V1357" s="140"/>
      <c r="W1357" s="140"/>
      <c r="X1357" s="140"/>
      <c r="Y1357" s="140"/>
      <c r="Z1357" s="140"/>
      <c r="AA1357" s="141"/>
      <c r="AE1357" s="140"/>
      <c r="AI1357" s="141"/>
      <c r="AM1357" s="141"/>
      <c r="AQ1357" s="141"/>
      <c r="AT1357" s="140"/>
      <c r="AU1357" s="140"/>
    </row>
    <row r="1358" spans="2:47" s="134" customFormat="1" x14ac:dyDescent="0.2">
      <c r="B1358" s="145"/>
      <c r="D1358" s="679"/>
      <c r="J1358" s="140"/>
      <c r="K1358" s="140"/>
      <c r="L1358" s="140"/>
      <c r="M1358" s="140"/>
      <c r="N1358" s="140"/>
      <c r="O1358" s="140"/>
      <c r="P1358" s="140"/>
      <c r="Q1358" s="140"/>
      <c r="R1358" s="140"/>
      <c r="S1358" s="140"/>
      <c r="T1358" s="140"/>
      <c r="U1358" s="140"/>
      <c r="V1358" s="140"/>
      <c r="W1358" s="140"/>
      <c r="X1358" s="140"/>
      <c r="Y1358" s="140"/>
      <c r="Z1358" s="140"/>
      <c r="AA1358" s="141"/>
      <c r="AE1358" s="140"/>
      <c r="AI1358" s="141"/>
      <c r="AM1358" s="141"/>
      <c r="AQ1358" s="141"/>
      <c r="AT1358" s="140"/>
      <c r="AU1358" s="140"/>
    </row>
    <row r="1359" spans="2:47" s="134" customFormat="1" x14ac:dyDescent="0.2">
      <c r="B1359" s="145"/>
      <c r="D1359" s="679"/>
      <c r="J1359" s="140"/>
      <c r="K1359" s="140"/>
      <c r="L1359" s="140"/>
      <c r="M1359" s="140"/>
      <c r="N1359" s="140"/>
      <c r="O1359" s="140"/>
      <c r="P1359" s="140"/>
      <c r="Q1359" s="140"/>
      <c r="R1359" s="140"/>
      <c r="S1359" s="140"/>
      <c r="T1359" s="140"/>
      <c r="U1359" s="140"/>
      <c r="V1359" s="140"/>
      <c r="W1359" s="140"/>
      <c r="X1359" s="140"/>
      <c r="Y1359" s="140"/>
      <c r="Z1359" s="140"/>
      <c r="AA1359" s="141"/>
      <c r="AE1359" s="140"/>
      <c r="AI1359" s="141"/>
      <c r="AM1359" s="141"/>
      <c r="AQ1359" s="141"/>
      <c r="AT1359" s="140"/>
      <c r="AU1359" s="140"/>
    </row>
    <row r="1360" spans="2:47" s="134" customFormat="1" x14ac:dyDescent="0.2">
      <c r="B1360" s="145"/>
      <c r="D1360" s="679"/>
      <c r="J1360" s="140"/>
      <c r="K1360" s="140"/>
      <c r="L1360" s="140"/>
      <c r="M1360" s="140"/>
      <c r="N1360" s="140"/>
      <c r="O1360" s="140"/>
      <c r="P1360" s="140"/>
      <c r="Q1360" s="140"/>
      <c r="R1360" s="140"/>
      <c r="S1360" s="140"/>
      <c r="T1360" s="140"/>
      <c r="U1360" s="140"/>
      <c r="V1360" s="140"/>
      <c r="W1360" s="140"/>
      <c r="X1360" s="140"/>
      <c r="Y1360" s="140"/>
      <c r="Z1360" s="140"/>
      <c r="AA1360" s="141"/>
      <c r="AE1360" s="140"/>
      <c r="AI1360" s="141"/>
      <c r="AM1360" s="141"/>
      <c r="AQ1360" s="141"/>
      <c r="AT1360" s="140"/>
      <c r="AU1360" s="140"/>
    </row>
    <row r="1361" spans="2:47" s="134" customFormat="1" x14ac:dyDescent="0.2">
      <c r="B1361" s="145"/>
      <c r="D1361" s="679"/>
      <c r="J1361" s="140"/>
      <c r="K1361" s="140"/>
      <c r="L1361" s="140"/>
      <c r="M1361" s="140"/>
      <c r="N1361" s="140"/>
      <c r="O1361" s="140"/>
      <c r="P1361" s="140"/>
      <c r="Q1361" s="140"/>
      <c r="R1361" s="140"/>
      <c r="S1361" s="140"/>
      <c r="T1361" s="140"/>
      <c r="U1361" s="140"/>
      <c r="V1361" s="140"/>
      <c r="W1361" s="140"/>
      <c r="X1361" s="140"/>
      <c r="Y1361" s="140"/>
      <c r="Z1361" s="140"/>
      <c r="AA1361" s="141"/>
      <c r="AE1361" s="140"/>
      <c r="AI1361" s="141"/>
      <c r="AM1361" s="141"/>
      <c r="AQ1361" s="141"/>
      <c r="AT1361" s="140"/>
      <c r="AU1361" s="140"/>
    </row>
    <row r="1362" spans="2:47" s="134" customFormat="1" x14ac:dyDescent="0.2">
      <c r="B1362" s="145"/>
      <c r="D1362" s="679"/>
      <c r="J1362" s="140"/>
      <c r="K1362" s="140"/>
      <c r="L1362" s="140"/>
      <c r="M1362" s="140"/>
      <c r="N1362" s="140"/>
      <c r="O1362" s="140"/>
      <c r="P1362" s="140"/>
      <c r="Q1362" s="140"/>
      <c r="R1362" s="140"/>
      <c r="S1362" s="140"/>
      <c r="T1362" s="140"/>
      <c r="U1362" s="140"/>
      <c r="V1362" s="140"/>
      <c r="W1362" s="140"/>
      <c r="X1362" s="140"/>
      <c r="Y1362" s="140"/>
      <c r="Z1362" s="140"/>
      <c r="AA1362" s="141"/>
      <c r="AE1362" s="140"/>
      <c r="AI1362" s="141"/>
      <c r="AM1362" s="141"/>
      <c r="AQ1362" s="141"/>
      <c r="AT1362" s="140"/>
      <c r="AU1362" s="140"/>
    </row>
    <row r="1363" spans="2:47" s="134" customFormat="1" x14ac:dyDescent="0.2">
      <c r="B1363" s="145"/>
      <c r="D1363" s="679"/>
      <c r="J1363" s="140"/>
      <c r="K1363" s="140"/>
      <c r="L1363" s="140"/>
      <c r="M1363" s="140"/>
      <c r="N1363" s="140"/>
      <c r="O1363" s="140"/>
      <c r="P1363" s="140"/>
      <c r="Q1363" s="140"/>
      <c r="R1363" s="140"/>
      <c r="S1363" s="140"/>
      <c r="T1363" s="140"/>
      <c r="U1363" s="140"/>
      <c r="V1363" s="140"/>
      <c r="W1363" s="140"/>
      <c r="X1363" s="140"/>
      <c r="Y1363" s="140"/>
      <c r="Z1363" s="140"/>
      <c r="AA1363" s="141"/>
      <c r="AE1363" s="140"/>
      <c r="AI1363" s="141"/>
      <c r="AM1363" s="141"/>
      <c r="AQ1363" s="141"/>
      <c r="AT1363" s="140"/>
      <c r="AU1363" s="140"/>
    </row>
    <row r="1364" spans="2:47" s="134" customFormat="1" x14ac:dyDescent="0.2">
      <c r="B1364" s="145"/>
      <c r="D1364" s="679"/>
      <c r="J1364" s="140"/>
      <c r="K1364" s="140"/>
      <c r="L1364" s="140"/>
      <c r="M1364" s="140"/>
      <c r="N1364" s="140"/>
      <c r="O1364" s="140"/>
      <c r="P1364" s="140"/>
      <c r="Q1364" s="140"/>
      <c r="R1364" s="140"/>
      <c r="S1364" s="140"/>
      <c r="T1364" s="140"/>
      <c r="U1364" s="140"/>
      <c r="V1364" s="140"/>
      <c r="W1364" s="140"/>
      <c r="X1364" s="140"/>
      <c r="Y1364" s="140"/>
      <c r="Z1364" s="140"/>
      <c r="AA1364" s="141"/>
      <c r="AE1364" s="140"/>
      <c r="AI1364" s="141"/>
      <c r="AM1364" s="141"/>
      <c r="AQ1364" s="141"/>
      <c r="AT1364" s="140"/>
      <c r="AU1364" s="140"/>
    </row>
    <row r="1365" spans="2:47" s="134" customFormat="1" x14ac:dyDescent="0.2">
      <c r="B1365" s="145"/>
      <c r="D1365" s="679"/>
      <c r="J1365" s="140"/>
      <c r="K1365" s="140"/>
      <c r="L1365" s="140"/>
      <c r="M1365" s="140"/>
      <c r="N1365" s="140"/>
      <c r="O1365" s="140"/>
      <c r="P1365" s="140"/>
      <c r="Q1365" s="140"/>
      <c r="R1365" s="140"/>
      <c r="S1365" s="140"/>
      <c r="T1365" s="140"/>
      <c r="U1365" s="140"/>
      <c r="V1365" s="140"/>
      <c r="W1365" s="140"/>
      <c r="X1365" s="140"/>
      <c r="Y1365" s="140"/>
      <c r="Z1365" s="140"/>
      <c r="AA1365" s="141"/>
      <c r="AE1365" s="140"/>
      <c r="AI1365" s="141"/>
      <c r="AM1365" s="141"/>
      <c r="AQ1365" s="141"/>
      <c r="AT1365" s="140"/>
      <c r="AU1365" s="140"/>
    </row>
    <row r="1366" spans="2:47" s="134" customFormat="1" x14ac:dyDescent="0.2">
      <c r="B1366" s="145"/>
      <c r="D1366" s="679"/>
      <c r="J1366" s="140"/>
      <c r="K1366" s="140"/>
      <c r="L1366" s="140"/>
      <c r="M1366" s="140"/>
      <c r="N1366" s="140"/>
      <c r="O1366" s="140"/>
      <c r="P1366" s="140"/>
      <c r="Q1366" s="140"/>
      <c r="R1366" s="140"/>
      <c r="S1366" s="140"/>
      <c r="T1366" s="140"/>
      <c r="U1366" s="140"/>
      <c r="V1366" s="140"/>
      <c r="W1366" s="140"/>
      <c r="X1366" s="140"/>
      <c r="Y1366" s="140"/>
      <c r="Z1366" s="140"/>
      <c r="AA1366" s="141"/>
      <c r="AE1366" s="140"/>
      <c r="AI1366" s="141"/>
      <c r="AM1366" s="141"/>
      <c r="AQ1366" s="141"/>
      <c r="AT1366" s="140"/>
      <c r="AU1366" s="140"/>
    </row>
    <row r="1367" spans="2:47" s="134" customFormat="1" x14ac:dyDescent="0.2">
      <c r="B1367" s="145"/>
      <c r="D1367" s="679"/>
      <c r="J1367" s="140"/>
      <c r="K1367" s="140"/>
      <c r="L1367" s="140"/>
      <c r="M1367" s="140"/>
      <c r="N1367" s="140"/>
      <c r="O1367" s="140"/>
      <c r="P1367" s="140"/>
      <c r="Q1367" s="140"/>
      <c r="R1367" s="140"/>
      <c r="S1367" s="140"/>
      <c r="T1367" s="140"/>
      <c r="U1367" s="140"/>
      <c r="V1367" s="140"/>
      <c r="W1367" s="140"/>
      <c r="X1367" s="140"/>
      <c r="Y1367" s="140"/>
      <c r="Z1367" s="140"/>
      <c r="AA1367" s="141"/>
      <c r="AE1367" s="140"/>
      <c r="AI1367" s="141"/>
      <c r="AM1367" s="141"/>
      <c r="AQ1367" s="141"/>
      <c r="AT1367" s="140"/>
      <c r="AU1367" s="140"/>
    </row>
    <row r="1368" spans="2:47" s="134" customFormat="1" x14ac:dyDescent="0.2">
      <c r="B1368" s="145"/>
      <c r="D1368" s="679"/>
      <c r="J1368" s="140"/>
      <c r="K1368" s="140"/>
      <c r="L1368" s="140"/>
      <c r="M1368" s="140"/>
      <c r="N1368" s="140"/>
      <c r="O1368" s="140"/>
      <c r="P1368" s="140"/>
      <c r="Q1368" s="140"/>
      <c r="R1368" s="140"/>
      <c r="S1368" s="140"/>
      <c r="T1368" s="140"/>
      <c r="U1368" s="140"/>
      <c r="V1368" s="140"/>
      <c r="W1368" s="140"/>
      <c r="X1368" s="140"/>
      <c r="Y1368" s="140"/>
      <c r="Z1368" s="140"/>
      <c r="AA1368" s="141"/>
      <c r="AE1368" s="140"/>
      <c r="AI1368" s="141"/>
      <c r="AM1368" s="141"/>
      <c r="AQ1368" s="141"/>
      <c r="AT1368" s="140"/>
      <c r="AU1368" s="140"/>
    </row>
    <row r="1369" spans="2:47" s="134" customFormat="1" x14ac:dyDescent="0.2">
      <c r="B1369" s="145"/>
      <c r="D1369" s="679"/>
      <c r="J1369" s="140"/>
      <c r="K1369" s="140"/>
      <c r="L1369" s="140"/>
      <c r="M1369" s="140"/>
      <c r="N1369" s="140"/>
      <c r="O1369" s="140"/>
      <c r="P1369" s="140"/>
      <c r="Q1369" s="140"/>
      <c r="R1369" s="140"/>
      <c r="S1369" s="140"/>
      <c r="T1369" s="140"/>
      <c r="U1369" s="140"/>
      <c r="V1369" s="140"/>
      <c r="W1369" s="140"/>
      <c r="X1369" s="140"/>
      <c r="Y1369" s="140"/>
      <c r="Z1369" s="140"/>
      <c r="AA1369" s="141"/>
      <c r="AE1369" s="140"/>
      <c r="AI1369" s="141"/>
      <c r="AM1369" s="141"/>
      <c r="AQ1369" s="141"/>
      <c r="AT1369" s="140"/>
      <c r="AU1369" s="140"/>
    </row>
    <row r="1370" spans="2:47" s="134" customFormat="1" x14ac:dyDescent="0.2">
      <c r="B1370" s="145"/>
      <c r="D1370" s="679"/>
      <c r="J1370" s="140"/>
      <c r="K1370" s="140"/>
      <c r="L1370" s="140"/>
      <c r="M1370" s="140"/>
      <c r="N1370" s="140"/>
      <c r="O1370" s="140"/>
      <c r="P1370" s="140"/>
      <c r="Q1370" s="140"/>
      <c r="R1370" s="140"/>
      <c r="S1370" s="140"/>
      <c r="T1370" s="140"/>
      <c r="U1370" s="140"/>
      <c r="V1370" s="140"/>
      <c r="W1370" s="140"/>
      <c r="X1370" s="140"/>
      <c r="Y1370" s="140"/>
      <c r="Z1370" s="140"/>
      <c r="AA1370" s="141"/>
      <c r="AE1370" s="140"/>
      <c r="AI1370" s="141"/>
      <c r="AM1370" s="141"/>
      <c r="AQ1370" s="141"/>
      <c r="AT1370" s="140"/>
      <c r="AU1370" s="140"/>
    </row>
    <row r="1371" spans="2:47" s="134" customFormat="1" x14ac:dyDescent="0.2">
      <c r="B1371" s="145"/>
      <c r="D1371" s="679"/>
      <c r="J1371" s="140"/>
      <c r="K1371" s="140"/>
      <c r="L1371" s="140"/>
      <c r="M1371" s="140"/>
      <c r="N1371" s="140"/>
      <c r="O1371" s="140"/>
      <c r="P1371" s="140"/>
      <c r="Q1371" s="140"/>
      <c r="R1371" s="140"/>
      <c r="S1371" s="140"/>
      <c r="T1371" s="140"/>
      <c r="U1371" s="140"/>
      <c r="V1371" s="140"/>
      <c r="W1371" s="140"/>
      <c r="X1371" s="140"/>
      <c r="Y1371" s="140"/>
      <c r="Z1371" s="140"/>
      <c r="AA1371" s="141"/>
      <c r="AE1371" s="140"/>
      <c r="AI1371" s="141"/>
      <c r="AM1371" s="141"/>
      <c r="AQ1371" s="141"/>
      <c r="AT1371" s="140"/>
      <c r="AU1371" s="140"/>
    </row>
    <row r="1372" spans="2:47" s="134" customFormat="1" x14ac:dyDescent="0.2">
      <c r="B1372" s="145"/>
      <c r="D1372" s="679"/>
      <c r="J1372" s="140"/>
      <c r="K1372" s="140"/>
      <c r="L1372" s="140"/>
      <c r="M1372" s="140"/>
      <c r="N1372" s="140"/>
      <c r="O1372" s="140"/>
      <c r="P1372" s="140"/>
      <c r="Q1372" s="140"/>
      <c r="R1372" s="140"/>
      <c r="S1372" s="140"/>
      <c r="T1372" s="140"/>
      <c r="U1372" s="140"/>
      <c r="V1372" s="140"/>
      <c r="W1372" s="140"/>
      <c r="X1372" s="140"/>
      <c r="Y1372" s="140"/>
      <c r="Z1372" s="140"/>
      <c r="AA1372" s="141"/>
      <c r="AE1372" s="140"/>
      <c r="AI1372" s="141"/>
      <c r="AM1372" s="141"/>
      <c r="AQ1372" s="141"/>
      <c r="AT1372" s="140"/>
      <c r="AU1372" s="140"/>
    </row>
    <row r="1373" spans="2:47" s="134" customFormat="1" x14ac:dyDescent="0.2">
      <c r="B1373" s="145"/>
      <c r="D1373" s="679"/>
      <c r="J1373" s="140"/>
      <c r="K1373" s="140"/>
      <c r="L1373" s="140"/>
      <c r="M1373" s="140"/>
      <c r="N1373" s="140"/>
      <c r="O1373" s="140"/>
      <c r="P1373" s="140"/>
      <c r="Q1373" s="140"/>
      <c r="R1373" s="140"/>
      <c r="S1373" s="140"/>
      <c r="T1373" s="140"/>
      <c r="U1373" s="140"/>
      <c r="V1373" s="140"/>
      <c r="W1373" s="140"/>
      <c r="X1373" s="140"/>
      <c r="Y1373" s="140"/>
      <c r="Z1373" s="140"/>
      <c r="AA1373" s="141"/>
      <c r="AE1373" s="140"/>
      <c r="AI1373" s="141"/>
      <c r="AM1373" s="141"/>
      <c r="AQ1373" s="141"/>
      <c r="AT1373" s="140"/>
      <c r="AU1373" s="140"/>
    </row>
    <row r="1374" spans="2:47" s="134" customFormat="1" x14ac:dyDescent="0.2">
      <c r="B1374" s="145"/>
      <c r="D1374" s="679"/>
      <c r="J1374" s="140"/>
      <c r="K1374" s="140"/>
      <c r="L1374" s="140"/>
      <c r="M1374" s="140"/>
      <c r="N1374" s="140"/>
      <c r="O1374" s="140"/>
      <c r="P1374" s="140"/>
      <c r="Q1374" s="140"/>
      <c r="R1374" s="140"/>
      <c r="S1374" s="140"/>
      <c r="T1374" s="140"/>
      <c r="U1374" s="140"/>
      <c r="V1374" s="140"/>
      <c r="W1374" s="140"/>
      <c r="X1374" s="140"/>
      <c r="Y1374" s="140"/>
      <c r="Z1374" s="140"/>
      <c r="AA1374" s="141"/>
      <c r="AE1374" s="140"/>
      <c r="AI1374" s="141"/>
      <c r="AM1374" s="141"/>
      <c r="AQ1374" s="141"/>
      <c r="AT1374" s="140"/>
      <c r="AU1374" s="140"/>
    </row>
    <row r="1375" spans="2:47" s="134" customFormat="1" x14ac:dyDescent="0.2">
      <c r="B1375" s="145"/>
      <c r="D1375" s="679"/>
      <c r="J1375" s="140"/>
      <c r="K1375" s="140"/>
      <c r="L1375" s="140"/>
      <c r="M1375" s="140"/>
      <c r="N1375" s="140"/>
      <c r="O1375" s="140"/>
      <c r="P1375" s="140"/>
      <c r="Q1375" s="140"/>
      <c r="R1375" s="140"/>
      <c r="S1375" s="140"/>
      <c r="T1375" s="140"/>
      <c r="U1375" s="140"/>
      <c r="V1375" s="140"/>
      <c r="W1375" s="140"/>
      <c r="X1375" s="140"/>
      <c r="Y1375" s="140"/>
      <c r="Z1375" s="140"/>
      <c r="AA1375" s="141"/>
      <c r="AE1375" s="140"/>
      <c r="AI1375" s="141"/>
      <c r="AM1375" s="141"/>
      <c r="AQ1375" s="141"/>
      <c r="AT1375" s="140"/>
      <c r="AU1375" s="140"/>
    </row>
    <row r="1376" spans="2:47" s="134" customFormat="1" x14ac:dyDescent="0.2">
      <c r="B1376" s="145"/>
      <c r="D1376" s="679"/>
      <c r="J1376" s="140"/>
      <c r="K1376" s="140"/>
      <c r="L1376" s="140"/>
      <c r="M1376" s="140"/>
      <c r="N1376" s="140"/>
      <c r="O1376" s="140"/>
      <c r="P1376" s="140"/>
      <c r="Q1376" s="140"/>
      <c r="R1376" s="140"/>
      <c r="S1376" s="140"/>
      <c r="T1376" s="140"/>
      <c r="U1376" s="140"/>
      <c r="V1376" s="140"/>
      <c r="W1376" s="140"/>
      <c r="X1376" s="140"/>
      <c r="Y1376" s="140"/>
      <c r="Z1376" s="140"/>
      <c r="AA1376" s="141"/>
      <c r="AE1376" s="140"/>
      <c r="AI1376" s="141"/>
      <c r="AM1376" s="141"/>
      <c r="AQ1376" s="141"/>
      <c r="AT1376" s="140"/>
      <c r="AU1376" s="140"/>
    </row>
    <row r="1377" spans="2:47" s="134" customFormat="1" x14ac:dyDescent="0.2">
      <c r="B1377" s="145"/>
      <c r="D1377" s="679"/>
      <c r="J1377" s="140"/>
      <c r="K1377" s="140"/>
      <c r="L1377" s="140"/>
      <c r="M1377" s="140"/>
      <c r="N1377" s="140"/>
      <c r="O1377" s="140"/>
      <c r="P1377" s="140"/>
      <c r="Q1377" s="140"/>
      <c r="R1377" s="140"/>
      <c r="S1377" s="140"/>
      <c r="T1377" s="140"/>
      <c r="U1377" s="140"/>
      <c r="V1377" s="140"/>
      <c r="W1377" s="140"/>
      <c r="X1377" s="140"/>
      <c r="Y1377" s="140"/>
      <c r="Z1377" s="140"/>
      <c r="AA1377" s="141"/>
      <c r="AE1377" s="140"/>
      <c r="AI1377" s="141"/>
      <c r="AM1377" s="141"/>
      <c r="AQ1377" s="141"/>
      <c r="AT1377" s="140"/>
      <c r="AU1377" s="140"/>
    </row>
    <row r="1378" spans="2:47" s="134" customFormat="1" x14ac:dyDescent="0.2">
      <c r="B1378" s="145"/>
      <c r="D1378" s="679"/>
      <c r="J1378" s="140"/>
      <c r="K1378" s="140"/>
      <c r="L1378" s="140"/>
      <c r="M1378" s="140"/>
      <c r="N1378" s="140"/>
      <c r="O1378" s="140"/>
      <c r="P1378" s="140"/>
      <c r="Q1378" s="140"/>
      <c r="R1378" s="140"/>
      <c r="S1378" s="140"/>
      <c r="T1378" s="140"/>
      <c r="U1378" s="140"/>
      <c r="V1378" s="140"/>
      <c r="W1378" s="140"/>
      <c r="X1378" s="140"/>
      <c r="Y1378" s="140"/>
      <c r="Z1378" s="140"/>
      <c r="AA1378" s="141"/>
      <c r="AE1378" s="140"/>
      <c r="AI1378" s="141"/>
      <c r="AM1378" s="141"/>
      <c r="AQ1378" s="141"/>
      <c r="AT1378" s="140"/>
      <c r="AU1378" s="140"/>
    </row>
    <row r="1379" spans="2:47" s="134" customFormat="1" x14ac:dyDescent="0.2">
      <c r="B1379" s="145"/>
      <c r="D1379" s="679"/>
      <c r="J1379" s="140"/>
      <c r="K1379" s="140"/>
      <c r="L1379" s="140"/>
      <c r="M1379" s="140"/>
      <c r="N1379" s="140"/>
      <c r="O1379" s="140"/>
      <c r="P1379" s="140"/>
      <c r="Q1379" s="140"/>
      <c r="R1379" s="140"/>
      <c r="S1379" s="140"/>
      <c r="T1379" s="140"/>
      <c r="U1379" s="140"/>
      <c r="V1379" s="140"/>
      <c r="W1379" s="140"/>
      <c r="X1379" s="140"/>
      <c r="Y1379" s="140"/>
      <c r="Z1379" s="140"/>
      <c r="AA1379" s="141"/>
      <c r="AE1379" s="140"/>
      <c r="AI1379" s="141"/>
      <c r="AM1379" s="141"/>
      <c r="AQ1379" s="141"/>
      <c r="AT1379" s="140"/>
      <c r="AU1379" s="140"/>
    </row>
    <row r="1380" spans="2:47" s="134" customFormat="1" x14ac:dyDescent="0.2">
      <c r="B1380" s="145"/>
      <c r="D1380" s="679"/>
      <c r="J1380" s="140"/>
      <c r="K1380" s="140"/>
      <c r="L1380" s="140"/>
      <c r="M1380" s="140"/>
      <c r="N1380" s="140"/>
      <c r="O1380" s="140"/>
      <c r="P1380" s="140"/>
      <c r="Q1380" s="140"/>
      <c r="R1380" s="140"/>
      <c r="S1380" s="140"/>
      <c r="T1380" s="140"/>
      <c r="U1380" s="140"/>
      <c r="V1380" s="140"/>
      <c r="W1380" s="140"/>
      <c r="X1380" s="140"/>
      <c r="Y1380" s="140"/>
      <c r="Z1380" s="140"/>
      <c r="AA1380" s="141"/>
      <c r="AE1380" s="140"/>
      <c r="AI1380" s="141"/>
      <c r="AM1380" s="141"/>
      <c r="AQ1380" s="141"/>
      <c r="AT1380" s="140"/>
      <c r="AU1380" s="140"/>
    </row>
    <row r="1381" spans="2:47" s="134" customFormat="1" x14ac:dyDescent="0.2">
      <c r="B1381" s="145"/>
      <c r="D1381" s="679"/>
      <c r="J1381" s="140"/>
      <c r="K1381" s="140"/>
      <c r="L1381" s="140"/>
      <c r="M1381" s="140"/>
      <c r="N1381" s="140"/>
      <c r="O1381" s="140"/>
      <c r="P1381" s="140"/>
      <c r="Q1381" s="140"/>
      <c r="R1381" s="140"/>
      <c r="S1381" s="140"/>
      <c r="T1381" s="140"/>
      <c r="U1381" s="140"/>
      <c r="V1381" s="140"/>
      <c r="W1381" s="140"/>
      <c r="X1381" s="140"/>
      <c r="Y1381" s="140"/>
      <c r="Z1381" s="140"/>
      <c r="AA1381" s="141"/>
      <c r="AE1381" s="140"/>
      <c r="AI1381" s="141"/>
      <c r="AM1381" s="141"/>
      <c r="AQ1381" s="141"/>
      <c r="AT1381" s="140"/>
      <c r="AU1381" s="140"/>
    </row>
    <row r="1382" spans="2:47" s="134" customFormat="1" x14ac:dyDescent="0.2">
      <c r="B1382" s="145"/>
      <c r="D1382" s="679"/>
      <c r="J1382" s="140"/>
      <c r="K1382" s="140"/>
      <c r="L1382" s="140"/>
      <c r="M1382" s="140"/>
      <c r="N1382" s="140"/>
      <c r="O1382" s="140"/>
      <c r="P1382" s="140"/>
      <c r="Q1382" s="140"/>
      <c r="R1382" s="140"/>
      <c r="S1382" s="140"/>
      <c r="T1382" s="140"/>
      <c r="U1382" s="140"/>
      <c r="V1382" s="140"/>
      <c r="W1382" s="140"/>
      <c r="X1382" s="140"/>
      <c r="Y1382" s="140"/>
      <c r="Z1382" s="140"/>
      <c r="AA1382" s="141"/>
      <c r="AE1382" s="140"/>
      <c r="AI1382" s="141"/>
      <c r="AM1382" s="141"/>
      <c r="AQ1382" s="141"/>
      <c r="AT1382" s="140"/>
      <c r="AU1382" s="140"/>
    </row>
    <row r="1383" spans="2:47" s="134" customFormat="1" x14ac:dyDescent="0.2">
      <c r="B1383" s="145"/>
      <c r="D1383" s="679"/>
      <c r="J1383" s="140"/>
      <c r="K1383" s="140"/>
      <c r="L1383" s="140"/>
      <c r="M1383" s="140"/>
      <c r="N1383" s="140"/>
      <c r="O1383" s="140"/>
      <c r="P1383" s="140"/>
      <c r="Q1383" s="140"/>
      <c r="R1383" s="140"/>
      <c r="S1383" s="140"/>
      <c r="T1383" s="140"/>
      <c r="U1383" s="140"/>
      <c r="V1383" s="140"/>
      <c r="W1383" s="140"/>
      <c r="X1383" s="140"/>
      <c r="Y1383" s="140"/>
      <c r="Z1383" s="140"/>
      <c r="AA1383" s="141"/>
      <c r="AE1383" s="140"/>
      <c r="AI1383" s="141"/>
      <c r="AM1383" s="141"/>
      <c r="AQ1383" s="141"/>
      <c r="AT1383" s="140"/>
      <c r="AU1383" s="140"/>
    </row>
    <row r="1384" spans="2:47" s="134" customFormat="1" x14ac:dyDescent="0.2">
      <c r="B1384" s="145"/>
      <c r="D1384" s="679"/>
      <c r="J1384" s="140"/>
      <c r="K1384" s="140"/>
      <c r="L1384" s="140"/>
      <c r="M1384" s="140"/>
      <c r="N1384" s="140"/>
      <c r="O1384" s="140"/>
      <c r="P1384" s="140"/>
      <c r="Q1384" s="140"/>
      <c r="R1384" s="140"/>
      <c r="S1384" s="140"/>
      <c r="T1384" s="140"/>
      <c r="U1384" s="140"/>
      <c r="V1384" s="140"/>
      <c r="W1384" s="140"/>
      <c r="X1384" s="140"/>
      <c r="Y1384" s="140"/>
      <c r="Z1384" s="140"/>
      <c r="AA1384" s="141"/>
      <c r="AE1384" s="140"/>
      <c r="AI1384" s="141"/>
      <c r="AM1384" s="141"/>
      <c r="AQ1384" s="141"/>
      <c r="AT1384" s="140"/>
      <c r="AU1384" s="140"/>
    </row>
    <row r="1385" spans="2:47" s="134" customFormat="1" x14ac:dyDescent="0.2">
      <c r="B1385" s="145"/>
      <c r="D1385" s="679"/>
      <c r="J1385" s="140"/>
      <c r="K1385" s="140"/>
      <c r="L1385" s="140"/>
      <c r="M1385" s="140"/>
      <c r="N1385" s="140"/>
      <c r="O1385" s="140"/>
      <c r="P1385" s="140"/>
      <c r="Q1385" s="140"/>
      <c r="R1385" s="140"/>
      <c r="S1385" s="140"/>
      <c r="T1385" s="140"/>
      <c r="U1385" s="140"/>
      <c r="V1385" s="140"/>
      <c r="W1385" s="140"/>
      <c r="X1385" s="140"/>
      <c r="Y1385" s="140"/>
      <c r="Z1385" s="140"/>
      <c r="AA1385" s="141"/>
      <c r="AE1385" s="140"/>
      <c r="AI1385" s="141"/>
      <c r="AM1385" s="141"/>
      <c r="AQ1385" s="141"/>
      <c r="AT1385" s="140"/>
      <c r="AU1385" s="140"/>
    </row>
    <row r="1386" spans="2:47" s="134" customFormat="1" x14ac:dyDescent="0.2">
      <c r="B1386" s="145"/>
      <c r="D1386" s="679"/>
      <c r="J1386" s="140"/>
      <c r="K1386" s="140"/>
      <c r="L1386" s="140"/>
      <c r="M1386" s="140"/>
      <c r="N1386" s="140"/>
      <c r="O1386" s="140"/>
      <c r="P1386" s="140"/>
      <c r="Q1386" s="140"/>
      <c r="R1386" s="140"/>
      <c r="S1386" s="140"/>
      <c r="T1386" s="140"/>
      <c r="U1386" s="140"/>
      <c r="V1386" s="140"/>
      <c r="W1386" s="140"/>
      <c r="X1386" s="140"/>
      <c r="Y1386" s="140"/>
      <c r="Z1386" s="140"/>
      <c r="AA1386" s="141"/>
      <c r="AE1386" s="140"/>
      <c r="AI1386" s="141"/>
      <c r="AM1386" s="141"/>
      <c r="AQ1386" s="141"/>
      <c r="AT1386" s="140"/>
      <c r="AU1386" s="140"/>
    </row>
    <row r="1387" spans="2:47" s="134" customFormat="1" x14ac:dyDescent="0.2">
      <c r="B1387" s="145"/>
      <c r="D1387" s="679"/>
      <c r="J1387" s="140"/>
      <c r="K1387" s="140"/>
      <c r="L1387" s="140"/>
      <c r="M1387" s="140"/>
      <c r="N1387" s="140"/>
      <c r="O1387" s="140"/>
      <c r="P1387" s="140"/>
      <c r="Q1387" s="140"/>
      <c r="R1387" s="140"/>
      <c r="S1387" s="140"/>
      <c r="T1387" s="140"/>
      <c r="U1387" s="140"/>
      <c r="V1387" s="140"/>
      <c r="W1387" s="140"/>
      <c r="X1387" s="140"/>
      <c r="Y1387" s="140"/>
      <c r="Z1387" s="140"/>
      <c r="AA1387" s="141"/>
      <c r="AE1387" s="140"/>
      <c r="AI1387" s="141"/>
      <c r="AM1387" s="141"/>
      <c r="AQ1387" s="141"/>
      <c r="AT1387" s="140"/>
      <c r="AU1387" s="140"/>
    </row>
    <row r="1388" spans="2:47" s="134" customFormat="1" x14ac:dyDescent="0.2">
      <c r="B1388" s="145"/>
      <c r="D1388" s="679"/>
      <c r="J1388" s="140"/>
      <c r="K1388" s="140"/>
      <c r="L1388" s="140"/>
      <c r="M1388" s="140"/>
      <c r="N1388" s="140"/>
      <c r="O1388" s="140"/>
      <c r="P1388" s="140"/>
      <c r="Q1388" s="140"/>
      <c r="R1388" s="140"/>
      <c r="S1388" s="140"/>
      <c r="T1388" s="140"/>
      <c r="U1388" s="140"/>
      <c r="V1388" s="140"/>
      <c r="W1388" s="140"/>
      <c r="X1388" s="140"/>
      <c r="Y1388" s="140"/>
      <c r="Z1388" s="140"/>
      <c r="AA1388" s="141"/>
      <c r="AE1388" s="140"/>
      <c r="AI1388" s="141"/>
      <c r="AM1388" s="141"/>
      <c r="AQ1388" s="141"/>
      <c r="AT1388" s="140"/>
      <c r="AU1388" s="140"/>
    </row>
    <row r="1389" spans="2:47" s="134" customFormat="1" x14ac:dyDescent="0.2">
      <c r="B1389" s="145"/>
      <c r="D1389" s="679"/>
      <c r="J1389" s="140"/>
      <c r="K1389" s="140"/>
      <c r="L1389" s="140"/>
      <c r="M1389" s="140"/>
      <c r="N1389" s="140"/>
      <c r="O1389" s="140"/>
      <c r="P1389" s="140"/>
      <c r="Q1389" s="140"/>
      <c r="R1389" s="140"/>
      <c r="S1389" s="140"/>
      <c r="T1389" s="140"/>
      <c r="U1389" s="140"/>
      <c r="V1389" s="140"/>
      <c r="W1389" s="140"/>
      <c r="X1389" s="140"/>
      <c r="Y1389" s="140"/>
      <c r="Z1389" s="140"/>
      <c r="AA1389" s="141"/>
      <c r="AE1389" s="140"/>
      <c r="AI1389" s="141"/>
      <c r="AM1389" s="141"/>
      <c r="AQ1389" s="141"/>
      <c r="AT1389" s="140"/>
      <c r="AU1389" s="140"/>
    </row>
    <row r="1390" spans="2:47" s="134" customFormat="1" x14ac:dyDescent="0.2">
      <c r="B1390" s="145"/>
      <c r="D1390" s="679"/>
      <c r="J1390" s="140"/>
      <c r="K1390" s="140"/>
      <c r="L1390" s="140"/>
      <c r="M1390" s="140"/>
      <c r="N1390" s="140"/>
      <c r="O1390" s="140"/>
      <c r="P1390" s="140"/>
      <c r="Q1390" s="140"/>
      <c r="R1390" s="140"/>
      <c r="S1390" s="140"/>
      <c r="T1390" s="140"/>
      <c r="U1390" s="140"/>
      <c r="V1390" s="140"/>
      <c r="W1390" s="140"/>
      <c r="X1390" s="140"/>
      <c r="Y1390" s="140"/>
      <c r="Z1390" s="140"/>
      <c r="AA1390" s="141"/>
      <c r="AE1390" s="140"/>
      <c r="AI1390" s="141"/>
      <c r="AM1390" s="141"/>
      <c r="AQ1390" s="141"/>
      <c r="AT1390" s="140"/>
      <c r="AU1390" s="140"/>
    </row>
    <row r="1391" spans="2:47" s="134" customFormat="1" x14ac:dyDescent="0.2">
      <c r="B1391" s="145"/>
      <c r="D1391" s="679"/>
      <c r="J1391" s="140"/>
      <c r="K1391" s="140"/>
      <c r="L1391" s="140"/>
      <c r="M1391" s="140"/>
      <c r="N1391" s="140"/>
      <c r="O1391" s="140"/>
      <c r="P1391" s="140"/>
      <c r="Q1391" s="140"/>
      <c r="R1391" s="140"/>
      <c r="S1391" s="140"/>
      <c r="T1391" s="140"/>
      <c r="U1391" s="140"/>
      <c r="V1391" s="140"/>
      <c r="W1391" s="140"/>
      <c r="X1391" s="140"/>
      <c r="Y1391" s="140"/>
      <c r="Z1391" s="140"/>
      <c r="AA1391" s="141"/>
      <c r="AE1391" s="140"/>
      <c r="AI1391" s="141"/>
      <c r="AM1391" s="141"/>
      <c r="AQ1391" s="141"/>
      <c r="AT1391" s="140"/>
      <c r="AU1391" s="140"/>
    </row>
    <row r="1392" spans="2:47" s="134" customFormat="1" x14ac:dyDescent="0.2">
      <c r="B1392" s="145"/>
      <c r="D1392" s="679"/>
      <c r="J1392" s="140"/>
      <c r="K1392" s="140"/>
      <c r="L1392" s="140"/>
      <c r="M1392" s="140"/>
      <c r="N1392" s="140"/>
      <c r="O1392" s="140"/>
      <c r="P1392" s="140"/>
      <c r="Q1392" s="140"/>
      <c r="R1392" s="140"/>
      <c r="S1392" s="140"/>
      <c r="T1392" s="140"/>
      <c r="U1392" s="140"/>
      <c r="V1392" s="140"/>
      <c r="W1392" s="140"/>
      <c r="X1392" s="140"/>
      <c r="Y1392" s="140"/>
      <c r="Z1392" s="140"/>
      <c r="AA1392" s="141"/>
      <c r="AE1392" s="140"/>
      <c r="AI1392" s="141"/>
      <c r="AM1392" s="141"/>
      <c r="AQ1392" s="141"/>
      <c r="AT1392" s="140"/>
      <c r="AU1392" s="140"/>
    </row>
    <row r="1393" spans="2:47" s="134" customFormat="1" x14ac:dyDescent="0.2">
      <c r="B1393" s="145"/>
      <c r="D1393" s="679"/>
      <c r="J1393" s="140"/>
      <c r="K1393" s="140"/>
      <c r="L1393" s="140"/>
      <c r="M1393" s="140"/>
      <c r="N1393" s="140"/>
      <c r="O1393" s="140"/>
      <c r="P1393" s="140"/>
      <c r="Q1393" s="140"/>
      <c r="R1393" s="140"/>
      <c r="S1393" s="140"/>
      <c r="T1393" s="140"/>
      <c r="U1393" s="140"/>
      <c r="V1393" s="140"/>
      <c r="W1393" s="140"/>
      <c r="X1393" s="140"/>
      <c r="Y1393" s="140"/>
      <c r="Z1393" s="140"/>
      <c r="AA1393" s="141"/>
      <c r="AE1393" s="140"/>
      <c r="AI1393" s="141"/>
      <c r="AM1393" s="141"/>
      <c r="AQ1393" s="141"/>
      <c r="AT1393" s="140"/>
      <c r="AU1393" s="140"/>
    </row>
    <row r="1394" spans="2:47" s="134" customFormat="1" x14ac:dyDescent="0.2">
      <c r="B1394" s="145"/>
      <c r="D1394" s="679"/>
      <c r="J1394" s="140"/>
      <c r="K1394" s="140"/>
      <c r="L1394" s="140"/>
      <c r="M1394" s="140"/>
      <c r="N1394" s="140"/>
      <c r="O1394" s="140"/>
      <c r="P1394" s="140"/>
      <c r="Q1394" s="140"/>
      <c r="R1394" s="140"/>
      <c r="S1394" s="140"/>
      <c r="T1394" s="140"/>
      <c r="U1394" s="140"/>
      <c r="V1394" s="140"/>
      <c r="W1394" s="140"/>
      <c r="X1394" s="140"/>
      <c r="Y1394" s="140"/>
      <c r="Z1394" s="140"/>
      <c r="AA1394" s="141"/>
      <c r="AE1394" s="140"/>
      <c r="AI1394" s="141"/>
      <c r="AM1394" s="141"/>
      <c r="AQ1394" s="141"/>
      <c r="AT1394" s="140"/>
      <c r="AU1394" s="140"/>
    </row>
    <row r="1395" spans="2:47" s="134" customFormat="1" x14ac:dyDescent="0.2">
      <c r="B1395" s="145"/>
      <c r="D1395" s="679"/>
      <c r="J1395" s="140"/>
      <c r="K1395" s="140"/>
      <c r="L1395" s="140"/>
      <c r="M1395" s="140"/>
      <c r="N1395" s="140"/>
      <c r="O1395" s="140"/>
      <c r="P1395" s="140"/>
      <c r="Q1395" s="140"/>
      <c r="R1395" s="140"/>
      <c r="S1395" s="140"/>
      <c r="T1395" s="140"/>
      <c r="U1395" s="140"/>
      <c r="V1395" s="140"/>
      <c r="W1395" s="140"/>
      <c r="X1395" s="140"/>
      <c r="Y1395" s="140"/>
      <c r="Z1395" s="140"/>
      <c r="AA1395" s="141"/>
      <c r="AE1395" s="140"/>
      <c r="AI1395" s="141"/>
      <c r="AM1395" s="141"/>
      <c r="AQ1395" s="141"/>
      <c r="AT1395" s="140"/>
      <c r="AU1395" s="140"/>
    </row>
    <row r="1396" spans="2:47" s="134" customFormat="1" x14ac:dyDescent="0.2">
      <c r="B1396" s="145"/>
      <c r="D1396" s="679"/>
      <c r="J1396" s="140"/>
      <c r="K1396" s="140"/>
      <c r="L1396" s="140"/>
      <c r="M1396" s="140"/>
      <c r="N1396" s="140"/>
      <c r="O1396" s="140"/>
      <c r="P1396" s="140"/>
      <c r="Q1396" s="140"/>
      <c r="R1396" s="140"/>
      <c r="S1396" s="140"/>
      <c r="T1396" s="140"/>
      <c r="U1396" s="140"/>
      <c r="V1396" s="140"/>
      <c r="W1396" s="140"/>
      <c r="X1396" s="140"/>
      <c r="Y1396" s="140"/>
      <c r="Z1396" s="140"/>
      <c r="AA1396" s="141"/>
      <c r="AE1396" s="140"/>
      <c r="AI1396" s="141"/>
      <c r="AM1396" s="141"/>
      <c r="AQ1396" s="141"/>
      <c r="AT1396" s="140"/>
      <c r="AU1396" s="140"/>
    </row>
    <row r="1397" spans="2:47" s="134" customFormat="1" x14ac:dyDescent="0.2">
      <c r="B1397" s="145"/>
      <c r="D1397" s="679"/>
      <c r="J1397" s="140"/>
      <c r="K1397" s="140"/>
      <c r="L1397" s="140"/>
      <c r="M1397" s="140"/>
      <c r="N1397" s="140"/>
      <c r="O1397" s="140"/>
      <c r="P1397" s="140"/>
      <c r="Q1397" s="140"/>
      <c r="R1397" s="140"/>
      <c r="S1397" s="140"/>
      <c r="T1397" s="140"/>
      <c r="U1397" s="140"/>
      <c r="V1397" s="140"/>
      <c r="W1397" s="140"/>
      <c r="X1397" s="140"/>
      <c r="Y1397" s="140"/>
      <c r="Z1397" s="140"/>
      <c r="AA1397" s="141"/>
      <c r="AE1397" s="140"/>
      <c r="AI1397" s="141"/>
      <c r="AM1397" s="141"/>
      <c r="AQ1397" s="141"/>
      <c r="AT1397" s="140"/>
      <c r="AU1397" s="140"/>
    </row>
    <row r="1398" spans="2:47" s="134" customFormat="1" x14ac:dyDescent="0.2">
      <c r="B1398" s="145"/>
      <c r="D1398" s="679"/>
      <c r="J1398" s="140"/>
      <c r="K1398" s="140"/>
      <c r="L1398" s="140"/>
      <c r="M1398" s="140"/>
      <c r="N1398" s="140"/>
      <c r="O1398" s="140"/>
      <c r="P1398" s="140"/>
      <c r="Q1398" s="140"/>
      <c r="R1398" s="140"/>
      <c r="S1398" s="140"/>
      <c r="T1398" s="140"/>
      <c r="U1398" s="140"/>
      <c r="V1398" s="140"/>
      <c r="W1398" s="140"/>
      <c r="X1398" s="140"/>
      <c r="Y1398" s="140"/>
      <c r="Z1398" s="140"/>
      <c r="AA1398" s="141"/>
      <c r="AE1398" s="140"/>
      <c r="AI1398" s="141"/>
      <c r="AM1398" s="141"/>
      <c r="AQ1398" s="141"/>
      <c r="AT1398" s="140"/>
      <c r="AU1398" s="140"/>
    </row>
    <row r="1399" spans="2:47" s="134" customFormat="1" x14ac:dyDescent="0.2">
      <c r="B1399" s="145"/>
      <c r="D1399" s="679"/>
      <c r="J1399" s="140"/>
      <c r="K1399" s="140"/>
      <c r="L1399" s="140"/>
      <c r="M1399" s="140"/>
      <c r="N1399" s="140"/>
      <c r="O1399" s="140"/>
      <c r="P1399" s="140"/>
      <c r="Q1399" s="140"/>
      <c r="R1399" s="140"/>
      <c r="S1399" s="140"/>
      <c r="T1399" s="140"/>
      <c r="U1399" s="140"/>
      <c r="V1399" s="140"/>
      <c r="W1399" s="140"/>
      <c r="X1399" s="140"/>
      <c r="Y1399" s="140"/>
      <c r="Z1399" s="140"/>
      <c r="AA1399" s="141"/>
      <c r="AE1399" s="140"/>
      <c r="AI1399" s="141"/>
      <c r="AM1399" s="141"/>
      <c r="AQ1399" s="141"/>
      <c r="AT1399" s="140"/>
      <c r="AU1399" s="140"/>
    </row>
    <row r="1400" spans="2:47" s="134" customFormat="1" x14ac:dyDescent="0.2">
      <c r="B1400" s="145"/>
      <c r="D1400" s="679"/>
      <c r="J1400" s="140"/>
      <c r="K1400" s="140"/>
      <c r="L1400" s="140"/>
      <c r="M1400" s="140"/>
      <c r="N1400" s="140"/>
      <c r="O1400" s="140"/>
      <c r="P1400" s="140"/>
      <c r="Q1400" s="140"/>
      <c r="R1400" s="140"/>
      <c r="S1400" s="140"/>
      <c r="T1400" s="140"/>
      <c r="U1400" s="140"/>
      <c r="V1400" s="140"/>
      <c r="W1400" s="140"/>
      <c r="X1400" s="140"/>
      <c r="Y1400" s="140"/>
      <c r="Z1400" s="140"/>
      <c r="AA1400" s="141"/>
      <c r="AE1400" s="140"/>
      <c r="AI1400" s="141"/>
      <c r="AM1400" s="141"/>
      <c r="AQ1400" s="141"/>
      <c r="AT1400" s="140"/>
      <c r="AU1400" s="140"/>
    </row>
    <row r="1401" spans="2:47" s="134" customFormat="1" x14ac:dyDescent="0.2">
      <c r="B1401" s="145"/>
      <c r="D1401" s="679"/>
      <c r="J1401" s="140"/>
      <c r="K1401" s="140"/>
      <c r="L1401" s="140"/>
      <c r="M1401" s="140"/>
      <c r="N1401" s="140"/>
      <c r="O1401" s="140"/>
      <c r="P1401" s="140"/>
      <c r="Q1401" s="140"/>
      <c r="R1401" s="140"/>
      <c r="S1401" s="140"/>
      <c r="T1401" s="140"/>
      <c r="U1401" s="140"/>
      <c r="V1401" s="140"/>
      <c r="W1401" s="140"/>
      <c r="X1401" s="140"/>
      <c r="Y1401" s="140"/>
      <c r="Z1401" s="140"/>
      <c r="AA1401" s="141"/>
      <c r="AE1401" s="140"/>
      <c r="AI1401" s="141"/>
      <c r="AM1401" s="141"/>
      <c r="AQ1401" s="141"/>
      <c r="AT1401" s="140"/>
      <c r="AU1401" s="140"/>
    </row>
    <row r="1402" spans="2:47" s="134" customFormat="1" x14ac:dyDescent="0.2">
      <c r="B1402" s="145"/>
      <c r="D1402" s="679"/>
      <c r="J1402" s="140"/>
      <c r="K1402" s="140"/>
      <c r="L1402" s="140"/>
      <c r="M1402" s="140"/>
      <c r="N1402" s="140"/>
      <c r="O1402" s="140"/>
      <c r="P1402" s="140"/>
      <c r="Q1402" s="140"/>
      <c r="R1402" s="140"/>
      <c r="S1402" s="140"/>
      <c r="T1402" s="140"/>
      <c r="U1402" s="140"/>
      <c r="V1402" s="140"/>
      <c r="W1402" s="140"/>
      <c r="X1402" s="140"/>
      <c r="Y1402" s="140"/>
      <c r="Z1402" s="140"/>
      <c r="AA1402" s="141"/>
      <c r="AE1402" s="140"/>
      <c r="AI1402" s="141"/>
      <c r="AM1402" s="141"/>
      <c r="AQ1402" s="141"/>
      <c r="AT1402" s="140"/>
      <c r="AU1402" s="140"/>
    </row>
    <row r="1403" spans="2:47" s="134" customFormat="1" x14ac:dyDescent="0.2">
      <c r="B1403" s="145"/>
      <c r="D1403" s="679"/>
      <c r="J1403" s="140"/>
      <c r="K1403" s="140"/>
      <c r="L1403" s="140"/>
      <c r="M1403" s="140"/>
      <c r="N1403" s="140"/>
      <c r="O1403" s="140"/>
      <c r="P1403" s="140"/>
      <c r="Q1403" s="140"/>
      <c r="R1403" s="140"/>
      <c r="S1403" s="140"/>
      <c r="T1403" s="140"/>
      <c r="U1403" s="140"/>
      <c r="V1403" s="140"/>
      <c r="W1403" s="140"/>
      <c r="X1403" s="140"/>
      <c r="Y1403" s="140"/>
      <c r="Z1403" s="140"/>
      <c r="AA1403" s="141"/>
      <c r="AE1403" s="140"/>
      <c r="AI1403" s="141"/>
      <c r="AM1403" s="141"/>
      <c r="AQ1403" s="141"/>
      <c r="AT1403" s="140"/>
      <c r="AU1403" s="140"/>
    </row>
    <row r="1404" spans="2:47" s="134" customFormat="1" x14ac:dyDescent="0.2">
      <c r="B1404" s="145"/>
      <c r="D1404" s="679"/>
      <c r="J1404" s="140"/>
      <c r="K1404" s="140"/>
      <c r="L1404" s="140"/>
      <c r="M1404" s="140"/>
      <c r="N1404" s="140"/>
      <c r="O1404" s="140"/>
      <c r="P1404" s="140"/>
      <c r="Q1404" s="140"/>
      <c r="R1404" s="140"/>
      <c r="S1404" s="140"/>
      <c r="T1404" s="140"/>
      <c r="U1404" s="140"/>
      <c r="V1404" s="140"/>
      <c r="W1404" s="140"/>
      <c r="X1404" s="140"/>
      <c r="Y1404" s="140"/>
      <c r="Z1404" s="140"/>
      <c r="AA1404" s="141"/>
      <c r="AE1404" s="140"/>
      <c r="AI1404" s="141"/>
      <c r="AM1404" s="141"/>
      <c r="AQ1404" s="141"/>
      <c r="AT1404" s="140"/>
      <c r="AU1404" s="140"/>
    </row>
    <row r="1405" spans="2:47" s="134" customFormat="1" x14ac:dyDescent="0.2">
      <c r="B1405" s="145"/>
      <c r="D1405" s="679"/>
      <c r="J1405" s="140"/>
      <c r="K1405" s="140"/>
      <c r="L1405" s="140"/>
      <c r="M1405" s="140"/>
      <c r="N1405" s="140"/>
      <c r="O1405" s="140"/>
      <c r="P1405" s="140"/>
      <c r="Q1405" s="140"/>
      <c r="R1405" s="140"/>
      <c r="S1405" s="140"/>
      <c r="T1405" s="140"/>
      <c r="U1405" s="140"/>
      <c r="V1405" s="140"/>
      <c r="W1405" s="140"/>
      <c r="X1405" s="140"/>
      <c r="Y1405" s="140"/>
      <c r="Z1405" s="140"/>
      <c r="AA1405" s="141"/>
      <c r="AE1405" s="140"/>
      <c r="AI1405" s="141"/>
      <c r="AM1405" s="141"/>
      <c r="AQ1405" s="141"/>
      <c r="AT1405" s="140"/>
      <c r="AU1405" s="140"/>
    </row>
    <row r="1406" spans="2:47" s="134" customFormat="1" x14ac:dyDescent="0.2">
      <c r="B1406" s="145"/>
      <c r="D1406" s="679"/>
      <c r="J1406" s="140"/>
      <c r="K1406" s="140"/>
      <c r="L1406" s="140"/>
      <c r="M1406" s="140"/>
      <c r="N1406" s="140"/>
      <c r="O1406" s="140"/>
      <c r="P1406" s="140"/>
      <c r="Q1406" s="140"/>
      <c r="R1406" s="140"/>
      <c r="S1406" s="140"/>
      <c r="T1406" s="140"/>
      <c r="U1406" s="140"/>
      <c r="V1406" s="140"/>
      <c r="W1406" s="140"/>
      <c r="X1406" s="140"/>
      <c r="Y1406" s="140"/>
      <c r="Z1406" s="140"/>
      <c r="AA1406" s="141"/>
      <c r="AE1406" s="140"/>
      <c r="AI1406" s="141"/>
      <c r="AM1406" s="141"/>
      <c r="AQ1406" s="141"/>
      <c r="AT1406" s="140"/>
      <c r="AU1406" s="140"/>
    </row>
    <row r="1407" spans="2:47" s="134" customFormat="1" x14ac:dyDescent="0.2">
      <c r="B1407" s="145"/>
      <c r="D1407" s="679"/>
      <c r="J1407" s="140"/>
      <c r="K1407" s="140"/>
      <c r="L1407" s="140"/>
      <c r="M1407" s="140"/>
      <c r="N1407" s="140"/>
      <c r="O1407" s="140"/>
      <c r="P1407" s="140"/>
      <c r="Q1407" s="140"/>
      <c r="R1407" s="140"/>
      <c r="S1407" s="140"/>
      <c r="T1407" s="140"/>
      <c r="U1407" s="140"/>
      <c r="V1407" s="140"/>
      <c r="W1407" s="140"/>
      <c r="X1407" s="140"/>
      <c r="Y1407" s="140"/>
      <c r="Z1407" s="140"/>
      <c r="AA1407" s="141"/>
      <c r="AE1407" s="140"/>
      <c r="AI1407" s="141"/>
      <c r="AM1407" s="141"/>
      <c r="AQ1407" s="141"/>
      <c r="AT1407" s="140"/>
      <c r="AU1407" s="140"/>
    </row>
    <row r="1408" spans="2:47" s="134" customFormat="1" x14ac:dyDescent="0.2">
      <c r="B1408" s="145"/>
      <c r="D1408" s="679"/>
      <c r="J1408" s="140"/>
      <c r="K1408" s="140"/>
      <c r="L1408" s="140"/>
      <c r="M1408" s="140"/>
      <c r="N1408" s="140"/>
      <c r="O1408" s="140"/>
      <c r="P1408" s="140"/>
      <c r="Q1408" s="140"/>
      <c r="R1408" s="140"/>
      <c r="S1408" s="140"/>
      <c r="T1408" s="140"/>
      <c r="U1408" s="140"/>
      <c r="V1408" s="140"/>
      <c r="W1408" s="140"/>
      <c r="X1408" s="140"/>
      <c r="Y1408" s="140"/>
      <c r="Z1408" s="140"/>
      <c r="AA1408" s="141"/>
      <c r="AE1408" s="140"/>
      <c r="AI1408" s="141"/>
      <c r="AM1408" s="141"/>
      <c r="AQ1408" s="141"/>
      <c r="AT1408" s="140"/>
      <c r="AU1408" s="140"/>
    </row>
    <row r="1409" spans="2:47" s="134" customFormat="1" x14ac:dyDescent="0.2">
      <c r="B1409" s="145"/>
      <c r="D1409" s="679"/>
      <c r="J1409" s="140"/>
      <c r="K1409" s="140"/>
      <c r="L1409" s="140"/>
      <c r="M1409" s="140"/>
      <c r="N1409" s="140"/>
      <c r="O1409" s="140"/>
      <c r="P1409" s="140"/>
      <c r="Q1409" s="140"/>
      <c r="R1409" s="140"/>
      <c r="S1409" s="140"/>
      <c r="T1409" s="140"/>
      <c r="U1409" s="140"/>
      <c r="V1409" s="140"/>
      <c r="W1409" s="140"/>
      <c r="X1409" s="140"/>
      <c r="Y1409" s="140"/>
      <c r="Z1409" s="140"/>
      <c r="AA1409" s="141"/>
      <c r="AE1409" s="140"/>
      <c r="AI1409" s="141"/>
      <c r="AM1409" s="141"/>
      <c r="AQ1409" s="141"/>
      <c r="AT1409" s="140"/>
      <c r="AU1409" s="140"/>
    </row>
    <row r="1410" spans="2:47" s="134" customFormat="1" x14ac:dyDescent="0.2">
      <c r="B1410" s="145"/>
      <c r="D1410" s="679"/>
      <c r="J1410" s="140"/>
      <c r="K1410" s="140"/>
      <c r="L1410" s="140"/>
      <c r="M1410" s="140"/>
      <c r="N1410" s="140"/>
      <c r="O1410" s="140"/>
      <c r="P1410" s="140"/>
      <c r="Q1410" s="140"/>
      <c r="R1410" s="140"/>
      <c r="S1410" s="140"/>
      <c r="T1410" s="140"/>
      <c r="U1410" s="140"/>
      <c r="V1410" s="140"/>
      <c r="W1410" s="140"/>
      <c r="X1410" s="140"/>
      <c r="Y1410" s="140"/>
      <c r="Z1410" s="140"/>
      <c r="AA1410" s="141"/>
      <c r="AE1410" s="140"/>
      <c r="AI1410" s="141"/>
      <c r="AM1410" s="141"/>
      <c r="AQ1410" s="141"/>
      <c r="AT1410" s="140"/>
      <c r="AU1410" s="140"/>
    </row>
    <row r="1411" spans="2:47" s="134" customFormat="1" x14ac:dyDescent="0.2">
      <c r="B1411" s="145"/>
      <c r="D1411" s="679"/>
      <c r="J1411" s="140"/>
      <c r="K1411" s="140"/>
      <c r="L1411" s="140"/>
      <c r="M1411" s="140"/>
      <c r="N1411" s="140"/>
      <c r="O1411" s="140"/>
      <c r="P1411" s="140"/>
      <c r="Q1411" s="140"/>
      <c r="R1411" s="140"/>
      <c r="S1411" s="140"/>
      <c r="T1411" s="140"/>
      <c r="U1411" s="140"/>
      <c r="V1411" s="140"/>
      <c r="W1411" s="140"/>
      <c r="X1411" s="140"/>
      <c r="Y1411" s="140"/>
      <c r="Z1411" s="140"/>
      <c r="AA1411" s="141"/>
      <c r="AE1411" s="140"/>
      <c r="AI1411" s="141"/>
      <c r="AM1411" s="141"/>
      <c r="AQ1411" s="141"/>
      <c r="AT1411" s="140"/>
      <c r="AU1411" s="140"/>
    </row>
    <row r="1412" spans="2:47" s="134" customFormat="1" x14ac:dyDescent="0.2">
      <c r="B1412" s="145"/>
      <c r="D1412" s="679"/>
      <c r="J1412" s="140"/>
      <c r="K1412" s="140"/>
      <c r="L1412" s="140"/>
      <c r="M1412" s="140"/>
      <c r="N1412" s="140"/>
      <c r="O1412" s="140"/>
      <c r="P1412" s="140"/>
      <c r="Q1412" s="140"/>
      <c r="R1412" s="140"/>
      <c r="S1412" s="140"/>
      <c r="T1412" s="140"/>
      <c r="U1412" s="140"/>
      <c r="V1412" s="140"/>
      <c r="W1412" s="140"/>
      <c r="X1412" s="140"/>
      <c r="Y1412" s="140"/>
      <c r="Z1412" s="140"/>
      <c r="AA1412" s="141"/>
      <c r="AE1412" s="140"/>
      <c r="AI1412" s="141"/>
      <c r="AM1412" s="141"/>
      <c r="AQ1412" s="141"/>
      <c r="AT1412" s="140"/>
      <c r="AU1412" s="140"/>
    </row>
    <row r="1413" spans="2:47" s="134" customFormat="1" x14ac:dyDescent="0.2">
      <c r="B1413" s="145"/>
      <c r="D1413" s="679"/>
      <c r="J1413" s="140"/>
      <c r="K1413" s="140"/>
      <c r="L1413" s="140"/>
      <c r="M1413" s="140"/>
      <c r="N1413" s="140"/>
      <c r="O1413" s="140"/>
      <c r="P1413" s="140"/>
      <c r="Q1413" s="140"/>
      <c r="R1413" s="140"/>
      <c r="S1413" s="140"/>
      <c r="T1413" s="140"/>
      <c r="U1413" s="140"/>
      <c r="V1413" s="140"/>
      <c r="W1413" s="140"/>
      <c r="X1413" s="140"/>
      <c r="Y1413" s="140"/>
      <c r="Z1413" s="140"/>
      <c r="AA1413" s="141"/>
      <c r="AE1413" s="140"/>
      <c r="AI1413" s="141"/>
      <c r="AM1413" s="141"/>
      <c r="AQ1413" s="141"/>
      <c r="AT1413" s="140"/>
      <c r="AU1413" s="140"/>
    </row>
    <row r="1414" spans="2:47" s="134" customFormat="1" x14ac:dyDescent="0.2">
      <c r="B1414" s="145"/>
      <c r="D1414" s="679"/>
      <c r="J1414" s="140"/>
      <c r="K1414" s="140"/>
      <c r="L1414" s="140"/>
      <c r="M1414" s="140"/>
      <c r="N1414" s="140"/>
      <c r="O1414" s="140"/>
      <c r="P1414" s="140"/>
      <c r="Q1414" s="140"/>
      <c r="R1414" s="140"/>
      <c r="S1414" s="140"/>
      <c r="T1414" s="140"/>
      <c r="U1414" s="140"/>
      <c r="V1414" s="140"/>
      <c r="W1414" s="140"/>
      <c r="X1414" s="140"/>
      <c r="Y1414" s="140"/>
      <c r="Z1414" s="140"/>
      <c r="AA1414" s="141"/>
      <c r="AE1414" s="140"/>
      <c r="AI1414" s="141"/>
      <c r="AM1414" s="141"/>
      <c r="AQ1414" s="141"/>
      <c r="AT1414" s="140"/>
      <c r="AU1414" s="140"/>
    </row>
    <row r="1415" spans="2:47" s="134" customFormat="1" x14ac:dyDescent="0.2">
      <c r="B1415" s="145"/>
      <c r="D1415" s="679"/>
      <c r="J1415" s="140"/>
      <c r="K1415" s="140"/>
      <c r="L1415" s="140"/>
      <c r="M1415" s="140"/>
      <c r="N1415" s="140"/>
      <c r="O1415" s="140"/>
      <c r="P1415" s="140"/>
      <c r="Q1415" s="140"/>
      <c r="R1415" s="140"/>
      <c r="S1415" s="140"/>
      <c r="T1415" s="140"/>
      <c r="U1415" s="140"/>
      <c r="V1415" s="140"/>
      <c r="W1415" s="140"/>
      <c r="X1415" s="140"/>
      <c r="Y1415" s="140"/>
      <c r="Z1415" s="140"/>
      <c r="AA1415" s="141"/>
      <c r="AE1415" s="140"/>
      <c r="AI1415" s="141"/>
      <c r="AM1415" s="141"/>
      <c r="AQ1415" s="141"/>
      <c r="AT1415" s="140"/>
      <c r="AU1415" s="140"/>
    </row>
    <row r="1416" spans="2:47" s="134" customFormat="1" x14ac:dyDescent="0.2">
      <c r="B1416" s="145"/>
      <c r="D1416" s="679"/>
      <c r="J1416" s="140"/>
      <c r="K1416" s="140"/>
      <c r="L1416" s="140"/>
      <c r="M1416" s="140"/>
      <c r="N1416" s="140"/>
      <c r="O1416" s="140"/>
      <c r="P1416" s="140"/>
      <c r="Q1416" s="140"/>
      <c r="R1416" s="140"/>
      <c r="S1416" s="140"/>
      <c r="T1416" s="140"/>
      <c r="U1416" s="140"/>
      <c r="V1416" s="140"/>
      <c r="W1416" s="140"/>
      <c r="X1416" s="140"/>
      <c r="Y1416" s="140"/>
      <c r="Z1416" s="140"/>
      <c r="AA1416" s="141"/>
      <c r="AE1416" s="140"/>
      <c r="AI1416" s="141"/>
      <c r="AM1416" s="141"/>
      <c r="AQ1416" s="141"/>
      <c r="AT1416" s="140"/>
      <c r="AU1416" s="140"/>
    </row>
    <row r="1417" spans="2:47" s="134" customFormat="1" x14ac:dyDescent="0.2">
      <c r="B1417" s="145"/>
      <c r="D1417" s="679"/>
      <c r="J1417" s="140"/>
      <c r="K1417" s="140"/>
      <c r="L1417" s="140"/>
      <c r="M1417" s="140"/>
      <c r="N1417" s="140"/>
      <c r="O1417" s="140"/>
      <c r="P1417" s="140"/>
      <c r="Q1417" s="140"/>
      <c r="R1417" s="140"/>
      <c r="S1417" s="140"/>
      <c r="T1417" s="140"/>
      <c r="U1417" s="140"/>
      <c r="V1417" s="140"/>
      <c r="W1417" s="140"/>
      <c r="X1417" s="140"/>
      <c r="Y1417" s="140"/>
      <c r="Z1417" s="140"/>
      <c r="AA1417" s="141"/>
      <c r="AE1417" s="140"/>
      <c r="AI1417" s="141"/>
      <c r="AM1417" s="141"/>
      <c r="AQ1417" s="141"/>
      <c r="AT1417" s="140"/>
      <c r="AU1417" s="140"/>
    </row>
    <row r="1418" spans="2:47" s="134" customFormat="1" x14ac:dyDescent="0.2">
      <c r="B1418" s="145"/>
      <c r="D1418" s="679"/>
      <c r="J1418" s="140"/>
      <c r="K1418" s="140"/>
      <c r="L1418" s="140"/>
      <c r="M1418" s="140"/>
      <c r="N1418" s="140"/>
      <c r="O1418" s="140"/>
      <c r="P1418" s="140"/>
      <c r="Q1418" s="140"/>
      <c r="R1418" s="140"/>
      <c r="S1418" s="140"/>
      <c r="T1418" s="140"/>
      <c r="U1418" s="140"/>
      <c r="V1418" s="140"/>
      <c r="W1418" s="140"/>
      <c r="X1418" s="140"/>
      <c r="Y1418" s="140"/>
      <c r="Z1418" s="140"/>
      <c r="AA1418" s="141"/>
      <c r="AE1418" s="140"/>
      <c r="AI1418" s="141"/>
      <c r="AM1418" s="141"/>
      <c r="AQ1418" s="141"/>
      <c r="AT1418" s="140"/>
      <c r="AU1418" s="140"/>
    </row>
    <row r="1419" spans="2:47" s="134" customFormat="1" x14ac:dyDescent="0.2">
      <c r="B1419" s="145"/>
      <c r="D1419" s="679"/>
      <c r="J1419" s="140"/>
      <c r="K1419" s="140"/>
      <c r="L1419" s="140"/>
      <c r="M1419" s="140"/>
      <c r="N1419" s="140"/>
      <c r="O1419" s="140"/>
      <c r="P1419" s="140"/>
      <c r="Q1419" s="140"/>
      <c r="R1419" s="140"/>
      <c r="S1419" s="140"/>
      <c r="T1419" s="140"/>
      <c r="U1419" s="140"/>
      <c r="V1419" s="140"/>
      <c r="W1419" s="140"/>
      <c r="X1419" s="140"/>
      <c r="Y1419" s="140"/>
      <c r="Z1419" s="140"/>
      <c r="AA1419" s="141"/>
      <c r="AE1419" s="140"/>
      <c r="AI1419" s="141"/>
      <c r="AM1419" s="141"/>
      <c r="AQ1419" s="141"/>
      <c r="AT1419" s="140"/>
      <c r="AU1419" s="140"/>
    </row>
    <row r="1420" spans="2:47" s="134" customFormat="1" x14ac:dyDescent="0.2">
      <c r="B1420" s="145"/>
      <c r="D1420" s="679"/>
      <c r="J1420" s="140"/>
      <c r="K1420" s="140"/>
      <c r="L1420" s="140"/>
      <c r="M1420" s="140"/>
      <c r="N1420" s="140"/>
      <c r="O1420" s="140"/>
      <c r="P1420" s="140"/>
      <c r="Q1420" s="140"/>
      <c r="R1420" s="140"/>
      <c r="S1420" s="140"/>
      <c r="T1420" s="140"/>
      <c r="U1420" s="140"/>
      <c r="V1420" s="140"/>
      <c r="W1420" s="140"/>
      <c r="X1420" s="140"/>
      <c r="Y1420" s="140"/>
      <c r="Z1420" s="140"/>
      <c r="AA1420" s="141"/>
      <c r="AE1420" s="140"/>
      <c r="AI1420" s="141"/>
      <c r="AM1420" s="141"/>
      <c r="AQ1420" s="141"/>
      <c r="AT1420" s="140"/>
      <c r="AU1420" s="140"/>
    </row>
    <row r="1421" spans="2:47" s="134" customFormat="1" x14ac:dyDescent="0.2">
      <c r="B1421" s="145"/>
      <c r="D1421" s="679"/>
      <c r="J1421" s="140"/>
      <c r="K1421" s="140"/>
      <c r="L1421" s="140"/>
      <c r="M1421" s="140"/>
      <c r="N1421" s="140"/>
      <c r="O1421" s="140"/>
      <c r="P1421" s="140"/>
      <c r="Q1421" s="140"/>
      <c r="R1421" s="140"/>
      <c r="S1421" s="140"/>
      <c r="T1421" s="140"/>
      <c r="U1421" s="140"/>
      <c r="V1421" s="140"/>
      <c r="W1421" s="140"/>
      <c r="X1421" s="140"/>
      <c r="Y1421" s="140"/>
      <c r="Z1421" s="140"/>
      <c r="AA1421" s="141"/>
      <c r="AE1421" s="140"/>
      <c r="AI1421" s="141"/>
      <c r="AM1421" s="141"/>
      <c r="AQ1421" s="141"/>
      <c r="AT1421" s="140"/>
      <c r="AU1421" s="140"/>
    </row>
    <row r="1422" spans="2:47" s="134" customFormat="1" x14ac:dyDescent="0.2">
      <c r="B1422" s="145"/>
      <c r="D1422" s="679"/>
      <c r="J1422" s="140"/>
      <c r="K1422" s="140"/>
      <c r="L1422" s="140"/>
      <c r="M1422" s="140"/>
      <c r="N1422" s="140"/>
      <c r="O1422" s="140"/>
      <c r="P1422" s="140"/>
      <c r="Q1422" s="140"/>
      <c r="R1422" s="140"/>
      <c r="S1422" s="140"/>
      <c r="T1422" s="140"/>
      <c r="U1422" s="140"/>
      <c r="V1422" s="140"/>
      <c r="W1422" s="140"/>
      <c r="X1422" s="140"/>
      <c r="Y1422" s="140"/>
      <c r="Z1422" s="140"/>
      <c r="AA1422" s="141"/>
      <c r="AE1422" s="140"/>
      <c r="AI1422" s="141"/>
      <c r="AM1422" s="141"/>
      <c r="AQ1422" s="141"/>
      <c r="AT1422" s="140"/>
      <c r="AU1422" s="140"/>
    </row>
    <row r="1423" spans="2:47" s="134" customFormat="1" x14ac:dyDescent="0.2">
      <c r="B1423" s="145"/>
      <c r="D1423" s="679"/>
      <c r="J1423" s="140"/>
      <c r="K1423" s="140"/>
      <c r="L1423" s="140"/>
      <c r="M1423" s="140"/>
      <c r="N1423" s="140"/>
      <c r="O1423" s="140"/>
      <c r="P1423" s="140"/>
      <c r="Q1423" s="140"/>
      <c r="R1423" s="140"/>
      <c r="S1423" s="140"/>
      <c r="T1423" s="140"/>
      <c r="U1423" s="140"/>
      <c r="V1423" s="140"/>
      <c r="W1423" s="140"/>
      <c r="X1423" s="140"/>
      <c r="Y1423" s="140"/>
      <c r="Z1423" s="140"/>
      <c r="AA1423" s="141"/>
      <c r="AE1423" s="140"/>
      <c r="AI1423" s="141"/>
      <c r="AM1423" s="141"/>
      <c r="AQ1423" s="141"/>
      <c r="AT1423" s="140"/>
      <c r="AU1423" s="140"/>
    </row>
    <row r="1424" spans="2:47" s="134" customFormat="1" x14ac:dyDescent="0.2">
      <c r="B1424" s="145"/>
      <c r="D1424" s="679"/>
      <c r="J1424" s="140"/>
      <c r="K1424" s="140"/>
      <c r="L1424" s="140"/>
      <c r="M1424" s="140"/>
      <c r="N1424" s="140"/>
      <c r="O1424" s="140"/>
      <c r="P1424" s="140"/>
      <c r="Q1424" s="140"/>
      <c r="R1424" s="140"/>
      <c r="S1424" s="140"/>
      <c r="T1424" s="140"/>
      <c r="U1424" s="140"/>
      <c r="V1424" s="140"/>
      <c r="W1424" s="140"/>
      <c r="X1424" s="140"/>
      <c r="Y1424" s="140"/>
      <c r="Z1424" s="140"/>
      <c r="AA1424" s="141"/>
      <c r="AE1424" s="140"/>
      <c r="AI1424" s="141"/>
      <c r="AM1424" s="141"/>
      <c r="AQ1424" s="141"/>
      <c r="AT1424" s="140"/>
      <c r="AU1424" s="140"/>
    </row>
    <row r="1425" spans="2:47" s="134" customFormat="1" x14ac:dyDescent="0.2">
      <c r="B1425" s="145"/>
      <c r="D1425" s="679"/>
      <c r="J1425" s="140"/>
      <c r="K1425" s="140"/>
      <c r="L1425" s="140"/>
      <c r="M1425" s="140"/>
      <c r="N1425" s="140"/>
      <c r="O1425" s="140"/>
      <c r="P1425" s="140"/>
      <c r="Q1425" s="140"/>
      <c r="R1425" s="140"/>
      <c r="S1425" s="140"/>
      <c r="T1425" s="140"/>
      <c r="U1425" s="140"/>
      <c r="V1425" s="140"/>
      <c r="W1425" s="140"/>
      <c r="X1425" s="140"/>
      <c r="Y1425" s="140"/>
      <c r="Z1425" s="140"/>
      <c r="AA1425" s="141"/>
      <c r="AE1425" s="140"/>
      <c r="AI1425" s="141"/>
      <c r="AM1425" s="141"/>
      <c r="AQ1425" s="141"/>
      <c r="AT1425" s="140"/>
      <c r="AU1425" s="140"/>
    </row>
    <row r="1426" spans="2:47" s="134" customFormat="1" x14ac:dyDescent="0.2">
      <c r="B1426" s="145"/>
      <c r="D1426" s="679"/>
      <c r="J1426" s="140"/>
      <c r="K1426" s="140"/>
      <c r="L1426" s="140"/>
      <c r="M1426" s="140"/>
      <c r="N1426" s="140"/>
      <c r="O1426" s="140"/>
      <c r="P1426" s="140"/>
      <c r="Q1426" s="140"/>
      <c r="R1426" s="140"/>
      <c r="S1426" s="140"/>
      <c r="T1426" s="140"/>
      <c r="U1426" s="140"/>
      <c r="V1426" s="140"/>
      <c r="W1426" s="140"/>
      <c r="X1426" s="140"/>
      <c r="Y1426" s="140"/>
      <c r="Z1426" s="140"/>
      <c r="AA1426" s="141"/>
      <c r="AE1426" s="140"/>
      <c r="AI1426" s="141"/>
      <c r="AM1426" s="141"/>
      <c r="AQ1426" s="141"/>
      <c r="AT1426" s="140"/>
      <c r="AU1426" s="140"/>
    </row>
    <row r="1427" spans="2:47" s="134" customFormat="1" x14ac:dyDescent="0.2">
      <c r="B1427" s="145"/>
      <c r="D1427" s="679"/>
      <c r="J1427" s="140"/>
      <c r="K1427" s="140"/>
      <c r="L1427" s="140"/>
      <c r="M1427" s="140"/>
      <c r="N1427" s="140"/>
      <c r="O1427" s="140"/>
      <c r="P1427" s="140"/>
      <c r="Q1427" s="140"/>
      <c r="R1427" s="140"/>
      <c r="S1427" s="140"/>
      <c r="T1427" s="140"/>
      <c r="U1427" s="140"/>
      <c r="V1427" s="140"/>
      <c r="W1427" s="140"/>
      <c r="X1427" s="140"/>
      <c r="Y1427" s="140"/>
      <c r="Z1427" s="140"/>
      <c r="AA1427" s="141"/>
      <c r="AE1427" s="140"/>
      <c r="AI1427" s="141"/>
      <c r="AM1427" s="141"/>
      <c r="AQ1427" s="141"/>
      <c r="AT1427" s="140"/>
      <c r="AU1427" s="140"/>
    </row>
    <row r="1428" spans="2:47" s="134" customFormat="1" x14ac:dyDescent="0.2">
      <c r="B1428" s="145"/>
      <c r="D1428" s="679"/>
      <c r="J1428" s="140"/>
      <c r="K1428" s="140"/>
      <c r="L1428" s="140"/>
      <c r="M1428" s="140"/>
      <c r="N1428" s="140"/>
      <c r="O1428" s="140"/>
      <c r="P1428" s="140"/>
      <c r="Q1428" s="140"/>
      <c r="R1428" s="140"/>
      <c r="S1428" s="140"/>
      <c r="T1428" s="140"/>
      <c r="U1428" s="140"/>
      <c r="V1428" s="140"/>
      <c r="W1428" s="140"/>
      <c r="X1428" s="140"/>
      <c r="Y1428" s="140"/>
      <c r="Z1428" s="140"/>
      <c r="AA1428" s="141"/>
      <c r="AE1428" s="140"/>
      <c r="AI1428" s="141"/>
      <c r="AM1428" s="141"/>
      <c r="AQ1428" s="141"/>
      <c r="AT1428" s="140"/>
      <c r="AU1428" s="140"/>
    </row>
    <row r="1429" spans="2:47" s="134" customFormat="1" x14ac:dyDescent="0.2">
      <c r="B1429" s="145"/>
      <c r="D1429" s="679"/>
      <c r="J1429" s="140"/>
      <c r="K1429" s="140"/>
      <c r="L1429" s="140"/>
      <c r="M1429" s="140"/>
      <c r="N1429" s="140"/>
      <c r="O1429" s="140"/>
      <c r="P1429" s="140"/>
      <c r="Q1429" s="140"/>
      <c r="R1429" s="140"/>
      <c r="S1429" s="140"/>
      <c r="T1429" s="140"/>
      <c r="U1429" s="140"/>
      <c r="V1429" s="140"/>
      <c r="W1429" s="140"/>
      <c r="X1429" s="140"/>
      <c r="Y1429" s="140"/>
      <c r="Z1429" s="140"/>
      <c r="AA1429" s="141"/>
      <c r="AE1429" s="140"/>
      <c r="AI1429" s="141"/>
      <c r="AM1429" s="141"/>
      <c r="AQ1429" s="141"/>
      <c r="AT1429" s="140"/>
      <c r="AU1429" s="140"/>
    </row>
    <row r="1430" spans="2:47" s="134" customFormat="1" x14ac:dyDescent="0.2">
      <c r="B1430" s="145"/>
      <c r="D1430" s="679"/>
      <c r="J1430" s="140"/>
      <c r="K1430" s="140"/>
      <c r="L1430" s="140"/>
      <c r="M1430" s="140"/>
      <c r="N1430" s="140"/>
      <c r="O1430" s="140"/>
      <c r="P1430" s="140"/>
      <c r="Q1430" s="140"/>
      <c r="R1430" s="140"/>
      <c r="S1430" s="140"/>
      <c r="T1430" s="140"/>
      <c r="U1430" s="140"/>
      <c r="V1430" s="140"/>
      <c r="W1430" s="140"/>
      <c r="X1430" s="140"/>
      <c r="Y1430" s="140"/>
      <c r="Z1430" s="140"/>
      <c r="AA1430" s="141"/>
      <c r="AE1430" s="140"/>
      <c r="AI1430" s="141"/>
      <c r="AM1430" s="141"/>
      <c r="AQ1430" s="141"/>
      <c r="AT1430" s="140"/>
      <c r="AU1430" s="140"/>
    </row>
    <row r="1431" spans="2:47" s="134" customFormat="1" x14ac:dyDescent="0.2">
      <c r="B1431" s="145"/>
      <c r="D1431" s="679"/>
      <c r="J1431" s="140"/>
      <c r="K1431" s="140"/>
      <c r="L1431" s="140"/>
      <c r="M1431" s="140"/>
      <c r="N1431" s="140"/>
      <c r="O1431" s="140"/>
      <c r="P1431" s="140"/>
      <c r="Q1431" s="140"/>
      <c r="R1431" s="140"/>
      <c r="S1431" s="140"/>
      <c r="T1431" s="140"/>
      <c r="U1431" s="140"/>
      <c r="V1431" s="140"/>
      <c r="W1431" s="140"/>
      <c r="X1431" s="140"/>
      <c r="Y1431" s="140"/>
      <c r="Z1431" s="140"/>
      <c r="AA1431" s="141"/>
      <c r="AE1431" s="140"/>
      <c r="AI1431" s="141"/>
      <c r="AM1431" s="141"/>
      <c r="AQ1431" s="141"/>
      <c r="AT1431" s="140"/>
      <c r="AU1431" s="140"/>
    </row>
    <row r="1432" spans="2:47" s="134" customFormat="1" x14ac:dyDescent="0.2">
      <c r="B1432" s="145"/>
      <c r="D1432" s="679"/>
      <c r="J1432" s="140"/>
      <c r="K1432" s="140"/>
      <c r="L1432" s="140"/>
      <c r="M1432" s="140"/>
      <c r="N1432" s="140"/>
      <c r="O1432" s="140"/>
      <c r="P1432" s="140"/>
      <c r="Q1432" s="140"/>
      <c r="R1432" s="140"/>
      <c r="S1432" s="140"/>
      <c r="T1432" s="140"/>
      <c r="U1432" s="140"/>
      <c r="V1432" s="140"/>
      <c r="W1432" s="140"/>
      <c r="X1432" s="140"/>
      <c r="Y1432" s="140"/>
      <c r="Z1432" s="140"/>
      <c r="AA1432" s="141"/>
      <c r="AE1432" s="140"/>
      <c r="AI1432" s="141"/>
      <c r="AM1432" s="141"/>
      <c r="AQ1432" s="141"/>
      <c r="AT1432" s="140"/>
      <c r="AU1432" s="140"/>
    </row>
    <row r="1433" spans="2:47" s="134" customFormat="1" x14ac:dyDescent="0.2">
      <c r="B1433" s="145"/>
      <c r="D1433" s="679"/>
      <c r="J1433" s="140"/>
      <c r="K1433" s="140"/>
      <c r="L1433" s="140"/>
      <c r="M1433" s="140"/>
      <c r="N1433" s="140"/>
      <c r="O1433" s="140"/>
      <c r="P1433" s="140"/>
      <c r="Q1433" s="140"/>
      <c r="R1433" s="140"/>
      <c r="S1433" s="140"/>
      <c r="T1433" s="140"/>
      <c r="U1433" s="140"/>
      <c r="V1433" s="140"/>
      <c r="W1433" s="140"/>
      <c r="X1433" s="140"/>
      <c r="Y1433" s="140"/>
      <c r="Z1433" s="140"/>
      <c r="AA1433" s="141"/>
      <c r="AE1433" s="140"/>
      <c r="AI1433" s="141"/>
      <c r="AM1433" s="141"/>
      <c r="AQ1433" s="141"/>
      <c r="AT1433" s="140"/>
      <c r="AU1433" s="140"/>
    </row>
    <row r="1434" spans="2:47" s="134" customFormat="1" x14ac:dyDescent="0.2">
      <c r="B1434" s="145"/>
      <c r="D1434" s="679"/>
      <c r="J1434" s="140"/>
      <c r="K1434" s="140"/>
      <c r="L1434" s="140"/>
      <c r="M1434" s="140"/>
      <c r="N1434" s="140"/>
      <c r="O1434" s="140"/>
      <c r="P1434" s="140"/>
      <c r="Q1434" s="140"/>
      <c r="R1434" s="140"/>
      <c r="S1434" s="140"/>
      <c r="T1434" s="140"/>
      <c r="U1434" s="140"/>
      <c r="V1434" s="140"/>
      <c r="W1434" s="140"/>
      <c r="X1434" s="140"/>
      <c r="Y1434" s="140"/>
      <c r="Z1434" s="140"/>
      <c r="AA1434" s="141"/>
      <c r="AE1434" s="140"/>
      <c r="AI1434" s="141"/>
      <c r="AM1434" s="141"/>
      <c r="AQ1434" s="141"/>
      <c r="AT1434" s="140"/>
      <c r="AU1434" s="140"/>
    </row>
    <row r="1435" spans="2:47" s="134" customFormat="1" x14ac:dyDescent="0.2">
      <c r="B1435" s="145"/>
      <c r="D1435" s="679"/>
      <c r="J1435" s="140"/>
      <c r="K1435" s="140"/>
      <c r="L1435" s="140"/>
      <c r="M1435" s="140"/>
      <c r="N1435" s="140"/>
      <c r="O1435" s="140"/>
      <c r="P1435" s="140"/>
      <c r="Q1435" s="140"/>
      <c r="R1435" s="140"/>
      <c r="S1435" s="140"/>
      <c r="T1435" s="140"/>
      <c r="U1435" s="140"/>
      <c r="V1435" s="140"/>
      <c r="W1435" s="140"/>
      <c r="X1435" s="140"/>
      <c r="Y1435" s="140"/>
      <c r="Z1435" s="140"/>
      <c r="AA1435" s="141"/>
      <c r="AE1435" s="140"/>
      <c r="AI1435" s="141"/>
      <c r="AM1435" s="141"/>
      <c r="AQ1435" s="141"/>
      <c r="AT1435" s="140"/>
      <c r="AU1435" s="140"/>
    </row>
    <row r="1436" spans="2:47" s="134" customFormat="1" x14ac:dyDescent="0.2">
      <c r="B1436" s="145"/>
      <c r="D1436" s="679"/>
      <c r="J1436" s="140"/>
      <c r="K1436" s="140"/>
      <c r="L1436" s="140"/>
      <c r="M1436" s="140"/>
      <c r="N1436" s="140"/>
      <c r="O1436" s="140"/>
      <c r="P1436" s="140"/>
      <c r="Q1436" s="140"/>
      <c r="R1436" s="140"/>
      <c r="S1436" s="140"/>
      <c r="T1436" s="140"/>
      <c r="U1436" s="140"/>
      <c r="V1436" s="140"/>
      <c r="W1436" s="140"/>
      <c r="X1436" s="140"/>
      <c r="Y1436" s="140"/>
      <c r="Z1436" s="140"/>
      <c r="AA1436" s="141"/>
      <c r="AE1436" s="140"/>
      <c r="AI1436" s="141"/>
      <c r="AM1436" s="141"/>
      <c r="AQ1436" s="141"/>
      <c r="AT1436" s="140"/>
      <c r="AU1436" s="140"/>
    </row>
    <row r="1437" spans="2:47" s="134" customFormat="1" x14ac:dyDescent="0.2">
      <c r="B1437" s="145"/>
      <c r="D1437" s="679"/>
      <c r="J1437" s="140"/>
      <c r="K1437" s="140"/>
      <c r="L1437" s="140"/>
      <c r="M1437" s="140"/>
      <c r="N1437" s="140"/>
      <c r="O1437" s="140"/>
      <c r="P1437" s="140"/>
      <c r="Q1437" s="140"/>
      <c r="R1437" s="140"/>
      <c r="S1437" s="140"/>
      <c r="T1437" s="140"/>
      <c r="U1437" s="140"/>
      <c r="V1437" s="140"/>
      <c r="W1437" s="140"/>
      <c r="X1437" s="140"/>
      <c r="Y1437" s="140"/>
      <c r="Z1437" s="140"/>
      <c r="AA1437" s="141"/>
      <c r="AE1437" s="140"/>
      <c r="AI1437" s="141"/>
      <c r="AM1437" s="141"/>
      <c r="AQ1437" s="141"/>
      <c r="AT1437" s="140"/>
      <c r="AU1437" s="140"/>
    </row>
    <row r="1438" spans="2:47" s="134" customFormat="1" x14ac:dyDescent="0.2">
      <c r="B1438" s="145"/>
      <c r="D1438" s="679"/>
      <c r="J1438" s="140"/>
      <c r="K1438" s="140"/>
      <c r="L1438" s="140"/>
      <c r="M1438" s="140"/>
      <c r="N1438" s="140"/>
      <c r="O1438" s="140"/>
      <c r="P1438" s="140"/>
      <c r="Q1438" s="140"/>
      <c r="R1438" s="140"/>
      <c r="S1438" s="140"/>
      <c r="T1438" s="140"/>
      <c r="U1438" s="140"/>
      <c r="V1438" s="140"/>
      <c r="W1438" s="140"/>
      <c r="X1438" s="140"/>
      <c r="Y1438" s="140"/>
      <c r="Z1438" s="140"/>
      <c r="AA1438" s="141"/>
      <c r="AE1438" s="140"/>
      <c r="AI1438" s="141"/>
      <c r="AM1438" s="141"/>
      <c r="AQ1438" s="141"/>
      <c r="AT1438" s="140"/>
      <c r="AU1438" s="140"/>
    </row>
    <row r="1439" spans="2:47" s="134" customFormat="1" x14ac:dyDescent="0.2">
      <c r="B1439" s="145"/>
      <c r="D1439" s="679"/>
      <c r="J1439" s="140"/>
      <c r="K1439" s="140"/>
      <c r="L1439" s="140"/>
      <c r="M1439" s="140"/>
      <c r="N1439" s="140"/>
      <c r="O1439" s="140"/>
      <c r="P1439" s="140"/>
      <c r="Q1439" s="140"/>
      <c r="R1439" s="140"/>
      <c r="S1439" s="140"/>
      <c r="T1439" s="140"/>
      <c r="U1439" s="140"/>
      <c r="V1439" s="140"/>
      <c r="W1439" s="140"/>
      <c r="X1439" s="140"/>
      <c r="Y1439" s="140"/>
      <c r="Z1439" s="140"/>
      <c r="AA1439" s="141"/>
      <c r="AE1439" s="140"/>
      <c r="AI1439" s="141"/>
      <c r="AM1439" s="141"/>
      <c r="AQ1439" s="141"/>
      <c r="AT1439" s="140"/>
      <c r="AU1439" s="140"/>
    </row>
    <row r="1440" spans="2:47" s="134" customFormat="1" x14ac:dyDescent="0.2">
      <c r="B1440" s="145"/>
      <c r="D1440" s="679"/>
      <c r="J1440" s="140"/>
      <c r="K1440" s="140"/>
      <c r="L1440" s="140"/>
      <c r="M1440" s="140"/>
      <c r="N1440" s="140"/>
      <c r="O1440" s="140"/>
      <c r="P1440" s="140"/>
      <c r="Q1440" s="140"/>
      <c r="R1440" s="140"/>
      <c r="S1440" s="140"/>
      <c r="T1440" s="140"/>
      <c r="U1440" s="140"/>
      <c r="V1440" s="140"/>
      <c r="W1440" s="140"/>
      <c r="X1440" s="140"/>
      <c r="Y1440" s="140"/>
      <c r="Z1440" s="140"/>
      <c r="AA1440" s="141"/>
      <c r="AE1440" s="140"/>
      <c r="AI1440" s="141"/>
      <c r="AM1440" s="141"/>
      <c r="AQ1440" s="141"/>
      <c r="AT1440" s="140"/>
      <c r="AU1440" s="140"/>
    </row>
    <row r="1441" spans="2:47" s="134" customFormat="1" x14ac:dyDescent="0.2">
      <c r="B1441" s="145"/>
      <c r="D1441" s="679"/>
      <c r="J1441" s="140"/>
      <c r="K1441" s="140"/>
      <c r="L1441" s="140"/>
      <c r="M1441" s="140"/>
      <c r="N1441" s="140"/>
      <c r="O1441" s="140"/>
      <c r="P1441" s="140"/>
      <c r="Q1441" s="140"/>
      <c r="R1441" s="140"/>
      <c r="S1441" s="140"/>
      <c r="T1441" s="140"/>
      <c r="U1441" s="140"/>
      <c r="V1441" s="140"/>
      <c r="W1441" s="140"/>
      <c r="X1441" s="140"/>
      <c r="Y1441" s="140"/>
      <c r="Z1441" s="140"/>
      <c r="AA1441" s="141"/>
      <c r="AE1441" s="140"/>
      <c r="AI1441" s="141"/>
      <c r="AM1441" s="141"/>
      <c r="AQ1441" s="141"/>
      <c r="AT1441" s="140"/>
      <c r="AU1441" s="140"/>
    </row>
    <row r="1442" spans="2:47" s="134" customFormat="1" x14ac:dyDescent="0.2">
      <c r="B1442" s="145"/>
      <c r="D1442" s="679"/>
      <c r="J1442" s="140"/>
      <c r="K1442" s="140"/>
      <c r="L1442" s="140"/>
      <c r="M1442" s="140"/>
      <c r="N1442" s="140"/>
      <c r="O1442" s="140"/>
      <c r="P1442" s="140"/>
      <c r="Q1442" s="140"/>
      <c r="R1442" s="140"/>
      <c r="S1442" s="140"/>
      <c r="T1442" s="140"/>
      <c r="U1442" s="140"/>
      <c r="V1442" s="140"/>
      <c r="W1442" s="140"/>
      <c r="X1442" s="140"/>
      <c r="Y1442" s="140"/>
      <c r="Z1442" s="140"/>
      <c r="AA1442" s="141"/>
      <c r="AE1442" s="140"/>
      <c r="AI1442" s="141"/>
      <c r="AM1442" s="141"/>
      <c r="AQ1442" s="141"/>
      <c r="AT1442" s="140"/>
      <c r="AU1442" s="140"/>
    </row>
    <row r="1443" spans="2:47" s="134" customFormat="1" x14ac:dyDescent="0.2">
      <c r="B1443" s="145"/>
      <c r="D1443" s="679"/>
      <c r="J1443" s="140"/>
      <c r="K1443" s="140"/>
      <c r="L1443" s="140"/>
      <c r="M1443" s="140"/>
      <c r="N1443" s="140"/>
      <c r="O1443" s="140"/>
      <c r="P1443" s="140"/>
      <c r="Q1443" s="140"/>
      <c r="R1443" s="140"/>
      <c r="S1443" s="140"/>
      <c r="T1443" s="140"/>
      <c r="U1443" s="140"/>
      <c r="V1443" s="140"/>
      <c r="W1443" s="140"/>
      <c r="X1443" s="140"/>
      <c r="Y1443" s="140"/>
      <c r="Z1443" s="140"/>
      <c r="AA1443" s="141"/>
      <c r="AE1443" s="140"/>
      <c r="AI1443" s="141"/>
      <c r="AM1443" s="141"/>
      <c r="AQ1443" s="141"/>
      <c r="AT1443" s="140"/>
      <c r="AU1443" s="140"/>
    </row>
    <row r="1444" spans="2:47" s="134" customFormat="1" x14ac:dyDescent="0.2">
      <c r="B1444" s="145"/>
      <c r="D1444" s="679"/>
      <c r="J1444" s="140"/>
      <c r="K1444" s="140"/>
      <c r="L1444" s="140"/>
      <c r="M1444" s="140"/>
      <c r="N1444" s="140"/>
      <c r="O1444" s="140"/>
      <c r="P1444" s="140"/>
      <c r="Q1444" s="140"/>
      <c r="R1444" s="140"/>
      <c r="S1444" s="140"/>
      <c r="T1444" s="140"/>
      <c r="U1444" s="140"/>
      <c r="V1444" s="140"/>
      <c r="W1444" s="140"/>
      <c r="X1444" s="140"/>
      <c r="Y1444" s="140"/>
      <c r="Z1444" s="140"/>
      <c r="AA1444" s="141"/>
      <c r="AE1444" s="140"/>
      <c r="AI1444" s="141"/>
      <c r="AM1444" s="141"/>
      <c r="AQ1444" s="141"/>
      <c r="AT1444" s="140"/>
      <c r="AU1444" s="140"/>
    </row>
    <row r="1445" spans="2:47" s="134" customFormat="1" x14ac:dyDescent="0.2">
      <c r="B1445" s="145"/>
      <c r="D1445" s="679"/>
      <c r="J1445" s="140"/>
      <c r="K1445" s="140"/>
      <c r="L1445" s="140"/>
      <c r="M1445" s="140"/>
      <c r="N1445" s="140"/>
      <c r="O1445" s="140"/>
      <c r="P1445" s="140"/>
      <c r="Q1445" s="140"/>
      <c r="R1445" s="140"/>
      <c r="S1445" s="140"/>
      <c r="T1445" s="140"/>
      <c r="U1445" s="140"/>
      <c r="V1445" s="140"/>
      <c r="W1445" s="140"/>
      <c r="X1445" s="140"/>
      <c r="Y1445" s="140"/>
      <c r="Z1445" s="140"/>
      <c r="AA1445" s="141"/>
      <c r="AE1445" s="140"/>
      <c r="AI1445" s="141"/>
      <c r="AM1445" s="141"/>
      <c r="AQ1445" s="141"/>
      <c r="AT1445" s="140"/>
      <c r="AU1445" s="140"/>
    </row>
    <row r="1446" spans="2:47" s="134" customFormat="1" x14ac:dyDescent="0.2">
      <c r="B1446" s="145"/>
      <c r="D1446" s="679"/>
      <c r="J1446" s="140"/>
      <c r="K1446" s="140"/>
      <c r="L1446" s="140"/>
      <c r="M1446" s="140"/>
      <c r="N1446" s="140"/>
      <c r="O1446" s="140"/>
      <c r="P1446" s="140"/>
      <c r="Q1446" s="140"/>
      <c r="R1446" s="140"/>
      <c r="S1446" s="140"/>
      <c r="T1446" s="140"/>
      <c r="U1446" s="140"/>
      <c r="V1446" s="140"/>
      <c r="W1446" s="140"/>
      <c r="X1446" s="140"/>
      <c r="Y1446" s="140"/>
      <c r="Z1446" s="140"/>
      <c r="AA1446" s="141"/>
      <c r="AE1446" s="140"/>
      <c r="AI1446" s="141"/>
      <c r="AM1446" s="141"/>
      <c r="AQ1446" s="141"/>
      <c r="AT1446" s="140"/>
      <c r="AU1446" s="140"/>
    </row>
    <row r="1447" spans="2:47" s="134" customFormat="1" x14ac:dyDescent="0.2">
      <c r="B1447" s="145"/>
      <c r="D1447" s="679"/>
      <c r="J1447" s="140"/>
      <c r="K1447" s="140"/>
      <c r="L1447" s="140"/>
      <c r="M1447" s="140"/>
      <c r="N1447" s="140"/>
      <c r="O1447" s="140"/>
      <c r="P1447" s="140"/>
      <c r="Q1447" s="140"/>
      <c r="R1447" s="140"/>
      <c r="S1447" s="140"/>
      <c r="T1447" s="140"/>
      <c r="U1447" s="140"/>
      <c r="V1447" s="140"/>
      <c r="W1447" s="140"/>
      <c r="X1447" s="140"/>
      <c r="Y1447" s="140"/>
      <c r="Z1447" s="140"/>
      <c r="AA1447" s="141"/>
      <c r="AE1447" s="140"/>
      <c r="AI1447" s="141"/>
      <c r="AM1447" s="141"/>
      <c r="AQ1447" s="141"/>
      <c r="AT1447" s="140"/>
      <c r="AU1447" s="140"/>
    </row>
    <row r="1448" spans="2:47" s="134" customFormat="1" x14ac:dyDescent="0.2">
      <c r="B1448" s="145"/>
      <c r="D1448" s="679"/>
      <c r="J1448" s="140"/>
      <c r="K1448" s="140"/>
      <c r="L1448" s="140"/>
      <c r="M1448" s="140"/>
      <c r="N1448" s="140"/>
      <c r="O1448" s="140"/>
      <c r="P1448" s="140"/>
      <c r="Q1448" s="140"/>
      <c r="R1448" s="140"/>
      <c r="S1448" s="140"/>
      <c r="T1448" s="140"/>
      <c r="U1448" s="140"/>
      <c r="V1448" s="140"/>
      <c r="W1448" s="140"/>
      <c r="X1448" s="140"/>
      <c r="Y1448" s="140"/>
      <c r="Z1448" s="140"/>
      <c r="AA1448" s="141"/>
      <c r="AE1448" s="140"/>
      <c r="AI1448" s="141"/>
      <c r="AM1448" s="141"/>
      <c r="AQ1448" s="141"/>
      <c r="AT1448" s="140"/>
      <c r="AU1448" s="140"/>
    </row>
    <row r="1449" spans="2:47" s="134" customFormat="1" x14ac:dyDescent="0.2">
      <c r="B1449" s="145"/>
      <c r="D1449" s="679"/>
      <c r="J1449" s="140"/>
      <c r="K1449" s="140"/>
      <c r="L1449" s="140"/>
      <c r="M1449" s="140"/>
      <c r="N1449" s="140"/>
      <c r="O1449" s="140"/>
      <c r="P1449" s="140"/>
      <c r="Q1449" s="140"/>
      <c r="R1449" s="140"/>
      <c r="S1449" s="140"/>
      <c r="T1449" s="140"/>
      <c r="U1449" s="140"/>
      <c r="V1449" s="140"/>
      <c r="W1449" s="140"/>
      <c r="X1449" s="140"/>
      <c r="Y1449" s="140"/>
      <c r="Z1449" s="140"/>
      <c r="AA1449" s="141"/>
      <c r="AE1449" s="140"/>
      <c r="AI1449" s="141"/>
      <c r="AM1449" s="141"/>
      <c r="AQ1449" s="141"/>
      <c r="AT1449" s="140"/>
      <c r="AU1449" s="140"/>
    </row>
    <row r="1450" spans="2:47" s="134" customFormat="1" x14ac:dyDescent="0.2">
      <c r="B1450" s="145"/>
      <c r="D1450" s="679"/>
      <c r="J1450" s="140"/>
      <c r="K1450" s="140"/>
      <c r="L1450" s="140"/>
      <c r="M1450" s="140"/>
      <c r="N1450" s="140"/>
      <c r="O1450" s="140"/>
      <c r="P1450" s="140"/>
      <c r="Q1450" s="140"/>
      <c r="R1450" s="140"/>
      <c r="S1450" s="140"/>
      <c r="T1450" s="140"/>
      <c r="U1450" s="140"/>
      <c r="V1450" s="140"/>
      <c r="W1450" s="140"/>
      <c r="X1450" s="140"/>
      <c r="Y1450" s="140"/>
      <c r="Z1450" s="140"/>
      <c r="AA1450" s="141"/>
      <c r="AE1450" s="140"/>
      <c r="AI1450" s="141"/>
      <c r="AM1450" s="141"/>
      <c r="AQ1450" s="141"/>
      <c r="AT1450" s="140"/>
      <c r="AU1450" s="140"/>
    </row>
    <row r="1451" spans="2:47" s="134" customFormat="1" x14ac:dyDescent="0.2">
      <c r="B1451" s="145"/>
      <c r="D1451" s="679"/>
      <c r="J1451" s="140"/>
      <c r="K1451" s="140"/>
      <c r="L1451" s="140"/>
      <c r="M1451" s="140"/>
      <c r="N1451" s="140"/>
      <c r="O1451" s="140"/>
      <c r="P1451" s="140"/>
      <c r="Q1451" s="140"/>
      <c r="R1451" s="140"/>
      <c r="S1451" s="140"/>
      <c r="T1451" s="140"/>
      <c r="U1451" s="140"/>
      <c r="V1451" s="140"/>
      <c r="W1451" s="140"/>
      <c r="X1451" s="140"/>
      <c r="Y1451" s="140"/>
      <c r="Z1451" s="140"/>
      <c r="AA1451" s="141"/>
      <c r="AE1451" s="140"/>
      <c r="AI1451" s="141"/>
      <c r="AM1451" s="141"/>
      <c r="AQ1451" s="141"/>
      <c r="AT1451" s="140"/>
      <c r="AU1451" s="140"/>
    </row>
    <row r="1452" spans="2:47" s="134" customFormat="1" x14ac:dyDescent="0.2">
      <c r="B1452" s="145"/>
      <c r="D1452" s="679"/>
      <c r="J1452" s="140"/>
      <c r="K1452" s="140"/>
      <c r="L1452" s="140"/>
      <c r="M1452" s="140"/>
      <c r="N1452" s="140"/>
      <c r="O1452" s="140"/>
      <c r="P1452" s="140"/>
      <c r="Q1452" s="140"/>
      <c r="R1452" s="140"/>
      <c r="S1452" s="140"/>
      <c r="T1452" s="140"/>
      <c r="U1452" s="140"/>
      <c r="V1452" s="140"/>
      <c r="W1452" s="140"/>
      <c r="X1452" s="140"/>
      <c r="Y1452" s="140"/>
      <c r="Z1452" s="140"/>
      <c r="AA1452" s="141"/>
      <c r="AE1452" s="140"/>
      <c r="AI1452" s="141"/>
      <c r="AM1452" s="141"/>
      <c r="AQ1452" s="141"/>
      <c r="AT1452" s="140"/>
      <c r="AU1452" s="140"/>
    </row>
    <row r="1453" spans="2:47" s="134" customFormat="1" x14ac:dyDescent="0.2">
      <c r="B1453" s="145"/>
      <c r="D1453" s="679"/>
      <c r="J1453" s="140"/>
      <c r="K1453" s="140"/>
      <c r="L1453" s="140"/>
      <c r="M1453" s="140"/>
      <c r="N1453" s="140"/>
      <c r="O1453" s="140"/>
      <c r="P1453" s="140"/>
      <c r="Q1453" s="140"/>
      <c r="R1453" s="140"/>
      <c r="S1453" s="140"/>
      <c r="T1453" s="140"/>
      <c r="U1453" s="140"/>
      <c r="V1453" s="140"/>
      <c r="W1453" s="140"/>
      <c r="X1453" s="140"/>
      <c r="Y1453" s="140"/>
      <c r="Z1453" s="140"/>
      <c r="AA1453" s="141"/>
      <c r="AE1453" s="140"/>
      <c r="AI1453" s="141"/>
      <c r="AM1453" s="141"/>
      <c r="AQ1453" s="141"/>
      <c r="AT1453" s="140"/>
      <c r="AU1453" s="140"/>
    </row>
    <row r="1454" spans="2:47" s="134" customFormat="1" x14ac:dyDescent="0.2">
      <c r="B1454" s="145"/>
      <c r="D1454" s="679"/>
      <c r="J1454" s="140"/>
      <c r="K1454" s="140"/>
      <c r="L1454" s="140"/>
      <c r="M1454" s="140"/>
      <c r="N1454" s="140"/>
      <c r="O1454" s="140"/>
      <c r="P1454" s="140"/>
      <c r="Q1454" s="140"/>
      <c r="R1454" s="140"/>
      <c r="S1454" s="140"/>
      <c r="T1454" s="140"/>
      <c r="U1454" s="140"/>
      <c r="V1454" s="140"/>
      <c r="W1454" s="140"/>
      <c r="X1454" s="140"/>
      <c r="Y1454" s="140"/>
      <c r="Z1454" s="140"/>
      <c r="AA1454" s="141"/>
      <c r="AE1454" s="140"/>
      <c r="AI1454" s="141"/>
      <c r="AM1454" s="141"/>
      <c r="AQ1454" s="141"/>
      <c r="AT1454" s="140"/>
      <c r="AU1454" s="140"/>
    </row>
    <row r="1455" spans="2:47" s="134" customFormat="1" x14ac:dyDescent="0.2">
      <c r="B1455" s="145"/>
      <c r="D1455" s="679"/>
      <c r="J1455" s="140"/>
      <c r="K1455" s="140"/>
      <c r="L1455" s="140"/>
      <c r="M1455" s="140"/>
      <c r="N1455" s="140"/>
      <c r="O1455" s="140"/>
      <c r="P1455" s="140"/>
      <c r="Q1455" s="140"/>
      <c r="R1455" s="140"/>
      <c r="S1455" s="140"/>
      <c r="T1455" s="140"/>
      <c r="U1455" s="140"/>
      <c r="V1455" s="140"/>
      <c r="W1455" s="140"/>
      <c r="X1455" s="140"/>
      <c r="Y1455" s="140"/>
      <c r="Z1455" s="140"/>
      <c r="AA1455" s="141"/>
      <c r="AE1455" s="140"/>
      <c r="AI1455" s="141"/>
      <c r="AM1455" s="141"/>
      <c r="AQ1455" s="141"/>
      <c r="AT1455" s="140"/>
      <c r="AU1455" s="140"/>
    </row>
    <row r="1456" spans="2:47" s="134" customFormat="1" x14ac:dyDescent="0.2">
      <c r="B1456" s="145"/>
      <c r="D1456" s="679"/>
      <c r="J1456" s="140"/>
      <c r="K1456" s="140"/>
      <c r="L1456" s="140"/>
      <c r="M1456" s="140"/>
      <c r="N1456" s="140"/>
      <c r="O1456" s="140"/>
      <c r="P1456" s="140"/>
      <c r="Q1456" s="140"/>
      <c r="R1456" s="140"/>
      <c r="S1456" s="140"/>
      <c r="T1456" s="140"/>
      <c r="U1456" s="140"/>
      <c r="V1456" s="140"/>
      <c r="W1456" s="140"/>
      <c r="X1456" s="140"/>
      <c r="Y1456" s="140"/>
      <c r="Z1456" s="140"/>
      <c r="AA1456" s="141"/>
      <c r="AE1456" s="140"/>
      <c r="AI1456" s="141"/>
      <c r="AM1456" s="141"/>
      <c r="AQ1456" s="141"/>
      <c r="AT1456" s="140"/>
      <c r="AU1456" s="140"/>
    </row>
    <row r="1457" spans="2:47" s="134" customFormat="1" x14ac:dyDescent="0.2">
      <c r="B1457" s="145"/>
      <c r="D1457" s="679"/>
      <c r="J1457" s="140"/>
      <c r="K1457" s="140"/>
      <c r="L1457" s="140"/>
      <c r="M1457" s="140"/>
      <c r="N1457" s="140"/>
      <c r="O1457" s="140"/>
      <c r="P1457" s="140"/>
      <c r="Q1457" s="140"/>
      <c r="R1457" s="140"/>
      <c r="S1457" s="140"/>
      <c r="T1457" s="140"/>
      <c r="U1457" s="140"/>
      <c r="V1457" s="140"/>
      <c r="W1457" s="140"/>
      <c r="X1457" s="140"/>
      <c r="Y1457" s="140"/>
      <c r="Z1457" s="140"/>
      <c r="AA1457" s="141"/>
      <c r="AE1457" s="140"/>
      <c r="AI1457" s="141"/>
      <c r="AM1457" s="141"/>
      <c r="AQ1457" s="141"/>
      <c r="AT1457" s="140"/>
      <c r="AU1457" s="140"/>
    </row>
    <row r="1458" spans="2:47" s="134" customFormat="1" x14ac:dyDescent="0.2">
      <c r="B1458" s="145"/>
      <c r="D1458" s="679"/>
      <c r="J1458" s="140"/>
      <c r="K1458" s="140"/>
      <c r="L1458" s="140"/>
      <c r="M1458" s="140"/>
      <c r="N1458" s="140"/>
      <c r="O1458" s="140"/>
      <c r="P1458" s="140"/>
      <c r="Q1458" s="140"/>
      <c r="R1458" s="140"/>
      <c r="S1458" s="140"/>
      <c r="T1458" s="140"/>
      <c r="U1458" s="140"/>
      <c r="V1458" s="140"/>
      <c r="W1458" s="140"/>
      <c r="X1458" s="140"/>
      <c r="Y1458" s="140"/>
      <c r="Z1458" s="140"/>
      <c r="AA1458" s="141"/>
      <c r="AE1458" s="140"/>
      <c r="AI1458" s="141"/>
      <c r="AM1458" s="141"/>
      <c r="AQ1458" s="141"/>
      <c r="AT1458" s="140"/>
      <c r="AU1458" s="140"/>
    </row>
    <row r="1459" spans="2:47" s="134" customFormat="1" x14ac:dyDescent="0.2">
      <c r="B1459" s="145"/>
      <c r="D1459" s="679"/>
      <c r="J1459" s="140"/>
      <c r="K1459" s="140"/>
      <c r="L1459" s="140"/>
      <c r="M1459" s="140"/>
      <c r="N1459" s="140"/>
      <c r="O1459" s="140"/>
      <c r="P1459" s="140"/>
      <c r="Q1459" s="140"/>
      <c r="R1459" s="140"/>
      <c r="S1459" s="140"/>
      <c r="T1459" s="140"/>
      <c r="U1459" s="140"/>
      <c r="V1459" s="140"/>
      <c r="W1459" s="140"/>
      <c r="X1459" s="140"/>
      <c r="Y1459" s="140"/>
      <c r="Z1459" s="140"/>
      <c r="AA1459" s="141"/>
      <c r="AE1459" s="140"/>
      <c r="AI1459" s="141"/>
      <c r="AM1459" s="141"/>
      <c r="AQ1459" s="141"/>
      <c r="AT1459" s="140"/>
      <c r="AU1459" s="140"/>
    </row>
    <row r="1460" spans="2:47" s="134" customFormat="1" x14ac:dyDescent="0.2">
      <c r="B1460" s="145"/>
      <c r="D1460" s="679"/>
      <c r="J1460" s="140"/>
      <c r="K1460" s="140"/>
      <c r="L1460" s="140"/>
      <c r="M1460" s="140"/>
      <c r="N1460" s="140"/>
      <c r="O1460" s="140"/>
      <c r="P1460" s="140"/>
      <c r="Q1460" s="140"/>
      <c r="R1460" s="140"/>
      <c r="S1460" s="140"/>
      <c r="T1460" s="140"/>
      <c r="U1460" s="140"/>
      <c r="V1460" s="140"/>
      <c r="W1460" s="140"/>
      <c r="X1460" s="140"/>
      <c r="Y1460" s="140"/>
      <c r="Z1460" s="140"/>
      <c r="AA1460" s="141"/>
      <c r="AE1460" s="140"/>
      <c r="AI1460" s="141"/>
      <c r="AM1460" s="141"/>
      <c r="AQ1460" s="141"/>
      <c r="AT1460" s="140"/>
      <c r="AU1460" s="140"/>
    </row>
    <row r="1461" spans="2:47" s="134" customFormat="1" x14ac:dyDescent="0.2">
      <c r="B1461" s="145"/>
      <c r="D1461" s="679"/>
      <c r="J1461" s="140"/>
      <c r="K1461" s="140"/>
      <c r="L1461" s="140"/>
      <c r="M1461" s="140"/>
      <c r="N1461" s="140"/>
      <c r="O1461" s="140"/>
      <c r="P1461" s="140"/>
      <c r="Q1461" s="140"/>
      <c r="R1461" s="140"/>
      <c r="S1461" s="140"/>
      <c r="T1461" s="140"/>
      <c r="U1461" s="140"/>
      <c r="V1461" s="140"/>
      <c r="W1461" s="140"/>
      <c r="X1461" s="140"/>
      <c r="Y1461" s="140"/>
      <c r="Z1461" s="140"/>
      <c r="AA1461" s="141"/>
      <c r="AE1461" s="140"/>
      <c r="AI1461" s="141"/>
      <c r="AM1461" s="141"/>
      <c r="AQ1461" s="141"/>
      <c r="AT1461" s="140"/>
      <c r="AU1461" s="140"/>
    </row>
    <row r="1462" spans="2:47" s="134" customFormat="1" x14ac:dyDescent="0.2">
      <c r="B1462" s="145"/>
      <c r="D1462" s="679"/>
      <c r="J1462" s="140"/>
      <c r="K1462" s="140"/>
      <c r="L1462" s="140"/>
      <c r="M1462" s="140"/>
      <c r="N1462" s="140"/>
      <c r="O1462" s="140"/>
      <c r="P1462" s="140"/>
      <c r="Q1462" s="140"/>
      <c r="R1462" s="140"/>
      <c r="S1462" s="140"/>
      <c r="T1462" s="140"/>
      <c r="U1462" s="140"/>
      <c r="V1462" s="140"/>
      <c r="W1462" s="140"/>
      <c r="X1462" s="140"/>
      <c r="Y1462" s="140"/>
      <c r="Z1462" s="140"/>
      <c r="AA1462" s="141"/>
      <c r="AE1462" s="140"/>
      <c r="AI1462" s="141"/>
      <c r="AM1462" s="141"/>
      <c r="AQ1462" s="141"/>
      <c r="AT1462" s="140"/>
      <c r="AU1462" s="140"/>
    </row>
    <row r="1463" spans="2:47" s="134" customFormat="1" x14ac:dyDescent="0.2">
      <c r="B1463" s="145"/>
      <c r="D1463" s="679"/>
      <c r="J1463" s="140"/>
      <c r="K1463" s="140"/>
      <c r="L1463" s="140"/>
      <c r="M1463" s="140"/>
      <c r="N1463" s="140"/>
      <c r="O1463" s="140"/>
      <c r="P1463" s="140"/>
      <c r="Q1463" s="140"/>
      <c r="R1463" s="140"/>
      <c r="S1463" s="140"/>
      <c r="T1463" s="140"/>
      <c r="U1463" s="140"/>
      <c r="V1463" s="140"/>
      <c r="W1463" s="140"/>
      <c r="X1463" s="140"/>
      <c r="Y1463" s="140"/>
      <c r="Z1463" s="140"/>
      <c r="AA1463" s="141"/>
      <c r="AE1463" s="140"/>
      <c r="AI1463" s="141"/>
      <c r="AM1463" s="141"/>
      <c r="AQ1463" s="141"/>
      <c r="AT1463" s="140"/>
      <c r="AU1463" s="140"/>
    </row>
    <row r="1464" spans="2:47" s="134" customFormat="1" x14ac:dyDescent="0.2">
      <c r="B1464" s="145"/>
      <c r="D1464" s="679"/>
      <c r="J1464" s="140"/>
      <c r="K1464" s="140"/>
      <c r="L1464" s="140"/>
      <c r="M1464" s="140"/>
      <c r="N1464" s="140"/>
      <c r="O1464" s="140"/>
      <c r="P1464" s="140"/>
      <c r="Q1464" s="140"/>
      <c r="R1464" s="140"/>
      <c r="S1464" s="140"/>
      <c r="T1464" s="140"/>
      <c r="U1464" s="140"/>
      <c r="V1464" s="140"/>
      <c r="W1464" s="140"/>
      <c r="X1464" s="140"/>
      <c r="Y1464" s="140"/>
      <c r="Z1464" s="140"/>
      <c r="AA1464" s="141"/>
      <c r="AE1464" s="140"/>
      <c r="AI1464" s="141"/>
      <c r="AM1464" s="141"/>
      <c r="AQ1464" s="141"/>
      <c r="AT1464" s="140"/>
      <c r="AU1464" s="140"/>
    </row>
    <row r="1465" spans="2:47" s="134" customFormat="1" x14ac:dyDescent="0.2">
      <c r="B1465" s="145"/>
      <c r="D1465" s="679"/>
      <c r="J1465" s="140"/>
      <c r="K1465" s="140"/>
      <c r="L1465" s="140"/>
      <c r="M1465" s="140"/>
      <c r="N1465" s="140"/>
      <c r="O1465" s="140"/>
      <c r="P1465" s="140"/>
      <c r="Q1465" s="140"/>
      <c r="R1465" s="140"/>
      <c r="S1465" s="140"/>
      <c r="T1465" s="140"/>
      <c r="U1465" s="140"/>
      <c r="V1465" s="140"/>
      <c r="W1465" s="140"/>
      <c r="X1465" s="140"/>
      <c r="Y1465" s="140"/>
      <c r="Z1465" s="140"/>
      <c r="AA1465" s="141"/>
      <c r="AE1465" s="140"/>
      <c r="AI1465" s="141"/>
      <c r="AM1465" s="141"/>
      <c r="AQ1465" s="141"/>
      <c r="AT1465" s="140"/>
      <c r="AU1465" s="140"/>
    </row>
    <row r="1466" spans="2:47" s="134" customFormat="1" x14ac:dyDescent="0.2">
      <c r="B1466" s="145"/>
      <c r="D1466" s="679"/>
      <c r="J1466" s="140"/>
      <c r="K1466" s="140"/>
      <c r="L1466" s="140"/>
      <c r="M1466" s="140"/>
      <c r="N1466" s="140"/>
      <c r="O1466" s="140"/>
      <c r="P1466" s="140"/>
      <c r="Q1466" s="140"/>
      <c r="R1466" s="140"/>
      <c r="S1466" s="140"/>
      <c r="T1466" s="140"/>
      <c r="U1466" s="140"/>
      <c r="V1466" s="140"/>
      <c r="W1466" s="140"/>
      <c r="X1466" s="140"/>
      <c r="Y1466" s="140"/>
      <c r="Z1466" s="140"/>
      <c r="AA1466" s="141"/>
      <c r="AE1466" s="140"/>
      <c r="AI1466" s="141"/>
      <c r="AM1466" s="141"/>
      <c r="AQ1466" s="141"/>
      <c r="AT1466" s="140"/>
      <c r="AU1466" s="140"/>
    </row>
    <row r="1467" spans="2:47" s="134" customFormat="1" x14ac:dyDescent="0.2">
      <c r="B1467" s="145"/>
      <c r="D1467" s="679"/>
      <c r="J1467" s="140"/>
      <c r="K1467" s="140"/>
      <c r="L1467" s="140"/>
      <c r="M1467" s="140"/>
      <c r="N1467" s="140"/>
      <c r="O1467" s="140"/>
      <c r="P1467" s="140"/>
      <c r="Q1467" s="140"/>
      <c r="R1467" s="140"/>
      <c r="S1467" s="140"/>
      <c r="T1467" s="140"/>
      <c r="U1467" s="140"/>
      <c r="V1467" s="140"/>
      <c r="W1467" s="140"/>
      <c r="X1467" s="140"/>
      <c r="Y1467" s="140"/>
      <c r="Z1467" s="140"/>
      <c r="AA1467" s="141"/>
      <c r="AE1467" s="140"/>
      <c r="AI1467" s="141"/>
      <c r="AM1467" s="141"/>
      <c r="AQ1467" s="141"/>
      <c r="AT1467" s="140"/>
      <c r="AU1467" s="140"/>
    </row>
    <row r="1468" spans="2:47" s="134" customFormat="1" x14ac:dyDescent="0.2">
      <c r="B1468" s="145"/>
      <c r="D1468" s="679"/>
      <c r="J1468" s="140"/>
      <c r="K1468" s="140"/>
      <c r="L1468" s="140"/>
      <c r="M1468" s="140"/>
      <c r="N1468" s="140"/>
      <c r="O1468" s="140"/>
      <c r="P1468" s="140"/>
      <c r="Q1468" s="140"/>
      <c r="R1468" s="140"/>
      <c r="S1468" s="140"/>
      <c r="T1468" s="140"/>
      <c r="U1468" s="140"/>
      <c r="V1468" s="140"/>
      <c r="W1468" s="140"/>
      <c r="X1468" s="140"/>
      <c r="Y1468" s="140"/>
      <c r="Z1468" s="140"/>
      <c r="AA1468" s="141"/>
      <c r="AE1468" s="140"/>
      <c r="AI1468" s="141"/>
      <c r="AM1468" s="141"/>
      <c r="AQ1468" s="141"/>
      <c r="AT1468" s="140"/>
      <c r="AU1468" s="140"/>
    </row>
    <row r="1469" spans="2:47" s="134" customFormat="1" x14ac:dyDescent="0.2">
      <c r="B1469" s="145"/>
      <c r="D1469" s="679"/>
      <c r="J1469" s="140"/>
      <c r="K1469" s="140"/>
      <c r="L1469" s="140"/>
      <c r="M1469" s="140"/>
      <c r="N1469" s="140"/>
      <c r="O1469" s="140"/>
      <c r="P1469" s="140"/>
      <c r="Q1469" s="140"/>
      <c r="R1469" s="140"/>
      <c r="S1469" s="140"/>
      <c r="T1469" s="140"/>
      <c r="U1469" s="140"/>
      <c r="V1469" s="140"/>
      <c r="W1469" s="140"/>
      <c r="X1469" s="140"/>
      <c r="Y1469" s="140"/>
      <c r="Z1469" s="140"/>
      <c r="AA1469" s="141"/>
      <c r="AE1469" s="140"/>
      <c r="AI1469" s="141"/>
      <c r="AM1469" s="141"/>
      <c r="AQ1469" s="141"/>
      <c r="AT1469" s="140"/>
      <c r="AU1469" s="140"/>
    </row>
    <row r="1470" spans="2:47" s="134" customFormat="1" x14ac:dyDescent="0.2">
      <c r="B1470" s="145"/>
      <c r="D1470" s="679"/>
      <c r="J1470" s="140"/>
      <c r="K1470" s="140"/>
      <c r="L1470" s="140"/>
      <c r="M1470" s="140"/>
      <c r="N1470" s="140"/>
      <c r="O1470" s="140"/>
      <c r="P1470" s="140"/>
      <c r="Q1470" s="140"/>
      <c r="R1470" s="140"/>
      <c r="S1470" s="140"/>
      <c r="T1470" s="140"/>
      <c r="U1470" s="140"/>
      <c r="V1470" s="140"/>
      <c r="W1470" s="140"/>
      <c r="X1470" s="140"/>
      <c r="Y1470" s="140"/>
      <c r="Z1470" s="140"/>
      <c r="AA1470" s="141"/>
      <c r="AE1470" s="140"/>
      <c r="AI1470" s="141"/>
      <c r="AM1470" s="141"/>
      <c r="AQ1470" s="141"/>
      <c r="AT1470" s="140"/>
      <c r="AU1470" s="140"/>
    </row>
    <row r="1471" spans="2:47" s="134" customFormat="1" x14ac:dyDescent="0.2">
      <c r="B1471" s="145"/>
      <c r="D1471" s="679"/>
      <c r="J1471" s="140"/>
      <c r="K1471" s="140"/>
      <c r="L1471" s="140"/>
      <c r="M1471" s="140"/>
      <c r="N1471" s="140"/>
      <c r="O1471" s="140"/>
      <c r="P1471" s="140"/>
      <c r="Q1471" s="140"/>
      <c r="R1471" s="140"/>
      <c r="S1471" s="140"/>
      <c r="T1471" s="140"/>
      <c r="U1471" s="140"/>
      <c r="V1471" s="140"/>
      <c r="W1471" s="140"/>
      <c r="X1471" s="140"/>
      <c r="Y1471" s="140"/>
      <c r="Z1471" s="140"/>
      <c r="AA1471" s="141"/>
      <c r="AE1471" s="140"/>
      <c r="AI1471" s="141"/>
      <c r="AM1471" s="141"/>
      <c r="AQ1471" s="141"/>
      <c r="AT1471" s="140"/>
      <c r="AU1471" s="140"/>
    </row>
    <row r="1472" spans="2:47" s="134" customFormat="1" x14ac:dyDescent="0.2">
      <c r="B1472" s="145"/>
      <c r="D1472" s="679"/>
      <c r="J1472" s="140"/>
      <c r="K1472" s="140"/>
      <c r="L1472" s="140"/>
      <c r="M1472" s="140"/>
      <c r="N1472" s="140"/>
      <c r="O1472" s="140"/>
      <c r="P1472" s="140"/>
      <c r="Q1472" s="140"/>
      <c r="R1472" s="140"/>
      <c r="S1472" s="140"/>
      <c r="T1472" s="140"/>
      <c r="U1472" s="140"/>
      <c r="V1472" s="140"/>
      <c r="W1472" s="140"/>
      <c r="X1472" s="140"/>
      <c r="Y1472" s="140"/>
      <c r="Z1472" s="140"/>
      <c r="AA1472" s="141"/>
      <c r="AE1472" s="140"/>
      <c r="AI1472" s="141"/>
      <c r="AM1472" s="141"/>
      <c r="AQ1472" s="141"/>
      <c r="AT1472" s="140"/>
      <c r="AU1472" s="140"/>
    </row>
    <row r="1473" spans="2:47" s="134" customFormat="1" x14ac:dyDescent="0.2">
      <c r="B1473" s="145"/>
      <c r="D1473" s="679"/>
      <c r="J1473" s="140"/>
      <c r="K1473" s="140"/>
      <c r="L1473" s="140"/>
      <c r="M1473" s="140"/>
      <c r="N1473" s="140"/>
      <c r="O1473" s="140"/>
      <c r="P1473" s="140"/>
      <c r="Q1473" s="140"/>
      <c r="R1473" s="140"/>
      <c r="S1473" s="140"/>
      <c r="T1473" s="140"/>
      <c r="U1473" s="140"/>
      <c r="V1473" s="140"/>
      <c r="W1473" s="140"/>
      <c r="X1473" s="140"/>
      <c r="Y1473" s="140"/>
      <c r="Z1473" s="140"/>
      <c r="AA1473" s="141"/>
      <c r="AE1473" s="140"/>
      <c r="AI1473" s="141"/>
      <c r="AM1473" s="141"/>
      <c r="AQ1473" s="141"/>
      <c r="AT1473" s="140"/>
      <c r="AU1473" s="140"/>
    </row>
    <row r="1474" spans="2:47" s="134" customFormat="1" x14ac:dyDescent="0.2">
      <c r="B1474" s="145"/>
      <c r="D1474" s="679"/>
      <c r="J1474" s="140"/>
      <c r="K1474" s="140"/>
      <c r="L1474" s="140"/>
      <c r="M1474" s="140"/>
      <c r="N1474" s="140"/>
      <c r="O1474" s="140"/>
      <c r="P1474" s="140"/>
      <c r="Q1474" s="140"/>
      <c r="R1474" s="140"/>
      <c r="S1474" s="140"/>
      <c r="T1474" s="140"/>
      <c r="U1474" s="140"/>
      <c r="V1474" s="140"/>
      <c r="W1474" s="140"/>
      <c r="X1474" s="140"/>
      <c r="Y1474" s="140"/>
      <c r="Z1474" s="140"/>
      <c r="AA1474" s="141"/>
      <c r="AE1474" s="140"/>
      <c r="AI1474" s="141"/>
      <c r="AM1474" s="141"/>
      <c r="AQ1474" s="141"/>
      <c r="AT1474" s="140"/>
      <c r="AU1474" s="140"/>
    </row>
    <row r="1475" spans="2:47" s="134" customFormat="1" x14ac:dyDescent="0.2">
      <c r="B1475" s="145"/>
      <c r="D1475" s="679"/>
      <c r="J1475" s="140"/>
      <c r="K1475" s="140"/>
      <c r="L1475" s="140"/>
      <c r="M1475" s="140"/>
      <c r="N1475" s="140"/>
      <c r="O1475" s="140"/>
      <c r="P1475" s="140"/>
      <c r="Q1475" s="140"/>
      <c r="R1475" s="140"/>
      <c r="S1475" s="140"/>
      <c r="T1475" s="140"/>
      <c r="U1475" s="140"/>
      <c r="V1475" s="140"/>
      <c r="W1475" s="140"/>
      <c r="X1475" s="140"/>
      <c r="Y1475" s="140"/>
      <c r="Z1475" s="140"/>
      <c r="AA1475" s="141"/>
      <c r="AE1475" s="140"/>
      <c r="AI1475" s="141"/>
      <c r="AM1475" s="141"/>
      <c r="AQ1475" s="141"/>
      <c r="AT1475" s="140"/>
      <c r="AU1475" s="140"/>
    </row>
    <row r="1476" spans="2:47" s="134" customFormat="1" x14ac:dyDescent="0.2">
      <c r="B1476" s="145"/>
      <c r="D1476" s="679"/>
      <c r="J1476" s="140"/>
      <c r="K1476" s="140"/>
      <c r="L1476" s="140"/>
      <c r="M1476" s="140"/>
      <c r="N1476" s="140"/>
      <c r="O1476" s="140"/>
      <c r="P1476" s="140"/>
      <c r="Q1476" s="140"/>
      <c r="R1476" s="140"/>
      <c r="S1476" s="140"/>
      <c r="T1476" s="140"/>
      <c r="U1476" s="140"/>
      <c r="V1476" s="140"/>
      <c r="W1476" s="140"/>
      <c r="X1476" s="140"/>
      <c r="Y1476" s="140"/>
      <c r="Z1476" s="140"/>
      <c r="AA1476" s="141"/>
      <c r="AE1476" s="140"/>
      <c r="AI1476" s="141"/>
      <c r="AM1476" s="141"/>
      <c r="AQ1476" s="141"/>
      <c r="AT1476" s="140"/>
      <c r="AU1476" s="140"/>
    </row>
    <row r="1477" spans="2:47" s="134" customFormat="1" x14ac:dyDescent="0.2">
      <c r="B1477" s="145"/>
      <c r="D1477" s="679"/>
      <c r="J1477" s="140"/>
      <c r="K1477" s="140"/>
      <c r="L1477" s="140"/>
      <c r="M1477" s="140"/>
      <c r="N1477" s="140"/>
      <c r="O1477" s="140"/>
      <c r="P1477" s="140"/>
      <c r="Q1477" s="140"/>
      <c r="R1477" s="140"/>
      <c r="S1477" s="140"/>
      <c r="T1477" s="140"/>
      <c r="U1477" s="140"/>
      <c r="V1477" s="140"/>
      <c r="W1477" s="140"/>
      <c r="X1477" s="140"/>
      <c r="Y1477" s="140"/>
      <c r="Z1477" s="140"/>
      <c r="AA1477" s="141"/>
      <c r="AE1477" s="140"/>
      <c r="AI1477" s="141"/>
      <c r="AM1477" s="141"/>
      <c r="AQ1477" s="141"/>
      <c r="AT1477" s="140"/>
      <c r="AU1477" s="140"/>
    </row>
    <row r="1478" spans="2:47" s="134" customFormat="1" x14ac:dyDescent="0.2">
      <c r="B1478" s="145"/>
      <c r="D1478" s="679"/>
      <c r="J1478" s="140"/>
      <c r="K1478" s="140"/>
      <c r="L1478" s="140"/>
      <c r="M1478" s="140"/>
      <c r="N1478" s="140"/>
      <c r="O1478" s="140"/>
      <c r="P1478" s="140"/>
      <c r="Q1478" s="140"/>
      <c r="R1478" s="140"/>
      <c r="S1478" s="140"/>
      <c r="T1478" s="140"/>
      <c r="U1478" s="140"/>
      <c r="V1478" s="140"/>
      <c r="W1478" s="140"/>
      <c r="X1478" s="140"/>
      <c r="Y1478" s="140"/>
      <c r="Z1478" s="140"/>
      <c r="AA1478" s="141"/>
      <c r="AE1478" s="140"/>
      <c r="AI1478" s="141"/>
      <c r="AM1478" s="141"/>
      <c r="AQ1478" s="141"/>
      <c r="AT1478" s="140"/>
      <c r="AU1478" s="140"/>
    </row>
    <row r="1479" spans="2:47" s="134" customFormat="1" x14ac:dyDescent="0.2">
      <c r="B1479" s="145"/>
      <c r="D1479" s="679"/>
      <c r="J1479" s="140"/>
      <c r="K1479" s="140"/>
      <c r="L1479" s="140"/>
      <c r="M1479" s="140"/>
      <c r="N1479" s="140"/>
      <c r="O1479" s="140"/>
      <c r="P1479" s="140"/>
      <c r="Q1479" s="140"/>
      <c r="R1479" s="140"/>
      <c r="S1479" s="140"/>
      <c r="T1479" s="140"/>
      <c r="U1479" s="140"/>
      <c r="V1479" s="140"/>
      <c r="W1479" s="140"/>
      <c r="X1479" s="140"/>
      <c r="Y1479" s="140"/>
      <c r="Z1479" s="140"/>
      <c r="AA1479" s="141"/>
      <c r="AE1479" s="140"/>
      <c r="AI1479" s="141"/>
      <c r="AM1479" s="141"/>
      <c r="AQ1479" s="141"/>
      <c r="AT1479" s="140"/>
      <c r="AU1479" s="140"/>
    </row>
    <row r="1480" spans="2:47" s="134" customFormat="1" x14ac:dyDescent="0.2">
      <c r="B1480" s="145"/>
      <c r="D1480" s="679"/>
      <c r="J1480" s="140"/>
      <c r="K1480" s="140"/>
      <c r="L1480" s="140"/>
      <c r="M1480" s="140"/>
      <c r="N1480" s="140"/>
      <c r="O1480" s="140"/>
      <c r="P1480" s="140"/>
      <c r="Q1480" s="140"/>
      <c r="R1480" s="140"/>
      <c r="S1480" s="140"/>
      <c r="T1480" s="140"/>
      <c r="U1480" s="140"/>
      <c r="V1480" s="140"/>
      <c r="W1480" s="140"/>
      <c r="X1480" s="140"/>
      <c r="Y1480" s="140"/>
      <c r="Z1480" s="140"/>
      <c r="AA1480" s="141"/>
      <c r="AE1480" s="140"/>
      <c r="AI1480" s="141"/>
      <c r="AM1480" s="141"/>
      <c r="AQ1480" s="141"/>
      <c r="AT1480" s="140"/>
      <c r="AU1480" s="140"/>
    </row>
    <row r="1481" spans="2:47" s="134" customFormat="1" x14ac:dyDescent="0.2">
      <c r="B1481" s="145"/>
      <c r="D1481" s="679"/>
      <c r="J1481" s="140"/>
      <c r="K1481" s="140"/>
      <c r="L1481" s="140"/>
      <c r="M1481" s="140"/>
      <c r="N1481" s="140"/>
      <c r="O1481" s="140"/>
      <c r="P1481" s="140"/>
      <c r="Q1481" s="140"/>
      <c r="R1481" s="140"/>
      <c r="S1481" s="140"/>
      <c r="T1481" s="140"/>
      <c r="U1481" s="140"/>
      <c r="V1481" s="140"/>
      <c r="W1481" s="140"/>
      <c r="X1481" s="140"/>
      <c r="Y1481" s="140"/>
      <c r="Z1481" s="140"/>
      <c r="AA1481" s="141"/>
      <c r="AE1481" s="140"/>
      <c r="AI1481" s="141"/>
      <c r="AM1481" s="141"/>
      <c r="AQ1481" s="141"/>
      <c r="AT1481" s="140"/>
      <c r="AU1481" s="140"/>
    </row>
    <row r="1482" spans="2:47" s="134" customFormat="1" x14ac:dyDescent="0.2">
      <c r="B1482" s="145"/>
      <c r="D1482" s="679"/>
      <c r="J1482" s="140"/>
      <c r="K1482" s="140"/>
      <c r="L1482" s="140"/>
      <c r="M1482" s="140"/>
      <c r="N1482" s="140"/>
      <c r="O1482" s="140"/>
      <c r="P1482" s="140"/>
      <c r="Q1482" s="140"/>
      <c r="R1482" s="140"/>
      <c r="S1482" s="140"/>
      <c r="T1482" s="140"/>
      <c r="U1482" s="140"/>
      <c r="V1482" s="140"/>
      <c r="W1482" s="140"/>
      <c r="X1482" s="140"/>
      <c r="Y1482" s="140"/>
      <c r="Z1482" s="140"/>
      <c r="AA1482" s="141"/>
      <c r="AE1482" s="140"/>
      <c r="AI1482" s="141"/>
      <c r="AM1482" s="141"/>
      <c r="AQ1482" s="141"/>
      <c r="AT1482" s="140"/>
      <c r="AU1482" s="140"/>
    </row>
    <row r="1483" spans="2:47" s="134" customFormat="1" x14ac:dyDescent="0.2">
      <c r="B1483" s="145"/>
      <c r="D1483" s="679"/>
      <c r="J1483" s="140"/>
      <c r="K1483" s="140"/>
      <c r="L1483" s="140"/>
      <c r="M1483" s="140"/>
      <c r="N1483" s="140"/>
      <c r="O1483" s="140"/>
      <c r="P1483" s="140"/>
      <c r="Q1483" s="140"/>
      <c r="R1483" s="140"/>
      <c r="S1483" s="140"/>
      <c r="T1483" s="140"/>
      <c r="U1483" s="140"/>
      <c r="V1483" s="140"/>
      <c r="W1483" s="140"/>
      <c r="X1483" s="140"/>
      <c r="Y1483" s="140"/>
      <c r="Z1483" s="140"/>
      <c r="AA1483" s="141"/>
      <c r="AE1483" s="140"/>
      <c r="AI1483" s="141"/>
      <c r="AM1483" s="141"/>
      <c r="AQ1483" s="141"/>
      <c r="AT1483" s="140"/>
      <c r="AU1483" s="140"/>
    </row>
    <row r="1484" spans="2:47" s="134" customFormat="1" x14ac:dyDescent="0.2">
      <c r="B1484" s="145"/>
      <c r="D1484" s="679"/>
      <c r="J1484" s="140"/>
      <c r="K1484" s="140"/>
      <c r="L1484" s="140"/>
      <c r="M1484" s="140"/>
      <c r="N1484" s="140"/>
      <c r="O1484" s="140"/>
      <c r="P1484" s="140"/>
      <c r="Q1484" s="140"/>
      <c r="R1484" s="140"/>
      <c r="S1484" s="140"/>
      <c r="T1484" s="140"/>
      <c r="U1484" s="140"/>
      <c r="V1484" s="140"/>
      <c r="W1484" s="140"/>
      <c r="X1484" s="140"/>
      <c r="Y1484" s="140"/>
      <c r="Z1484" s="140"/>
      <c r="AA1484" s="141"/>
      <c r="AE1484" s="140"/>
      <c r="AI1484" s="141"/>
      <c r="AM1484" s="141"/>
      <c r="AQ1484" s="141"/>
      <c r="AT1484" s="140"/>
      <c r="AU1484" s="140"/>
    </row>
    <row r="1485" spans="2:47" s="134" customFormat="1" x14ac:dyDescent="0.2">
      <c r="B1485" s="145"/>
      <c r="D1485" s="679"/>
      <c r="J1485" s="140"/>
      <c r="K1485" s="140"/>
      <c r="L1485" s="140"/>
      <c r="M1485" s="140"/>
      <c r="N1485" s="140"/>
      <c r="O1485" s="140"/>
      <c r="P1485" s="140"/>
      <c r="Q1485" s="140"/>
      <c r="R1485" s="140"/>
      <c r="S1485" s="140"/>
      <c r="T1485" s="140"/>
      <c r="U1485" s="140"/>
      <c r="V1485" s="140"/>
      <c r="W1485" s="140"/>
      <c r="X1485" s="140"/>
      <c r="Y1485" s="140"/>
      <c r="Z1485" s="140"/>
      <c r="AA1485" s="141"/>
      <c r="AE1485" s="140"/>
      <c r="AI1485" s="141"/>
      <c r="AM1485" s="141"/>
      <c r="AQ1485" s="141"/>
      <c r="AT1485" s="140"/>
      <c r="AU1485" s="140"/>
    </row>
    <row r="1486" spans="2:47" s="134" customFormat="1" x14ac:dyDescent="0.2">
      <c r="B1486" s="145"/>
      <c r="D1486" s="679"/>
      <c r="J1486" s="140"/>
      <c r="K1486" s="140"/>
      <c r="L1486" s="140"/>
      <c r="M1486" s="140"/>
      <c r="N1486" s="140"/>
      <c r="O1486" s="140"/>
      <c r="P1486" s="140"/>
      <c r="Q1486" s="140"/>
      <c r="R1486" s="140"/>
      <c r="S1486" s="140"/>
      <c r="T1486" s="140"/>
      <c r="U1486" s="140"/>
      <c r="V1486" s="140"/>
      <c r="W1486" s="140"/>
      <c r="X1486" s="140"/>
      <c r="Y1486" s="140"/>
      <c r="Z1486" s="140"/>
      <c r="AA1486" s="141"/>
      <c r="AE1486" s="140"/>
      <c r="AI1486" s="141"/>
      <c r="AM1486" s="141"/>
      <c r="AQ1486" s="141"/>
      <c r="AT1486" s="140"/>
      <c r="AU1486" s="140"/>
    </row>
    <row r="1487" spans="2:47" s="134" customFormat="1" x14ac:dyDescent="0.2">
      <c r="B1487" s="145"/>
      <c r="D1487" s="679"/>
      <c r="J1487" s="140"/>
      <c r="K1487" s="140"/>
      <c r="L1487" s="140"/>
      <c r="M1487" s="140"/>
      <c r="N1487" s="140"/>
      <c r="O1487" s="140"/>
      <c r="P1487" s="140"/>
      <c r="Q1487" s="140"/>
      <c r="R1487" s="140"/>
      <c r="S1487" s="140"/>
      <c r="T1487" s="140"/>
      <c r="U1487" s="140"/>
      <c r="V1487" s="140"/>
      <c r="W1487" s="140"/>
      <c r="X1487" s="140"/>
      <c r="Y1487" s="140"/>
      <c r="Z1487" s="140"/>
      <c r="AA1487" s="141"/>
      <c r="AE1487" s="140"/>
      <c r="AI1487" s="141"/>
      <c r="AM1487" s="141"/>
      <c r="AQ1487" s="141"/>
      <c r="AT1487" s="140"/>
      <c r="AU1487" s="140"/>
    </row>
    <row r="1488" spans="2:47" s="134" customFormat="1" x14ac:dyDescent="0.2">
      <c r="B1488" s="145"/>
      <c r="D1488" s="679"/>
      <c r="J1488" s="140"/>
      <c r="K1488" s="140"/>
      <c r="L1488" s="140"/>
      <c r="M1488" s="140"/>
      <c r="N1488" s="140"/>
      <c r="O1488" s="140"/>
      <c r="P1488" s="140"/>
      <c r="Q1488" s="140"/>
      <c r="R1488" s="140"/>
      <c r="S1488" s="140"/>
      <c r="T1488" s="140"/>
      <c r="U1488" s="140"/>
      <c r="V1488" s="140"/>
      <c r="W1488" s="140"/>
      <c r="X1488" s="140"/>
      <c r="Y1488" s="140"/>
      <c r="Z1488" s="140"/>
      <c r="AA1488" s="141"/>
      <c r="AE1488" s="140"/>
      <c r="AI1488" s="141"/>
      <c r="AM1488" s="141"/>
      <c r="AQ1488" s="141"/>
      <c r="AT1488" s="140"/>
      <c r="AU1488" s="140"/>
    </row>
    <row r="1489" spans="2:47" s="134" customFormat="1" x14ac:dyDescent="0.2">
      <c r="B1489" s="145"/>
      <c r="D1489" s="679"/>
      <c r="J1489" s="140"/>
      <c r="K1489" s="140"/>
      <c r="L1489" s="140"/>
      <c r="M1489" s="140"/>
      <c r="N1489" s="140"/>
      <c r="O1489" s="140"/>
      <c r="P1489" s="140"/>
      <c r="Q1489" s="140"/>
      <c r="R1489" s="140"/>
      <c r="S1489" s="140"/>
      <c r="T1489" s="140"/>
      <c r="U1489" s="140"/>
      <c r="V1489" s="140"/>
      <c r="W1489" s="140"/>
      <c r="X1489" s="140"/>
      <c r="Y1489" s="140"/>
      <c r="Z1489" s="140"/>
      <c r="AA1489" s="141"/>
      <c r="AE1489" s="140"/>
      <c r="AI1489" s="141"/>
      <c r="AM1489" s="141"/>
      <c r="AQ1489" s="141"/>
      <c r="AT1489" s="140"/>
      <c r="AU1489" s="140"/>
    </row>
    <row r="1490" spans="2:47" s="134" customFormat="1" x14ac:dyDescent="0.2">
      <c r="B1490" s="145"/>
      <c r="D1490" s="679"/>
      <c r="J1490" s="140"/>
      <c r="K1490" s="140"/>
      <c r="L1490" s="140"/>
      <c r="M1490" s="140"/>
      <c r="N1490" s="140"/>
      <c r="O1490" s="140"/>
      <c r="P1490" s="140"/>
      <c r="Q1490" s="140"/>
      <c r="R1490" s="140"/>
      <c r="S1490" s="140"/>
      <c r="T1490" s="140"/>
      <c r="U1490" s="140"/>
      <c r="V1490" s="140"/>
      <c r="W1490" s="140"/>
      <c r="X1490" s="140"/>
      <c r="Y1490" s="140"/>
      <c r="Z1490" s="140"/>
      <c r="AA1490" s="141"/>
      <c r="AE1490" s="140"/>
      <c r="AI1490" s="141"/>
      <c r="AM1490" s="141"/>
      <c r="AQ1490" s="141"/>
      <c r="AT1490" s="140"/>
      <c r="AU1490" s="140"/>
    </row>
    <row r="1491" spans="2:47" s="134" customFormat="1" x14ac:dyDescent="0.2">
      <c r="B1491" s="145"/>
      <c r="D1491" s="679"/>
      <c r="J1491" s="140"/>
      <c r="K1491" s="140"/>
      <c r="L1491" s="140"/>
      <c r="M1491" s="140"/>
      <c r="N1491" s="140"/>
      <c r="O1491" s="140"/>
      <c r="P1491" s="140"/>
      <c r="Q1491" s="140"/>
      <c r="R1491" s="140"/>
      <c r="S1491" s="140"/>
      <c r="T1491" s="140"/>
      <c r="U1491" s="140"/>
      <c r="V1491" s="140"/>
      <c r="W1491" s="140"/>
      <c r="X1491" s="140"/>
      <c r="Y1491" s="140"/>
      <c r="Z1491" s="140"/>
      <c r="AA1491" s="141"/>
      <c r="AE1491" s="140"/>
      <c r="AI1491" s="141"/>
      <c r="AM1491" s="141"/>
      <c r="AQ1491" s="141"/>
      <c r="AT1491" s="140"/>
      <c r="AU1491" s="140"/>
    </row>
    <row r="1492" spans="2:47" s="134" customFormat="1" x14ac:dyDescent="0.2">
      <c r="B1492" s="145"/>
      <c r="D1492" s="679"/>
      <c r="J1492" s="140"/>
      <c r="K1492" s="140"/>
      <c r="L1492" s="140"/>
      <c r="M1492" s="140"/>
      <c r="N1492" s="140"/>
      <c r="O1492" s="140"/>
      <c r="P1492" s="140"/>
      <c r="Q1492" s="140"/>
      <c r="R1492" s="140"/>
      <c r="S1492" s="140"/>
      <c r="T1492" s="140"/>
      <c r="U1492" s="140"/>
      <c r="V1492" s="140"/>
      <c r="W1492" s="140"/>
      <c r="X1492" s="140"/>
      <c r="Y1492" s="140"/>
      <c r="Z1492" s="140"/>
      <c r="AA1492" s="141"/>
      <c r="AE1492" s="140"/>
      <c r="AI1492" s="141"/>
      <c r="AM1492" s="141"/>
      <c r="AQ1492" s="141"/>
      <c r="AT1492" s="140"/>
      <c r="AU1492" s="140"/>
    </row>
    <row r="1493" spans="2:47" s="134" customFormat="1" x14ac:dyDescent="0.2">
      <c r="B1493" s="145"/>
      <c r="D1493" s="679"/>
      <c r="J1493" s="140"/>
      <c r="K1493" s="140"/>
      <c r="L1493" s="140"/>
      <c r="M1493" s="140"/>
      <c r="N1493" s="140"/>
      <c r="O1493" s="140"/>
      <c r="P1493" s="140"/>
      <c r="Q1493" s="140"/>
      <c r="R1493" s="140"/>
      <c r="S1493" s="140"/>
      <c r="T1493" s="140"/>
      <c r="U1493" s="140"/>
      <c r="V1493" s="140"/>
      <c r="W1493" s="140"/>
      <c r="X1493" s="140"/>
      <c r="Y1493" s="140"/>
      <c r="Z1493" s="140"/>
      <c r="AA1493" s="141"/>
      <c r="AE1493" s="140"/>
      <c r="AI1493" s="141"/>
      <c r="AM1493" s="141"/>
      <c r="AQ1493" s="141"/>
      <c r="AT1493" s="140"/>
      <c r="AU1493" s="140"/>
    </row>
    <row r="1494" spans="2:47" s="134" customFormat="1" x14ac:dyDescent="0.2">
      <c r="B1494" s="145"/>
      <c r="D1494" s="679"/>
      <c r="J1494" s="140"/>
      <c r="K1494" s="140"/>
      <c r="L1494" s="140"/>
      <c r="M1494" s="140"/>
      <c r="N1494" s="140"/>
      <c r="O1494" s="140"/>
      <c r="P1494" s="140"/>
      <c r="Q1494" s="140"/>
      <c r="R1494" s="140"/>
      <c r="S1494" s="140"/>
      <c r="T1494" s="140"/>
      <c r="U1494" s="140"/>
      <c r="V1494" s="140"/>
      <c r="W1494" s="140"/>
      <c r="X1494" s="140"/>
      <c r="Y1494" s="140"/>
      <c r="Z1494" s="140"/>
      <c r="AA1494" s="141"/>
      <c r="AE1494" s="140"/>
      <c r="AI1494" s="141"/>
      <c r="AM1494" s="141"/>
      <c r="AQ1494" s="141"/>
      <c r="AT1494" s="140"/>
      <c r="AU1494" s="140"/>
    </row>
    <row r="1495" spans="2:47" s="134" customFormat="1" x14ac:dyDescent="0.2">
      <c r="B1495" s="145"/>
      <c r="D1495" s="679"/>
      <c r="J1495" s="140"/>
      <c r="K1495" s="140"/>
      <c r="L1495" s="140"/>
      <c r="M1495" s="140"/>
      <c r="N1495" s="140"/>
      <c r="O1495" s="140"/>
      <c r="P1495" s="140"/>
      <c r="Q1495" s="140"/>
      <c r="R1495" s="140"/>
      <c r="S1495" s="140"/>
      <c r="T1495" s="140"/>
      <c r="U1495" s="140"/>
      <c r="V1495" s="140"/>
      <c r="W1495" s="140"/>
      <c r="X1495" s="140"/>
      <c r="Y1495" s="140"/>
      <c r="Z1495" s="140"/>
      <c r="AA1495" s="141"/>
      <c r="AE1495" s="140"/>
      <c r="AI1495" s="141"/>
      <c r="AM1495" s="141"/>
      <c r="AQ1495" s="141"/>
      <c r="AT1495" s="140"/>
      <c r="AU1495" s="140"/>
    </row>
    <row r="1496" spans="2:47" s="134" customFormat="1" x14ac:dyDescent="0.2">
      <c r="B1496" s="145"/>
      <c r="D1496" s="679"/>
      <c r="J1496" s="140"/>
      <c r="K1496" s="140"/>
      <c r="L1496" s="140"/>
      <c r="M1496" s="140"/>
      <c r="N1496" s="140"/>
      <c r="O1496" s="140"/>
      <c r="P1496" s="140"/>
      <c r="Q1496" s="140"/>
      <c r="R1496" s="140"/>
      <c r="S1496" s="140"/>
      <c r="T1496" s="140"/>
      <c r="U1496" s="140"/>
      <c r="V1496" s="140"/>
      <c r="W1496" s="140"/>
      <c r="X1496" s="140"/>
      <c r="Y1496" s="140"/>
      <c r="Z1496" s="140"/>
      <c r="AA1496" s="141"/>
      <c r="AE1496" s="140"/>
      <c r="AI1496" s="141"/>
      <c r="AM1496" s="141"/>
      <c r="AQ1496" s="141"/>
      <c r="AT1496" s="140"/>
      <c r="AU1496" s="140"/>
    </row>
    <row r="1497" spans="2:47" s="134" customFormat="1" x14ac:dyDescent="0.2">
      <c r="B1497" s="145"/>
      <c r="D1497" s="679"/>
      <c r="J1497" s="140"/>
      <c r="K1497" s="140"/>
      <c r="L1497" s="140"/>
      <c r="M1497" s="140"/>
      <c r="N1497" s="140"/>
      <c r="O1497" s="140"/>
      <c r="P1497" s="140"/>
      <c r="Q1497" s="140"/>
      <c r="R1497" s="140"/>
      <c r="S1497" s="140"/>
      <c r="T1497" s="140"/>
      <c r="U1497" s="140"/>
      <c r="V1497" s="140"/>
      <c r="W1497" s="140"/>
      <c r="X1497" s="140"/>
      <c r="Y1497" s="140"/>
      <c r="Z1497" s="140"/>
      <c r="AA1497" s="141"/>
      <c r="AE1497" s="140"/>
      <c r="AI1497" s="141"/>
      <c r="AM1497" s="141"/>
      <c r="AQ1497" s="141"/>
      <c r="AT1497" s="140"/>
      <c r="AU1497" s="140"/>
    </row>
    <row r="1498" spans="2:47" s="134" customFormat="1" x14ac:dyDescent="0.2">
      <c r="B1498" s="145"/>
      <c r="D1498" s="679"/>
      <c r="J1498" s="140"/>
      <c r="K1498" s="140"/>
      <c r="L1498" s="140"/>
      <c r="M1498" s="140"/>
      <c r="N1498" s="140"/>
      <c r="O1498" s="140"/>
      <c r="P1498" s="140"/>
      <c r="Q1498" s="140"/>
      <c r="R1498" s="140"/>
      <c r="S1498" s="140"/>
      <c r="T1498" s="140"/>
      <c r="U1498" s="140"/>
      <c r="V1498" s="140"/>
      <c r="W1498" s="140"/>
      <c r="X1498" s="140"/>
      <c r="Y1498" s="140"/>
      <c r="Z1498" s="140"/>
      <c r="AA1498" s="141"/>
      <c r="AE1498" s="140"/>
      <c r="AI1498" s="141"/>
      <c r="AM1498" s="141"/>
      <c r="AQ1498" s="141"/>
      <c r="AT1498" s="140"/>
      <c r="AU1498" s="140"/>
    </row>
    <row r="1499" spans="2:47" s="134" customFormat="1" x14ac:dyDescent="0.2">
      <c r="B1499" s="145"/>
      <c r="D1499" s="679"/>
      <c r="J1499" s="140"/>
      <c r="K1499" s="140"/>
      <c r="L1499" s="140"/>
      <c r="M1499" s="140"/>
      <c r="N1499" s="140"/>
      <c r="O1499" s="140"/>
      <c r="P1499" s="140"/>
      <c r="Q1499" s="140"/>
      <c r="R1499" s="140"/>
      <c r="S1499" s="140"/>
      <c r="T1499" s="140"/>
      <c r="U1499" s="140"/>
      <c r="V1499" s="140"/>
      <c r="W1499" s="140"/>
      <c r="X1499" s="140"/>
      <c r="Y1499" s="140"/>
      <c r="Z1499" s="140"/>
      <c r="AA1499" s="141"/>
      <c r="AE1499" s="140"/>
      <c r="AI1499" s="141"/>
      <c r="AM1499" s="141"/>
      <c r="AQ1499" s="141"/>
      <c r="AT1499" s="140"/>
      <c r="AU1499" s="140"/>
    </row>
    <row r="1500" spans="2:47" s="134" customFormat="1" x14ac:dyDescent="0.2">
      <c r="B1500" s="145"/>
      <c r="D1500" s="679"/>
      <c r="J1500" s="140"/>
      <c r="K1500" s="140"/>
      <c r="L1500" s="140"/>
      <c r="M1500" s="140"/>
      <c r="N1500" s="140"/>
      <c r="O1500" s="140"/>
      <c r="P1500" s="140"/>
      <c r="Q1500" s="140"/>
      <c r="R1500" s="140"/>
      <c r="S1500" s="140"/>
      <c r="T1500" s="140"/>
      <c r="U1500" s="140"/>
      <c r="V1500" s="140"/>
      <c r="W1500" s="140"/>
      <c r="X1500" s="140"/>
      <c r="Y1500" s="140"/>
      <c r="Z1500" s="140"/>
      <c r="AA1500" s="141"/>
      <c r="AE1500" s="140"/>
      <c r="AI1500" s="141"/>
      <c r="AM1500" s="141"/>
      <c r="AQ1500" s="141"/>
      <c r="AT1500" s="140"/>
      <c r="AU1500" s="140"/>
    </row>
    <row r="1501" spans="2:47" s="134" customFormat="1" x14ac:dyDescent="0.2">
      <c r="B1501" s="145"/>
      <c r="D1501" s="679"/>
      <c r="J1501" s="140"/>
      <c r="K1501" s="140"/>
      <c r="L1501" s="140"/>
      <c r="M1501" s="140"/>
      <c r="N1501" s="140"/>
      <c r="O1501" s="140"/>
      <c r="P1501" s="140"/>
      <c r="Q1501" s="140"/>
      <c r="R1501" s="140"/>
      <c r="S1501" s="140"/>
      <c r="T1501" s="140"/>
      <c r="U1501" s="140"/>
      <c r="V1501" s="140"/>
      <c r="W1501" s="140"/>
      <c r="X1501" s="140"/>
      <c r="Y1501" s="140"/>
      <c r="Z1501" s="140"/>
      <c r="AA1501" s="141"/>
      <c r="AE1501" s="140"/>
      <c r="AI1501" s="141"/>
      <c r="AM1501" s="141"/>
      <c r="AQ1501" s="141"/>
      <c r="AT1501" s="140"/>
      <c r="AU1501" s="140"/>
    </row>
    <row r="1502" spans="2:47" s="134" customFormat="1" x14ac:dyDescent="0.2">
      <c r="B1502" s="145"/>
      <c r="D1502" s="679"/>
      <c r="J1502" s="140"/>
      <c r="K1502" s="140"/>
      <c r="L1502" s="140"/>
      <c r="M1502" s="140"/>
      <c r="N1502" s="140"/>
      <c r="O1502" s="140"/>
      <c r="P1502" s="140"/>
      <c r="Q1502" s="140"/>
      <c r="R1502" s="140"/>
      <c r="S1502" s="140"/>
      <c r="T1502" s="140"/>
      <c r="U1502" s="140"/>
      <c r="V1502" s="140"/>
      <c r="W1502" s="140"/>
      <c r="X1502" s="140"/>
      <c r="Y1502" s="140"/>
      <c r="Z1502" s="140"/>
      <c r="AA1502" s="141"/>
      <c r="AE1502" s="140"/>
      <c r="AI1502" s="141"/>
      <c r="AM1502" s="141"/>
      <c r="AQ1502" s="141"/>
      <c r="AT1502" s="140"/>
      <c r="AU1502" s="140"/>
    </row>
    <row r="1503" spans="2:47" s="134" customFormat="1" x14ac:dyDescent="0.2">
      <c r="B1503" s="145"/>
      <c r="D1503" s="679"/>
      <c r="J1503" s="140"/>
      <c r="K1503" s="140"/>
      <c r="L1503" s="140"/>
      <c r="M1503" s="140"/>
      <c r="N1503" s="140"/>
      <c r="O1503" s="140"/>
      <c r="P1503" s="140"/>
      <c r="Q1503" s="140"/>
      <c r="R1503" s="140"/>
      <c r="S1503" s="140"/>
      <c r="T1503" s="140"/>
      <c r="U1503" s="140"/>
      <c r="V1503" s="140"/>
      <c r="W1503" s="140"/>
      <c r="X1503" s="140"/>
      <c r="Y1503" s="140"/>
      <c r="Z1503" s="140"/>
      <c r="AA1503" s="141"/>
      <c r="AE1503" s="140"/>
      <c r="AI1503" s="141"/>
      <c r="AM1503" s="141"/>
      <c r="AQ1503" s="141"/>
      <c r="AT1503" s="140"/>
      <c r="AU1503" s="140"/>
    </row>
    <row r="1504" spans="2:47" s="134" customFormat="1" x14ac:dyDescent="0.2">
      <c r="B1504" s="145"/>
      <c r="D1504" s="679"/>
      <c r="J1504" s="140"/>
      <c r="K1504" s="140"/>
      <c r="L1504" s="140"/>
      <c r="M1504" s="140"/>
      <c r="N1504" s="140"/>
      <c r="O1504" s="140"/>
      <c r="P1504" s="140"/>
      <c r="Q1504" s="140"/>
      <c r="R1504" s="140"/>
      <c r="S1504" s="140"/>
      <c r="T1504" s="140"/>
      <c r="U1504" s="140"/>
      <c r="V1504" s="140"/>
      <c r="W1504" s="140"/>
      <c r="X1504" s="140"/>
      <c r="Y1504" s="140"/>
      <c r="Z1504" s="140"/>
      <c r="AA1504" s="141"/>
      <c r="AE1504" s="140"/>
      <c r="AI1504" s="141"/>
      <c r="AM1504" s="141"/>
      <c r="AQ1504" s="141"/>
      <c r="AT1504" s="140"/>
      <c r="AU1504" s="140"/>
    </row>
    <row r="1505" spans="2:47" s="134" customFormat="1" x14ac:dyDescent="0.2">
      <c r="B1505" s="145"/>
      <c r="D1505" s="679"/>
      <c r="J1505" s="140"/>
      <c r="K1505" s="140"/>
      <c r="L1505" s="140"/>
      <c r="M1505" s="140"/>
      <c r="N1505" s="140"/>
      <c r="O1505" s="140"/>
      <c r="P1505" s="140"/>
      <c r="Q1505" s="140"/>
      <c r="R1505" s="140"/>
      <c r="S1505" s="140"/>
      <c r="T1505" s="140"/>
      <c r="U1505" s="140"/>
      <c r="V1505" s="140"/>
      <c r="W1505" s="140"/>
      <c r="X1505" s="140"/>
      <c r="Y1505" s="140"/>
      <c r="Z1505" s="140"/>
      <c r="AA1505" s="141"/>
      <c r="AE1505" s="140"/>
      <c r="AI1505" s="141"/>
      <c r="AM1505" s="141"/>
      <c r="AQ1505" s="141"/>
      <c r="AT1505" s="140"/>
      <c r="AU1505" s="140"/>
    </row>
    <row r="1506" spans="2:47" s="134" customFormat="1" x14ac:dyDescent="0.2">
      <c r="B1506" s="145"/>
      <c r="D1506" s="679"/>
      <c r="J1506" s="140"/>
      <c r="K1506" s="140"/>
      <c r="L1506" s="140"/>
      <c r="M1506" s="140"/>
      <c r="N1506" s="140"/>
      <c r="O1506" s="140"/>
      <c r="P1506" s="140"/>
      <c r="Q1506" s="140"/>
      <c r="R1506" s="140"/>
      <c r="S1506" s="140"/>
      <c r="T1506" s="140"/>
      <c r="U1506" s="140"/>
      <c r="V1506" s="140"/>
      <c r="W1506" s="140"/>
      <c r="X1506" s="140"/>
      <c r="Y1506" s="140"/>
      <c r="Z1506" s="140"/>
      <c r="AA1506" s="141"/>
      <c r="AE1506" s="140"/>
      <c r="AI1506" s="141"/>
      <c r="AM1506" s="141"/>
      <c r="AQ1506" s="141"/>
      <c r="AT1506" s="140"/>
      <c r="AU1506" s="140"/>
    </row>
    <row r="1507" spans="2:47" s="134" customFormat="1" x14ac:dyDescent="0.2">
      <c r="B1507" s="145"/>
      <c r="D1507" s="679"/>
      <c r="J1507" s="140"/>
      <c r="K1507" s="140"/>
      <c r="L1507" s="140"/>
      <c r="M1507" s="140"/>
      <c r="N1507" s="140"/>
      <c r="O1507" s="140"/>
      <c r="P1507" s="140"/>
      <c r="Q1507" s="140"/>
      <c r="R1507" s="140"/>
      <c r="S1507" s="140"/>
      <c r="T1507" s="140"/>
      <c r="U1507" s="140"/>
      <c r="V1507" s="140"/>
      <c r="W1507" s="140"/>
      <c r="X1507" s="140"/>
      <c r="Y1507" s="140"/>
      <c r="Z1507" s="140"/>
      <c r="AA1507" s="141"/>
      <c r="AE1507" s="140"/>
      <c r="AI1507" s="141"/>
      <c r="AM1507" s="141"/>
      <c r="AQ1507" s="141"/>
      <c r="AT1507" s="140"/>
      <c r="AU1507" s="140"/>
    </row>
    <row r="1508" spans="2:47" s="134" customFormat="1" x14ac:dyDescent="0.2">
      <c r="B1508" s="145"/>
      <c r="D1508" s="679"/>
      <c r="J1508" s="140"/>
      <c r="K1508" s="140"/>
      <c r="L1508" s="140"/>
      <c r="M1508" s="140"/>
      <c r="N1508" s="140"/>
      <c r="O1508" s="140"/>
      <c r="P1508" s="140"/>
      <c r="Q1508" s="140"/>
      <c r="R1508" s="140"/>
      <c r="S1508" s="140"/>
      <c r="T1508" s="140"/>
      <c r="U1508" s="140"/>
      <c r="V1508" s="140"/>
      <c r="W1508" s="140"/>
      <c r="X1508" s="140"/>
      <c r="Y1508" s="140"/>
      <c r="Z1508" s="140"/>
      <c r="AA1508" s="141"/>
      <c r="AE1508" s="140"/>
      <c r="AI1508" s="141"/>
      <c r="AM1508" s="141"/>
      <c r="AQ1508" s="141"/>
      <c r="AT1508" s="140"/>
      <c r="AU1508" s="140"/>
    </row>
    <row r="1509" spans="2:47" s="134" customFormat="1" x14ac:dyDescent="0.2">
      <c r="B1509" s="145"/>
      <c r="D1509" s="679"/>
      <c r="J1509" s="140"/>
      <c r="K1509" s="140"/>
      <c r="L1509" s="140"/>
      <c r="M1509" s="140"/>
      <c r="N1509" s="140"/>
      <c r="O1509" s="140"/>
      <c r="P1509" s="140"/>
      <c r="Q1509" s="140"/>
      <c r="R1509" s="140"/>
      <c r="S1509" s="140"/>
      <c r="T1509" s="140"/>
      <c r="U1509" s="140"/>
      <c r="V1509" s="140"/>
      <c r="W1509" s="140"/>
      <c r="X1509" s="140"/>
      <c r="Y1509" s="140"/>
      <c r="Z1509" s="140"/>
      <c r="AA1509" s="141"/>
      <c r="AE1509" s="140"/>
      <c r="AI1509" s="141"/>
      <c r="AM1509" s="141"/>
      <c r="AQ1509" s="141"/>
      <c r="AT1509" s="140"/>
      <c r="AU1509" s="140"/>
    </row>
    <row r="1510" spans="2:47" s="134" customFormat="1" x14ac:dyDescent="0.2">
      <c r="B1510" s="145"/>
      <c r="D1510" s="679"/>
      <c r="J1510" s="140"/>
      <c r="K1510" s="140"/>
      <c r="L1510" s="140"/>
      <c r="M1510" s="140"/>
      <c r="N1510" s="140"/>
      <c r="O1510" s="140"/>
      <c r="P1510" s="140"/>
      <c r="Q1510" s="140"/>
      <c r="R1510" s="140"/>
      <c r="S1510" s="140"/>
      <c r="T1510" s="140"/>
      <c r="U1510" s="140"/>
      <c r="V1510" s="140"/>
      <c r="W1510" s="140"/>
      <c r="X1510" s="140"/>
      <c r="Y1510" s="140"/>
      <c r="Z1510" s="140"/>
      <c r="AA1510" s="141"/>
      <c r="AE1510" s="140"/>
      <c r="AI1510" s="141"/>
      <c r="AM1510" s="141"/>
      <c r="AQ1510" s="141"/>
      <c r="AT1510" s="140"/>
      <c r="AU1510" s="140"/>
    </row>
    <row r="1511" spans="2:47" s="134" customFormat="1" x14ac:dyDescent="0.2">
      <c r="B1511" s="145"/>
      <c r="D1511" s="679"/>
      <c r="J1511" s="140"/>
      <c r="K1511" s="140"/>
      <c r="L1511" s="140"/>
      <c r="M1511" s="140"/>
      <c r="N1511" s="140"/>
      <c r="O1511" s="140"/>
      <c r="P1511" s="140"/>
      <c r="Q1511" s="140"/>
      <c r="R1511" s="140"/>
      <c r="S1511" s="140"/>
      <c r="T1511" s="140"/>
      <c r="U1511" s="140"/>
      <c r="V1511" s="140"/>
      <c r="W1511" s="140"/>
      <c r="X1511" s="140"/>
      <c r="Y1511" s="140"/>
      <c r="Z1511" s="140"/>
      <c r="AA1511" s="141"/>
      <c r="AE1511" s="140"/>
      <c r="AI1511" s="141"/>
      <c r="AM1511" s="141"/>
      <c r="AQ1511" s="141"/>
      <c r="AT1511" s="140"/>
      <c r="AU1511" s="140"/>
    </row>
    <row r="1512" spans="2:47" s="134" customFormat="1" x14ac:dyDescent="0.2">
      <c r="B1512" s="145"/>
      <c r="D1512" s="679"/>
      <c r="J1512" s="140"/>
      <c r="K1512" s="140"/>
      <c r="L1512" s="140"/>
      <c r="M1512" s="140"/>
      <c r="N1512" s="140"/>
      <c r="O1512" s="140"/>
      <c r="P1512" s="140"/>
      <c r="Q1512" s="140"/>
      <c r="R1512" s="140"/>
      <c r="S1512" s="140"/>
      <c r="T1512" s="140"/>
      <c r="U1512" s="140"/>
      <c r="V1512" s="140"/>
      <c r="W1512" s="140"/>
      <c r="X1512" s="140"/>
      <c r="Y1512" s="140"/>
      <c r="Z1512" s="140"/>
      <c r="AA1512" s="141"/>
      <c r="AE1512" s="140"/>
      <c r="AI1512" s="141"/>
      <c r="AM1512" s="141"/>
      <c r="AQ1512" s="141"/>
      <c r="AT1512" s="140"/>
      <c r="AU1512" s="140"/>
    </row>
    <row r="1513" spans="2:47" s="134" customFormat="1" x14ac:dyDescent="0.2">
      <c r="B1513" s="145"/>
      <c r="D1513" s="679"/>
      <c r="J1513" s="140"/>
      <c r="K1513" s="140"/>
      <c r="L1513" s="140"/>
      <c r="M1513" s="140"/>
      <c r="N1513" s="140"/>
      <c r="O1513" s="140"/>
      <c r="P1513" s="140"/>
      <c r="Q1513" s="140"/>
      <c r="R1513" s="140"/>
      <c r="S1513" s="140"/>
      <c r="T1513" s="140"/>
      <c r="U1513" s="140"/>
      <c r="V1513" s="140"/>
      <c r="W1513" s="140"/>
      <c r="X1513" s="140"/>
      <c r="Y1513" s="140"/>
      <c r="Z1513" s="140"/>
      <c r="AA1513" s="141"/>
      <c r="AE1513" s="140"/>
      <c r="AI1513" s="141"/>
      <c r="AM1513" s="141"/>
      <c r="AQ1513" s="141"/>
      <c r="AT1513" s="140"/>
      <c r="AU1513" s="140"/>
    </row>
    <row r="1514" spans="2:47" s="134" customFormat="1" x14ac:dyDescent="0.2">
      <c r="B1514" s="145"/>
      <c r="D1514" s="679"/>
      <c r="J1514" s="140"/>
      <c r="K1514" s="140"/>
      <c r="L1514" s="140"/>
      <c r="M1514" s="140"/>
      <c r="N1514" s="140"/>
      <c r="O1514" s="140"/>
      <c r="P1514" s="140"/>
      <c r="Q1514" s="140"/>
      <c r="R1514" s="140"/>
      <c r="S1514" s="140"/>
      <c r="T1514" s="140"/>
      <c r="U1514" s="140"/>
      <c r="V1514" s="140"/>
      <c r="W1514" s="140"/>
      <c r="X1514" s="140"/>
      <c r="Y1514" s="140"/>
      <c r="Z1514" s="140"/>
      <c r="AA1514" s="141"/>
      <c r="AE1514" s="140"/>
      <c r="AI1514" s="141"/>
      <c r="AM1514" s="141"/>
      <c r="AQ1514" s="141"/>
      <c r="AT1514" s="140"/>
      <c r="AU1514" s="140"/>
    </row>
    <row r="1515" spans="2:47" s="134" customFormat="1" x14ac:dyDescent="0.2">
      <c r="B1515" s="145"/>
      <c r="D1515" s="679"/>
      <c r="J1515" s="140"/>
      <c r="K1515" s="140"/>
      <c r="L1515" s="140"/>
      <c r="M1515" s="140"/>
      <c r="N1515" s="140"/>
      <c r="O1515" s="140"/>
      <c r="P1515" s="140"/>
      <c r="Q1515" s="140"/>
      <c r="R1515" s="140"/>
      <c r="S1515" s="140"/>
      <c r="T1515" s="140"/>
      <c r="U1515" s="140"/>
      <c r="V1515" s="140"/>
      <c r="W1515" s="140"/>
      <c r="X1515" s="140"/>
      <c r="Y1515" s="140"/>
      <c r="Z1515" s="140"/>
      <c r="AA1515" s="141"/>
      <c r="AE1515" s="140"/>
      <c r="AI1515" s="141"/>
      <c r="AM1515" s="141"/>
      <c r="AQ1515" s="141"/>
      <c r="AT1515" s="140"/>
      <c r="AU1515" s="140"/>
    </row>
    <row r="1516" spans="2:47" s="134" customFormat="1" x14ac:dyDescent="0.2">
      <c r="B1516" s="145"/>
      <c r="D1516" s="679"/>
      <c r="J1516" s="140"/>
      <c r="K1516" s="140"/>
      <c r="L1516" s="140"/>
      <c r="M1516" s="140"/>
      <c r="N1516" s="140"/>
      <c r="O1516" s="140"/>
      <c r="P1516" s="140"/>
      <c r="Q1516" s="140"/>
      <c r="R1516" s="140"/>
      <c r="S1516" s="140"/>
      <c r="T1516" s="140"/>
      <c r="U1516" s="140"/>
      <c r="V1516" s="140"/>
      <c r="W1516" s="140"/>
      <c r="X1516" s="140"/>
      <c r="Y1516" s="140"/>
      <c r="Z1516" s="140"/>
      <c r="AA1516" s="141"/>
      <c r="AE1516" s="140"/>
      <c r="AI1516" s="141"/>
      <c r="AM1516" s="141"/>
      <c r="AQ1516" s="141"/>
      <c r="AT1516" s="140"/>
      <c r="AU1516" s="140"/>
    </row>
    <row r="1517" spans="2:47" s="134" customFormat="1" x14ac:dyDescent="0.2">
      <c r="B1517" s="145"/>
      <c r="D1517" s="679"/>
      <c r="J1517" s="140"/>
      <c r="K1517" s="140"/>
      <c r="L1517" s="140"/>
      <c r="M1517" s="140"/>
      <c r="N1517" s="140"/>
      <c r="O1517" s="140"/>
      <c r="P1517" s="140"/>
      <c r="Q1517" s="140"/>
      <c r="R1517" s="140"/>
      <c r="S1517" s="140"/>
      <c r="T1517" s="140"/>
      <c r="U1517" s="140"/>
      <c r="V1517" s="140"/>
      <c r="W1517" s="140"/>
      <c r="X1517" s="140"/>
      <c r="Y1517" s="140"/>
      <c r="Z1517" s="140"/>
      <c r="AA1517" s="141"/>
      <c r="AE1517" s="140"/>
      <c r="AI1517" s="141"/>
      <c r="AM1517" s="141"/>
      <c r="AQ1517" s="141"/>
      <c r="AT1517" s="140"/>
      <c r="AU1517" s="140"/>
    </row>
    <row r="1518" spans="2:47" s="134" customFormat="1" x14ac:dyDescent="0.2">
      <c r="B1518" s="145"/>
      <c r="D1518" s="679"/>
      <c r="J1518" s="140"/>
      <c r="K1518" s="140"/>
      <c r="L1518" s="140"/>
      <c r="M1518" s="140"/>
      <c r="N1518" s="140"/>
      <c r="O1518" s="140"/>
      <c r="P1518" s="140"/>
      <c r="Q1518" s="140"/>
      <c r="R1518" s="140"/>
      <c r="S1518" s="140"/>
      <c r="T1518" s="140"/>
      <c r="U1518" s="140"/>
      <c r="V1518" s="140"/>
      <c r="W1518" s="140"/>
      <c r="X1518" s="140"/>
      <c r="Y1518" s="140"/>
      <c r="Z1518" s="140"/>
      <c r="AA1518" s="141"/>
      <c r="AE1518" s="140"/>
      <c r="AI1518" s="141"/>
      <c r="AM1518" s="141"/>
      <c r="AQ1518" s="141"/>
      <c r="AT1518" s="140"/>
      <c r="AU1518" s="140"/>
    </row>
    <row r="1519" spans="2:47" s="134" customFormat="1" x14ac:dyDescent="0.2">
      <c r="B1519" s="145"/>
      <c r="D1519" s="679"/>
      <c r="J1519" s="140"/>
      <c r="K1519" s="140"/>
      <c r="L1519" s="140"/>
      <c r="M1519" s="140"/>
      <c r="N1519" s="140"/>
      <c r="O1519" s="140"/>
      <c r="P1519" s="140"/>
      <c r="Q1519" s="140"/>
      <c r="R1519" s="140"/>
      <c r="S1519" s="140"/>
      <c r="T1519" s="140"/>
      <c r="U1519" s="140"/>
      <c r="V1519" s="140"/>
      <c r="W1519" s="140"/>
      <c r="X1519" s="140"/>
      <c r="Y1519" s="140"/>
      <c r="Z1519" s="140"/>
      <c r="AA1519" s="141"/>
      <c r="AE1519" s="140"/>
      <c r="AI1519" s="141"/>
      <c r="AM1519" s="141"/>
      <c r="AQ1519" s="141"/>
      <c r="AT1519" s="140"/>
      <c r="AU1519" s="140"/>
    </row>
    <row r="1520" spans="2:47" s="134" customFormat="1" x14ac:dyDescent="0.2">
      <c r="B1520" s="145"/>
      <c r="D1520" s="679"/>
      <c r="J1520" s="140"/>
      <c r="K1520" s="140"/>
      <c r="L1520" s="140"/>
      <c r="M1520" s="140"/>
      <c r="N1520" s="140"/>
      <c r="O1520" s="140"/>
      <c r="P1520" s="140"/>
      <c r="Q1520" s="140"/>
      <c r="R1520" s="140"/>
      <c r="S1520" s="140"/>
      <c r="T1520" s="140"/>
      <c r="U1520" s="140"/>
      <c r="V1520" s="140"/>
      <c r="W1520" s="140"/>
      <c r="X1520" s="140"/>
      <c r="Y1520" s="140"/>
      <c r="Z1520" s="140"/>
      <c r="AA1520" s="141"/>
      <c r="AE1520" s="140"/>
      <c r="AI1520" s="141"/>
      <c r="AM1520" s="141"/>
      <c r="AQ1520" s="141"/>
      <c r="AT1520" s="140"/>
      <c r="AU1520" s="140"/>
    </row>
    <row r="1521" spans="2:47" s="134" customFormat="1" x14ac:dyDescent="0.2">
      <c r="B1521" s="145"/>
      <c r="D1521" s="679"/>
      <c r="J1521" s="140"/>
      <c r="K1521" s="140"/>
      <c r="L1521" s="140"/>
      <c r="M1521" s="140"/>
      <c r="N1521" s="140"/>
      <c r="O1521" s="140"/>
      <c r="P1521" s="140"/>
      <c r="Q1521" s="140"/>
      <c r="R1521" s="140"/>
      <c r="S1521" s="140"/>
      <c r="T1521" s="140"/>
      <c r="U1521" s="140"/>
      <c r="V1521" s="140"/>
      <c r="W1521" s="140"/>
      <c r="X1521" s="140"/>
      <c r="Y1521" s="140"/>
      <c r="Z1521" s="140"/>
      <c r="AA1521" s="141"/>
      <c r="AE1521" s="140"/>
      <c r="AI1521" s="141"/>
      <c r="AM1521" s="141"/>
      <c r="AQ1521" s="141"/>
      <c r="AT1521" s="140"/>
      <c r="AU1521" s="140"/>
    </row>
    <row r="1522" spans="2:47" s="134" customFormat="1" x14ac:dyDescent="0.2">
      <c r="B1522" s="145"/>
      <c r="D1522" s="679"/>
      <c r="J1522" s="140"/>
      <c r="K1522" s="140"/>
      <c r="L1522" s="140"/>
      <c r="M1522" s="140"/>
      <c r="N1522" s="140"/>
      <c r="O1522" s="140"/>
      <c r="P1522" s="140"/>
      <c r="Q1522" s="140"/>
      <c r="R1522" s="140"/>
      <c r="S1522" s="140"/>
      <c r="T1522" s="140"/>
      <c r="U1522" s="140"/>
      <c r="V1522" s="140"/>
      <c r="W1522" s="140"/>
      <c r="X1522" s="140"/>
      <c r="Y1522" s="140"/>
      <c r="Z1522" s="140"/>
      <c r="AA1522" s="141"/>
      <c r="AE1522" s="140"/>
      <c r="AI1522" s="141"/>
      <c r="AM1522" s="141"/>
      <c r="AQ1522" s="141"/>
      <c r="AT1522" s="140"/>
      <c r="AU1522" s="140"/>
    </row>
    <row r="1523" spans="2:47" s="134" customFormat="1" x14ac:dyDescent="0.2">
      <c r="B1523" s="145"/>
      <c r="D1523" s="679"/>
      <c r="J1523" s="140"/>
      <c r="K1523" s="140"/>
      <c r="L1523" s="140"/>
      <c r="M1523" s="140"/>
      <c r="N1523" s="140"/>
      <c r="O1523" s="140"/>
      <c r="P1523" s="140"/>
      <c r="Q1523" s="140"/>
      <c r="R1523" s="140"/>
      <c r="S1523" s="140"/>
      <c r="T1523" s="140"/>
      <c r="U1523" s="140"/>
      <c r="V1523" s="140"/>
      <c r="W1523" s="140"/>
      <c r="X1523" s="140"/>
      <c r="Y1523" s="140"/>
      <c r="Z1523" s="140"/>
      <c r="AA1523" s="141"/>
      <c r="AE1523" s="140"/>
      <c r="AI1523" s="141"/>
      <c r="AM1523" s="141"/>
      <c r="AQ1523" s="141"/>
      <c r="AT1523" s="140"/>
      <c r="AU1523" s="140"/>
    </row>
    <row r="1524" spans="2:47" s="134" customFormat="1" x14ac:dyDescent="0.2">
      <c r="B1524" s="145"/>
      <c r="D1524" s="679"/>
      <c r="J1524" s="140"/>
      <c r="K1524" s="140"/>
      <c r="L1524" s="140"/>
      <c r="M1524" s="140"/>
      <c r="N1524" s="140"/>
      <c r="O1524" s="140"/>
      <c r="P1524" s="140"/>
      <c r="Q1524" s="140"/>
      <c r="R1524" s="140"/>
      <c r="S1524" s="140"/>
      <c r="T1524" s="140"/>
      <c r="U1524" s="140"/>
      <c r="V1524" s="140"/>
      <c r="W1524" s="140"/>
      <c r="X1524" s="140"/>
      <c r="Y1524" s="140"/>
      <c r="Z1524" s="140"/>
      <c r="AA1524" s="141"/>
      <c r="AE1524" s="140"/>
      <c r="AI1524" s="141"/>
      <c r="AM1524" s="141"/>
      <c r="AQ1524" s="141"/>
      <c r="AT1524" s="140"/>
      <c r="AU1524" s="140"/>
    </row>
    <row r="1525" spans="2:47" s="134" customFormat="1" x14ac:dyDescent="0.2">
      <c r="B1525" s="145"/>
      <c r="D1525" s="679"/>
      <c r="J1525" s="140"/>
      <c r="K1525" s="140"/>
      <c r="L1525" s="140"/>
      <c r="M1525" s="140"/>
      <c r="N1525" s="140"/>
      <c r="O1525" s="140"/>
      <c r="P1525" s="140"/>
      <c r="Q1525" s="140"/>
      <c r="R1525" s="140"/>
      <c r="S1525" s="140"/>
      <c r="T1525" s="140"/>
      <c r="U1525" s="140"/>
      <c r="V1525" s="140"/>
      <c r="W1525" s="140"/>
      <c r="X1525" s="140"/>
      <c r="Y1525" s="140"/>
      <c r="Z1525" s="140"/>
      <c r="AA1525" s="141"/>
      <c r="AE1525" s="140"/>
      <c r="AI1525" s="141"/>
      <c r="AM1525" s="141"/>
      <c r="AQ1525" s="141"/>
      <c r="AT1525" s="140"/>
      <c r="AU1525" s="140"/>
    </row>
    <row r="1526" spans="2:47" s="134" customFormat="1" x14ac:dyDescent="0.2">
      <c r="B1526" s="145"/>
      <c r="D1526" s="679"/>
      <c r="J1526" s="140"/>
      <c r="K1526" s="140"/>
      <c r="L1526" s="140"/>
      <c r="M1526" s="140"/>
      <c r="N1526" s="140"/>
      <c r="O1526" s="140"/>
      <c r="P1526" s="140"/>
      <c r="Q1526" s="140"/>
      <c r="R1526" s="140"/>
      <c r="S1526" s="140"/>
      <c r="T1526" s="140"/>
      <c r="U1526" s="140"/>
      <c r="V1526" s="140"/>
      <c r="W1526" s="140"/>
      <c r="X1526" s="140"/>
      <c r="Y1526" s="140"/>
      <c r="Z1526" s="140"/>
      <c r="AA1526" s="141"/>
      <c r="AE1526" s="140"/>
      <c r="AI1526" s="141"/>
      <c r="AM1526" s="141"/>
      <c r="AQ1526" s="141"/>
      <c r="AT1526" s="140"/>
      <c r="AU1526" s="140"/>
    </row>
  </sheetData>
  <mergeCells count="15">
    <mergeCell ref="B1:AC2"/>
    <mergeCell ref="B3:AC4"/>
    <mergeCell ref="B5:AC5"/>
    <mergeCell ref="B6:AC6"/>
    <mergeCell ref="B7:AC7"/>
    <mergeCell ref="AH14:AK14"/>
    <mergeCell ref="AL14:AO14"/>
    <mergeCell ref="AP14:AS14"/>
    <mergeCell ref="AT14:AU14"/>
    <mergeCell ref="B8:AC8"/>
    <mergeCell ref="B134:I134"/>
    <mergeCell ref="B135:E135"/>
    <mergeCell ref="B136:AC136"/>
    <mergeCell ref="Z14:AC14"/>
    <mergeCell ref="AD14:AG14"/>
  </mergeCells>
  <conditionalFormatting sqref="D132:D133">
    <cfRule type="duplicateValues" dxfId="93" priority="1"/>
  </conditionalFormatting>
  <conditionalFormatting sqref="D16:D131">
    <cfRule type="duplicateValues" dxfId="92" priority="2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KT364"/>
  <sheetViews>
    <sheetView topLeftCell="AV9" workbookViewId="0">
      <selection activeCell="C19" sqref="C19"/>
    </sheetView>
  </sheetViews>
  <sheetFormatPr baseColWidth="10" defaultColWidth="11.42578125" defaultRowHeight="11.25" x14ac:dyDescent="0.2"/>
  <cols>
    <col min="1" max="1" width="5" style="134" customWidth="1"/>
    <col min="2" max="2" width="10.140625" style="145" customWidth="1"/>
    <col min="3" max="3" width="9.85546875" style="134" customWidth="1"/>
    <col min="4" max="4" width="11.42578125" style="145" customWidth="1"/>
    <col min="5" max="5" width="41.7109375" style="134" customWidth="1"/>
    <col min="6" max="6" width="13.140625" style="134" customWidth="1"/>
    <col min="7" max="7" width="11.28515625" style="134" customWidth="1"/>
    <col min="8" max="8" width="18.85546875" style="134" customWidth="1"/>
    <col min="9" max="9" width="13.140625" style="134" customWidth="1"/>
    <col min="10" max="10" width="12.5703125" style="134" customWidth="1"/>
    <col min="11" max="11" width="12" style="134" customWidth="1"/>
    <col min="12" max="12" width="12.28515625" style="134" customWidth="1"/>
    <col min="13" max="13" width="12" style="134" customWidth="1"/>
    <col min="14" max="14" width="15.28515625" style="134" customWidth="1"/>
    <col min="15" max="15" width="15" style="134" customWidth="1"/>
    <col min="16" max="16" width="14" style="134" customWidth="1"/>
    <col min="17" max="18" width="12.7109375" style="134" bestFit="1" customWidth="1"/>
    <col min="19" max="24" width="12" style="134" customWidth="1"/>
    <col min="25" max="25" width="13.42578125" style="134" customWidth="1"/>
    <col min="26" max="26" width="10.140625" style="134" customWidth="1"/>
    <col min="27" max="27" width="10.140625" style="141" customWidth="1"/>
    <col min="28" max="30" width="10.140625" style="134" customWidth="1"/>
    <col min="31" max="31" width="10.140625" style="140" customWidth="1"/>
    <col min="32" max="34" width="10.140625" style="134" customWidth="1"/>
    <col min="35" max="35" width="10.140625" style="141" customWidth="1"/>
    <col min="36" max="38" width="10.140625" style="134" customWidth="1"/>
    <col min="39" max="39" width="10.140625" style="141" customWidth="1"/>
    <col min="40" max="42" width="10.140625" style="134" customWidth="1"/>
    <col min="43" max="43" width="10.140625" style="141" customWidth="1"/>
    <col min="44" max="61" width="10.140625" style="134" customWidth="1"/>
    <col min="62" max="16384" width="11.42578125" style="134"/>
  </cols>
  <sheetData>
    <row r="1" spans="2:306" hidden="1" x14ac:dyDescent="0.2">
      <c r="B1" s="743"/>
      <c r="C1" s="743"/>
      <c r="D1" s="744"/>
      <c r="E1" s="744"/>
      <c r="F1" s="744"/>
      <c r="G1" s="744"/>
      <c r="H1" s="744"/>
      <c r="I1" s="744"/>
      <c r="J1" s="744"/>
      <c r="K1" s="744"/>
      <c r="L1" s="744"/>
      <c r="M1" s="744"/>
      <c r="N1" s="744"/>
      <c r="O1" s="744"/>
      <c r="P1" s="744"/>
      <c r="Q1" s="744"/>
      <c r="R1" s="744"/>
      <c r="S1" s="744"/>
      <c r="T1" s="744"/>
      <c r="U1" s="744"/>
      <c r="V1" s="744"/>
      <c r="W1" s="744"/>
      <c r="X1" s="744"/>
      <c r="Y1" s="744"/>
      <c r="Z1" s="744"/>
      <c r="AA1" s="744"/>
      <c r="AB1" s="744"/>
      <c r="AC1" s="744"/>
      <c r="AD1" s="132"/>
      <c r="AE1" s="131"/>
      <c r="AF1" s="132"/>
      <c r="AG1" s="132"/>
      <c r="AH1" s="132"/>
      <c r="AI1" s="133"/>
      <c r="AJ1" s="132"/>
      <c r="AK1" s="132"/>
      <c r="AL1" s="132"/>
      <c r="AM1" s="133"/>
      <c r="AN1" s="132"/>
      <c r="AO1" s="132"/>
      <c r="AP1" s="132"/>
      <c r="AQ1" s="133"/>
      <c r="AR1" s="132"/>
      <c r="AS1" s="132"/>
      <c r="AT1" s="132"/>
      <c r="AU1" s="132"/>
      <c r="AV1" s="132"/>
      <c r="AW1" s="132"/>
      <c r="AX1" s="132"/>
      <c r="AY1" s="132"/>
      <c r="AZ1" s="132"/>
      <c r="BA1" s="132"/>
      <c r="BB1" s="132"/>
      <c r="BC1" s="132"/>
      <c r="BD1" s="132"/>
      <c r="BE1" s="132"/>
      <c r="BF1" s="132"/>
      <c r="BG1" s="132"/>
      <c r="BH1" s="132"/>
      <c r="BI1" s="132"/>
    </row>
    <row r="2" spans="2:306" hidden="1" x14ac:dyDescent="0.2">
      <c r="B2" s="744"/>
      <c r="C2" s="744"/>
      <c r="D2" s="744"/>
      <c r="E2" s="744"/>
      <c r="F2" s="744"/>
      <c r="G2" s="744"/>
      <c r="H2" s="744"/>
      <c r="I2" s="744"/>
      <c r="J2" s="744"/>
      <c r="K2" s="744"/>
      <c r="L2" s="744"/>
      <c r="M2" s="744"/>
      <c r="N2" s="744"/>
      <c r="O2" s="744"/>
      <c r="P2" s="744"/>
      <c r="Q2" s="744"/>
      <c r="R2" s="744"/>
      <c r="S2" s="744"/>
      <c r="T2" s="744"/>
      <c r="U2" s="744"/>
      <c r="V2" s="744"/>
      <c r="W2" s="744"/>
      <c r="X2" s="744"/>
      <c r="Y2" s="744"/>
      <c r="Z2" s="744"/>
      <c r="AA2" s="744"/>
      <c r="AB2" s="744"/>
      <c r="AC2" s="744"/>
      <c r="AD2" s="132"/>
      <c r="AE2" s="131"/>
      <c r="AF2" s="132"/>
      <c r="AG2" s="132"/>
      <c r="AH2" s="132"/>
      <c r="AI2" s="133"/>
      <c r="AJ2" s="132"/>
      <c r="AK2" s="132"/>
      <c r="AL2" s="132"/>
      <c r="AM2" s="133"/>
      <c r="AN2" s="132"/>
      <c r="AO2" s="132"/>
      <c r="AP2" s="132"/>
      <c r="AQ2" s="133"/>
      <c r="AR2" s="132"/>
      <c r="AS2" s="132"/>
      <c r="AT2" s="132"/>
      <c r="AU2" s="132"/>
      <c r="AV2" s="132"/>
      <c r="AW2" s="132"/>
      <c r="AX2" s="132"/>
      <c r="AY2" s="132"/>
      <c r="AZ2" s="132"/>
      <c r="BA2" s="132"/>
      <c r="BB2" s="132"/>
      <c r="BC2" s="132"/>
      <c r="BD2" s="132"/>
      <c r="BE2" s="132"/>
      <c r="BF2" s="132"/>
      <c r="BG2" s="132"/>
      <c r="BH2" s="132"/>
      <c r="BI2" s="132"/>
    </row>
    <row r="3" spans="2:306" ht="12.75" hidden="1" customHeight="1" x14ac:dyDescent="0.2">
      <c r="B3" s="742"/>
      <c r="C3" s="742"/>
      <c r="D3" s="742"/>
      <c r="E3" s="742"/>
      <c r="F3" s="742"/>
      <c r="G3" s="742"/>
      <c r="H3" s="742"/>
      <c r="I3" s="742"/>
      <c r="J3" s="742"/>
      <c r="K3" s="742"/>
      <c r="L3" s="742"/>
      <c r="M3" s="742"/>
      <c r="N3" s="742"/>
      <c r="O3" s="742"/>
      <c r="P3" s="742"/>
      <c r="Q3" s="742"/>
      <c r="R3" s="742"/>
      <c r="S3" s="742"/>
      <c r="T3" s="742"/>
      <c r="U3" s="742"/>
      <c r="V3" s="742"/>
      <c r="W3" s="742"/>
      <c r="X3" s="742"/>
      <c r="Y3" s="742"/>
      <c r="Z3" s="742"/>
      <c r="AA3" s="742"/>
      <c r="AB3" s="742"/>
      <c r="AC3" s="742"/>
      <c r="AD3" s="137"/>
      <c r="AE3" s="136"/>
      <c r="AF3" s="137"/>
      <c r="AG3" s="137"/>
      <c r="AH3" s="137"/>
      <c r="AI3" s="138"/>
      <c r="AJ3" s="137"/>
      <c r="AK3" s="137"/>
      <c r="AL3" s="137"/>
      <c r="AM3" s="138"/>
      <c r="AN3" s="137"/>
      <c r="AO3" s="137"/>
      <c r="AP3" s="137"/>
      <c r="AQ3" s="138"/>
      <c r="AR3" s="137"/>
      <c r="AS3" s="137"/>
      <c r="AT3" s="137"/>
      <c r="AU3" s="137"/>
      <c r="AV3" s="137"/>
      <c r="AW3" s="137"/>
      <c r="AX3" s="137"/>
      <c r="AY3" s="137"/>
      <c r="AZ3" s="137"/>
      <c r="BA3" s="137"/>
      <c r="BB3" s="137"/>
      <c r="BC3" s="137"/>
      <c r="BD3" s="137"/>
      <c r="BE3" s="137"/>
      <c r="BF3" s="137"/>
      <c r="BG3" s="137"/>
      <c r="BH3" s="137"/>
      <c r="BI3" s="137"/>
    </row>
    <row r="4" spans="2:306" ht="21.75" hidden="1" customHeight="1" x14ac:dyDescent="0.2">
      <c r="B4" s="742"/>
      <c r="C4" s="742"/>
      <c r="D4" s="742"/>
      <c r="E4" s="742"/>
      <c r="F4" s="742"/>
      <c r="G4" s="742"/>
      <c r="H4" s="742"/>
      <c r="I4" s="742"/>
      <c r="J4" s="742"/>
      <c r="K4" s="742"/>
      <c r="L4" s="742"/>
      <c r="M4" s="742"/>
      <c r="N4" s="742"/>
      <c r="O4" s="742"/>
      <c r="P4" s="742"/>
      <c r="Q4" s="742"/>
      <c r="R4" s="742"/>
      <c r="S4" s="742"/>
      <c r="T4" s="742"/>
      <c r="U4" s="742"/>
      <c r="V4" s="742"/>
      <c r="W4" s="742"/>
      <c r="X4" s="742"/>
      <c r="Y4" s="742"/>
      <c r="Z4" s="742"/>
      <c r="AA4" s="742"/>
      <c r="AB4" s="742"/>
      <c r="AC4" s="742"/>
      <c r="AD4" s="137"/>
      <c r="AE4" s="136"/>
      <c r="AF4" s="137"/>
      <c r="AG4" s="137"/>
      <c r="AH4" s="137"/>
      <c r="AI4" s="138"/>
      <c r="AJ4" s="137"/>
      <c r="AK4" s="137"/>
      <c r="AL4" s="137"/>
      <c r="AM4" s="138"/>
      <c r="AN4" s="137"/>
      <c r="AO4" s="137"/>
      <c r="AP4" s="137"/>
      <c r="AQ4" s="138"/>
      <c r="AR4" s="137"/>
      <c r="AS4" s="137"/>
      <c r="AT4" s="137"/>
      <c r="AU4" s="137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F4" s="137"/>
      <c r="BG4" s="137"/>
      <c r="BH4" s="137"/>
      <c r="BI4" s="137"/>
    </row>
    <row r="5" spans="2:306" ht="11.25" hidden="1" customHeight="1" x14ac:dyDescent="0.2">
      <c r="B5" s="742"/>
      <c r="C5" s="742"/>
      <c r="D5" s="742"/>
      <c r="E5" s="742"/>
      <c r="F5" s="742"/>
      <c r="G5" s="742"/>
      <c r="H5" s="742"/>
      <c r="I5" s="742"/>
      <c r="J5" s="742"/>
      <c r="K5" s="742"/>
      <c r="L5" s="742"/>
      <c r="M5" s="742"/>
      <c r="N5" s="742"/>
      <c r="O5" s="742"/>
      <c r="P5" s="742"/>
      <c r="Q5" s="742"/>
      <c r="R5" s="742"/>
      <c r="S5" s="742"/>
      <c r="T5" s="742"/>
      <c r="U5" s="742"/>
      <c r="V5" s="742"/>
      <c r="W5" s="742"/>
      <c r="X5" s="742"/>
      <c r="Y5" s="742"/>
      <c r="Z5" s="742"/>
      <c r="AA5" s="742"/>
      <c r="AB5" s="742"/>
      <c r="AC5" s="742"/>
      <c r="AD5" s="137"/>
      <c r="AE5" s="136"/>
      <c r="AF5" s="137"/>
      <c r="AG5" s="137"/>
      <c r="AH5" s="137"/>
      <c r="AI5" s="138"/>
      <c r="AJ5" s="137"/>
      <c r="AK5" s="137"/>
      <c r="AL5" s="137"/>
      <c r="AM5" s="138"/>
      <c r="AN5" s="137"/>
      <c r="AO5" s="137"/>
      <c r="AP5" s="137"/>
      <c r="AQ5" s="138"/>
      <c r="AR5" s="137"/>
      <c r="AS5" s="137"/>
      <c r="AT5" s="137"/>
      <c r="AU5" s="137"/>
      <c r="AV5" s="137"/>
      <c r="AW5" s="137"/>
      <c r="AX5" s="137"/>
      <c r="AY5" s="137"/>
      <c r="AZ5" s="137"/>
      <c r="BA5" s="137"/>
      <c r="BB5" s="137"/>
      <c r="BC5" s="137"/>
      <c r="BD5" s="137"/>
      <c r="BE5" s="137"/>
      <c r="BF5" s="137"/>
      <c r="BG5" s="137"/>
      <c r="BH5" s="137"/>
      <c r="BI5" s="137"/>
    </row>
    <row r="6" spans="2:306" ht="15" hidden="1" customHeight="1" x14ac:dyDescent="0.2">
      <c r="B6" s="742"/>
      <c r="C6" s="742"/>
      <c r="D6" s="742"/>
      <c r="E6" s="742"/>
      <c r="F6" s="742"/>
      <c r="G6" s="742"/>
      <c r="H6" s="742"/>
      <c r="I6" s="742"/>
      <c r="J6" s="742"/>
      <c r="K6" s="742"/>
      <c r="L6" s="742"/>
      <c r="M6" s="742"/>
      <c r="N6" s="742"/>
      <c r="O6" s="742"/>
      <c r="P6" s="742"/>
      <c r="Q6" s="742"/>
      <c r="R6" s="742"/>
      <c r="S6" s="742"/>
      <c r="T6" s="742"/>
      <c r="U6" s="742"/>
      <c r="V6" s="742"/>
      <c r="W6" s="742"/>
      <c r="X6" s="742"/>
      <c r="Y6" s="742"/>
      <c r="Z6" s="742"/>
      <c r="AA6" s="742"/>
      <c r="AB6" s="742"/>
      <c r="AC6" s="742"/>
      <c r="AD6" s="137"/>
      <c r="AE6" s="136"/>
      <c r="AF6" s="137"/>
      <c r="AG6" s="137"/>
      <c r="AH6" s="137"/>
      <c r="AI6" s="138"/>
      <c r="AJ6" s="137"/>
      <c r="AK6" s="137"/>
      <c r="AL6" s="137"/>
      <c r="AM6" s="138"/>
      <c r="AN6" s="137"/>
      <c r="AO6" s="137"/>
      <c r="AP6" s="137"/>
      <c r="AQ6" s="138"/>
      <c r="AR6" s="137"/>
      <c r="AS6" s="137"/>
      <c r="AT6" s="137"/>
      <c r="AU6" s="137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F6" s="137"/>
      <c r="BG6" s="137"/>
      <c r="BH6" s="137"/>
      <c r="BI6" s="137"/>
    </row>
    <row r="7" spans="2:306" ht="21" hidden="1" customHeight="1" x14ac:dyDescent="0.2">
      <c r="B7" s="742"/>
      <c r="C7" s="742"/>
      <c r="D7" s="742"/>
      <c r="E7" s="742"/>
      <c r="F7" s="742"/>
      <c r="G7" s="742"/>
      <c r="H7" s="742"/>
      <c r="I7" s="742"/>
      <c r="J7" s="742"/>
      <c r="K7" s="742"/>
      <c r="L7" s="742"/>
      <c r="M7" s="742"/>
      <c r="N7" s="742"/>
      <c r="O7" s="742"/>
      <c r="P7" s="742"/>
      <c r="Q7" s="742"/>
      <c r="R7" s="742"/>
      <c r="S7" s="742"/>
      <c r="T7" s="742"/>
      <c r="U7" s="742"/>
      <c r="V7" s="742"/>
      <c r="W7" s="742"/>
      <c r="X7" s="742"/>
      <c r="Y7" s="742"/>
      <c r="Z7" s="742"/>
      <c r="AA7" s="742"/>
      <c r="AB7" s="742"/>
      <c r="AC7" s="742"/>
      <c r="AD7" s="137"/>
      <c r="AE7" s="136"/>
      <c r="AF7" s="137"/>
      <c r="AG7" s="137"/>
      <c r="AH7" s="137"/>
      <c r="AI7" s="138"/>
      <c r="AJ7" s="137"/>
      <c r="AK7" s="137"/>
      <c r="AL7" s="137"/>
      <c r="AM7" s="138"/>
      <c r="AN7" s="137"/>
      <c r="AO7" s="137"/>
      <c r="AP7" s="137"/>
      <c r="AQ7" s="138"/>
      <c r="AR7" s="137"/>
      <c r="AS7" s="137"/>
      <c r="AT7" s="137"/>
      <c r="AU7" s="137"/>
      <c r="AV7" s="137"/>
      <c r="AW7" s="137"/>
      <c r="AX7" s="137"/>
      <c r="AY7" s="137"/>
      <c r="AZ7" s="137"/>
      <c r="BA7" s="137"/>
      <c r="BB7" s="137"/>
      <c r="BC7" s="137"/>
      <c r="BD7" s="137"/>
      <c r="BE7" s="137"/>
      <c r="BF7" s="137"/>
      <c r="BG7" s="137"/>
      <c r="BH7" s="137"/>
      <c r="BI7" s="137"/>
    </row>
    <row r="8" spans="2:306" ht="16.5" hidden="1" customHeight="1" x14ac:dyDescent="0.2">
      <c r="B8" s="742"/>
      <c r="C8" s="742"/>
      <c r="D8" s="742"/>
      <c r="E8" s="742"/>
      <c r="F8" s="742"/>
      <c r="G8" s="742"/>
      <c r="H8" s="742"/>
      <c r="I8" s="742"/>
      <c r="J8" s="742"/>
      <c r="K8" s="742"/>
      <c r="L8" s="742"/>
      <c r="M8" s="742"/>
      <c r="N8" s="742"/>
      <c r="O8" s="742"/>
      <c r="P8" s="742"/>
      <c r="Q8" s="742"/>
      <c r="R8" s="742"/>
      <c r="S8" s="742"/>
      <c r="T8" s="742"/>
      <c r="U8" s="742"/>
      <c r="V8" s="742"/>
      <c r="W8" s="742"/>
      <c r="X8" s="742"/>
      <c r="Y8" s="742"/>
      <c r="Z8" s="742"/>
      <c r="AA8" s="742"/>
      <c r="AB8" s="742"/>
      <c r="AC8" s="742"/>
      <c r="AD8" s="137"/>
      <c r="AE8" s="136"/>
      <c r="AF8" s="137"/>
      <c r="AG8" s="137"/>
      <c r="AH8" s="137"/>
      <c r="AI8" s="138"/>
      <c r="AJ8" s="137"/>
      <c r="AK8" s="137"/>
      <c r="AL8" s="137"/>
      <c r="AM8" s="138"/>
      <c r="AN8" s="137"/>
      <c r="AO8" s="137"/>
      <c r="AP8" s="137"/>
      <c r="AQ8" s="138"/>
      <c r="AR8" s="137"/>
      <c r="AS8" s="137"/>
      <c r="AT8" s="137"/>
      <c r="AU8" s="137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F8" s="137"/>
      <c r="BG8" s="137"/>
      <c r="BH8" s="137"/>
      <c r="BI8" s="137"/>
    </row>
    <row r="9" spans="2:306" ht="18.75" customHeight="1" x14ac:dyDescent="0.2">
      <c r="B9" s="751" t="s">
        <v>0</v>
      </c>
      <c r="C9" s="751"/>
      <c r="D9" s="751"/>
      <c r="E9" s="751"/>
      <c r="F9" s="751"/>
      <c r="G9" s="751"/>
      <c r="H9" s="751"/>
      <c r="I9" s="751"/>
      <c r="J9" s="751"/>
      <c r="K9" s="751"/>
      <c r="L9" s="751"/>
      <c r="M9" s="751"/>
      <c r="N9" s="751"/>
      <c r="O9" s="751"/>
      <c r="P9" s="751"/>
      <c r="Q9" s="751"/>
      <c r="R9" s="751"/>
      <c r="S9" s="751"/>
      <c r="T9" s="751"/>
      <c r="U9" s="751"/>
      <c r="V9" s="751"/>
      <c r="W9" s="751"/>
      <c r="X9" s="751"/>
      <c r="Y9" s="751"/>
      <c r="Z9" s="751"/>
      <c r="AA9" s="751"/>
      <c r="AB9" s="751"/>
      <c r="AC9" s="751"/>
      <c r="AD9" s="137"/>
      <c r="AE9" s="136"/>
      <c r="AF9" s="137"/>
      <c r="AG9" s="137"/>
      <c r="AH9" s="137"/>
      <c r="AI9" s="138"/>
      <c r="AJ9" s="137"/>
      <c r="AK9" s="137"/>
      <c r="AL9" s="137"/>
      <c r="AM9" s="138"/>
      <c r="AN9" s="137"/>
      <c r="AO9" s="137"/>
      <c r="AP9" s="137"/>
      <c r="AQ9" s="138"/>
      <c r="AR9" s="137"/>
      <c r="AS9" s="137"/>
      <c r="AT9" s="137"/>
      <c r="AU9" s="137"/>
      <c r="AV9" s="137"/>
      <c r="AW9" s="137"/>
      <c r="AX9" s="137"/>
      <c r="AY9" s="137"/>
      <c r="AZ9" s="137"/>
      <c r="BA9" s="137"/>
      <c r="BB9" s="137"/>
      <c r="BC9" s="137"/>
      <c r="BD9" s="137"/>
      <c r="BE9" s="137"/>
      <c r="BF9" s="137"/>
      <c r="BG9" s="137"/>
      <c r="BH9" s="137"/>
      <c r="BI9" s="137"/>
    </row>
    <row r="10" spans="2:306" x14ac:dyDescent="0.2">
      <c r="B10" s="751"/>
      <c r="C10" s="751"/>
      <c r="D10" s="751"/>
      <c r="E10" s="751"/>
      <c r="F10" s="751"/>
      <c r="G10" s="751"/>
      <c r="H10" s="751"/>
      <c r="I10" s="751"/>
      <c r="J10" s="751"/>
      <c r="K10" s="751"/>
      <c r="L10" s="751"/>
      <c r="M10" s="751"/>
      <c r="N10" s="751"/>
      <c r="O10" s="751"/>
      <c r="P10" s="751"/>
      <c r="Q10" s="751"/>
      <c r="R10" s="751"/>
      <c r="S10" s="751"/>
      <c r="T10" s="751"/>
      <c r="U10" s="751"/>
      <c r="V10" s="751"/>
      <c r="W10" s="751"/>
      <c r="X10" s="751"/>
      <c r="Y10" s="751"/>
      <c r="Z10" s="751"/>
      <c r="AA10" s="751"/>
      <c r="AB10" s="751"/>
      <c r="AC10" s="751"/>
    </row>
    <row r="11" spans="2:306" ht="18.75" x14ac:dyDescent="0.2">
      <c r="B11" s="142"/>
      <c r="C11" s="142"/>
      <c r="D11" s="142"/>
      <c r="E11" s="142"/>
      <c r="F11" s="142"/>
      <c r="G11" s="142"/>
      <c r="H11" s="142"/>
      <c r="I11" s="142"/>
      <c r="J11" s="142"/>
      <c r="K11" s="142"/>
      <c r="L11" s="142"/>
      <c r="M11" s="142"/>
      <c r="N11" s="142"/>
      <c r="O11" s="142"/>
      <c r="P11" s="142"/>
      <c r="Q11" s="142"/>
      <c r="R11" s="142"/>
      <c r="S11" s="142"/>
      <c r="T11" s="142"/>
      <c r="U11" s="142"/>
      <c r="V11" s="142"/>
      <c r="W11" s="142"/>
      <c r="X11" s="142"/>
      <c r="Y11" s="142"/>
      <c r="Z11" s="142"/>
      <c r="AA11" s="142"/>
      <c r="AB11" s="142"/>
      <c r="AC11" s="142"/>
    </row>
    <row r="12" spans="2:306" s="3" customFormat="1" ht="22.5" x14ac:dyDescent="0.2">
      <c r="B12" s="8" t="s">
        <v>1</v>
      </c>
      <c r="C12" s="8" t="s">
        <v>2</v>
      </c>
      <c r="D12" s="9" t="s">
        <v>3</v>
      </c>
      <c r="E12" s="10" t="s">
        <v>4</v>
      </c>
      <c r="F12" s="30"/>
      <c r="G12" s="142"/>
      <c r="H12" s="142"/>
      <c r="I12" s="30"/>
      <c r="J12" s="142"/>
      <c r="K12" s="142"/>
      <c r="L12" s="142"/>
      <c r="M12" s="142"/>
      <c r="N12" s="142"/>
      <c r="O12" s="142"/>
      <c r="P12" s="142"/>
      <c r="Q12" s="142"/>
      <c r="R12" s="142"/>
      <c r="S12" s="142"/>
      <c r="T12" s="142"/>
      <c r="U12" s="142"/>
      <c r="V12" s="142"/>
      <c r="W12" s="142"/>
      <c r="X12" s="142"/>
      <c r="Y12" s="142"/>
      <c r="Z12" s="142"/>
      <c r="AA12" s="142"/>
      <c r="AB12" s="142"/>
      <c r="AC12" s="142"/>
      <c r="AD12" s="134"/>
      <c r="AE12" s="140"/>
      <c r="AF12" s="134"/>
      <c r="AG12" s="134"/>
      <c r="AH12" s="134"/>
      <c r="AI12" s="141"/>
      <c r="AJ12" s="134"/>
      <c r="AK12" s="134"/>
      <c r="AL12" s="134"/>
      <c r="AM12" s="141"/>
      <c r="AN12" s="134"/>
      <c r="AO12" s="134"/>
      <c r="AP12" s="134"/>
      <c r="AQ12" s="141"/>
      <c r="AR12" s="134"/>
      <c r="AS12" s="134"/>
      <c r="AT12" s="134"/>
      <c r="AU12" s="134"/>
      <c r="AV12" s="134"/>
      <c r="AW12" s="134"/>
      <c r="AX12" s="134"/>
      <c r="AY12" s="134"/>
      <c r="AZ12" s="134"/>
      <c r="BA12" s="134"/>
      <c r="BB12" s="134"/>
      <c r="BC12" s="134"/>
      <c r="BD12" s="134"/>
      <c r="BE12" s="134"/>
      <c r="BF12" s="134"/>
      <c r="BG12" s="134"/>
      <c r="BH12" s="134"/>
      <c r="BI12" s="134"/>
      <c r="BJ12" s="134"/>
      <c r="BK12" s="134"/>
      <c r="BL12" s="134"/>
      <c r="BM12" s="134"/>
      <c r="BN12" s="134"/>
      <c r="BO12" s="134"/>
      <c r="BP12" s="134"/>
      <c r="BQ12" s="134"/>
      <c r="BR12" s="134"/>
      <c r="BS12" s="134"/>
      <c r="BT12" s="134"/>
      <c r="BU12" s="134"/>
      <c r="BV12" s="134"/>
      <c r="BW12" s="134"/>
      <c r="BX12" s="134"/>
      <c r="BY12" s="134"/>
      <c r="BZ12" s="134"/>
      <c r="CA12" s="134"/>
      <c r="CB12" s="134"/>
      <c r="CC12" s="134"/>
      <c r="CD12" s="134"/>
      <c r="CE12" s="134"/>
      <c r="CF12" s="134"/>
      <c r="CG12" s="134"/>
      <c r="CH12" s="134"/>
      <c r="CI12" s="134"/>
      <c r="CJ12" s="134"/>
      <c r="CK12" s="134"/>
      <c r="CL12" s="134"/>
      <c r="CM12" s="134"/>
      <c r="CN12" s="134"/>
      <c r="CO12" s="134"/>
      <c r="CP12" s="134"/>
      <c r="CQ12" s="134"/>
      <c r="CR12" s="134"/>
      <c r="CS12" s="134"/>
      <c r="CT12" s="134"/>
      <c r="CU12" s="134"/>
      <c r="CV12" s="134"/>
      <c r="CW12" s="134"/>
      <c r="CX12" s="134"/>
      <c r="CY12" s="134"/>
      <c r="CZ12" s="134"/>
      <c r="DA12" s="134"/>
      <c r="DB12" s="134"/>
      <c r="DC12" s="134"/>
      <c r="DD12" s="134"/>
      <c r="DE12" s="134"/>
      <c r="DF12" s="134"/>
      <c r="DG12" s="134"/>
      <c r="DH12" s="134"/>
      <c r="DI12" s="134"/>
      <c r="DJ12" s="134"/>
      <c r="DK12" s="134"/>
      <c r="DL12" s="134"/>
      <c r="DM12" s="134"/>
      <c r="DN12" s="134"/>
      <c r="DO12" s="134"/>
      <c r="DP12" s="134"/>
      <c r="DQ12" s="134"/>
      <c r="DR12" s="134"/>
      <c r="DS12" s="134"/>
      <c r="DT12" s="134"/>
      <c r="DU12" s="134"/>
      <c r="DV12" s="134"/>
      <c r="DW12" s="134"/>
      <c r="DX12" s="134"/>
      <c r="DY12" s="134"/>
      <c r="DZ12" s="134"/>
      <c r="EA12" s="134"/>
      <c r="EB12" s="134"/>
      <c r="EC12" s="134"/>
      <c r="ED12" s="134"/>
      <c r="EE12" s="134"/>
      <c r="EF12" s="134"/>
      <c r="EG12" s="134"/>
      <c r="EH12" s="134"/>
      <c r="EI12" s="134"/>
      <c r="EJ12" s="134"/>
      <c r="EK12" s="134"/>
      <c r="EL12" s="134"/>
      <c r="EM12" s="134"/>
      <c r="EN12" s="134"/>
      <c r="EO12" s="134"/>
      <c r="EP12" s="134"/>
      <c r="EQ12" s="134"/>
      <c r="ER12" s="134"/>
      <c r="ES12" s="134"/>
      <c r="ET12" s="134"/>
      <c r="EU12" s="134"/>
      <c r="EV12" s="134"/>
      <c r="EW12" s="134"/>
      <c r="EX12" s="134"/>
      <c r="EY12" s="134"/>
      <c r="EZ12" s="134"/>
      <c r="FA12" s="134"/>
      <c r="FB12" s="134"/>
      <c r="FC12" s="134"/>
      <c r="FD12" s="134"/>
      <c r="FE12" s="134"/>
      <c r="FF12" s="134"/>
      <c r="FG12" s="134"/>
      <c r="FH12" s="134"/>
      <c r="FI12" s="134"/>
      <c r="FJ12" s="134"/>
      <c r="FK12" s="134"/>
      <c r="FL12" s="134"/>
      <c r="FM12" s="134"/>
      <c r="FN12" s="134"/>
      <c r="FO12" s="134"/>
      <c r="FP12" s="134"/>
      <c r="FQ12" s="134"/>
      <c r="FR12" s="134"/>
      <c r="FS12" s="134"/>
      <c r="FT12" s="134"/>
      <c r="FU12" s="134"/>
      <c r="FV12" s="134"/>
      <c r="FW12" s="134"/>
      <c r="FX12" s="134"/>
      <c r="FY12" s="134"/>
      <c r="FZ12" s="134"/>
      <c r="GA12" s="134"/>
      <c r="GB12" s="134"/>
      <c r="GC12" s="134"/>
      <c r="GD12" s="134"/>
      <c r="GE12" s="134"/>
      <c r="GF12" s="134"/>
      <c r="GG12" s="134"/>
      <c r="GH12" s="134"/>
      <c r="GI12" s="134"/>
      <c r="GJ12" s="134"/>
      <c r="GK12" s="134"/>
      <c r="GL12" s="134"/>
      <c r="GM12" s="134"/>
      <c r="GN12" s="134"/>
      <c r="GO12" s="134"/>
      <c r="GP12" s="134"/>
      <c r="GQ12" s="134"/>
      <c r="GR12" s="134"/>
      <c r="GS12" s="134"/>
      <c r="GT12" s="134"/>
      <c r="GU12" s="134"/>
      <c r="GV12" s="134"/>
      <c r="GW12" s="134"/>
      <c r="GX12" s="134"/>
      <c r="GY12" s="134"/>
      <c r="GZ12" s="134"/>
      <c r="HA12" s="134"/>
      <c r="HB12" s="134"/>
      <c r="HC12" s="134"/>
      <c r="HD12" s="134"/>
      <c r="HE12" s="134"/>
      <c r="HF12" s="134"/>
      <c r="HG12" s="134"/>
      <c r="HH12" s="134"/>
      <c r="HI12" s="134"/>
      <c r="HJ12" s="134"/>
      <c r="HK12" s="134"/>
      <c r="HL12" s="134"/>
      <c r="HM12" s="134"/>
      <c r="HN12" s="134"/>
      <c r="HO12" s="134"/>
      <c r="HP12" s="134"/>
      <c r="HQ12" s="134"/>
      <c r="HR12" s="134"/>
      <c r="HS12" s="134"/>
      <c r="HT12" s="134"/>
      <c r="HU12" s="134"/>
      <c r="HV12" s="134"/>
      <c r="HW12" s="134"/>
      <c r="HX12" s="134"/>
      <c r="HY12" s="134"/>
      <c r="HZ12" s="134"/>
      <c r="IA12" s="134"/>
      <c r="IB12" s="134"/>
      <c r="IC12" s="134"/>
      <c r="ID12" s="134"/>
      <c r="IE12" s="134"/>
      <c r="IF12" s="134"/>
      <c r="IG12" s="134"/>
      <c r="IH12" s="134"/>
      <c r="II12" s="134"/>
      <c r="IJ12" s="134"/>
      <c r="IK12" s="134"/>
      <c r="IL12" s="134"/>
      <c r="IM12" s="134"/>
      <c r="IN12" s="134"/>
      <c r="IO12" s="134"/>
      <c r="IP12" s="134"/>
      <c r="IQ12" s="134"/>
      <c r="IR12" s="134"/>
      <c r="IS12" s="134"/>
      <c r="IT12" s="134"/>
      <c r="IU12" s="134"/>
      <c r="IV12" s="134"/>
      <c r="IW12" s="134"/>
      <c r="IX12" s="134"/>
      <c r="IY12" s="134"/>
      <c r="IZ12" s="134"/>
      <c r="JA12" s="134"/>
      <c r="JB12" s="134"/>
      <c r="JC12" s="134"/>
      <c r="JD12" s="134"/>
      <c r="JE12" s="134"/>
      <c r="JF12" s="134"/>
      <c r="JG12" s="134"/>
      <c r="JH12" s="134"/>
      <c r="JI12" s="134"/>
      <c r="JJ12" s="134"/>
      <c r="JK12" s="134"/>
      <c r="JL12" s="134"/>
      <c r="JM12" s="134"/>
      <c r="JN12" s="134"/>
      <c r="JO12" s="134"/>
      <c r="JP12" s="134"/>
      <c r="JQ12" s="134"/>
      <c r="JR12" s="134"/>
      <c r="JS12" s="134"/>
      <c r="JT12" s="134"/>
      <c r="JU12" s="134"/>
      <c r="JV12" s="134"/>
      <c r="JW12" s="134"/>
      <c r="JX12" s="134"/>
      <c r="JY12" s="134"/>
      <c r="JZ12" s="134"/>
      <c r="KA12" s="134"/>
      <c r="KB12" s="134"/>
      <c r="KC12" s="134"/>
      <c r="KD12" s="134"/>
      <c r="KE12" s="134"/>
      <c r="KF12" s="134"/>
      <c r="KG12" s="134"/>
      <c r="KH12" s="134"/>
      <c r="KI12" s="134"/>
      <c r="KJ12" s="134"/>
      <c r="KK12" s="134"/>
      <c r="KL12" s="134"/>
      <c r="KM12" s="134"/>
      <c r="KN12" s="134"/>
      <c r="KO12" s="134"/>
      <c r="KP12" s="134"/>
      <c r="KQ12" s="134"/>
      <c r="KR12" s="134"/>
      <c r="KS12" s="134"/>
      <c r="KT12" s="134"/>
    </row>
    <row r="13" spans="2:306" ht="18.75" x14ac:dyDescent="0.2">
      <c r="B13" s="143">
        <v>53587829</v>
      </c>
      <c r="C13" s="143">
        <v>37628309</v>
      </c>
      <c r="D13" s="143">
        <v>32852735</v>
      </c>
      <c r="E13" s="143">
        <f>+Y166</f>
        <v>7365235</v>
      </c>
      <c r="F13" s="219"/>
      <c r="G13" s="142"/>
      <c r="H13" s="142"/>
      <c r="I13" s="219"/>
      <c r="J13" s="142"/>
      <c r="K13" s="142"/>
      <c r="L13" s="142"/>
      <c r="M13" s="142"/>
      <c r="N13" s="142"/>
      <c r="O13" s="142"/>
      <c r="P13" s="142"/>
      <c r="Q13" s="142"/>
      <c r="R13" s="142"/>
      <c r="S13" s="142"/>
      <c r="T13" s="142"/>
      <c r="U13" s="142"/>
      <c r="V13" s="142"/>
      <c r="W13" s="142"/>
      <c r="X13" s="142"/>
      <c r="Y13" s="142"/>
      <c r="Z13" s="142"/>
      <c r="AA13" s="142"/>
      <c r="AB13" s="142"/>
      <c r="AC13" s="142"/>
    </row>
    <row r="14" spans="2:306" ht="15" customHeight="1" x14ac:dyDescent="0.2">
      <c r="C14" s="146"/>
      <c r="D14" s="147"/>
      <c r="E14" s="146"/>
      <c r="F14" s="146"/>
      <c r="I14" s="146"/>
      <c r="Z14" s="726" t="s">
        <v>5</v>
      </c>
      <c r="AA14" s="727"/>
      <c r="AB14" s="727"/>
      <c r="AC14" s="727"/>
      <c r="AD14" s="728" t="s">
        <v>6</v>
      </c>
      <c r="AE14" s="723"/>
      <c r="AF14" s="723"/>
      <c r="AG14" s="723"/>
      <c r="AH14" s="728" t="s">
        <v>6</v>
      </c>
      <c r="AI14" s="723"/>
      <c r="AJ14" s="723"/>
      <c r="AK14" s="723"/>
      <c r="AL14" s="728" t="s">
        <v>6</v>
      </c>
      <c r="AM14" s="723"/>
      <c r="AN14" s="723"/>
      <c r="AO14" s="723"/>
      <c r="AP14" s="728" t="s">
        <v>6</v>
      </c>
      <c r="AQ14" s="723"/>
      <c r="AR14" s="723"/>
      <c r="AS14" s="723"/>
      <c r="AT14" s="728" t="s">
        <v>6</v>
      </c>
      <c r="AU14" s="723"/>
      <c r="AV14" s="723"/>
      <c r="AW14" s="723"/>
      <c r="AX14" s="728" t="s">
        <v>6</v>
      </c>
      <c r="AY14" s="723"/>
      <c r="AZ14" s="723"/>
      <c r="BA14" s="723"/>
      <c r="BB14" s="728" t="s">
        <v>6</v>
      </c>
      <c r="BC14" s="723"/>
      <c r="BD14" s="723"/>
      <c r="BE14" s="723"/>
      <c r="BF14" s="728" t="s">
        <v>6</v>
      </c>
      <c r="BG14" s="723"/>
      <c r="BH14" s="723"/>
      <c r="BI14" s="723"/>
      <c r="BJ14" s="723" t="s">
        <v>7</v>
      </c>
      <c r="BK14" s="723"/>
    </row>
    <row r="15" spans="2:306" s="15" customFormat="1" ht="55.5" customHeight="1" x14ac:dyDescent="0.25">
      <c r="B15" s="32" t="s">
        <v>8</v>
      </c>
      <c r="C15" s="32" t="s">
        <v>9</v>
      </c>
      <c r="D15" s="32" t="s">
        <v>10</v>
      </c>
      <c r="E15" s="10" t="s">
        <v>11</v>
      </c>
      <c r="F15" s="10" t="s">
        <v>12</v>
      </c>
      <c r="G15" s="10" t="s">
        <v>13</v>
      </c>
      <c r="H15" s="10" t="s">
        <v>14</v>
      </c>
      <c r="I15" s="10" t="s">
        <v>12</v>
      </c>
      <c r="J15" s="10" t="s">
        <v>15</v>
      </c>
      <c r="K15" s="10" t="s">
        <v>16</v>
      </c>
      <c r="L15" s="10" t="s">
        <v>17</v>
      </c>
      <c r="M15" s="33" t="s">
        <v>18</v>
      </c>
      <c r="N15" s="33" t="s">
        <v>19</v>
      </c>
      <c r="O15" s="33" t="s">
        <v>20</v>
      </c>
      <c r="P15" s="33" t="s">
        <v>21</v>
      </c>
      <c r="Q15" s="33" t="s">
        <v>22</v>
      </c>
      <c r="R15" s="34" t="s">
        <v>23</v>
      </c>
      <c r="S15" s="34" t="s">
        <v>24</v>
      </c>
      <c r="T15" s="34" t="s">
        <v>25</v>
      </c>
      <c r="U15" s="34" t="s">
        <v>26</v>
      </c>
      <c r="V15" s="34" t="s">
        <v>27</v>
      </c>
      <c r="W15" s="34" t="s">
        <v>28</v>
      </c>
      <c r="X15" s="34" t="s">
        <v>29</v>
      </c>
      <c r="Y15" s="35" t="s">
        <v>30</v>
      </c>
      <c r="Z15" s="36" t="s">
        <v>31</v>
      </c>
      <c r="AA15" s="37" t="s">
        <v>32</v>
      </c>
      <c r="AB15" s="36" t="s">
        <v>33</v>
      </c>
      <c r="AC15" s="36" t="s">
        <v>34</v>
      </c>
      <c r="AD15" s="38" t="s">
        <v>35</v>
      </c>
      <c r="AE15" s="39" t="s">
        <v>32</v>
      </c>
      <c r="AF15" s="38" t="s">
        <v>33</v>
      </c>
      <c r="AG15" s="38" t="s">
        <v>34</v>
      </c>
      <c r="AH15" s="38" t="s">
        <v>35</v>
      </c>
      <c r="AI15" s="39" t="s">
        <v>32</v>
      </c>
      <c r="AJ15" s="38" t="s">
        <v>33</v>
      </c>
      <c r="AK15" s="38" t="s">
        <v>34</v>
      </c>
      <c r="AL15" s="38" t="s">
        <v>35</v>
      </c>
      <c r="AM15" s="39" t="s">
        <v>32</v>
      </c>
      <c r="AN15" s="38" t="s">
        <v>33</v>
      </c>
      <c r="AO15" s="38" t="s">
        <v>34</v>
      </c>
      <c r="AP15" s="38" t="s">
        <v>35</v>
      </c>
      <c r="AQ15" s="39" t="s">
        <v>32</v>
      </c>
      <c r="AR15" s="38" t="s">
        <v>33</v>
      </c>
      <c r="AS15" s="38" t="s">
        <v>34</v>
      </c>
      <c r="AT15" s="38" t="s">
        <v>35</v>
      </c>
      <c r="AU15" s="39" t="s">
        <v>32</v>
      </c>
      <c r="AV15" s="38" t="s">
        <v>33</v>
      </c>
      <c r="AW15" s="38" t="s">
        <v>34</v>
      </c>
      <c r="AX15" s="38" t="s">
        <v>35</v>
      </c>
      <c r="AY15" s="39" t="s">
        <v>32</v>
      </c>
      <c r="AZ15" s="38" t="s">
        <v>33</v>
      </c>
      <c r="BA15" s="38" t="s">
        <v>34</v>
      </c>
      <c r="BB15" s="38" t="s">
        <v>35</v>
      </c>
      <c r="BC15" s="39" t="s">
        <v>32</v>
      </c>
      <c r="BD15" s="38" t="s">
        <v>33</v>
      </c>
      <c r="BE15" s="38" t="s">
        <v>34</v>
      </c>
      <c r="BF15" s="38" t="s">
        <v>35</v>
      </c>
      <c r="BG15" s="39" t="s">
        <v>32</v>
      </c>
      <c r="BH15" s="38" t="s">
        <v>33</v>
      </c>
      <c r="BI15" s="38" t="s">
        <v>34</v>
      </c>
      <c r="BJ15" s="40" t="s">
        <v>36</v>
      </c>
      <c r="BK15" s="40" t="s">
        <v>37</v>
      </c>
      <c r="BL15" s="148"/>
      <c r="BM15" s="148"/>
      <c r="BN15" s="148"/>
      <c r="BO15" s="148"/>
      <c r="BP15" s="148"/>
      <c r="BQ15" s="148"/>
      <c r="BR15" s="148"/>
      <c r="BS15" s="148"/>
      <c r="BT15" s="148"/>
      <c r="BU15" s="148"/>
      <c r="BV15" s="148"/>
      <c r="BW15" s="148"/>
      <c r="BX15" s="148"/>
      <c r="BY15" s="148"/>
      <c r="BZ15" s="148"/>
      <c r="CA15" s="148"/>
      <c r="CB15" s="148"/>
      <c r="CC15" s="148"/>
      <c r="CD15" s="148"/>
      <c r="CE15" s="148"/>
      <c r="CF15" s="148"/>
      <c r="CG15" s="148"/>
      <c r="CH15" s="148"/>
      <c r="CI15" s="148"/>
      <c r="CJ15" s="148"/>
      <c r="CK15" s="148"/>
      <c r="CL15" s="148"/>
      <c r="CM15" s="148"/>
      <c r="CN15" s="148"/>
      <c r="CO15" s="148"/>
      <c r="CP15" s="148"/>
      <c r="CQ15" s="148"/>
      <c r="CR15" s="148"/>
      <c r="CS15" s="148"/>
      <c r="CT15" s="148"/>
      <c r="CU15" s="148"/>
      <c r="CV15" s="148"/>
      <c r="CW15" s="148"/>
      <c r="CX15" s="148"/>
      <c r="CY15" s="148"/>
      <c r="CZ15" s="148"/>
      <c r="DA15" s="148"/>
      <c r="DB15" s="148"/>
      <c r="DC15" s="148"/>
      <c r="DD15" s="148"/>
      <c r="DE15" s="148"/>
      <c r="DF15" s="148"/>
      <c r="DG15" s="148"/>
      <c r="DH15" s="148"/>
      <c r="DI15" s="148"/>
      <c r="DJ15" s="148"/>
      <c r="DK15" s="148"/>
      <c r="DL15" s="148"/>
      <c r="DM15" s="148"/>
      <c r="DN15" s="148"/>
      <c r="DO15" s="148"/>
      <c r="DP15" s="148"/>
      <c r="DQ15" s="148"/>
      <c r="DR15" s="148"/>
      <c r="DS15" s="148"/>
      <c r="DT15" s="148"/>
      <c r="DU15" s="148"/>
      <c r="DV15" s="148"/>
      <c r="DW15" s="148"/>
      <c r="DX15" s="148"/>
      <c r="DY15" s="148"/>
      <c r="DZ15" s="148"/>
      <c r="EA15" s="148"/>
      <c r="EB15" s="148"/>
      <c r="EC15" s="148"/>
      <c r="ED15" s="148"/>
      <c r="EE15" s="148"/>
      <c r="EF15" s="148"/>
      <c r="EG15" s="148"/>
      <c r="EH15" s="148"/>
      <c r="EI15" s="148"/>
      <c r="EJ15" s="148"/>
      <c r="EK15" s="148"/>
      <c r="EL15" s="148"/>
      <c r="EM15" s="148"/>
      <c r="EN15" s="148"/>
      <c r="EO15" s="148"/>
      <c r="EP15" s="148"/>
      <c r="EQ15" s="148"/>
      <c r="ER15" s="148"/>
      <c r="ES15" s="148"/>
      <c r="ET15" s="148"/>
      <c r="EU15" s="148"/>
      <c r="EV15" s="148"/>
      <c r="EW15" s="148"/>
      <c r="EX15" s="148"/>
      <c r="EY15" s="148"/>
      <c r="EZ15" s="148"/>
      <c r="FA15" s="148"/>
      <c r="FB15" s="148"/>
      <c r="FC15" s="148"/>
      <c r="FD15" s="148"/>
      <c r="FE15" s="148"/>
      <c r="FF15" s="148"/>
      <c r="FG15" s="148"/>
      <c r="FH15" s="148"/>
      <c r="FI15" s="148"/>
      <c r="FJ15" s="148"/>
      <c r="FK15" s="148"/>
      <c r="FL15" s="148"/>
      <c r="FM15" s="148"/>
      <c r="FN15" s="148"/>
      <c r="FO15" s="148"/>
      <c r="FP15" s="148"/>
      <c r="FQ15" s="148"/>
      <c r="FR15" s="148"/>
      <c r="FS15" s="148"/>
      <c r="FT15" s="148"/>
      <c r="FU15" s="148"/>
      <c r="FV15" s="148"/>
      <c r="FW15" s="148"/>
      <c r="FX15" s="148"/>
      <c r="FY15" s="148"/>
      <c r="FZ15" s="148"/>
      <c r="GA15" s="148"/>
      <c r="GB15" s="148"/>
      <c r="GC15" s="148"/>
      <c r="GD15" s="148"/>
      <c r="GE15" s="148"/>
      <c r="GF15" s="148"/>
      <c r="GG15" s="148"/>
      <c r="GH15" s="148"/>
      <c r="GI15" s="148"/>
      <c r="GJ15" s="148"/>
      <c r="GK15" s="148"/>
      <c r="GL15" s="148"/>
      <c r="GM15" s="148"/>
      <c r="GN15" s="148"/>
      <c r="GO15" s="148"/>
      <c r="GP15" s="148"/>
      <c r="GQ15" s="148"/>
      <c r="GR15" s="148"/>
      <c r="GS15" s="148"/>
      <c r="GT15" s="148"/>
      <c r="GU15" s="148"/>
      <c r="GV15" s="148"/>
      <c r="GW15" s="148"/>
      <c r="GX15" s="148"/>
      <c r="GY15" s="148"/>
      <c r="GZ15" s="148"/>
      <c r="HA15" s="148"/>
      <c r="HB15" s="148"/>
      <c r="HC15" s="148"/>
      <c r="HD15" s="148"/>
      <c r="HE15" s="148"/>
      <c r="HF15" s="148"/>
      <c r="HG15" s="148"/>
      <c r="HH15" s="148"/>
      <c r="HI15" s="148"/>
      <c r="HJ15" s="148"/>
      <c r="HK15" s="148"/>
      <c r="HL15" s="148"/>
      <c r="HM15" s="148"/>
      <c r="HN15" s="148"/>
      <c r="HO15" s="148"/>
      <c r="HP15" s="148"/>
      <c r="HQ15" s="148"/>
      <c r="HR15" s="148"/>
      <c r="HS15" s="148"/>
      <c r="HT15" s="148"/>
      <c r="HU15" s="148"/>
      <c r="HV15" s="148"/>
      <c r="HW15" s="148"/>
      <c r="HX15" s="148"/>
      <c r="HY15" s="148"/>
      <c r="HZ15" s="148"/>
      <c r="IA15" s="148"/>
      <c r="IB15" s="148"/>
      <c r="IC15" s="148"/>
      <c r="ID15" s="148"/>
      <c r="IE15" s="148"/>
      <c r="IF15" s="148"/>
      <c r="IG15" s="148"/>
      <c r="IH15" s="148"/>
      <c r="II15" s="148"/>
      <c r="IJ15" s="148"/>
      <c r="IK15" s="148"/>
      <c r="IL15" s="148"/>
      <c r="IM15" s="148"/>
      <c r="IN15" s="148"/>
      <c r="IO15" s="148"/>
      <c r="IP15" s="148"/>
      <c r="IQ15" s="148"/>
      <c r="IR15" s="148"/>
      <c r="IS15" s="148"/>
      <c r="IT15" s="148"/>
      <c r="IU15" s="148"/>
      <c r="IV15" s="148"/>
      <c r="IW15" s="148"/>
      <c r="IX15" s="148"/>
      <c r="IY15" s="148"/>
      <c r="IZ15" s="148"/>
      <c r="JA15" s="148"/>
      <c r="JB15" s="148"/>
      <c r="JC15" s="148"/>
      <c r="JD15" s="148"/>
      <c r="JE15" s="148"/>
      <c r="JF15" s="148"/>
      <c r="JG15" s="148"/>
      <c r="JH15" s="148"/>
      <c r="JI15" s="148"/>
      <c r="JJ15" s="148"/>
      <c r="JK15" s="148"/>
      <c r="JL15" s="148"/>
      <c r="JM15" s="148"/>
      <c r="JN15" s="148"/>
      <c r="JO15" s="148"/>
      <c r="JP15" s="148"/>
      <c r="JQ15" s="148"/>
      <c r="JR15" s="148"/>
      <c r="JS15" s="148"/>
      <c r="JT15" s="148"/>
      <c r="JU15" s="148"/>
      <c r="JV15" s="148"/>
      <c r="JW15" s="148"/>
      <c r="JX15" s="148"/>
      <c r="JY15" s="148"/>
      <c r="JZ15" s="148"/>
      <c r="KA15" s="148"/>
      <c r="KB15" s="148"/>
      <c r="KC15" s="148"/>
      <c r="KD15" s="148"/>
      <c r="KE15" s="148"/>
      <c r="KF15" s="148"/>
      <c r="KG15" s="148"/>
      <c r="KH15" s="148"/>
      <c r="KI15" s="148"/>
      <c r="KJ15" s="148"/>
      <c r="KK15" s="148"/>
      <c r="KL15" s="148"/>
      <c r="KM15" s="148"/>
      <c r="KN15" s="148"/>
    </row>
    <row r="16" spans="2:306" s="148" customFormat="1" x14ac:dyDescent="0.25">
      <c r="B16" s="221">
        <v>1</v>
      </c>
      <c r="C16" s="221" t="s">
        <v>38</v>
      </c>
      <c r="D16" s="484">
        <v>20189588</v>
      </c>
      <c r="E16" s="485" t="s">
        <v>896</v>
      </c>
      <c r="F16" s="486" t="s">
        <v>897</v>
      </c>
      <c r="G16" s="460" t="s">
        <v>898</v>
      </c>
      <c r="H16" s="452" t="s">
        <v>899</v>
      </c>
      <c r="I16" s="453" t="s">
        <v>42</v>
      </c>
      <c r="J16" s="454">
        <v>4991139</v>
      </c>
      <c r="K16" s="454">
        <v>1878892</v>
      </c>
      <c r="L16" s="454">
        <v>1302647</v>
      </c>
      <c r="M16" s="454"/>
      <c r="N16" s="454">
        <v>133805</v>
      </c>
      <c r="O16" s="487">
        <v>32728</v>
      </c>
      <c r="P16" s="454">
        <v>86516</v>
      </c>
      <c r="Q16" s="454">
        <v>84287</v>
      </c>
      <c r="R16" s="454">
        <v>1600</v>
      </c>
      <c r="S16" s="454"/>
      <c r="T16" s="454"/>
      <c r="U16" s="454"/>
      <c r="V16" s="454"/>
      <c r="W16" s="454"/>
      <c r="X16" s="454"/>
      <c r="Y16" s="455">
        <f>SUM(M16:X16)</f>
        <v>338936</v>
      </c>
      <c r="Z16" s="455">
        <v>1809600</v>
      </c>
      <c r="AA16" s="456">
        <v>1</v>
      </c>
      <c r="AB16" s="457">
        <v>44209</v>
      </c>
      <c r="AC16" s="457">
        <v>44225</v>
      </c>
      <c r="AD16" s="488">
        <v>6399</v>
      </c>
      <c r="AE16" s="459">
        <v>15</v>
      </c>
      <c r="AF16" s="457">
        <v>44322</v>
      </c>
      <c r="AG16" s="457">
        <v>44343</v>
      </c>
      <c r="AH16" s="488"/>
      <c r="AI16" s="456"/>
      <c r="AJ16" s="457"/>
      <c r="AK16" s="458"/>
      <c r="AL16" s="488"/>
      <c r="AM16" s="456"/>
      <c r="AN16" s="457"/>
      <c r="AO16" s="458"/>
      <c r="AP16" s="488"/>
      <c r="AQ16" s="456"/>
      <c r="AR16" s="457"/>
      <c r="AS16" s="458"/>
      <c r="AT16" s="458"/>
      <c r="AU16" s="458"/>
      <c r="AV16" s="458"/>
      <c r="AW16" s="458"/>
      <c r="AX16" s="458"/>
      <c r="AY16" s="458"/>
      <c r="AZ16" s="458"/>
      <c r="BA16" s="458"/>
      <c r="BB16" s="458"/>
      <c r="BC16" s="458"/>
      <c r="BD16" s="458"/>
      <c r="BE16" s="458"/>
      <c r="BF16" s="458"/>
      <c r="BG16" s="458"/>
      <c r="BH16" s="458"/>
      <c r="BI16" s="458"/>
      <c r="BJ16" s="154">
        <f>+Z16+AD16+AH16+AL16+AP16+AT16+AX16+BB16+BF16</f>
        <v>1815999</v>
      </c>
      <c r="BK16" s="461">
        <f>+BJ16-Y16</f>
        <v>1477063</v>
      </c>
    </row>
    <row r="17" spans="2:63" s="148" customFormat="1" ht="22.5" x14ac:dyDescent="0.25">
      <c r="B17" s="221">
        <v>2</v>
      </c>
      <c r="C17" s="221" t="s">
        <v>38</v>
      </c>
      <c r="D17" s="484">
        <v>30002544</v>
      </c>
      <c r="E17" s="485" t="s">
        <v>900</v>
      </c>
      <c r="F17" s="486" t="s">
        <v>897</v>
      </c>
      <c r="G17" s="460" t="s">
        <v>898</v>
      </c>
      <c r="H17" s="452" t="s">
        <v>901</v>
      </c>
      <c r="I17" s="453" t="s">
        <v>42</v>
      </c>
      <c r="J17" s="454">
        <v>3348721</v>
      </c>
      <c r="K17" s="454">
        <v>3311359</v>
      </c>
      <c r="L17" s="454">
        <v>828</v>
      </c>
      <c r="M17" s="454"/>
      <c r="N17" s="487"/>
      <c r="O17" s="487">
        <v>36534</v>
      </c>
      <c r="P17" s="454"/>
      <c r="Q17" s="454"/>
      <c r="R17" s="454"/>
      <c r="S17" s="454"/>
      <c r="T17" s="454"/>
      <c r="U17" s="454"/>
      <c r="V17" s="454"/>
      <c r="W17" s="454"/>
      <c r="X17" s="454"/>
      <c r="Y17" s="455">
        <f t="shared" ref="Y17" si="0">SUM(M17:X17)</f>
        <v>36534</v>
      </c>
      <c r="Z17" s="455">
        <v>36534</v>
      </c>
      <c r="AA17" s="456">
        <v>1</v>
      </c>
      <c r="AB17" s="457">
        <v>44209</v>
      </c>
      <c r="AC17" s="457">
        <v>44225</v>
      </c>
      <c r="AD17" s="455"/>
      <c r="AE17" s="456"/>
      <c r="AF17" s="457"/>
      <c r="AG17" s="457"/>
      <c r="AH17" s="454"/>
      <c r="AI17" s="456"/>
      <c r="AJ17" s="457"/>
      <c r="AK17" s="458"/>
      <c r="AL17" s="454"/>
      <c r="AM17" s="456"/>
      <c r="AN17" s="457"/>
      <c r="AO17" s="458"/>
      <c r="AP17" s="454"/>
      <c r="AQ17" s="456"/>
      <c r="AR17" s="457"/>
      <c r="AS17" s="458"/>
      <c r="AT17" s="458"/>
      <c r="AU17" s="458"/>
      <c r="AV17" s="458"/>
      <c r="AW17" s="458"/>
      <c r="AX17" s="458"/>
      <c r="AY17" s="458"/>
      <c r="AZ17" s="458"/>
      <c r="BA17" s="458"/>
      <c r="BB17" s="458"/>
      <c r="BC17" s="458"/>
      <c r="BD17" s="458"/>
      <c r="BE17" s="458"/>
      <c r="BF17" s="458"/>
      <c r="BG17" s="458"/>
      <c r="BH17" s="458"/>
      <c r="BI17" s="458"/>
      <c r="BJ17" s="154">
        <f t="shared" ref="BJ17:BJ80" si="1">+Z17+AD17+AH17+AL17+AP17+AT17+AX17+BB17+BF17</f>
        <v>36534</v>
      </c>
      <c r="BK17" s="461">
        <f t="shared" ref="BK17:BK80" si="2">+BJ17-Y17</f>
        <v>0</v>
      </c>
    </row>
    <row r="18" spans="2:63" s="148" customFormat="1" x14ac:dyDescent="0.25">
      <c r="B18" s="221">
        <v>3</v>
      </c>
      <c r="C18" s="221" t="s">
        <v>38</v>
      </c>
      <c r="D18" s="484">
        <v>30071340</v>
      </c>
      <c r="E18" s="485" t="s">
        <v>902</v>
      </c>
      <c r="F18" s="486" t="s">
        <v>897</v>
      </c>
      <c r="G18" s="460" t="s">
        <v>898</v>
      </c>
      <c r="H18" s="452" t="s">
        <v>903</v>
      </c>
      <c r="I18" s="453" t="s">
        <v>42</v>
      </c>
      <c r="J18" s="454">
        <v>8375135</v>
      </c>
      <c r="K18" s="454">
        <v>320593</v>
      </c>
      <c r="L18" s="454">
        <v>1580500</v>
      </c>
      <c r="M18" s="454"/>
      <c r="N18" s="487"/>
      <c r="O18" s="487">
        <v>713</v>
      </c>
      <c r="P18" s="454">
        <v>672230</v>
      </c>
      <c r="Q18" s="454"/>
      <c r="R18" s="454"/>
      <c r="S18" s="454"/>
      <c r="T18" s="454"/>
      <c r="U18" s="454"/>
      <c r="V18" s="454"/>
      <c r="W18" s="454"/>
      <c r="X18" s="454"/>
      <c r="Y18" s="455">
        <f>SUM(M18:X18)</f>
        <v>672943</v>
      </c>
      <c r="Z18" s="455">
        <v>1200000</v>
      </c>
      <c r="AA18" s="456">
        <v>1</v>
      </c>
      <c r="AB18" s="457">
        <v>44209</v>
      </c>
      <c r="AC18" s="457">
        <v>44225</v>
      </c>
      <c r="AD18" s="455">
        <v>1000000</v>
      </c>
      <c r="AE18" s="456">
        <v>15</v>
      </c>
      <c r="AF18" s="457">
        <v>44322</v>
      </c>
      <c r="AG18" s="457">
        <v>44343</v>
      </c>
      <c r="AH18" s="454"/>
      <c r="AI18" s="456"/>
      <c r="AJ18" s="457"/>
      <c r="AK18" s="458"/>
      <c r="AL18" s="454"/>
      <c r="AM18" s="456"/>
      <c r="AN18" s="457"/>
      <c r="AO18" s="458"/>
      <c r="AP18" s="454"/>
      <c r="AQ18" s="456"/>
      <c r="AR18" s="457"/>
      <c r="AS18" s="458"/>
      <c r="AT18" s="458"/>
      <c r="AU18" s="458"/>
      <c r="AV18" s="458"/>
      <c r="AW18" s="458"/>
      <c r="AX18" s="458"/>
      <c r="AY18" s="458"/>
      <c r="AZ18" s="458"/>
      <c r="BA18" s="458"/>
      <c r="BB18" s="458"/>
      <c r="BC18" s="458"/>
      <c r="BD18" s="458"/>
      <c r="BE18" s="458"/>
      <c r="BF18" s="458"/>
      <c r="BG18" s="458"/>
      <c r="BH18" s="458"/>
      <c r="BI18" s="458"/>
      <c r="BJ18" s="154">
        <f t="shared" si="1"/>
        <v>2200000</v>
      </c>
      <c r="BK18" s="461">
        <f t="shared" si="2"/>
        <v>1527057</v>
      </c>
    </row>
    <row r="19" spans="2:63" s="148" customFormat="1" x14ac:dyDescent="0.25">
      <c r="B19" s="221">
        <v>4</v>
      </c>
      <c r="C19" s="221" t="s">
        <v>38</v>
      </c>
      <c r="D19" s="484">
        <v>30075224</v>
      </c>
      <c r="E19" s="485" t="s">
        <v>904</v>
      </c>
      <c r="F19" s="486" t="s">
        <v>204</v>
      </c>
      <c r="G19" s="460" t="s">
        <v>898</v>
      </c>
      <c r="H19" s="452" t="s">
        <v>905</v>
      </c>
      <c r="I19" s="453" t="s">
        <v>42</v>
      </c>
      <c r="J19" s="454">
        <v>47978</v>
      </c>
      <c r="K19" s="454">
        <v>32087</v>
      </c>
      <c r="L19" s="454">
        <v>2442</v>
      </c>
      <c r="M19" s="454"/>
      <c r="N19" s="454"/>
      <c r="O19" s="454"/>
      <c r="P19" s="454"/>
      <c r="Q19" s="454"/>
      <c r="R19" s="454"/>
      <c r="S19" s="454"/>
      <c r="T19" s="454"/>
      <c r="U19" s="454"/>
      <c r="V19" s="454"/>
      <c r="W19" s="454"/>
      <c r="X19" s="454"/>
      <c r="Y19" s="455">
        <f t="shared" ref="Y19:Y82" si="3">SUM(M19:X19)</f>
        <v>0</v>
      </c>
      <c r="Z19" s="455">
        <v>13449</v>
      </c>
      <c r="AA19" s="456">
        <v>1</v>
      </c>
      <c r="AB19" s="457">
        <v>44209</v>
      </c>
      <c r="AC19" s="457">
        <v>44225</v>
      </c>
      <c r="AD19" s="455"/>
      <c r="AE19" s="459"/>
      <c r="AF19" s="457"/>
      <c r="AG19" s="457"/>
      <c r="AH19" s="454"/>
      <c r="AI19" s="456"/>
      <c r="AJ19" s="457"/>
      <c r="AK19" s="458"/>
      <c r="AL19" s="454"/>
      <c r="AM19" s="456"/>
      <c r="AN19" s="457"/>
      <c r="AO19" s="458"/>
      <c r="AP19" s="454"/>
      <c r="AQ19" s="456"/>
      <c r="AR19" s="457"/>
      <c r="AS19" s="458"/>
      <c r="AT19" s="458"/>
      <c r="AU19" s="458"/>
      <c r="AV19" s="458"/>
      <c r="AW19" s="458"/>
      <c r="AX19" s="458"/>
      <c r="AY19" s="458"/>
      <c r="AZ19" s="458"/>
      <c r="BA19" s="458"/>
      <c r="BB19" s="458"/>
      <c r="BC19" s="458"/>
      <c r="BD19" s="458"/>
      <c r="BE19" s="458"/>
      <c r="BF19" s="458"/>
      <c r="BG19" s="458"/>
      <c r="BH19" s="458"/>
      <c r="BI19" s="458"/>
      <c r="BJ19" s="154">
        <f t="shared" si="1"/>
        <v>13449</v>
      </c>
      <c r="BK19" s="461">
        <f t="shared" si="2"/>
        <v>13449</v>
      </c>
    </row>
    <row r="20" spans="2:63" s="148" customFormat="1" ht="22.5" x14ac:dyDescent="0.25">
      <c r="B20" s="221">
        <v>5</v>
      </c>
      <c r="C20" s="221" t="s">
        <v>38</v>
      </c>
      <c r="D20" s="484">
        <v>30095442</v>
      </c>
      <c r="E20" s="485" t="s">
        <v>906</v>
      </c>
      <c r="F20" s="486" t="s">
        <v>204</v>
      </c>
      <c r="G20" s="460" t="s">
        <v>898</v>
      </c>
      <c r="H20" s="452" t="s">
        <v>907</v>
      </c>
      <c r="I20" s="453" t="s">
        <v>42</v>
      </c>
      <c r="J20" s="454">
        <v>77684</v>
      </c>
      <c r="K20" s="454">
        <v>62907</v>
      </c>
      <c r="L20" s="454">
        <v>5677</v>
      </c>
      <c r="M20" s="454"/>
      <c r="N20" s="454"/>
      <c r="O20" s="454"/>
      <c r="P20" s="454"/>
      <c r="Q20" s="454"/>
      <c r="R20" s="454"/>
      <c r="S20" s="454"/>
      <c r="T20" s="454"/>
      <c r="U20" s="454"/>
      <c r="V20" s="454"/>
      <c r="W20" s="454"/>
      <c r="X20" s="454"/>
      <c r="Y20" s="455">
        <f t="shared" si="3"/>
        <v>0</v>
      </c>
      <c r="Z20" s="455">
        <v>9100</v>
      </c>
      <c r="AA20" s="456">
        <v>1</v>
      </c>
      <c r="AB20" s="457">
        <v>44209</v>
      </c>
      <c r="AC20" s="457">
        <v>44225</v>
      </c>
      <c r="AD20" s="455"/>
      <c r="AE20" s="459"/>
      <c r="AF20" s="460"/>
      <c r="AG20" s="457"/>
      <c r="AH20" s="455"/>
      <c r="AI20" s="456"/>
      <c r="AJ20" s="460"/>
      <c r="AK20" s="458"/>
      <c r="AL20" s="455"/>
      <c r="AM20" s="456"/>
      <c r="AN20" s="460"/>
      <c r="AO20" s="458"/>
      <c r="AP20" s="455"/>
      <c r="AQ20" s="456"/>
      <c r="AR20" s="460"/>
      <c r="AS20" s="458"/>
      <c r="AT20" s="458"/>
      <c r="AU20" s="458"/>
      <c r="AV20" s="458"/>
      <c r="AW20" s="458"/>
      <c r="AX20" s="458"/>
      <c r="AY20" s="458"/>
      <c r="AZ20" s="458"/>
      <c r="BA20" s="458"/>
      <c r="BB20" s="458"/>
      <c r="BC20" s="458"/>
      <c r="BD20" s="458"/>
      <c r="BE20" s="458"/>
      <c r="BF20" s="458"/>
      <c r="BG20" s="458"/>
      <c r="BH20" s="458"/>
      <c r="BI20" s="458"/>
      <c r="BJ20" s="154">
        <f t="shared" si="1"/>
        <v>9100</v>
      </c>
      <c r="BK20" s="461">
        <f t="shared" si="2"/>
        <v>9100</v>
      </c>
    </row>
    <row r="21" spans="2:63" s="148" customFormat="1" x14ac:dyDescent="0.25">
      <c r="B21" s="221">
        <v>6</v>
      </c>
      <c r="C21" s="221" t="s">
        <v>38</v>
      </c>
      <c r="D21" s="484">
        <v>30103038</v>
      </c>
      <c r="E21" s="485" t="s">
        <v>908</v>
      </c>
      <c r="F21" s="486" t="s">
        <v>897</v>
      </c>
      <c r="G21" s="460" t="s">
        <v>898</v>
      </c>
      <c r="H21" s="452" t="s">
        <v>909</v>
      </c>
      <c r="I21" s="453" t="s">
        <v>42</v>
      </c>
      <c r="J21" s="454">
        <v>4154230</v>
      </c>
      <c r="K21" s="454">
        <v>1328188</v>
      </c>
      <c r="L21" s="454">
        <v>1496454</v>
      </c>
      <c r="M21" s="454"/>
      <c r="N21" s="454">
        <v>62279</v>
      </c>
      <c r="O21" s="454">
        <v>132919</v>
      </c>
      <c r="P21" s="454">
        <v>358642</v>
      </c>
      <c r="Q21" s="454">
        <v>63691</v>
      </c>
      <c r="R21" s="454">
        <v>62052</v>
      </c>
      <c r="S21" s="454"/>
      <c r="T21" s="454"/>
      <c r="U21" s="454"/>
      <c r="V21" s="454"/>
      <c r="W21" s="454"/>
      <c r="X21" s="454"/>
      <c r="Y21" s="455">
        <f t="shared" si="3"/>
        <v>679583</v>
      </c>
      <c r="Z21" s="455">
        <v>1329588</v>
      </c>
      <c r="AA21" s="456">
        <v>1</v>
      </c>
      <c r="AB21" s="457">
        <v>44209</v>
      </c>
      <c r="AC21" s="457">
        <v>44225</v>
      </c>
      <c r="AD21" s="455">
        <v>500000</v>
      </c>
      <c r="AE21" s="459">
        <v>15</v>
      </c>
      <c r="AF21" s="457">
        <v>44322</v>
      </c>
      <c r="AG21" s="457">
        <v>44343</v>
      </c>
      <c r="AH21" s="455"/>
      <c r="AI21" s="459"/>
      <c r="AJ21" s="457"/>
      <c r="AK21" s="457"/>
      <c r="AL21" s="455"/>
      <c r="AM21" s="456"/>
      <c r="AN21" s="460"/>
      <c r="AO21" s="458"/>
      <c r="AP21" s="455"/>
      <c r="AQ21" s="456"/>
      <c r="AR21" s="460"/>
      <c r="AS21" s="458"/>
      <c r="AT21" s="458"/>
      <c r="AU21" s="458"/>
      <c r="AV21" s="458"/>
      <c r="AW21" s="458"/>
      <c r="AX21" s="458"/>
      <c r="AY21" s="458"/>
      <c r="AZ21" s="458"/>
      <c r="BA21" s="458"/>
      <c r="BB21" s="458"/>
      <c r="BC21" s="458"/>
      <c r="BD21" s="458"/>
      <c r="BE21" s="458"/>
      <c r="BF21" s="458"/>
      <c r="BG21" s="458"/>
      <c r="BH21" s="458"/>
      <c r="BI21" s="458"/>
      <c r="BJ21" s="154">
        <f t="shared" si="1"/>
        <v>1829588</v>
      </c>
      <c r="BK21" s="461">
        <f t="shared" si="2"/>
        <v>1150005</v>
      </c>
    </row>
    <row r="22" spans="2:63" s="148" customFormat="1" ht="23.25" customHeight="1" x14ac:dyDescent="0.25">
      <c r="B22" s="221">
        <v>7</v>
      </c>
      <c r="C22" s="221" t="s">
        <v>38</v>
      </c>
      <c r="D22" s="484">
        <v>30103399</v>
      </c>
      <c r="E22" s="485" t="s">
        <v>910</v>
      </c>
      <c r="F22" s="486" t="s">
        <v>897</v>
      </c>
      <c r="G22" s="460" t="s">
        <v>898</v>
      </c>
      <c r="H22" s="452" t="s">
        <v>911</v>
      </c>
      <c r="I22" s="453" t="s">
        <v>42</v>
      </c>
      <c r="J22" s="454">
        <v>1394262</v>
      </c>
      <c r="K22" s="454">
        <v>730769</v>
      </c>
      <c r="L22" s="454">
        <v>28400</v>
      </c>
      <c r="M22" s="454"/>
      <c r="N22" s="454">
        <v>11114</v>
      </c>
      <c r="O22" s="454">
        <v>38114</v>
      </c>
      <c r="P22" s="454">
        <v>325052</v>
      </c>
      <c r="Q22" s="454">
        <v>16976</v>
      </c>
      <c r="R22" s="454">
        <v>51789</v>
      </c>
      <c r="S22" s="454"/>
      <c r="T22" s="454"/>
      <c r="U22" s="454"/>
      <c r="V22" s="454"/>
      <c r="W22" s="454"/>
      <c r="X22" s="454"/>
      <c r="Y22" s="455">
        <f t="shared" si="3"/>
        <v>443045</v>
      </c>
      <c r="Z22" s="455">
        <v>635093</v>
      </c>
      <c r="AA22" s="456">
        <v>1</v>
      </c>
      <c r="AB22" s="457">
        <v>44209</v>
      </c>
      <c r="AC22" s="457">
        <v>44225</v>
      </c>
      <c r="AD22" s="455">
        <v>16780</v>
      </c>
      <c r="AE22" s="459">
        <v>10</v>
      </c>
      <c r="AF22" s="457">
        <v>44284</v>
      </c>
      <c r="AG22" s="457">
        <v>44286</v>
      </c>
      <c r="AH22" s="455"/>
      <c r="AI22" s="459"/>
      <c r="AJ22" s="457"/>
      <c r="AK22" s="457"/>
      <c r="AL22" s="455"/>
      <c r="AM22" s="459"/>
      <c r="AN22" s="457"/>
      <c r="AO22" s="457"/>
      <c r="AP22" s="455"/>
      <c r="AQ22" s="456"/>
      <c r="AR22" s="460"/>
      <c r="AS22" s="458"/>
      <c r="AT22" s="458"/>
      <c r="AU22" s="458"/>
      <c r="AV22" s="458"/>
      <c r="AW22" s="458"/>
      <c r="AX22" s="458"/>
      <c r="AY22" s="458"/>
      <c r="AZ22" s="458"/>
      <c r="BA22" s="458"/>
      <c r="BB22" s="458"/>
      <c r="BC22" s="458"/>
      <c r="BD22" s="458"/>
      <c r="BE22" s="458"/>
      <c r="BF22" s="458"/>
      <c r="BG22" s="458"/>
      <c r="BH22" s="458"/>
      <c r="BI22" s="458"/>
      <c r="BJ22" s="154">
        <f t="shared" si="1"/>
        <v>651873</v>
      </c>
      <c r="BK22" s="461">
        <f t="shared" si="2"/>
        <v>208828</v>
      </c>
    </row>
    <row r="23" spans="2:63" s="148" customFormat="1" x14ac:dyDescent="0.25">
      <c r="B23" s="221">
        <v>8</v>
      </c>
      <c r="C23" s="221" t="s">
        <v>38</v>
      </c>
      <c r="D23" s="484">
        <v>30109577</v>
      </c>
      <c r="E23" s="485" t="s">
        <v>912</v>
      </c>
      <c r="F23" s="486" t="s">
        <v>897</v>
      </c>
      <c r="G23" s="460" t="s">
        <v>898</v>
      </c>
      <c r="H23" s="452" t="s">
        <v>913</v>
      </c>
      <c r="I23" s="453" t="s">
        <v>42</v>
      </c>
      <c r="J23" s="454">
        <v>2187470</v>
      </c>
      <c r="K23" s="454">
        <v>1890666</v>
      </c>
      <c r="L23" s="454">
        <v>13888</v>
      </c>
      <c r="M23" s="454"/>
      <c r="N23" s="454"/>
      <c r="O23" s="454"/>
      <c r="P23" s="454"/>
      <c r="Q23" s="454"/>
      <c r="R23" s="454">
        <v>3808</v>
      </c>
      <c r="S23" s="454"/>
      <c r="T23" s="454"/>
      <c r="U23" s="454"/>
      <c r="V23" s="454"/>
      <c r="W23" s="454"/>
      <c r="X23" s="454"/>
      <c r="Y23" s="455">
        <f t="shared" si="3"/>
        <v>3808</v>
      </c>
      <c r="Z23" s="455">
        <v>282916</v>
      </c>
      <c r="AA23" s="456">
        <v>1</v>
      </c>
      <c r="AB23" s="457">
        <v>44209</v>
      </c>
      <c r="AC23" s="457">
        <v>44225</v>
      </c>
      <c r="AD23" s="455"/>
      <c r="AE23" s="456"/>
      <c r="AF23" s="457"/>
      <c r="AG23" s="457"/>
      <c r="AH23" s="455"/>
      <c r="AI23" s="456"/>
      <c r="AJ23" s="460"/>
      <c r="AK23" s="458"/>
      <c r="AL23" s="455"/>
      <c r="AM23" s="456"/>
      <c r="AN23" s="460"/>
      <c r="AO23" s="458"/>
      <c r="AP23" s="455"/>
      <c r="AQ23" s="456"/>
      <c r="AR23" s="460"/>
      <c r="AS23" s="458"/>
      <c r="AT23" s="458"/>
      <c r="AU23" s="458"/>
      <c r="AV23" s="458"/>
      <c r="AW23" s="458"/>
      <c r="AX23" s="458"/>
      <c r="AY23" s="458"/>
      <c r="AZ23" s="458"/>
      <c r="BA23" s="458"/>
      <c r="BB23" s="458"/>
      <c r="BC23" s="458"/>
      <c r="BD23" s="458"/>
      <c r="BE23" s="458"/>
      <c r="BF23" s="458"/>
      <c r="BG23" s="458"/>
      <c r="BH23" s="458"/>
      <c r="BI23" s="458"/>
      <c r="BJ23" s="154">
        <f t="shared" si="1"/>
        <v>282916</v>
      </c>
      <c r="BK23" s="461">
        <f t="shared" si="2"/>
        <v>279108</v>
      </c>
    </row>
    <row r="24" spans="2:63" s="148" customFormat="1" x14ac:dyDescent="0.25">
      <c r="B24" s="221">
        <v>9</v>
      </c>
      <c r="C24" s="221" t="s">
        <v>38</v>
      </c>
      <c r="D24" s="484">
        <v>30111136</v>
      </c>
      <c r="E24" s="485" t="s">
        <v>914</v>
      </c>
      <c r="F24" s="486" t="s">
        <v>897</v>
      </c>
      <c r="G24" s="460" t="s">
        <v>898</v>
      </c>
      <c r="H24" s="452" t="s">
        <v>915</v>
      </c>
      <c r="I24" s="453" t="s">
        <v>42</v>
      </c>
      <c r="J24" s="454">
        <v>531186</v>
      </c>
      <c r="K24" s="454">
        <v>495895</v>
      </c>
      <c r="L24" s="454">
        <v>6</v>
      </c>
      <c r="M24" s="454"/>
      <c r="N24" s="454"/>
      <c r="O24" s="487"/>
      <c r="P24" s="454"/>
      <c r="Q24" s="454"/>
      <c r="R24" s="454">
        <v>9943</v>
      </c>
      <c r="S24" s="454"/>
      <c r="T24" s="454"/>
      <c r="U24" s="454"/>
      <c r="V24" s="454"/>
      <c r="W24" s="454"/>
      <c r="X24" s="454"/>
      <c r="Y24" s="455">
        <f t="shared" si="3"/>
        <v>9943</v>
      </c>
      <c r="Z24" s="455">
        <v>35285</v>
      </c>
      <c r="AA24" s="456">
        <v>1</v>
      </c>
      <c r="AB24" s="457">
        <v>44209</v>
      </c>
      <c r="AC24" s="457">
        <v>44225</v>
      </c>
      <c r="AD24" s="455"/>
      <c r="AE24" s="456"/>
      <c r="AF24" s="457"/>
      <c r="AG24" s="457"/>
      <c r="AH24" s="455"/>
      <c r="AI24" s="456"/>
      <c r="AJ24" s="457"/>
      <c r="AK24" s="457"/>
      <c r="AL24" s="455"/>
      <c r="AM24" s="456"/>
      <c r="AN24" s="460"/>
      <c r="AO24" s="458"/>
      <c r="AP24" s="455"/>
      <c r="AQ24" s="456"/>
      <c r="AR24" s="460"/>
      <c r="AS24" s="458"/>
      <c r="AT24" s="458"/>
      <c r="AU24" s="458"/>
      <c r="AV24" s="458"/>
      <c r="AW24" s="458"/>
      <c r="AX24" s="458"/>
      <c r="AY24" s="458"/>
      <c r="AZ24" s="458"/>
      <c r="BA24" s="458"/>
      <c r="BB24" s="458"/>
      <c r="BC24" s="458"/>
      <c r="BD24" s="458"/>
      <c r="BE24" s="458"/>
      <c r="BF24" s="458"/>
      <c r="BG24" s="458"/>
      <c r="BH24" s="458"/>
      <c r="BI24" s="458"/>
      <c r="BJ24" s="154">
        <f t="shared" si="1"/>
        <v>35285</v>
      </c>
      <c r="BK24" s="461">
        <f t="shared" si="2"/>
        <v>25342</v>
      </c>
    </row>
    <row r="25" spans="2:63" s="148" customFormat="1" x14ac:dyDescent="0.25">
      <c r="B25" s="221">
        <v>10</v>
      </c>
      <c r="C25" s="221" t="s">
        <v>38</v>
      </c>
      <c r="D25" s="484">
        <v>30118162</v>
      </c>
      <c r="E25" s="485" t="s">
        <v>916</v>
      </c>
      <c r="F25" s="486" t="s">
        <v>897</v>
      </c>
      <c r="G25" s="460" t="s">
        <v>898</v>
      </c>
      <c r="H25" s="452" t="s">
        <v>917</v>
      </c>
      <c r="I25" s="453" t="s">
        <v>43</v>
      </c>
      <c r="J25" s="454">
        <v>310325</v>
      </c>
      <c r="K25" s="454">
        <v>0</v>
      </c>
      <c r="L25" s="454">
        <v>12329</v>
      </c>
      <c r="M25" s="454"/>
      <c r="N25" s="454"/>
      <c r="O25" s="454"/>
      <c r="P25" s="454">
        <v>19438</v>
      </c>
      <c r="Q25" s="454">
        <v>97211</v>
      </c>
      <c r="R25" s="454">
        <v>58843</v>
      </c>
      <c r="S25" s="454"/>
      <c r="T25" s="454"/>
      <c r="U25" s="454"/>
      <c r="V25" s="454"/>
      <c r="W25" s="454"/>
      <c r="X25" s="454"/>
      <c r="Y25" s="455">
        <f t="shared" si="3"/>
        <v>175492</v>
      </c>
      <c r="Z25" s="455">
        <v>297996</v>
      </c>
      <c r="AA25" s="456">
        <v>1</v>
      </c>
      <c r="AB25" s="457">
        <v>44209</v>
      </c>
      <c r="AC25" s="457">
        <v>44225</v>
      </c>
      <c r="AD25" s="455"/>
      <c r="AE25" s="456"/>
      <c r="AF25" s="457"/>
      <c r="AG25" s="457"/>
      <c r="AH25" s="455"/>
      <c r="AI25" s="456"/>
      <c r="AJ25" s="460"/>
      <c r="AK25" s="458"/>
      <c r="AL25" s="455"/>
      <c r="AM25" s="456"/>
      <c r="AN25" s="460"/>
      <c r="AO25" s="458"/>
      <c r="AP25" s="455"/>
      <c r="AQ25" s="456"/>
      <c r="AR25" s="460"/>
      <c r="AS25" s="458"/>
      <c r="AT25" s="458"/>
      <c r="AU25" s="458"/>
      <c r="AV25" s="458"/>
      <c r="AW25" s="458"/>
      <c r="AX25" s="458"/>
      <c r="AY25" s="458"/>
      <c r="AZ25" s="458"/>
      <c r="BA25" s="458"/>
      <c r="BB25" s="458"/>
      <c r="BC25" s="458"/>
      <c r="BD25" s="458"/>
      <c r="BE25" s="458"/>
      <c r="BF25" s="458"/>
      <c r="BG25" s="458"/>
      <c r="BH25" s="458"/>
      <c r="BI25" s="458"/>
      <c r="BJ25" s="154">
        <f t="shared" si="1"/>
        <v>297996</v>
      </c>
      <c r="BK25" s="461">
        <f t="shared" si="2"/>
        <v>122504</v>
      </c>
    </row>
    <row r="26" spans="2:63" s="148" customFormat="1" ht="23.25" customHeight="1" x14ac:dyDescent="0.25">
      <c r="B26" s="221">
        <v>11</v>
      </c>
      <c r="C26" s="221" t="s">
        <v>38</v>
      </c>
      <c r="D26" s="484">
        <v>30123468</v>
      </c>
      <c r="E26" s="485" t="s">
        <v>918</v>
      </c>
      <c r="F26" s="486" t="s">
        <v>897</v>
      </c>
      <c r="G26" s="460" t="s">
        <v>898</v>
      </c>
      <c r="H26" s="452" t="s">
        <v>919</v>
      </c>
      <c r="I26" s="453" t="s">
        <v>42</v>
      </c>
      <c r="J26" s="454">
        <v>769786</v>
      </c>
      <c r="K26" s="454">
        <v>683138</v>
      </c>
      <c r="L26" s="454">
        <v>9472</v>
      </c>
      <c r="M26" s="454"/>
      <c r="N26" s="487"/>
      <c r="O26" s="454"/>
      <c r="P26" s="454"/>
      <c r="Q26" s="454"/>
      <c r="R26" s="454"/>
      <c r="S26" s="454"/>
      <c r="T26" s="454"/>
      <c r="U26" s="454"/>
      <c r="V26" s="454"/>
      <c r="W26" s="454"/>
      <c r="X26" s="454"/>
      <c r="Y26" s="455">
        <f t="shared" si="3"/>
        <v>0</v>
      </c>
      <c r="Z26" s="455">
        <v>77176</v>
      </c>
      <c r="AA26" s="456">
        <v>1</v>
      </c>
      <c r="AB26" s="457">
        <v>44209</v>
      </c>
      <c r="AC26" s="457">
        <v>44225</v>
      </c>
      <c r="AD26" s="455"/>
      <c r="AE26" s="459"/>
      <c r="AF26" s="457"/>
      <c r="AG26" s="457"/>
      <c r="AH26" s="455"/>
      <c r="AI26" s="459"/>
      <c r="AJ26" s="457"/>
      <c r="AK26" s="457"/>
      <c r="AL26" s="455"/>
      <c r="AM26" s="456"/>
      <c r="AN26" s="460"/>
      <c r="AO26" s="458"/>
      <c r="AP26" s="455"/>
      <c r="AQ26" s="456"/>
      <c r="AR26" s="460"/>
      <c r="AS26" s="458"/>
      <c r="AT26" s="458"/>
      <c r="AU26" s="458"/>
      <c r="AV26" s="458"/>
      <c r="AW26" s="458"/>
      <c r="AX26" s="458"/>
      <c r="AY26" s="458"/>
      <c r="AZ26" s="458"/>
      <c r="BA26" s="458"/>
      <c r="BB26" s="458"/>
      <c r="BC26" s="458"/>
      <c r="BD26" s="458"/>
      <c r="BE26" s="458"/>
      <c r="BF26" s="458"/>
      <c r="BG26" s="458"/>
      <c r="BH26" s="458"/>
      <c r="BI26" s="458"/>
      <c r="BJ26" s="154">
        <f t="shared" si="1"/>
        <v>77176</v>
      </c>
      <c r="BK26" s="461">
        <f t="shared" si="2"/>
        <v>77176</v>
      </c>
    </row>
    <row r="27" spans="2:63" s="148" customFormat="1" x14ac:dyDescent="0.25">
      <c r="B27" s="221">
        <v>12</v>
      </c>
      <c r="C27" s="221" t="s">
        <v>38</v>
      </c>
      <c r="D27" s="484">
        <v>30133591</v>
      </c>
      <c r="E27" s="485" t="s">
        <v>920</v>
      </c>
      <c r="F27" s="486" t="s">
        <v>897</v>
      </c>
      <c r="G27" s="460" t="s">
        <v>898</v>
      </c>
      <c r="H27" s="452" t="s">
        <v>921</v>
      </c>
      <c r="I27" s="453" t="s">
        <v>42</v>
      </c>
      <c r="J27" s="454">
        <v>5497004</v>
      </c>
      <c r="K27" s="454">
        <v>3398602</v>
      </c>
      <c r="L27" s="454">
        <v>673900</v>
      </c>
      <c r="M27" s="454"/>
      <c r="N27" s="487">
        <v>17962</v>
      </c>
      <c r="O27" s="487">
        <v>365046</v>
      </c>
      <c r="P27" s="454">
        <v>191600</v>
      </c>
      <c r="Q27" s="454">
        <v>219217</v>
      </c>
      <c r="R27" s="454">
        <v>92004</v>
      </c>
      <c r="S27" s="454"/>
      <c r="T27" s="454"/>
      <c r="U27" s="454"/>
      <c r="V27" s="454"/>
      <c r="W27" s="454"/>
      <c r="X27" s="454"/>
      <c r="Y27" s="455">
        <f t="shared" si="3"/>
        <v>885829</v>
      </c>
      <c r="Z27" s="455">
        <v>1424502</v>
      </c>
      <c r="AA27" s="456">
        <v>1</v>
      </c>
      <c r="AB27" s="457">
        <v>44209</v>
      </c>
      <c r="AC27" s="457">
        <v>44225</v>
      </c>
      <c r="AD27" s="455">
        <v>9999</v>
      </c>
      <c r="AE27" s="459">
        <v>2</v>
      </c>
      <c r="AF27" s="457">
        <v>44253</v>
      </c>
      <c r="AG27" s="457">
        <v>44273</v>
      </c>
      <c r="AH27" s="455"/>
      <c r="AI27" s="456"/>
      <c r="AJ27" s="460"/>
      <c r="AK27" s="458"/>
      <c r="AL27" s="455"/>
      <c r="AM27" s="456"/>
      <c r="AN27" s="460"/>
      <c r="AO27" s="458"/>
      <c r="AP27" s="455"/>
      <c r="AQ27" s="456"/>
      <c r="AR27" s="460"/>
      <c r="AS27" s="458"/>
      <c r="AT27" s="458"/>
      <c r="AU27" s="458"/>
      <c r="AV27" s="458"/>
      <c r="AW27" s="458"/>
      <c r="AX27" s="458"/>
      <c r="AY27" s="458"/>
      <c r="AZ27" s="458"/>
      <c r="BA27" s="458"/>
      <c r="BB27" s="458"/>
      <c r="BC27" s="458"/>
      <c r="BD27" s="458"/>
      <c r="BE27" s="458"/>
      <c r="BF27" s="458"/>
      <c r="BG27" s="458"/>
      <c r="BH27" s="458"/>
      <c r="BI27" s="458"/>
      <c r="BJ27" s="154">
        <f t="shared" si="1"/>
        <v>1434501</v>
      </c>
      <c r="BK27" s="461">
        <f t="shared" si="2"/>
        <v>548672</v>
      </c>
    </row>
    <row r="28" spans="2:63" s="148" customFormat="1" ht="22.5" x14ac:dyDescent="0.25">
      <c r="B28" s="221">
        <v>13</v>
      </c>
      <c r="C28" s="221" t="s">
        <v>38</v>
      </c>
      <c r="D28" s="489">
        <v>30133703</v>
      </c>
      <c r="E28" s="485" t="s">
        <v>922</v>
      </c>
      <c r="F28" s="486" t="s">
        <v>897</v>
      </c>
      <c r="G28" s="460" t="s">
        <v>898</v>
      </c>
      <c r="H28" s="452" t="s">
        <v>923</v>
      </c>
      <c r="I28" s="453" t="s">
        <v>42</v>
      </c>
      <c r="J28" s="454">
        <v>1058250</v>
      </c>
      <c r="K28" s="454">
        <v>972664</v>
      </c>
      <c r="L28" s="454">
        <v>1883</v>
      </c>
      <c r="M28" s="454"/>
      <c r="N28" s="454"/>
      <c r="O28" s="454"/>
      <c r="P28" s="454"/>
      <c r="Q28" s="454"/>
      <c r="R28" s="454"/>
      <c r="S28" s="454"/>
      <c r="T28" s="454"/>
      <c r="U28" s="454"/>
      <c r="V28" s="454"/>
      <c r="W28" s="454"/>
      <c r="X28" s="454"/>
      <c r="Y28" s="455">
        <f t="shared" si="3"/>
        <v>0</v>
      </c>
      <c r="Z28" s="455">
        <v>83703</v>
      </c>
      <c r="AA28" s="456">
        <v>1</v>
      </c>
      <c r="AB28" s="457">
        <v>44209</v>
      </c>
      <c r="AC28" s="457">
        <v>44225</v>
      </c>
      <c r="AD28" s="455"/>
      <c r="AE28" s="459"/>
      <c r="AF28" s="457"/>
      <c r="AG28" s="457"/>
      <c r="AH28" s="455"/>
      <c r="AI28" s="459"/>
      <c r="AJ28" s="457"/>
      <c r="AK28" s="457"/>
      <c r="AL28" s="455"/>
      <c r="AM28" s="456"/>
      <c r="AN28" s="460"/>
      <c r="AO28" s="458"/>
      <c r="AP28" s="455"/>
      <c r="AQ28" s="456"/>
      <c r="AR28" s="460"/>
      <c r="AS28" s="458"/>
      <c r="AT28" s="458"/>
      <c r="AU28" s="458"/>
      <c r="AV28" s="458"/>
      <c r="AW28" s="458"/>
      <c r="AX28" s="458"/>
      <c r="AY28" s="458"/>
      <c r="AZ28" s="458"/>
      <c r="BA28" s="458"/>
      <c r="BB28" s="458"/>
      <c r="BC28" s="458"/>
      <c r="BD28" s="458"/>
      <c r="BE28" s="458"/>
      <c r="BF28" s="458"/>
      <c r="BG28" s="458"/>
      <c r="BH28" s="458"/>
      <c r="BI28" s="458"/>
      <c r="BJ28" s="154">
        <f t="shared" si="1"/>
        <v>83703</v>
      </c>
      <c r="BK28" s="461">
        <f t="shared" si="2"/>
        <v>83703</v>
      </c>
    </row>
    <row r="29" spans="2:63" s="148" customFormat="1" x14ac:dyDescent="0.25">
      <c r="B29" s="221">
        <v>14</v>
      </c>
      <c r="C29" s="221" t="s">
        <v>38</v>
      </c>
      <c r="D29" s="484">
        <v>30134244</v>
      </c>
      <c r="E29" s="485" t="s">
        <v>924</v>
      </c>
      <c r="F29" s="486" t="s">
        <v>204</v>
      </c>
      <c r="G29" s="460" t="s">
        <v>898</v>
      </c>
      <c r="H29" s="452" t="s">
        <v>925</v>
      </c>
      <c r="I29" s="453" t="s">
        <v>42</v>
      </c>
      <c r="J29" s="454">
        <v>212891</v>
      </c>
      <c r="K29" s="454">
        <v>5397</v>
      </c>
      <c r="L29" s="454">
        <v>1756</v>
      </c>
      <c r="M29" s="454"/>
      <c r="N29" s="454"/>
      <c r="O29" s="454"/>
      <c r="P29" s="454"/>
      <c r="Q29" s="454"/>
      <c r="R29" s="454"/>
      <c r="S29" s="454"/>
      <c r="T29" s="454"/>
      <c r="U29" s="454"/>
      <c r="V29" s="454"/>
      <c r="W29" s="454"/>
      <c r="X29" s="454"/>
      <c r="Y29" s="455">
        <f t="shared" si="3"/>
        <v>0</v>
      </c>
      <c r="Z29" s="455">
        <v>60105</v>
      </c>
      <c r="AA29" s="456">
        <v>1</v>
      </c>
      <c r="AB29" s="457">
        <v>44209</v>
      </c>
      <c r="AC29" s="457">
        <v>44225</v>
      </c>
      <c r="AD29" s="455"/>
      <c r="AE29" s="459"/>
      <c r="AF29" s="457"/>
      <c r="AG29" s="457"/>
      <c r="AH29" s="455"/>
      <c r="AI29" s="456"/>
      <c r="AJ29" s="457"/>
      <c r="AK29" s="457"/>
      <c r="AL29" s="455"/>
      <c r="AM29" s="459"/>
      <c r="AN29" s="457"/>
      <c r="AO29" s="457"/>
      <c r="AP29" s="455"/>
      <c r="AQ29" s="456"/>
      <c r="AR29" s="457"/>
      <c r="AS29" s="457"/>
      <c r="AT29" s="455"/>
      <c r="AU29" s="456"/>
      <c r="AV29" s="457"/>
      <c r="AW29" s="457"/>
      <c r="AX29" s="455"/>
      <c r="AY29" s="456"/>
      <c r="AZ29" s="457"/>
      <c r="BA29" s="457"/>
      <c r="BB29" s="458"/>
      <c r="BC29" s="458"/>
      <c r="BD29" s="458"/>
      <c r="BE29" s="458"/>
      <c r="BF29" s="458"/>
      <c r="BG29" s="458"/>
      <c r="BH29" s="458"/>
      <c r="BI29" s="458"/>
      <c r="BJ29" s="154">
        <f t="shared" si="1"/>
        <v>60105</v>
      </c>
      <c r="BK29" s="461">
        <f t="shared" si="2"/>
        <v>60105</v>
      </c>
    </row>
    <row r="30" spans="2:63" s="148" customFormat="1" ht="22.5" x14ac:dyDescent="0.25">
      <c r="B30" s="221">
        <v>15</v>
      </c>
      <c r="C30" s="221" t="s">
        <v>38</v>
      </c>
      <c r="D30" s="484">
        <v>30146872</v>
      </c>
      <c r="E30" s="485" t="s">
        <v>926</v>
      </c>
      <c r="F30" s="486" t="s">
        <v>897</v>
      </c>
      <c r="G30" s="460" t="s">
        <v>898</v>
      </c>
      <c r="H30" s="452" t="s">
        <v>927</v>
      </c>
      <c r="I30" s="453" t="s">
        <v>42</v>
      </c>
      <c r="J30" s="454">
        <v>1848998</v>
      </c>
      <c r="K30" s="454">
        <v>1296769</v>
      </c>
      <c r="L30" s="454">
        <v>146594</v>
      </c>
      <c r="M30" s="454"/>
      <c r="N30" s="454">
        <v>100459</v>
      </c>
      <c r="O30" s="454">
        <v>1532</v>
      </c>
      <c r="P30" s="454">
        <v>49692</v>
      </c>
      <c r="Q30" s="454">
        <v>79186</v>
      </c>
      <c r="R30" s="454">
        <v>67737</v>
      </c>
      <c r="S30" s="454"/>
      <c r="T30" s="454"/>
      <c r="U30" s="454"/>
      <c r="V30" s="454"/>
      <c r="W30" s="454"/>
      <c r="X30" s="454"/>
      <c r="Y30" s="455">
        <f t="shared" si="3"/>
        <v>298606</v>
      </c>
      <c r="Z30" s="455">
        <v>405635</v>
      </c>
      <c r="AA30" s="456">
        <v>1</v>
      </c>
      <c r="AB30" s="457">
        <v>44209</v>
      </c>
      <c r="AC30" s="457">
        <v>44225</v>
      </c>
      <c r="AD30" s="455"/>
      <c r="AE30" s="456"/>
      <c r="AF30" s="457"/>
      <c r="AG30" s="457"/>
      <c r="AH30" s="455"/>
      <c r="AI30" s="459"/>
      <c r="AJ30" s="457"/>
      <c r="AK30" s="457"/>
      <c r="AL30" s="455"/>
      <c r="AM30" s="459"/>
      <c r="AN30" s="457"/>
      <c r="AO30" s="457"/>
      <c r="AP30" s="455"/>
      <c r="AQ30" s="456"/>
      <c r="AR30" s="460"/>
      <c r="AS30" s="458"/>
      <c r="AT30" s="458"/>
      <c r="AU30" s="458"/>
      <c r="AV30" s="458"/>
      <c r="AW30" s="458"/>
      <c r="AX30" s="458"/>
      <c r="AY30" s="458"/>
      <c r="AZ30" s="458"/>
      <c r="BA30" s="458"/>
      <c r="BB30" s="458"/>
      <c r="BC30" s="458"/>
      <c r="BD30" s="458"/>
      <c r="BE30" s="458"/>
      <c r="BF30" s="458"/>
      <c r="BG30" s="458"/>
      <c r="BH30" s="458"/>
      <c r="BI30" s="458"/>
      <c r="BJ30" s="154">
        <f t="shared" si="1"/>
        <v>405635</v>
      </c>
      <c r="BK30" s="461">
        <f t="shared" si="2"/>
        <v>107029</v>
      </c>
    </row>
    <row r="31" spans="2:63" s="148" customFormat="1" ht="22.5" x14ac:dyDescent="0.25">
      <c r="B31" s="221">
        <v>16</v>
      </c>
      <c r="C31" s="221" t="s">
        <v>38</v>
      </c>
      <c r="D31" s="484">
        <v>30153523</v>
      </c>
      <c r="E31" s="485" t="s">
        <v>928</v>
      </c>
      <c r="F31" s="486" t="s">
        <v>897</v>
      </c>
      <c r="G31" s="460" t="s">
        <v>898</v>
      </c>
      <c r="H31" s="452" t="s">
        <v>929</v>
      </c>
      <c r="I31" s="453" t="s">
        <v>42</v>
      </c>
      <c r="J31" s="454">
        <v>2699362</v>
      </c>
      <c r="K31" s="454">
        <v>2367377</v>
      </c>
      <c r="L31" s="454">
        <v>66212</v>
      </c>
      <c r="M31" s="454"/>
      <c r="N31" s="454"/>
      <c r="O31" s="454"/>
      <c r="P31" s="454">
        <v>86535</v>
      </c>
      <c r="Q31" s="454"/>
      <c r="R31" s="454"/>
      <c r="S31" s="454"/>
      <c r="T31" s="454"/>
      <c r="U31" s="454"/>
      <c r="V31" s="454"/>
      <c r="W31" s="454"/>
      <c r="X31" s="454"/>
      <c r="Y31" s="455">
        <f t="shared" si="3"/>
        <v>86535</v>
      </c>
      <c r="Z31" s="455">
        <v>265773</v>
      </c>
      <c r="AA31" s="456">
        <v>1</v>
      </c>
      <c r="AB31" s="457">
        <v>44209</v>
      </c>
      <c r="AC31" s="457">
        <v>44225</v>
      </c>
      <c r="AD31" s="455">
        <v>101367</v>
      </c>
      <c r="AE31" s="456">
        <v>15</v>
      </c>
      <c r="AF31" s="457">
        <v>44322</v>
      </c>
      <c r="AG31" s="457">
        <v>44343</v>
      </c>
      <c r="AH31" s="455"/>
      <c r="AI31" s="456"/>
      <c r="AJ31" s="460"/>
      <c r="AK31" s="458"/>
      <c r="AL31" s="455"/>
      <c r="AM31" s="456"/>
      <c r="AN31" s="460"/>
      <c r="AO31" s="458"/>
      <c r="AP31" s="455"/>
      <c r="AQ31" s="456"/>
      <c r="AR31" s="460"/>
      <c r="AS31" s="458"/>
      <c r="AT31" s="458"/>
      <c r="AU31" s="458"/>
      <c r="AV31" s="458"/>
      <c r="AW31" s="458"/>
      <c r="AX31" s="458"/>
      <c r="AY31" s="458"/>
      <c r="AZ31" s="458"/>
      <c r="BA31" s="458"/>
      <c r="BB31" s="458"/>
      <c r="BC31" s="458"/>
      <c r="BD31" s="458"/>
      <c r="BE31" s="458"/>
      <c r="BF31" s="458"/>
      <c r="BG31" s="458"/>
      <c r="BH31" s="458"/>
      <c r="BI31" s="458"/>
      <c r="BJ31" s="154">
        <f t="shared" si="1"/>
        <v>367140</v>
      </c>
      <c r="BK31" s="461">
        <f t="shared" si="2"/>
        <v>280605</v>
      </c>
    </row>
    <row r="32" spans="2:63" s="148" customFormat="1" ht="22.5" x14ac:dyDescent="0.25">
      <c r="B32" s="221">
        <v>17</v>
      </c>
      <c r="C32" s="221" t="s">
        <v>38</v>
      </c>
      <c r="D32" s="484">
        <v>30178222</v>
      </c>
      <c r="E32" s="485" t="s">
        <v>930</v>
      </c>
      <c r="F32" s="486" t="s">
        <v>204</v>
      </c>
      <c r="G32" s="460" t="s">
        <v>898</v>
      </c>
      <c r="H32" s="452" t="s">
        <v>909</v>
      </c>
      <c r="I32" s="453" t="s">
        <v>42</v>
      </c>
      <c r="J32" s="454">
        <v>120754</v>
      </c>
      <c r="K32" s="454">
        <v>69936</v>
      </c>
      <c r="L32" s="454">
        <v>32138</v>
      </c>
      <c r="M32" s="454"/>
      <c r="N32" s="487"/>
      <c r="O32" s="487"/>
      <c r="P32" s="454"/>
      <c r="Q32" s="454"/>
      <c r="R32" s="454"/>
      <c r="S32" s="454"/>
      <c r="T32" s="454"/>
      <c r="U32" s="454"/>
      <c r="V32" s="454"/>
      <c r="W32" s="454"/>
      <c r="X32" s="454"/>
      <c r="Y32" s="455">
        <f t="shared" si="3"/>
        <v>0</v>
      </c>
      <c r="Z32" s="455">
        <v>18680</v>
      </c>
      <c r="AA32" s="456">
        <v>1</v>
      </c>
      <c r="AB32" s="457">
        <v>44209</v>
      </c>
      <c r="AC32" s="457">
        <v>44225</v>
      </c>
      <c r="AD32" s="455"/>
      <c r="AE32" s="456"/>
      <c r="AF32" s="457"/>
      <c r="AG32" s="457"/>
      <c r="AH32" s="455"/>
      <c r="AI32" s="456"/>
      <c r="AJ32" s="460"/>
      <c r="AK32" s="458"/>
      <c r="AL32" s="455"/>
      <c r="AM32" s="456"/>
      <c r="AN32" s="460"/>
      <c r="AO32" s="458"/>
      <c r="AP32" s="455"/>
      <c r="AQ32" s="456"/>
      <c r="AR32" s="460"/>
      <c r="AS32" s="458"/>
      <c r="AT32" s="458"/>
      <c r="AU32" s="458"/>
      <c r="AV32" s="458"/>
      <c r="AW32" s="458"/>
      <c r="AX32" s="458"/>
      <c r="AY32" s="458"/>
      <c r="AZ32" s="458"/>
      <c r="BA32" s="458"/>
      <c r="BB32" s="458"/>
      <c r="BC32" s="458"/>
      <c r="BD32" s="458"/>
      <c r="BE32" s="458"/>
      <c r="BF32" s="458"/>
      <c r="BG32" s="458"/>
      <c r="BH32" s="458"/>
      <c r="BI32" s="458"/>
      <c r="BJ32" s="154">
        <f t="shared" si="1"/>
        <v>18680</v>
      </c>
      <c r="BK32" s="461">
        <f t="shared" si="2"/>
        <v>18680</v>
      </c>
    </row>
    <row r="33" spans="2:63" s="148" customFormat="1" x14ac:dyDescent="0.25">
      <c r="B33" s="221">
        <v>18</v>
      </c>
      <c r="C33" s="221" t="s">
        <v>38</v>
      </c>
      <c r="D33" s="484">
        <v>30248573</v>
      </c>
      <c r="E33" s="485" t="s">
        <v>931</v>
      </c>
      <c r="F33" s="486" t="s">
        <v>897</v>
      </c>
      <c r="G33" s="460" t="s">
        <v>898</v>
      </c>
      <c r="H33" s="452" t="s">
        <v>913</v>
      </c>
      <c r="I33" s="453" t="s">
        <v>42</v>
      </c>
      <c r="J33" s="454">
        <v>2847341</v>
      </c>
      <c r="K33" s="454">
        <v>1433538</v>
      </c>
      <c r="L33" s="454">
        <v>155819</v>
      </c>
      <c r="M33" s="454"/>
      <c r="N33" s="487">
        <v>74282</v>
      </c>
      <c r="O33" s="487">
        <v>1600</v>
      </c>
      <c r="P33" s="454">
        <v>87390</v>
      </c>
      <c r="Q33" s="454">
        <v>51667</v>
      </c>
      <c r="R33" s="454">
        <v>1600</v>
      </c>
      <c r="S33" s="454"/>
      <c r="T33" s="454"/>
      <c r="U33" s="454"/>
      <c r="V33" s="454"/>
      <c r="W33" s="454"/>
      <c r="X33" s="454"/>
      <c r="Y33" s="455">
        <f t="shared" si="3"/>
        <v>216539</v>
      </c>
      <c r="Z33" s="455">
        <v>1257984</v>
      </c>
      <c r="AA33" s="456">
        <v>1</v>
      </c>
      <c r="AB33" s="457">
        <v>44209</v>
      </c>
      <c r="AC33" s="457">
        <v>44225</v>
      </c>
      <c r="AD33" s="455">
        <v>17210</v>
      </c>
      <c r="AE33" s="459">
        <v>12</v>
      </c>
      <c r="AF33" s="457">
        <v>44293</v>
      </c>
      <c r="AG33" s="457">
        <v>44313</v>
      </c>
      <c r="AH33" s="455"/>
      <c r="AI33" s="456"/>
      <c r="AJ33" s="457"/>
      <c r="AK33" s="458"/>
      <c r="AL33" s="455"/>
      <c r="AM33" s="456"/>
      <c r="AN33" s="460"/>
      <c r="AO33" s="458"/>
      <c r="AP33" s="455"/>
      <c r="AQ33" s="456"/>
      <c r="AR33" s="460"/>
      <c r="AS33" s="458"/>
      <c r="AT33" s="458"/>
      <c r="AU33" s="458"/>
      <c r="AV33" s="458"/>
      <c r="AW33" s="458"/>
      <c r="AX33" s="458"/>
      <c r="AY33" s="458"/>
      <c r="AZ33" s="458"/>
      <c r="BA33" s="458"/>
      <c r="BB33" s="458"/>
      <c r="BC33" s="458"/>
      <c r="BD33" s="458"/>
      <c r="BE33" s="458"/>
      <c r="BF33" s="458"/>
      <c r="BG33" s="458"/>
      <c r="BH33" s="458"/>
      <c r="BI33" s="458"/>
      <c r="BJ33" s="154">
        <f t="shared" si="1"/>
        <v>1275194</v>
      </c>
      <c r="BK33" s="461">
        <f t="shared" si="2"/>
        <v>1058655</v>
      </c>
    </row>
    <row r="34" spans="2:63" s="148" customFormat="1" x14ac:dyDescent="0.25">
      <c r="B34" s="221">
        <v>19</v>
      </c>
      <c r="C34" s="221" t="s">
        <v>38</v>
      </c>
      <c r="D34" s="484">
        <v>30255973</v>
      </c>
      <c r="E34" s="485" t="s">
        <v>932</v>
      </c>
      <c r="F34" s="486" t="s">
        <v>204</v>
      </c>
      <c r="G34" s="460" t="s">
        <v>898</v>
      </c>
      <c r="H34" s="452" t="s">
        <v>901</v>
      </c>
      <c r="I34" s="453" t="s">
        <v>42</v>
      </c>
      <c r="J34" s="454">
        <v>240423</v>
      </c>
      <c r="K34" s="454">
        <v>197798</v>
      </c>
      <c r="L34" s="454">
        <v>19485</v>
      </c>
      <c r="M34" s="454"/>
      <c r="N34" s="487"/>
      <c r="O34" s="487"/>
      <c r="P34" s="454"/>
      <c r="Q34" s="454"/>
      <c r="R34" s="454"/>
      <c r="S34" s="454"/>
      <c r="T34" s="454"/>
      <c r="U34" s="454"/>
      <c r="V34" s="454"/>
      <c r="W34" s="454"/>
      <c r="X34" s="454"/>
      <c r="Y34" s="455">
        <f t="shared" si="3"/>
        <v>0</v>
      </c>
      <c r="Z34" s="455">
        <v>23140</v>
      </c>
      <c r="AA34" s="456">
        <v>1</v>
      </c>
      <c r="AB34" s="457">
        <v>44209</v>
      </c>
      <c r="AC34" s="457">
        <v>44225</v>
      </c>
      <c r="AD34" s="455"/>
      <c r="AE34" s="459"/>
      <c r="AF34" s="457"/>
      <c r="AG34" s="457"/>
      <c r="AH34" s="455"/>
      <c r="AI34" s="459"/>
      <c r="AJ34" s="457"/>
      <c r="AK34" s="457"/>
      <c r="AL34" s="455"/>
      <c r="AM34" s="456"/>
      <c r="AN34" s="460"/>
      <c r="AO34" s="458"/>
      <c r="AP34" s="455"/>
      <c r="AQ34" s="456"/>
      <c r="AR34" s="460"/>
      <c r="AS34" s="458"/>
      <c r="AT34" s="458"/>
      <c r="AU34" s="458"/>
      <c r="AV34" s="458"/>
      <c r="AW34" s="458"/>
      <c r="AX34" s="458"/>
      <c r="AY34" s="458"/>
      <c r="AZ34" s="458"/>
      <c r="BA34" s="458"/>
      <c r="BB34" s="458"/>
      <c r="BC34" s="458"/>
      <c r="BD34" s="458"/>
      <c r="BE34" s="458"/>
      <c r="BF34" s="458"/>
      <c r="BG34" s="458"/>
      <c r="BH34" s="458"/>
      <c r="BI34" s="458"/>
      <c r="BJ34" s="154">
        <f t="shared" si="1"/>
        <v>23140</v>
      </c>
      <c r="BK34" s="461">
        <f t="shared" si="2"/>
        <v>23140</v>
      </c>
    </row>
    <row r="35" spans="2:63" s="148" customFormat="1" ht="22.5" x14ac:dyDescent="0.25">
      <c r="B35" s="221">
        <v>20</v>
      </c>
      <c r="C35" s="221" t="s">
        <v>38</v>
      </c>
      <c r="D35" s="484">
        <v>30271572</v>
      </c>
      <c r="E35" s="485" t="s">
        <v>933</v>
      </c>
      <c r="F35" s="486" t="s">
        <v>897</v>
      </c>
      <c r="G35" s="460" t="s">
        <v>898</v>
      </c>
      <c r="H35" s="452" t="s">
        <v>899</v>
      </c>
      <c r="I35" s="453" t="s">
        <v>42</v>
      </c>
      <c r="J35" s="454">
        <v>357875</v>
      </c>
      <c r="K35" s="454">
        <v>0</v>
      </c>
      <c r="L35" s="454">
        <v>48716</v>
      </c>
      <c r="M35" s="454"/>
      <c r="N35" s="487"/>
      <c r="O35" s="487">
        <v>48899</v>
      </c>
      <c r="P35" s="454">
        <v>55367</v>
      </c>
      <c r="Q35" s="454">
        <v>94580</v>
      </c>
      <c r="R35" s="454"/>
      <c r="S35" s="454"/>
      <c r="T35" s="454"/>
      <c r="U35" s="454"/>
      <c r="V35" s="454"/>
      <c r="W35" s="454"/>
      <c r="X35" s="454"/>
      <c r="Y35" s="455">
        <f t="shared" si="3"/>
        <v>198846</v>
      </c>
      <c r="Z35" s="455">
        <v>309159</v>
      </c>
      <c r="AA35" s="456">
        <v>1</v>
      </c>
      <c r="AB35" s="457">
        <v>44209</v>
      </c>
      <c r="AC35" s="457">
        <v>44225</v>
      </c>
      <c r="AD35" s="455"/>
      <c r="AE35" s="459"/>
      <c r="AF35" s="457"/>
      <c r="AG35" s="457"/>
      <c r="AH35" s="455"/>
      <c r="AI35" s="459"/>
      <c r="AJ35" s="457"/>
      <c r="AK35" s="457"/>
      <c r="AL35" s="455"/>
      <c r="AM35" s="456"/>
      <c r="AN35" s="460"/>
      <c r="AO35" s="458"/>
      <c r="AP35" s="455"/>
      <c r="AQ35" s="456"/>
      <c r="AR35" s="460"/>
      <c r="AS35" s="458"/>
      <c r="AT35" s="458"/>
      <c r="AU35" s="458"/>
      <c r="AV35" s="458"/>
      <c r="AW35" s="458"/>
      <c r="AX35" s="458"/>
      <c r="AY35" s="458"/>
      <c r="AZ35" s="458"/>
      <c r="BA35" s="458"/>
      <c r="BB35" s="458"/>
      <c r="BC35" s="458"/>
      <c r="BD35" s="458"/>
      <c r="BE35" s="458"/>
      <c r="BF35" s="458"/>
      <c r="BG35" s="458"/>
      <c r="BH35" s="458"/>
      <c r="BI35" s="458"/>
      <c r="BJ35" s="154">
        <f t="shared" si="1"/>
        <v>309159</v>
      </c>
      <c r="BK35" s="461">
        <f t="shared" si="2"/>
        <v>110313</v>
      </c>
    </row>
    <row r="36" spans="2:63" s="148" customFormat="1" ht="22.5" x14ac:dyDescent="0.25">
      <c r="B36" s="221">
        <v>21</v>
      </c>
      <c r="C36" s="221" t="s">
        <v>38</v>
      </c>
      <c r="D36" s="484">
        <v>30274926</v>
      </c>
      <c r="E36" s="485" t="s">
        <v>934</v>
      </c>
      <c r="F36" s="486" t="s">
        <v>897</v>
      </c>
      <c r="G36" s="460" t="s">
        <v>898</v>
      </c>
      <c r="H36" s="452" t="s">
        <v>935</v>
      </c>
      <c r="I36" s="453" t="s">
        <v>42</v>
      </c>
      <c r="J36" s="454">
        <v>1879209</v>
      </c>
      <c r="K36" s="454">
        <v>413256</v>
      </c>
      <c r="L36" s="454">
        <v>1340353</v>
      </c>
      <c r="M36" s="454"/>
      <c r="N36" s="487"/>
      <c r="O36" s="487"/>
      <c r="P36" s="454"/>
      <c r="Q36" s="454"/>
      <c r="R36" s="454"/>
      <c r="S36" s="454"/>
      <c r="T36" s="454"/>
      <c r="U36" s="454"/>
      <c r="V36" s="454"/>
      <c r="W36" s="454"/>
      <c r="X36" s="454"/>
      <c r="Y36" s="455">
        <f t="shared" si="3"/>
        <v>0</v>
      </c>
      <c r="Z36" s="455">
        <v>125600</v>
      </c>
      <c r="AA36" s="456">
        <v>1</v>
      </c>
      <c r="AB36" s="457">
        <v>44209</v>
      </c>
      <c r="AC36" s="457">
        <v>44225</v>
      </c>
      <c r="AD36" s="455"/>
      <c r="AE36" s="459"/>
      <c r="AF36" s="457"/>
      <c r="AG36" s="457"/>
      <c r="AH36" s="455"/>
      <c r="AI36" s="459"/>
      <c r="AJ36" s="457"/>
      <c r="AK36" s="457"/>
      <c r="AL36" s="455"/>
      <c r="AM36" s="456"/>
      <c r="AN36" s="460"/>
      <c r="AO36" s="458"/>
      <c r="AP36" s="455"/>
      <c r="AQ36" s="456"/>
      <c r="AR36" s="460"/>
      <c r="AS36" s="458"/>
      <c r="AT36" s="458"/>
      <c r="AU36" s="458"/>
      <c r="AV36" s="458"/>
      <c r="AW36" s="458"/>
      <c r="AX36" s="458"/>
      <c r="AY36" s="458"/>
      <c r="AZ36" s="458"/>
      <c r="BA36" s="458"/>
      <c r="BB36" s="458"/>
      <c r="BC36" s="458"/>
      <c r="BD36" s="458"/>
      <c r="BE36" s="458"/>
      <c r="BF36" s="458"/>
      <c r="BG36" s="458"/>
      <c r="BH36" s="458"/>
      <c r="BI36" s="458"/>
      <c r="BJ36" s="154">
        <f t="shared" si="1"/>
        <v>125600</v>
      </c>
      <c r="BK36" s="461">
        <f t="shared" si="2"/>
        <v>125600</v>
      </c>
    </row>
    <row r="37" spans="2:63" s="148" customFormat="1" ht="22.5" x14ac:dyDescent="0.25">
      <c r="B37" s="221">
        <v>22</v>
      </c>
      <c r="C37" s="221" t="s">
        <v>38</v>
      </c>
      <c r="D37" s="484">
        <v>30282922</v>
      </c>
      <c r="E37" s="485" t="s">
        <v>936</v>
      </c>
      <c r="F37" s="486" t="s">
        <v>204</v>
      </c>
      <c r="G37" s="460" t="s">
        <v>898</v>
      </c>
      <c r="H37" s="452" t="s">
        <v>903</v>
      </c>
      <c r="I37" s="453" t="s">
        <v>42</v>
      </c>
      <c r="J37" s="454">
        <v>103107</v>
      </c>
      <c r="K37" s="454">
        <v>81839</v>
      </c>
      <c r="L37" s="454">
        <v>468</v>
      </c>
      <c r="M37" s="454"/>
      <c r="N37" s="454"/>
      <c r="O37" s="487">
        <v>20800</v>
      </c>
      <c r="P37" s="454"/>
      <c r="Q37" s="454"/>
      <c r="R37" s="454"/>
      <c r="S37" s="454"/>
      <c r="T37" s="454"/>
      <c r="U37" s="454"/>
      <c r="V37" s="454"/>
      <c r="W37" s="454"/>
      <c r="X37" s="454"/>
      <c r="Y37" s="455">
        <f t="shared" si="3"/>
        <v>20800</v>
      </c>
      <c r="Z37" s="455">
        <v>20800</v>
      </c>
      <c r="AA37" s="456">
        <v>1</v>
      </c>
      <c r="AB37" s="457">
        <v>44209</v>
      </c>
      <c r="AC37" s="457">
        <v>44225</v>
      </c>
      <c r="AD37" s="455"/>
      <c r="AE37" s="456"/>
      <c r="AF37" s="457"/>
      <c r="AG37" s="457"/>
      <c r="AH37" s="455"/>
      <c r="AI37" s="456"/>
      <c r="AJ37" s="460"/>
      <c r="AK37" s="458"/>
      <c r="AL37" s="455"/>
      <c r="AM37" s="456"/>
      <c r="AN37" s="460"/>
      <c r="AO37" s="458"/>
      <c r="AP37" s="455"/>
      <c r="AQ37" s="456"/>
      <c r="AR37" s="460"/>
      <c r="AS37" s="458"/>
      <c r="AT37" s="458"/>
      <c r="AU37" s="458"/>
      <c r="AV37" s="458"/>
      <c r="AW37" s="458"/>
      <c r="AX37" s="458"/>
      <c r="AY37" s="458"/>
      <c r="AZ37" s="458"/>
      <c r="BA37" s="458"/>
      <c r="BB37" s="458"/>
      <c r="BC37" s="458"/>
      <c r="BD37" s="458"/>
      <c r="BE37" s="458"/>
      <c r="BF37" s="458"/>
      <c r="BG37" s="458"/>
      <c r="BH37" s="458"/>
      <c r="BI37" s="458"/>
      <c r="BJ37" s="154">
        <f t="shared" si="1"/>
        <v>20800</v>
      </c>
      <c r="BK37" s="461">
        <f t="shared" si="2"/>
        <v>0</v>
      </c>
    </row>
    <row r="38" spans="2:63" s="148" customFormat="1" ht="22.5" x14ac:dyDescent="0.25">
      <c r="B38" s="221">
        <v>23</v>
      </c>
      <c r="C38" s="221" t="s">
        <v>38</v>
      </c>
      <c r="D38" s="484">
        <v>30284322</v>
      </c>
      <c r="E38" s="485" t="s">
        <v>937</v>
      </c>
      <c r="F38" s="486" t="s">
        <v>204</v>
      </c>
      <c r="G38" s="460" t="s">
        <v>898</v>
      </c>
      <c r="H38" s="452" t="s">
        <v>938</v>
      </c>
      <c r="I38" s="453" t="s">
        <v>42</v>
      </c>
      <c r="J38" s="454">
        <v>86414</v>
      </c>
      <c r="K38" s="454">
        <v>73509</v>
      </c>
      <c r="L38" s="454">
        <v>905</v>
      </c>
      <c r="M38" s="454"/>
      <c r="N38" s="454"/>
      <c r="O38" s="454"/>
      <c r="P38" s="454"/>
      <c r="Q38" s="454"/>
      <c r="R38" s="454"/>
      <c r="S38" s="454"/>
      <c r="T38" s="454"/>
      <c r="U38" s="454"/>
      <c r="V38" s="454"/>
      <c r="W38" s="454"/>
      <c r="X38" s="454"/>
      <c r="Y38" s="455">
        <f t="shared" si="3"/>
        <v>0</v>
      </c>
      <c r="Z38" s="455">
        <v>12000</v>
      </c>
      <c r="AA38" s="456">
        <v>1</v>
      </c>
      <c r="AB38" s="457">
        <v>44209</v>
      </c>
      <c r="AC38" s="457">
        <v>44225</v>
      </c>
      <c r="AD38" s="455"/>
      <c r="AE38" s="459"/>
      <c r="AF38" s="457"/>
      <c r="AG38" s="457"/>
      <c r="AH38" s="455"/>
      <c r="AI38" s="459"/>
      <c r="AJ38" s="457"/>
      <c r="AK38" s="457"/>
      <c r="AL38" s="455"/>
      <c r="AM38" s="456"/>
      <c r="AN38" s="460"/>
      <c r="AO38" s="458"/>
      <c r="AP38" s="455"/>
      <c r="AQ38" s="456"/>
      <c r="AR38" s="460"/>
      <c r="AS38" s="458"/>
      <c r="AT38" s="458"/>
      <c r="AU38" s="458"/>
      <c r="AV38" s="458"/>
      <c r="AW38" s="458"/>
      <c r="AX38" s="458"/>
      <c r="AY38" s="458"/>
      <c r="AZ38" s="458"/>
      <c r="BA38" s="458"/>
      <c r="BB38" s="458"/>
      <c r="BC38" s="458"/>
      <c r="BD38" s="458"/>
      <c r="BE38" s="458"/>
      <c r="BF38" s="458"/>
      <c r="BG38" s="458"/>
      <c r="BH38" s="458"/>
      <c r="BI38" s="458"/>
      <c r="BJ38" s="154">
        <f t="shared" si="1"/>
        <v>12000</v>
      </c>
      <c r="BK38" s="461">
        <f t="shared" si="2"/>
        <v>12000</v>
      </c>
    </row>
    <row r="39" spans="2:63" s="148" customFormat="1" ht="24" customHeight="1" x14ac:dyDescent="0.25">
      <c r="B39" s="221">
        <v>24</v>
      </c>
      <c r="C39" s="221" t="s">
        <v>40</v>
      </c>
      <c r="D39" s="484">
        <v>30364424</v>
      </c>
      <c r="E39" s="485" t="s">
        <v>939</v>
      </c>
      <c r="F39" s="486" t="s">
        <v>897</v>
      </c>
      <c r="G39" s="460" t="s">
        <v>898</v>
      </c>
      <c r="H39" s="452" t="s">
        <v>903</v>
      </c>
      <c r="I39" s="453" t="s">
        <v>42</v>
      </c>
      <c r="J39" s="454">
        <v>674869</v>
      </c>
      <c r="K39" s="454">
        <v>443745</v>
      </c>
      <c r="L39" s="454">
        <v>5800</v>
      </c>
      <c r="M39" s="454"/>
      <c r="N39" s="454"/>
      <c r="O39" s="454">
        <v>81849</v>
      </c>
      <c r="P39" s="454">
        <v>77000</v>
      </c>
      <c r="Q39" s="454"/>
      <c r="R39" s="454"/>
      <c r="S39" s="454"/>
      <c r="T39" s="454"/>
      <c r="U39" s="454"/>
      <c r="V39" s="454"/>
      <c r="W39" s="454"/>
      <c r="X39" s="454"/>
      <c r="Y39" s="455">
        <f t="shared" si="3"/>
        <v>158849</v>
      </c>
      <c r="Z39" s="455">
        <v>225324</v>
      </c>
      <c r="AA39" s="456">
        <v>1</v>
      </c>
      <c r="AB39" s="457">
        <v>44209</v>
      </c>
      <c r="AC39" s="457">
        <v>44225</v>
      </c>
      <c r="AD39" s="455"/>
      <c r="AE39" s="459"/>
      <c r="AF39" s="457"/>
      <c r="AG39" s="457"/>
      <c r="AH39" s="455"/>
      <c r="AI39" s="459"/>
      <c r="AJ39" s="457"/>
      <c r="AK39" s="457"/>
      <c r="AL39" s="455"/>
      <c r="AM39" s="459"/>
      <c r="AN39" s="457"/>
      <c r="AO39" s="457"/>
      <c r="AP39" s="455"/>
      <c r="AQ39" s="456"/>
      <c r="AR39" s="460"/>
      <c r="AS39" s="458"/>
      <c r="AT39" s="458"/>
      <c r="AU39" s="458"/>
      <c r="AV39" s="458"/>
      <c r="AW39" s="458"/>
      <c r="AX39" s="458"/>
      <c r="AY39" s="458"/>
      <c r="AZ39" s="458"/>
      <c r="BA39" s="458"/>
      <c r="BB39" s="458"/>
      <c r="BC39" s="458"/>
      <c r="BD39" s="458"/>
      <c r="BE39" s="458"/>
      <c r="BF39" s="458"/>
      <c r="BG39" s="458"/>
      <c r="BH39" s="458"/>
      <c r="BI39" s="458"/>
      <c r="BJ39" s="154">
        <f t="shared" si="1"/>
        <v>225324</v>
      </c>
      <c r="BK39" s="461">
        <f t="shared" si="2"/>
        <v>66475</v>
      </c>
    </row>
    <row r="40" spans="2:63" s="148" customFormat="1" ht="23.25" customHeight="1" x14ac:dyDescent="0.25">
      <c r="B40" s="221">
        <v>25</v>
      </c>
      <c r="C40" s="221" t="s">
        <v>38</v>
      </c>
      <c r="D40" s="484">
        <v>30370832</v>
      </c>
      <c r="E40" s="485" t="s">
        <v>940</v>
      </c>
      <c r="F40" s="486" t="s">
        <v>897</v>
      </c>
      <c r="G40" s="460" t="s">
        <v>898</v>
      </c>
      <c r="H40" s="452" t="s">
        <v>903</v>
      </c>
      <c r="I40" s="453" t="s">
        <v>42</v>
      </c>
      <c r="J40" s="454">
        <v>2366419</v>
      </c>
      <c r="K40" s="454">
        <v>2039968</v>
      </c>
      <c r="L40" s="454">
        <v>107745</v>
      </c>
      <c r="M40" s="454"/>
      <c r="N40" s="454"/>
      <c r="O40" s="454"/>
      <c r="P40" s="454"/>
      <c r="Q40" s="454"/>
      <c r="R40" s="454">
        <v>196484</v>
      </c>
      <c r="S40" s="454"/>
      <c r="T40" s="454"/>
      <c r="U40" s="454"/>
      <c r="V40" s="454"/>
      <c r="W40" s="454"/>
      <c r="X40" s="454"/>
      <c r="Y40" s="455">
        <f t="shared" si="3"/>
        <v>196484</v>
      </c>
      <c r="Z40" s="455">
        <v>218706</v>
      </c>
      <c r="AA40" s="456">
        <v>1</v>
      </c>
      <c r="AB40" s="457">
        <v>44209</v>
      </c>
      <c r="AC40" s="457">
        <v>44225</v>
      </c>
      <c r="AD40" s="455"/>
      <c r="AE40" s="459"/>
      <c r="AF40" s="457"/>
      <c r="AG40" s="457"/>
      <c r="AH40" s="455"/>
      <c r="AI40" s="456"/>
      <c r="AJ40" s="460"/>
      <c r="AK40" s="458"/>
      <c r="AL40" s="455"/>
      <c r="AM40" s="456"/>
      <c r="AN40" s="460"/>
      <c r="AO40" s="458"/>
      <c r="AP40" s="455"/>
      <c r="AQ40" s="456"/>
      <c r="AR40" s="460"/>
      <c r="AS40" s="458"/>
      <c r="AT40" s="458"/>
      <c r="AU40" s="458"/>
      <c r="AV40" s="458"/>
      <c r="AW40" s="458"/>
      <c r="AX40" s="458"/>
      <c r="AY40" s="458"/>
      <c r="AZ40" s="458"/>
      <c r="BA40" s="458"/>
      <c r="BB40" s="458"/>
      <c r="BC40" s="458"/>
      <c r="BD40" s="458"/>
      <c r="BE40" s="458"/>
      <c r="BF40" s="458"/>
      <c r="BG40" s="458"/>
      <c r="BH40" s="458"/>
      <c r="BI40" s="458"/>
      <c r="BJ40" s="154">
        <f t="shared" si="1"/>
        <v>218706</v>
      </c>
      <c r="BK40" s="461">
        <f t="shared" si="2"/>
        <v>22222</v>
      </c>
    </row>
    <row r="41" spans="2:63" s="148" customFormat="1" x14ac:dyDescent="0.25">
      <c r="B41" s="221">
        <v>26</v>
      </c>
      <c r="C41" s="221" t="s">
        <v>38</v>
      </c>
      <c r="D41" s="484">
        <v>30395580</v>
      </c>
      <c r="E41" s="485" t="s">
        <v>941</v>
      </c>
      <c r="F41" s="486" t="s">
        <v>204</v>
      </c>
      <c r="G41" s="460" t="s">
        <v>898</v>
      </c>
      <c r="H41" s="452" t="s">
        <v>903</v>
      </c>
      <c r="I41" s="453" t="s">
        <v>43</v>
      </c>
      <c r="J41" s="454">
        <v>311316</v>
      </c>
      <c r="K41" s="454">
        <v>2907</v>
      </c>
      <c r="L41" s="454">
        <v>280469</v>
      </c>
      <c r="M41" s="454"/>
      <c r="N41" s="487">
        <v>4656</v>
      </c>
      <c r="O41" s="487">
        <v>2796</v>
      </c>
      <c r="P41" s="454">
        <v>2795</v>
      </c>
      <c r="Q41" s="454">
        <v>2794</v>
      </c>
      <c r="R41" s="454">
        <v>2794</v>
      </c>
      <c r="S41" s="454"/>
      <c r="T41" s="454"/>
      <c r="U41" s="454"/>
      <c r="V41" s="454"/>
      <c r="W41" s="454"/>
      <c r="X41" s="454"/>
      <c r="Y41" s="455">
        <f t="shared" si="3"/>
        <v>15835</v>
      </c>
      <c r="Z41" s="455">
        <v>27940</v>
      </c>
      <c r="AA41" s="456">
        <v>1</v>
      </c>
      <c r="AB41" s="457">
        <v>44209</v>
      </c>
      <c r="AC41" s="457">
        <v>44225</v>
      </c>
      <c r="AD41" s="455"/>
      <c r="AE41" s="459"/>
      <c r="AF41" s="460"/>
      <c r="AG41" s="457"/>
      <c r="AH41" s="455"/>
      <c r="AI41" s="456"/>
      <c r="AJ41" s="460"/>
      <c r="AK41" s="458"/>
      <c r="AL41" s="455"/>
      <c r="AM41" s="456"/>
      <c r="AN41" s="460"/>
      <c r="AO41" s="458"/>
      <c r="AP41" s="455"/>
      <c r="AQ41" s="456"/>
      <c r="AR41" s="460"/>
      <c r="AS41" s="458"/>
      <c r="AT41" s="458"/>
      <c r="AU41" s="458"/>
      <c r="AV41" s="458"/>
      <c r="AW41" s="458"/>
      <c r="AX41" s="458"/>
      <c r="AY41" s="458"/>
      <c r="AZ41" s="458"/>
      <c r="BA41" s="458"/>
      <c r="BB41" s="458"/>
      <c r="BC41" s="458"/>
      <c r="BD41" s="458"/>
      <c r="BE41" s="458"/>
      <c r="BF41" s="458"/>
      <c r="BG41" s="458"/>
      <c r="BH41" s="458"/>
      <c r="BI41" s="458"/>
      <c r="BJ41" s="154">
        <f t="shared" si="1"/>
        <v>27940</v>
      </c>
      <c r="BK41" s="461">
        <f t="shared" si="2"/>
        <v>12105</v>
      </c>
    </row>
    <row r="42" spans="2:63" s="148" customFormat="1" ht="23.25" customHeight="1" x14ac:dyDescent="0.25">
      <c r="B42" s="221">
        <v>27</v>
      </c>
      <c r="C42" s="221" t="s">
        <v>38</v>
      </c>
      <c r="D42" s="484">
        <v>30397978</v>
      </c>
      <c r="E42" s="485" t="s">
        <v>942</v>
      </c>
      <c r="F42" s="486" t="s">
        <v>897</v>
      </c>
      <c r="G42" s="460" t="s">
        <v>898</v>
      </c>
      <c r="H42" s="452" t="s">
        <v>943</v>
      </c>
      <c r="I42" s="453" t="s">
        <v>42</v>
      </c>
      <c r="J42" s="454">
        <v>1150968</v>
      </c>
      <c r="K42" s="454">
        <v>873854</v>
      </c>
      <c r="L42" s="454">
        <v>56098</v>
      </c>
      <c r="M42" s="454"/>
      <c r="N42" s="487">
        <v>85841</v>
      </c>
      <c r="O42" s="454"/>
      <c r="P42" s="454"/>
      <c r="Q42" s="454">
        <v>100013</v>
      </c>
      <c r="R42" s="454"/>
      <c r="S42" s="454"/>
      <c r="T42" s="454"/>
      <c r="U42" s="454"/>
      <c r="V42" s="454"/>
      <c r="W42" s="454"/>
      <c r="X42" s="454"/>
      <c r="Y42" s="455">
        <f t="shared" si="3"/>
        <v>185854</v>
      </c>
      <c r="Z42" s="455">
        <v>221016</v>
      </c>
      <c r="AA42" s="456">
        <v>1</v>
      </c>
      <c r="AB42" s="457">
        <v>44209</v>
      </c>
      <c r="AC42" s="457">
        <v>44225</v>
      </c>
      <c r="AD42" s="455">
        <v>30448</v>
      </c>
      <c r="AE42" s="459">
        <v>10</v>
      </c>
      <c r="AF42" s="457">
        <v>44284</v>
      </c>
      <c r="AG42" s="457">
        <v>44286</v>
      </c>
      <c r="AH42" s="455"/>
      <c r="AI42" s="459"/>
      <c r="AJ42" s="457"/>
      <c r="AK42" s="457"/>
      <c r="AL42" s="455"/>
      <c r="AM42" s="456"/>
      <c r="AN42" s="460"/>
      <c r="AO42" s="458"/>
      <c r="AP42" s="455"/>
      <c r="AQ42" s="456"/>
      <c r="AR42" s="460"/>
      <c r="AS42" s="458"/>
      <c r="AT42" s="458"/>
      <c r="AU42" s="458"/>
      <c r="AV42" s="458"/>
      <c r="AW42" s="458"/>
      <c r="AX42" s="458"/>
      <c r="AY42" s="458"/>
      <c r="AZ42" s="458"/>
      <c r="BA42" s="458"/>
      <c r="BB42" s="458"/>
      <c r="BC42" s="458"/>
      <c r="BD42" s="458"/>
      <c r="BE42" s="458"/>
      <c r="BF42" s="458"/>
      <c r="BG42" s="458"/>
      <c r="BH42" s="458"/>
      <c r="BI42" s="458"/>
      <c r="BJ42" s="154">
        <f t="shared" si="1"/>
        <v>251464</v>
      </c>
      <c r="BK42" s="461">
        <f t="shared" si="2"/>
        <v>65610</v>
      </c>
    </row>
    <row r="43" spans="2:63" s="148" customFormat="1" x14ac:dyDescent="0.25">
      <c r="B43" s="221">
        <v>28</v>
      </c>
      <c r="C43" s="221" t="s">
        <v>38</v>
      </c>
      <c r="D43" s="489">
        <v>30429674</v>
      </c>
      <c r="E43" s="485" t="s">
        <v>944</v>
      </c>
      <c r="F43" s="486" t="s">
        <v>897</v>
      </c>
      <c r="G43" s="460" t="s">
        <v>898</v>
      </c>
      <c r="H43" s="452" t="s">
        <v>943</v>
      </c>
      <c r="I43" s="453" t="s">
        <v>42</v>
      </c>
      <c r="J43" s="454">
        <v>864136</v>
      </c>
      <c r="K43" s="454">
        <v>818496</v>
      </c>
      <c r="L43" s="454">
        <v>3508</v>
      </c>
      <c r="M43" s="454"/>
      <c r="N43" s="454"/>
      <c r="O43" s="454"/>
      <c r="P43" s="454">
        <v>42130</v>
      </c>
      <c r="Q43" s="454"/>
      <c r="R43" s="454"/>
      <c r="S43" s="454"/>
      <c r="T43" s="454"/>
      <c r="U43" s="454"/>
      <c r="V43" s="454"/>
      <c r="W43" s="454"/>
      <c r="X43" s="454"/>
      <c r="Y43" s="455">
        <f t="shared" si="3"/>
        <v>42130</v>
      </c>
      <c r="Z43" s="455">
        <v>42132</v>
      </c>
      <c r="AA43" s="456">
        <v>1</v>
      </c>
      <c r="AB43" s="457">
        <v>44209</v>
      </c>
      <c r="AC43" s="457">
        <v>44225</v>
      </c>
      <c r="AD43" s="455"/>
      <c r="AE43" s="456"/>
      <c r="AF43" s="457"/>
      <c r="AG43" s="457"/>
      <c r="AH43" s="455"/>
      <c r="AI43" s="456"/>
      <c r="AJ43" s="457"/>
      <c r="AK43" s="457"/>
      <c r="AL43" s="455"/>
      <c r="AM43" s="456"/>
      <c r="AN43" s="457"/>
      <c r="AO43" s="457"/>
      <c r="AP43" s="455"/>
      <c r="AQ43" s="456"/>
      <c r="AR43" s="460"/>
      <c r="AS43" s="458"/>
      <c r="AT43" s="458"/>
      <c r="AU43" s="458"/>
      <c r="AV43" s="458"/>
      <c r="AW43" s="458"/>
      <c r="AX43" s="458"/>
      <c r="AY43" s="458"/>
      <c r="AZ43" s="458"/>
      <c r="BA43" s="458"/>
      <c r="BB43" s="458"/>
      <c r="BC43" s="458"/>
      <c r="BD43" s="458"/>
      <c r="BE43" s="458"/>
      <c r="BF43" s="458"/>
      <c r="BG43" s="458"/>
      <c r="BH43" s="458"/>
      <c r="BI43" s="458"/>
      <c r="BJ43" s="154">
        <f t="shared" si="1"/>
        <v>42132</v>
      </c>
      <c r="BK43" s="461">
        <f t="shared" si="2"/>
        <v>2</v>
      </c>
    </row>
    <row r="44" spans="2:63" s="148" customFormat="1" ht="23.25" customHeight="1" x14ac:dyDescent="0.25">
      <c r="B44" s="221">
        <v>29</v>
      </c>
      <c r="C44" s="221" t="s">
        <v>38</v>
      </c>
      <c r="D44" s="484">
        <v>30437123</v>
      </c>
      <c r="E44" s="485" t="s">
        <v>945</v>
      </c>
      <c r="F44" s="486" t="s">
        <v>897</v>
      </c>
      <c r="G44" s="460" t="s">
        <v>898</v>
      </c>
      <c r="H44" s="452" t="s">
        <v>946</v>
      </c>
      <c r="I44" s="453" t="s">
        <v>42</v>
      </c>
      <c r="J44" s="454">
        <v>732937</v>
      </c>
      <c r="K44" s="454">
        <v>694134</v>
      </c>
      <c r="L44" s="454">
        <v>4854</v>
      </c>
      <c r="M44" s="454"/>
      <c r="N44" s="454"/>
      <c r="O44" s="454"/>
      <c r="P44" s="454"/>
      <c r="Q44" s="454"/>
      <c r="R44" s="454"/>
      <c r="S44" s="454"/>
      <c r="T44" s="454"/>
      <c r="U44" s="454"/>
      <c r="V44" s="454"/>
      <c r="W44" s="454"/>
      <c r="X44" s="454"/>
      <c r="Y44" s="455">
        <f t="shared" si="3"/>
        <v>0</v>
      </c>
      <c r="Z44" s="455">
        <v>33949</v>
      </c>
      <c r="AA44" s="456">
        <v>1</v>
      </c>
      <c r="AB44" s="457">
        <v>44209</v>
      </c>
      <c r="AC44" s="457">
        <v>44225</v>
      </c>
      <c r="AD44" s="455"/>
      <c r="AE44" s="456"/>
      <c r="AF44" s="457"/>
      <c r="AG44" s="457"/>
      <c r="AH44" s="455"/>
      <c r="AI44" s="456"/>
      <c r="AJ44" s="457"/>
      <c r="AK44" s="457"/>
      <c r="AL44" s="455"/>
      <c r="AM44" s="456"/>
      <c r="AN44" s="457"/>
      <c r="AO44" s="457"/>
      <c r="AP44" s="455"/>
      <c r="AQ44" s="456"/>
      <c r="AR44" s="460"/>
      <c r="AS44" s="458"/>
      <c r="AT44" s="458"/>
      <c r="AU44" s="458"/>
      <c r="AV44" s="458"/>
      <c r="AW44" s="458"/>
      <c r="AX44" s="458"/>
      <c r="AY44" s="458"/>
      <c r="AZ44" s="458"/>
      <c r="BA44" s="458"/>
      <c r="BB44" s="458"/>
      <c r="BC44" s="458"/>
      <c r="BD44" s="458"/>
      <c r="BE44" s="458"/>
      <c r="BF44" s="458"/>
      <c r="BG44" s="458"/>
      <c r="BH44" s="458"/>
      <c r="BI44" s="458"/>
      <c r="BJ44" s="154">
        <f t="shared" si="1"/>
        <v>33949</v>
      </c>
      <c r="BK44" s="461">
        <f t="shared" si="2"/>
        <v>33949</v>
      </c>
    </row>
    <row r="45" spans="2:63" s="148" customFormat="1" ht="24" customHeight="1" x14ac:dyDescent="0.25">
      <c r="B45" s="221">
        <v>30</v>
      </c>
      <c r="C45" s="221" t="s">
        <v>38</v>
      </c>
      <c r="D45" s="484">
        <v>30438673</v>
      </c>
      <c r="E45" s="485" t="s">
        <v>947</v>
      </c>
      <c r="F45" s="486" t="s">
        <v>897</v>
      </c>
      <c r="G45" s="460" t="s">
        <v>898</v>
      </c>
      <c r="H45" s="452" t="s">
        <v>903</v>
      </c>
      <c r="I45" s="453" t="s">
        <v>42</v>
      </c>
      <c r="J45" s="454">
        <v>2121953</v>
      </c>
      <c r="K45" s="454">
        <v>2047945</v>
      </c>
      <c r="L45" s="454">
        <v>10000</v>
      </c>
      <c r="M45" s="454"/>
      <c r="N45" s="454"/>
      <c r="O45" s="454"/>
      <c r="P45" s="454"/>
      <c r="Q45" s="454"/>
      <c r="R45" s="454"/>
      <c r="S45" s="454"/>
      <c r="T45" s="454"/>
      <c r="U45" s="454"/>
      <c r="V45" s="454"/>
      <c r="W45" s="454"/>
      <c r="X45" s="454"/>
      <c r="Y45" s="455">
        <f t="shared" si="3"/>
        <v>0</v>
      </c>
      <c r="Z45" s="455">
        <v>64008</v>
      </c>
      <c r="AA45" s="456">
        <v>1</v>
      </c>
      <c r="AB45" s="457">
        <v>44209</v>
      </c>
      <c r="AC45" s="457">
        <v>44225</v>
      </c>
      <c r="AD45" s="455"/>
      <c r="AE45" s="459"/>
      <c r="AF45" s="460"/>
      <c r="AG45" s="457"/>
      <c r="AH45" s="455"/>
      <c r="AI45" s="456"/>
      <c r="AJ45" s="460"/>
      <c r="AK45" s="458"/>
      <c r="AL45" s="455"/>
      <c r="AM45" s="456"/>
      <c r="AN45" s="460"/>
      <c r="AO45" s="458"/>
      <c r="AP45" s="455"/>
      <c r="AQ45" s="456"/>
      <c r="AR45" s="460"/>
      <c r="AS45" s="458"/>
      <c r="AT45" s="458"/>
      <c r="AU45" s="458"/>
      <c r="AV45" s="458"/>
      <c r="AW45" s="458"/>
      <c r="AX45" s="458"/>
      <c r="AY45" s="458"/>
      <c r="AZ45" s="458"/>
      <c r="BA45" s="458"/>
      <c r="BB45" s="458"/>
      <c r="BC45" s="458"/>
      <c r="BD45" s="458"/>
      <c r="BE45" s="458"/>
      <c r="BF45" s="458"/>
      <c r="BG45" s="458"/>
      <c r="BH45" s="458"/>
      <c r="BI45" s="458"/>
      <c r="BJ45" s="154">
        <f t="shared" si="1"/>
        <v>64008</v>
      </c>
      <c r="BK45" s="461">
        <f t="shared" si="2"/>
        <v>64008</v>
      </c>
    </row>
    <row r="46" spans="2:63" s="148" customFormat="1" ht="22.5" x14ac:dyDescent="0.25">
      <c r="B46" s="221">
        <v>31</v>
      </c>
      <c r="C46" s="221" t="s">
        <v>38</v>
      </c>
      <c r="D46" s="489">
        <v>30441375</v>
      </c>
      <c r="E46" s="485" t="s">
        <v>948</v>
      </c>
      <c r="F46" s="486" t="s">
        <v>897</v>
      </c>
      <c r="G46" s="460" t="s">
        <v>898</v>
      </c>
      <c r="H46" s="452" t="s">
        <v>903</v>
      </c>
      <c r="I46" s="453" t="s">
        <v>42</v>
      </c>
      <c r="J46" s="454">
        <v>1050357</v>
      </c>
      <c r="K46" s="454">
        <v>286117</v>
      </c>
      <c r="L46" s="454">
        <v>270</v>
      </c>
      <c r="M46" s="454"/>
      <c r="N46" s="454"/>
      <c r="O46" s="454">
        <v>408774</v>
      </c>
      <c r="P46" s="454">
        <v>177413</v>
      </c>
      <c r="Q46" s="454"/>
      <c r="R46" s="454">
        <v>111810</v>
      </c>
      <c r="S46" s="454"/>
      <c r="T46" s="454"/>
      <c r="U46" s="454"/>
      <c r="V46" s="454"/>
      <c r="W46" s="454"/>
      <c r="X46" s="454"/>
      <c r="Y46" s="455">
        <f t="shared" si="3"/>
        <v>697997</v>
      </c>
      <c r="Z46" s="455">
        <v>763970</v>
      </c>
      <c r="AA46" s="456">
        <v>1</v>
      </c>
      <c r="AB46" s="457">
        <v>44209</v>
      </c>
      <c r="AC46" s="457">
        <v>44225</v>
      </c>
      <c r="AD46" s="455"/>
      <c r="AE46" s="459"/>
      <c r="AF46" s="457"/>
      <c r="AG46" s="457"/>
      <c r="AH46" s="455"/>
      <c r="AI46" s="459"/>
      <c r="AJ46" s="457"/>
      <c r="AK46" s="457"/>
      <c r="AL46" s="455"/>
      <c r="AM46" s="459"/>
      <c r="AN46" s="457"/>
      <c r="AO46" s="457"/>
      <c r="AP46" s="455"/>
      <c r="AQ46" s="459"/>
      <c r="AR46" s="457"/>
      <c r="AS46" s="457"/>
      <c r="AT46" s="458"/>
      <c r="AU46" s="458"/>
      <c r="AV46" s="458"/>
      <c r="AW46" s="458"/>
      <c r="AX46" s="458"/>
      <c r="AY46" s="458"/>
      <c r="AZ46" s="458"/>
      <c r="BA46" s="458"/>
      <c r="BB46" s="458"/>
      <c r="BC46" s="458"/>
      <c r="BD46" s="458"/>
      <c r="BE46" s="458"/>
      <c r="BF46" s="458"/>
      <c r="BG46" s="458"/>
      <c r="BH46" s="458"/>
      <c r="BI46" s="458"/>
      <c r="BJ46" s="154">
        <f t="shared" si="1"/>
        <v>763970</v>
      </c>
      <c r="BK46" s="461">
        <f t="shared" si="2"/>
        <v>65973</v>
      </c>
    </row>
    <row r="47" spans="2:63" s="148" customFormat="1" ht="22.5" x14ac:dyDescent="0.25">
      <c r="B47" s="221">
        <v>32</v>
      </c>
      <c r="C47" s="221" t="s">
        <v>38</v>
      </c>
      <c r="D47" s="484">
        <v>30441826</v>
      </c>
      <c r="E47" s="485" t="s">
        <v>949</v>
      </c>
      <c r="F47" s="486" t="s">
        <v>897</v>
      </c>
      <c r="G47" s="460" t="s">
        <v>898</v>
      </c>
      <c r="H47" s="452" t="s">
        <v>950</v>
      </c>
      <c r="I47" s="453" t="s">
        <v>42</v>
      </c>
      <c r="J47" s="454">
        <v>906587</v>
      </c>
      <c r="K47" s="454">
        <v>811402</v>
      </c>
      <c r="L47" s="455">
        <v>89715</v>
      </c>
      <c r="M47" s="454"/>
      <c r="N47" s="454"/>
      <c r="O47" s="454">
        <v>5469</v>
      </c>
      <c r="P47" s="454"/>
      <c r="Q47" s="454"/>
      <c r="R47" s="454"/>
      <c r="S47" s="454"/>
      <c r="T47" s="454"/>
      <c r="U47" s="454"/>
      <c r="V47" s="454"/>
      <c r="W47" s="454"/>
      <c r="X47" s="454"/>
      <c r="Y47" s="455">
        <f t="shared" si="3"/>
        <v>5469</v>
      </c>
      <c r="Z47" s="455">
        <v>5470</v>
      </c>
      <c r="AA47" s="456">
        <v>1</v>
      </c>
      <c r="AB47" s="457">
        <v>44209</v>
      </c>
      <c r="AC47" s="457">
        <v>44225</v>
      </c>
      <c r="AD47" s="455"/>
      <c r="AE47" s="456"/>
      <c r="AF47" s="457"/>
      <c r="AG47" s="457"/>
      <c r="AH47" s="455"/>
      <c r="AI47" s="456"/>
      <c r="AJ47" s="460"/>
      <c r="AK47" s="458"/>
      <c r="AL47" s="455"/>
      <c r="AM47" s="456"/>
      <c r="AN47" s="460"/>
      <c r="AO47" s="458"/>
      <c r="AP47" s="455"/>
      <c r="AQ47" s="456"/>
      <c r="AR47" s="460"/>
      <c r="AS47" s="458"/>
      <c r="AT47" s="458"/>
      <c r="AU47" s="458"/>
      <c r="AV47" s="458"/>
      <c r="AW47" s="458"/>
      <c r="AX47" s="458"/>
      <c r="AY47" s="458"/>
      <c r="AZ47" s="458"/>
      <c r="BA47" s="458"/>
      <c r="BB47" s="458"/>
      <c r="BC47" s="458"/>
      <c r="BD47" s="458"/>
      <c r="BE47" s="458"/>
      <c r="BF47" s="458"/>
      <c r="BG47" s="458"/>
      <c r="BH47" s="458"/>
      <c r="BI47" s="458"/>
      <c r="BJ47" s="154">
        <f t="shared" si="1"/>
        <v>5470</v>
      </c>
      <c r="BK47" s="461">
        <f t="shared" si="2"/>
        <v>1</v>
      </c>
    </row>
    <row r="48" spans="2:63" s="148" customFormat="1" x14ac:dyDescent="0.25">
      <c r="B48" s="221">
        <v>33</v>
      </c>
      <c r="C48" s="221" t="s">
        <v>38</v>
      </c>
      <c r="D48" s="484">
        <v>30445675</v>
      </c>
      <c r="E48" s="485" t="s">
        <v>951</v>
      </c>
      <c r="F48" s="486" t="s">
        <v>204</v>
      </c>
      <c r="G48" s="460" t="s">
        <v>898</v>
      </c>
      <c r="H48" s="452" t="s">
        <v>923</v>
      </c>
      <c r="I48" s="453" t="s">
        <v>42</v>
      </c>
      <c r="J48" s="454">
        <v>177553</v>
      </c>
      <c r="K48" s="454">
        <v>61160</v>
      </c>
      <c r="L48" s="454">
        <v>40056</v>
      </c>
      <c r="M48" s="454"/>
      <c r="N48" s="454"/>
      <c r="O48" s="454"/>
      <c r="P48" s="454"/>
      <c r="Q48" s="454"/>
      <c r="R48" s="454"/>
      <c r="S48" s="454"/>
      <c r="T48" s="454"/>
      <c r="U48" s="454"/>
      <c r="V48" s="454"/>
      <c r="W48" s="454"/>
      <c r="X48" s="454"/>
      <c r="Y48" s="455">
        <f t="shared" si="3"/>
        <v>0</v>
      </c>
      <c r="Z48" s="455">
        <v>76337</v>
      </c>
      <c r="AA48" s="456">
        <v>1</v>
      </c>
      <c r="AB48" s="457">
        <v>44209</v>
      </c>
      <c r="AC48" s="457">
        <v>44225</v>
      </c>
      <c r="AD48" s="455"/>
      <c r="AE48" s="459"/>
      <c r="AF48" s="457"/>
      <c r="AG48" s="457"/>
      <c r="AH48" s="455"/>
      <c r="AI48" s="459"/>
      <c r="AJ48" s="457"/>
      <c r="AK48" s="457"/>
      <c r="AL48" s="455"/>
      <c r="AM48" s="456"/>
      <c r="AN48" s="460"/>
      <c r="AO48" s="458"/>
      <c r="AP48" s="455"/>
      <c r="AQ48" s="456"/>
      <c r="AR48" s="460"/>
      <c r="AS48" s="458"/>
      <c r="AT48" s="458"/>
      <c r="AU48" s="458"/>
      <c r="AV48" s="458"/>
      <c r="AW48" s="458"/>
      <c r="AX48" s="458"/>
      <c r="AY48" s="458"/>
      <c r="AZ48" s="458"/>
      <c r="BA48" s="458"/>
      <c r="BB48" s="458"/>
      <c r="BC48" s="458"/>
      <c r="BD48" s="458"/>
      <c r="BE48" s="458"/>
      <c r="BF48" s="458"/>
      <c r="BG48" s="458"/>
      <c r="BH48" s="458"/>
      <c r="BI48" s="458"/>
      <c r="BJ48" s="154">
        <f t="shared" si="1"/>
        <v>76337</v>
      </c>
      <c r="BK48" s="461">
        <f t="shared" si="2"/>
        <v>76337</v>
      </c>
    </row>
    <row r="49" spans="2:63" s="148" customFormat="1" ht="24" customHeight="1" x14ac:dyDescent="0.25">
      <c r="B49" s="221">
        <v>34</v>
      </c>
      <c r="C49" s="221" t="s">
        <v>38</v>
      </c>
      <c r="D49" s="490">
        <v>30459443</v>
      </c>
      <c r="E49" s="485" t="s">
        <v>952</v>
      </c>
      <c r="F49" s="486" t="s">
        <v>204</v>
      </c>
      <c r="G49" s="460" t="s">
        <v>898</v>
      </c>
      <c r="H49" s="452" t="s">
        <v>953</v>
      </c>
      <c r="I49" s="453" t="s">
        <v>42</v>
      </c>
      <c r="J49" s="454">
        <v>95514</v>
      </c>
      <c r="K49" s="454">
        <v>62536</v>
      </c>
      <c r="L49" s="454">
        <v>19156</v>
      </c>
      <c r="M49" s="454"/>
      <c r="N49" s="487"/>
      <c r="O49" s="454"/>
      <c r="P49" s="454"/>
      <c r="Q49" s="454"/>
      <c r="R49" s="454"/>
      <c r="S49" s="454"/>
      <c r="T49" s="454"/>
      <c r="U49" s="454"/>
      <c r="V49" s="454"/>
      <c r="W49" s="454"/>
      <c r="X49" s="454"/>
      <c r="Y49" s="455">
        <f t="shared" si="3"/>
        <v>0</v>
      </c>
      <c r="Z49" s="455">
        <v>13822</v>
      </c>
      <c r="AA49" s="456">
        <v>1</v>
      </c>
      <c r="AB49" s="457">
        <v>44209</v>
      </c>
      <c r="AC49" s="457">
        <v>44225</v>
      </c>
      <c r="AD49" s="455"/>
      <c r="AE49" s="456"/>
      <c r="AF49" s="457"/>
      <c r="AG49" s="457"/>
      <c r="AH49" s="455"/>
      <c r="AI49" s="456"/>
      <c r="AJ49" s="460"/>
      <c r="AK49" s="458"/>
      <c r="AL49" s="455"/>
      <c r="AM49" s="456"/>
      <c r="AN49" s="460"/>
      <c r="AO49" s="458"/>
      <c r="AP49" s="455"/>
      <c r="AQ49" s="456"/>
      <c r="AR49" s="460"/>
      <c r="AS49" s="458"/>
      <c r="AT49" s="458"/>
      <c r="AU49" s="458"/>
      <c r="AV49" s="458"/>
      <c r="AW49" s="458"/>
      <c r="AX49" s="458"/>
      <c r="AY49" s="458"/>
      <c r="AZ49" s="458"/>
      <c r="BA49" s="458"/>
      <c r="BB49" s="458"/>
      <c r="BC49" s="458"/>
      <c r="BD49" s="458"/>
      <c r="BE49" s="458"/>
      <c r="BF49" s="458"/>
      <c r="BG49" s="458"/>
      <c r="BH49" s="458"/>
      <c r="BI49" s="458"/>
      <c r="BJ49" s="154">
        <f t="shared" si="1"/>
        <v>13822</v>
      </c>
      <c r="BK49" s="461">
        <f t="shared" si="2"/>
        <v>13822</v>
      </c>
    </row>
    <row r="50" spans="2:63" s="148" customFormat="1" ht="24" customHeight="1" x14ac:dyDescent="0.25">
      <c r="B50" s="221">
        <v>35</v>
      </c>
      <c r="C50" s="221" t="s">
        <v>38</v>
      </c>
      <c r="D50" s="490">
        <v>30459950</v>
      </c>
      <c r="E50" s="485" t="s">
        <v>954</v>
      </c>
      <c r="F50" s="486" t="s">
        <v>204</v>
      </c>
      <c r="G50" s="460" t="s">
        <v>898</v>
      </c>
      <c r="H50" s="452" t="s">
        <v>955</v>
      </c>
      <c r="I50" s="453" t="s">
        <v>42</v>
      </c>
      <c r="J50" s="454">
        <v>64382</v>
      </c>
      <c r="K50" s="454">
        <v>18520</v>
      </c>
      <c r="L50" s="454">
        <v>23262</v>
      </c>
      <c r="M50" s="454"/>
      <c r="N50" s="487"/>
      <c r="O50" s="454"/>
      <c r="P50" s="454"/>
      <c r="Q50" s="454">
        <v>22600</v>
      </c>
      <c r="R50" s="454"/>
      <c r="S50" s="454"/>
      <c r="T50" s="454"/>
      <c r="U50" s="454"/>
      <c r="V50" s="454"/>
      <c r="W50" s="454"/>
      <c r="X50" s="454"/>
      <c r="Y50" s="455">
        <f t="shared" si="3"/>
        <v>22600</v>
      </c>
      <c r="Z50" s="455">
        <v>22600</v>
      </c>
      <c r="AA50" s="456">
        <v>1</v>
      </c>
      <c r="AB50" s="457">
        <v>44209</v>
      </c>
      <c r="AC50" s="457">
        <v>44225</v>
      </c>
      <c r="AD50" s="455">
        <v>16950</v>
      </c>
      <c r="AE50" s="456">
        <v>15</v>
      </c>
      <c r="AF50" s="457">
        <v>44322</v>
      </c>
      <c r="AG50" s="457">
        <v>44343</v>
      </c>
      <c r="AH50" s="455"/>
      <c r="AI50" s="456"/>
      <c r="AJ50" s="457"/>
      <c r="AK50" s="457"/>
      <c r="AL50" s="455"/>
      <c r="AM50" s="456"/>
      <c r="AN50" s="460"/>
      <c r="AO50" s="458"/>
      <c r="AP50" s="455"/>
      <c r="AQ50" s="456"/>
      <c r="AR50" s="460"/>
      <c r="AS50" s="458"/>
      <c r="AT50" s="458"/>
      <c r="AU50" s="458"/>
      <c r="AV50" s="458"/>
      <c r="AW50" s="458"/>
      <c r="AX50" s="458"/>
      <c r="AY50" s="458"/>
      <c r="AZ50" s="458"/>
      <c r="BA50" s="458"/>
      <c r="BB50" s="458"/>
      <c r="BC50" s="458"/>
      <c r="BD50" s="458"/>
      <c r="BE50" s="458"/>
      <c r="BF50" s="458"/>
      <c r="BG50" s="458"/>
      <c r="BH50" s="458"/>
      <c r="BI50" s="458"/>
      <c r="BJ50" s="154">
        <f t="shared" si="1"/>
        <v>39550</v>
      </c>
      <c r="BK50" s="461">
        <f t="shared" si="2"/>
        <v>16950</v>
      </c>
    </row>
    <row r="51" spans="2:63" s="148" customFormat="1" x14ac:dyDescent="0.25">
      <c r="B51" s="221">
        <v>36</v>
      </c>
      <c r="C51" s="221" t="s">
        <v>38</v>
      </c>
      <c r="D51" s="491">
        <v>30460859</v>
      </c>
      <c r="E51" s="485" t="s">
        <v>956</v>
      </c>
      <c r="F51" s="486" t="s">
        <v>897</v>
      </c>
      <c r="G51" s="460" t="s">
        <v>898</v>
      </c>
      <c r="H51" s="452" t="s">
        <v>917</v>
      </c>
      <c r="I51" s="453" t="s">
        <v>42</v>
      </c>
      <c r="J51" s="454">
        <v>746333</v>
      </c>
      <c r="K51" s="454">
        <v>622245</v>
      </c>
      <c r="L51" s="454">
        <v>9572</v>
      </c>
      <c r="M51" s="454"/>
      <c r="N51" s="454"/>
      <c r="O51" s="454"/>
      <c r="P51" s="454"/>
      <c r="Q51" s="454"/>
      <c r="R51" s="454"/>
      <c r="S51" s="454"/>
      <c r="T51" s="454"/>
      <c r="U51" s="454"/>
      <c r="V51" s="454"/>
      <c r="W51" s="454"/>
      <c r="X51" s="454"/>
      <c r="Y51" s="455">
        <f t="shared" si="3"/>
        <v>0</v>
      </c>
      <c r="Z51" s="455">
        <v>114516</v>
      </c>
      <c r="AA51" s="456">
        <v>1</v>
      </c>
      <c r="AB51" s="457">
        <v>44209</v>
      </c>
      <c r="AC51" s="457">
        <v>44225</v>
      </c>
      <c r="AD51" s="455"/>
      <c r="AE51" s="459"/>
      <c r="AF51" s="460"/>
      <c r="AG51" s="457"/>
      <c r="AH51" s="455"/>
      <c r="AI51" s="456"/>
      <c r="AJ51" s="460"/>
      <c r="AK51" s="458"/>
      <c r="AL51" s="455"/>
      <c r="AM51" s="456"/>
      <c r="AN51" s="460"/>
      <c r="AO51" s="458"/>
      <c r="AP51" s="455"/>
      <c r="AQ51" s="456"/>
      <c r="AR51" s="460"/>
      <c r="AS51" s="458"/>
      <c r="AT51" s="458"/>
      <c r="AU51" s="458"/>
      <c r="AV51" s="458"/>
      <c r="AW51" s="458"/>
      <c r="AX51" s="458"/>
      <c r="AY51" s="458"/>
      <c r="AZ51" s="458"/>
      <c r="BA51" s="458"/>
      <c r="BB51" s="458"/>
      <c r="BC51" s="458"/>
      <c r="BD51" s="458"/>
      <c r="BE51" s="458"/>
      <c r="BF51" s="458"/>
      <c r="BG51" s="458"/>
      <c r="BH51" s="458"/>
      <c r="BI51" s="458"/>
      <c r="BJ51" s="154">
        <f t="shared" si="1"/>
        <v>114516</v>
      </c>
      <c r="BK51" s="461">
        <f t="shared" si="2"/>
        <v>114516</v>
      </c>
    </row>
    <row r="52" spans="2:63" s="148" customFormat="1" ht="22.5" x14ac:dyDescent="0.25">
      <c r="B52" s="221">
        <v>37</v>
      </c>
      <c r="C52" s="221" t="s">
        <v>38</v>
      </c>
      <c r="D52" s="490">
        <v>30461872</v>
      </c>
      <c r="E52" s="485" t="s">
        <v>957</v>
      </c>
      <c r="F52" s="486" t="s">
        <v>897</v>
      </c>
      <c r="G52" s="460" t="s">
        <v>898</v>
      </c>
      <c r="H52" s="452" t="s">
        <v>938</v>
      </c>
      <c r="I52" s="453" t="s">
        <v>42</v>
      </c>
      <c r="J52" s="454">
        <v>1201454</v>
      </c>
      <c r="K52" s="454">
        <v>195068</v>
      </c>
      <c r="L52" s="454">
        <v>16203</v>
      </c>
      <c r="M52" s="454"/>
      <c r="N52" s="487">
        <v>20599</v>
      </c>
      <c r="O52" s="487">
        <v>14743</v>
      </c>
      <c r="P52" s="454"/>
      <c r="Q52" s="454"/>
      <c r="R52" s="454"/>
      <c r="S52" s="454"/>
      <c r="T52" s="454"/>
      <c r="U52" s="454"/>
      <c r="V52" s="454"/>
      <c r="W52" s="454"/>
      <c r="X52" s="454"/>
      <c r="Y52" s="455">
        <f t="shared" si="3"/>
        <v>35342</v>
      </c>
      <c r="Z52" s="455">
        <v>990183</v>
      </c>
      <c r="AA52" s="456">
        <v>1</v>
      </c>
      <c r="AB52" s="457">
        <v>44209</v>
      </c>
      <c r="AC52" s="457">
        <v>44225</v>
      </c>
      <c r="AD52" s="455"/>
      <c r="AE52" s="456"/>
      <c r="AF52" s="457"/>
      <c r="AG52" s="457"/>
      <c r="AH52" s="455"/>
      <c r="AI52" s="456"/>
      <c r="AJ52" s="460"/>
      <c r="AK52" s="458"/>
      <c r="AL52" s="455"/>
      <c r="AM52" s="456"/>
      <c r="AN52" s="460"/>
      <c r="AO52" s="458"/>
      <c r="AP52" s="455"/>
      <c r="AQ52" s="456"/>
      <c r="AR52" s="460"/>
      <c r="AS52" s="458"/>
      <c r="AT52" s="458"/>
      <c r="AU52" s="458"/>
      <c r="AV52" s="458"/>
      <c r="AW52" s="458"/>
      <c r="AX52" s="458"/>
      <c r="AY52" s="458"/>
      <c r="AZ52" s="458"/>
      <c r="BA52" s="458"/>
      <c r="BB52" s="458"/>
      <c r="BC52" s="458"/>
      <c r="BD52" s="458"/>
      <c r="BE52" s="458"/>
      <c r="BF52" s="458"/>
      <c r="BG52" s="458"/>
      <c r="BH52" s="458"/>
      <c r="BI52" s="458"/>
      <c r="BJ52" s="154">
        <f t="shared" si="1"/>
        <v>990183</v>
      </c>
      <c r="BK52" s="461">
        <f t="shared" si="2"/>
        <v>954841</v>
      </c>
    </row>
    <row r="53" spans="2:63" s="148" customFormat="1" ht="23.25" customHeight="1" x14ac:dyDescent="0.25">
      <c r="B53" s="221">
        <v>38</v>
      </c>
      <c r="C53" s="221" t="s">
        <v>38</v>
      </c>
      <c r="D53" s="490">
        <v>30462245</v>
      </c>
      <c r="E53" s="485" t="s">
        <v>958</v>
      </c>
      <c r="F53" s="486" t="s">
        <v>204</v>
      </c>
      <c r="G53" s="460" t="s">
        <v>898</v>
      </c>
      <c r="H53" s="452" t="s">
        <v>923</v>
      </c>
      <c r="I53" s="453" t="s">
        <v>42</v>
      </c>
      <c r="J53" s="454">
        <v>35475</v>
      </c>
      <c r="K53" s="454">
        <v>6237</v>
      </c>
      <c r="L53" s="454">
        <v>23138</v>
      </c>
      <c r="M53" s="454"/>
      <c r="N53" s="487"/>
      <c r="O53" s="487"/>
      <c r="P53" s="454"/>
      <c r="Q53" s="454"/>
      <c r="R53" s="454">
        <v>6100</v>
      </c>
      <c r="S53" s="454"/>
      <c r="T53" s="454"/>
      <c r="U53" s="454"/>
      <c r="V53" s="454"/>
      <c r="W53" s="454"/>
      <c r="X53" s="454"/>
      <c r="Y53" s="455">
        <f t="shared" si="3"/>
        <v>6100</v>
      </c>
      <c r="Z53" s="455">
        <v>6100</v>
      </c>
      <c r="AA53" s="456">
        <v>1</v>
      </c>
      <c r="AB53" s="457">
        <v>44209</v>
      </c>
      <c r="AC53" s="457">
        <v>44225</v>
      </c>
      <c r="AD53" s="455"/>
      <c r="AE53" s="459"/>
      <c r="AF53" s="457"/>
      <c r="AG53" s="457"/>
      <c r="AH53" s="455"/>
      <c r="AI53" s="456"/>
      <c r="AJ53" s="457"/>
      <c r="AK53" s="457"/>
      <c r="AL53" s="455"/>
      <c r="AM53" s="456"/>
      <c r="AN53" s="460"/>
      <c r="AO53" s="458"/>
      <c r="AP53" s="455"/>
      <c r="AQ53" s="456"/>
      <c r="AR53" s="460"/>
      <c r="AS53" s="458"/>
      <c r="AT53" s="458"/>
      <c r="AU53" s="458"/>
      <c r="AV53" s="458"/>
      <c r="AW53" s="458"/>
      <c r="AX53" s="458"/>
      <c r="AY53" s="458"/>
      <c r="AZ53" s="458"/>
      <c r="BA53" s="458"/>
      <c r="BB53" s="458"/>
      <c r="BC53" s="458"/>
      <c r="BD53" s="458"/>
      <c r="BE53" s="458"/>
      <c r="BF53" s="458"/>
      <c r="BG53" s="458"/>
      <c r="BH53" s="458"/>
      <c r="BI53" s="458"/>
      <c r="BJ53" s="154">
        <f t="shared" si="1"/>
        <v>6100</v>
      </c>
      <c r="BK53" s="461">
        <f t="shared" si="2"/>
        <v>0</v>
      </c>
    </row>
    <row r="54" spans="2:63" s="148" customFormat="1" ht="23.25" customHeight="1" x14ac:dyDescent="0.25">
      <c r="B54" s="221">
        <v>39</v>
      </c>
      <c r="C54" s="221" t="s">
        <v>38</v>
      </c>
      <c r="D54" s="490">
        <v>30480862</v>
      </c>
      <c r="E54" s="485" t="s">
        <v>959</v>
      </c>
      <c r="F54" s="486" t="s">
        <v>897</v>
      </c>
      <c r="G54" s="460" t="s">
        <v>898</v>
      </c>
      <c r="H54" s="452" t="s">
        <v>960</v>
      </c>
      <c r="I54" s="453" t="s">
        <v>42</v>
      </c>
      <c r="J54" s="454">
        <v>888748</v>
      </c>
      <c r="K54" s="454">
        <v>0</v>
      </c>
      <c r="L54" s="454">
        <v>49721</v>
      </c>
      <c r="M54" s="454"/>
      <c r="N54" s="454"/>
      <c r="O54" s="454">
        <v>2884</v>
      </c>
      <c r="P54" s="454"/>
      <c r="Q54" s="454">
        <v>59230</v>
      </c>
      <c r="R54" s="454">
        <v>57355</v>
      </c>
      <c r="S54" s="454"/>
      <c r="T54" s="454"/>
      <c r="U54" s="454"/>
      <c r="V54" s="454"/>
      <c r="W54" s="454"/>
      <c r="X54" s="454"/>
      <c r="Y54" s="455">
        <f t="shared" si="3"/>
        <v>119469</v>
      </c>
      <c r="Z54" s="455">
        <v>839027</v>
      </c>
      <c r="AA54" s="456">
        <v>1</v>
      </c>
      <c r="AB54" s="457">
        <v>44209</v>
      </c>
      <c r="AC54" s="457">
        <v>44225</v>
      </c>
      <c r="AD54" s="455">
        <v>4326</v>
      </c>
      <c r="AE54" s="459">
        <v>10</v>
      </c>
      <c r="AF54" s="457">
        <v>44284</v>
      </c>
      <c r="AG54" s="457">
        <v>44286</v>
      </c>
      <c r="AH54" s="455"/>
      <c r="AI54" s="456"/>
      <c r="AJ54" s="460"/>
      <c r="AK54" s="458"/>
      <c r="AL54" s="455"/>
      <c r="AM54" s="456"/>
      <c r="AN54" s="460"/>
      <c r="AO54" s="458"/>
      <c r="AP54" s="455"/>
      <c r="AQ54" s="456"/>
      <c r="AR54" s="460"/>
      <c r="AS54" s="458"/>
      <c r="AT54" s="458"/>
      <c r="AU54" s="458"/>
      <c r="AV54" s="458"/>
      <c r="AW54" s="458"/>
      <c r="AX54" s="458"/>
      <c r="AY54" s="458"/>
      <c r="AZ54" s="458"/>
      <c r="BA54" s="458"/>
      <c r="BB54" s="458"/>
      <c r="BC54" s="458"/>
      <c r="BD54" s="458"/>
      <c r="BE54" s="458"/>
      <c r="BF54" s="458"/>
      <c r="BG54" s="458"/>
      <c r="BH54" s="458"/>
      <c r="BI54" s="458"/>
      <c r="BJ54" s="154">
        <f t="shared" si="1"/>
        <v>843353</v>
      </c>
      <c r="BK54" s="461">
        <f t="shared" si="2"/>
        <v>723884</v>
      </c>
    </row>
    <row r="55" spans="2:63" s="148" customFormat="1" ht="23.25" customHeight="1" x14ac:dyDescent="0.25">
      <c r="B55" s="221">
        <v>40</v>
      </c>
      <c r="C55" s="221" t="s">
        <v>38</v>
      </c>
      <c r="D55" s="490">
        <v>30480895</v>
      </c>
      <c r="E55" s="485" t="s">
        <v>961</v>
      </c>
      <c r="F55" s="486" t="s">
        <v>897</v>
      </c>
      <c r="G55" s="460" t="s">
        <v>898</v>
      </c>
      <c r="H55" s="452" t="s">
        <v>946</v>
      </c>
      <c r="I55" s="453" t="s">
        <v>42</v>
      </c>
      <c r="J55" s="454">
        <v>2355178</v>
      </c>
      <c r="K55" s="454">
        <v>2238918</v>
      </c>
      <c r="L55" s="454">
        <v>0</v>
      </c>
      <c r="M55" s="454"/>
      <c r="N55" s="454"/>
      <c r="O55" s="454"/>
      <c r="P55" s="454">
        <v>917</v>
      </c>
      <c r="Q55" s="454">
        <v>1188</v>
      </c>
      <c r="R55" s="454"/>
      <c r="S55" s="454"/>
      <c r="T55" s="454"/>
      <c r="U55" s="454"/>
      <c r="V55" s="454"/>
      <c r="W55" s="454"/>
      <c r="X55" s="454"/>
      <c r="Y55" s="455">
        <f t="shared" si="3"/>
        <v>2105</v>
      </c>
      <c r="Z55" s="455">
        <v>116260</v>
      </c>
      <c r="AA55" s="456">
        <v>1</v>
      </c>
      <c r="AB55" s="457">
        <v>44209</v>
      </c>
      <c r="AC55" s="457">
        <v>44225</v>
      </c>
      <c r="AD55" s="455"/>
      <c r="AE55" s="459"/>
      <c r="AF55" s="460"/>
      <c r="AG55" s="457"/>
      <c r="AH55" s="455"/>
      <c r="AI55" s="456"/>
      <c r="AJ55" s="460"/>
      <c r="AK55" s="458"/>
      <c r="AL55" s="455"/>
      <c r="AM55" s="456"/>
      <c r="AN55" s="460"/>
      <c r="AO55" s="458"/>
      <c r="AP55" s="455"/>
      <c r="AQ55" s="456"/>
      <c r="AR55" s="460"/>
      <c r="AS55" s="458"/>
      <c r="AT55" s="458"/>
      <c r="AU55" s="458"/>
      <c r="AV55" s="458"/>
      <c r="AW55" s="458"/>
      <c r="AX55" s="458"/>
      <c r="AY55" s="458"/>
      <c r="AZ55" s="458"/>
      <c r="BA55" s="458"/>
      <c r="BB55" s="458"/>
      <c r="BC55" s="458"/>
      <c r="BD55" s="458"/>
      <c r="BE55" s="458"/>
      <c r="BF55" s="458"/>
      <c r="BG55" s="458"/>
      <c r="BH55" s="458"/>
      <c r="BI55" s="458"/>
      <c r="BJ55" s="154">
        <f t="shared" si="1"/>
        <v>116260</v>
      </c>
      <c r="BK55" s="461">
        <f t="shared" si="2"/>
        <v>114155</v>
      </c>
    </row>
    <row r="56" spans="2:63" s="148" customFormat="1" ht="23.25" customHeight="1" x14ac:dyDescent="0.25">
      <c r="B56" s="221">
        <v>41</v>
      </c>
      <c r="C56" s="221" t="s">
        <v>38</v>
      </c>
      <c r="D56" s="490">
        <v>30483081</v>
      </c>
      <c r="E56" s="485" t="s">
        <v>962</v>
      </c>
      <c r="F56" s="486" t="s">
        <v>204</v>
      </c>
      <c r="G56" s="460" t="s">
        <v>898</v>
      </c>
      <c r="H56" s="452" t="s">
        <v>903</v>
      </c>
      <c r="I56" s="453" t="s">
        <v>42</v>
      </c>
      <c r="J56" s="454">
        <v>19578</v>
      </c>
      <c r="K56" s="454">
        <v>0</v>
      </c>
      <c r="L56" s="454">
        <v>14277</v>
      </c>
      <c r="M56" s="454"/>
      <c r="N56" s="454"/>
      <c r="O56" s="454"/>
      <c r="P56" s="454">
        <v>5040</v>
      </c>
      <c r="Q56" s="454"/>
      <c r="R56" s="454"/>
      <c r="S56" s="454"/>
      <c r="T56" s="454"/>
      <c r="U56" s="454"/>
      <c r="V56" s="454"/>
      <c r="W56" s="454"/>
      <c r="X56" s="454"/>
      <c r="Y56" s="455">
        <f t="shared" si="3"/>
        <v>5040</v>
      </c>
      <c r="Z56" s="455">
        <v>5301</v>
      </c>
      <c r="AA56" s="456">
        <v>1</v>
      </c>
      <c r="AB56" s="457">
        <v>44209</v>
      </c>
      <c r="AC56" s="457">
        <v>44225</v>
      </c>
      <c r="AD56" s="455">
        <v>7068</v>
      </c>
      <c r="AE56" s="456">
        <v>10</v>
      </c>
      <c r="AF56" s="457">
        <v>44284</v>
      </c>
      <c r="AG56" s="457">
        <v>44286</v>
      </c>
      <c r="AH56" s="455"/>
      <c r="AI56" s="456"/>
      <c r="AJ56" s="460"/>
      <c r="AK56" s="458"/>
      <c r="AL56" s="455"/>
      <c r="AM56" s="456"/>
      <c r="AN56" s="460"/>
      <c r="AO56" s="458"/>
      <c r="AP56" s="455"/>
      <c r="AQ56" s="456"/>
      <c r="AR56" s="460"/>
      <c r="AS56" s="458"/>
      <c r="AT56" s="458"/>
      <c r="AU56" s="458"/>
      <c r="AV56" s="458"/>
      <c r="AW56" s="458"/>
      <c r="AX56" s="458"/>
      <c r="AY56" s="458"/>
      <c r="AZ56" s="458"/>
      <c r="BA56" s="458"/>
      <c r="BB56" s="458"/>
      <c r="BC56" s="458"/>
      <c r="BD56" s="458"/>
      <c r="BE56" s="458"/>
      <c r="BF56" s="458"/>
      <c r="BG56" s="458"/>
      <c r="BH56" s="458"/>
      <c r="BI56" s="458"/>
      <c r="BJ56" s="154">
        <f t="shared" si="1"/>
        <v>12369</v>
      </c>
      <c r="BK56" s="461">
        <f t="shared" si="2"/>
        <v>7329</v>
      </c>
    </row>
    <row r="57" spans="2:63" s="148" customFormat="1" ht="23.25" customHeight="1" x14ac:dyDescent="0.25">
      <c r="B57" s="221">
        <v>42</v>
      </c>
      <c r="C57" s="221" t="s">
        <v>38</v>
      </c>
      <c r="D57" s="490">
        <v>30485212</v>
      </c>
      <c r="E57" s="485" t="s">
        <v>963</v>
      </c>
      <c r="F57" s="486" t="s">
        <v>897</v>
      </c>
      <c r="G57" s="460" t="s">
        <v>898</v>
      </c>
      <c r="H57" s="452" t="s">
        <v>925</v>
      </c>
      <c r="I57" s="453" t="s">
        <v>42</v>
      </c>
      <c r="J57" s="454">
        <v>1202394</v>
      </c>
      <c r="K57" s="454">
        <v>748732</v>
      </c>
      <c r="L57" s="454">
        <v>30000</v>
      </c>
      <c r="M57" s="454"/>
      <c r="N57" s="454">
        <v>131851</v>
      </c>
      <c r="O57" s="454"/>
      <c r="P57" s="454">
        <v>293342</v>
      </c>
      <c r="Q57" s="454"/>
      <c r="R57" s="454"/>
      <c r="S57" s="454"/>
      <c r="T57" s="454"/>
      <c r="U57" s="454"/>
      <c r="V57" s="454"/>
      <c r="W57" s="454"/>
      <c r="X57" s="454"/>
      <c r="Y57" s="455">
        <f t="shared" si="3"/>
        <v>425193</v>
      </c>
      <c r="Z57" s="455">
        <v>423662</v>
      </c>
      <c r="AA57" s="456">
        <v>1</v>
      </c>
      <c r="AB57" s="457">
        <v>44209</v>
      </c>
      <c r="AC57" s="457">
        <v>44225</v>
      </c>
      <c r="AD57" s="455">
        <v>22977</v>
      </c>
      <c r="AE57" s="456">
        <v>10</v>
      </c>
      <c r="AF57" s="457">
        <v>44284</v>
      </c>
      <c r="AG57" s="457">
        <v>44286</v>
      </c>
      <c r="AH57" s="455"/>
      <c r="AI57" s="456"/>
      <c r="AJ57" s="460"/>
      <c r="AK57" s="458"/>
      <c r="AL57" s="455"/>
      <c r="AM57" s="456"/>
      <c r="AN57" s="460"/>
      <c r="AO57" s="458"/>
      <c r="AP57" s="455"/>
      <c r="AQ57" s="456"/>
      <c r="AR57" s="460"/>
      <c r="AS57" s="458"/>
      <c r="AT57" s="458"/>
      <c r="AU57" s="458"/>
      <c r="AV57" s="458"/>
      <c r="AW57" s="458"/>
      <c r="AX57" s="458"/>
      <c r="AY57" s="458"/>
      <c r="AZ57" s="458"/>
      <c r="BA57" s="458"/>
      <c r="BB57" s="458"/>
      <c r="BC57" s="458"/>
      <c r="BD57" s="458"/>
      <c r="BE57" s="458"/>
      <c r="BF57" s="458"/>
      <c r="BG57" s="458"/>
      <c r="BH57" s="458"/>
      <c r="BI57" s="458"/>
      <c r="BJ57" s="154">
        <f t="shared" si="1"/>
        <v>446639</v>
      </c>
      <c r="BK57" s="461">
        <f t="shared" si="2"/>
        <v>21446</v>
      </c>
    </row>
    <row r="58" spans="2:63" s="148" customFormat="1" ht="23.25" customHeight="1" x14ac:dyDescent="0.25">
      <c r="B58" s="221">
        <v>43</v>
      </c>
      <c r="C58" s="221" t="s">
        <v>38</v>
      </c>
      <c r="D58" s="490">
        <v>40001663</v>
      </c>
      <c r="E58" s="485" t="s">
        <v>964</v>
      </c>
      <c r="F58" s="486" t="s">
        <v>204</v>
      </c>
      <c r="G58" s="460" t="s">
        <v>898</v>
      </c>
      <c r="H58" s="452" t="s">
        <v>935</v>
      </c>
      <c r="I58" s="453" t="s">
        <v>43</v>
      </c>
      <c r="J58" s="454">
        <v>58644</v>
      </c>
      <c r="K58" s="454">
        <v>0</v>
      </c>
      <c r="L58" s="454">
        <v>21544</v>
      </c>
      <c r="M58" s="454"/>
      <c r="N58" s="487"/>
      <c r="O58" s="487">
        <v>15900</v>
      </c>
      <c r="P58" s="454">
        <v>21200</v>
      </c>
      <c r="Q58" s="454"/>
      <c r="R58" s="454"/>
      <c r="S58" s="454"/>
      <c r="T58" s="454"/>
      <c r="U58" s="454"/>
      <c r="V58" s="454"/>
      <c r="W58" s="454"/>
      <c r="X58" s="454"/>
      <c r="Y58" s="455">
        <f t="shared" si="3"/>
        <v>37100</v>
      </c>
      <c r="Z58" s="455">
        <v>37100</v>
      </c>
      <c r="AA58" s="456">
        <v>1</v>
      </c>
      <c r="AB58" s="457">
        <v>44209</v>
      </c>
      <c r="AC58" s="457">
        <v>44225</v>
      </c>
      <c r="AD58" s="455">
        <v>15900</v>
      </c>
      <c r="AE58" s="456">
        <v>15</v>
      </c>
      <c r="AF58" s="457">
        <v>44322</v>
      </c>
      <c r="AG58" s="457">
        <v>44343</v>
      </c>
      <c r="AH58" s="455"/>
      <c r="AI58" s="456"/>
      <c r="AJ58" s="460"/>
      <c r="AK58" s="458"/>
      <c r="AL58" s="455"/>
      <c r="AM58" s="456"/>
      <c r="AN58" s="460"/>
      <c r="AO58" s="458"/>
      <c r="AP58" s="455"/>
      <c r="AQ58" s="456"/>
      <c r="AR58" s="460"/>
      <c r="AS58" s="458"/>
      <c r="AT58" s="458"/>
      <c r="AU58" s="458"/>
      <c r="AV58" s="458"/>
      <c r="AW58" s="458"/>
      <c r="AX58" s="458"/>
      <c r="AY58" s="458"/>
      <c r="AZ58" s="458"/>
      <c r="BA58" s="458"/>
      <c r="BB58" s="458"/>
      <c r="BC58" s="458"/>
      <c r="BD58" s="458"/>
      <c r="BE58" s="458"/>
      <c r="BF58" s="458"/>
      <c r="BG58" s="458"/>
      <c r="BH58" s="458"/>
      <c r="BI58" s="458"/>
      <c r="BJ58" s="154">
        <f t="shared" si="1"/>
        <v>53000</v>
      </c>
      <c r="BK58" s="461">
        <f t="shared" si="2"/>
        <v>15900</v>
      </c>
    </row>
    <row r="59" spans="2:63" s="148" customFormat="1" ht="23.25" customHeight="1" x14ac:dyDescent="0.25">
      <c r="B59" s="221">
        <v>44</v>
      </c>
      <c r="C59" s="221" t="s">
        <v>38</v>
      </c>
      <c r="D59" s="490">
        <v>40001871</v>
      </c>
      <c r="E59" s="485" t="s">
        <v>965</v>
      </c>
      <c r="F59" s="486" t="s">
        <v>897</v>
      </c>
      <c r="G59" s="460" t="s">
        <v>898</v>
      </c>
      <c r="H59" s="452" t="s">
        <v>966</v>
      </c>
      <c r="I59" s="453" t="s">
        <v>42</v>
      </c>
      <c r="J59" s="454">
        <v>1184061</v>
      </c>
      <c r="K59" s="454">
        <v>975137</v>
      </c>
      <c r="L59" s="454">
        <v>16038</v>
      </c>
      <c r="M59" s="454"/>
      <c r="N59" s="487">
        <v>192883</v>
      </c>
      <c r="O59" s="487">
        <v>12959</v>
      </c>
      <c r="P59" s="454"/>
      <c r="Q59" s="454">
        <v>60151</v>
      </c>
      <c r="R59" s="454"/>
      <c r="S59" s="454"/>
      <c r="T59" s="454"/>
      <c r="U59" s="454"/>
      <c r="V59" s="454"/>
      <c r="W59" s="454"/>
      <c r="X59" s="454"/>
      <c r="Y59" s="455">
        <f t="shared" si="3"/>
        <v>265993</v>
      </c>
      <c r="Z59" s="455">
        <v>192886</v>
      </c>
      <c r="AA59" s="456">
        <v>1</v>
      </c>
      <c r="AB59" s="457">
        <v>44209</v>
      </c>
      <c r="AC59" s="457">
        <v>44225</v>
      </c>
      <c r="AD59" s="455">
        <v>73111</v>
      </c>
      <c r="AE59" s="459">
        <v>4</v>
      </c>
      <c r="AF59" s="457">
        <v>44263</v>
      </c>
      <c r="AG59" s="457">
        <v>44284</v>
      </c>
      <c r="AH59" s="455"/>
      <c r="AI59" s="456"/>
      <c r="AJ59" s="460"/>
      <c r="AK59" s="458"/>
      <c r="AL59" s="455"/>
      <c r="AM59" s="456"/>
      <c r="AN59" s="460"/>
      <c r="AO59" s="458"/>
      <c r="AP59" s="455"/>
      <c r="AQ59" s="456"/>
      <c r="AR59" s="460"/>
      <c r="AS59" s="458"/>
      <c r="AT59" s="458"/>
      <c r="AU59" s="458"/>
      <c r="AV59" s="458"/>
      <c r="AW59" s="458"/>
      <c r="AX59" s="458"/>
      <c r="AY59" s="458"/>
      <c r="AZ59" s="458"/>
      <c r="BA59" s="458"/>
      <c r="BB59" s="458"/>
      <c r="BC59" s="458"/>
      <c r="BD59" s="458"/>
      <c r="BE59" s="458"/>
      <c r="BF59" s="458"/>
      <c r="BG59" s="458"/>
      <c r="BH59" s="458"/>
      <c r="BI59" s="458"/>
      <c r="BJ59" s="154">
        <f t="shared" si="1"/>
        <v>265997</v>
      </c>
      <c r="BK59" s="461">
        <f t="shared" si="2"/>
        <v>4</v>
      </c>
    </row>
    <row r="60" spans="2:63" s="148" customFormat="1" ht="23.25" customHeight="1" x14ac:dyDescent="0.25">
      <c r="B60" s="221">
        <v>45</v>
      </c>
      <c r="C60" s="221" t="s">
        <v>38</v>
      </c>
      <c r="D60" s="490">
        <v>40002025</v>
      </c>
      <c r="E60" s="485" t="s">
        <v>967</v>
      </c>
      <c r="F60" s="486" t="s">
        <v>897</v>
      </c>
      <c r="G60" s="460" t="s">
        <v>898</v>
      </c>
      <c r="H60" s="452" t="s">
        <v>935</v>
      </c>
      <c r="I60" s="453" t="s">
        <v>42</v>
      </c>
      <c r="J60" s="454">
        <v>2111186</v>
      </c>
      <c r="K60" s="454">
        <v>1206560</v>
      </c>
      <c r="L60" s="454">
        <v>19906</v>
      </c>
      <c r="M60" s="454"/>
      <c r="N60" s="454">
        <v>53346</v>
      </c>
      <c r="O60" s="454">
        <v>223323</v>
      </c>
      <c r="P60" s="454">
        <v>113213</v>
      </c>
      <c r="Q60" s="454">
        <v>1500</v>
      </c>
      <c r="R60" s="454">
        <v>181725</v>
      </c>
      <c r="S60" s="454"/>
      <c r="T60" s="454"/>
      <c r="U60" s="454"/>
      <c r="V60" s="454"/>
      <c r="W60" s="454"/>
      <c r="X60" s="454"/>
      <c r="Y60" s="455">
        <f t="shared" si="3"/>
        <v>573107</v>
      </c>
      <c r="Z60" s="455">
        <v>884720</v>
      </c>
      <c r="AA60" s="456">
        <v>1</v>
      </c>
      <c r="AB60" s="457">
        <v>44209</v>
      </c>
      <c r="AC60" s="457">
        <v>44225</v>
      </c>
      <c r="AD60" s="455"/>
      <c r="AE60" s="456"/>
      <c r="AF60" s="457"/>
      <c r="AG60" s="457"/>
      <c r="AH60" s="455"/>
      <c r="AI60" s="456"/>
      <c r="AJ60" s="460"/>
      <c r="AK60" s="458"/>
      <c r="AL60" s="455"/>
      <c r="AM60" s="456"/>
      <c r="AN60" s="460"/>
      <c r="AO60" s="458"/>
      <c r="AP60" s="455"/>
      <c r="AQ60" s="456"/>
      <c r="AR60" s="460"/>
      <c r="AS60" s="458"/>
      <c r="AT60" s="458"/>
      <c r="AU60" s="458"/>
      <c r="AV60" s="458"/>
      <c r="AW60" s="458"/>
      <c r="AX60" s="458"/>
      <c r="AY60" s="458"/>
      <c r="AZ60" s="458"/>
      <c r="BA60" s="458"/>
      <c r="BB60" s="458"/>
      <c r="BC60" s="458"/>
      <c r="BD60" s="458"/>
      <c r="BE60" s="458"/>
      <c r="BF60" s="458"/>
      <c r="BG60" s="458"/>
      <c r="BH60" s="458"/>
      <c r="BI60" s="458"/>
      <c r="BJ60" s="154">
        <f t="shared" si="1"/>
        <v>884720</v>
      </c>
      <c r="BK60" s="461">
        <f t="shared" si="2"/>
        <v>311613</v>
      </c>
    </row>
    <row r="61" spans="2:63" s="148" customFormat="1" ht="23.25" customHeight="1" x14ac:dyDescent="0.25">
      <c r="B61" s="221">
        <v>46</v>
      </c>
      <c r="C61" s="221" t="s">
        <v>38</v>
      </c>
      <c r="D61" s="490">
        <v>40008614</v>
      </c>
      <c r="E61" s="485" t="s">
        <v>968</v>
      </c>
      <c r="F61" s="486" t="s">
        <v>897</v>
      </c>
      <c r="G61" s="460" t="s">
        <v>898</v>
      </c>
      <c r="H61" s="452" t="s">
        <v>969</v>
      </c>
      <c r="I61" s="453" t="s">
        <v>42</v>
      </c>
      <c r="J61" s="454">
        <v>3508093</v>
      </c>
      <c r="K61" s="454">
        <v>23517</v>
      </c>
      <c r="L61" s="454">
        <v>2968780</v>
      </c>
      <c r="M61" s="454"/>
      <c r="N61" s="454"/>
      <c r="O61" s="454"/>
      <c r="P61" s="454"/>
      <c r="Q61" s="454"/>
      <c r="R61" s="454">
        <v>142049</v>
      </c>
      <c r="S61" s="454"/>
      <c r="T61" s="454"/>
      <c r="U61" s="454"/>
      <c r="V61" s="454"/>
      <c r="W61" s="454"/>
      <c r="X61" s="454"/>
      <c r="Y61" s="455">
        <f t="shared" si="3"/>
        <v>142049</v>
      </c>
      <c r="Z61" s="455">
        <v>515796</v>
      </c>
      <c r="AA61" s="456">
        <v>1</v>
      </c>
      <c r="AB61" s="457">
        <v>44209</v>
      </c>
      <c r="AC61" s="457">
        <v>44225</v>
      </c>
      <c r="AD61" s="455">
        <v>300000</v>
      </c>
      <c r="AE61" s="459">
        <v>15</v>
      </c>
      <c r="AF61" s="457">
        <v>44322</v>
      </c>
      <c r="AG61" s="457">
        <v>44343</v>
      </c>
      <c r="AH61" s="455"/>
      <c r="AI61" s="456"/>
      <c r="AJ61" s="460"/>
      <c r="AK61" s="458"/>
      <c r="AL61" s="455"/>
      <c r="AM61" s="456"/>
      <c r="AN61" s="460"/>
      <c r="AO61" s="458"/>
      <c r="AP61" s="455"/>
      <c r="AQ61" s="456"/>
      <c r="AR61" s="460"/>
      <c r="AS61" s="458"/>
      <c r="AT61" s="458"/>
      <c r="AU61" s="458"/>
      <c r="AV61" s="458"/>
      <c r="AW61" s="458"/>
      <c r="AX61" s="458"/>
      <c r="AY61" s="458"/>
      <c r="AZ61" s="458"/>
      <c r="BA61" s="458"/>
      <c r="BB61" s="458"/>
      <c r="BC61" s="458"/>
      <c r="BD61" s="458"/>
      <c r="BE61" s="458"/>
      <c r="BF61" s="458"/>
      <c r="BG61" s="458"/>
      <c r="BH61" s="458"/>
      <c r="BI61" s="458"/>
      <c r="BJ61" s="154">
        <f t="shared" si="1"/>
        <v>815796</v>
      </c>
      <c r="BK61" s="461">
        <f t="shared" si="2"/>
        <v>673747</v>
      </c>
    </row>
    <row r="62" spans="2:63" s="148" customFormat="1" x14ac:dyDescent="0.25">
      <c r="B62" s="221">
        <v>47</v>
      </c>
      <c r="C62" s="221" t="s">
        <v>38</v>
      </c>
      <c r="D62" s="490">
        <v>30071516</v>
      </c>
      <c r="E62" s="485" t="s">
        <v>970</v>
      </c>
      <c r="F62" s="486" t="s">
        <v>204</v>
      </c>
      <c r="G62" s="460" t="s">
        <v>898</v>
      </c>
      <c r="H62" s="452" t="s">
        <v>971</v>
      </c>
      <c r="I62" s="453" t="s">
        <v>42</v>
      </c>
      <c r="J62" s="454">
        <v>694375</v>
      </c>
      <c r="K62" s="454">
        <v>532530</v>
      </c>
      <c r="L62" s="454">
        <v>161844</v>
      </c>
      <c r="M62" s="454"/>
      <c r="N62" s="487"/>
      <c r="O62" s="487"/>
      <c r="P62" s="454"/>
      <c r="Q62" s="454"/>
      <c r="R62" s="454"/>
      <c r="S62" s="454"/>
      <c r="T62" s="454"/>
      <c r="U62" s="454"/>
      <c r="V62" s="454"/>
      <c r="W62" s="454"/>
      <c r="X62" s="454"/>
      <c r="Y62" s="455">
        <f t="shared" si="3"/>
        <v>0</v>
      </c>
      <c r="Z62" s="455">
        <v>1</v>
      </c>
      <c r="AA62" s="456">
        <v>2</v>
      </c>
      <c r="AB62" s="457">
        <v>44253</v>
      </c>
      <c r="AC62" s="457">
        <v>44273</v>
      </c>
      <c r="AD62" s="455"/>
      <c r="AE62" s="459"/>
      <c r="AF62" s="460"/>
      <c r="AG62" s="457"/>
      <c r="AH62" s="455"/>
      <c r="AI62" s="456"/>
      <c r="AJ62" s="460"/>
      <c r="AK62" s="458"/>
      <c r="AL62" s="455"/>
      <c r="AM62" s="456"/>
      <c r="AN62" s="460"/>
      <c r="AO62" s="458"/>
      <c r="AP62" s="455"/>
      <c r="AQ62" s="456"/>
      <c r="AR62" s="460"/>
      <c r="AS62" s="458"/>
      <c r="AT62" s="458"/>
      <c r="AU62" s="458"/>
      <c r="AV62" s="458"/>
      <c r="AW62" s="458"/>
      <c r="AX62" s="458"/>
      <c r="AY62" s="458"/>
      <c r="AZ62" s="458"/>
      <c r="BA62" s="458"/>
      <c r="BB62" s="458"/>
      <c r="BC62" s="458"/>
      <c r="BD62" s="458"/>
      <c r="BE62" s="458"/>
      <c r="BF62" s="458"/>
      <c r="BG62" s="458"/>
      <c r="BH62" s="458"/>
      <c r="BI62" s="458"/>
      <c r="BJ62" s="154">
        <f t="shared" si="1"/>
        <v>1</v>
      </c>
      <c r="BK62" s="461">
        <f t="shared" si="2"/>
        <v>1</v>
      </c>
    </row>
    <row r="63" spans="2:63" s="148" customFormat="1" ht="22.5" x14ac:dyDescent="0.25">
      <c r="B63" s="221">
        <v>48</v>
      </c>
      <c r="C63" s="221" t="s">
        <v>38</v>
      </c>
      <c r="D63" s="490">
        <v>30096057</v>
      </c>
      <c r="E63" s="485" t="s">
        <v>972</v>
      </c>
      <c r="F63" s="486" t="s">
        <v>897</v>
      </c>
      <c r="G63" s="460" t="s">
        <v>898</v>
      </c>
      <c r="H63" s="452" t="s">
        <v>919</v>
      </c>
      <c r="I63" s="453" t="s">
        <v>43</v>
      </c>
      <c r="J63" s="454">
        <v>2565977</v>
      </c>
      <c r="K63" s="454">
        <v>8350</v>
      </c>
      <c r="L63" s="454">
        <v>2045627</v>
      </c>
      <c r="M63" s="454"/>
      <c r="N63" s="487"/>
      <c r="O63" s="454"/>
      <c r="P63" s="454"/>
      <c r="Q63" s="454"/>
      <c r="R63" s="454"/>
      <c r="S63" s="454"/>
      <c r="T63" s="454"/>
      <c r="U63" s="454"/>
      <c r="V63" s="454"/>
      <c r="W63" s="454"/>
      <c r="X63" s="454"/>
      <c r="Y63" s="455">
        <f t="shared" si="3"/>
        <v>0</v>
      </c>
      <c r="Z63" s="455">
        <v>512000</v>
      </c>
      <c r="AA63" s="456">
        <v>2</v>
      </c>
      <c r="AB63" s="457">
        <v>44253</v>
      </c>
      <c r="AC63" s="457">
        <v>44273</v>
      </c>
      <c r="AD63" s="455">
        <v>300000</v>
      </c>
      <c r="AE63" s="459">
        <v>15</v>
      </c>
      <c r="AF63" s="460">
        <v>44322</v>
      </c>
      <c r="AG63" s="457">
        <v>44343</v>
      </c>
      <c r="AH63" s="455"/>
      <c r="AI63" s="456"/>
      <c r="AJ63" s="460"/>
      <c r="AK63" s="458"/>
      <c r="AL63" s="455"/>
      <c r="AM63" s="456"/>
      <c r="AN63" s="460"/>
      <c r="AO63" s="458"/>
      <c r="AP63" s="455"/>
      <c r="AQ63" s="456"/>
      <c r="AR63" s="460"/>
      <c r="AS63" s="458"/>
      <c r="AT63" s="458"/>
      <c r="AU63" s="458"/>
      <c r="AV63" s="458"/>
      <c r="AW63" s="458"/>
      <c r="AX63" s="458"/>
      <c r="AY63" s="458"/>
      <c r="AZ63" s="458"/>
      <c r="BA63" s="458"/>
      <c r="BB63" s="458"/>
      <c r="BC63" s="458"/>
      <c r="BD63" s="458"/>
      <c r="BE63" s="458"/>
      <c r="BF63" s="458"/>
      <c r="BG63" s="458"/>
      <c r="BH63" s="458"/>
      <c r="BI63" s="458"/>
      <c r="BJ63" s="154">
        <f t="shared" si="1"/>
        <v>812000</v>
      </c>
      <c r="BK63" s="461">
        <f t="shared" si="2"/>
        <v>812000</v>
      </c>
    </row>
    <row r="64" spans="2:63" s="148" customFormat="1" ht="24" customHeight="1" x14ac:dyDescent="0.25">
      <c r="B64" s="221">
        <v>49</v>
      </c>
      <c r="C64" s="221" t="s">
        <v>38</v>
      </c>
      <c r="D64" s="490">
        <v>30108153</v>
      </c>
      <c r="E64" s="492" t="s">
        <v>973</v>
      </c>
      <c r="F64" s="486" t="s">
        <v>897</v>
      </c>
      <c r="G64" s="460" t="s">
        <v>898</v>
      </c>
      <c r="H64" s="452" t="s">
        <v>971</v>
      </c>
      <c r="I64" s="453" t="s">
        <v>43</v>
      </c>
      <c r="J64" s="454">
        <v>1937491</v>
      </c>
      <c r="K64" s="454">
        <v>0</v>
      </c>
      <c r="L64" s="454">
        <v>1429489</v>
      </c>
      <c r="M64" s="454"/>
      <c r="N64" s="454"/>
      <c r="O64" s="454"/>
      <c r="P64" s="454"/>
      <c r="Q64" s="454"/>
      <c r="R64" s="454"/>
      <c r="S64" s="454"/>
      <c r="T64" s="454"/>
      <c r="U64" s="454"/>
      <c r="V64" s="454"/>
      <c r="W64" s="454"/>
      <c r="X64" s="454"/>
      <c r="Y64" s="455">
        <f t="shared" si="3"/>
        <v>0</v>
      </c>
      <c r="Z64" s="455">
        <v>508002</v>
      </c>
      <c r="AA64" s="456">
        <v>2</v>
      </c>
      <c r="AB64" s="457">
        <v>44253</v>
      </c>
      <c r="AC64" s="457">
        <v>44273</v>
      </c>
      <c r="AD64" s="455"/>
      <c r="AE64" s="459"/>
      <c r="AF64" s="460"/>
      <c r="AG64" s="457"/>
      <c r="AH64" s="455"/>
      <c r="AI64" s="456"/>
      <c r="AJ64" s="460"/>
      <c r="AK64" s="458"/>
      <c r="AL64" s="455"/>
      <c r="AM64" s="456"/>
      <c r="AN64" s="460"/>
      <c r="AO64" s="458"/>
      <c r="AP64" s="455"/>
      <c r="AQ64" s="456"/>
      <c r="AR64" s="460"/>
      <c r="AS64" s="458"/>
      <c r="AT64" s="458"/>
      <c r="AU64" s="458"/>
      <c r="AV64" s="458"/>
      <c r="AW64" s="458"/>
      <c r="AX64" s="458"/>
      <c r="AY64" s="458"/>
      <c r="AZ64" s="458"/>
      <c r="BA64" s="458"/>
      <c r="BB64" s="458"/>
      <c r="BC64" s="458"/>
      <c r="BD64" s="458"/>
      <c r="BE64" s="458"/>
      <c r="BF64" s="458"/>
      <c r="BG64" s="458"/>
      <c r="BH64" s="458"/>
      <c r="BI64" s="458"/>
      <c r="BJ64" s="154">
        <f t="shared" si="1"/>
        <v>508002</v>
      </c>
      <c r="BK64" s="461">
        <f t="shared" si="2"/>
        <v>508002</v>
      </c>
    </row>
    <row r="65" spans="2:63" s="148" customFormat="1" ht="24" customHeight="1" x14ac:dyDescent="0.25">
      <c r="B65" s="221">
        <v>50</v>
      </c>
      <c r="C65" s="221" t="s">
        <v>38</v>
      </c>
      <c r="D65" s="490">
        <v>30133565</v>
      </c>
      <c r="E65" s="485" t="s">
        <v>974</v>
      </c>
      <c r="F65" s="486" t="s">
        <v>897</v>
      </c>
      <c r="G65" s="460" t="s">
        <v>898</v>
      </c>
      <c r="H65" s="452" t="s">
        <v>921</v>
      </c>
      <c r="I65" s="453" t="s">
        <v>43</v>
      </c>
      <c r="J65" s="454">
        <v>266888</v>
      </c>
      <c r="K65" s="454">
        <v>0</v>
      </c>
      <c r="L65" s="454">
        <v>216886</v>
      </c>
      <c r="M65" s="454"/>
      <c r="N65" s="454"/>
      <c r="O65" s="487"/>
      <c r="P65" s="454"/>
      <c r="Q65" s="454"/>
      <c r="R65" s="454"/>
      <c r="S65" s="454"/>
      <c r="T65" s="454"/>
      <c r="U65" s="454"/>
      <c r="V65" s="454"/>
      <c r="W65" s="454"/>
      <c r="X65" s="454"/>
      <c r="Y65" s="455">
        <f t="shared" si="3"/>
        <v>0</v>
      </c>
      <c r="Z65" s="455">
        <v>50002</v>
      </c>
      <c r="AA65" s="456">
        <v>2</v>
      </c>
      <c r="AB65" s="457">
        <v>44253</v>
      </c>
      <c r="AC65" s="457">
        <v>44273</v>
      </c>
      <c r="AD65" s="455"/>
      <c r="AE65" s="456"/>
      <c r="AF65" s="457"/>
      <c r="AG65" s="457"/>
      <c r="AH65" s="455"/>
      <c r="AI65" s="456"/>
      <c r="AJ65" s="460"/>
      <c r="AK65" s="458"/>
      <c r="AL65" s="455"/>
      <c r="AM65" s="456"/>
      <c r="AN65" s="460"/>
      <c r="AO65" s="458"/>
      <c r="AP65" s="455"/>
      <c r="AQ65" s="456"/>
      <c r="AR65" s="460"/>
      <c r="AS65" s="458"/>
      <c r="AT65" s="458"/>
      <c r="AU65" s="458"/>
      <c r="AV65" s="458"/>
      <c r="AW65" s="458"/>
      <c r="AX65" s="458"/>
      <c r="AY65" s="458"/>
      <c r="AZ65" s="458"/>
      <c r="BA65" s="458"/>
      <c r="BB65" s="458"/>
      <c r="BC65" s="458"/>
      <c r="BD65" s="458"/>
      <c r="BE65" s="458"/>
      <c r="BF65" s="458"/>
      <c r="BG65" s="458"/>
      <c r="BH65" s="458"/>
      <c r="BI65" s="458"/>
      <c r="BJ65" s="154">
        <f t="shared" si="1"/>
        <v>50002</v>
      </c>
      <c r="BK65" s="461">
        <f t="shared" si="2"/>
        <v>50002</v>
      </c>
    </row>
    <row r="66" spans="2:63" s="148" customFormat="1" ht="24" customHeight="1" x14ac:dyDescent="0.25">
      <c r="B66" s="221">
        <v>51</v>
      </c>
      <c r="C66" s="221" t="s">
        <v>38</v>
      </c>
      <c r="D66" s="490">
        <v>30133674</v>
      </c>
      <c r="E66" s="485" t="s">
        <v>975</v>
      </c>
      <c r="F66" s="486" t="s">
        <v>897</v>
      </c>
      <c r="G66" s="460" t="s">
        <v>898</v>
      </c>
      <c r="H66" s="452" t="s">
        <v>938</v>
      </c>
      <c r="I66" s="453" t="s">
        <v>42</v>
      </c>
      <c r="J66" s="454">
        <v>1287998</v>
      </c>
      <c r="K66" s="454">
        <v>1156759</v>
      </c>
      <c r="L66" s="454">
        <v>46237</v>
      </c>
      <c r="M66" s="454"/>
      <c r="N66" s="454"/>
      <c r="O66" s="454"/>
      <c r="P66" s="454"/>
      <c r="Q66" s="454"/>
      <c r="R66" s="454"/>
      <c r="S66" s="454"/>
      <c r="T66" s="454"/>
      <c r="U66" s="454"/>
      <c r="V66" s="454"/>
      <c r="W66" s="454"/>
      <c r="X66" s="454"/>
      <c r="Y66" s="455">
        <f t="shared" si="3"/>
        <v>0</v>
      </c>
      <c r="Z66" s="455">
        <v>85002</v>
      </c>
      <c r="AA66" s="456">
        <v>2</v>
      </c>
      <c r="AB66" s="457">
        <v>44253</v>
      </c>
      <c r="AC66" s="457">
        <v>44273</v>
      </c>
      <c r="AD66" s="455"/>
      <c r="AE66" s="459"/>
      <c r="AF66" s="460"/>
      <c r="AG66" s="457"/>
      <c r="AH66" s="455"/>
      <c r="AI66" s="456"/>
      <c r="AJ66" s="460"/>
      <c r="AK66" s="458"/>
      <c r="AL66" s="455"/>
      <c r="AM66" s="456"/>
      <c r="AN66" s="460"/>
      <c r="AO66" s="458"/>
      <c r="AP66" s="455"/>
      <c r="AQ66" s="456"/>
      <c r="AR66" s="460"/>
      <c r="AS66" s="458"/>
      <c r="AT66" s="458"/>
      <c r="AU66" s="458"/>
      <c r="AV66" s="458"/>
      <c r="AW66" s="458"/>
      <c r="AX66" s="458"/>
      <c r="AY66" s="458"/>
      <c r="AZ66" s="458"/>
      <c r="BA66" s="458"/>
      <c r="BB66" s="458"/>
      <c r="BC66" s="458"/>
      <c r="BD66" s="458"/>
      <c r="BE66" s="458"/>
      <c r="BF66" s="458"/>
      <c r="BG66" s="458"/>
      <c r="BH66" s="458"/>
      <c r="BI66" s="458"/>
      <c r="BJ66" s="154">
        <f t="shared" si="1"/>
        <v>85002</v>
      </c>
      <c r="BK66" s="461">
        <f t="shared" si="2"/>
        <v>85002</v>
      </c>
    </row>
    <row r="67" spans="2:63" s="148" customFormat="1" ht="24" customHeight="1" x14ac:dyDescent="0.2">
      <c r="B67" s="221">
        <v>52</v>
      </c>
      <c r="C67" s="221" t="s">
        <v>38</v>
      </c>
      <c r="D67" s="490">
        <v>30145872</v>
      </c>
      <c r="E67" s="493" t="s">
        <v>976</v>
      </c>
      <c r="F67" s="486" t="s">
        <v>897</v>
      </c>
      <c r="G67" s="460" t="s">
        <v>898</v>
      </c>
      <c r="H67" s="452" t="s">
        <v>925</v>
      </c>
      <c r="I67" s="453" t="s">
        <v>43</v>
      </c>
      <c r="J67" s="454">
        <v>1559516</v>
      </c>
      <c r="K67" s="454">
        <v>0</v>
      </c>
      <c r="L67" s="454">
        <v>1459516</v>
      </c>
      <c r="M67" s="454"/>
      <c r="N67" s="454"/>
      <c r="O67" s="454"/>
      <c r="P67" s="454"/>
      <c r="Q67" s="454"/>
      <c r="R67" s="454"/>
      <c r="S67" s="454"/>
      <c r="T67" s="454"/>
      <c r="U67" s="454"/>
      <c r="V67" s="454"/>
      <c r="W67" s="454"/>
      <c r="X67" s="454"/>
      <c r="Y67" s="455">
        <f t="shared" si="3"/>
        <v>0</v>
      </c>
      <c r="Z67" s="455">
        <v>100000</v>
      </c>
      <c r="AA67" s="456">
        <v>2</v>
      </c>
      <c r="AB67" s="457">
        <v>44253</v>
      </c>
      <c r="AC67" s="457">
        <v>44273</v>
      </c>
      <c r="AD67" s="455"/>
      <c r="AE67" s="459"/>
      <c r="AF67" s="460"/>
      <c r="AG67" s="457"/>
      <c r="AH67" s="455"/>
      <c r="AI67" s="456"/>
      <c r="AJ67" s="460"/>
      <c r="AK67" s="458"/>
      <c r="AL67" s="455"/>
      <c r="AM67" s="456"/>
      <c r="AN67" s="460"/>
      <c r="AO67" s="458"/>
      <c r="AP67" s="455"/>
      <c r="AQ67" s="456"/>
      <c r="AR67" s="460"/>
      <c r="AS67" s="458"/>
      <c r="AT67" s="458"/>
      <c r="AU67" s="458"/>
      <c r="AV67" s="458"/>
      <c r="AW67" s="458"/>
      <c r="AX67" s="458"/>
      <c r="AY67" s="458"/>
      <c r="AZ67" s="458"/>
      <c r="BA67" s="458"/>
      <c r="BB67" s="458"/>
      <c r="BC67" s="458"/>
      <c r="BD67" s="458"/>
      <c r="BE67" s="458"/>
      <c r="BF67" s="458"/>
      <c r="BG67" s="458"/>
      <c r="BH67" s="458"/>
      <c r="BI67" s="458"/>
      <c r="BJ67" s="154">
        <f t="shared" si="1"/>
        <v>100000</v>
      </c>
      <c r="BK67" s="461">
        <f t="shared" si="2"/>
        <v>100000</v>
      </c>
    </row>
    <row r="68" spans="2:63" s="148" customFormat="1" ht="24" customHeight="1" x14ac:dyDescent="0.2">
      <c r="B68" s="222">
        <v>54</v>
      </c>
      <c r="C68" s="221" t="s">
        <v>38</v>
      </c>
      <c r="D68" s="490">
        <v>40003276</v>
      </c>
      <c r="E68" s="493" t="s">
        <v>977</v>
      </c>
      <c r="F68" s="486" t="s">
        <v>897</v>
      </c>
      <c r="G68" s="460" t="s">
        <v>898</v>
      </c>
      <c r="H68" s="452" t="s">
        <v>226</v>
      </c>
      <c r="I68" s="453" t="s">
        <v>42</v>
      </c>
      <c r="J68" s="454">
        <v>7000000</v>
      </c>
      <c r="K68" s="454">
        <v>0</v>
      </c>
      <c r="L68" s="454">
        <v>6500000</v>
      </c>
      <c r="M68" s="454"/>
      <c r="N68" s="454"/>
      <c r="O68" s="454"/>
      <c r="P68" s="454"/>
      <c r="Q68" s="454"/>
      <c r="R68" s="454"/>
      <c r="S68" s="454"/>
      <c r="T68" s="454"/>
      <c r="U68" s="454"/>
      <c r="V68" s="454"/>
      <c r="W68" s="454"/>
      <c r="X68" s="454"/>
      <c r="Y68" s="455">
        <f t="shared" si="3"/>
        <v>0</v>
      </c>
      <c r="Z68" s="455">
        <v>500000</v>
      </c>
      <c r="AA68" s="456">
        <v>2</v>
      </c>
      <c r="AB68" s="457">
        <v>44253</v>
      </c>
      <c r="AC68" s="457">
        <v>44273</v>
      </c>
      <c r="AD68" s="455"/>
      <c r="AE68" s="459"/>
      <c r="AF68" s="460"/>
      <c r="AG68" s="457"/>
      <c r="AH68" s="455"/>
      <c r="AI68" s="456"/>
      <c r="AJ68" s="460"/>
      <c r="AK68" s="458"/>
      <c r="AL68" s="455"/>
      <c r="AM68" s="456"/>
      <c r="AN68" s="460"/>
      <c r="AO68" s="458"/>
      <c r="AP68" s="455"/>
      <c r="AQ68" s="456"/>
      <c r="AR68" s="460"/>
      <c r="AS68" s="458"/>
      <c r="AT68" s="458"/>
      <c r="AU68" s="458"/>
      <c r="AV68" s="458"/>
      <c r="AW68" s="458"/>
      <c r="AX68" s="458"/>
      <c r="AY68" s="458"/>
      <c r="AZ68" s="458"/>
      <c r="BA68" s="458"/>
      <c r="BB68" s="458"/>
      <c r="BC68" s="458"/>
      <c r="BD68" s="458"/>
      <c r="BE68" s="458"/>
      <c r="BF68" s="458"/>
      <c r="BG68" s="458"/>
      <c r="BH68" s="458"/>
      <c r="BI68" s="458"/>
      <c r="BJ68" s="154">
        <f t="shared" si="1"/>
        <v>500000</v>
      </c>
      <c r="BK68" s="461">
        <f t="shared" si="2"/>
        <v>500000</v>
      </c>
    </row>
    <row r="69" spans="2:63" s="223" customFormat="1" ht="24" customHeight="1" x14ac:dyDescent="0.25">
      <c r="B69" s="222">
        <v>55</v>
      </c>
      <c r="C69" s="222" t="s">
        <v>978</v>
      </c>
      <c r="D69" s="494">
        <v>20090722</v>
      </c>
      <c r="E69" s="495" t="s">
        <v>979</v>
      </c>
      <c r="F69" s="435" t="s">
        <v>897</v>
      </c>
      <c r="G69" s="460" t="s">
        <v>898</v>
      </c>
      <c r="H69" s="496" t="s">
        <v>980</v>
      </c>
      <c r="I69" s="438" t="s">
        <v>42</v>
      </c>
      <c r="J69" s="497">
        <v>7966153</v>
      </c>
      <c r="K69" s="497">
        <v>4247567</v>
      </c>
      <c r="L69" s="497">
        <v>3718584</v>
      </c>
      <c r="M69" s="497"/>
      <c r="N69" s="497"/>
      <c r="O69" s="497"/>
      <c r="P69" s="497"/>
      <c r="Q69" s="497"/>
      <c r="R69" s="497"/>
      <c r="S69" s="497"/>
      <c r="T69" s="497"/>
      <c r="U69" s="497"/>
      <c r="V69" s="497"/>
      <c r="W69" s="497"/>
      <c r="X69" s="497"/>
      <c r="Y69" s="455">
        <f t="shared" si="3"/>
        <v>0</v>
      </c>
      <c r="Z69" s="498">
        <v>2</v>
      </c>
      <c r="AA69" s="499">
        <v>3</v>
      </c>
      <c r="AB69" s="500">
        <v>44373</v>
      </c>
      <c r="AC69" s="500">
        <v>44273</v>
      </c>
      <c r="AD69" s="498"/>
      <c r="AE69" s="499"/>
      <c r="AF69" s="500"/>
      <c r="AG69" s="500"/>
      <c r="AH69" s="498"/>
      <c r="AI69" s="499"/>
      <c r="AJ69" s="501"/>
      <c r="AK69" s="502"/>
      <c r="AL69" s="498"/>
      <c r="AM69" s="499"/>
      <c r="AN69" s="501"/>
      <c r="AO69" s="502"/>
      <c r="AP69" s="498"/>
      <c r="AQ69" s="499"/>
      <c r="AR69" s="501"/>
      <c r="AS69" s="502"/>
      <c r="AT69" s="502"/>
      <c r="AU69" s="502"/>
      <c r="AV69" s="502"/>
      <c r="AW69" s="502"/>
      <c r="AX69" s="502"/>
      <c r="AY69" s="502"/>
      <c r="AZ69" s="502"/>
      <c r="BA69" s="502"/>
      <c r="BB69" s="502"/>
      <c r="BC69" s="502"/>
      <c r="BD69" s="502"/>
      <c r="BE69" s="502"/>
      <c r="BF69" s="502"/>
      <c r="BG69" s="502"/>
      <c r="BH69" s="502"/>
      <c r="BI69" s="502"/>
      <c r="BJ69" s="154">
        <f t="shared" si="1"/>
        <v>2</v>
      </c>
      <c r="BK69" s="461">
        <f t="shared" si="2"/>
        <v>2</v>
      </c>
    </row>
    <row r="70" spans="2:63" s="223" customFormat="1" ht="24" customHeight="1" x14ac:dyDescent="0.25">
      <c r="B70" s="222">
        <v>56</v>
      </c>
      <c r="C70" s="222" t="s">
        <v>978</v>
      </c>
      <c r="D70" s="494">
        <v>20183484</v>
      </c>
      <c r="E70" s="495" t="s">
        <v>981</v>
      </c>
      <c r="F70" s="435" t="s">
        <v>204</v>
      </c>
      <c r="G70" s="460" t="s">
        <v>898</v>
      </c>
      <c r="H70" s="503" t="s">
        <v>953</v>
      </c>
      <c r="I70" s="438" t="s">
        <v>42</v>
      </c>
      <c r="J70" s="497">
        <v>858991</v>
      </c>
      <c r="K70" s="497">
        <v>639861</v>
      </c>
      <c r="L70" s="497">
        <v>33197</v>
      </c>
      <c r="M70" s="497"/>
      <c r="N70" s="497"/>
      <c r="O70" s="497"/>
      <c r="P70" s="497"/>
      <c r="Q70" s="497"/>
      <c r="R70" s="497">
        <v>48918</v>
      </c>
      <c r="S70" s="497"/>
      <c r="T70" s="497"/>
      <c r="U70" s="497"/>
      <c r="V70" s="497"/>
      <c r="W70" s="497"/>
      <c r="X70" s="497"/>
      <c r="Y70" s="455">
        <f t="shared" si="3"/>
        <v>48918</v>
      </c>
      <c r="Z70" s="498">
        <v>185933</v>
      </c>
      <c r="AA70" s="499">
        <v>3</v>
      </c>
      <c r="AB70" s="500">
        <v>44373</v>
      </c>
      <c r="AC70" s="500">
        <v>44273</v>
      </c>
      <c r="AD70" s="498"/>
      <c r="AE70" s="504"/>
      <c r="AF70" s="501"/>
      <c r="AG70" s="500"/>
      <c r="AH70" s="498"/>
      <c r="AI70" s="499"/>
      <c r="AJ70" s="501"/>
      <c r="AK70" s="502"/>
      <c r="AL70" s="498"/>
      <c r="AM70" s="499"/>
      <c r="AN70" s="501"/>
      <c r="AO70" s="502"/>
      <c r="AP70" s="498"/>
      <c r="AQ70" s="499"/>
      <c r="AR70" s="501"/>
      <c r="AS70" s="502"/>
      <c r="AT70" s="502"/>
      <c r="AU70" s="502"/>
      <c r="AV70" s="502"/>
      <c r="AW70" s="502"/>
      <c r="AX70" s="502"/>
      <c r="AY70" s="502"/>
      <c r="AZ70" s="502"/>
      <c r="BA70" s="502"/>
      <c r="BB70" s="502"/>
      <c r="BC70" s="502"/>
      <c r="BD70" s="502"/>
      <c r="BE70" s="502"/>
      <c r="BF70" s="502"/>
      <c r="BG70" s="502"/>
      <c r="BH70" s="502"/>
      <c r="BI70" s="502"/>
      <c r="BJ70" s="154">
        <f t="shared" si="1"/>
        <v>185933</v>
      </c>
      <c r="BK70" s="461">
        <f t="shared" si="2"/>
        <v>137015</v>
      </c>
    </row>
    <row r="71" spans="2:63" s="223" customFormat="1" ht="24" customHeight="1" x14ac:dyDescent="0.25">
      <c r="B71" s="222">
        <v>57</v>
      </c>
      <c r="C71" s="222" t="s">
        <v>978</v>
      </c>
      <c r="D71" s="494">
        <v>30067364</v>
      </c>
      <c r="E71" s="495" t="s">
        <v>982</v>
      </c>
      <c r="F71" s="435" t="s">
        <v>204</v>
      </c>
      <c r="G71" s="460" t="s">
        <v>898</v>
      </c>
      <c r="H71" s="503" t="s">
        <v>983</v>
      </c>
      <c r="I71" s="438" t="s">
        <v>42</v>
      </c>
      <c r="J71" s="497">
        <v>840063</v>
      </c>
      <c r="K71" s="497">
        <v>686688</v>
      </c>
      <c r="L71" s="497">
        <v>87710</v>
      </c>
      <c r="M71" s="497"/>
      <c r="N71" s="497"/>
      <c r="O71" s="497"/>
      <c r="P71" s="497"/>
      <c r="Q71" s="497"/>
      <c r="R71" s="497"/>
      <c r="S71" s="497"/>
      <c r="T71" s="497"/>
      <c r="U71" s="497"/>
      <c r="V71" s="497"/>
      <c r="W71" s="497"/>
      <c r="X71" s="497"/>
      <c r="Y71" s="455">
        <f t="shared" si="3"/>
        <v>0</v>
      </c>
      <c r="Z71" s="498">
        <v>65665</v>
      </c>
      <c r="AA71" s="499">
        <v>3</v>
      </c>
      <c r="AB71" s="500">
        <v>44373</v>
      </c>
      <c r="AC71" s="500">
        <v>44273</v>
      </c>
      <c r="AD71" s="498"/>
      <c r="AE71" s="504"/>
      <c r="AF71" s="501"/>
      <c r="AG71" s="500"/>
      <c r="AH71" s="498"/>
      <c r="AI71" s="499"/>
      <c r="AJ71" s="501"/>
      <c r="AK71" s="502"/>
      <c r="AL71" s="498"/>
      <c r="AM71" s="499"/>
      <c r="AN71" s="501"/>
      <c r="AO71" s="502"/>
      <c r="AP71" s="498"/>
      <c r="AQ71" s="499"/>
      <c r="AR71" s="501"/>
      <c r="AS71" s="502"/>
      <c r="AT71" s="502"/>
      <c r="AU71" s="502"/>
      <c r="AV71" s="502"/>
      <c r="AW71" s="502"/>
      <c r="AX71" s="502"/>
      <c r="AY71" s="502"/>
      <c r="AZ71" s="502"/>
      <c r="BA71" s="502"/>
      <c r="BB71" s="502"/>
      <c r="BC71" s="502"/>
      <c r="BD71" s="502"/>
      <c r="BE71" s="502"/>
      <c r="BF71" s="502"/>
      <c r="BG71" s="502"/>
      <c r="BH71" s="502"/>
      <c r="BI71" s="502"/>
      <c r="BJ71" s="154">
        <f t="shared" si="1"/>
        <v>65665</v>
      </c>
      <c r="BK71" s="461">
        <f t="shared" si="2"/>
        <v>65665</v>
      </c>
    </row>
    <row r="72" spans="2:63" s="223" customFormat="1" ht="24" customHeight="1" x14ac:dyDescent="0.25">
      <c r="B72" s="221">
        <v>58</v>
      </c>
      <c r="C72" s="222" t="s">
        <v>978</v>
      </c>
      <c r="D72" s="494">
        <v>30093680</v>
      </c>
      <c r="E72" s="495" t="s">
        <v>984</v>
      </c>
      <c r="F72" s="435" t="s">
        <v>204</v>
      </c>
      <c r="G72" s="460" t="s">
        <v>898</v>
      </c>
      <c r="H72" s="505" t="s">
        <v>946</v>
      </c>
      <c r="I72" s="438" t="s">
        <v>42</v>
      </c>
      <c r="J72" s="497">
        <v>145349</v>
      </c>
      <c r="K72" s="497">
        <v>116572</v>
      </c>
      <c r="L72" s="497">
        <v>1597</v>
      </c>
      <c r="M72" s="497"/>
      <c r="N72" s="497"/>
      <c r="O72" s="497"/>
      <c r="P72" s="497"/>
      <c r="Q72" s="497"/>
      <c r="R72" s="497"/>
      <c r="S72" s="497"/>
      <c r="T72" s="497"/>
      <c r="U72" s="497"/>
      <c r="V72" s="497"/>
      <c r="W72" s="497"/>
      <c r="X72" s="497"/>
      <c r="Y72" s="455">
        <f t="shared" si="3"/>
        <v>0</v>
      </c>
      <c r="Z72" s="498">
        <v>27180</v>
      </c>
      <c r="AA72" s="499">
        <v>3</v>
      </c>
      <c r="AB72" s="500">
        <v>44373</v>
      </c>
      <c r="AC72" s="500">
        <v>44273</v>
      </c>
      <c r="AD72" s="498"/>
      <c r="AE72" s="499"/>
      <c r="AF72" s="500"/>
      <c r="AG72" s="500"/>
      <c r="AH72" s="498"/>
      <c r="AI72" s="499"/>
      <c r="AJ72" s="501"/>
      <c r="AK72" s="502"/>
      <c r="AL72" s="498"/>
      <c r="AM72" s="499"/>
      <c r="AN72" s="501"/>
      <c r="AO72" s="502"/>
      <c r="AP72" s="498"/>
      <c r="AQ72" s="499"/>
      <c r="AR72" s="501"/>
      <c r="AS72" s="502"/>
      <c r="AT72" s="502"/>
      <c r="AU72" s="502"/>
      <c r="AV72" s="502"/>
      <c r="AW72" s="502"/>
      <c r="AX72" s="502"/>
      <c r="AY72" s="502"/>
      <c r="AZ72" s="502"/>
      <c r="BA72" s="502"/>
      <c r="BB72" s="502"/>
      <c r="BC72" s="502"/>
      <c r="BD72" s="502"/>
      <c r="BE72" s="502"/>
      <c r="BF72" s="502"/>
      <c r="BG72" s="502"/>
      <c r="BH72" s="502"/>
      <c r="BI72" s="502"/>
      <c r="BJ72" s="154">
        <f t="shared" si="1"/>
        <v>27180</v>
      </c>
      <c r="BK72" s="461">
        <f t="shared" si="2"/>
        <v>27180</v>
      </c>
    </row>
    <row r="73" spans="2:63" s="223" customFormat="1" ht="24" customHeight="1" x14ac:dyDescent="0.25">
      <c r="B73" s="221">
        <v>59</v>
      </c>
      <c r="C73" s="222" t="s">
        <v>978</v>
      </c>
      <c r="D73" s="506">
        <v>30102525</v>
      </c>
      <c r="E73" s="495" t="s">
        <v>985</v>
      </c>
      <c r="F73" s="435" t="s">
        <v>897</v>
      </c>
      <c r="G73" s="460" t="s">
        <v>898</v>
      </c>
      <c r="H73" s="505" t="s">
        <v>925</v>
      </c>
      <c r="I73" s="438" t="s">
        <v>42</v>
      </c>
      <c r="J73" s="497">
        <v>335142</v>
      </c>
      <c r="K73" s="497">
        <v>13937</v>
      </c>
      <c r="L73" s="497">
        <v>321202</v>
      </c>
      <c r="M73" s="497"/>
      <c r="N73" s="497"/>
      <c r="O73" s="497"/>
      <c r="P73" s="497"/>
      <c r="Q73" s="497"/>
      <c r="R73" s="497"/>
      <c r="S73" s="497"/>
      <c r="T73" s="497"/>
      <c r="U73" s="497"/>
      <c r="V73" s="497"/>
      <c r="W73" s="497"/>
      <c r="X73" s="497"/>
      <c r="Y73" s="455">
        <f t="shared" si="3"/>
        <v>0</v>
      </c>
      <c r="Z73" s="498">
        <v>3</v>
      </c>
      <c r="AA73" s="499">
        <v>3</v>
      </c>
      <c r="AB73" s="500">
        <v>44373</v>
      </c>
      <c r="AC73" s="500">
        <v>44273</v>
      </c>
      <c r="AD73" s="498"/>
      <c r="AE73" s="504"/>
      <c r="AF73" s="501"/>
      <c r="AG73" s="500"/>
      <c r="AH73" s="498"/>
      <c r="AI73" s="499"/>
      <c r="AJ73" s="501"/>
      <c r="AK73" s="502"/>
      <c r="AL73" s="498"/>
      <c r="AM73" s="499"/>
      <c r="AN73" s="501"/>
      <c r="AO73" s="502"/>
      <c r="AP73" s="498"/>
      <c r="AQ73" s="499"/>
      <c r="AR73" s="501"/>
      <c r="AS73" s="502"/>
      <c r="AT73" s="502"/>
      <c r="AU73" s="502"/>
      <c r="AV73" s="502"/>
      <c r="AW73" s="502"/>
      <c r="AX73" s="502"/>
      <c r="AY73" s="502"/>
      <c r="AZ73" s="502"/>
      <c r="BA73" s="502"/>
      <c r="BB73" s="502"/>
      <c r="BC73" s="502"/>
      <c r="BD73" s="502"/>
      <c r="BE73" s="502"/>
      <c r="BF73" s="502"/>
      <c r="BG73" s="502"/>
      <c r="BH73" s="502"/>
      <c r="BI73" s="502"/>
      <c r="BJ73" s="154">
        <f t="shared" si="1"/>
        <v>3</v>
      </c>
      <c r="BK73" s="461">
        <f t="shared" si="2"/>
        <v>3</v>
      </c>
    </row>
    <row r="74" spans="2:63" s="223" customFormat="1" ht="24" customHeight="1" x14ac:dyDescent="0.25">
      <c r="B74" s="222">
        <v>60</v>
      </c>
      <c r="C74" s="222" t="s">
        <v>978</v>
      </c>
      <c r="D74" s="494">
        <v>30103833</v>
      </c>
      <c r="E74" s="495" t="s">
        <v>986</v>
      </c>
      <c r="F74" s="435" t="s">
        <v>204</v>
      </c>
      <c r="G74" s="460" t="s">
        <v>898</v>
      </c>
      <c r="H74" s="505" t="s">
        <v>911</v>
      </c>
      <c r="I74" s="438" t="s">
        <v>42</v>
      </c>
      <c r="J74" s="497">
        <v>154129</v>
      </c>
      <c r="K74" s="497">
        <v>42945</v>
      </c>
      <c r="L74" s="497">
        <v>83184</v>
      </c>
      <c r="M74" s="497"/>
      <c r="N74" s="497"/>
      <c r="O74" s="497"/>
      <c r="P74" s="497"/>
      <c r="Q74" s="497"/>
      <c r="R74" s="497"/>
      <c r="S74" s="497"/>
      <c r="T74" s="497"/>
      <c r="U74" s="497"/>
      <c r="V74" s="497"/>
      <c r="W74" s="497"/>
      <c r="X74" s="497"/>
      <c r="Y74" s="455">
        <f t="shared" si="3"/>
        <v>0</v>
      </c>
      <c r="Z74" s="498">
        <v>28000</v>
      </c>
      <c r="AA74" s="499">
        <v>3</v>
      </c>
      <c r="AB74" s="500">
        <v>44373</v>
      </c>
      <c r="AC74" s="500">
        <v>44273</v>
      </c>
      <c r="AD74" s="498"/>
      <c r="AE74" s="504"/>
      <c r="AF74" s="501"/>
      <c r="AG74" s="500"/>
      <c r="AH74" s="498"/>
      <c r="AI74" s="499"/>
      <c r="AJ74" s="501"/>
      <c r="AK74" s="502"/>
      <c r="AL74" s="498"/>
      <c r="AM74" s="499"/>
      <c r="AN74" s="501"/>
      <c r="AO74" s="502"/>
      <c r="AP74" s="498"/>
      <c r="AQ74" s="499"/>
      <c r="AR74" s="501"/>
      <c r="AS74" s="502"/>
      <c r="AT74" s="502"/>
      <c r="AU74" s="502"/>
      <c r="AV74" s="502"/>
      <c r="AW74" s="502"/>
      <c r="AX74" s="502"/>
      <c r="AY74" s="502"/>
      <c r="AZ74" s="502"/>
      <c r="BA74" s="502"/>
      <c r="BB74" s="502"/>
      <c r="BC74" s="502"/>
      <c r="BD74" s="502"/>
      <c r="BE74" s="502"/>
      <c r="BF74" s="502"/>
      <c r="BG74" s="502"/>
      <c r="BH74" s="502"/>
      <c r="BI74" s="502"/>
      <c r="BJ74" s="154">
        <f t="shared" si="1"/>
        <v>28000</v>
      </c>
      <c r="BK74" s="461">
        <f t="shared" si="2"/>
        <v>28000</v>
      </c>
    </row>
    <row r="75" spans="2:63" s="223" customFormat="1" ht="24" customHeight="1" x14ac:dyDescent="0.25">
      <c r="B75" s="221">
        <v>61</v>
      </c>
      <c r="C75" s="222" t="s">
        <v>978</v>
      </c>
      <c r="D75" s="494">
        <v>30108463</v>
      </c>
      <c r="E75" s="495" t="s">
        <v>987</v>
      </c>
      <c r="F75" s="435" t="s">
        <v>897</v>
      </c>
      <c r="G75" s="460" t="s">
        <v>898</v>
      </c>
      <c r="H75" s="505" t="s">
        <v>943</v>
      </c>
      <c r="I75" s="438" t="s">
        <v>43</v>
      </c>
      <c r="J75" s="497">
        <v>3662327</v>
      </c>
      <c r="K75" s="497">
        <v>0</v>
      </c>
      <c r="L75" s="497">
        <v>3552325</v>
      </c>
      <c r="M75" s="497"/>
      <c r="N75" s="497"/>
      <c r="O75" s="497"/>
      <c r="P75" s="497"/>
      <c r="Q75" s="497"/>
      <c r="R75" s="497"/>
      <c r="S75" s="497"/>
      <c r="T75" s="497"/>
      <c r="U75" s="497"/>
      <c r="V75" s="497"/>
      <c r="W75" s="497"/>
      <c r="X75" s="497"/>
      <c r="Y75" s="455">
        <f t="shared" si="3"/>
        <v>0</v>
      </c>
      <c r="Z75" s="498">
        <v>110002</v>
      </c>
      <c r="AA75" s="499">
        <v>3</v>
      </c>
      <c r="AB75" s="500">
        <v>44373</v>
      </c>
      <c r="AC75" s="500">
        <v>44273</v>
      </c>
      <c r="AD75" s="498"/>
      <c r="AE75" s="504"/>
      <c r="AF75" s="501"/>
      <c r="AG75" s="500"/>
      <c r="AH75" s="498"/>
      <c r="AI75" s="499"/>
      <c r="AJ75" s="501"/>
      <c r="AK75" s="502"/>
      <c r="AL75" s="498"/>
      <c r="AM75" s="499"/>
      <c r="AN75" s="501"/>
      <c r="AO75" s="502"/>
      <c r="AP75" s="498"/>
      <c r="AQ75" s="499"/>
      <c r="AR75" s="501"/>
      <c r="AS75" s="502"/>
      <c r="AT75" s="502"/>
      <c r="AU75" s="502"/>
      <c r="AV75" s="502"/>
      <c r="AW75" s="502"/>
      <c r="AX75" s="502"/>
      <c r="AY75" s="502"/>
      <c r="AZ75" s="502"/>
      <c r="BA75" s="502"/>
      <c r="BB75" s="502"/>
      <c r="BC75" s="502"/>
      <c r="BD75" s="502"/>
      <c r="BE75" s="502"/>
      <c r="BF75" s="502"/>
      <c r="BG75" s="502"/>
      <c r="BH75" s="502"/>
      <c r="BI75" s="502"/>
      <c r="BJ75" s="154">
        <f t="shared" si="1"/>
        <v>110002</v>
      </c>
      <c r="BK75" s="461">
        <f t="shared" si="2"/>
        <v>110002</v>
      </c>
    </row>
    <row r="76" spans="2:63" s="223" customFormat="1" ht="24" customHeight="1" x14ac:dyDescent="0.25">
      <c r="B76" s="221">
        <v>62</v>
      </c>
      <c r="C76" s="222" t="s">
        <v>978</v>
      </c>
      <c r="D76" s="494">
        <v>30128024</v>
      </c>
      <c r="E76" s="495" t="s">
        <v>988</v>
      </c>
      <c r="F76" s="435" t="s">
        <v>897</v>
      </c>
      <c r="G76" s="460" t="s">
        <v>898</v>
      </c>
      <c r="H76" s="505" t="s">
        <v>953</v>
      </c>
      <c r="I76" s="438" t="s">
        <v>42</v>
      </c>
      <c r="J76" s="497">
        <v>2306234</v>
      </c>
      <c r="K76" s="497">
        <v>7857</v>
      </c>
      <c r="L76" s="497">
        <v>1636374</v>
      </c>
      <c r="M76" s="497"/>
      <c r="N76" s="497"/>
      <c r="O76" s="497">
        <v>36975</v>
      </c>
      <c r="P76" s="497"/>
      <c r="Q76" s="497">
        <v>108726</v>
      </c>
      <c r="R76" s="497">
        <v>107621</v>
      </c>
      <c r="S76" s="497"/>
      <c r="T76" s="497"/>
      <c r="U76" s="497"/>
      <c r="V76" s="497"/>
      <c r="W76" s="497"/>
      <c r="X76" s="497"/>
      <c r="Y76" s="455">
        <f t="shared" si="3"/>
        <v>253322</v>
      </c>
      <c r="Z76" s="498">
        <v>662003</v>
      </c>
      <c r="AA76" s="499">
        <v>3</v>
      </c>
      <c r="AB76" s="500">
        <v>44373</v>
      </c>
      <c r="AC76" s="500">
        <v>44273</v>
      </c>
      <c r="AD76" s="498"/>
      <c r="AE76" s="504"/>
      <c r="AF76" s="501"/>
      <c r="AG76" s="500"/>
      <c r="AH76" s="498"/>
      <c r="AI76" s="499"/>
      <c r="AJ76" s="501"/>
      <c r="AK76" s="502"/>
      <c r="AL76" s="498"/>
      <c r="AM76" s="499"/>
      <c r="AN76" s="501"/>
      <c r="AO76" s="502"/>
      <c r="AP76" s="498"/>
      <c r="AQ76" s="499"/>
      <c r="AR76" s="501"/>
      <c r="AS76" s="502"/>
      <c r="AT76" s="502"/>
      <c r="AU76" s="502"/>
      <c r="AV76" s="502"/>
      <c r="AW76" s="502"/>
      <c r="AX76" s="502"/>
      <c r="AY76" s="502"/>
      <c r="AZ76" s="502"/>
      <c r="BA76" s="502"/>
      <c r="BB76" s="502"/>
      <c r="BC76" s="502"/>
      <c r="BD76" s="502"/>
      <c r="BE76" s="502"/>
      <c r="BF76" s="502"/>
      <c r="BG76" s="502"/>
      <c r="BH76" s="502"/>
      <c r="BI76" s="502"/>
      <c r="BJ76" s="154">
        <f t="shared" si="1"/>
        <v>662003</v>
      </c>
      <c r="BK76" s="461">
        <f t="shared" si="2"/>
        <v>408681</v>
      </c>
    </row>
    <row r="77" spans="2:63" s="223" customFormat="1" ht="24" customHeight="1" x14ac:dyDescent="0.25">
      <c r="B77" s="222">
        <v>63</v>
      </c>
      <c r="C77" s="222" t="s">
        <v>978</v>
      </c>
      <c r="D77" s="494">
        <v>30131636</v>
      </c>
      <c r="E77" s="495" t="s">
        <v>989</v>
      </c>
      <c r="F77" s="435" t="s">
        <v>204</v>
      </c>
      <c r="G77" s="460" t="s">
        <v>898</v>
      </c>
      <c r="H77" s="505" t="s">
        <v>971</v>
      </c>
      <c r="I77" s="438" t="s">
        <v>43</v>
      </c>
      <c r="J77" s="497">
        <v>30580</v>
      </c>
      <c r="K77" s="497">
        <v>0</v>
      </c>
      <c r="L77" s="497">
        <v>29929</v>
      </c>
      <c r="M77" s="497"/>
      <c r="N77" s="497"/>
      <c r="O77" s="497"/>
      <c r="P77" s="497"/>
      <c r="Q77" s="497"/>
      <c r="R77" s="497"/>
      <c r="S77" s="497"/>
      <c r="T77" s="497"/>
      <c r="U77" s="497"/>
      <c r="V77" s="497"/>
      <c r="W77" s="497"/>
      <c r="X77" s="497"/>
      <c r="Y77" s="455">
        <f t="shared" si="3"/>
        <v>0</v>
      </c>
      <c r="Z77" s="498">
        <v>651</v>
      </c>
      <c r="AA77" s="499">
        <v>3</v>
      </c>
      <c r="AB77" s="500">
        <v>44373</v>
      </c>
      <c r="AC77" s="500">
        <v>44273</v>
      </c>
      <c r="AD77" s="498">
        <v>8149</v>
      </c>
      <c r="AE77" s="504">
        <v>10</v>
      </c>
      <c r="AF77" s="500">
        <v>44284</v>
      </c>
      <c r="AG77" s="500">
        <v>44286</v>
      </c>
      <c r="AH77" s="498"/>
      <c r="AI77" s="499"/>
      <c r="AJ77" s="501"/>
      <c r="AK77" s="502"/>
      <c r="AL77" s="498"/>
      <c r="AM77" s="499"/>
      <c r="AN77" s="501"/>
      <c r="AO77" s="502"/>
      <c r="AP77" s="498"/>
      <c r="AQ77" s="499"/>
      <c r="AR77" s="501"/>
      <c r="AS77" s="502"/>
      <c r="AT77" s="502"/>
      <c r="AU77" s="502"/>
      <c r="AV77" s="502"/>
      <c r="AW77" s="502"/>
      <c r="AX77" s="502"/>
      <c r="AY77" s="502"/>
      <c r="AZ77" s="502"/>
      <c r="BA77" s="502"/>
      <c r="BB77" s="502"/>
      <c r="BC77" s="502"/>
      <c r="BD77" s="502"/>
      <c r="BE77" s="502"/>
      <c r="BF77" s="502"/>
      <c r="BG77" s="502"/>
      <c r="BH77" s="502"/>
      <c r="BI77" s="502"/>
      <c r="BJ77" s="154">
        <f t="shared" si="1"/>
        <v>8800</v>
      </c>
      <c r="BK77" s="461">
        <f t="shared" si="2"/>
        <v>8800</v>
      </c>
    </row>
    <row r="78" spans="2:63" s="223" customFormat="1" ht="24" customHeight="1" x14ac:dyDescent="0.25">
      <c r="B78" s="221">
        <v>64</v>
      </c>
      <c r="C78" s="222" t="s">
        <v>978</v>
      </c>
      <c r="D78" s="494">
        <v>30133178</v>
      </c>
      <c r="E78" s="495" t="s">
        <v>990</v>
      </c>
      <c r="F78" s="435" t="s">
        <v>204</v>
      </c>
      <c r="G78" s="460" t="s">
        <v>898</v>
      </c>
      <c r="H78" s="505" t="s">
        <v>991</v>
      </c>
      <c r="I78" s="438" t="s">
        <v>42</v>
      </c>
      <c r="J78" s="497">
        <v>57486</v>
      </c>
      <c r="K78" s="497">
        <v>22086</v>
      </c>
      <c r="L78" s="497">
        <v>0</v>
      </c>
      <c r="M78" s="497"/>
      <c r="N78" s="497"/>
      <c r="O78" s="497"/>
      <c r="P78" s="497"/>
      <c r="Q78" s="497"/>
      <c r="R78" s="497"/>
      <c r="S78" s="497"/>
      <c r="T78" s="497"/>
      <c r="U78" s="497"/>
      <c r="V78" s="497"/>
      <c r="W78" s="497"/>
      <c r="X78" s="497"/>
      <c r="Y78" s="455">
        <f t="shared" si="3"/>
        <v>0</v>
      </c>
      <c r="Z78" s="498">
        <v>35400</v>
      </c>
      <c r="AA78" s="499">
        <v>3</v>
      </c>
      <c r="AB78" s="500">
        <v>44373</v>
      </c>
      <c r="AC78" s="500">
        <v>44273</v>
      </c>
      <c r="AD78" s="498"/>
      <c r="AE78" s="504"/>
      <c r="AF78" s="501"/>
      <c r="AG78" s="500"/>
      <c r="AH78" s="498"/>
      <c r="AI78" s="499"/>
      <c r="AJ78" s="501"/>
      <c r="AK78" s="502"/>
      <c r="AL78" s="498"/>
      <c r="AM78" s="499"/>
      <c r="AN78" s="501"/>
      <c r="AO78" s="502"/>
      <c r="AP78" s="498"/>
      <c r="AQ78" s="499"/>
      <c r="AR78" s="501"/>
      <c r="AS78" s="502"/>
      <c r="AT78" s="502"/>
      <c r="AU78" s="502"/>
      <c r="AV78" s="502"/>
      <c r="AW78" s="502"/>
      <c r="AX78" s="502"/>
      <c r="AY78" s="502"/>
      <c r="AZ78" s="502"/>
      <c r="BA78" s="502"/>
      <c r="BB78" s="502"/>
      <c r="BC78" s="502"/>
      <c r="BD78" s="502"/>
      <c r="BE78" s="502"/>
      <c r="BF78" s="502"/>
      <c r="BG78" s="502"/>
      <c r="BH78" s="502"/>
      <c r="BI78" s="502"/>
      <c r="BJ78" s="154">
        <f t="shared" si="1"/>
        <v>35400</v>
      </c>
      <c r="BK78" s="461">
        <f t="shared" si="2"/>
        <v>35400</v>
      </c>
    </row>
    <row r="79" spans="2:63" s="223" customFormat="1" ht="24" customHeight="1" x14ac:dyDescent="0.25">
      <c r="B79" s="221">
        <v>65</v>
      </c>
      <c r="C79" s="222" t="s">
        <v>978</v>
      </c>
      <c r="D79" s="494">
        <v>30133613</v>
      </c>
      <c r="E79" s="495" t="s">
        <v>992</v>
      </c>
      <c r="F79" s="435" t="s">
        <v>897</v>
      </c>
      <c r="G79" s="460" t="s">
        <v>898</v>
      </c>
      <c r="H79" s="505" t="s">
        <v>911</v>
      </c>
      <c r="I79" s="438" t="s">
        <v>42</v>
      </c>
      <c r="J79" s="497">
        <v>2150545</v>
      </c>
      <c r="K79" s="497">
        <v>2102960</v>
      </c>
      <c r="L79" s="497">
        <v>23542</v>
      </c>
      <c r="M79" s="497"/>
      <c r="N79" s="497"/>
      <c r="O79" s="497"/>
      <c r="P79" s="497">
        <v>24041</v>
      </c>
      <c r="Q79" s="497"/>
      <c r="R79" s="497"/>
      <c r="S79" s="497"/>
      <c r="T79" s="497"/>
      <c r="U79" s="497"/>
      <c r="V79" s="497"/>
      <c r="W79" s="497"/>
      <c r="X79" s="497"/>
      <c r="Y79" s="455">
        <f t="shared" si="3"/>
        <v>24041</v>
      </c>
      <c r="Z79" s="498">
        <v>24043</v>
      </c>
      <c r="AA79" s="499">
        <v>3</v>
      </c>
      <c r="AB79" s="500">
        <v>44373</v>
      </c>
      <c r="AC79" s="500">
        <v>44273</v>
      </c>
      <c r="AD79" s="498"/>
      <c r="AE79" s="504"/>
      <c r="AF79" s="501"/>
      <c r="AG79" s="500"/>
      <c r="AH79" s="498"/>
      <c r="AI79" s="499"/>
      <c r="AJ79" s="501"/>
      <c r="AK79" s="502"/>
      <c r="AL79" s="498"/>
      <c r="AM79" s="499"/>
      <c r="AN79" s="501"/>
      <c r="AO79" s="502"/>
      <c r="AP79" s="498"/>
      <c r="AQ79" s="499"/>
      <c r="AR79" s="501"/>
      <c r="AS79" s="502"/>
      <c r="AT79" s="502"/>
      <c r="AU79" s="502"/>
      <c r="AV79" s="502"/>
      <c r="AW79" s="502"/>
      <c r="AX79" s="502"/>
      <c r="AY79" s="502"/>
      <c r="AZ79" s="502"/>
      <c r="BA79" s="502"/>
      <c r="BB79" s="502"/>
      <c r="BC79" s="502"/>
      <c r="BD79" s="502"/>
      <c r="BE79" s="502"/>
      <c r="BF79" s="502"/>
      <c r="BG79" s="502"/>
      <c r="BH79" s="502"/>
      <c r="BI79" s="502"/>
      <c r="BJ79" s="154">
        <f t="shared" si="1"/>
        <v>24043</v>
      </c>
      <c r="BK79" s="461">
        <f t="shared" si="2"/>
        <v>2</v>
      </c>
    </row>
    <row r="80" spans="2:63" s="223" customFormat="1" ht="24" customHeight="1" x14ac:dyDescent="0.25">
      <c r="B80" s="222">
        <v>66</v>
      </c>
      <c r="C80" s="222" t="s">
        <v>978</v>
      </c>
      <c r="D80" s="494">
        <v>30134399</v>
      </c>
      <c r="E80" s="495" t="s">
        <v>993</v>
      </c>
      <c r="F80" s="435" t="s">
        <v>897</v>
      </c>
      <c r="G80" s="460" t="s">
        <v>898</v>
      </c>
      <c r="H80" s="505" t="s">
        <v>911</v>
      </c>
      <c r="I80" s="438" t="s">
        <v>42</v>
      </c>
      <c r="J80" s="497">
        <v>984585</v>
      </c>
      <c r="K80" s="497">
        <v>0</v>
      </c>
      <c r="L80" s="497">
        <v>784585</v>
      </c>
      <c r="M80" s="497"/>
      <c r="N80" s="497"/>
      <c r="O80" s="497"/>
      <c r="P80" s="497"/>
      <c r="Q80" s="497"/>
      <c r="R80" s="497"/>
      <c r="S80" s="497"/>
      <c r="T80" s="497"/>
      <c r="U80" s="497"/>
      <c r="V80" s="497"/>
      <c r="W80" s="497"/>
      <c r="X80" s="497"/>
      <c r="Y80" s="455">
        <f t="shared" si="3"/>
        <v>0</v>
      </c>
      <c r="Z80" s="498">
        <v>200000</v>
      </c>
      <c r="AA80" s="499">
        <v>3</v>
      </c>
      <c r="AB80" s="500">
        <v>44373</v>
      </c>
      <c r="AC80" s="500">
        <v>44273</v>
      </c>
      <c r="AD80" s="498">
        <v>500000</v>
      </c>
      <c r="AE80" s="504">
        <v>10</v>
      </c>
      <c r="AF80" s="501">
        <v>44284</v>
      </c>
      <c r="AG80" s="500">
        <v>44286</v>
      </c>
      <c r="AH80" s="498"/>
      <c r="AI80" s="499"/>
      <c r="AJ80" s="501"/>
      <c r="AK80" s="502"/>
      <c r="AL80" s="498"/>
      <c r="AM80" s="499"/>
      <c r="AN80" s="501"/>
      <c r="AO80" s="502"/>
      <c r="AP80" s="498"/>
      <c r="AQ80" s="499"/>
      <c r="AR80" s="501"/>
      <c r="AS80" s="502"/>
      <c r="AT80" s="502"/>
      <c r="AU80" s="502"/>
      <c r="AV80" s="502"/>
      <c r="AW80" s="502"/>
      <c r="AX80" s="502"/>
      <c r="AY80" s="502"/>
      <c r="AZ80" s="502"/>
      <c r="BA80" s="502"/>
      <c r="BB80" s="502"/>
      <c r="BC80" s="502"/>
      <c r="BD80" s="502"/>
      <c r="BE80" s="502"/>
      <c r="BF80" s="502"/>
      <c r="BG80" s="502"/>
      <c r="BH80" s="502"/>
      <c r="BI80" s="502"/>
      <c r="BJ80" s="154">
        <f t="shared" si="1"/>
        <v>700000</v>
      </c>
      <c r="BK80" s="461">
        <f t="shared" si="2"/>
        <v>700000</v>
      </c>
    </row>
    <row r="81" spans="2:63" s="223" customFormat="1" ht="24" customHeight="1" x14ac:dyDescent="0.25">
      <c r="B81" s="221">
        <v>67</v>
      </c>
      <c r="C81" s="222" t="s">
        <v>978</v>
      </c>
      <c r="D81" s="494">
        <v>30287522</v>
      </c>
      <c r="E81" s="495" t="s">
        <v>994</v>
      </c>
      <c r="F81" s="435" t="s">
        <v>897</v>
      </c>
      <c r="G81" s="460" t="s">
        <v>898</v>
      </c>
      <c r="H81" s="505" t="s">
        <v>946</v>
      </c>
      <c r="I81" s="438" t="s">
        <v>42</v>
      </c>
      <c r="J81" s="497">
        <v>1564694</v>
      </c>
      <c r="K81" s="497">
        <v>373768</v>
      </c>
      <c r="L81" s="497">
        <v>1190924</v>
      </c>
      <c r="M81" s="497"/>
      <c r="N81" s="497"/>
      <c r="O81" s="497"/>
      <c r="P81" s="497"/>
      <c r="Q81" s="497"/>
      <c r="R81" s="497"/>
      <c r="S81" s="497"/>
      <c r="T81" s="497"/>
      <c r="U81" s="497"/>
      <c r="V81" s="497"/>
      <c r="W81" s="497"/>
      <c r="X81" s="497"/>
      <c r="Y81" s="455">
        <f t="shared" si="3"/>
        <v>0</v>
      </c>
      <c r="Z81" s="498">
        <v>2</v>
      </c>
      <c r="AA81" s="499">
        <v>3</v>
      </c>
      <c r="AB81" s="500">
        <v>44373</v>
      </c>
      <c r="AC81" s="500">
        <v>44273</v>
      </c>
      <c r="AD81" s="498"/>
      <c r="AE81" s="504"/>
      <c r="AF81" s="501"/>
      <c r="AG81" s="500"/>
      <c r="AH81" s="498"/>
      <c r="AI81" s="499"/>
      <c r="AJ81" s="501"/>
      <c r="AK81" s="502"/>
      <c r="AL81" s="498"/>
      <c r="AM81" s="499"/>
      <c r="AN81" s="501"/>
      <c r="AO81" s="502"/>
      <c r="AP81" s="498"/>
      <c r="AQ81" s="499"/>
      <c r="AR81" s="501"/>
      <c r="AS81" s="502"/>
      <c r="AT81" s="502"/>
      <c r="AU81" s="502"/>
      <c r="AV81" s="502"/>
      <c r="AW81" s="502"/>
      <c r="AX81" s="502"/>
      <c r="AY81" s="502"/>
      <c r="AZ81" s="502"/>
      <c r="BA81" s="502"/>
      <c r="BB81" s="502"/>
      <c r="BC81" s="502"/>
      <c r="BD81" s="502"/>
      <c r="BE81" s="502"/>
      <c r="BF81" s="502"/>
      <c r="BG81" s="502"/>
      <c r="BH81" s="502"/>
      <c r="BI81" s="502"/>
      <c r="BJ81" s="154">
        <f t="shared" ref="BJ81:BJ144" si="4">+Z81+AD81+AH81+AL81+AP81+AT81+AX81+BB81+BF81</f>
        <v>2</v>
      </c>
      <c r="BK81" s="461">
        <f t="shared" ref="BK81:BK144" si="5">+BJ81-Y81</f>
        <v>2</v>
      </c>
    </row>
    <row r="82" spans="2:63" s="223" customFormat="1" ht="24" customHeight="1" x14ac:dyDescent="0.25">
      <c r="B82" s="221">
        <v>68</v>
      </c>
      <c r="C82" s="222" t="s">
        <v>41</v>
      </c>
      <c r="D82" s="494">
        <v>30360522</v>
      </c>
      <c r="E82" s="495" t="s">
        <v>995</v>
      </c>
      <c r="F82" s="435" t="s">
        <v>897</v>
      </c>
      <c r="G82" s="460" t="s">
        <v>898</v>
      </c>
      <c r="H82" s="505" t="s">
        <v>996</v>
      </c>
      <c r="I82" s="438" t="s">
        <v>42</v>
      </c>
      <c r="J82" s="497">
        <v>544513</v>
      </c>
      <c r="K82" s="497">
        <v>358298</v>
      </c>
      <c r="L82" s="497">
        <v>186060</v>
      </c>
      <c r="M82" s="497"/>
      <c r="N82" s="497"/>
      <c r="O82" s="497"/>
      <c r="P82" s="497"/>
      <c r="Q82" s="497"/>
      <c r="R82" s="497"/>
      <c r="S82" s="497"/>
      <c r="T82" s="497"/>
      <c r="U82" s="497"/>
      <c r="V82" s="497"/>
      <c r="W82" s="497"/>
      <c r="X82" s="497"/>
      <c r="Y82" s="455">
        <f t="shared" si="3"/>
        <v>0</v>
      </c>
      <c r="Z82" s="498">
        <v>155</v>
      </c>
      <c r="AA82" s="499">
        <v>3</v>
      </c>
      <c r="AB82" s="500">
        <v>44373</v>
      </c>
      <c r="AC82" s="500">
        <v>44273</v>
      </c>
      <c r="AD82" s="498"/>
      <c r="AE82" s="504"/>
      <c r="AF82" s="501"/>
      <c r="AG82" s="500"/>
      <c r="AH82" s="498"/>
      <c r="AI82" s="499"/>
      <c r="AJ82" s="501"/>
      <c r="AK82" s="502"/>
      <c r="AL82" s="498"/>
      <c r="AM82" s="499"/>
      <c r="AN82" s="501"/>
      <c r="AO82" s="502"/>
      <c r="AP82" s="498"/>
      <c r="AQ82" s="499"/>
      <c r="AR82" s="501"/>
      <c r="AS82" s="502"/>
      <c r="AT82" s="502"/>
      <c r="AU82" s="502"/>
      <c r="AV82" s="502"/>
      <c r="AW82" s="502"/>
      <c r="AX82" s="502"/>
      <c r="AY82" s="502"/>
      <c r="AZ82" s="502"/>
      <c r="BA82" s="502"/>
      <c r="BB82" s="502"/>
      <c r="BC82" s="502"/>
      <c r="BD82" s="502"/>
      <c r="BE82" s="502"/>
      <c r="BF82" s="502"/>
      <c r="BG82" s="502"/>
      <c r="BH82" s="502"/>
      <c r="BI82" s="502"/>
      <c r="BJ82" s="154">
        <f t="shared" si="4"/>
        <v>155</v>
      </c>
      <c r="BK82" s="461">
        <f t="shared" si="5"/>
        <v>155</v>
      </c>
    </row>
    <row r="83" spans="2:63" s="223" customFormat="1" ht="24" customHeight="1" x14ac:dyDescent="0.25">
      <c r="B83" s="222">
        <v>69</v>
      </c>
      <c r="C83" s="222" t="s">
        <v>978</v>
      </c>
      <c r="D83" s="494">
        <v>30393577</v>
      </c>
      <c r="E83" s="495" t="s">
        <v>997</v>
      </c>
      <c r="F83" s="435" t="s">
        <v>897</v>
      </c>
      <c r="G83" s="460" t="s">
        <v>898</v>
      </c>
      <c r="H83" s="505" t="s">
        <v>946</v>
      </c>
      <c r="I83" s="438" t="s">
        <v>43</v>
      </c>
      <c r="J83" s="497">
        <v>3828351</v>
      </c>
      <c r="K83" s="497">
        <v>0</v>
      </c>
      <c r="L83" s="497">
        <v>3828349</v>
      </c>
      <c r="M83" s="497"/>
      <c r="N83" s="497"/>
      <c r="O83" s="497"/>
      <c r="P83" s="497"/>
      <c r="Q83" s="497"/>
      <c r="R83" s="497"/>
      <c r="S83" s="497"/>
      <c r="T83" s="497"/>
      <c r="U83" s="497"/>
      <c r="V83" s="497"/>
      <c r="W83" s="497"/>
      <c r="X83" s="497"/>
      <c r="Y83" s="455">
        <f t="shared" ref="Y83:Y146" si="6">SUM(M83:X83)</f>
        <v>0</v>
      </c>
      <c r="Z83" s="498">
        <v>2</v>
      </c>
      <c r="AA83" s="499">
        <v>3</v>
      </c>
      <c r="AB83" s="500">
        <v>44373</v>
      </c>
      <c r="AC83" s="500">
        <v>44273</v>
      </c>
      <c r="AD83" s="498"/>
      <c r="AE83" s="504"/>
      <c r="AF83" s="501"/>
      <c r="AG83" s="500"/>
      <c r="AH83" s="498"/>
      <c r="AI83" s="499"/>
      <c r="AJ83" s="501"/>
      <c r="AK83" s="502"/>
      <c r="AL83" s="498"/>
      <c r="AM83" s="499"/>
      <c r="AN83" s="501"/>
      <c r="AO83" s="502"/>
      <c r="AP83" s="498"/>
      <c r="AQ83" s="499"/>
      <c r="AR83" s="501"/>
      <c r="AS83" s="502"/>
      <c r="AT83" s="502"/>
      <c r="AU83" s="502"/>
      <c r="AV83" s="502"/>
      <c r="AW83" s="502"/>
      <c r="AX83" s="502"/>
      <c r="AY83" s="502"/>
      <c r="AZ83" s="502"/>
      <c r="BA83" s="502"/>
      <c r="BB83" s="502"/>
      <c r="BC83" s="502"/>
      <c r="BD83" s="502"/>
      <c r="BE83" s="502"/>
      <c r="BF83" s="502"/>
      <c r="BG83" s="502"/>
      <c r="BH83" s="502"/>
      <c r="BI83" s="502"/>
      <c r="BJ83" s="154">
        <f t="shared" si="4"/>
        <v>2</v>
      </c>
      <c r="BK83" s="461">
        <f t="shared" si="5"/>
        <v>2</v>
      </c>
    </row>
    <row r="84" spans="2:63" s="223" customFormat="1" ht="24" customHeight="1" x14ac:dyDescent="0.25">
      <c r="B84" s="221">
        <v>70</v>
      </c>
      <c r="C84" s="222" t="s">
        <v>978</v>
      </c>
      <c r="D84" s="494">
        <v>30405172</v>
      </c>
      <c r="E84" s="495" t="s">
        <v>998</v>
      </c>
      <c r="F84" s="435" t="s">
        <v>204</v>
      </c>
      <c r="G84" s="460" t="s">
        <v>898</v>
      </c>
      <c r="H84" s="505" t="s">
        <v>953</v>
      </c>
      <c r="I84" s="438" t="s">
        <v>42</v>
      </c>
      <c r="J84" s="497">
        <v>192687</v>
      </c>
      <c r="K84" s="497">
        <v>174287</v>
      </c>
      <c r="L84" s="497">
        <v>0</v>
      </c>
      <c r="M84" s="497"/>
      <c r="N84" s="497"/>
      <c r="O84" s="497"/>
      <c r="P84" s="497"/>
      <c r="Q84" s="497"/>
      <c r="R84" s="497"/>
      <c r="S84" s="497"/>
      <c r="T84" s="497"/>
      <c r="U84" s="497"/>
      <c r="V84" s="497"/>
      <c r="W84" s="497"/>
      <c r="X84" s="497"/>
      <c r="Y84" s="455">
        <f t="shared" si="6"/>
        <v>0</v>
      </c>
      <c r="Z84" s="498">
        <v>18400</v>
      </c>
      <c r="AA84" s="499">
        <v>3</v>
      </c>
      <c r="AB84" s="500">
        <v>44373</v>
      </c>
      <c r="AC84" s="500">
        <v>44273</v>
      </c>
      <c r="AD84" s="498"/>
      <c r="AE84" s="504"/>
      <c r="AF84" s="501"/>
      <c r="AG84" s="500"/>
      <c r="AH84" s="498"/>
      <c r="AI84" s="499"/>
      <c r="AJ84" s="501"/>
      <c r="AK84" s="502"/>
      <c r="AL84" s="498"/>
      <c r="AM84" s="499"/>
      <c r="AN84" s="501"/>
      <c r="AO84" s="502"/>
      <c r="AP84" s="498"/>
      <c r="AQ84" s="499"/>
      <c r="AR84" s="501"/>
      <c r="AS84" s="502"/>
      <c r="AT84" s="502"/>
      <c r="AU84" s="502"/>
      <c r="AV84" s="502"/>
      <c r="AW84" s="502"/>
      <c r="AX84" s="502"/>
      <c r="AY84" s="502"/>
      <c r="AZ84" s="502"/>
      <c r="BA84" s="502"/>
      <c r="BB84" s="502"/>
      <c r="BC84" s="502"/>
      <c r="BD84" s="502"/>
      <c r="BE84" s="502"/>
      <c r="BF84" s="502"/>
      <c r="BG84" s="502"/>
      <c r="BH84" s="502"/>
      <c r="BI84" s="502"/>
      <c r="BJ84" s="154">
        <f t="shared" si="4"/>
        <v>18400</v>
      </c>
      <c r="BK84" s="461">
        <f t="shared" si="5"/>
        <v>18400</v>
      </c>
    </row>
    <row r="85" spans="2:63" s="223" customFormat="1" ht="24" customHeight="1" x14ac:dyDescent="0.25">
      <c r="B85" s="221">
        <v>71</v>
      </c>
      <c r="C85" s="222" t="s">
        <v>40</v>
      </c>
      <c r="D85" s="494">
        <v>30415581</v>
      </c>
      <c r="E85" s="495" t="s">
        <v>999</v>
      </c>
      <c r="F85" s="435" t="s">
        <v>897</v>
      </c>
      <c r="G85" s="460" t="s">
        <v>898</v>
      </c>
      <c r="H85" s="505" t="s">
        <v>983</v>
      </c>
      <c r="I85" s="438" t="s">
        <v>42</v>
      </c>
      <c r="J85" s="497">
        <v>1824975</v>
      </c>
      <c r="K85" s="497">
        <v>63251</v>
      </c>
      <c r="L85" s="497">
        <v>1688774</v>
      </c>
      <c r="M85" s="497"/>
      <c r="N85" s="497"/>
      <c r="O85" s="497"/>
      <c r="P85" s="497"/>
      <c r="Q85" s="497"/>
      <c r="R85" s="497"/>
      <c r="S85" s="497"/>
      <c r="T85" s="497"/>
      <c r="U85" s="497"/>
      <c r="V85" s="497"/>
      <c r="W85" s="497"/>
      <c r="X85" s="497"/>
      <c r="Y85" s="455">
        <f t="shared" si="6"/>
        <v>0</v>
      </c>
      <c r="Z85" s="498">
        <v>72950</v>
      </c>
      <c r="AA85" s="499">
        <v>3</v>
      </c>
      <c r="AB85" s="500">
        <v>44373</v>
      </c>
      <c r="AC85" s="500">
        <v>44273</v>
      </c>
      <c r="AD85" s="498"/>
      <c r="AE85" s="504"/>
      <c r="AF85" s="501"/>
      <c r="AG85" s="500"/>
      <c r="AH85" s="498"/>
      <c r="AI85" s="499"/>
      <c r="AJ85" s="501"/>
      <c r="AK85" s="502"/>
      <c r="AL85" s="498"/>
      <c r="AM85" s="499"/>
      <c r="AN85" s="501"/>
      <c r="AO85" s="502"/>
      <c r="AP85" s="498"/>
      <c r="AQ85" s="499"/>
      <c r="AR85" s="501"/>
      <c r="AS85" s="502"/>
      <c r="AT85" s="502"/>
      <c r="AU85" s="502"/>
      <c r="AV85" s="502"/>
      <c r="AW85" s="502"/>
      <c r="AX85" s="502"/>
      <c r="AY85" s="502"/>
      <c r="AZ85" s="502"/>
      <c r="BA85" s="502"/>
      <c r="BB85" s="502"/>
      <c r="BC85" s="502"/>
      <c r="BD85" s="502"/>
      <c r="BE85" s="502"/>
      <c r="BF85" s="502"/>
      <c r="BG85" s="502"/>
      <c r="BH85" s="502"/>
      <c r="BI85" s="502"/>
      <c r="BJ85" s="154">
        <f t="shared" si="4"/>
        <v>72950</v>
      </c>
      <c r="BK85" s="461">
        <f t="shared" si="5"/>
        <v>72950</v>
      </c>
    </row>
    <row r="86" spans="2:63" s="223" customFormat="1" ht="24" customHeight="1" x14ac:dyDescent="0.25">
      <c r="B86" s="222">
        <v>72</v>
      </c>
      <c r="C86" s="222" t="s">
        <v>40</v>
      </c>
      <c r="D86" s="494">
        <v>30449124</v>
      </c>
      <c r="E86" s="495" t="s">
        <v>1000</v>
      </c>
      <c r="F86" s="435" t="s">
        <v>897</v>
      </c>
      <c r="G86" s="460" t="s">
        <v>898</v>
      </c>
      <c r="H86" s="505" t="s">
        <v>1001</v>
      </c>
      <c r="I86" s="438" t="s">
        <v>43</v>
      </c>
      <c r="J86" s="497">
        <v>49888</v>
      </c>
      <c r="K86" s="497">
        <v>0</v>
      </c>
      <c r="L86" s="497">
        <v>49887</v>
      </c>
      <c r="M86" s="497"/>
      <c r="N86" s="497"/>
      <c r="O86" s="497"/>
      <c r="P86" s="497"/>
      <c r="Q86" s="497"/>
      <c r="R86" s="497"/>
      <c r="S86" s="497"/>
      <c r="T86" s="497"/>
      <c r="U86" s="497"/>
      <c r="V86" s="497"/>
      <c r="W86" s="497"/>
      <c r="X86" s="497"/>
      <c r="Y86" s="455">
        <f t="shared" si="6"/>
        <v>0</v>
      </c>
      <c r="Z86" s="498">
        <v>1</v>
      </c>
      <c r="AA86" s="499">
        <v>3</v>
      </c>
      <c r="AB86" s="500">
        <v>44373</v>
      </c>
      <c r="AC86" s="500">
        <v>44273</v>
      </c>
      <c r="AD86" s="498"/>
      <c r="AE86" s="504"/>
      <c r="AF86" s="501"/>
      <c r="AG86" s="500"/>
      <c r="AH86" s="498"/>
      <c r="AI86" s="499"/>
      <c r="AJ86" s="501"/>
      <c r="AK86" s="502"/>
      <c r="AL86" s="498"/>
      <c r="AM86" s="499"/>
      <c r="AN86" s="501"/>
      <c r="AO86" s="502"/>
      <c r="AP86" s="498"/>
      <c r="AQ86" s="499"/>
      <c r="AR86" s="501"/>
      <c r="AS86" s="502"/>
      <c r="AT86" s="502"/>
      <c r="AU86" s="502"/>
      <c r="AV86" s="502"/>
      <c r="AW86" s="502"/>
      <c r="AX86" s="502"/>
      <c r="AY86" s="502"/>
      <c r="AZ86" s="502"/>
      <c r="BA86" s="502"/>
      <c r="BB86" s="502"/>
      <c r="BC86" s="502"/>
      <c r="BD86" s="502"/>
      <c r="BE86" s="502"/>
      <c r="BF86" s="502"/>
      <c r="BG86" s="502"/>
      <c r="BH86" s="502"/>
      <c r="BI86" s="502"/>
      <c r="BJ86" s="154">
        <f t="shared" si="4"/>
        <v>1</v>
      </c>
      <c r="BK86" s="461">
        <f t="shared" si="5"/>
        <v>1</v>
      </c>
    </row>
    <row r="87" spans="2:63" s="223" customFormat="1" ht="24" customHeight="1" x14ac:dyDescent="0.25">
      <c r="B87" s="221">
        <v>73</v>
      </c>
      <c r="C87" s="222" t="s">
        <v>40</v>
      </c>
      <c r="D87" s="494">
        <v>30461288</v>
      </c>
      <c r="E87" s="495" t="s">
        <v>1002</v>
      </c>
      <c r="F87" s="435" t="s">
        <v>897</v>
      </c>
      <c r="G87" s="460" t="s">
        <v>898</v>
      </c>
      <c r="H87" s="505" t="s">
        <v>1003</v>
      </c>
      <c r="I87" s="438" t="s">
        <v>43</v>
      </c>
      <c r="J87" s="497">
        <v>43237</v>
      </c>
      <c r="K87" s="497">
        <v>0</v>
      </c>
      <c r="L87" s="497">
        <v>43236</v>
      </c>
      <c r="M87" s="497"/>
      <c r="N87" s="497"/>
      <c r="O87" s="497"/>
      <c r="P87" s="497"/>
      <c r="Q87" s="497"/>
      <c r="R87" s="497"/>
      <c r="S87" s="497"/>
      <c r="T87" s="497"/>
      <c r="U87" s="497"/>
      <c r="V87" s="497"/>
      <c r="W87" s="497"/>
      <c r="X87" s="497"/>
      <c r="Y87" s="455">
        <f t="shared" si="6"/>
        <v>0</v>
      </c>
      <c r="Z87" s="498">
        <v>1</v>
      </c>
      <c r="AA87" s="499">
        <v>3</v>
      </c>
      <c r="AB87" s="500">
        <v>44373</v>
      </c>
      <c r="AC87" s="500">
        <v>44273</v>
      </c>
      <c r="AD87" s="498"/>
      <c r="AE87" s="504"/>
      <c r="AF87" s="501"/>
      <c r="AG87" s="500"/>
      <c r="AH87" s="498"/>
      <c r="AI87" s="499"/>
      <c r="AJ87" s="501"/>
      <c r="AK87" s="502"/>
      <c r="AL87" s="498"/>
      <c r="AM87" s="499"/>
      <c r="AN87" s="501"/>
      <c r="AO87" s="502"/>
      <c r="AP87" s="498"/>
      <c r="AQ87" s="499"/>
      <c r="AR87" s="501"/>
      <c r="AS87" s="502"/>
      <c r="AT87" s="502"/>
      <c r="AU87" s="502"/>
      <c r="AV87" s="502"/>
      <c r="AW87" s="502"/>
      <c r="AX87" s="502"/>
      <c r="AY87" s="502"/>
      <c r="AZ87" s="502"/>
      <c r="BA87" s="502"/>
      <c r="BB87" s="502"/>
      <c r="BC87" s="502"/>
      <c r="BD87" s="502"/>
      <c r="BE87" s="502"/>
      <c r="BF87" s="502"/>
      <c r="BG87" s="502"/>
      <c r="BH87" s="502"/>
      <c r="BI87" s="502"/>
      <c r="BJ87" s="154">
        <f t="shared" si="4"/>
        <v>1</v>
      </c>
      <c r="BK87" s="461">
        <f t="shared" si="5"/>
        <v>1</v>
      </c>
    </row>
    <row r="88" spans="2:63" s="223" customFormat="1" ht="24" customHeight="1" x14ac:dyDescent="0.25">
      <c r="B88" s="221">
        <v>74</v>
      </c>
      <c r="C88" s="222" t="s">
        <v>978</v>
      </c>
      <c r="D88" s="494">
        <v>30462122</v>
      </c>
      <c r="E88" s="495" t="s">
        <v>1004</v>
      </c>
      <c r="F88" s="435" t="s">
        <v>204</v>
      </c>
      <c r="G88" s="460" t="s">
        <v>898</v>
      </c>
      <c r="H88" s="505" t="s">
        <v>925</v>
      </c>
      <c r="I88" s="438" t="s">
        <v>42</v>
      </c>
      <c r="J88" s="497">
        <v>18042</v>
      </c>
      <c r="K88" s="497">
        <v>0</v>
      </c>
      <c r="L88" s="497">
        <v>11218</v>
      </c>
      <c r="M88" s="497"/>
      <c r="N88" s="497"/>
      <c r="O88" s="497"/>
      <c r="P88" s="497"/>
      <c r="Q88" s="497"/>
      <c r="R88" s="497"/>
      <c r="S88" s="497"/>
      <c r="T88" s="497"/>
      <c r="U88" s="497"/>
      <c r="V88" s="497"/>
      <c r="W88" s="497"/>
      <c r="X88" s="497"/>
      <c r="Y88" s="455">
        <f t="shared" si="6"/>
        <v>0</v>
      </c>
      <c r="Z88" s="498">
        <v>6824</v>
      </c>
      <c r="AA88" s="499">
        <v>3</v>
      </c>
      <c r="AB88" s="500">
        <v>44373</v>
      </c>
      <c r="AC88" s="500">
        <v>44273</v>
      </c>
      <c r="AD88" s="498"/>
      <c r="AE88" s="504"/>
      <c r="AF88" s="501"/>
      <c r="AG88" s="500"/>
      <c r="AH88" s="498"/>
      <c r="AI88" s="499"/>
      <c r="AJ88" s="501"/>
      <c r="AK88" s="502"/>
      <c r="AL88" s="498"/>
      <c r="AM88" s="499"/>
      <c r="AN88" s="501"/>
      <c r="AO88" s="502"/>
      <c r="AP88" s="498"/>
      <c r="AQ88" s="499"/>
      <c r="AR88" s="501"/>
      <c r="AS88" s="502"/>
      <c r="AT88" s="502"/>
      <c r="AU88" s="502"/>
      <c r="AV88" s="502"/>
      <c r="AW88" s="502"/>
      <c r="AX88" s="502"/>
      <c r="AY88" s="502"/>
      <c r="AZ88" s="502"/>
      <c r="BA88" s="502"/>
      <c r="BB88" s="502"/>
      <c r="BC88" s="502"/>
      <c r="BD88" s="502"/>
      <c r="BE88" s="502"/>
      <c r="BF88" s="502"/>
      <c r="BG88" s="502"/>
      <c r="BH88" s="502"/>
      <c r="BI88" s="502"/>
      <c r="BJ88" s="154">
        <f t="shared" si="4"/>
        <v>6824</v>
      </c>
      <c r="BK88" s="461">
        <f t="shared" si="5"/>
        <v>6824</v>
      </c>
    </row>
    <row r="89" spans="2:63" s="223" customFormat="1" ht="24" customHeight="1" x14ac:dyDescent="0.25">
      <c r="B89" s="222">
        <v>75</v>
      </c>
      <c r="C89" s="222" t="s">
        <v>978</v>
      </c>
      <c r="D89" s="494">
        <v>30462490</v>
      </c>
      <c r="E89" s="495" t="s">
        <v>1005</v>
      </c>
      <c r="F89" s="435" t="s">
        <v>897</v>
      </c>
      <c r="G89" s="460" t="s">
        <v>898</v>
      </c>
      <c r="H89" s="505" t="s">
        <v>938</v>
      </c>
      <c r="I89" s="438" t="s">
        <v>43</v>
      </c>
      <c r="J89" s="497">
        <v>955508</v>
      </c>
      <c r="K89" s="497">
        <v>0</v>
      </c>
      <c r="L89" s="497">
        <v>795508</v>
      </c>
      <c r="M89" s="497"/>
      <c r="N89" s="497"/>
      <c r="O89" s="497"/>
      <c r="P89" s="497"/>
      <c r="Q89" s="497"/>
      <c r="R89" s="497"/>
      <c r="S89" s="497"/>
      <c r="T89" s="497"/>
      <c r="U89" s="497"/>
      <c r="V89" s="497"/>
      <c r="W89" s="497"/>
      <c r="X89" s="497"/>
      <c r="Y89" s="455">
        <f t="shared" si="6"/>
        <v>0</v>
      </c>
      <c r="Z89" s="498">
        <v>160000</v>
      </c>
      <c r="AA89" s="499">
        <v>3</v>
      </c>
      <c r="AB89" s="500">
        <v>44373</v>
      </c>
      <c r="AC89" s="500">
        <v>44273</v>
      </c>
      <c r="AD89" s="498">
        <v>300000</v>
      </c>
      <c r="AE89" s="504">
        <v>10</v>
      </c>
      <c r="AF89" s="500">
        <v>44284</v>
      </c>
      <c r="AG89" s="500">
        <v>44286</v>
      </c>
      <c r="AH89" s="498"/>
      <c r="AI89" s="499"/>
      <c r="AJ89" s="501"/>
      <c r="AK89" s="502"/>
      <c r="AL89" s="498"/>
      <c r="AM89" s="499"/>
      <c r="AN89" s="501"/>
      <c r="AO89" s="502"/>
      <c r="AP89" s="498"/>
      <c r="AQ89" s="499"/>
      <c r="AR89" s="501"/>
      <c r="AS89" s="502"/>
      <c r="AT89" s="502"/>
      <c r="AU89" s="502"/>
      <c r="AV89" s="502"/>
      <c r="AW89" s="502"/>
      <c r="AX89" s="502"/>
      <c r="AY89" s="502"/>
      <c r="AZ89" s="502"/>
      <c r="BA89" s="502"/>
      <c r="BB89" s="502"/>
      <c r="BC89" s="502"/>
      <c r="BD89" s="502"/>
      <c r="BE89" s="502"/>
      <c r="BF89" s="502"/>
      <c r="BG89" s="502"/>
      <c r="BH89" s="502"/>
      <c r="BI89" s="502"/>
      <c r="BJ89" s="154">
        <f t="shared" si="4"/>
        <v>460000</v>
      </c>
      <c r="BK89" s="461">
        <f t="shared" si="5"/>
        <v>460000</v>
      </c>
    </row>
    <row r="90" spans="2:63" s="223" customFormat="1" ht="24" customHeight="1" x14ac:dyDescent="0.25">
      <c r="B90" s="221">
        <v>76</v>
      </c>
      <c r="C90" s="222" t="s">
        <v>978</v>
      </c>
      <c r="D90" s="494">
        <v>40001638</v>
      </c>
      <c r="E90" s="495" t="s">
        <v>1006</v>
      </c>
      <c r="F90" s="435" t="s">
        <v>897</v>
      </c>
      <c r="G90" s="460" t="s">
        <v>898</v>
      </c>
      <c r="H90" s="505" t="s">
        <v>1007</v>
      </c>
      <c r="I90" s="438" t="s">
        <v>42</v>
      </c>
      <c r="J90" s="497">
        <v>6093411</v>
      </c>
      <c r="K90" s="497">
        <v>5815975</v>
      </c>
      <c r="L90" s="497">
        <v>210000</v>
      </c>
      <c r="M90" s="497"/>
      <c r="N90" s="497"/>
      <c r="O90" s="497"/>
      <c r="P90" s="497"/>
      <c r="Q90" s="497"/>
      <c r="R90" s="497"/>
      <c r="S90" s="497"/>
      <c r="T90" s="497"/>
      <c r="U90" s="497"/>
      <c r="V90" s="497"/>
      <c r="W90" s="497"/>
      <c r="X90" s="497"/>
      <c r="Y90" s="455">
        <f t="shared" si="6"/>
        <v>0</v>
      </c>
      <c r="Z90" s="498">
        <v>67436</v>
      </c>
      <c r="AA90" s="499">
        <v>3</v>
      </c>
      <c r="AB90" s="500">
        <v>44373</v>
      </c>
      <c r="AC90" s="500">
        <v>44273</v>
      </c>
      <c r="AD90" s="498"/>
      <c r="AE90" s="504"/>
      <c r="AF90" s="501"/>
      <c r="AG90" s="500"/>
      <c r="AH90" s="498"/>
      <c r="AI90" s="499"/>
      <c r="AJ90" s="501"/>
      <c r="AK90" s="502"/>
      <c r="AL90" s="498"/>
      <c r="AM90" s="499"/>
      <c r="AN90" s="501"/>
      <c r="AO90" s="502"/>
      <c r="AP90" s="498"/>
      <c r="AQ90" s="499"/>
      <c r="AR90" s="501"/>
      <c r="AS90" s="502"/>
      <c r="AT90" s="502"/>
      <c r="AU90" s="502"/>
      <c r="AV90" s="502"/>
      <c r="AW90" s="502"/>
      <c r="AX90" s="502"/>
      <c r="AY90" s="502"/>
      <c r="AZ90" s="502"/>
      <c r="BA90" s="502"/>
      <c r="BB90" s="502"/>
      <c r="BC90" s="502"/>
      <c r="BD90" s="502"/>
      <c r="BE90" s="502"/>
      <c r="BF90" s="502"/>
      <c r="BG90" s="502"/>
      <c r="BH90" s="502"/>
      <c r="BI90" s="502"/>
      <c r="BJ90" s="154">
        <f t="shared" si="4"/>
        <v>67436</v>
      </c>
      <c r="BK90" s="461">
        <f t="shared" si="5"/>
        <v>67436</v>
      </c>
    </row>
    <row r="91" spans="2:63" s="223" customFormat="1" ht="24" customHeight="1" x14ac:dyDescent="0.25">
      <c r="B91" s="221">
        <v>77</v>
      </c>
      <c r="C91" s="222" t="s">
        <v>40</v>
      </c>
      <c r="D91" s="494">
        <v>40010190</v>
      </c>
      <c r="E91" s="495" t="s">
        <v>1008</v>
      </c>
      <c r="F91" s="435" t="s">
        <v>897</v>
      </c>
      <c r="G91" s="460" t="s">
        <v>898</v>
      </c>
      <c r="H91" s="505" t="s">
        <v>1009</v>
      </c>
      <c r="I91" s="438" t="s">
        <v>43</v>
      </c>
      <c r="J91" s="497">
        <v>29375</v>
      </c>
      <c r="K91" s="497">
        <v>0</v>
      </c>
      <c r="L91" s="497">
        <v>29373</v>
      </c>
      <c r="M91" s="497"/>
      <c r="N91" s="497"/>
      <c r="O91" s="497"/>
      <c r="P91" s="497"/>
      <c r="Q91" s="497"/>
      <c r="R91" s="497"/>
      <c r="S91" s="497"/>
      <c r="T91" s="497"/>
      <c r="U91" s="497"/>
      <c r="V91" s="497"/>
      <c r="W91" s="497"/>
      <c r="X91" s="497"/>
      <c r="Y91" s="455">
        <f t="shared" si="6"/>
        <v>0</v>
      </c>
      <c r="Z91" s="498">
        <v>2</v>
      </c>
      <c r="AA91" s="499">
        <v>3</v>
      </c>
      <c r="AB91" s="500">
        <v>44373</v>
      </c>
      <c r="AC91" s="500">
        <v>44273</v>
      </c>
      <c r="AD91" s="498"/>
      <c r="AE91" s="504"/>
      <c r="AF91" s="501"/>
      <c r="AG91" s="500"/>
      <c r="AH91" s="498"/>
      <c r="AI91" s="499"/>
      <c r="AJ91" s="501"/>
      <c r="AK91" s="502"/>
      <c r="AL91" s="498"/>
      <c r="AM91" s="499"/>
      <c r="AN91" s="501"/>
      <c r="AO91" s="502"/>
      <c r="AP91" s="498"/>
      <c r="AQ91" s="499"/>
      <c r="AR91" s="501"/>
      <c r="AS91" s="502"/>
      <c r="AT91" s="502"/>
      <c r="AU91" s="502"/>
      <c r="AV91" s="502"/>
      <c r="AW91" s="502"/>
      <c r="AX91" s="502"/>
      <c r="AY91" s="502"/>
      <c r="AZ91" s="502"/>
      <c r="BA91" s="502"/>
      <c r="BB91" s="502"/>
      <c r="BC91" s="502"/>
      <c r="BD91" s="502"/>
      <c r="BE91" s="502"/>
      <c r="BF91" s="502"/>
      <c r="BG91" s="502"/>
      <c r="BH91" s="502"/>
      <c r="BI91" s="502"/>
      <c r="BJ91" s="154">
        <f t="shared" si="4"/>
        <v>2</v>
      </c>
      <c r="BK91" s="461">
        <f t="shared" si="5"/>
        <v>2</v>
      </c>
    </row>
    <row r="92" spans="2:63" s="223" customFormat="1" ht="24" customHeight="1" x14ac:dyDescent="0.25">
      <c r="B92" s="222">
        <v>78</v>
      </c>
      <c r="C92" s="222" t="s">
        <v>41</v>
      </c>
      <c r="D92" s="494">
        <v>30084599</v>
      </c>
      <c r="E92" s="495" t="s">
        <v>1010</v>
      </c>
      <c r="F92" s="435" t="s">
        <v>897</v>
      </c>
      <c r="G92" s="460" t="s">
        <v>898</v>
      </c>
      <c r="H92" s="505" t="s">
        <v>913</v>
      </c>
      <c r="I92" s="438" t="s">
        <v>43</v>
      </c>
      <c r="J92" s="497">
        <v>317189</v>
      </c>
      <c r="K92" s="497">
        <v>0</v>
      </c>
      <c r="L92" s="497">
        <v>317186</v>
      </c>
      <c r="M92" s="497"/>
      <c r="N92" s="497"/>
      <c r="O92" s="497"/>
      <c r="P92" s="497"/>
      <c r="Q92" s="497"/>
      <c r="R92" s="497"/>
      <c r="S92" s="497"/>
      <c r="T92" s="497"/>
      <c r="U92" s="497"/>
      <c r="V92" s="497"/>
      <c r="W92" s="497"/>
      <c r="X92" s="497"/>
      <c r="Y92" s="455">
        <f t="shared" si="6"/>
        <v>0</v>
      </c>
      <c r="Z92" s="498">
        <v>3</v>
      </c>
      <c r="AA92" s="499">
        <v>4</v>
      </c>
      <c r="AB92" s="500">
        <v>44263</v>
      </c>
      <c r="AC92" s="500">
        <v>44284</v>
      </c>
      <c r="AD92" s="498"/>
      <c r="AE92" s="504"/>
      <c r="AF92" s="501"/>
      <c r="AG92" s="500"/>
      <c r="AH92" s="498"/>
      <c r="AI92" s="499"/>
      <c r="AJ92" s="501"/>
      <c r="AK92" s="502"/>
      <c r="AL92" s="498"/>
      <c r="AM92" s="499"/>
      <c r="AN92" s="501"/>
      <c r="AO92" s="502"/>
      <c r="AP92" s="498"/>
      <c r="AQ92" s="499"/>
      <c r="AR92" s="501"/>
      <c r="AS92" s="502"/>
      <c r="AT92" s="502"/>
      <c r="AU92" s="502"/>
      <c r="AV92" s="502"/>
      <c r="AW92" s="502"/>
      <c r="AX92" s="502"/>
      <c r="AY92" s="502"/>
      <c r="AZ92" s="502"/>
      <c r="BA92" s="502"/>
      <c r="BB92" s="502"/>
      <c r="BC92" s="502"/>
      <c r="BD92" s="502"/>
      <c r="BE92" s="502"/>
      <c r="BF92" s="502"/>
      <c r="BG92" s="502"/>
      <c r="BH92" s="502"/>
      <c r="BI92" s="502"/>
      <c r="BJ92" s="154">
        <f t="shared" si="4"/>
        <v>3</v>
      </c>
      <c r="BK92" s="461">
        <f t="shared" si="5"/>
        <v>3</v>
      </c>
    </row>
    <row r="93" spans="2:63" s="223" customFormat="1" ht="24" customHeight="1" x14ac:dyDescent="0.25">
      <c r="B93" s="221">
        <v>79</v>
      </c>
      <c r="C93" s="222" t="s">
        <v>41</v>
      </c>
      <c r="D93" s="494">
        <v>30085093</v>
      </c>
      <c r="E93" s="495" t="s">
        <v>1011</v>
      </c>
      <c r="F93" s="435" t="s">
        <v>897</v>
      </c>
      <c r="G93" s="460" t="s">
        <v>898</v>
      </c>
      <c r="H93" s="505" t="s">
        <v>901</v>
      </c>
      <c r="I93" s="438" t="s">
        <v>43</v>
      </c>
      <c r="J93" s="497">
        <v>87908</v>
      </c>
      <c r="K93" s="497">
        <v>0</v>
      </c>
      <c r="L93" s="497">
        <v>87905</v>
      </c>
      <c r="M93" s="497"/>
      <c r="N93" s="497"/>
      <c r="O93" s="497"/>
      <c r="P93" s="497"/>
      <c r="Q93" s="497"/>
      <c r="R93" s="497"/>
      <c r="S93" s="497"/>
      <c r="T93" s="497"/>
      <c r="U93" s="497"/>
      <c r="V93" s="497"/>
      <c r="W93" s="497"/>
      <c r="X93" s="497"/>
      <c r="Y93" s="455">
        <f t="shared" si="6"/>
        <v>0</v>
      </c>
      <c r="Z93" s="498">
        <v>3</v>
      </c>
      <c r="AA93" s="499">
        <v>4</v>
      </c>
      <c r="AB93" s="500">
        <v>44263</v>
      </c>
      <c r="AC93" s="500">
        <v>44284</v>
      </c>
      <c r="AD93" s="498"/>
      <c r="AE93" s="504"/>
      <c r="AF93" s="501"/>
      <c r="AG93" s="500"/>
      <c r="AH93" s="498"/>
      <c r="AI93" s="499"/>
      <c r="AJ93" s="501"/>
      <c r="AK93" s="502"/>
      <c r="AL93" s="498"/>
      <c r="AM93" s="499"/>
      <c r="AN93" s="501"/>
      <c r="AO93" s="502"/>
      <c r="AP93" s="498"/>
      <c r="AQ93" s="499"/>
      <c r="AR93" s="501"/>
      <c r="AS93" s="502"/>
      <c r="AT93" s="502"/>
      <c r="AU93" s="502"/>
      <c r="AV93" s="502"/>
      <c r="AW93" s="502"/>
      <c r="AX93" s="502"/>
      <c r="AY93" s="502"/>
      <c r="AZ93" s="502"/>
      <c r="BA93" s="502"/>
      <c r="BB93" s="502"/>
      <c r="BC93" s="502"/>
      <c r="BD93" s="502"/>
      <c r="BE93" s="502"/>
      <c r="BF93" s="502"/>
      <c r="BG93" s="502"/>
      <c r="BH93" s="502"/>
      <c r="BI93" s="502"/>
      <c r="BJ93" s="154">
        <f t="shared" si="4"/>
        <v>3</v>
      </c>
      <c r="BK93" s="461">
        <f t="shared" si="5"/>
        <v>3</v>
      </c>
    </row>
    <row r="94" spans="2:63" s="223" customFormat="1" ht="24" customHeight="1" x14ac:dyDescent="0.25">
      <c r="B94" s="221">
        <v>80</v>
      </c>
      <c r="C94" s="222" t="s">
        <v>38</v>
      </c>
      <c r="D94" s="494">
        <v>30092591</v>
      </c>
      <c r="E94" s="495" t="s">
        <v>1012</v>
      </c>
      <c r="F94" s="435" t="s">
        <v>204</v>
      </c>
      <c r="G94" s="460" t="s">
        <v>898</v>
      </c>
      <c r="H94" s="505" t="s">
        <v>899</v>
      </c>
      <c r="I94" s="438" t="s">
        <v>42</v>
      </c>
      <c r="J94" s="497">
        <v>41993</v>
      </c>
      <c r="K94" s="497">
        <v>24279</v>
      </c>
      <c r="L94" s="497">
        <v>11939</v>
      </c>
      <c r="M94" s="497"/>
      <c r="N94" s="497"/>
      <c r="O94" s="497"/>
      <c r="P94" s="497"/>
      <c r="Q94" s="497"/>
      <c r="R94" s="497"/>
      <c r="S94" s="497"/>
      <c r="T94" s="497"/>
      <c r="U94" s="497"/>
      <c r="V94" s="497"/>
      <c r="W94" s="497"/>
      <c r="X94" s="497"/>
      <c r="Y94" s="455">
        <f t="shared" si="6"/>
        <v>0</v>
      </c>
      <c r="Z94" s="498">
        <v>5775</v>
      </c>
      <c r="AA94" s="499">
        <v>4</v>
      </c>
      <c r="AB94" s="500">
        <v>44263</v>
      </c>
      <c r="AC94" s="500">
        <v>44284</v>
      </c>
      <c r="AD94" s="498"/>
      <c r="AE94" s="504"/>
      <c r="AF94" s="501"/>
      <c r="AG94" s="500"/>
      <c r="AH94" s="498"/>
      <c r="AI94" s="499"/>
      <c r="AJ94" s="501"/>
      <c r="AK94" s="502"/>
      <c r="AL94" s="498"/>
      <c r="AM94" s="499"/>
      <c r="AN94" s="501"/>
      <c r="AO94" s="502"/>
      <c r="AP94" s="498"/>
      <c r="AQ94" s="499"/>
      <c r="AR94" s="501"/>
      <c r="AS94" s="502"/>
      <c r="AT94" s="502"/>
      <c r="AU94" s="502"/>
      <c r="AV94" s="502"/>
      <c r="AW94" s="502"/>
      <c r="AX94" s="502"/>
      <c r="AY94" s="502"/>
      <c r="AZ94" s="502"/>
      <c r="BA94" s="502"/>
      <c r="BB94" s="502"/>
      <c r="BC94" s="502"/>
      <c r="BD94" s="502"/>
      <c r="BE94" s="502"/>
      <c r="BF94" s="502"/>
      <c r="BG94" s="502"/>
      <c r="BH94" s="502"/>
      <c r="BI94" s="502"/>
      <c r="BJ94" s="154">
        <f t="shared" si="4"/>
        <v>5775</v>
      </c>
      <c r="BK94" s="461">
        <f t="shared" si="5"/>
        <v>5775</v>
      </c>
    </row>
    <row r="95" spans="2:63" s="223" customFormat="1" ht="24" customHeight="1" x14ac:dyDescent="0.25">
      <c r="B95" s="222">
        <v>81</v>
      </c>
      <c r="C95" s="222" t="s">
        <v>38</v>
      </c>
      <c r="D95" s="494">
        <v>30093490</v>
      </c>
      <c r="E95" s="495" t="s">
        <v>1013</v>
      </c>
      <c r="F95" s="435" t="s">
        <v>897</v>
      </c>
      <c r="G95" s="460" t="s">
        <v>898</v>
      </c>
      <c r="H95" s="505" t="s">
        <v>1014</v>
      </c>
      <c r="I95" s="438" t="s">
        <v>42</v>
      </c>
      <c r="J95" s="497">
        <v>16359426</v>
      </c>
      <c r="K95" s="497">
        <v>4544</v>
      </c>
      <c r="L95" s="497">
        <v>16354880</v>
      </c>
      <c r="M95" s="497"/>
      <c r="N95" s="497"/>
      <c r="O95" s="497"/>
      <c r="P95" s="497"/>
      <c r="Q95" s="497"/>
      <c r="R95" s="497"/>
      <c r="S95" s="497"/>
      <c r="T95" s="497"/>
      <c r="U95" s="497"/>
      <c r="V95" s="497"/>
      <c r="W95" s="497"/>
      <c r="X95" s="497"/>
      <c r="Y95" s="455">
        <f t="shared" si="6"/>
        <v>0</v>
      </c>
      <c r="Z95" s="498">
        <v>2</v>
      </c>
      <c r="AA95" s="499">
        <v>4</v>
      </c>
      <c r="AB95" s="500">
        <v>44263</v>
      </c>
      <c r="AC95" s="500">
        <v>44284</v>
      </c>
      <c r="AD95" s="498"/>
      <c r="AE95" s="504"/>
      <c r="AF95" s="501"/>
      <c r="AG95" s="500"/>
      <c r="AH95" s="498"/>
      <c r="AI95" s="499"/>
      <c r="AJ95" s="501"/>
      <c r="AK95" s="502"/>
      <c r="AL95" s="498"/>
      <c r="AM95" s="499"/>
      <c r="AN95" s="501"/>
      <c r="AO95" s="502"/>
      <c r="AP95" s="498"/>
      <c r="AQ95" s="499"/>
      <c r="AR95" s="501"/>
      <c r="AS95" s="502"/>
      <c r="AT95" s="502"/>
      <c r="AU95" s="502"/>
      <c r="AV95" s="502"/>
      <c r="AW95" s="502"/>
      <c r="AX95" s="502"/>
      <c r="AY95" s="502"/>
      <c r="AZ95" s="502"/>
      <c r="BA95" s="502"/>
      <c r="BB95" s="502"/>
      <c r="BC95" s="502"/>
      <c r="BD95" s="502"/>
      <c r="BE95" s="502"/>
      <c r="BF95" s="502"/>
      <c r="BG95" s="502"/>
      <c r="BH95" s="502"/>
      <c r="BI95" s="502"/>
      <c r="BJ95" s="154">
        <f t="shared" si="4"/>
        <v>2</v>
      </c>
      <c r="BK95" s="461">
        <f t="shared" si="5"/>
        <v>2</v>
      </c>
    </row>
    <row r="96" spans="2:63" s="223" customFormat="1" ht="24" customHeight="1" x14ac:dyDescent="0.25">
      <c r="B96" s="221">
        <v>82</v>
      </c>
      <c r="C96" s="222" t="s">
        <v>38</v>
      </c>
      <c r="D96" s="494">
        <v>30102014</v>
      </c>
      <c r="E96" s="495" t="s">
        <v>1015</v>
      </c>
      <c r="F96" s="435" t="s">
        <v>204</v>
      </c>
      <c r="G96" s="460" t="s">
        <v>898</v>
      </c>
      <c r="H96" s="505" t="s">
        <v>946</v>
      </c>
      <c r="I96" s="438" t="s">
        <v>42</v>
      </c>
      <c r="J96" s="497">
        <v>849541</v>
      </c>
      <c r="K96" s="497">
        <v>269611</v>
      </c>
      <c r="L96" s="497">
        <v>276956</v>
      </c>
      <c r="M96" s="497"/>
      <c r="N96" s="497"/>
      <c r="O96" s="497"/>
      <c r="P96" s="497"/>
      <c r="Q96" s="497"/>
      <c r="R96" s="497"/>
      <c r="S96" s="497"/>
      <c r="T96" s="497"/>
      <c r="U96" s="497"/>
      <c r="V96" s="497"/>
      <c r="W96" s="497"/>
      <c r="X96" s="497"/>
      <c r="Y96" s="455">
        <f t="shared" si="6"/>
        <v>0</v>
      </c>
      <c r="Z96" s="498">
        <v>302974</v>
      </c>
      <c r="AA96" s="499">
        <v>4</v>
      </c>
      <c r="AB96" s="500">
        <v>44263</v>
      </c>
      <c r="AC96" s="500">
        <v>44284</v>
      </c>
      <c r="AD96" s="498"/>
      <c r="AE96" s="504"/>
      <c r="AF96" s="501"/>
      <c r="AG96" s="500"/>
      <c r="AH96" s="498"/>
      <c r="AI96" s="499"/>
      <c r="AJ96" s="501"/>
      <c r="AK96" s="502"/>
      <c r="AL96" s="498"/>
      <c r="AM96" s="499"/>
      <c r="AN96" s="501"/>
      <c r="AO96" s="502"/>
      <c r="AP96" s="498"/>
      <c r="AQ96" s="499"/>
      <c r="AR96" s="501"/>
      <c r="AS96" s="502"/>
      <c r="AT96" s="502"/>
      <c r="AU96" s="502"/>
      <c r="AV96" s="502"/>
      <c r="AW96" s="502"/>
      <c r="AX96" s="502"/>
      <c r="AY96" s="502"/>
      <c r="AZ96" s="502"/>
      <c r="BA96" s="502"/>
      <c r="BB96" s="502"/>
      <c r="BC96" s="502"/>
      <c r="BD96" s="502"/>
      <c r="BE96" s="502"/>
      <c r="BF96" s="502"/>
      <c r="BG96" s="502"/>
      <c r="BH96" s="502"/>
      <c r="BI96" s="502"/>
      <c r="BJ96" s="154">
        <f t="shared" si="4"/>
        <v>302974</v>
      </c>
      <c r="BK96" s="461">
        <f t="shared" si="5"/>
        <v>302974</v>
      </c>
    </row>
    <row r="97" spans="2:63" s="223" customFormat="1" ht="24" customHeight="1" x14ac:dyDescent="0.25">
      <c r="B97" s="221">
        <v>83</v>
      </c>
      <c r="C97" s="222" t="s">
        <v>38</v>
      </c>
      <c r="D97" s="494">
        <v>30113022</v>
      </c>
      <c r="E97" s="495" t="s">
        <v>1016</v>
      </c>
      <c r="F97" s="435" t="s">
        <v>897</v>
      </c>
      <c r="G97" s="460" t="s">
        <v>898</v>
      </c>
      <c r="H97" s="505" t="s">
        <v>1017</v>
      </c>
      <c r="I97" s="438" t="s">
        <v>42</v>
      </c>
      <c r="J97" s="497">
        <v>1211806</v>
      </c>
      <c r="K97" s="497">
        <v>7086</v>
      </c>
      <c r="L97" s="497">
        <v>1204718</v>
      </c>
      <c r="M97" s="497"/>
      <c r="N97" s="497"/>
      <c r="O97" s="497"/>
      <c r="P97" s="497"/>
      <c r="Q97" s="497"/>
      <c r="R97" s="497"/>
      <c r="S97" s="497"/>
      <c r="T97" s="497"/>
      <c r="U97" s="497"/>
      <c r="V97" s="497"/>
      <c r="W97" s="497"/>
      <c r="X97" s="497"/>
      <c r="Y97" s="455">
        <f t="shared" si="6"/>
        <v>0</v>
      </c>
      <c r="Z97" s="498">
        <v>2</v>
      </c>
      <c r="AA97" s="499">
        <v>4</v>
      </c>
      <c r="AB97" s="500">
        <v>44263</v>
      </c>
      <c r="AC97" s="500">
        <v>44284</v>
      </c>
      <c r="AD97" s="498"/>
      <c r="AE97" s="504"/>
      <c r="AF97" s="501"/>
      <c r="AG97" s="500"/>
      <c r="AH97" s="498"/>
      <c r="AI97" s="499"/>
      <c r="AJ97" s="501"/>
      <c r="AK97" s="502"/>
      <c r="AL97" s="498"/>
      <c r="AM97" s="499"/>
      <c r="AN97" s="501"/>
      <c r="AO97" s="502"/>
      <c r="AP97" s="498"/>
      <c r="AQ97" s="499"/>
      <c r="AR97" s="501"/>
      <c r="AS97" s="502"/>
      <c r="AT97" s="502"/>
      <c r="AU97" s="502"/>
      <c r="AV97" s="502"/>
      <c r="AW97" s="502"/>
      <c r="AX97" s="502"/>
      <c r="AY97" s="502"/>
      <c r="AZ97" s="502"/>
      <c r="BA97" s="502"/>
      <c r="BB97" s="502"/>
      <c r="BC97" s="502"/>
      <c r="BD97" s="502"/>
      <c r="BE97" s="502"/>
      <c r="BF97" s="502"/>
      <c r="BG97" s="502"/>
      <c r="BH97" s="502"/>
      <c r="BI97" s="502"/>
      <c r="BJ97" s="154">
        <f t="shared" si="4"/>
        <v>2</v>
      </c>
      <c r="BK97" s="461">
        <f t="shared" si="5"/>
        <v>2</v>
      </c>
    </row>
    <row r="98" spans="2:63" s="223" customFormat="1" ht="24" customHeight="1" x14ac:dyDescent="0.25">
      <c r="B98" s="222">
        <v>84</v>
      </c>
      <c r="C98" s="222" t="s">
        <v>38</v>
      </c>
      <c r="D98" s="494">
        <v>30113025</v>
      </c>
      <c r="E98" s="495" t="s">
        <v>1018</v>
      </c>
      <c r="F98" s="435" t="s">
        <v>897</v>
      </c>
      <c r="G98" s="460" t="s">
        <v>898</v>
      </c>
      <c r="H98" s="505" t="s">
        <v>911</v>
      </c>
      <c r="I98" s="438" t="s">
        <v>43</v>
      </c>
      <c r="J98" s="497">
        <v>1144563</v>
      </c>
      <c r="K98" s="497">
        <v>0</v>
      </c>
      <c r="L98" s="497">
        <v>1144561</v>
      </c>
      <c r="M98" s="497"/>
      <c r="N98" s="497"/>
      <c r="O98" s="497"/>
      <c r="P98" s="497"/>
      <c r="Q98" s="497"/>
      <c r="R98" s="497"/>
      <c r="S98" s="497"/>
      <c r="T98" s="497"/>
      <c r="U98" s="497"/>
      <c r="V98" s="497"/>
      <c r="W98" s="497"/>
      <c r="X98" s="497"/>
      <c r="Y98" s="455">
        <f t="shared" si="6"/>
        <v>0</v>
      </c>
      <c r="Z98" s="498">
        <v>2</v>
      </c>
      <c r="AA98" s="499">
        <v>4</v>
      </c>
      <c r="AB98" s="500">
        <v>44263</v>
      </c>
      <c r="AC98" s="500">
        <v>44284</v>
      </c>
      <c r="AD98" s="498"/>
      <c r="AE98" s="504"/>
      <c r="AF98" s="501"/>
      <c r="AG98" s="500"/>
      <c r="AH98" s="498"/>
      <c r="AI98" s="499"/>
      <c r="AJ98" s="501"/>
      <c r="AK98" s="502"/>
      <c r="AL98" s="498"/>
      <c r="AM98" s="499"/>
      <c r="AN98" s="501"/>
      <c r="AO98" s="502"/>
      <c r="AP98" s="498"/>
      <c r="AQ98" s="499"/>
      <c r="AR98" s="501"/>
      <c r="AS98" s="502"/>
      <c r="AT98" s="502"/>
      <c r="AU98" s="502"/>
      <c r="AV98" s="502"/>
      <c r="AW98" s="502"/>
      <c r="AX98" s="502"/>
      <c r="AY98" s="502"/>
      <c r="AZ98" s="502"/>
      <c r="BA98" s="502"/>
      <c r="BB98" s="502"/>
      <c r="BC98" s="502"/>
      <c r="BD98" s="502"/>
      <c r="BE98" s="502"/>
      <c r="BF98" s="502"/>
      <c r="BG98" s="502"/>
      <c r="BH98" s="502"/>
      <c r="BI98" s="502"/>
      <c r="BJ98" s="154">
        <f t="shared" si="4"/>
        <v>2</v>
      </c>
      <c r="BK98" s="461">
        <f t="shared" si="5"/>
        <v>2</v>
      </c>
    </row>
    <row r="99" spans="2:63" s="223" customFormat="1" ht="24" customHeight="1" x14ac:dyDescent="0.25">
      <c r="B99" s="221">
        <v>85</v>
      </c>
      <c r="C99" s="222" t="s">
        <v>38</v>
      </c>
      <c r="D99" s="494">
        <v>30113031</v>
      </c>
      <c r="E99" s="495" t="s">
        <v>1019</v>
      </c>
      <c r="F99" s="435" t="s">
        <v>204</v>
      </c>
      <c r="G99" s="460" t="s">
        <v>898</v>
      </c>
      <c r="H99" s="505" t="s">
        <v>905</v>
      </c>
      <c r="I99" s="438" t="s">
        <v>43</v>
      </c>
      <c r="J99" s="497">
        <v>147994</v>
      </c>
      <c r="K99" s="497">
        <v>0</v>
      </c>
      <c r="L99" s="497">
        <v>147992</v>
      </c>
      <c r="M99" s="497"/>
      <c r="N99" s="497"/>
      <c r="O99" s="497"/>
      <c r="P99" s="497"/>
      <c r="Q99" s="497"/>
      <c r="R99" s="497"/>
      <c r="S99" s="497"/>
      <c r="T99" s="497"/>
      <c r="U99" s="497"/>
      <c r="V99" s="497"/>
      <c r="W99" s="497"/>
      <c r="X99" s="497"/>
      <c r="Y99" s="455">
        <f t="shared" si="6"/>
        <v>0</v>
      </c>
      <c r="Z99" s="498">
        <v>2</v>
      </c>
      <c r="AA99" s="499">
        <v>4</v>
      </c>
      <c r="AB99" s="500">
        <v>44263</v>
      </c>
      <c r="AC99" s="500">
        <v>44284</v>
      </c>
      <c r="AD99" s="498"/>
      <c r="AE99" s="504"/>
      <c r="AF99" s="501"/>
      <c r="AG99" s="500"/>
      <c r="AH99" s="498"/>
      <c r="AI99" s="499"/>
      <c r="AJ99" s="501"/>
      <c r="AK99" s="502"/>
      <c r="AL99" s="498"/>
      <c r="AM99" s="499"/>
      <c r="AN99" s="501"/>
      <c r="AO99" s="502"/>
      <c r="AP99" s="498"/>
      <c r="AQ99" s="499"/>
      <c r="AR99" s="501"/>
      <c r="AS99" s="502"/>
      <c r="AT99" s="502"/>
      <c r="AU99" s="502"/>
      <c r="AV99" s="502"/>
      <c r="AW99" s="502"/>
      <c r="AX99" s="502"/>
      <c r="AY99" s="502"/>
      <c r="AZ99" s="502"/>
      <c r="BA99" s="502"/>
      <c r="BB99" s="502"/>
      <c r="BC99" s="502"/>
      <c r="BD99" s="502"/>
      <c r="BE99" s="502"/>
      <c r="BF99" s="502"/>
      <c r="BG99" s="502"/>
      <c r="BH99" s="502"/>
      <c r="BI99" s="502"/>
      <c r="BJ99" s="154">
        <f t="shared" si="4"/>
        <v>2</v>
      </c>
      <c r="BK99" s="461">
        <f t="shared" si="5"/>
        <v>2</v>
      </c>
    </row>
    <row r="100" spans="2:63" s="223" customFormat="1" ht="24" customHeight="1" x14ac:dyDescent="0.25">
      <c r="B100" s="221">
        <v>86</v>
      </c>
      <c r="C100" s="222" t="s">
        <v>38</v>
      </c>
      <c r="D100" s="494">
        <v>30123633</v>
      </c>
      <c r="E100" s="495" t="s">
        <v>1020</v>
      </c>
      <c r="F100" s="435" t="s">
        <v>897</v>
      </c>
      <c r="G100" s="460" t="s">
        <v>898</v>
      </c>
      <c r="H100" s="505"/>
      <c r="I100" s="438" t="s">
        <v>42</v>
      </c>
      <c r="J100" s="497">
        <v>9611500</v>
      </c>
      <c r="K100" s="497">
        <v>0</v>
      </c>
      <c r="L100" s="497">
        <v>9611499</v>
      </c>
      <c r="M100" s="497"/>
      <c r="N100" s="497"/>
      <c r="O100" s="497"/>
      <c r="P100" s="497"/>
      <c r="Q100" s="497"/>
      <c r="R100" s="497"/>
      <c r="S100" s="497"/>
      <c r="T100" s="497"/>
      <c r="U100" s="497"/>
      <c r="V100" s="497"/>
      <c r="W100" s="497"/>
      <c r="X100" s="497"/>
      <c r="Y100" s="455">
        <f t="shared" si="6"/>
        <v>0</v>
      </c>
      <c r="Z100" s="498">
        <v>1</v>
      </c>
      <c r="AA100" s="499">
        <v>4</v>
      </c>
      <c r="AB100" s="500">
        <v>44263</v>
      </c>
      <c r="AC100" s="500">
        <v>44284</v>
      </c>
      <c r="AD100" s="498"/>
      <c r="AE100" s="504"/>
      <c r="AF100" s="501"/>
      <c r="AG100" s="500"/>
      <c r="AH100" s="498"/>
      <c r="AI100" s="499"/>
      <c r="AJ100" s="501"/>
      <c r="AK100" s="502"/>
      <c r="AL100" s="498"/>
      <c r="AM100" s="499"/>
      <c r="AN100" s="501"/>
      <c r="AO100" s="502"/>
      <c r="AP100" s="498"/>
      <c r="AQ100" s="499"/>
      <c r="AR100" s="501"/>
      <c r="AS100" s="502"/>
      <c r="AT100" s="502"/>
      <c r="AU100" s="502"/>
      <c r="AV100" s="502"/>
      <c r="AW100" s="502"/>
      <c r="AX100" s="502"/>
      <c r="AY100" s="502"/>
      <c r="AZ100" s="502"/>
      <c r="BA100" s="502"/>
      <c r="BB100" s="502"/>
      <c r="BC100" s="502"/>
      <c r="BD100" s="502"/>
      <c r="BE100" s="502"/>
      <c r="BF100" s="502"/>
      <c r="BG100" s="502"/>
      <c r="BH100" s="502"/>
      <c r="BI100" s="502"/>
      <c r="BJ100" s="154">
        <f t="shared" si="4"/>
        <v>1</v>
      </c>
      <c r="BK100" s="461">
        <f t="shared" si="5"/>
        <v>1</v>
      </c>
    </row>
    <row r="101" spans="2:63" s="223" customFormat="1" ht="24" customHeight="1" x14ac:dyDescent="0.25">
      <c r="B101" s="222">
        <v>87</v>
      </c>
      <c r="C101" s="222" t="s">
        <v>38</v>
      </c>
      <c r="D101" s="494">
        <v>30123757</v>
      </c>
      <c r="E101" s="495" t="s">
        <v>1021</v>
      </c>
      <c r="F101" s="435" t="s">
        <v>204</v>
      </c>
      <c r="G101" s="460" t="s">
        <v>898</v>
      </c>
      <c r="H101" s="505" t="s">
        <v>960</v>
      </c>
      <c r="I101" s="438" t="s">
        <v>42</v>
      </c>
      <c r="J101" s="497">
        <v>44921</v>
      </c>
      <c r="K101" s="497">
        <v>35267</v>
      </c>
      <c r="L101" s="497">
        <v>1800</v>
      </c>
      <c r="M101" s="497"/>
      <c r="N101" s="497"/>
      <c r="O101" s="497"/>
      <c r="P101" s="497"/>
      <c r="Q101" s="497"/>
      <c r="R101" s="497"/>
      <c r="S101" s="497"/>
      <c r="T101" s="497"/>
      <c r="U101" s="497"/>
      <c r="V101" s="497"/>
      <c r="W101" s="497"/>
      <c r="X101" s="497"/>
      <c r="Y101" s="455">
        <f t="shared" si="6"/>
        <v>0</v>
      </c>
      <c r="Z101" s="498">
        <v>7854</v>
      </c>
      <c r="AA101" s="499">
        <v>4</v>
      </c>
      <c r="AB101" s="500">
        <v>44263</v>
      </c>
      <c r="AC101" s="500">
        <v>44284</v>
      </c>
      <c r="AD101" s="498"/>
      <c r="AE101" s="504"/>
      <c r="AF101" s="501"/>
      <c r="AG101" s="500"/>
      <c r="AH101" s="498"/>
      <c r="AI101" s="499"/>
      <c r="AJ101" s="501"/>
      <c r="AK101" s="502"/>
      <c r="AL101" s="498"/>
      <c r="AM101" s="499"/>
      <c r="AN101" s="501"/>
      <c r="AO101" s="502"/>
      <c r="AP101" s="498"/>
      <c r="AQ101" s="499"/>
      <c r="AR101" s="501"/>
      <c r="AS101" s="502"/>
      <c r="AT101" s="502"/>
      <c r="AU101" s="502"/>
      <c r="AV101" s="502"/>
      <c r="AW101" s="502"/>
      <c r="AX101" s="502"/>
      <c r="AY101" s="502"/>
      <c r="AZ101" s="502"/>
      <c r="BA101" s="502"/>
      <c r="BB101" s="502"/>
      <c r="BC101" s="502"/>
      <c r="BD101" s="502"/>
      <c r="BE101" s="502"/>
      <c r="BF101" s="502"/>
      <c r="BG101" s="502"/>
      <c r="BH101" s="502"/>
      <c r="BI101" s="502"/>
      <c r="BJ101" s="154">
        <f t="shared" si="4"/>
        <v>7854</v>
      </c>
      <c r="BK101" s="461">
        <f t="shared" si="5"/>
        <v>7854</v>
      </c>
    </row>
    <row r="102" spans="2:63" s="223" customFormat="1" ht="24" customHeight="1" x14ac:dyDescent="0.25">
      <c r="B102" s="221">
        <v>88</v>
      </c>
      <c r="C102" s="222" t="s">
        <v>38</v>
      </c>
      <c r="D102" s="494">
        <v>30123783</v>
      </c>
      <c r="E102" s="495" t="s">
        <v>1022</v>
      </c>
      <c r="F102" s="435" t="s">
        <v>897</v>
      </c>
      <c r="G102" s="460" t="s">
        <v>898</v>
      </c>
      <c r="H102" s="505" t="s">
        <v>1023</v>
      </c>
      <c r="I102" s="438" t="s">
        <v>42</v>
      </c>
      <c r="J102" s="497">
        <v>2491828</v>
      </c>
      <c r="K102" s="497">
        <v>2319030</v>
      </c>
      <c r="L102" s="497">
        <v>0</v>
      </c>
      <c r="M102" s="497"/>
      <c r="N102" s="497"/>
      <c r="O102" s="497"/>
      <c r="P102" s="497"/>
      <c r="Q102" s="497"/>
      <c r="R102" s="497"/>
      <c r="S102" s="497"/>
      <c r="T102" s="497"/>
      <c r="U102" s="497"/>
      <c r="V102" s="497"/>
      <c r="W102" s="497"/>
      <c r="X102" s="497"/>
      <c r="Y102" s="455">
        <f t="shared" si="6"/>
        <v>0</v>
      </c>
      <c r="Z102" s="498">
        <v>172798</v>
      </c>
      <c r="AA102" s="499">
        <v>4</v>
      </c>
      <c r="AB102" s="500">
        <v>44263</v>
      </c>
      <c r="AC102" s="500">
        <v>44284</v>
      </c>
      <c r="AD102" s="498"/>
      <c r="AE102" s="504"/>
      <c r="AF102" s="501"/>
      <c r="AG102" s="500"/>
      <c r="AH102" s="498"/>
      <c r="AI102" s="499"/>
      <c r="AJ102" s="501"/>
      <c r="AK102" s="502"/>
      <c r="AL102" s="498"/>
      <c r="AM102" s="499"/>
      <c r="AN102" s="501"/>
      <c r="AO102" s="502"/>
      <c r="AP102" s="498"/>
      <c r="AQ102" s="499"/>
      <c r="AR102" s="501"/>
      <c r="AS102" s="502"/>
      <c r="AT102" s="502"/>
      <c r="AU102" s="502"/>
      <c r="AV102" s="502"/>
      <c r="AW102" s="502"/>
      <c r="AX102" s="502"/>
      <c r="AY102" s="502"/>
      <c r="AZ102" s="502"/>
      <c r="BA102" s="502"/>
      <c r="BB102" s="502"/>
      <c r="BC102" s="502"/>
      <c r="BD102" s="502"/>
      <c r="BE102" s="502"/>
      <c r="BF102" s="502"/>
      <c r="BG102" s="502"/>
      <c r="BH102" s="502"/>
      <c r="BI102" s="502"/>
      <c r="BJ102" s="154">
        <f t="shared" si="4"/>
        <v>172798</v>
      </c>
      <c r="BK102" s="461">
        <f t="shared" si="5"/>
        <v>172798</v>
      </c>
    </row>
    <row r="103" spans="2:63" s="223" customFormat="1" ht="24" customHeight="1" x14ac:dyDescent="0.25">
      <c r="B103" s="221">
        <v>89</v>
      </c>
      <c r="C103" s="222" t="s">
        <v>38</v>
      </c>
      <c r="D103" s="494">
        <v>30125002</v>
      </c>
      <c r="E103" s="495" t="s">
        <v>1024</v>
      </c>
      <c r="F103" s="435" t="s">
        <v>897</v>
      </c>
      <c r="G103" s="460" t="s">
        <v>898</v>
      </c>
      <c r="H103" s="505" t="s">
        <v>925</v>
      </c>
      <c r="I103" s="438" t="s">
        <v>43</v>
      </c>
      <c r="J103" s="497">
        <v>2068969</v>
      </c>
      <c r="K103" s="497">
        <v>0</v>
      </c>
      <c r="L103" s="497">
        <v>2068964</v>
      </c>
      <c r="M103" s="497"/>
      <c r="N103" s="497"/>
      <c r="O103" s="497"/>
      <c r="P103" s="497"/>
      <c r="Q103" s="497"/>
      <c r="R103" s="497"/>
      <c r="S103" s="497"/>
      <c r="T103" s="497"/>
      <c r="U103" s="497"/>
      <c r="V103" s="497"/>
      <c r="W103" s="497"/>
      <c r="X103" s="497"/>
      <c r="Y103" s="455">
        <f t="shared" si="6"/>
        <v>0</v>
      </c>
      <c r="Z103" s="498">
        <v>5</v>
      </c>
      <c r="AA103" s="499">
        <v>4</v>
      </c>
      <c r="AB103" s="500">
        <v>44263</v>
      </c>
      <c r="AC103" s="500">
        <v>44284</v>
      </c>
      <c r="AD103" s="498"/>
      <c r="AE103" s="504"/>
      <c r="AF103" s="501"/>
      <c r="AG103" s="500"/>
      <c r="AH103" s="498"/>
      <c r="AI103" s="499"/>
      <c r="AJ103" s="501"/>
      <c r="AK103" s="502"/>
      <c r="AL103" s="498"/>
      <c r="AM103" s="499"/>
      <c r="AN103" s="501"/>
      <c r="AO103" s="502"/>
      <c r="AP103" s="498"/>
      <c r="AQ103" s="499"/>
      <c r="AR103" s="501"/>
      <c r="AS103" s="502"/>
      <c r="AT103" s="502"/>
      <c r="AU103" s="502"/>
      <c r="AV103" s="502"/>
      <c r="AW103" s="502"/>
      <c r="AX103" s="502"/>
      <c r="AY103" s="502"/>
      <c r="AZ103" s="502"/>
      <c r="BA103" s="502"/>
      <c r="BB103" s="502"/>
      <c r="BC103" s="502"/>
      <c r="BD103" s="502"/>
      <c r="BE103" s="502"/>
      <c r="BF103" s="502"/>
      <c r="BG103" s="502"/>
      <c r="BH103" s="502"/>
      <c r="BI103" s="502"/>
      <c r="BJ103" s="154">
        <f t="shared" si="4"/>
        <v>5</v>
      </c>
      <c r="BK103" s="461">
        <f t="shared" si="5"/>
        <v>5</v>
      </c>
    </row>
    <row r="104" spans="2:63" s="223" customFormat="1" ht="24" customHeight="1" x14ac:dyDescent="0.25">
      <c r="B104" s="222">
        <v>90</v>
      </c>
      <c r="C104" s="222" t="s">
        <v>38</v>
      </c>
      <c r="D104" s="494">
        <v>30126681</v>
      </c>
      <c r="E104" s="495" t="s">
        <v>1025</v>
      </c>
      <c r="F104" s="435" t="s">
        <v>897</v>
      </c>
      <c r="G104" s="460" t="s">
        <v>898</v>
      </c>
      <c r="H104" s="505" t="s">
        <v>1026</v>
      </c>
      <c r="I104" s="438" t="s">
        <v>43</v>
      </c>
      <c r="J104" s="497">
        <v>3104785</v>
      </c>
      <c r="K104" s="497">
        <v>0</v>
      </c>
      <c r="L104" s="497">
        <v>3104781</v>
      </c>
      <c r="M104" s="497"/>
      <c r="N104" s="497"/>
      <c r="O104" s="497"/>
      <c r="P104" s="497"/>
      <c r="Q104" s="497"/>
      <c r="R104" s="497"/>
      <c r="S104" s="497"/>
      <c r="T104" s="497"/>
      <c r="U104" s="497"/>
      <c r="V104" s="497"/>
      <c r="W104" s="497"/>
      <c r="X104" s="497"/>
      <c r="Y104" s="455">
        <f t="shared" si="6"/>
        <v>0</v>
      </c>
      <c r="Z104" s="498">
        <v>4</v>
      </c>
      <c r="AA104" s="499">
        <v>4</v>
      </c>
      <c r="AB104" s="500">
        <v>44263</v>
      </c>
      <c r="AC104" s="500">
        <v>44284</v>
      </c>
      <c r="AD104" s="498"/>
      <c r="AE104" s="504"/>
      <c r="AF104" s="501"/>
      <c r="AG104" s="500"/>
      <c r="AH104" s="498"/>
      <c r="AI104" s="499"/>
      <c r="AJ104" s="501"/>
      <c r="AK104" s="502"/>
      <c r="AL104" s="498"/>
      <c r="AM104" s="499"/>
      <c r="AN104" s="501"/>
      <c r="AO104" s="502"/>
      <c r="AP104" s="498"/>
      <c r="AQ104" s="499"/>
      <c r="AR104" s="501"/>
      <c r="AS104" s="502"/>
      <c r="AT104" s="502"/>
      <c r="AU104" s="502"/>
      <c r="AV104" s="502"/>
      <c r="AW104" s="502"/>
      <c r="AX104" s="502"/>
      <c r="AY104" s="502"/>
      <c r="AZ104" s="502"/>
      <c r="BA104" s="502"/>
      <c r="BB104" s="502"/>
      <c r="BC104" s="502"/>
      <c r="BD104" s="502"/>
      <c r="BE104" s="502"/>
      <c r="BF104" s="502"/>
      <c r="BG104" s="502"/>
      <c r="BH104" s="502"/>
      <c r="BI104" s="502"/>
      <c r="BJ104" s="154">
        <f t="shared" si="4"/>
        <v>4</v>
      </c>
      <c r="BK104" s="461">
        <f t="shared" si="5"/>
        <v>4</v>
      </c>
    </row>
    <row r="105" spans="2:63" s="223" customFormat="1" ht="24" customHeight="1" x14ac:dyDescent="0.25">
      <c r="B105" s="221">
        <v>91</v>
      </c>
      <c r="C105" s="222" t="s">
        <v>38</v>
      </c>
      <c r="D105" s="494">
        <v>30131341</v>
      </c>
      <c r="E105" s="495" t="s">
        <v>1027</v>
      </c>
      <c r="F105" s="435" t="s">
        <v>897</v>
      </c>
      <c r="G105" s="460" t="s">
        <v>898</v>
      </c>
      <c r="H105" s="505" t="s">
        <v>925</v>
      </c>
      <c r="I105" s="438" t="s">
        <v>42</v>
      </c>
      <c r="J105" s="497">
        <v>1649197</v>
      </c>
      <c r="K105" s="497">
        <v>1428800</v>
      </c>
      <c r="L105" s="497">
        <v>62898</v>
      </c>
      <c r="M105" s="497"/>
      <c r="N105" s="497"/>
      <c r="O105" s="497"/>
      <c r="P105" s="497"/>
      <c r="Q105" s="497"/>
      <c r="R105" s="497"/>
      <c r="S105" s="497"/>
      <c r="T105" s="497"/>
      <c r="U105" s="497"/>
      <c r="V105" s="497"/>
      <c r="W105" s="497"/>
      <c r="X105" s="497"/>
      <c r="Y105" s="455">
        <f t="shared" si="6"/>
        <v>0</v>
      </c>
      <c r="Z105" s="498">
        <v>157499</v>
      </c>
      <c r="AA105" s="499">
        <v>4</v>
      </c>
      <c r="AB105" s="500">
        <v>44263</v>
      </c>
      <c r="AC105" s="500">
        <v>44284</v>
      </c>
      <c r="AD105" s="498"/>
      <c r="AE105" s="504"/>
      <c r="AF105" s="501"/>
      <c r="AG105" s="500"/>
      <c r="AH105" s="498"/>
      <c r="AI105" s="499"/>
      <c r="AJ105" s="501"/>
      <c r="AK105" s="502"/>
      <c r="AL105" s="498"/>
      <c r="AM105" s="499"/>
      <c r="AN105" s="501"/>
      <c r="AO105" s="502"/>
      <c r="AP105" s="498"/>
      <c r="AQ105" s="499"/>
      <c r="AR105" s="501"/>
      <c r="AS105" s="502"/>
      <c r="AT105" s="502"/>
      <c r="AU105" s="502"/>
      <c r="AV105" s="502"/>
      <c r="AW105" s="502"/>
      <c r="AX105" s="502"/>
      <c r="AY105" s="502"/>
      <c r="AZ105" s="502"/>
      <c r="BA105" s="502"/>
      <c r="BB105" s="502"/>
      <c r="BC105" s="502"/>
      <c r="BD105" s="502"/>
      <c r="BE105" s="502"/>
      <c r="BF105" s="502"/>
      <c r="BG105" s="502"/>
      <c r="BH105" s="502"/>
      <c r="BI105" s="502"/>
      <c r="BJ105" s="154">
        <f t="shared" si="4"/>
        <v>157499</v>
      </c>
      <c r="BK105" s="461">
        <f t="shared" si="5"/>
        <v>157499</v>
      </c>
    </row>
    <row r="106" spans="2:63" s="223" customFormat="1" ht="24" customHeight="1" x14ac:dyDescent="0.25">
      <c r="B106" s="221">
        <v>92</v>
      </c>
      <c r="C106" s="222" t="s">
        <v>38</v>
      </c>
      <c r="D106" s="494">
        <v>30131624</v>
      </c>
      <c r="E106" s="495" t="s">
        <v>1028</v>
      </c>
      <c r="F106" s="435" t="s">
        <v>204</v>
      </c>
      <c r="G106" s="460" t="s">
        <v>898</v>
      </c>
      <c r="H106" s="505" t="s">
        <v>971</v>
      </c>
      <c r="I106" s="438" t="s">
        <v>43</v>
      </c>
      <c r="J106" s="497">
        <v>111702</v>
      </c>
      <c r="K106" s="497">
        <v>0</v>
      </c>
      <c r="L106" s="497">
        <v>111700</v>
      </c>
      <c r="M106" s="497"/>
      <c r="N106" s="497"/>
      <c r="O106" s="497"/>
      <c r="P106" s="497"/>
      <c r="Q106" s="497"/>
      <c r="R106" s="497"/>
      <c r="S106" s="497"/>
      <c r="T106" s="497"/>
      <c r="U106" s="497"/>
      <c r="V106" s="497"/>
      <c r="W106" s="497"/>
      <c r="X106" s="497"/>
      <c r="Y106" s="455">
        <f t="shared" si="6"/>
        <v>0</v>
      </c>
      <c r="Z106" s="498">
        <v>2</v>
      </c>
      <c r="AA106" s="499">
        <v>4</v>
      </c>
      <c r="AB106" s="500">
        <v>44263</v>
      </c>
      <c r="AC106" s="500">
        <v>44284</v>
      </c>
      <c r="AD106" s="498">
        <v>732</v>
      </c>
      <c r="AE106" s="504">
        <v>15</v>
      </c>
      <c r="AF106" s="500">
        <v>44322</v>
      </c>
      <c r="AG106" s="500">
        <v>44343</v>
      </c>
      <c r="AH106" s="498"/>
      <c r="AI106" s="499"/>
      <c r="AJ106" s="501"/>
      <c r="AK106" s="502"/>
      <c r="AL106" s="498"/>
      <c r="AM106" s="499"/>
      <c r="AN106" s="501"/>
      <c r="AO106" s="502"/>
      <c r="AP106" s="498"/>
      <c r="AQ106" s="499"/>
      <c r="AR106" s="501"/>
      <c r="AS106" s="502"/>
      <c r="AT106" s="502"/>
      <c r="AU106" s="502"/>
      <c r="AV106" s="502"/>
      <c r="AW106" s="502"/>
      <c r="AX106" s="502"/>
      <c r="AY106" s="502"/>
      <c r="AZ106" s="502"/>
      <c r="BA106" s="502"/>
      <c r="BB106" s="502"/>
      <c r="BC106" s="502"/>
      <c r="BD106" s="502"/>
      <c r="BE106" s="502"/>
      <c r="BF106" s="502"/>
      <c r="BG106" s="502"/>
      <c r="BH106" s="502"/>
      <c r="BI106" s="502"/>
      <c r="BJ106" s="154">
        <f t="shared" si="4"/>
        <v>734</v>
      </c>
      <c r="BK106" s="461">
        <f t="shared" si="5"/>
        <v>734</v>
      </c>
    </row>
    <row r="107" spans="2:63" s="223" customFormat="1" ht="24" customHeight="1" x14ac:dyDescent="0.25">
      <c r="B107" s="222">
        <v>93</v>
      </c>
      <c r="C107" s="222" t="s">
        <v>38</v>
      </c>
      <c r="D107" s="494">
        <v>30132418</v>
      </c>
      <c r="E107" s="495" t="s">
        <v>1029</v>
      </c>
      <c r="F107" s="435" t="s">
        <v>897</v>
      </c>
      <c r="G107" s="460" t="s">
        <v>898</v>
      </c>
      <c r="H107" s="505" t="s">
        <v>1030</v>
      </c>
      <c r="I107" s="438" t="s">
        <v>42</v>
      </c>
      <c r="J107" s="497">
        <v>2219814</v>
      </c>
      <c r="K107" s="497">
        <v>385757</v>
      </c>
      <c r="L107" s="497">
        <v>1834055</v>
      </c>
      <c r="M107" s="497"/>
      <c r="N107" s="497"/>
      <c r="O107" s="497"/>
      <c r="P107" s="497"/>
      <c r="Q107" s="497"/>
      <c r="R107" s="497"/>
      <c r="S107" s="497"/>
      <c r="T107" s="497"/>
      <c r="U107" s="497"/>
      <c r="V107" s="497"/>
      <c r="W107" s="497"/>
      <c r="X107" s="497"/>
      <c r="Y107" s="455">
        <f t="shared" si="6"/>
        <v>0</v>
      </c>
      <c r="Z107" s="498">
        <v>2</v>
      </c>
      <c r="AA107" s="499">
        <v>4</v>
      </c>
      <c r="AB107" s="500">
        <v>44263</v>
      </c>
      <c r="AC107" s="500">
        <v>44284</v>
      </c>
      <c r="AD107" s="498"/>
      <c r="AE107" s="504"/>
      <c r="AF107" s="501"/>
      <c r="AG107" s="500"/>
      <c r="AH107" s="498"/>
      <c r="AI107" s="499"/>
      <c r="AJ107" s="501"/>
      <c r="AK107" s="502"/>
      <c r="AL107" s="498"/>
      <c r="AM107" s="499"/>
      <c r="AN107" s="501"/>
      <c r="AO107" s="502"/>
      <c r="AP107" s="498"/>
      <c r="AQ107" s="499"/>
      <c r="AR107" s="501"/>
      <c r="AS107" s="502"/>
      <c r="AT107" s="502"/>
      <c r="AU107" s="502"/>
      <c r="AV107" s="502"/>
      <c r="AW107" s="502"/>
      <c r="AX107" s="502"/>
      <c r="AY107" s="502"/>
      <c r="AZ107" s="502"/>
      <c r="BA107" s="502"/>
      <c r="BB107" s="502"/>
      <c r="BC107" s="502"/>
      <c r="BD107" s="502"/>
      <c r="BE107" s="502"/>
      <c r="BF107" s="502"/>
      <c r="BG107" s="502"/>
      <c r="BH107" s="502"/>
      <c r="BI107" s="502"/>
      <c r="BJ107" s="154">
        <f t="shared" si="4"/>
        <v>2</v>
      </c>
      <c r="BK107" s="461">
        <f t="shared" si="5"/>
        <v>2</v>
      </c>
    </row>
    <row r="108" spans="2:63" s="223" customFormat="1" ht="24" customHeight="1" x14ac:dyDescent="0.25">
      <c r="B108" s="221">
        <v>94</v>
      </c>
      <c r="C108" s="222" t="s">
        <v>38</v>
      </c>
      <c r="D108" s="494">
        <v>30133366</v>
      </c>
      <c r="E108" s="495" t="s">
        <v>1031</v>
      </c>
      <c r="F108" s="435" t="s">
        <v>897</v>
      </c>
      <c r="G108" s="460" t="s">
        <v>898</v>
      </c>
      <c r="H108" s="505" t="s">
        <v>905</v>
      </c>
      <c r="I108" s="438" t="s">
        <v>42</v>
      </c>
      <c r="J108" s="497">
        <v>1749571</v>
      </c>
      <c r="K108" s="497">
        <v>223891</v>
      </c>
      <c r="L108" s="497">
        <v>1525678</v>
      </c>
      <c r="M108" s="497"/>
      <c r="N108" s="497"/>
      <c r="O108" s="497"/>
      <c r="P108" s="497"/>
      <c r="Q108" s="497"/>
      <c r="R108" s="497"/>
      <c r="S108" s="497"/>
      <c r="T108" s="497"/>
      <c r="U108" s="497"/>
      <c r="V108" s="497"/>
      <c r="W108" s="497"/>
      <c r="X108" s="497"/>
      <c r="Y108" s="455">
        <f t="shared" si="6"/>
        <v>0</v>
      </c>
      <c r="Z108" s="498">
        <v>2</v>
      </c>
      <c r="AA108" s="499">
        <v>4</v>
      </c>
      <c r="AB108" s="500">
        <v>44263</v>
      </c>
      <c r="AC108" s="500">
        <v>44284</v>
      </c>
      <c r="AD108" s="498"/>
      <c r="AE108" s="504"/>
      <c r="AF108" s="501"/>
      <c r="AG108" s="500"/>
      <c r="AH108" s="498"/>
      <c r="AI108" s="499"/>
      <c r="AJ108" s="501"/>
      <c r="AK108" s="502"/>
      <c r="AL108" s="498"/>
      <c r="AM108" s="499"/>
      <c r="AN108" s="501"/>
      <c r="AO108" s="502"/>
      <c r="AP108" s="498"/>
      <c r="AQ108" s="499"/>
      <c r="AR108" s="501"/>
      <c r="AS108" s="502"/>
      <c r="AT108" s="502"/>
      <c r="AU108" s="502"/>
      <c r="AV108" s="502"/>
      <c r="AW108" s="502"/>
      <c r="AX108" s="502"/>
      <c r="AY108" s="502"/>
      <c r="AZ108" s="502"/>
      <c r="BA108" s="502"/>
      <c r="BB108" s="502"/>
      <c r="BC108" s="502"/>
      <c r="BD108" s="502"/>
      <c r="BE108" s="502"/>
      <c r="BF108" s="502"/>
      <c r="BG108" s="502"/>
      <c r="BH108" s="502"/>
      <c r="BI108" s="502"/>
      <c r="BJ108" s="154">
        <f t="shared" si="4"/>
        <v>2</v>
      </c>
      <c r="BK108" s="461">
        <f t="shared" si="5"/>
        <v>2</v>
      </c>
    </row>
    <row r="109" spans="2:63" s="223" customFormat="1" ht="24" customHeight="1" x14ac:dyDescent="0.25">
      <c r="B109" s="221">
        <v>95</v>
      </c>
      <c r="C109" s="222" t="s">
        <v>38</v>
      </c>
      <c r="D109" s="494">
        <v>30133684</v>
      </c>
      <c r="E109" s="495" t="s">
        <v>1032</v>
      </c>
      <c r="F109" s="435" t="s">
        <v>897</v>
      </c>
      <c r="G109" s="460" t="s">
        <v>898</v>
      </c>
      <c r="H109" s="505" t="s">
        <v>925</v>
      </c>
      <c r="I109" s="438" t="s">
        <v>43</v>
      </c>
      <c r="J109" s="497">
        <v>1632447</v>
      </c>
      <c r="K109" s="497">
        <v>0</v>
      </c>
      <c r="L109" s="497">
        <v>1632442</v>
      </c>
      <c r="M109" s="497"/>
      <c r="N109" s="497"/>
      <c r="O109" s="497"/>
      <c r="P109" s="497"/>
      <c r="Q109" s="497"/>
      <c r="R109" s="497"/>
      <c r="S109" s="497"/>
      <c r="T109" s="497"/>
      <c r="U109" s="497"/>
      <c r="V109" s="497"/>
      <c r="W109" s="497"/>
      <c r="X109" s="497"/>
      <c r="Y109" s="455">
        <f t="shared" si="6"/>
        <v>0</v>
      </c>
      <c r="Z109" s="498">
        <v>5</v>
      </c>
      <c r="AA109" s="499">
        <v>4</v>
      </c>
      <c r="AB109" s="500">
        <v>44263</v>
      </c>
      <c r="AC109" s="500">
        <v>44284</v>
      </c>
      <c r="AD109" s="498"/>
      <c r="AE109" s="504"/>
      <c r="AF109" s="501"/>
      <c r="AG109" s="500"/>
      <c r="AH109" s="498"/>
      <c r="AI109" s="499"/>
      <c r="AJ109" s="501"/>
      <c r="AK109" s="502"/>
      <c r="AL109" s="498"/>
      <c r="AM109" s="499"/>
      <c r="AN109" s="501"/>
      <c r="AO109" s="502"/>
      <c r="AP109" s="498"/>
      <c r="AQ109" s="499"/>
      <c r="AR109" s="501"/>
      <c r="AS109" s="502"/>
      <c r="AT109" s="502"/>
      <c r="AU109" s="502"/>
      <c r="AV109" s="502"/>
      <c r="AW109" s="502"/>
      <c r="AX109" s="502"/>
      <c r="AY109" s="502"/>
      <c r="AZ109" s="502"/>
      <c r="BA109" s="502"/>
      <c r="BB109" s="502"/>
      <c r="BC109" s="502"/>
      <c r="BD109" s="502"/>
      <c r="BE109" s="502"/>
      <c r="BF109" s="502"/>
      <c r="BG109" s="502"/>
      <c r="BH109" s="502"/>
      <c r="BI109" s="502"/>
      <c r="BJ109" s="154">
        <f t="shared" si="4"/>
        <v>5</v>
      </c>
      <c r="BK109" s="461">
        <f t="shared" si="5"/>
        <v>5</v>
      </c>
    </row>
    <row r="110" spans="2:63" s="223" customFormat="1" ht="24" customHeight="1" x14ac:dyDescent="0.25">
      <c r="B110" s="222">
        <v>96</v>
      </c>
      <c r="C110" s="222" t="s">
        <v>38</v>
      </c>
      <c r="D110" s="494">
        <v>30133970</v>
      </c>
      <c r="E110" s="495" t="s">
        <v>1033</v>
      </c>
      <c r="F110" s="435" t="s">
        <v>897</v>
      </c>
      <c r="G110" s="460" t="s">
        <v>898</v>
      </c>
      <c r="H110" s="505" t="s">
        <v>899</v>
      </c>
      <c r="I110" s="438" t="s">
        <v>42</v>
      </c>
      <c r="J110" s="497">
        <v>713449</v>
      </c>
      <c r="K110" s="497">
        <v>0</v>
      </c>
      <c r="L110" s="497">
        <v>713447</v>
      </c>
      <c r="M110" s="497"/>
      <c r="N110" s="497"/>
      <c r="O110" s="497"/>
      <c r="P110" s="497"/>
      <c r="Q110" s="497"/>
      <c r="R110" s="497"/>
      <c r="S110" s="497"/>
      <c r="T110" s="497"/>
      <c r="U110" s="497"/>
      <c r="V110" s="497"/>
      <c r="W110" s="497"/>
      <c r="X110" s="497"/>
      <c r="Y110" s="455">
        <f t="shared" si="6"/>
        <v>0</v>
      </c>
      <c r="Z110" s="498">
        <v>2</v>
      </c>
      <c r="AA110" s="499">
        <v>4</v>
      </c>
      <c r="AB110" s="500">
        <v>44263</v>
      </c>
      <c r="AC110" s="500">
        <v>44284</v>
      </c>
      <c r="AD110" s="498">
        <v>1499</v>
      </c>
      <c r="AE110" s="504">
        <v>10</v>
      </c>
      <c r="AF110" s="500">
        <v>44284</v>
      </c>
      <c r="AG110" s="500">
        <v>44286</v>
      </c>
      <c r="AH110" s="498"/>
      <c r="AI110" s="499"/>
      <c r="AJ110" s="501"/>
      <c r="AK110" s="502"/>
      <c r="AL110" s="498"/>
      <c r="AM110" s="499"/>
      <c r="AN110" s="501"/>
      <c r="AO110" s="502"/>
      <c r="AP110" s="498"/>
      <c r="AQ110" s="499"/>
      <c r="AR110" s="501"/>
      <c r="AS110" s="502"/>
      <c r="AT110" s="502"/>
      <c r="AU110" s="502"/>
      <c r="AV110" s="502"/>
      <c r="AW110" s="502"/>
      <c r="AX110" s="502"/>
      <c r="AY110" s="502"/>
      <c r="AZ110" s="502"/>
      <c r="BA110" s="502"/>
      <c r="BB110" s="502"/>
      <c r="BC110" s="502"/>
      <c r="BD110" s="502"/>
      <c r="BE110" s="502"/>
      <c r="BF110" s="502"/>
      <c r="BG110" s="502"/>
      <c r="BH110" s="502"/>
      <c r="BI110" s="502"/>
      <c r="BJ110" s="154">
        <f t="shared" si="4"/>
        <v>1501</v>
      </c>
      <c r="BK110" s="461">
        <f t="shared" si="5"/>
        <v>1501</v>
      </c>
    </row>
    <row r="111" spans="2:63" s="223" customFormat="1" ht="24" customHeight="1" x14ac:dyDescent="0.25">
      <c r="B111" s="221">
        <v>97</v>
      </c>
      <c r="C111" s="222" t="s">
        <v>38</v>
      </c>
      <c r="D111" s="494">
        <v>30284725</v>
      </c>
      <c r="E111" s="495" t="s">
        <v>1034</v>
      </c>
      <c r="F111" s="435" t="s">
        <v>897</v>
      </c>
      <c r="G111" s="460" t="s">
        <v>898</v>
      </c>
      <c r="H111" s="505" t="s">
        <v>969</v>
      </c>
      <c r="I111" s="438" t="s">
        <v>42</v>
      </c>
      <c r="J111" s="497">
        <v>2885289</v>
      </c>
      <c r="K111" s="497">
        <v>2421954</v>
      </c>
      <c r="L111" s="497">
        <v>463334</v>
      </c>
      <c r="M111" s="497"/>
      <c r="N111" s="497"/>
      <c r="O111" s="497"/>
      <c r="P111" s="497"/>
      <c r="Q111" s="497"/>
      <c r="R111" s="497"/>
      <c r="S111" s="497"/>
      <c r="T111" s="497"/>
      <c r="U111" s="497"/>
      <c r="V111" s="497"/>
      <c r="W111" s="497"/>
      <c r="X111" s="497"/>
      <c r="Y111" s="455">
        <f t="shared" si="6"/>
        <v>0</v>
      </c>
      <c r="Z111" s="498">
        <v>1</v>
      </c>
      <c r="AA111" s="499">
        <v>4</v>
      </c>
      <c r="AB111" s="500">
        <v>44263</v>
      </c>
      <c r="AC111" s="500">
        <v>44284</v>
      </c>
      <c r="AD111" s="498"/>
      <c r="AE111" s="504"/>
      <c r="AF111" s="501"/>
      <c r="AG111" s="500"/>
      <c r="AH111" s="498"/>
      <c r="AI111" s="499"/>
      <c r="AJ111" s="501"/>
      <c r="AK111" s="502"/>
      <c r="AL111" s="498"/>
      <c r="AM111" s="499"/>
      <c r="AN111" s="501"/>
      <c r="AO111" s="502"/>
      <c r="AP111" s="498"/>
      <c r="AQ111" s="499"/>
      <c r="AR111" s="501"/>
      <c r="AS111" s="502"/>
      <c r="AT111" s="502"/>
      <c r="AU111" s="502"/>
      <c r="AV111" s="502"/>
      <c r="AW111" s="502"/>
      <c r="AX111" s="502"/>
      <c r="AY111" s="502"/>
      <c r="AZ111" s="502"/>
      <c r="BA111" s="502"/>
      <c r="BB111" s="502"/>
      <c r="BC111" s="502"/>
      <c r="BD111" s="502"/>
      <c r="BE111" s="502"/>
      <c r="BF111" s="502"/>
      <c r="BG111" s="502"/>
      <c r="BH111" s="502"/>
      <c r="BI111" s="502"/>
      <c r="BJ111" s="154">
        <f t="shared" si="4"/>
        <v>1</v>
      </c>
      <c r="BK111" s="461">
        <f t="shared" si="5"/>
        <v>1</v>
      </c>
    </row>
    <row r="112" spans="2:63" s="223" customFormat="1" ht="24" customHeight="1" x14ac:dyDescent="0.25">
      <c r="B112" s="221">
        <v>98</v>
      </c>
      <c r="C112" s="222" t="s">
        <v>38</v>
      </c>
      <c r="D112" s="494">
        <v>30288722</v>
      </c>
      <c r="E112" s="495" t="s">
        <v>1035</v>
      </c>
      <c r="F112" s="435" t="s">
        <v>204</v>
      </c>
      <c r="G112" s="460" t="s">
        <v>898</v>
      </c>
      <c r="H112" s="505" t="s">
        <v>946</v>
      </c>
      <c r="I112" s="438" t="s">
        <v>42</v>
      </c>
      <c r="J112" s="497">
        <v>63655</v>
      </c>
      <c r="K112" s="497">
        <v>38233</v>
      </c>
      <c r="L112" s="497">
        <v>25420</v>
      </c>
      <c r="M112" s="497"/>
      <c r="N112" s="497"/>
      <c r="O112" s="497"/>
      <c r="P112" s="497"/>
      <c r="Q112" s="497"/>
      <c r="R112" s="497"/>
      <c r="S112" s="497"/>
      <c r="T112" s="497"/>
      <c r="U112" s="497"/>
      <c r="V112" s="497"/>
      <c r="W112" s="497"/>
      <c r="X112" s="497"/>
      <c r="Y112" s="455">
        <f t="shared" si="6"/>
        <v>0</v>
      </c>
      <c r="Z112" s="498">
        <v>2</v>
      </c>
      <c r="AA112" s="499">
        <v>4</v>
      </c>
      <c r="AB112" s="500">
        <v>44263</v>
      </c>
      <c r="AC112" s="500">
        <v>44284</v>
      </c>
      <c r="AD112" s="498"/>
      <c r="AE112" s="504"/>
      <c r="AF112" s="501"/>
      <c r="AG112" s="500"/>
      <c r="AH112" s="498"/>
      <c r="AI112" s="499"/>
      <c r="AJ112" s="501"/>
      <c r="AK112" s="502"/>
      <c r="AL112" s="498"/>
      <c r="AM112" s="499"/>
      <c r="AN112" s="501"/>
      <c r="AO112" s="502"/>
      <c r="AP112" s="498"/>
      <c r="AQ112" s="499"/>
      <c r="AR112" s="501"/>
      <c r="AS112" s="502"/>
      <c r="AT112" s="502"/>
      <c r="AU112" s="502"/>
      <c r="AV112" s="502"/>
      <c r="AW112" s="502"/>
      <c r="AX112" s="502"/>
      <c r="AY112" s="502"/>
      <c r="AZ112" s="502"/>
      <c r="BA112" s="502"/>
      <c r="BB112" s="502"/>
      <c r="BC112" s="502"/>
      <c r="BD112" s="502"/>
      <c r="BE112" s="502"/>
      <c r="BF112" s="502"/>
      <c r="BG112" s="502"/>
      <c r="BH112" s="502"/>
      <c r="BI112" s="502"/>
      <c r="BJ112" s="154">
        <f t="shared" si="4"/>
        <v>2</v>
      </c>
      <c r="BK112" s="461">
        <f t="shared" si="5"/>
        <v>2</v>
      </c>
    </row>
    <row r="113" spans="2:63" s="223" customFormat="1" ht="24" customHeight="1" x14ac:dyDescent="0.25">
      <c r="B113" s="222">
        <v>99</v>
      </c>
      <c r="C113" s="222" t="s">
        <v>38</v>
      </c>
      <c r="D113" s="494">
        <v>30289025</v>
      </c>
      <c r="E113" s="495" t="s">
        <v>1036</v>
      </c>
      <c r="F113" s="435" t="s">
        <v>897</v>
      </c>
      <c r="G113" s="460" t="s">
        <v>898</v>
      </c>
      <c r="H113" s="505" t="s">
        <v>1037</v>
      </c>
      <c r="I113" s="438" t="s">
        <v>42</v>
      </c>
      <c r="J113" s="497">
        <v>1200411</v>
      </c>
      <c r="K113" s="497">
        <v>1196846</v>
      </c>
      <c r="L113" s="497">
        <v>3564</v>
      </c>
      <c r="M113" s="497"/>
      <c r="N113" s="497"/>
      <c r="O113" s="497"/>
      <c r="P113" s="497"/>
      <c r="Q113" s="497"/>
      <c r="R113" s="497"/>
      <c r="S113" s="497"/>
      <c r="T113" s="497"/>
      <c r="U113" s="497"/>
      <c r="V113" s="497"/>
      <c r="W113" s="497"/>
      <c r="X113" s="497"/>
      <c r="Y113" s="455">
        <f t="shared" si="6"/>
        <v>0</v>
      </c>
      <c r="Z113" s="498">
        <v>1</v>
      </c>
      <c r="AA113" s="499">
        <v>4</v>
      </c>
      <c r="AB113" s="500">
        <v>44263</v>
      </c>
      <c r="AC113" s="500">
        <v>44284</v>
      </c>
      <c r="AD113" s="498"/>
      <c r="AE113" s="504"/>
      <c r="AF113" s="501"/>
      <c r="AG113" s="500"/>
      <c r="AH113" s="498"/>
      <c r="AI113" s="499"/>
      <c r="AJ113" s="501"/>
      <c r="AK113" s="502"/>
      <c r="AL113" s="498"/>
      <c r="AM113" s="499"/>
      <c r="AN113" s="501"/>
      <c r="AO113" s="502"/>
      <c r="AP113" s="498"/>
      <c r="AQ113" s="499"/>
      <c r="AR113" s="501"/>
      <c r="AS113" s="502"/>
      <c r="AT113" s="502"/>
      <c r="AU113" s="502"/>
      <c r="AV113" s="502"/>
      <c r="AW113" s="502"/>
      <c r="AX113" s="502"/>
      <c r="AY113" s="502"/>
      <c r="AZ113" s="502"/>
      <c r="BA113" s="502"/>
      <c r="BB113" s="502"/>
      <c r="BC113" s="502"/>
      <c r="BD113" s="502"/>
      <c r="BE113" s="502"/>
      <c r="BF113" s="502"/>
      <c r="BG113" s="502"/>
      <c r="BH113" s="502"/>
      <c r="BI113" s="502"/>
      <c r="BJ113" s="154">
        <f t="shared" si="4"/>
        <v>1</v>
      </c>
      <c r="BK113" s="461">
        <f t="shared" si="5"/>
        <v>1</v>
      </c>
    </row>
    <row r="114" spans="2:63" s="223" customFormat="1" ht="24" customHeight="1" x14ac:dyDescent="0.25">
      <c r="B114" s="221">
        <v>100</v>
      </c>
      <c r="C114" s="222" t="s">
        <v>38</v>
      </c>
      <c r="D114" s="494">
        <v>30348580</v>
      </c>
      <c r="E114" s="495" t="s">
        <v>1038</v>
      </c>
      <c r="F114" s="435" t="s">
        <v>204</v>
      </c>
      <c r="G114" s="460" t="s">
        <v>898</v>
      </c>
      <c r="H114" s="505" t="s">
        <v>927</v>
      </c>
      <c r="I114" s="438" t="s">
        <v>42</v>
      </c>
      <c r="J114" s="497">
        <v>52199</v>
      </c>
      <c r="K114" s="497">
        <v>17379</v>
      </c>
      <c r="L114" s="497">
        <v>24871</v>
      </c>
      <c r="M114" s="497"/>
      <c r="N114" s="497"/>
      <c r="O114" s="497"/>
      <c r="P114" s="497"/>
      <c r="Q114" s="497"/>
      <c r="R114" s="497"/>
      <c r="S114" s="497"/>
      <c r="T114" s="497"/>
      <c r="U114" s="497"/>
      <c r="V114" s="497"/>
      <c r="W114" s="497"/>
      <c r="X114" s="497"/>
      <c r="Y114" s="455">
        <f t="shared" si="6"/>
        <v>0</v>
      </c>
      <c r="Z114" s="498">
        <v>9949</v>
      </c>
      <c r="AA114" s="499">
        <v>4</v>
      </c>
      <c r="AB114" s="500">
        <v>44263</v>
      </c>
      <c r="AC114" s="500">
        <v>44284</v>
      </c>
      <c r="AD114" s="498"/>
      <c r="AE114" s="504"/>
      <c r="AF114" s="501"/>
      <c r="AG114" s="500"/>
      <c r="AH114" s="498"/>
      <c r="AI114" s="499"/>
      <c r="AJ114" s="501"/>
      <c r="AK114" s="502"/>
      <c r="AL114" s="498"/>
      <c r="AM114" s="499"/>
      <c r="AN114" s="501"/>
      <c r="AO114" s="502"/>
      <c r="AP114" s="498"/>
      <c r="AQ114" s="499"/>
      <c r="AR114" s="501"/>
      <c r="AS114" s="502"/>
      <c r="AT114" s="502"/>
      <c r="AU114" s="502"/>
      <c r="AV114" s="502"/>
      <c r="AW114" s="502"/>
      <c r="AX114" s="502"/>
      <c r="AY114" s="502"/>
      <c r="AZ114" s="502"/>
      <c r="BA114" s="502"/>
      <c r="BB114" s="502"/>
      <c r="BC114" s="502"/>
      <c r="BD114" s="502"/>
      <c r="BE114" s="502"/>
      <c r="BF114" s="502"/>
      <c r="BG114" s="502"/>
      <c r="BH114" s="502"/>
      <c r="BI114" s="502"/>
      <c r="BJ114" s="154">
        <f t="shared" si="4"/>
        <v>9949</v>
      </c>
      <c r="BK114" s="461">
        <f t="shared" si="5"/>
        <v>9949</v>
      </c>
    </row>
    <row r="115" spans="2:63" s="223" customFormat="1" ht="24" customHeight="1" x14ac:dyDescent="0.25">
      <c r="B115" s="221">
        <v>101</v>
      </c>
      <c r="C115" s="222" t="s">
        <v>38</v>
      </c>
      <c r="D115" s="494">
        <v>30349123</v>
      </c>
      <c r="E115" s="495" t="s">
        <v>1039</v>
      </c>
      <c r="F115" s="435" t="s">
        <v>204</v>
      </c>
      <c r="G115" s="460" t="s">
        <v>898</v>
      </c>
      <c r="H115" s="505" t="s">
        <v>901</v>
      </c>
      <c r="I115" s="438" t="s">
        <v>42</v>
      </c>
      <c r="J115" s="497">
        <v>55278</v>
      </c>
      <c r="K115" s="497">
        <v>36003</v>
      </c>
      <c r="L115" s="497">
        <v>3000</v>
      </c>
      <c r="M115" s="497"/>
      <c r="N115" s="497"/>
      <c r="O115" s="497">
        <v>16276</v>
      </c>
      <c r="P115" s="497"/>
      <c r="Q115" s="497"/>
      <c r="R115" s="497"/>
      <c r="S115" s="497"/>
      <c r="T115" s="497"/>
      <c r="U115" s="497"/>
      <c r="V115" s="497"/>
      <c r="W115" s="497"/>
      <c r="X115" s="497"/>
      <c r="Y115" s="455">
        <f t="shared" si="6"/>
        <v>16276</v>
      </c>
      <c r="Z115" s="498">
        <v>16275</v>
      </c>
      <c r="AA115" s="499">
        <v>4</v>
      </c>
      <c r="AB115" s="500">
        <v>44263</v>
      </c>
      <c r="AC115" s="500">
        <v>44284</v>
      </c>
      <c r="AD115" s="498"/>
      <c r="AE115" s="504"/>
      <c r="AF115" s="501"/>
      <c r="AG115" s="500"/>
      <c r="AH115" s="498"/>
      <c r="AI115" s="499"/>
      <c r="AJ115" s="501"/>
      <c r="AK115" s="502"/>
      <c r="AL115" s="498"/>
      <c r="AM115" s="499"/>
      <c r="AN115" s="501"/>
      <c r="AO115" s="502"/>
      <c r="AP115" s="498"/>
      <c r="AQ115" s="499"/>
      <c r="AR115" s="501"/>
      <c r="AS115" s="502"/>
      <c r="AT115" s="502"/>
      <c r="AU115" s="502"/>
      <c r="AV115" s="502"/>
      <c r="AW115" s="502"/>
      <c r="AX115" s="502"/>
      <c r="AY115" s="502"/>
      <c r="AZ115" s="502"/>
      <c r="BA115" s="502"/>
      <c r="BB115" s="502"/>
      <c r="BC115" s="502"/>
      <c r="BD115" s="502"/>
      <c r="BE115" s="502"/>
      <c r="BF115" s="502"/>
      <c r="BG115" s="502"/>
      <c r="BH115" s="502"/>
      <c r="BI115" s="502"/>
      <c r="BJ115" s="154">
        <f t="shared" si="4"/>
        <v>16275</v>
      </c>
      <c r="BK115" s="461">
        <f t="shared" si="5"/>
        <v>-1</v>
      </c>
    </row>
    <row r="116" spans="2:63" s="223" customFormat="1" ht="24" customHeight="1" x14ac:dyDescent="0.25">
      <c r="B116" s="222">
        <v>102</v>
      </c>
      <c r="C116" s="222" t="s">
        <v>38</v>
      </c>
      <c r="D116" s="494">
        <v>30350623</v>
      </c>
      <c r="E116" s="495" t="s">
        <v>1040</v>
      </c>
      <c r="F116" s="435" t="s">
        <v>204</v>
      </c>
      <c r="G116" s="460" t="s">
        <v>898</v>
      </c>
      <c r="H116" s="505" t="s">
        <v>1026</v>
      </c>
      <c r="I116" s="438" t="s">
        <v>42</v>
      </c>
      <c r="J116" s="497">
        <v>142244</v>
      </c>
      <c r="K116" s="497">
        <v>43579</v>
      </c>
      <c r="L116" s="497">
        <v>79320</v>
      </c>
      <c r="M116" s="497"/>
      <c r="N116" s="497"/>
      <c r="O116" s="497"/>
      <c r="P116" s="497"/>
      <c r="Q116" s="497"/>
      <c r="R116" s="497"/>
      <c r="S116" s="497"/>
      <c r="T116" s="497"/>
      <c r="U116" s="497"/>
      <c r="V116" s="497"/>
      <c r="W116" s="497"/>
      <c r="X116" s="497"/>
      <c r="Y116" s="455">
        <f t="shared" si="6"/>
        <v>0</v>
      </c>
      <c r="Z116" s="498">
        <v>19345</v>
      </c>
      <c r="AA116" s="499">
        <v>4</v>
      </c>
      <c r="AB116" s="500">
        <v>44263</v>
      </c>
      <c r="AC116" s="500">
        <v>44284</v>
      </c>
      <c r="AD116" s="498"/>
      <c r="AE116" s="504"/>
      <c r="AF116" s="501"/>
      <c r="AG116" s="500"/>
      <c r="AH116" s="498"/>
      <c r="AI116" s="499"/>
      <c r="AJ116" s="501"/>
      <c r="AK116" s="502"/>
      <c r="AL116" s="498"/>
      <c r="AM116" s="499"/>
      <c r="AN116" s="501"/>
      <c r="AO116" s="502"/>
      <c r="AP116" s="498"/>
      <c r="AQ116" s="499"/>
      <c r="AR116" s="501"/>
      <c r="AS116" s="502"/>
      <c r="AT116" s="502"/>
      <c r="AU116" s="502"/>
      <c r="AV116" s="502"/>
      <c r="AW116" s="502"/>
      <c r="AX116" s="502"/>
      <c r="AY116" s="502"/>
      <c r="AZ116" s="502"/>
      <c r="BA116" s="502"/>
      <c r="BB116" s="502"/>
      <c r="BC116" s="502"/>
      <c r="BD116" s="502"/>
      <c r="BE116" s="502"/>
      <c r="BF116" s="502"/>
      <c r="BG116" s="502"/>
      <c r="BH116" s="502"/>
      <c r="BI116" s="502"/>
      <c r="BJ116" s="154">
        <f t="shared" si="4"/>
        <v>19345</v>
      </c>
      <c r="BK116" s="461">
        <f t="shared" si="5"/>
        <v>19345</v>
      </c>
    </row>
    <row r="117" spans="2:63" s="223" customFormat="1" ht="24" customHeight="1" x14ac:dyDescent="0.25">
      <c r="B117" s="221">
        <v>103</v>
      </c>
      <c r="C117" s="222" t="s">
        <v>38</v>
      </c>
      <c r="D117" s="494">
        <v>30369426</v>
      </c>
      <c r="E117" s="495" t="s">
        <v>1041</v>
      </c>
      <c r="F117" s="435" t="s">
        <v>204</v>
      </c>
      <c r="G117" s="460" t="s">
        <v>898</v>
      </c>
      <c r="H117" s="505" t="s">
        <v>1030</v>
      </c>
      <c r="I117" s="438" t="s">
        <v>42</v>
      </c>
      <c r="J117" s="497">
        <v>56110</v>
      </c>
      <c r="K117" s="497">
        <v>15381</v>
      </c>
      <c r="L117" s="497">
        <v>40727</v>
      </c>
      <c r="M117" s="497"/>
      <c r="N117" s="497"/>
      <c r="O117" s="497"/>
      <c r="P117" s="497"/>
      <c r="Q117" s="497"/>
      <c r="R117" s="497"/>
      <c r="S117" s="497"/>
      <c r="T117" s="497"/>
      <c r="U117" s="497"/>
      <c r="V117" s="497"/>
      <c r="W117" s="497"/>
      <c r="X117" s="497"/>
      <c r="Y117" s="455">
        <f t="shared" si="6"/>
        <v>0</v>
      </c>
      <c r="Z117" s="498">
        <v>2</v>
      </c>
      <c r="AA117" s="499">
        <v>4</v>
      </c>
      <c r="AB117" s="500">
        <v>44263</v>
      </c>
      <c r="AC117" s="500">
        <v>44284</v>
      </c>
      <c r="AD117" s="498"/>
      <c r="AE117" s="504"/>
      <c r="AF117" s="501"/>
      <c r="AG117" s="500"/>
      <c r="AH117" s="498"/>
      <c r="AI117" s="499"/>
      <c r="AJ117" s="501"/>
      <c r="AK117" s="502"/>
      <c r="AL117" s="498"/>
      <c r="AM117" s="499"/>
      <c r="AN117" s="501"/>
      <c r="AO117" s="502"/>
      <c r="AP117" s="498"/>
      <c r="AQ117" s="499"/>
      <c r="AR117" s="501"/>
      <c r="AS117" s="502"/>
      <c r="AT117" s="502"/>
      <c r="AU117" s="502"/>
      <c r="AV117" s="502"/>
      <c r="AW117" s="502"/>
      <c r="AX117" s="502"/>
      <c r="AY117" s="502"/>
      <c r="AZ117" s="502"/>
      <c r="BA117" s="502"/>
      <c r="BB117" s="502"/>
      <c r="BC117" s="502"/>
      <c r="BD117" s="502"/>
      <c r="BE117" s="502"/>
      <c r="BF117" s="502"/>
      <c r="BG117" s="502"/>
      <c r="BH117" s="502"/>
      <c r="BI117" s="502"/>
      <c r="BJ117" s="154">
        <f t="shared" si="4"/>
        <v>2</v>
      </c>
      <c r="BK117" s="461">
        <f t="shared" si="5"/>
        <v>2</v>
      </c>
    </row>
    <row r="118" spans="2:63" s="223" customFormat="1" ht="24" customHeight="1" x14ac:dyDescent="0.25">
      <c r="B118" s="221">
        <v>104</v>
      </c>
      <c r="C118" s="222" t="s">
        <v>38</v>
      </c>
      <c r="D118" s="494">
        <v>30373372</v>
      </c>
      <c r="E118" s="495" t="s">
        <v>1042</v>
      </c>
      <c r="F118" s="435" t="s">
        <v>204</v>
      </c>
      <c r="G118" s="460" t="s">
        <v>898</v>
      </c>
      <c r="H118" s="505" t="s">
        <v>1043</v>
      </c>
      <c r="I118" s="438" t="s">
        <v>42</v>
      </c>
      <c r="J118" s="497">
        <v>40894</v>
      </c>
      <c r="K118" s="497">
        <v>16886</v>
      </c>
      <c r="L118" s="497">
        <v>8355</v>
      </c>
      <c r="M118" s="497"/>
      <c r="N118" s="497"/>
      <c r="O118" s="497"/>
      <c r="P118" s="497"/>
      <c r="Q118" s="497"/>
      <c r="R118" s="497"/>
      <c r="S118" s="497"/>
      <c r="T118" s="497"/>
      <c r="U118" s="497"/>
      <c r="V118" s="497"/>
      <c r="W118" s="497"/>
      <c r="X118" s="497"/>
      <c r="Y118" s="455">
        <f t="shared" si="6"/>
        <v>0</v>
      </c>
      <c r="Z118" s="498">
        <v>15653</v>
      </c>
      <c r="AA118" s="499">
        <v>4</v>
      </c>
      <c r="AB118" s="500">
        <v>44263</v>
      </c>
      <c r="AC118" s="500">
        <v>44284</v>
      </c>
      <c r="AD118" s="498"/>
      <c r="AE118" s="504"/>
      <c r="AF118" s="501"/>
      <c r="AG118" s="500"/>
      <c r="AH118" s="498"/>
      <c r="AI118" s="499"/>
      <c r="AJ118" s="501"/>
      <c r="AK118" s="502"/>
      <c r="AL118" s="498"/>
      <c r="AM118" s="499"/>
      <c r="AN118" s="501"/>
      <c r="AO118" s="502"/>
      <c r="AP118" s="498"/>
      <c r="AQ118" s="499"/>
      <c r="AR118" s="501"/>
      <c r="AS118" s="502"/>
      <c r="AT118" s="502"/>
      <c r="AU118" s="502"/>
      <c r="AV118" s="502"/>
      <c r="AW118" s="502"/>
      <c r="AX118" s="502"/>
      <c r="AY118" s="502"/>
      <c r="AZ118" s="502"/>
      <c r="BA118" s="502"/>
      <c r="BB118" s="502"/>
      <c r="BC118" s="502"/>
      <c r="BD118" s="502"/>
      <c r="BE118" s="502"/>
      <c r="BF118" s="502"/>
      <c r="BG118" s="502"/>
      <c r="BH118" s="502"/>
      <c r="BI118" s="502"/>
      <c r="BJ118" s="154">
        <f t="shared" si="4"/>
        <v>15653</v>
      </c>
      <c r="BK118" s="461">
        <f t="shared" si="5"/>
        <v>15653</v>
      </c>
    </row>
    <row r="119" spans="2:63" s="223" customFormat="1" ht="24" customHeight="1" x14ac:dyDescent="0.25">
      <c r="B119" s="222">
        <v>105</v>
      </c>
      <c r="C119" s="222" t="s">
        <v>38</v>
      </c>
      <c r="D119" s="494">
        <v>30388574</v>
      </c>
      <c r="E119" s="495" t="s">
        <v>1044</v>
      </c>
      <c r="F119" s="435" t="s">
        <v>204</v>
      </c>
      <c r="G119" s="460" t="s">
        <v>898</v>
      </c>
      <c r="H119" s="505" t="s">
        <v>927</v>
      </c>
      <c r="I119" s="438" t="s">
        <v>42</v>
      </c>
      <c r="J119" s="497">
        <v>33580</v>
      </c>
      <c r="K119" s="497">
        <v>11180</v>
      </c>
      <c r="L119" s="497">
        <v>16000</v>
      </c>
      <c r="M119" s="497"/>
      <c r="N119" s="497"/>
      <c r="O119" s="497"/>
      <c r="P119" s="497"/>
      <c r="Q119" s="497"/>
      <c r="R119" s="497"/>
      <c r="S119" s="497"/>
      <c r="T119" s="497"/>
      <c r="U119" s="497"/>
      <c r="V119" s="497"/>
      <c r="W119" s="497"/>
      <c r="X119" s="497"/>
      <c r="Y119" s="455">
        <f t="shared" si="6"/>
        <v>0</v>
      </c>
      <c r="Z119" s="498">
        <v>6400</v>
      </c>
      <c r="AA119" s="499">
        <v>4</v>
      </c>
      <c r="AB119" s="500">
        <v>44263</v>
      </c>
      <c r="AC119" s="500">
        <v>44284</v>
      </c>
      <c r="AD119" s="498"/>
      <c r="AE119" s="504"/>
      <c r="AF119" s="501"/>
      <c r="AG119" s="500"/>
      <c r="AH119" s="498"/>
      <c r="AI119" s="499"/>
      <c r="AJ119" s="501"/>
      <c r="AK119" s="502"/>
      <c r="AL119" s="498"/>
      <c r="AM119" s="499"/>
      <c r="AN119" s="501"/>
      <c r="AO119" s="502"/>
      <c r="AP119" s="498"/>
      <c r="AQ119" s="499"/>
      <c r="AR119" s="501"/>
      <c r="AS119" s="502"/>
      <c r="AT119" s="502"/>
      <c r="AU119" s="502"/>
      <c r="AV119" s="502"/>
      <c r="AW119" s="502"/>
      <c r="AX119" s="502"/>
      <c r="AY119" s="502"/>
      <c r="AZ119" s="502"/>
      <c r="BA119" s="502"/>
      <c r="BB119" s="502"/>
      <c r="BC119" s="502"/>
      <c r="BD119" s="502"/>
      <c r="BE119" s="502"/>
      <c r="BF119" s="502"/>
      <c r="BG119" s="502"/>
      <c r="BH119" s="502"/>
      <c r="BI119" s="502"/>
      <c r="BJ119" s="154">
        <f t="shared" si="4"/>
        <v>6400</v>
      </c>
      <c r="BK119" s="461">
        <f t="shared" si="5"/>
        <v>6400</v>
      </c>
    </row>
    <row r="120" spans="2:63" s="223" customFormat="1" ht="24" customHeight="1" x14ac:dyDescent="0.25">
      <c r="B120" s="221">
        <v>106</v>
      </c>
      <c r="C120" s="222" t="s">
        <v>38</v>
      </c>
      <c r="D120" s="494">
        <v>30399028</v>
      </c>
      <c r="E120" s="495" t="s">
        <v>1045</v>
      </c>
      <c r="F120" s="435" t="s">
        <v>897</v>
      </c>
      <c r="G120" s="460" t="s">
        <v>898</v>
      </c>
      <c r="H120" s="505" t="s">
        <v>925</v>
      </c>
      <c r="I120" s="438" t="s">
        <v>42</v>
      </c>
      <c r="J120" s="497">
        <v>16061762</v>
      </c>
      <c r="K120" s="497">
        <v>0</v>
      </c>
      <c r="L120" s="497">
        <v>16061758</v>
      </c>
      <c r="M120" s="497"/>
      <c r="N120" s="497"/>
      <c r="O120" s="497"/>
      <c r="P120" s="497"/>
      <c r="Q120" s="497"/>
      <c r="R120" s="497"/>
      <c r="S120" s="497"/>
      <c r="T120" s="497"/>
      <c r="U120" s="497"/>
      <c r="V120" s="497"/>
      <c r="W120" s="497"/>
      <c r="X120" s="497"/>
      <c r="Y120" s="455">
        <f t="shared" si="6"/>
        <v>0</v>
      </c>
      <c r="Z120" s="498">
        <v>4</v>
      </c>
      <c r="AA120" s="499">
        <v>4</v>
      </c>
      <c r="AB120" s="500">
        <v>44263</v>
      </c>
      <c r="AC120" s="500">
        <v>44284</v>
      </c>
      <c r="AD120" s="498"/>
      <c r="AE120" s="504"/>
      <c r="AF120" s="501"/>
      <c r="AG120" s="500"/>
      <c r="AH120" s="498"/>
      <c r="AI120" s="499"/>
      <c r="AJ120" s="501"/>
      <c r="AK120" s="502"/>
      <c r="AL120" s="498"/>
      <c r="AM120" s="499"/>
      <c r="AN120" s="501"/>
      <c r="AO120" s="502"/>
      <c r="AP120" s="498"/>
      <c r="AQ120" s="499"/>
      <c r="AR120" s="501"/>
      <c r="AS120" s="502"/>
      <c r="AT120" s="502"/>
      <c r="AU120" s="502"/>
      <c r="AV120" s="502"/>
      <c r="AW120" s="502"/>
      <c r="AX120" s="502"/>
      <c r="AY120" s="502"/>
      <c r="AZ120" s="502"/>
      <c r="BA120" s="502"/>
      <c r="BB120" s="502"/>
      <c r="BC120" s="502"/>
      <c r="BD120" s="502"/>
      <c r="BE120" s="502"/>
      <c r="BF120" s="502"/>
      <c r="BG120" s="502"/>
      <c r="BH120" s="502"/>
      <c r="BI120" s="502"/>
      <c r="BJ120" s="154">
        <f t="shared" si="4"/>
        <v>4</v>
      </c>
      <c r="BK120" s="461">
        <f t="shared" si="5"/>
        <v>4</v>
      </c>
    </row>
    <row r="121" spans="2:63" s="223" customFormat="1" ht="24" customHeight="1" x14ac:dyDescent="0.25">
      <c r="B121" s="221">
        <v>107</v>
      </c>
      <c r="C121" s="222" t="s">
        <v>38</v>
      </c>
      <c r="D121" s="494">
        <v>30400028</v>
      </c>
      <c r="E121" s="495" t="s">
        <v>1046</v>
      </c>
      <c r="F121" s="435" t="s">
        <v>897</v>
      </c>
      <c r="G121" s="460" t="s">
        <v>898</v>
      </c>
      <c r="H121" s="505" t="s">
        <v>1001</v>
      </c>
      <c r="I121" s="438" t="s">
        <v>42</v>
      </c>
      <c r="J121" s="497">
        <v>3175731</v>
      </c>
      <c r="K121" s="497">
        <v>2686893</v>
      </c>
      <c r="L121" s="497">
        <v>488835</v>
      </c>
      <c r="M121" s="497"/>
      <c r="N121" s="497"/>
      <c r="O121" s="497"/>
      <c r="P121" s="497"/>
      <c r="Q121" s="497"/>
      <c r="R121" s="497"/>
      <c r="S121" s="497"/>
      <c r="T121" s="497"/>
      <c r="U121" s="497"/>
      <c r="V121" s="497"/>
      <c r="W121" s="497"/>
      <c r="X121" s="497"/>
      <c r="Y121" s="455">
        <f t="shared" si="6"/>
        <v>0</v>
      </c>
      <c r="Z121" s="498">
        <v>3</v>
      </c>
      <c r="AA121" s="499">
        <v>4</v>
      </c>
      <c r="AB121" s="500">
        <v>44263</v>
      </c>
      <c r="AC121" s="500">
        <v>44284</v>
      </c>
      <c r="AD121" s="498"/>
      <c r="AE121" s="504"/>
      <c r="AF121" s="501"/>
      <c r="AG121" s="500"/>
      <c r="AH121" s="498"/>
      <c r="AI121" s="499"/>
      <c r="AJ121" s="501"/>
      <c r="AK121" s="502"/>
      <c r="AL121" s="498"/>
      <c r="AM121" s="499"/>
      <c r="AN121" s="501"/>
      <c r="AO121" s="502"/>
      <c r="AP121" s="498"/>
      <c r="AQ121" s="499"/>
      <c r="AR121" s="501"/>
      <c r="AS121" s="502"/>
      <c r="AT121" s="502"/>
      <c r="AU121" s="502"/>
      <c r="AV121" s="502"/>
      <c r="AW121" s="502"/>
      <c r="AX121" s="502"/>
      <c r="AY121" s="502"/>
      <c r="AZ121" s="502"/>
      <c r="BA121" s="502"/>
      <c r="BB121" s="502"/>
      <c r="BC121" s="502"/>
      <c r="BD121" s="502"/>
      <c r="BE121" s="502"/>
      <c r="BF121" s="502"/>
      <c r="BG121" s="502"/>
      <c r="BH121" s="502"/>
      <c r="BI121" s="502"/>
      <c r="BJ121" s="154">
        <f t="shared" si="4"/>
        <v>3</v>
      </c>
      <c r="BK121" s="461">
        <f t="shared" si="5"/>
        <v>3</v>
      </c>
    </row>
    <row r="122" spans="2:63" s="223" customFormat="1" ht="24" customHeight="1" x14ac:dyDescent="0.25">
      <c r="B122" s="222">
        <v>108</v>
      </c>
      <c r="C122" s="222" t="s">
        <v>38</v>
      </c>
      <c r="D122" s="494">
        <v>30480861</v>
      </c>
      <c r="E122" s="495" t="s">
        <v>1047</v>
      </c>
      <c r="F122" s="435" t="s">
        <v>897</v>
      </c>
      <c r="G122" s="460" t="s">
        <v>898</v>
      </c>
      <c r="H122" s="505" t="s">
        <v>1003</v>
      </c>
      <c r="I122" s="438" t="s">
        <v>43</v>
      </c>
      <c r="J122" s="497">
        <v>897936</v>
      </c>
      <c r="K122" s="497">
        <v>0</v>
      </c>
      <c r="L122" s="497">
        <v>897934</v>
      </c>
      <c r="M122" s="497"/>
      <c r="N122" s="497"/>
      <c r="O122" s="497"/>
      <c r="P122" s="497"/>
      <c r="Q122" s="497"/>
      <c r="R122" s="497"/>
      <c r="S122" s="497"/>
      <c r="T122" s="497"/>
      <c r="U122" s="497"/>
      <c r="V122" s="497"/>
      <c r="W122" s="497"/>
      <c r="X122" s="497"/>
      <c r="Y122" s="455">
        <f t="shared" si="6"/>
        <v>0</v>
      </c>
      <c r="Z122" s="498">
        <v>2</v>
      </c>
      <c r="AA122" s="499">
        <v>4</v>
      </c>
      <c r="AB122" s="500">
        <v>44263</v>
      </c>
      <c r="AC122" s="500">
        <v>44284</v>
      </c>
      <c r="AD122" s="498"/>
      <c r="AE122" s="504"/>
      <c r="AF122" s="501"/>
      <c r="AG122" s="500"/>
      <c r="AH122" s="498"/>
      <c r="AI122" s="499"/>
      <c r="AJ122" s="501"/>
      <c r="AK122" s="502"/>
      <c r="AL122" s="498"/>
      <c r="AM122" s="499"/>
      <c r="AN122" s="501"/>
      <c r="AO122" s="502"/>
      <c r="AP122" s="498"/>
      <c r="AQ122" s="499"/>
      <c r="AR122" s="501"/>
      <c r="AS122" s="502"/>
      <c r="AT122" s="502"/>
      <c r="AU122" s="502"/>
      <c r="AV122" s="502"/>
      <c r="AW122" s="502"/>
      <c r="AX122" s="502"/>
      <c r="AY122" s="502"/>
      <c r="AZ122" s="502"/>
      <c r="BA122" s="502"/>
      <c r="BB122" s="502"/>
      <c r="BC122" s="502"/>
      <c r="BD122" s="502"/>
      <c r="BE122" s="502"/>
      <c r="BF122" s="502"/>
      <c r="BG122" s="502"/>
      <c r="BH122" s="502"/>
      <c r="BI122" s="502"/>
      <c r="BJ122" s="154">
        <f t="shared" si="4"/>
        <v>2</v>
      </c>
      <c r="BK122" s="461">
        <f t="shared" si="5"/>
        <v>2</v>
      </c>
    </row>
    <row r="123" spans="2:63" s="223" customFormat="1" ht="24" customHeight="1" x14ac:dyDescent="0.25">
      <c r="B123" s="221">
        <v>109</v>
      </c>
      <c r="C123" s="222" t="s">
        <v>38</v>
      </c>
      <c r="D123" s="494">
        <v>30487025</v>
      </c>
      <c r="E123" s="495" t="s">
        <v>1048</v>
      </c>
      <c r="F123" s="435" t="s">
        <v>897</v>
      </c>
      <c r="G123" s="460" t="s">
        <v>898</v>
      </c>
      <c r="H123" s="505" t="s">
        <v>1049</v>
      </c>
      <c r="I123" s="438" t="s">
        <v>43</v>
      </c>
      <c r="J123" s="497">
        <v>601805</v>
      </c>
      <c r="K123" s="497">
        <v>0</v>
      </c>
      <c r="L123" s="497">
        <v>601804</v>
      </c>
      <c r="M123" s="497"/>
      <c r="N123" s="497"/>
      <c r="O123" s="497"/>
      <c r="P123" s="497"/>
      <c r="Q123" s="497"/>
      <c r="R123" s="497"/>
      <c r="S123" s="497"/>
      <c r="T123" s="497"/>
      <c r="U123" s="497"/>
      <c r="V123" s="497"/>
      <c r="W123" s="497"/>
      <c r="X123" s="497"/>
      <c r="Y123" s="455">
        <f t="shared" si="6"/>
        <v>0</v>
      </c>
      <c r="Z123" s="498">
        <v>1</v>
      </c>
      <c r="AA123" s="499">
        <v>4</v>
      </c>
      <c r="AB123" s="500">
        <v>44263</v>
      </c>
      <c r="AC123" s="500">
        <v>44284</v>
      </c>
      <c r="AD123" s="498"/>
      <c r="AE123" s="504"/>
      <c r="AF123" s="501"/>
      <c r="AG123" s="500"/>
      <c r="AH123" s="498"/>
      <c r="AI123" s="499"/>
      <c r="AJ123" s="501"/>
      <c r="AK123" s="502"/>
      <c r="AL123" s="498"/>
      <c r="AM123" s="499"/>
      <c r="AN123" s="501"/>
      <c r="AO123" s="502"/>
      <c r="AP123" s="498"/>
      <c r="AQ123" s="499"/>
      <c r="AR123" s="501"/>
      <c r="AS123" s="502"/>
      <c r="AT123" s="502"/>
      <c r="AU123" s="502"/>
      <c r="AV123" s="502"/>
      <c r="AW123" s="502"/>
      <c r="AX123" s="502"/>
      <c r="AY123" s="502"/>
      <c r="AZ123" s="502"/>
      <c r="BA123" s="502"/>
      <c r="BB123" s="502"/>
      <c r="BC123" s="502"/>
      <c r="BD123" s="502"/>
      <c r="BE123" s="502"/>
      <c r="BF123" s="502"/>
      <c r="BG123" s="502"/>
      <c r="BH123" s="502"/>
      <c r="BI123" s="502"/>
      <c r="BJ123" s="154">
        <f t="shared" si="4"/>
        <v>1</v>
      </c>
      <c r="BK123" s="461">
        <f t="shared" si="5"/>
        <v>1</v>
      </c>
    </row>
    <row r="124" spans="2:63" s="223" customFormat="1" ht="24" customHeight="1" x14ac:dyDescent="0.25">
      <c r="B124" s="222">
        <v>110</v>
      </c>
      <c r="C124" s="222" t="s">
        <v>38</v>
      </c>
      <c r="D124" s="494">
        <v>30084787</v>
      </c>
      <c r="E124" s="495" t="s">
        <v>1050</v>
      </c>
      <c r="F124" s="435" t="s">
        <v>897</v>
      </c>
      <c r="G124" s="460" t="s">
        <v>898</v>
      </c>
      <c r="H124" s="505" t="s">
        <v>903</v>
      </c>
      <c r="I124" s="438" t="s">
        <v>42</v>
      </c>
      <c r="J124" s="497">
        <v>10737644</v>
      </c>
      <c r="K124" s="497">
        <v>10653297</v>
      </c>
      <c r="L124" s="497">
        <v>0</v>
      </c>
      <c r="M124" s="497"/>
      <c r="N124" s="497"/>
      <c r="O124" s="497"/>
      <c r="P124" s="497"/>
      <c r="Q124" s="497"/>
      <c r="R124" s="497"/>
      <c r="S124" s="497"/>
      <c r="T124" s="497"/>
      <c r="U124" s="497"/>
      <c r="V124" s="497"/>
      <c r="W124" s="497"/>
      <c r="X124" s="497"/>
      <c r="Y124" s="455">
        <f t="shared" si="6"/>
        <v>0</v>
      </c>
      <c r="Z124" s="498">
        <v>84347</v>
      </c>
      <c r="AA124" s="499">
        <v>8</v>
      </c>
      <c r="AB124" s="500">
        <v>44276</v>
      </c>
      <c r="AC124" s="500">
        <v>44299</v>
      </c>
      <c r="AD124" s="498"/>
      <c r="AE124" s="504"/>
      <c r="AF124" s="501"/>
      <c r="AG124" s="500"/>
      <c r="AH124" s="498"/>
      <c r="AI124" s="499"/>
      <c r="AJ124" s="501"/>
      <c r="AK124" s="502"/>
      <c r="AL124" s="498"/>
      <c r="AM124" s="499"/>
      <c r="AN124" s="501"/>
      <c r="AO124" s="502"/>
      <c r="AP124" s="498"/>
      <c r="AQ124" s="499"/>
      <c r="AR124" s="501"/>
      <c r="AS124" s="502"/>
      <c r="AT124" s="502"/>
      <c r="AU124" s="502"/>
      <c r="AV124" s="502"/>
      <c r="AW124" s="502"/>
      <c r="AX124" s="502"/>
      <c r="AY124" s="502"/>
      <c r="AZ124" s="502"/>
      <c r="BA124" s="502"/>
      <c r="BB124" s="502"/>
      <c r="BC124" s="502"/>
      <c r="BD124" s="502"/>
      <c r="BE124" s="502"/>
      <c r="BF124" s="502"/>
      <c r="BG124" s="502"/>
      <c r="BH124" s="502"/>
      <c r="BI124" s="502"/>
      <c r="BJ124" s="154">
        <f t="shared" si="4"/>
        <v>84347</v>
      </c>
      <c r="BK124" s="461">
        <f t="shared" si="5"/>
        <v>84347</v>
      </c>
    </row>
    <row r="125" spans="2:63" s="223" customFormat="1" ht="24" customHeight="1" x14ac:dyDescent="0.25">
      <c r="B125" s="221">
        <v>111</v>
      </c>
      <c r="C125" s="222" t="s">
        <v>38</v>
      </c>
      <c r="D125" s="494">
        <v>30137544</v>
      </c>
      <c r="E125" s="495" t="s">
        <v>1051</v>
      </c>
      <c r="F125" s="435" t="s">
        <v>897</v>
      </c>
      <c r="G125" s="460" t="s">
        <v>898</v>
      </c>
      <c r="H125" s="505" t="s">
        <v>1030</v>
      </c>
      <c r="I125" s="438" t="s">
        <v>42</v>
      </c>
      <c r="J125" s="497">
        <v>3457847</v>
      </c>
      <c r="K125" s="497">
        <v>3430658</v>
      </c>
      <c r="L125" s="497">
        <v>0</v>
      </c>
      <c r="M125" s="497"/>
      <c r="N125" s="497"/>
      <c r="O125" s="497"/>
      <c r="P125" s="497"/>
      <c r="Q125" s="497"/>
      <c r="R125" s="497"/>
      <c r="S125" s="497"/>
      <c r="T125" s="497"/>
      <c r="U125" s="497"/>
      <c r="V125" s="497"/>
      <c r="W125" s="497"/>
      <c r="X125" s="497"/>
      <c r="Y125" s="455">
        <f t="shared" si="6"/>
        <v>0</v>
      </c>
      <c r="Z125" s="498">
        <v>27189</v>
      </c>
      <c r="AA125" s="499">
        <v>8</v>
      </c>
      <c r="AB125" s="500">
        <v>44276</v>
      </c>
      <c r="AC125" s="500">
        <v>44299</v>
      </c>
      <c r="AD125" s="498"/>
      <c r="AE125" s="504"/>
      <c r="AF125" s="501"/>
      <c r="AG125" s="500"/>
      <c r="AH125" s="498"/>
      <c r="AI125" s="499"/>
      <c r="AJ125" s="501"/>
      <c r="AK125" s="502"/>
      <c r="AL125" s="498"/>
      <c r="AM125" s="499"/>
      <c r="AN125" s="501"/>
      <c r="AO125" s="502"/>
      <c r="AP125" s="498"/>
      <c r="AQ125" s="499"/>
      <c r="AR125" s="501"/>
      <c r="AS125" s="502"/>
      <c r="AT125" s="502"/>
      <c r="AU125" s="502"/>
      <c r="AV125" s="502"/>
      <c r="AW125" s="502"/>
      <c r="AX125" s="502"/>
      <c r="AY125" s="502"/>
      <c r="AZ125" s="502"/>
      <c r="BA125" s="502"/>
      <c r="BB125" s="502"/>
      <c r="BC125" s="502"/>
      <c r="BD125" s="502"/>
      <c r="BE125" s="502"/>
      <c r="BF125" s="502"/>
      <c r="BG125" s="502"/>
      <c r="BH125" s="502"/>
      <c r="BI125" s="502"/>
      <c r="BJ125" s="154">
        <f t="shared" si="4"/>
        <v>27189</v>
      </c>
      <c r="BK125" s="461">
        <f t="shared" si="5"/>
        <v>27189</v>
      </c>
    </row>
    <row r="126" spans="2:63" s="223" customFormat="1" ht="24" customHeight="1" x14ac:dyDescent="0.25">
      <c r="B126" s="222">
        <v>112</v>
      </c>
      <c r="C126" s="222" t="s">
        <v>38</v>
      </c>
      <c r="D126" s="494">
        <v>40005057</v>
      </c>
      <c r="E126" s="495" t="s">
        <v>1052</v>
      </c>
      <c r="F126" s="435" t="s">
        <v>897</v>
      </c>
      <c r="G126" s="460" t="s">
        <v>898</v>
      </c>
      <c r="H126" s="505" t="s">
        <v>943</v>
      </c>
      <c r="I126" s="438" t="s">
        <v>43</v>
      </c>
      <c r="J126" s="497">
        <v>2760750</v>
      </c>
      <c r="K126" s="497">
        <v>0</v>
      </c>
      <c r="L126" s="497">
        <v>2760748</v>
      </c>
      <c r="M126" s="497"/>
      <c r="N126" s="497"/>
      <c r="O126" s="497"/>
      <c r="P126" s="497"/>
      <c r="Q126" s="497"/>
      <c r="R126" s="497"/>
      <c r="S126" s="497"/>
      <c r="T126" s="497"/>
      <c r="U126" s="497"/>
      <c r="V126" s="497"/>
      <c r="W126" s="497"/>
      <c r="X126" s="497"/>
      <c r="Y126" s="455">
        <f t="shared" si="6"/>
        <v>0</v>
      </c>
      <c r="Z126" s="498">
        <v>2</v>
      </c>
      <c r="AA126" s="499">
        <v>8</v>
      </c>
      <c r="AB126" s="500">
        <v>44276</v>
      </c>
      <c r="AC126" s="500">
        <v>44299</v>
      </c>
      <c r="AD126" s="498"/>
      <c r="AE126" s="504"/>
      <c r="AF126" s="501"/>
      <c r="AG126" s="500"/>
      <c r="AH126" s="498"/>
      <c r="AI126" s="499"/>
      <c r="AJ126" s="501"/>
      <c r="AK126" s="502"/>
      <c r="AL126" s="498"/>
      <c r="AM126" s="499"/>
      <c r="AN126" s="501"/>
      <c r="AO126" s="502"/>
      <c r="AP126" s="498"/>
      <c r="AQ126" s="499"/>
      <c r="AR126" s="501"/>
      <c r="AS126" s="502"/>
      <c r="AT126" s="502"/>
      <c r="AU126" s="502"/>
      <c r="AV126" s="502"/>
      <c r="AW126" s="502"/>
      <c r="AX126" s="502"/>
      <c r="AY126" s="502"/>
      <c r="AZ126" s="502"/>
      <c r="BA126" s="502"/>
      <c r="BB126" s="502"/>
      <c r="BC126" s="502"/>
      <c r="BD126" s="502"/>
      <c r="BE126" s="502"/>
      <c r="BF126" s="502"/>
      <c r="BG126" s="502"/>
      <c r="BH126" s="502"/>
      <c r="BI126" s="502"/>
      <c r="BJ126" s="154">
        <f t="shared" si="4"/>
        <v>2</v>
      </c>
      <c r="BK126" s="461">
        <f t="shared" si="5"/>
        <v>2</v>
      </c>
    </row>
    <row r="127" spans="2:63" s="223" customFormat="1" ht="24" customHeight="1" x14ac:dyDescent="0.25">
      <c r="B127" s="221">
        <v>113</v>
      </c>
      <c r="C127" s="222" t="s">
        <v>38</v>
      </c>
      <c r="D127" s="494">
        <v>40010485</v>
      </c>
      <c r="E127" s="495" t="s">
        <v>1053</v>
      </c>
      <c r="F127" s="435" t="s">
        <v>897</v>
      </c>
      <c r="G127" s="460" t="s">
        <v>898</v>
      </c>
      <c r="H127" s="505" t="s">
        <v>966</v>
      </c>
      <c r="I127" s="438" t="s">
        <v>43</v>
      </c>
      <c r="J127" s="497">
        <v>1476527</v>
      </c>
      <c r="K127" s="497">
        <v>0</v>
      </c>
      <c r="L127" s="497">
        <v>1476523</v>
      </c>
      <c r="M127" s="497"/>
      <c r="N127" s="497"/>
      <c r="O127" s="497"/>
      <c r="P127" s="497"/>
      <c r="Q127" s="497"/>
      <c r="R127" s="497"/>
      <c r="S127" s="497"/>
      <c r="T127" s="497"/>
      <c r="U127" s="497"/>
      <c r="V127" s="497"/>
      <c r="W127" s="497"/>
      <c r="X127" s="497"/>
      <c r="Y127" s="455">
        <f t="shared" si="6"/>
        <v>0</v>
      </c>
      <c r="Z127" s="498">
        <v>4</v>
      </c>
      <c r="AA127" s="499">
        <v>8</v>
      </c>
      <c r="AB127" s="500">
        <v>44276</v>
      </c>
      <c r="AC127" s="500">
        <v>44299</v>
      </c>
      <c r="AD127" s="498"/>
      <c r="AE127" s="504"/>
      <c r="AF127" s="501"/>
      <c r="AG127" s="500"/>
      <c r="AH127" s="498"/>
      <c r="AI127" s="499"/>
      <c r="AJ127" s="501"/>
      <c r="AK127" s="502"/>
      <c r="AL127" s="498"/>
      <c r="AM127" s="499"/>
      <c r="AN127" s="501"/>
      <c r="AO127" s="502"/>
      <c r="AP127" s="498"/>
      <c r="AQ127" s="499"/>
      <c r="AR127" s="501"/>
      <c r="AS127" s="502"/>
      <c r="AT127" s="502"/>
      <c r="AU127" s="502"/>
      <c r="AV127" s="502"/>
      <c r="AW127" s="502"/>
      <c r="AX127" s="502"/>
      <c r="AY127" s="502"/>
      <c r="AZ127" s="502"/>
      <c r="BA127" s="502"/>
      <c r="BB127" s="502"/>
      <c r="BC127" s="502"/>
      <c r="BD127" s="502"/>
      <c r="BE127" s="502"/>
      <c r="BF127" s="502"/>
      <c r="BG127" s="502"/>
      <c r="BH127" s="502"/>
      <c r="BI127" s="502"/>
      <c r="BJ127" s="154">
        <f t="shared" si="4"/>
        <v>4</v>
      </c>
      <c r="BK127" s="461">
        <f t="shared" si="5"/>
        <v>4</v>
      </c>
    </row>
    <row r="128" spans="2:63" s="223" customFormat="1" ht="24" customHeight="1" x14ac:dyDescent="0.25">
      <c r="B128" s="221">
        <v>114</v>
      </c>
      <c r="C128" s="222" t="s">
        <v>38</v>
      </c>
      <c r="D128" s="494">
        <v>30133616</v>
      </c>
      <c r="E128" s="495" t="s">
        <v>1054</v>
      </c>
      <c r="F128" s="435" t="s">
        <v>897</v>
      </c>
      <c r="G128" s="460" t="s">
        <v>898</v>
      </c>
      <c r="H128" s="505" t="s">
        <v>901</v>
      </c>
      <c r="I128" s="438" t="s">
        <v>43</v>
      </c>
      <c r="J128" s="497">
        <v>1302727</v>
      </c>
      <c r="K128" s="497">
        <v>0</v>
      </c>
      <c r="L128" s="497">
        <v>1302722</v>
      </c>
      <c r="M128" s="497"/>
      <c r="N128" s="497"/>
      <c r="O128" s="497"/>
      <c r="P128" s="497"/>
      <c r="Q128" s="497"/>
      <c r="R128" s="497"/>
      <c r="S128" s="497"/>
      <c r="T128" s="497"/>
      <c r="U128" s="497"/>
      <c r="V128" s="497"/>
      <c r="W128" s="497"/>
      <c r="X128" s="497"/>
      <c r="Y128" s="455">
        <f t="shared" si="6"/>
        <v>0</v>
      </c>
      <c r="Z128" s="498">
        <v>5</v>
      </c>
      <c r="AA128" s="499">
        <v>9</v>
      </c>
      <c r="AB128" s="500">
        <v>44279</v>
      </c>
      <c r="AC128" s="500">
        <v>44309</v>
      </c>
      <c r="AD128" s="498"/>
      <c r="AE128" s="504"/>
      <c r="AF128" s="501"/>
      <c r="AG128" s="500"/>
      <c r="AH128" s="498"/>
      <c r="AI128" s="499"/>
      <c r="AJ128" s="501"/>
      <c r="AK128" s="502"/>
      <c r="AL128" s="498"/>
      <c r="AM128" s="499"/>
      <c r="AN128" s="501"/>
      <c r="AO128" s="502"/>
      <c r="AP128" s="498"/>
      <c r="AQ128" s="499"/>
      <c r="AR128" s="501"/>
      <c r="AS128" s="502"/>
      <c r="AT128" s="502"/>
      <c r="AU128" s="502"/>
      <c r="AV128" s="502"/>
      <c r="AW128" s="502"/>
      <c r="AX128" s="502"/>
      <c r="AY128" s="502"/>
      <c r="AZ128" s="502"/>
      <c r="BA128" s="502"/>
      <c r="BB128" s="502"/>
      <c r="BC128" s="502"/>
      <c r="BD128" s="502"/>
      <c r="BE128" s="502"/>
      <c r="BF128" s="502"/>
      <c r="BG128" s="502"/>
      <c r="BH128" s="502"/>
      <c r="BI128" s="502"/>
      <c r="BJ128" s="154">
        <f t="shared" si="4"/>
        <v>5</v>
      </c>
      <c r="BK128" s="461">
        <f t="shared" si="5"/>
        <v>5</v>
      </c>
    </row>
    <row r="129" spans="2:63" s="223" customFormat="1" ht="24" customHeight="1" x14ac:dyDescent="0.25">
      <c r="B129" s="222">
        <v>115</v>
      </c>
      <c r="C129" s="222" t="s">
        <v>38</v>
      </c>
      <c r="D129" s="494">
        <v>30134107</v>
      </c>
      <c r="E129" s="495" t="s">
        <v>1055</v>
      </c>
      <c r="F129" s="435" t="s">
        <v>897</v>
      </c>
      <c r="G129" s="460" t="s">
        <v>898</v>
      </c>
      <c r="H129" s="505" t="s">
        <v>903</v>
      </c>
      <c r="I129" s="438" t="s">
        <v>43</v>
      </c>
      <c r="J129" s="497">
        <v>707050</v>
      </c>
      <c r="K129" s="497">
        <v>0</v>
      </c>
      <c r="L129" s="497">
        <v>707048</v>
      </c>
      <c r="M129" s="497"/>
      <c r="N129" s="497"/>
      <c r="O129" s="497"/>
      <c r="P129" s="497"/>
      <c r="Q129" s="497"/>
      <c r="R129" s="497"/>
      <c r="S129" s="497"/>
      <c r="T129" s="497"/>
      <c r="U129" s="497"/>
      <c r="V129" s="497"/>
      <c r="W129" s="497"/>
      <c r="X129" s="497"/>
      <c r="Y129" s="455">
        <f t="shared" si="6"/>
        <v>0</v>
      </c>
      <c r="Z129" s="498">
        <v>2</v>
      </c>
      <c r="AA129" s="499">
        <v>9</v>
      </c>
      <c r="AB129" s="500">
        <v>44279</v>
      </c>
      <c r="AC129" s="500">
        <v>44309</v>
      </c>
      <c r="AD129" s="498"/>
      <c r="AE129" s="504"/>
      <c r="AF129" s="501"/>
      <c r="AG129" s="500"/>
      <c r="AH129" s="498"/>
      <c r="AI129" s="499"/>
      <c r="AJ129" s="501"/>
      <c r="AK129" s="502"/>
      <c r="AL129" s="498"/>
      <c r="AM129" s="499"/>
      <c r="AN129" s="501"/>
      <c r="AO129" s="502"/>
      <c r="AP129" s="498"/>
      <c r="AQ129" s="499"/>
      <c r="AR129" s="501"/>
      <c r="AS129" s="502"/>
      <c r="AT129" s="502"/>
      <c r="AU129" s="502"/>
      <c r="AV129" s="502"/>
      <c r="AW129" s="502"/>
      <c r="AX129" s="502"/>
      <c r="AY129" s="502"/>
      <c r="AZ129" s="502"/>
      <c r="BA129" s="502"/>
      <c r="BB129" s="502"/>
      <c r="BC129" s="502"/>
      <c r="BD129" s="502"/>
      <c r="BE129" s="502"/>
      <c r="BF129" s="502"/>
      <c r="BG129" s="502"/>
      <c r="BH129" s="502"/>
      <c r="BI129" s="502"/>
      <c r="BJ129" s="154">
        <f t="shared" si="4"/>
        <v>2</v>
      </c>
      <c r="BK129" s="461">
        <f t="shared" si="5"/>
        <v>2</v>
      </c>
    </row>
    <row r="130" spans="2:63" s="223" customFormat="1" ht="24" customHeight="1" x14ac:dyDescent="0.25">
      <c r="B130" s="221">
        <v>116</v>
      </c>
      <c r="C130" s="222" t="s">
        <v>38</v>
      </c>
      <c r="D130" s="494">
        <v>30258123</v>
      </c>
      <c r="E130" s="495" t="s">
        <v>1056</v>
      </c>
      <c r="F130" s="435" t="s">
        <v>204</v>
      </c>
      <c r="G130" s="460" t="s">
        <v>898</v>
      </c>
      <c r="H130" s="505" t="s">
        <v>1003</v>
      </c>
      <c r="I130" s="438" t="s">
        <v>43</v>
      </c>
      <c r="J130" s="497">
        <v>83498</v>
      </c>
      <c r="K130" s="497">
        <v>0</v>
      </c>
      <c r="L130" s="497">
        <v>83496</v>
      </c>
      <c r="M130" s="497"/>
      <c r="N130" s="497"/>
      <c r="O130" s="497"/>
      <c r="P130" s="497"/>
      <c r="Q130" s="497"/>
      <c r="R130" s="497"/>
      <c r="S130" s="497"/>
      <c r="T130" s="497"/>
      <c r="U130" s="497"/>
      <c r="V130" s="497"/>
      <c r="W130" s="497"/>
      <c r="X130" s="497"/>
      <c r="Y130" s="455">
        <f t="shared" si="6"/>
        <v>0</v>
      </c>
      <c r="Z130" s="498">
        <v>2</v>
      </c>
      <c r="AA130" s="499">
        <v>9</v>
      </c>
      <c r="AB130" s="500">
        <v>44279</v>
      </c>
      <c r="AC130" s="500">
        <v>44309</v>
      </c>
      <c r="AD130" s="498"/>
      <c r="AE130" s="504"/>
      <c r="AF130" s="501"/>
      <c r="AG130" s="500"/>
      <c r="AH130" s="498"/>
      <c r="AI130" s="499"/>
      <c r="AJ130" s="501"/>
      <c r="AK130" s="502"/>
      <c r="AL130" s="498"/>
      <c r="AM130" s="499"/>
      <c r="AN130" s="501"/>
      <c r="AO130" s="502"/>
      <c r="AP130" s="498"/>
      <c r="AQ130" s="499"/>
      <c r="AR130" s="501"/>
      <c r="AS130" s="502"/>
      <c r="AT130" s="502"/>
      <c r="AU130" s="502"/>
      <c r="AV130" s="502"/>
      <c r="AW130" s="502"/>
      <c r="AX130" s="502"/>
      <c r="AY130" s="502"/>
      <c r="AZ130" s="502"/>
      <c r="BA130" s="502"/>
      <c r="BB130" s="502"/>
      <c r="BC130" s="502"/>
      <c r="BD130" s="502"/>
      <c r="BE130" s="502"/>
      <c r="BF130" s="502"/>
      <c r="BG130" s="502"/>
      <c r="BH130" s="502"/>
      <c r="BI130" s="502"/>
      <c r="BJ130" s="154">
        <f t="shared" si="4"/>
        <v>2</v>
      </c>
      <c r="BK130" s="461">
        <f t="shared" si="5"/>
        <v>2</v>
      </c>
    </row>
    <row r="131" spans="2:63" s="223" customFormat="1" ht="24" customHeight="1" x14ac:dyDescent="0.25">
      <c r="B131" s="221">
        <v>117</v>
      </c>
      <c r="C131" s="222" t="s">
        <v>38</v>
      </c>
      <c r="D131" s="494">
        <v>30282572</v>
      </c>
      <c r="E131" s="495" t="s">
        <v>1057</v>
      </c>
      <c r="F131" s="435" t="s">
        <v>204</v>
      </c>
      <c r="G131" s="460" t="s">
        <v>898</v>
      </c>
      <c r="H131" s="505" t="s">
        <v>971</v>
      </c>
      <c r="I131" s="438" t="s">
        <v>43</v>
      </c>
      <c r="J131" s="497">
        <v>29892</v>
      </c>
      <c r="K131" s="497">
        <v>0</v>
      </c>
      <c r="L131" s="497">
        <v>29891</v>
      </c>
      <c r="M131" s="497"/>
      <c r="N131" s="497"/>
      <c r="O131" s="497"/>
      <c r="P131" s="497"/>
      <c r="Q131" s="497"/>
      <c r="R131" s="497"/>
      <c r="S131" s="497"/>
      <c r="T131" s="497"/>
      <c r="U131" s="497"/>
      <c r="V131" s="497"/>
      <c r="W131" s="497"/>
      <c r="X131" s="497"/>
      <c r="Y131" s="455">
        <f t="shared" si="6"/>
        <v>0</v>
      </c>
      <c r="Z131" s="498">
        <v>1</v>
      </c>
      <c r="AA131" s="499">
        <v>9</v>
      </c>
      <c r="AB131" s="500">
        <v>44279</v>
      </c>
      <c r="AC131" s="500">
        <v>44309</v>
      </c>
      <c r="AD131" s="498"/>
      <c r="AE131" s="504"/>
      <c r="AF131" s="501"/>
      <c r="AG131" s="500"/>
      <c r="AH131" s="498"/>
      <c r="AI131" s="499"/>
      <c r="AJ131" s="501"/>
      <c r="AK131" s="502"/>
      <c r="AL131" s="498"/>
      <c r="AM131" s="499"/>
      <c r="AN131" s="501"/>
      <c r="AO131" s="502"/>
      <c r="AP131" s="498"/>
      <c r="AQ131" s="499"/>
      <c r="AR131" s="501"/>
      <c r="AS131" s="502"/>
      <c r="AT131" s="502"/>
      <c r="AU131" s="502"/>
      <c r="AV131" s="502"/>
      <c r="AW131" s="502"/>
      <c r="AX131" s="502"/>
      <c r="AY131" s="502"/>
      <c r="AZ131" s="502"/>
      <c r="BA131" s="502"/>
      <c r="BB131" s="502"/>
      <c r="BC131" s="502"/>
      <c r="BD131" s="502"/>
      <c r="BE131" s="502"/>
      <c r="BF131" s="502"/>
      <c r="BG131" s="502"/>
      <c r="BH131" s="502"/>
      <c r="BI131" s="502"/>
      <c r="BJ131" s="154">
        <f t="shared" si="4"/>
        <v>1</v>
      </c>
      <c r="BK131" s="461">
        <f t="shared" si="5"/>
        <v>1</v>
      </c>
    </row>
    <row r="132" spans="2:63" s="223" customFormat="1" ht="24" customHeight="1" x14ac:dyDescent="0.25">
      <c r="B132" s="222">
        <v>118</v>
      </c>
      <c r="C132" s="222" t="s">
        <v>38</v>
      </c>
      <c r="D132" s="494">
        <v>30288924</v>
      </c>
      <c r="E132" s="495" t="s">
        <v>1058</v>
      </c>
      <c r="F132" s="435" t="s">
        <v>897</v>
      </c>
      <c r="G132" s="460" t="s">
        <v>898</v>
      </c>
      <c r="H132" s="505" t="s">
        <v>1049</v>
      </c>
      <c r="I132" s="438" t="s">
        <v>43</v>
      </c>
      <c r="J132" s="497">
        <v>1910085</v>
      </c>
      <c r="K132" s="497">
        <v>0</v>
      </c>
      <c r="L132" s="497">
        <v>1910084</v>
      </c>
      <c r="M132" s="497"/>
      <c r="N132" s="497"/>
      <c r="O132" s="497"/>
      <c r="P132" s="497"/>
      <c r="Q132" s="497"/>
      <c r="R132" s="497"/>
      <c r="S132" s="497"/>
      <c r="T132" s="497"/>
      <c r="U132" s="497"/>
      <c r="V132" s="497"/>
      <c r="W132" s="497"/>
      <c r="X132" s="497"/>
      <c r="Y132" s="455">
        <f t="shared" si="6"/>
        <v>0</v>
      </c>
      <c r="Z132" s="498">
        <v>1</v>
      </c>
      <c r="AA132" s="499">
        <v>9</v>
      </c>
      <c r="AB132" s="500">
        <v>44279</v>
      </c>
      <c r="AC132" s="500">
        <v>44309</v>
      </c>
      <c r="AD132" s="498"/>
      <c r="AE132" s="504"/>
      <c r="AF132" s="501"/>
      <c r="AG132" s="500"/>
      <c r="AH132" s="498"/>
      <c r="AI132" s="499"/>
      <c r="AJ132" s="501"/>
      <c r="AK132" s="502"/>
      <c r="AL132" s="498"/>
      <c r="AM132" s="499"/>
      <c r="AN132" s="501"/>
      <c r="AO132" s="502"/>
      <c r="AP132" s="498"/>
      <c r="AQ132" s="499"/>
      <c r="AR132" s="501"/>
      <c r="AS132" s="502"/>
      <c r="AT132" s="502"/>
      <c r="AU132" s="502"/>
      <c r="AV132" s="502"/>
      <c r="AW132" s="502"/>
      <c r="AX132" s="502"/>
      <c r="AY132" s="502"/>
      <c r="AZ132" s="502"/>
      <c r="BA132" s="502"/>
      <c r="BB132" s="502"/>
      <c r="BC132" s="502"/>
      <c r="BD132" s="502"/>
      <c r="BE132" s="502"/>
      <c r="BF132" s="502"/>
      <c r="BG132" s="502"/>
      <c r="BH132" s="502"/>
      <c r="BI132" s="502"/>
      <c r="BJ132" s="154">
        <f t="shared" si="4"/>
        <v>1</v>
      </c>
      <c r="BK132" s="461">
        <f t="shared" si="5"/>
        <v>1</v>
      </c>
    </row>
    <row r="133" spans="2:63" s="223" customFormat="1" ht="24" customHeight="1" x14ac:dyDescent="0.25">
      <c r="B133" s="221">
        <v>119</v>
      </c>
      <c r="C133" s="222" t="s">
        <v>38</v>
      </c>
      <c r="D133" s="494">
        <v>30289024</v>
      </c>
      <c r="E133" s="495" t="s">
        <v>1059</v>
      </c>
      <c r="F133" s="435" t="s">
        <v>204</v>
      </c>
      <c r="G133" s="460" t="s">
        <v>898</v>
      </c>
      <c r="H133" s="505" t="s">
        <v>938</v>
      </c>
      <c r="I133" s="438" t="s">
        <v>43</v>
      </c>
      <c r="J133" s="497">
        <v>48631</v>
      </c>
      <c r="K133" s="497">
        <v>0</v>
      </c>
      <c r="L133" s="497">
        <v>48629</v>
      </c>
      <c r="M133" s="497"/>
      <c r="N133" s="497"/>
      <c r="O133" s="497"/>
      <c r="P133" s="497"/>
      <c r="Q133" s="497"/>
      <c r="R133" s="497"/>
      <c r="S133" s="497"/>
      <c r="T133" s="497"/>
      <c r="U133" s="497"/>
      <c r="V133" s="497"/>
      <c r="W133" s="497"/>
      <c r="X133" s="497"/>
      <c r="Y133" s="455">
        <f t="shared" si="6"/>
        <v>0</v>
      </c>
      <c r="Z133" s="498">
        <v>2</v>
      </c>
      <c r="AA133" s="499">
        <v>9</v>
      </c>
      <c r="AB133" s="500">
        <v>44279</v>
      </c>
      <c r="AC133" s="500">
        <v>44309</v>
      </c>
      <c r="AD133" s="498"/>
      <c r="AE133" s="504"/>
      <c r="AF133" s="501"/>
      <c r="AG133" s="500"/>
      <c r="AH133" s="498"/>
      <c r="AI133" s="499"/>
      <c r="AJ133" s="501"/>
      <c r="AK133" s="502"/>
      <c r="AL133" s="498"/>
      <c r="AM133" s="499"/>
      <c r="AN133" s="501"/>
      <c r="AO133" s="502"/>
      <c r="AP133" s="498"/>
      <c r="AQ133" s="499"/>
      <c r="AR133" s="501"/>
      <c r="AS133" s="502"/>
      <c r="AT133" s="502"/>
      <c r="AU133" s="502"/>
      <c r="AV133" s="502"/>
      <c r="AW133" s="502"/>
      <c r="AX133" s="502"/>
      <c r="AY133" s="502"/>
      <c r="AZ133" s="502"/>
      <c r="BA133" s="502"/>
      <c r="BB133" s="502"/>
      <c r="BC133" s="502"/>
      <c r="BD133" s="502"/>
      <c r="BE133" s="502"/>
      <c r="BF133" s="502"/>
      <c r="BG133" s="502"/>
      <c r="BH133" s="502"/>
      <c r="BI133" s="502"/>
      <c r="BJ133" s="154">
        <f t="shared" si="4"/>
        <v>2</v>
      </c>
      <c r="BK133" s="461">
        <f t="shared" si="5"/>
        <v>2</v>
      </c>
    </row>
    <row r="134" spans="2:63" s="223" customFormat="1" ht="24" customHeight="1" x14ac:dyDescent="0.25">
      <c r="B134" s="221">
        <v>120</v>
      </c>
      <c r="C134" s="222" t="s">
        <v>38</v>
      </c>
      <c r="D134" s="494">
        <v>30479853</v>
      </c>
      <c r="E134" s="495" t="s">
        <v>1060</v>
      </c>
      <c r="F134" s="435" t="s">
        <v>897</v>
      </c>
      <c r="G134" s="460" t="s">
        <v>898</v>
      </c>
      <c r="H134" s="505" t="s">
        <v>1003</v>
      </c>
      <c r="I134" s="438" t="s">
        <v>43</v>
      </c>
      <c r="J134" s="497">
        <v>628670</v>
      </c>
      <c r="K134" s="497">
        <v>0</v>
      </c>
      <c r="L134" s="497">
        <v>628668</v>
      </c>
      <c r="M134" s="497"/>
      <c r="N134" s="497"/>
      <c r="O134" s="497"/>
      <c r="P134" s="497"/>
      <c r="Q134" s="497"/>
      <c r="R134" s="497"/>
      <c r="S134" s="497"/>
      <c r="T134" s="497"/>
      <c r="U134" s="497"/>
      <c r="V134" s="497"/>
      <c r="W134" s="497"/>
      <c r="X134" s="497"/>
      <c r="Y134" s="455">
        <f t="shared" si="6"/>
        <v>0</v>
      </c>
      <c r="Z134" s="498">
        <v>2</v>
      </c>
      <c r="AA134" s="499">
        <v>9</v>
      </c>
      <c r="AB134" s="500">
        <v>44279</v>
      </c>
      <c r="AC134" s="500">
        <v>44309</v>
      </c>
      <c r="AD134" s="498"/>
      <c r="AE134" s="504"/>
      <c r="AF134" s="501"/>
      <c r="AG134" s="500"/>
      <c r="AH134" s="498"/>
      <c r="AI134" s="499"/>
      <c r="AJ134" s="501"/>
      <c r="AK134" s="502"/>
      <c r="AL134" s="498"/>
      <c r="AM134" s="499"/>
      <c r="AN134" s="501"/>
      <c r="AO134" s="502"/>
      <c r="AP134" s="498"/>
      <c r="AQ134" s="499"/>
      <c r="AR134" s="501"/>
      <c r="AS134" s="502"/>
      <c r="AT134" s="502"/>
      <c r="AU134" s="502"/>
      <c r="AV134" s="502"/>
      <c r="AW134" s="502"/>
      <c r="AX134" s="502"/>
      <c r="AY134" s="502"/>
      <c r="AZ134" s="502"/>
      <c r="BA134" s="502"/>
      <c r="BB134" s="502"/>
      <c r="BC134" s="502"/>
      <c r="BD134" s="502"/>
      <c r="BE134" s="502"/>
      <c r="BF134" s="502"/>
      <c r="BG134" s="502"/>
      <c r="BH134" s="502"/>
      <c r="BI134" s="502"/>
      <c r="BJ134" s="154">
        <f t="shared" si="4"/>
        <v>2</v>
      </c>
      <c r="BK134" s="461">
        <f t="shared" si="5"/>
        <v>2</v>
      </c>
    </row>
    <row r="135" spans="2:63" s="223" customFormat="1" ht="24" customHeight="1" x14ac:dyDescent="0.25">
      <c r="B135" s="222">
        <v>121</v>
      </c>
      <c r="C135" s="222" t="s">
        <v>38</v>
      </c>
      <c r="D135" s="494">
        <v>30480657</v>
      </c>
      <c r="E135" s="495" t="s">
        <v>1061</v>
      </c>
      <c r="F135" s="435" t="s">
        <v>204</v>
      </c>
      <c r="G135" s="460" t="s">
        <v>898</v>
      </c>
      <c r="H135" s="505" t="s">
        <v>901</v>
      </c>
      <c r="I135" s="438" t="s">
        <v>43</v>
      </c>
      <c r="J135" s="497">
        <v>124168</v>
      </c>
      <c r="K135" s="497">
        <v>0</v>
      </c>
      <c r="L135" s="497">
        <v>124166</v>
      </c>
      <c r="M135" s="497"/>
      <c r="N135" s="497"/>
      <c r="O135" s="497"/>
      <c r="P135" s="497"/>
      <c r="Q135" s="497"/>
      <c r="R135" s="497"/>
      <c r="S135" s="497"/>
      <c r="T135" s="497"/>
      <c r="U135" s="497"/>
      <c r="V135" s="497"/>
      <c r="W135" s="497"/>
      <c r="X135" s="497"/>
      <c r="Y135" s="455">
        <f t="shared" si="6"/>
        <v>0</v>
      </c>
      <c r="Z135" s="498">
        <v>2</v>
      </c>
      <c r="AA135" s="499">
        <v>9</v>
      </c>
      <c r="AB135" s="500">
        <v>44279</v>
      </c>
      <c r="AC135" s="500">
        <v>44309</v>
      </c>
      <c r="AD135" s="498"/>
      <c r="AE135" s="504"/>
      <c r="AF135" s="501"/>
      <c r="AG135" s="500"/>
      <c r="AH135" s="498"/>
      <c r="AI135" s="499"/>
      <c r="AJ135" s="501"/>
      <c r="AK135" s="502"/>
      <c r="AL135" s="498"/>
      <c r="AM135" s="499"/>
      <c r="AN135" s="501"/>
      <c r="AO135" s="502"/>
      <c r="AP135" s="498"/>
      <c r="AQ135" s="499"/>
      <c r="AR135" s="501"/>
      <c r="AS135" s="502"/>
      <c r="AT135" s="502"/>
      <c r="AU135" s="502"/>
      <c r="AV135" s="502"/>
      <c r="AW135" s="502"/>
      <c r="AX135" s="502"/>
      <c r="AY135" s="502"/>
      <c r="AZ135" s="502"/>
      <c r="BA135" s="502"/>
      <c r="BB135" s="502"/>
      <c r="BC135" s="502"/>
      <c r="BD135" s="502"/>
      <c r="BE135" s="502"/>
      <c r="BF135" s="502"/>
      <c r="BG135" s="502"/>
      <c r="BH135" s="502"/>
      <c r="BI135" s="502"/>
      <c r="BJ135" s="154">
        <f t="shared" si="4"/>
        <v>2</v>
      </c>
      <c r="BK135" s="461">
        <f t="shared" si="5"/>
        <v>2</v>
      </c>
    </row>
    <row r="136" spans="2:63" s="223" customFormat="1" ht="24" customHeight="1" x14ac:dyDescent="0.25">
      <c r="B136" s="221">
        <v>122</v>
      </c>
      <c r="C136" s="222" t="s">
        <v>40</v>
      </c>
      <c r="D136" s="494">
        <v>30480711</v>
      </c>
      <c r="E136" s="495" t="s">
        <v>1062</v>
      </c>
      <c r="F136" s="435" t="s">
        <v>897</v>
      </c>
      <c r="G136" s="460" t="s">
        <v>898</v>
      </c>
      <c r="H136" s="505" t="s">
        <v>1009</v>
      </c>
      <c r="I136" s="438" t="s">
        <v>43</v>
      </c>
      <c r="J136" s="497">
        <v>158867</v>
      </c>
      <c r="K136" s="497">
        <v>0</v>
      </c>
      <c r="L136" s="497">
        <v>158866</v>
      </c>
      <c r="M136" s="497"/>
      <c r="N136" s="497"/>
      <c r="O136" s="497"/>
      <c r="P136" s="497"/>
      <c r="Q136" s="497"/>
      <c r="R136" s="497"/>
      <c r="S136" s="497"/>
      <c r="T136" s="497"/>
      <c r="U136" s="497"/>
      <c r="V136" s="497"/>
      <c r="W136" s="497"/>
      <c r="X136" s="497"/>
      <c r="Y136" s="455">
        <f t="shared" si="6"/>
        <v>0</v>
      </c>
      <c r="Z136" s="498">
        <v>1</v>
      </c>
      <c r="AA136" s="499">
        <v>9</v>
      </c>
      <c r="AB136" s="500">
        <v>44279</v>
      </c>
      <c r="AC136" s="500">
        <v>44309</v>
      </c>
      <c r="AD136" s="498"/>
      <c r="AE136" s="504"/>
      <c r="AF136" s="501"/>
      <c r="AG136" s="500"/>
      <c r="AH136" s="498"/>
      <c r="AI136" s="499"/>
      <c r="AJ136" s="501"/>
      <c r="AK136" s="502"/>
      <c r="AL136" s="498"/>
      <c r="AM136" s="499"/>
      <c r="AN136" s="501"/>
      <c r="AO136" s="502"/>
      <c r="AP136" s="498"/>
      <c r="AQ136" s="499"/>
      <c r="AR136" s="501"/>
      <c r="AS136" s="502"/>
      <c r="AT136" s="502"/>
      <c r="AU136" s="502"/>
      <c r="AV136" s="502"/>
      <c r="AW136" s="502"/>
      <c r="AX136" s="502"/>
      <c r="AY136" s="502"/>
      <c r="AZ136" s="502"/>
      <c r="BA136" s="502"/>
      <c r="BB136" s="502"/>
      <c r="BC136" s="502"/>
      <c r="BD136" s="502"/>
      <c r="BE136" s="502"/>
      <c r="BF136" s="502"/>
      <c r="BG136" s="502"/>
      <c r="BH136" s="502"/>
      <c r="BI136" s="502"/>
      <c r="BJ136" s="154">
        <f t="shared" si="4"/>
        <v>1</v>
      </c>
      <c r="BK136" s="461">
        <f t="shared" si="5"/>
        <v>1</v>
      </c>
    </row>
    <row r="137" spans="2:63" s="223" customFormat="1" ht="24" customHeight="1" x14ac:dyDescent="0.25">
      <c r="B137" s="221">
        <v>123</v>
      </c>
      <c r="C137" s="222" t="s">
        <v>38</v>
      </c>
      <c r="D137" s="494">
        <v>30481078</v>
      </c>
      <c r="E137" s="495" t="s">
        <v>1063</v>
      </c>
      <c r="F137" s="435" t="s">
        <v>897</v>
      </c>
      <c r="G137" s="460" t="s">
        <v>898</v>
      </c>
      <c r="H137" s="505" t="s">
        <v>921</v>
      </c>
      <c r="I137" s="438" t="s">
        <v>43</v>
      </c>
      <c r="J137" s="497">
        <v>1036120</v>
      </c>
      <c r="K137" s="497">
        <v>0</v>
      </c>
      <c r="L137" s="497">
        <v>1036118</v>
      </c>
      <c r="M137" s="497"/>
      <c r="N137" s="497"/>
      <c r="O137" s="497"/>
      <c r="P137" s="497"/>
      <c r="Q137" s="497"/>
      <c r="R137" s="497"/>
      <c r="S137" s="497"/>
      <c r="T137" s="497"/>
      <c r="U137" s="497"/>
      <c r="V137" s="497"/>
      <c r="W137" s="497"/>
      <c r="X137" s="497"/>
      <c r="Y137" s="455">
        <f t="shared" si="6"/>
        <v>0</v>
      </c>
      <c r="Z137" s="498">
        <v>2</v>
      </c>
      <c r="AA137" s="499">
        <v>9</v>
      </c>
      <c r="AB137" s="500">
        <v>44279</v>
      </c>
      <c r="AC137" s="500">
        <v>44309</v>
      </c>
      <c r="AD137" s="498"/>
      <c r="AE137" s="504"/>
      <c r="AF137" s="501"/>
      <c r="AG137" s="500"/>
      <c r="AH137" s="498"/>
      <c r="AI137" s="499"/>
      <c r="AJ137" s="501"/>
      <c r="AK137" s="502"/>
      <c r="AL137" s="498"/>
      <c r="AM137" s="499"/>
      <c r="AN137" s="501"/>
      <c r="AO137" s="502"/>
      <c r="AP137" s="498"/>
      <c r="AQ137" s="499"/>
      <c r="AR137" s="501"/>
      <c r="AS137" s="502"/>
      <c r="AT137" s="502"/>
      <c r="AU137" s="502"/>
      <c r="AV137" s="502"/>
      <c r="AW137" s="502"/>
      <c r="AX137" s="502"/>
      <c r="AY137" s="502"/>
      <c r="AZ137" s="502"/>
      <c r="BA137" s="502"/>
      <c r="BB137" s="502"/>
      <c r="BC137" s="502"/>
      <c r="BD137" s="502"/>
      <c r="BE137" s="502"/>
      <c r="BF137" s="502"/>
      <c r="BG137" s="502"/>
      <c r="BH137" s="502"/>
      <c r="BI137" s="502"/>
      <c r="BJ137" s="154">
        <f t="shared" si="4"/>
        <v>2</v>
      </c>
      <c r="BK137" s="461">
        <f t="shared" si="5"/>
        <v>2</v>
      </c>
    </row>
    <row r="138" spans="2:63" s="223" customFormat="1" ht="24" customHeight="1" x14ac:dyDescent="0.25">
      <c r="B138" s="222">
        <v>124</v>
      </c>
      <c r="C138" s="222" t="s">
        <v>40</v>
      </c>
      <c r="D138" s="494">
        <v>40002038</v>
      </c>
      <c r="E138" s="495" t="s">
        <v>1064</v>
      </c>
      <c r="F138" s="435" t="s">
        <v>897</v>
      </c>
      <c r="G138" s="460" t="s">
        <v>898</v>
      </c>
      <c r="H138" s="505" t="s">
        <v>991</v>
      </c>
      <c r="I138" s="438" t="s">
        <v>43</v>
      </c>
      <c r="J138" s="497">
        <v>251779</v>
      </c>
      <c r="K138" s="497">
        <v>0</v>
      </c>
      <c r="L138" s="497">
        <v>251778</v>
      </c>
      <c r="M138" s="497"/>
      <c r="N138" s="497"/>
      <c r="O138" s="497"/>
      <c r="P138" s="497"/>
      <c r="Q138" s="497"/>
      <c r="R138" s="497"/>
      <c r="S138" s="497"/>
      <c r="T138" s="497"/>
      <c r="U138" s="497"/>
      <c r="V138" s="497"/>
      <c r="W138" s="497"/>
      <c r="X138" s="497"/>
      <c r="Y138" s="455">
        <f t="shared" si="6"/>
        <v>0</v>
      </c>
      <c r="Z138" s="498">
        <v>1</v>
      </c>
      <c r="AA138" s="499">
        <v>9</v>
      </c>
      <c r="AB138" s="500">
        <v>44279</v>
      </c>
      <c r="AC138" s="500">
        <v>44309</v>
      </c>
      <c r="AD138" s="498"/>
      <c r="AE138" s="504"/>
      <c r="AF138" s="501"/>
      <c r="AG138" s="500"/>
      <c r="AH138" s="498"/>
      <c r="AI138" s="499"/>
      <c r="AJ138" s="501"/>
      <c r="AK138" s="502"/>
      <c r="AL138" s="498"/>
      <c r="AM138" s="499"/>
      <c r="AN138" s="501"/>
      <c r="AO138" s="502"/>
      <c r="AP138" s="498"/>
      <c r="AQ138" s="499"/>
      <c r="AR138" s="501"/>
      <c r="AS138" s="502"/>
      <c r="AT138" s="502"/>
      <c r="AU138" s="502"/>
      <c r="AV138" s="502"/>
      <c r="AW138" s="502"/>
      <c r="AX138" s="502"/>
      <c r="AY138" s="502"/>
      <c r="AZ138" s="502"/>
      <c r="BA138" s="502"/>
      <c r="BB138" s="502"/>
      <c r="BC138" s="502"/>
      <c r="BD138" s="502"/>
      <c r="BE138" s="502"/>
      <c r="BF138" s="502"/>
      <c r="BG138" s="502"/>
      <c r="BH138" s="502"/>
      <c r="BI138" s="502"/>
      <c r="BJ138" s="154">
        <f t="shared" si="4"/>
        <v>1</v>
      </c>
      <c r="BK138" s="461">
        <f t="shared" si="5"/>
        <v>1</v>
      </c>
    </row>
    <row r="139" spans="2:63" s="223" customFormat="1" ht="24" customHeight="1" x14ac:dyDescent="0.25">
      <c r="B139" s="221">
        <v>125</v>
      </c>
      <c r="C139" s="222" t="s">
        <v>38</v>
      </c>
      <c r="D139" s="494">
        <v>40002288</v>
      </c>
      <c r="E139" s="495" t="s">
        <v>1065</v>
      </c>
      <c r="F139" s="435" t="s">
        <v>897</v>
      </c>
      <c r="G139" s="460" t="s">
        <v>898</v>
      </c>
      <c r="H139" s="505" t="s">
        <v>1003</v>
      </c>
      <c r="I139" s="438" t="s">
        <v>43</v>
      </c>
      <c r="J139" s="497">
        <v>831663</v>
      </c>
      <c r="K139" s="497">
        <v>0</v>
      </c>
      <c r="L139" s="497">
        <v>831661</v>
      </c>
      <c r="M139" s="497"/>
      <c r="N139" s="497"/>
      <c r="O139" s="497"/>
      <c r="P139" s="497"/>
      <c r="Q139" s="497"/>
      <c r="R139" s="497"/>
      <c r="S139" s="497"/>
      <c r="T139" s="497"/>
      <c r="U139" s="497"/>
      <c r="V139" s="497"/>
      <c r="W139" s="497"/>
      <c r="X139" s="497"/>
      <c r="Y139" s="455">
        <f t="shared" si="6"/>
        <v>0</v>
      </c>
      <c r="Z139" s="498">
        <v>2</v>
      </c>
      <c r="AA139" s="499">
        <v>9</v>
      </c>
      <c r="AB139" s="500">
        <v>44279</v>
      </c>
      <c r="AC139" s="500">
        <v>44309</v>
      </c>
      <c r="AD139" s="498"/>
      <c r="AE139" s="504"/>
      <c r="AF139" s="501"/>
      <c r="AG139" s="500"/>
      <c r="AH139" s="498"/>
      <c r="AI139" s="499"/>
      <c r="AJ139" s="501"/>
      <c r="AK139" s="502"/>
      <c r="AL139" s="498"/>
      <c r="AM139" s="499"/>
      <c r="AN139" s="501"/>
      <c r="AO139" s="502"/>
      <c r="AP139" s="498"/>
      <c r="AQ139" s="499"/>
      <c r="AR139" s="501"/>
      <c r="AS139" s="502"/>
      <c r="AT139" s="502"/>
      <c r="AU139" s="502"/>
      <c r="AV139" s="502"/>
      <c r="AW139" s="502"/>
      <c r="AX139" s="502"/>
      <c r="AY139" s="502"/>
      <c r="AZ139" s="502"/>
      <c r="BA139" s="502"/>
      <c r="BB139" s="502"/>
      <c r="BC139" s="502"/>
      <c r="BD139" s="502"/>
      <c r="BE139" s="502"/>
      <c r="BF139" s="502"/>
      <c r="BG139" s="502"/>
      <c r="BH139" s="502"/>
      <c r="BI139" s="502"/>
      <c r="BJ139" s="154">
        <f t="shared" si="4"/>
        <v>2</v>
      </c>
      <c r="BK139" s="461">
        <f t="shared" si="5"/>
        <v>2</v>
      </c>
    </row>
    <row r="140" spans="2:63" s="223" customFormat="1" ht="24" customHeight="1" x14ac:dyDescent="0.25">
      <c r="B140" s="221">
        <v>126</v>
      </c>
      <c r="C140" s="222" t="s">
        <v>40</v>
      </c>
      <c r="D140" s="494">
        <v>40009216</v>
      </c>
      <c r="E140" s="495" t="s">
        <v>1066</v>
      </c>
      <c r="F140" s="435" t="s">
        <v>897</v>
      </c>
      <c r="G140" s="460" t="s">
        <v>898</v>
      </c>
      <c r="H140" s="505" t="s">
        <v>903</v>
      </c>
      <c r="I140" s="438" t="s">
        <v>43</v>
      </c>
      <c r="J140" s="497">
        <v>1100243</v>
      </c>
      <c r="K140" s="497">
        <v>0</v>
      </c>
      <c r="L140" s="497">
        <v>1100241</v>
      </c>
      <c r="M140" s="497"/>
      <c r="N140" s="497"/>
      <c r="O140" s="497"/>
      <c r="P140" s="497"/>
      <c r="Q140" s="497"/>
      <c r="R140" s="497"/>
      <c r="S140" s="497"/>
      <c r="T140" s="497"/>
      <c r="U140" s="497"/>
      <c r="V140" s="497"/>
      <c r="W140" s="497"/>
      <c r="X140" s="497"/>
      <c r="Y140" s="455">
        <f t="shared" si="6"/>
        <v>0</v>
      </c>
      <c r="Z140" s="498">
        <v>2</v>
      </c>
      <c r="AA140" s="499">
        <v>9</v>
      </c>
      <c r="AB140" s="500">
        <v>44279</v>
      </c>
      <c r="AC140" s="500">
        <v>44309</v>
      </c>
      <c r="AD140" s="498"/>
      <c r="AE140" s="504"/>
      <c r="AF140" s="501"/>
      <c r="AG140" s="500"/>
      <c r="AH140" s="498"/>
      <c r="AI140" s="499"/>
      <c r="AJ140" s="501"/>
      <c r="AK140" s="502"/>
      <c r="AL140" s="498"/>
      <c r="AM140" s="499"/>
      <c r="AN140" s="501"/>
      <c r="AO140" s="502"/>
      <c r="AP140" s="498"/>
      <c r="AQ140" s="499"/>
      <c r="AR140" s="501"/>
      <c r="AS140" s="502"/>
      <c r="AT140" s="502"/>
      <c r="AU140" s="502"/>
      <c r="AV140" s="502"/>
      <c r="AW140" s="502"/>
      <c r="AX140" s="502"/>
      <c r="AY140" s="502"/>
      <c r="AZ140" s="502"/>
      <c r="BA140" s="502"/>
      <c r="BB140" s="502"/>
      <c r="BC140" s="502"/>
      <c r="BD140" s="502"/>
      <c r="BE140" s="502"/>
      <c r="BF140" s="502"/>
      <c r="BG140" s="502"/>
      <c r="BH140" s="502"/>
      <c r="BI140" s="502"/>
      <c r="BJ140" s="154">
        <f t="shared" si="4"/>
        <v>2</v>
      </c>
      <c r="BK140" s="461">
        <f t="shared" si="5"/>
        <v>2</v>
      </c>
    </row>
    <row r="141" spans="2:63" s="223" customFormat="1" ht="24" customHeight="1" x14ac:dyDescent="0.25">
      <c r="B141" s="222">
        <v>127</v>
      </c>
      <c r="C141" s="224" t="s">
        <v>38</v>
      </c>
      <c r="D141" s="494">
        <v>40020632</v>
      </c>
      <c r="E141" s="495" t="s">
        <v>1067</v>
      </c>
      <c r="F141" s="435" t="s">
        <v>204</v>
      </c>
      <c r="G141" s="460" t="s">
        <v>898</v>
      </c>
      <c r="H141" s="505" t="s">
        <v>991</v>
      </c>
      <c r="I141" s="438" t="s">
        <v>43</v>
      </c>
      <c r="J141" s="497">
        <v>80200</v>
      </c>
      <c r="K141" s="497">
        <v>0</v>
      </c>
      <c r="L141" s="497">
        <v>80199</v>
      </c>
      <c r="M141" s="497"/>
      <c r="N141" s="497"/>
      <c r="O141" s="497"/>
      <c r="P141" s="497"/>
      <c r="Q141" s="497"/>
      <c r="R141" s="497"/>
      <c r="S141" s="497"/>
      <c r="T141" s="497"/>
      <c r="U141" s="497"/>
      <c r="V141" s="497"/>
      <c r="W141" s="497"/>
      <c r="X141" s="497"/>
      <c r="Y141" s="455">
        <f t="shared" si="6"/>
        <v>0</v>
      </c>
      <c r="Z141" s="498">
        <v>1</v>
      </c>
      <c r="AA141" s="499">
        <v>9</v>
      </c>
      <c r="AB141" s="500">
        <v>44279</v>
      </c>
      <c r="AC141" s="500">
        <v>44309</v>
      </c>
      <c r="AD141" s="498"/>
      <c r="AE141" s="504"/>
      <c r="AF141" s="501"/>
      <c r="AG141" s="500"/>
      <c r="AH141" s="498"/>
      <c r="AI141" s="499"/>
      <c r="AJ141" s="501"/>
      <c r="AK141" s="502"/>
      <c r="AL141" s="498"/>
      <c r="AM141" s="499"/>
      <c r="AN141" s="501"/>
      <c r="AO141" s="502"/>
      <c r="AP141" s="498"/>
      <c r="AQ141" s="499"/>
      <c r="AR141" s="501"/>
      <c r="AS141" s="502"/>
      <c r="AT141" s="502"/>
      <c r="AU141" s="502"/>
      <c r="AV141" s="502"/>
      <c r="AW141" s="502"/>
      <c r="AX141" s="502"/>
      <c r="AY141" s="502"/>
      <c r="AZ141" s="502"/>
      <c r="BA141" s="502"/>
      <c r="BB141" s="502"/>
      <c r="BC141" s="502"/>
      <c r="BD141" s="502"/>
      <c r="BE141" s="502"/>
      <c r="BF141" s="502"/>
      <c r="BG141" s="502"/>
      <c r="BH141" s="502"/>
      <c r="BI141" s="502"/>
      <c r="BJ141" s="154">
        <f t="shared" si="4"/>
        <v>1</v>
      </c>
      <c r="BK141" s="461">
        <f t="shared" si="5"/>
        <v>1</v>
      </c>
    </row>
    <row r="142" spans="2:63" s="223" customFormat="1" ht="24" customHeight="1" x14ac:dyDescent="0.25">
      <c r="B142" s="221">
        <v>128</v>
      </c>
      <c r="C142" s="224" t="s">
        <v>38</v>
      </c>
      <c r="D142" s="494">
        <v>40020879</v>
      </c>
      <c r="E142" s="495" t="s">
        <v>1068</v>
      </c>
      <c r="F142" s="435" t="s">
        <v>897</v>
      </c>
      <c r="G142" s="460" t="s">
        <v>898</v>
      </c>
      <c r="H142" s="505" t="s">
        <v>909</v>
      </c>
      <c r="I142" s="438" t="s">
        <v>43</v>
      </c>
      <c r="J142" s="497">
        <v>706117</v>
      </c>
      <c r="K142" s="497">
        <v>0</v>
      </c>
      <c r="L142" s="497">
        <v>706113</v>
      </c>
      <c r="M142" s="497"/>
      <c r="N142" s="497"/>
      <c r="O142" s="497"/>
      <c r="P142" s="497"/>
      <c r="Q142" s="497"/>
      <c r="R142" s="497"/>
      <c r="S142" s="497"/>
      <c r="T142" s="497"/>
      <c r="U142" s="497"/>
      <c r="V142" s="497"/>
      <c r="W142" s="497"/>
      <c r="X142" s="497"/>
      <c r="Y142" s="455">
        <f t="shared" si="6"/>
        <v>0</v>
      </c>
      <c r="Z142" s="498">
        <v>4</v>
      </c>
      <c r="AA142" s="499">
        <v>9</v>
      </c>
      <c r="AB142" s="500">
        <v>44279</v>
      </c>
      <c r="AC142" s="500">
        <v>44309</v>
      </c>
      <c r="AD142" s="498"/>
      <c r="AE142" s="504"/>
      <c r="AF142" s="501"/>
      <c r="AG142" s="500"/>
      <c r="AH142" s="498"/>
      <c r="AI142" s="499"/>
      <c r="AJ142" s="501"/>
      <c r="AK142" s="502"/>
      <c r="AL142" s="498"/>
      <c r="AM142" s="499"/>
      <c r="AN142" s="501"/>
      <c r="AO142" s="502"/>
      <c r="AP142" s="498"/>
      <c r="AQ142" s="499"/>
      <c r="AR142" s="501"/>
      <c r="AS142" s="502"/>
      <c r="AT142" s="502"/>
      <c r="AU142" s="502"/>
      <c r="AV142" s="502"/>
      <c r="AW142" s="502"/>
      <c r="AX142" s="502"/>
      <c r="AY142" s="502"/>
      <c r="AZ142" s="502"/>
      <c r="BA142" s="502"/>
      <c r="BB142" s="502"/>
      <c r="BC142" s="502"/>
      <c r="BD142" s="502"/>
      <c r="BE142" s="502"/>
      <c r="BF142" s="502"/>
      <c r="BG142" s="502"/>
      <c r="BH142" s="502"/>
      <c r="BI142" s="502"/>
      <c r="BJ142" s="154">
        <f t="shared" si="4"/>
        <v>4</v>
      </c>
      <c r="BK142" s="461">
        <f t="shared" si="5"/>
        <v>4</v>
      </c>
    </row>
    <row r="143" spans="2:63" s="223" customFormat="1" ht="24" customHeight="1" x14ac:dyDescent="0.25">
      <c r="B143" s="222">
        <v>129</v>
      </c>
      <c r="C143" s="224" t="s">
        <v>38</v>
      </c>
      <c r="D143" s="494">
        <v>30133612</v>
      </c>
      <c r="E143" s="495" t="s">
        <v>1069</v>
      </c>
      <c r="F143" s="435" t="s">
        <v>897</v>
      </c>
      <c r="G143" s="460" t="s">
        <v>898</v>
      </c>
      <c r="H143" s="505" t="s">
        <v>911</v>
      </c>
      <c r="I143" s="438" t="s">
        <v>42</v>
      </c>
      <c r="J143" s="497">
        <v>1639105</v>
      </c>
      <c r="K143" s="497">
        <v>1603669</v>
      </c>
      <c r="L143" s="497">
        <v>19</v>
      </c>
      <c r="M143" s="497"/>
      <c r="N143" s="497"/>
      <c r="O143" s="497"/>
      <c r="P143" s="497">
        <v>11187</v>
      </c>
      <c r="Q143" s="497">
        <v>7336</v>
      </c>
      <c r="R143" s="497"/>
      <c r="S143" s="497"/>
      <c r="T143" s="497"/>
      <c r="U143" s="497"/>
      <c r="V143" s="497"/>
      <c r="W143" s="497"/>
      <c r="X143" s="497"/>
      <c r="Y143" s="455">
        <f t="shared" si="6"/>
        <v>18523</v>
      </c>
      <c r="Z143" s="498">
        <v>35417</v>
      </c>
      <c r="AA143" s="499">
        <v>12</v>
      </c>
      <c r="AB143" s="500">
        <v>44290</v>
      </c>
      <c r="AC143" s="500">
        <v>44313</v>
      </c>
      <c r="AD143" s="498"/>
      <c r="AE143" s="504"/>
      <c r="AF143" s="501"/>
      <c r="AG143" s="500"/>
      <c r="AH143" s="498"/>
      <c r="AI143" s="499"/>
      <c r="AJ143" s="501"/>
      <c r="AK143" s="502"/>
      <c r="AL143" s="498"/>
      <c r="AM143" s="499"/>
      <c r="AN143" s="501"/>
      <c r="AO143" s="502"/>
      <c r="AP143" s="498"/>
      <c r="AQ143" s="499"/>
      <c r="AR143" s="501"/>
      <c r="AS143" s="502"/>
      <c r="AT143" s="502"/>
      <c r="AU143" s="502"/>
      <c r="AV143" s="502"/>
      <c r="AW143" s="502"/>
      <c r="AX143" s="502"/>
      <c r="AY143" s="502"/>
      <c r="AZ143" s="502"/>
      <c r="BA143" s="502"/>
      <c r="BB143" s="502"/>
      <c r="BC143" s="502"/>
      <c r="BD143" s="502"/>
      <c r="BE143" s="502"/>
      <c r="BF143" s="502"/>
      <c r="BG143" s="502"/>
      <c r="BH143" s="502"/>
      <c r="BI143" s="502"/>
      <c r="BJ143" s="154">
        <f t="shared" si="4"/>
        <v>35417</v>
      </c>
      <c r="BK143" s="461">
        <f t="shared" si="5"/>
        <v>16894</v>
      </c>
    </row>
    <row r="144" spans="2:63" s="223" customFormat="1" ht="24" customHeight="1" x14ac:dyDescent="0.25">
      <c r="B144" s="222">
        <v>130</v>
      </c>
      <c r="C144" s="224" t="s">
        <v>38</v>
      </c>
      <c r="D144" s="494">
        <v>30242122</v>
      </c>
      <c r="E144" s="495" t="s">
        <v>1070</v>
      </c>
      <c r="F144" s="435" t="s">
        <v>204</v>
      </c>
      <c r="G144" s="460" t="s">
        <v>898</v>
      </c>
      <c r="H144" s="505" t="s">
        <v>971</v>
      </c>
      <c r="I144" s="438" t="s">
        <v>43</v>
      </c>
      <c r="J144" s="497">
        <v>64171</v>
      </c>
      <c r="K144" s="497">
        <v>0</v>
      </c>
      <c r="L144" s="497">
        <v>64169</v>
      </c>
      <c r="M144" s="497"/>
      <c r="N144" s="497"/>
      <c r="O144" s="497"/>
      <c r="P144" s="497"/>
      <c r="Q144" s="497"/>
      <c r="R144" s="497"/>
      <c r="S144" s="497"/>
      <c r="T144" s="497"/>
      <c r="U144" s="497"/>
      <c r="V144" s="497"/>
      <c r="W144" s="497"/>
      <c r="X144" s="497"/>
      <c r="Y144" s="455">
        <f t="shared" si="6"/>
        <v>0</v>
      </c>
      <c r="Z144" s="498">
        <v>2</v>
      </c>
      <c r="AA144" s="499">
        <v>12</v>
      </c>
      <c r="AB144" s="500">
        <v>44290</v>
      </c>
      <c r="AC144" s="500">
        <v>44313</v>
      </c>
      <c r="AD144" s="498"/>
      <c r="AE144" s="504"/>
      <c r="AF144" s="501"/>
      <c r="AG144" s="500"/>
      <c r="AH144" s="498"/>
      <c r="AI144" s="499"/>
      <c r="AJ144" s="501"/>
      <c r="AK144" s="502"/>
      <c r="AL144" s="498"/>
      <c r="AM144" s="499"/>
      <c r="AN144" s="501"/>
      <c r="AO144" s="502"/>
      <c r="AP144" s="498"/>
      <c r="AQ144" s="499"/>
      <c r="AR144" s="501"/>
      <c r="AS144" s="502"/>
      <c r="AT144" s="502"/>
      <c r="AU144" s="502"/>
      <c r="AV144" s="502"/>
      <c r="AW144" s="502"/>
      <c r="AX144" s="502"/>
      <c r="AY144" s="502"/>
      <c r="AZ144" s="502"/>
      <c r="BA144" s="502"/>
      <c r="BB144" s="502"/>
      <c r="BC144" s="502"/>
      <c r="BD144" s="502"/>
      <c r="BE144" s="502"/>
      <c r="BF144" s="502"/>
      <c r="BG144" s="502"/>
      <c r="BH144" s="502"/>
      <c r="BI144" s="502"/>
      <c r="BJ144" s="154">
        <f t="shared" si="4"/>
        <v>2</v>
      </c>
      <c r="BK144" s="461">
        <f t="shared" si="5"/>
        <v>2</v>
      </c>
    </row>
    <row r="145" spans="2:63" s="223" customFormat="1" ht="24" customHeight="1" x14ac:dyDescent="0.25">
      <c r="B145" s="221">
        <v>131</v>
      </c>
      <c r="C145" s="224" t="s">
        <v>38</v>
      </c>
      <c r="D145" s="494">
        <v>30249422</v>
      </c>
      <c r="E145" s="495" t="s">
        <v>1071</v>
      </c>
      <c r="F145" s="435" t="s">
        <v>204</v>
      </c>
      <c r="G145" s="460" t="s">
        <v>898</v>
      </c>
      <c r="H145" s="505" t="s">
        <v>915</v>
      </c>
      <c r="I145" s="438" t="s">
        <v>42</v>
      </c>
      <c r="J145" s="497">
        <v>54862</v>
      </c>
      <c r="K145" s="497">
        <v>22952</v>
      </c>
      <c r="L145" s="497">
        <v>31909</v>
      </c>
      <c r="M145" s="497"/>
      <c r="N145" s="497"/>
      <c r="O145" s="497"/>
      <c r="P145" s="497"/>
      <c r="Q145" s="497"/>
      <c r="R145" s="497"/>
      <c r="S145" s="497"/>
      <c r="T145" s="497"/>
      <c r="U145" s="497"/>
      <c r="V145" s="497"/>
      <c r="W145" s="497"/>
      <c r="X145" s="497"/>
      <c r="Y145" s="455">
        <f t="shared" si="6"/>
        <v>0</v>
      </c>
      <c r="Z145" s="498">
        <v>1</v>
      </c>
      <c r="AA145" s="499">
        <v>12</v>
      </c>
      <c r="AB145" s="500">
        <v>44290</v>
      </c>
      <c r="AC145" s="500">
        <v>44313</v>
      </c>
      <c r="AD145" s="498"/>
      <c r="AE145" s="504"/>
      <c r="AF145" s="501"/>
      <c r="AG145" s="500"/>
      <c r="AH145" s="498"/>
      <c r="AI145" s="499"/>
      <c r="AJ145" s="501"/>
      <c r="AK145" s="502"/>
      <c r="AL145" s="498"/>
      <c r="AM145" s="499"/>
      <c r="AN145" s="501"/>
      <c r="AO145" s="502"/>
      <c r="AP145" s="498"/>
      <c r="AQ145" s="499"/>
      <c r="AR145" s="501"/>
      <c r="AS145" s="502"/>
      <c r="AT145" s="502"/>
      <c r="AU145" s="502"/>
      <c r="AV145" s="502"/>
      <c r="AW145" s="502"/>
      <c r="AX145" s="502"/>
      <c r="AY145" s="502"/>
      <c r="AZ145" s="502"/>
      <c r="BA145" s="502"/>
      <c r="BB145" s="502"/>
      <c r="BC145" s="502"/>
      <c r="BD145" s="502"/>
      <c r="BE145" s="502"/>
      <c r="BF145" s="502"/>
      <c r="BG145" s="502"/>
      <c r="BH145" s="502"/>
      <c r="BI145" s="502"/>
      <c r="BJ145" s="154">
        <f t="shared" ref="BJ145:BJ165" si="7">+Z145+AD145+AH145+AL145+AP145+AT145+AX145+BB145+BF145</f>
        <v>1</v>
      </c>
      <c r="BK145" s="461">
        <f t="shared" ref="BK145:BK165" si="8">+BJ145-Y145</f>
        <v>1</v>
      </c>
    </row>
    <row r="146" spans="2:63" s="223" customFormat="1" ht="24" customHeight="1" x14ac:dyDescent="0.25">
      <c r="B146" s="222">
        <v>132</v>
      </c>
      <c r="C146" s="224" t="s">
        <v>38</v>
      </c>
      <c r="D146" s="494">
        <v>30275622</v>
      </c>
      <c r="E146" s="495" t="s">
        <v>1072</v>
      </c>
      <c r="F146" s="435" t="s">
        <v>897</v>
      </c>
      <c r="G146" s="460" t="s">
        <v>898</v>
      </c>
      <c r="H146" s="505" t="s">
        <v>953</v>
      </c>
      <c r="I146" s="438" t="s">
        <v>42</v>
      </c>
      <c r="J146" s="497">
        <v>389504</v>
      </c>
      <c r="K146" s="497">
        <v>280460</v>
      </c>
      <c r="L146" s="497">
        <v>109043</v>
      </c>
      <c r="M146" s="497"/>
      <c r="N146" s="497"/>
      <c r="O146" s="497"/>
      <c r="P146" s="497"/>
      <c r="Q146" s="497"/>
      <c r="R146" s="497"/>
      <c r="S146" s="497"/>
      <c r="T146" s="497"/>
      <c r="U146" s="497"/>
      <c r="V146" s="497"/>
      <c r="W146" s="497"/>
      <c r="X146" s="497"/>
      <c r="Y146" s="455">
        <f t="shared" si="6"/>
        <v>0</v>
      </c>
      <c r="Z146" s="498">
        <v>1</v>
      </c>
      <c r="AA146" s="499">
        <v>12</v>
      </c>
      <c r="AB146" s="500">
        <v>44290</v>
      </c>
      <c r="AC146" s="500">
        <v>44313</v>
      </c>
      <c r="AD146" s="498"/>
      <c r="AE146" s="504"/>
      <c r="AF146" s="501"/>
      <c r="AG146" s="500"/>
      <c r="AH146" s="498"/>
      <c r="AI146" s="499"/>
      <c r="AJ146" s="501"/>
      <c r="AK146" s="502"/>
      <c r="AL146" s="498"/>
      <c r="AM146" s="499"/>
      <c r="AN146" s="501"/>
      <c r="AO146" s="502"/>
      <c r="AP146" s="498"/>
      <c r="AQ146" s="499"/>
      <c r="AR146" s="501"/>
      <c r="AS146" s="502"/>
      <c r="AT146" s="502"/>
      <c r="AU146" s="502"/>
      <c r="AV146" s="502"/>
      <c r="AW146" s="502"/>
      <c r="AX146" s="502"/>
      <c r="AY146" s="502"/>
      <c r="AZ146" s="502"/>
      <c r="BA146" s="502"/>
      <c r="BB146" s="502"/>
      <c r="BC146" s="502"/>
      <c r="BD146" s="502"/>
      <c r="BE146" s="502"/>
      <c r="BF146" s="502"/>
      <c r="BG146" s="502"/>
      <c r="BH146" s="502"/>
      <c r="BI146" s="502"/>
      <c r="BJ146" s="154">
        <f t="shared" si="7"/>
        <v>1</v>
      </c>
      <c r="BK146" s="461">
        <f t="shared" si="8"/>
        <v>1</v>
      </c>
    </row>
    <row r="147" spans="2:63" s="223" customFormat="1" ht="24" customHeight="1" x14ac:dyDescent="0.25">
      <c r="B147" s="222">
        <v>133</v>
      </c>
      <c r="C147" s="224" t="s">
        <v>38</v>
      </c>
      <c r="D147" s="494">
        <v>30305272</v>
      </c>
      <c r="E147" s="495" t="s">
        <v>1073</v>
      </c>
      <c r="F147" s="435" t="s">
        <v>204</v>
      </c>
      <c r="G147" s="460" t="s">
        <v>898</v>
      </c>
      <c r="H147" s="505" t="s">
        <v>929</v>
      </c>
      <c r="I147" s="438" t="s">
        <v>42</v>
      </c>
      <c r="J147" s="497">
        <v>104248</v>
      </c>
      <c r="K147" s="497">
        <v>38378</v>
      </c>
      <c r="L147" s="497">
        <v>21995</v>
      </c>
      <c r="M147" s="497"/>
      <c r="N147" s="497"/>
      <c r="O147" s="497"/>
      <c r="P147" s="497"/>
      <c r="Q147" s="497"/>
      <c r="R147" s="497"/>
      <c r="S147" s="497"/>
      <c r="T147" s="497"/>
      <c r="U147" s="497"/>
      <c r="V147" s="497"/>
      <c r="W147" s="497"/>
      <c r="X147" s="497"/>
      <c r="Y147" s="455">
        <f t="shared" ref="Y147:Y163" si="9">SUM(M147:X147)</f>
        <v>0</v>
      </c>
      <c r="Z147" s="498">
        <v>43875</v>
      </c>
      <c r="AA147" s="499">
        <v>12</v>
      </c>
      <c r="AB147" s="500">
        <v>44290</v>
      </c>
      <c r="AC147" s="500">
        <v>44313</v>
      </c>
      <c r="AD147" s="498"/>
      <c r="AE147" s="504"/>
      <c r="AF147" s="501"/>
      <c r="AG147" s="500"/>
      <c r="AH147" s="498"/>
      <c r="AI147" s="499"/>
      <c r="AJ147" s="501"/>
      <c r="AK147" s="502"/>
      <c r="AL147" s="498"/>
      <c r="AM147" s="499"/>
      <c r="AN147" s="501"/>
      <c r="AO147" s="502"/>
      <c r="AP147" s="498"/>
      <c r="AQ147" s="499"/>
      <c r="AR147" s="501"/>
      <c r="AS147" s="502"/>
      <c r="AT147" s="502"/>
      <c r="AU147" s="502"/>
      <c r="AV147" s="502"/>
      <c r="AW147" s="502"/>
      <c r="AX147" s="502"/>
      <c r="AY147" s="502"/>
      <c r="AZ147" s="502"/>
      <c r="BA147" s="502"/>
      <c r="BB147" s="502"/>
      <c r="BC147" s="502"/>
      <c r="BD147" s="502"/>
      <c r="BE147" s="502"/>
      <c r="BF147" s="502"/>
      <c r="BG147" s="502"/>
      <c r="BH147" s="502"/>
      <c r="BI147" s="502"/>
      <c r="BJ147" s="154">
        <f t="shared" si="7"/>
        <v>43875</v>
      </c>
      <c r="BK147" s="461">
        <f t="shared" si="8"/>
        <v>43875</v>
      </c>
    </row>
    <row r="148" spans="2:63" s="223" customFormat="1" ht="24" customHeight="1" x14ac:dyDescent="0.25">
      <c r="B148" s="221">
        <v>134</v>
      </c>
      <c r="C148" s="224" t="s">
        <v>40</v>
      </c>
      <c r="D148" s="494">
        <v>30488008</v>
      </c>
      <c r="E148" s="495" t="s">
        <v>1074</v>
      </c>
      <c r="F148" s="435" t="s">
        <v>897</v>
      </c>
      <c r="G148" s="460" t="s">
        <v>898</v>
      </c>
      <c r="H148" s="505" t="s">
        <v>901</v>
      </c>
      <c r="I148" s="438" t="s">
        <v>43</v>
      </c>
      <c r="J148" s="497">
        <v>190069</v>
      </c>
      <c r="K148" s="497">
        <v>0</v>
      </c>
      <c r="L148" s="497">
        <v>190068</v>
      </c>
      <c r="M148" s="497"/>
      <c r="N148" s="497"/>
      <c r="O148" s="497"/>
      <c r="P148" s="497"/>
      <c r="Q148" s="497"/>
      <c r="R148" s="497"/>
      <c r="S148" s="497"/>
      <c r="T148" s="497"/>
      <c r="U148" s="497"/>
      <c r="V148" s="497"/>
      <c r="W148" s="497"/>
      <c r="X148" s="497"/>
      <c r="Y148" s="455">
        <f t="shared" si="9"/>
        <v>0</v>
      </c>
      <c r="Z148" s="498">
        <v>1</v>
      </c>
      <c r="AA148" s="499">
        <v>12</v>
      </c>
      <c r="AB148" s="500">
        <v>44290</v>
      </c>
      <c r="AC148" s="500">
        <v>44313</v>
      </c>
      <c r="AD148" s="498"/>
      <c r="AE148" s="504"/>
      <c r="AF148" s="501"/>
      <c r="AG148" s="500"/>
      <c r="AH148" s="498"/>
      <c r="AI148" s="499"/>
      <c r="AJ148" s="501"/>
      <c r="AK148" s="502"/>
      <c r="AL148" s="498"/>
      <c r="AM148" s="499"/>
      <c r="AN148" s="501"/>
      <c r="AO148" s="502"/>
      <c r="AP148" s="498"/>
      <c r="AQ148" s="499"/>
      <c r="AR148" s="501"/>
      <c r="AS148" s="502"/>
      <c r="AT148" s="502"/>
      <c r="AU148" s="502"/>
      <c r="AV148" s="502"/>
      <c r="AW148" s="502"/>
      <c r="AX148" s="502"/>
      <c r="AY148" s="502"/>
      <c r="AZ148" s="502"/>
      <c r="BA148" s="502"/>
      <c r="BB148" s="502"/>
      <c r="BC148" s="502"/>
      <c r="BD148" s="502"/>
      <c r="BE148" s="502"/>
      <c r="BF148" s="502"/>
      <c r="BG148" s="502"/>
      <c r="BH148" s="502"/>
      <c r="BI148" s="502"/>
      <c r="BJ148" s="154">
        <f t="shared" si="7"/>
        <v>1</v>
      </c>
      <c r="BK148" s="461">
        <f t="shared" si="8"/>
        <v>1</v>
      </c>
    </row>
    <row r="149" spans="2:63" s="223" customFormat="1" ht="24" customHeight="1" x14ac:dyDescent="0.25">
      <c r="B149" s="222">
        <v>135</v>
      </c>
      <c r="C149" s="224" t="s">
        <v>38</v>
      </c>
      <c r="D149" s="494">
        <v>30448823</v>
      </c>
      <c r="E149" s="495" t="s">
        <v>1075</v>
      </c>
      <c r="F149" s="435" t="s">
        <v>897</v>
      </c>
      <c r="G149" s="460" t="s">
        <v>898</v>
      </c>
      <c r="H149" s="505" t="s">
        <v>1043</v>
      </c>
      <c r="I149" s="438" t="s">
        <v>43</v>
      </c>
      <c r="J149" s="497">
        <v>622756</v>
      </c>
      <c r="K149" s="497">
        <v>0</v>
      </c>
      <c r="L149" s="497">
        <v>622754</v>
      </c>
      <c r="M149" s="497"/>
      <c r="N149" s="497"/>
      <c r="O149" s="497"/>
      <c r="P149" s="497"/>
      <c r="Q149" s="497"/>
      <c r="R149" s="497"/>
      <c r="S149" s="497"/>
      <c r="T149" s="497"/>
      <c r="U149" s="497"/>
      <c r="V149" s="497"/>
      <c r="W149" s="497"/>
      <c r="X149" s="497"/>
      <c r="Y149" s="455">
        <f t="shared" si="9"/>
        <v>0</v>
      </c>
      <c r="Z149" s="498">
        <v>2</v>
      </c>
      <c r="AA149" s="499">
        <v>12</v>
      </c>
      <c r="AB149" s="500">
        <v>44290</v>
      </c>
      <c r="AC149" s="500">
        <v>44313</v>
      </c>
      <c r="AD149" s="498"/>
      <c r="AE149" s="504"/>
      <c r="AF149" s="501"/>
      <c r="AG149" s="500"/>
      <c r="AH149" s="498"/>
      <c r="AI149" s="499"/>
      <c r="AJ149" s="501"/>
      <c r="AK149" s="502"/>
      <c r="AL149" s="498"/>
      <c r="AM149" s="499"/>
      <c r="AN149" s="501"/>
      <c r="AO149" s="502"/>
      <c r="AP149" s="498"/>
      <c r="AQ149" s="499"/>
      <c r="AR149" s="501"/>
      <c r="AS149" s="502"/>
      <c r="AT149" s="502"/>
      <c r="AU149" s="502"/>
      <c r="AV149" s="502"/>
      <c r="AW149" s="502"/>
      <c r="AX149" s="502"/>
      <c r="AY149" s="502"/>
      <c r="AZ149" s="502"/>
      <c r="BA149" s="502"/>
      <c r="BB149" s="502"/>
      <c r="BC149" s="502"/>
      <c r="BD149" s="502"/>
      <c r="BE149" s="502"/>
      <c r="BF149" s="502"/>
      <c r="BG149" s="502"/>
      <c r="BH149" s="502"/>
      <c r="BI149" s="502"/>
      <c r="BJ149" s="154">
        <f t="shared" si="7"/>
        <v>2</v>
      </c>
      <c r="BK149" s="461">
        <f t="shared" si="8"/>
        <v>2</v>
      </c>
    </row>
    <row r="150" spans="2:63" s="223" customFormat="1" ht="24" customHeight="1" x14ac:dyDescent="0.25">
      <c r="B150" s="222">
        <v>136</v>
      </c>
      <c r="C150" s="224" t="s">
        <v>38</v>
      </c>
      <c r="D150" s="494">
        <v>40025962</v>
      </c>
      <c r="E150" s="495" t="s">
        <v>1076</v>
      </c>
      <c r="F150" s="435" t="s">
        <v>897</v>
      </c>
      <c r="G150" s="460" t="s">
        <v>898</v>
      </c>
      <c r="H150" s="505" t="s">
        <v>983</v>
      </c>
      <c r="I150" s="438" t="s">
        <v>43</v>
      </c>
      <c r="J150" s="497">
        <v>1014113</v>
      </c>
      <c r="K150" s="497">
        <v>1014113</v>
      </c>
      <c r="L150" s="497">
        <v>1014112</v>
      </c>
      <c r="M150" s="497"/>
      <c r="N150" s="497"/>
      <c r="O150" s="497"/>
      <c r="P150" s="497"/>
      <c r="Q150" s="497"/>
      <c r="R150" s="497"/>
      <c r="S150" s="497"/>
      <c r="T150" s="497"/>
      <c r="U150" s="497"/>
      <c r="V150" s="497"/>
      <c r="W150" s="497"/>
      <c r="X150" s="497"/>
      <c r="Y150" s="455">
        <f t="shared" si="9"/>
        <v>0</v>
      </c>
      <c r="Z150" s="498">
        <v>1</v>
      </c>
      <c r="AA150" s="499">
        <v>10</v>
      </c>
      <c r="AB150" s="500">
        <v>44284</v>
      </c>
      <c r="AC150" s="500">
        <v>44286</v>
      </c>
      <c r="AD150" s="498">
        <v>499999</v>
      </c>
      <c r="AE150" s="504">
        <v>15</v>
      </c>
      <c r="AF150" s="500">
        <v>44322</v>
      </c>
      <c r="AG150" s="500">
        <v>44343</v>
      </c>
      <c r="AH150" s="498"/>
      <c r="AI150" s="499"/>
      <c r="AJ150" s="501"/>
      <c r="AK150" s="502"/>
      <c r="AL150" s="498"/>
      <c r="AM150" s="499"/>
      <c r="AN150" s="501"/>
      <c r="AO150" s="502"/>
      <c r="AP150" s="498"/>
      <c r="AQ150" s="499"/>
      <c r="AR150" s="501"/>
      <c r="AS150" s="502"/>
      <c r="AT150" s="502"/>
      <c r="AU150" s="502"/>
      <c r="AV150" s="502"/>
      <c r="AW150" s="502"/>
      <c r="AX150" s="502"/>
      <c r="AY150" s="502"/>
      <c r="AZ150" s="502"/>
      <c r="BA150" s="502"/>
      <c r="BB150" s="502"/>
      <c r="BC150" s="502"/>
      <c r="BD150" s="502"/>
      <c r="BE150" s="502"/>
      <c r="BF150" s="502"/>
      <c r="BG150" s="502"/>
      <c r="BH150" s="502"/>
      <c r="BI150" s="502"/>
      <c r="BJ150" s="154">
        <f t="shared" si="7"/>
        <v>500000</v>
      </c>
      <c r="BK150" s="461">
        <f t="shared" si="8"/>
        <v>500000</v>
      </c>
    </row>
    <row r="151" spans="2:63" s="223" customFormat="1" ht="24" customHeight="1" x14ac:dyDescent="0.25">
      <c r="B151" s="221">
        <v>137</v>
      </c>
      <c r="C151" s="224" t="s">
        <v>38</v>
      </c>
      <c r="D151" s="494">
        <v>40025963</v>
      </c>
      <c r="E151" s="495" t="s">
        <v>1077</v>
      </c>
      <c r="F151" s="435" t="s">
        <v>897</v>
      </c>
      <c r="G151" s="460" t="s">
        <v>898</v>
      </c>
      <c r="H151" s="505" t="s">
        <v>983</v>
      </c>
      <c r="I151" s="438" t="s">
        <v>43</v>
      </c>
      <c r="J151" s="497">
        <v>435895</v>
      </c>
      <c r="K151" s="497">
        <v>435895</v>
      </c>
      <c r="L151" s="497">
        <v>435894</v>
      </c>
      <c r="M151" s="497"/>
      <c r="N151" s="497"/>
      <c r="O151" s="497"/>
      <c r="P151" s="497"/>
      <c r="Q151" s="497"/>
      <c r="R151" s="497"/>
      <c r="S151" s="497"/>
      <c r="T151" s="497"/>
      <c r="U151" s="497"/>
      <c r="V151" s="497"/>
      <c r="W151" s="497"/>
      <c r="X151" s="497"/>
      <c r="Y151" s="455">
        <f t="shared" si="9"/>
        <v>0</v>
      </c>
      <c r="Z151" s="498">
        <v>1</v>
      </c>
      <c r="AA151" s="499">
        <v>10</v>
      </c>
      <c r="AB151" s="500">
        <v>44284</v>
      </c>
      <c r="AC151" s="500">
        <v>44286</v>
      </c>
      <c r="AD151" s="498">
        <v>249999</v>
      </c>
      <c r="AE151" s="504">
        <v>15</v>
      </c>
      <c r="AF151" s="500">
        <v>44322</v>
      </c>
      <c r="AG151" s="500">
        <v>44343</v>
      </c>
      <c r="AH151" s="498"/>
      <c r="AI151" s="499"/>
      <c r="AJ151" s="501"/>
      <c r="AK151" s="502"/>
      <c r="AL151" s="498"/>
      <c r="AM151" s="499"/>
      <c r="AN151" s="501"/>
      <c r="AO151" s="502"/>
      <c r="AP151" s="498"/>
      <c r="AQ151" s="499"/>
      <c r="AR151" s="501"/>
      <c r="AS151" s="502"/>
      <c r="AT151" s="502"/>
      <c r="AU151" s="502"/>
      <c r="AV151" s="502"/>
      <c r="AW151" s="502"/>
      <c r="AX151" s="502"/>
      <c r="AY151" s="502"/>
      <c r="AZ151" s="502"/>
      <c r="BA151" s="502"/>
      <c r="BB151" s="502"/>
      <c r="BC151" s="502"/>
      <c r="BD151" s="502"/>
      <c r="BE151" s="502"/>
      <c r="BF151" s="502"/>
      <c r="BG151" s="502"/>
      <c r="BH151" s="502"/>
      <c r="BI151" s="502"/>
      <c r="BJ151" s="154">
        <f t="shared" si="7"/>
        <v>250000</v>
      </c>
      <c r="BK151" s="461">
        <f t="shared" si="8"/>
        <v>250000</v>
      </c>
    </row>
    <row r="152" spans="2:63" s="223" customFormat="1" ht="24" customHeight="1" x14ac:dyDescent="0.25">
      <c r="B152" s="222">
        <v>138</v>
      </c>
      <c r="C152" s="224" t="s">
        <v>38</v>
      </c>
      <c r="D152" s="507">
        <v>30208572</v>
      </c>
      <c r="E152" s="495" t="s">
        <v>1078</v>
      </c>
      <c r="F152" s="435" t="s">
        <v>539</v>
      </c>
      <c r="G152" s="460" t="s">
        <v>898</v>
      </c>
      <c r="H152" s="505"/>
      <c r="I152" s="438" t="s">
        <v>43</v>
      </c>
      <c r="J152" s="497">
        <v>109237</v>
      </c>
      <c r="K152" s="497">
        <v>0</v>
      </c>
      <c r="L152" s="497">
        <v>109235</v>
      </c>
      <c r="M152" s="497"/>
      <c r="N152" s="497"/>
      <c r="O152" s="497"/>
      <c r="P152" s="497"/>
      <c r="Q152" s="497"/>
      <c r="R152" s="497"/>
      <c r="S152" s="497"/>
      <c r="T152" s="497"/>
      <c r="U152" s="497"/>
      <c r="V152" s="497"/>
      <c r="W152" s="497"/>
      <c r="X152" s="497"/>
      <c r="Y152" s="455">
        <f t="shared" si="9"/>
        <v>0</v>
      </c>
      <c r="Z152" s="498">
        <v>2</v>
      </c>
      <c r="AA152" s="499">
        <v>15</v>
      </c>
      <c r="AB152" s="500">
        <v>44322</v>
      </c>
      <c r="AC152" s="500">
        <v>44343</v>
      </c>
      <c r="AD152" s="498"/>
      <c r="AE152" s="504"/>
      <c r="AF152" s="501"/>
      <c r="AG152" s="500"/>
      <c r="AH152" s="498"/>
      <c r="AI152" s="499"/>
      <c r="AJ152" s="501"/>
      <c r="AK152" s="502"/>
      <c r="AL152" s="498"/>
      <c r="AM152" s="499"/>
      <c r="AN152" s="501"/>
      <c r="AO152" s="502"/>
      <c r="AP152" s="498"/>
      <c r="AQ152" s="499"/>
      <c r="AR152" s="501"/>
      <c r="AS152" s="502"/>
      <c r="AT152" s="502"/>
      <c r="AU152" s="502"/>
      <c r="AV152" s="502"/>
      <c r="AW152" s="502"/>
      <c r="AX152" s="502"/>
      <c r="AY152" s="502"/>
      <c r="AZ152" s="502"/>
      <c r="BA152" s="502"/>
      <c r="BB152" s="502"/>
      <c r="BC152" s="502"/>
      <c r="BD152" s="502"/>
      <c r="BE152" s="502"/>
      <c r="BF152" s="502"/>
      <c r="BG152" s="502"/>
      <c r="BH152" s="502"/>
      <c r="BI152" s="502"/>
      <c r="BJ152" s="154">
        <f t="shared" si="7"/>
        <v>2</v>
      </c>
      <c r="BK152" s="461">
        <f t="shared" si="8"/>
        <v>2</v>
      </c>
    </row>
    <row r="153" spans="2:63" s="223" customFormat="1" ht="24" customHeight="1" x14ac:dyDescent="0.25">
      <c r="B153" s="222">
        <v>139</v>
      </c>
      <c r="C153" s="224" t="s">
        <v>38</v>
      </c>
      <c r="D153" s="507">
        <v>30370325</v>
      </c>
      <c r="E153" s="495" t="s">
        <v>1079</v>
      </c>
      <c r="F153" s="435" t="s">
        <v>204</v>
      </c>
      <c r="G153" s="460" t="s">
        <v>898</v>
      </c>
      <c r="H153" s="505" t="s">
        <v>913</v>
      </c>
      <c r="I153" s="438" t="s">
        <v>42</v>
      </c>
      <c r="J153" s="497">
        <v>249128</v>
      </c>
      <c r="K153" s="497">
        <v>188335</v>
      </c>
      <c r="L153" s="497">
        <v>60792</v>
      </c>
      <c r="M153" s="497"/>
      <c r="N153" s="497"/>
      <c r="O153" s="497"/>
      <c r="P153" s="497"/>
      <c r="Q153" s="497"/>
      <c r="R153" s="497"/>
      <c r="S153" s="497"/>
      <c r="T153" s="497"/>
      <c r="U153" s="497"/>
      <c r="V153" s="497"/>
      <c r="W153" s="497"/>
      <c r="X153" s="497"/>
      <c r="Y153" s="455">
        <f t="shared" si="9"/>
        <v>0</v>
      </c>
      <c r="Z153" s="498">
        <v>1</v>
      </c>
      <c r="AA153" s="499">
        <v>15</v>
      </c>
      <c r="AB153" s="500">
        <v>44322</v>
      </c>
      <c r="AC153" s="500">
        <v>44343</v>
      </c>
      <c r="AD153" s="498"/>
      <c r="AE153" s="504"/>
      <c r="AF153" s="501"/>
      <c r="AG153" s="500"/>
      <c r="AH153" s="498"/>
      <c r="AI153" s="499"/>
      <c r="AJ153" s="501"/>
      <c r="AK153" s="502"/>
      <c r="AL153" s="498"/>
      <c r="AM153" s="499"/>
      <c r="AN153" s="501"/>
      <c r="AO153" s="502"/>
      <c r="AP153" s="498"/>
      <c r="AQ153" s="499"/>
      <c r="AR153" s="501"/>
      <c r="AS153" s="502"/>
      <c r="AT153" s="502"/>
      <c r="AU153" s="502"/>
      <c r="AV153" s="502"/>
      <c r="AW153" s="502"/>
      <c r="AX153" s="502"/>
      <c r="AY153" s="502"/>
      <c r="AZ153" s="502"/>
      <c r="BA153" s="502"/>
      <c r="BB153" s="502"/>
      <c r="BC153" s="502"/>
      <c r="BD153" s="502"/>
      <c r="BE153" s="502"/>
      <c r="BF153" s="502"/>
      <c r="BG153" s="502"/>
      <c r="BH153" s="502"/>
      <c r="BI153" s="502"/>
      <c r="BJ153" s="154">
        <f t="shared" si="7"/>
        <v>1</v>
      </c>
      <c r="BK153" s="461">
        <f t="shared" si="8"/>
        <v>1</v>
      </c>
    </row>
    <row r="154" spans="2:63" s="223" customFormat="1" ht="24" customHeight="1" x14ac:dyDescent="0.25">
      <c r="B154" s="221">
        <v>140</v>
      </c>
      <c r="C154" s="224" t="s">
        <v>38</v>
      </c>
      <c r="D154" s="507">
        <v>30400228</v>
      </c>
      <c r="E154" s="495" t="s">
        <v>1080</v>
      </c>
      <c r="F154" s="435" t="s">
        <v>204</v>
      </c>
      <c r="G154" s="460" t="s">
        <v>898</v>
      </c>
      <c r="H154" s="505" t="s">
        <v>1001</v>
      </c>
      <c r="I154" s="438" t="s">
        <v>42</v>
      </c>
      <c r="J154" s="497">
        <v>40044</v>
      </c>
      <c r="K154" s="497">
        <v>11481</v>
      </c>
      <c r="L154" s="497">
        <v>28562</v>
      </c>
      <c r="M154" s="497"/>
      <c r="N154" s="497"/>
      <c r="O154" s="497"/>
      <c r="P154" s="497"/>
      <c r="Q154" s="497"/>
      <c r="R154" s="497"/>
      <c r="S154" s="497"/>
      <c r="T154" s="497"/>
      <c r="U154" s="497"/>
      <c r="V154" s="497"/>
      <c r="W154" s="497"/>
      <c r="X154" s="497"/>
      <c r="Y154" s="455">
        <f t="shared" si="9"/>
        <v>0</v>
      </c>
      <c r="Z154" s="498">
        <v>1</v>
      </c>
      <c r="AA154" s="499">
        <v>15</v>
      </c>
      <c r="AB154" s="500">
        <v>44322</v>
      </c>
      <c r="AC154" s="500">
        <v>44343</v>
      </c>
      <c r="AD154" s="498"/>
      <c r="AE154" s="504"/>
      <c r="AF154" s="501"/>
      <c r="AG154" s="500"/>
      <c r="AH154" s="498"/>
      <c r="AI154" s="499"/>
      <c r="AJ154" s="501"/>
      <c r="AK154" s="502"/>
      <c r="AL154" s="498"/>
      <c r="AM154" s="499"/>
      <c r="AN154" s="501"/>
      <c r="AO154" s="502"/>
      <c r="AP154" s="498"/>
      <c r="AQ154" s="499"/>
      <c r="AR154" s="501"/>
      <c r="AS154" s="502"/>
      <c r="AT154" s="502"/>
      <c r="AU154" s="502"/>
      <c r="AV154" s="502"/>
      <c r="AW154" s="502"/>
      <c r="AX154" s="502"/>
      <c r="AY154" s="502"/>
      <c r="AZ154" s="502"/>
      <c r="BA154" s="502"/>
      <c r="BB154" s="502"/>
      <c r="BC154" s="502"/>
      <c r="BD154" s="502"/>
      <c r="BE154" s="502"/>
      <c r="BF154" s="502"/>
      <c r="BG154" s="502"/>
      <c r="BH154" s="502"/>
      <c r="BI154" s="502"/>
      <c r="BJ154" s="154">
        <f t="shared" si="7"/>
        <v>1</v>
      </c>
      <c r="BK154" s="461">
        <f t="shared" si="8"/>
        <v>1</v>
      </c>
    </row>
    <row r="155" spans="2:63" s="223" customFormat="1" ht="24" customHeight="1" x14ac:dyDescent="0.25">
      <c r="B155" s="222">
        <v>141</v>
      </c>
      <c r="C155" s="224" t="s">
        <v>38</v>
      </c>
      <c r="D155" s="507">
        <v>40002239</v>
      </c>
      <c r="E155" s="495" t="s">
        <v>1081</v>
      </c>
      <c r="F155" s="435" t="s">
        <v>204</v>
      </c>
      <c r="G155" s="460" t="s">
        <v>898</v>
      </c>
      <c r="H155" s="505" t="s">
        <v>969</v>
      </c>
      <c r="I155" s="438" t="s">
        <v>43</v>
      </c>
      <c r="J155" s="497">
        <v>47208</v>
      </c>
      <c r="K155" s="497">
        <v>0</v>
      </c>
      <c r="L155" s="497">
        <v>47207</v>
      </c>
      <c r="M155" s="497"/>
      <c r="N155" s="497"/>
      <c r="O155" s="497"/>
      <c r="P155" s="497"/>
      <c r="Q155" s="497"/>
      <c r="R155" s="497"/>
      <c r="S155" s="497"/>
      <c r="T155" s="497"/>
      <c r="U155" s="497"/>
      <c r="V155" s="497"/>
      <c r="W155" s="497"/>
      <c r="X155" s="497"/>
      <c r="Y155" s="455">
        <f t="shared" si="9"/>
        <v>0</v>
      </c>
      <c r="Z155" s="498">
        <v>1</v>
      </c>
      <c r="AA155" s="499">
        <v>15</v>
      </c>
      <c r="AB155" s="500">
        <v>44322</v>
      </c>
      <c r="AC155" s="500">
        <v>44343</v>
      </c>
      <c r="AD155" s="498"/>
      <c r="AE155" s="504"/>
      <c r="AF155" s="501"/>
      <c r="AG155" s="500"/>
      <c r="AH155" s="498"/>
      <c r="AI155" s="499"/>
      <c r="AJ155" s="501"/>
      <c r="AK155" s="502"/>
      <c r="AL155" s="498"/>
      <c r="AM155" s="499"/>
      <c r="AN155" s="501"/>
      <c r="AO155" s="502"/>
      <c r="AP155" s="498"/>
      <c r="AQ155" s="499"/>
      <c r="AR155" s="501"/>
      <c r="AS155" s="502"/>
      <c r="AT155" s="502"/>
      <c r="AU155" s="502"/>
      <c r="AV155" s="502"/>
      <c r="AW155" s="502"/>
      <c r="AX155" s="502"/>
      <c r="AY155" s="502"/>
      <c r="AZ155" s="502"/>
      <c r="BA155" s="502"/>
      <c r="BB155" s="502"/>
      <c r="BC155" s="502"/>
      <c r="BD155" s="502"/>
      <c r="BE155" s="502"/>
      <c r="BF155" s="502"/>
      <c r="BG155" s="502"/>
      <c r="BH155" s="502"/>
      <c r="BI155" s="502"/>
      <c r="BJ155" s="154">
        <f t="shared" si="7"/>
        <v>1</v>
      </c>
      <c r="BK155" s="461">
        <f t="shared" si="8"/>
        <v>1</v>
      </c>
    </row>
    <row r="156" spans="2:63" s="223" customFormat="1" ht="24" customHeight="1" x14ac:dyDescent="0.25">
      <c r="B156" s="222">
        <v>142</v>
      </c>
      <c r="C156" s="224" t="s">
        <v>41</v>
      </c>
      <c r="D156" s="494">
        <v>30084452</v>
      </c>
      <c r="E156" s="495" t="s">
        <v>1082</v>
      </c>
      <c r="F156" s="435" t="s">
        <v>897</v>
      </c>
      <c r="G156" s="460" t="s">
        <v>898</v>
      </c>
      <c r="H156" s="505" t="s">
        <v>899</v>
      </c>
      <c r="I156" s="438" t="s">
        <v>42</v>
      </c>
      <c r="J156" s="497">
        <v>326443</v>
      </c>
      <c r="K156" s="497">
        <v>59369</v>
      </c>
      <c r="L156" s="497">
        <v>267071</v>
      </c>
      <c r="M156" s="497"/>
      <c r="N156" s="497"/>
      <c r="O156" s="497"/>
      <c r="P156" s="497"/>
      <c r="Q156" s="497"/>
      <c r="R156" s="497"/>
      <c r="S156" s="497"/>
      <c r="T156" s="497"/>
      <c r="U156" s="497"/>
      <c r="V156" s="497"/>
      <c r="W156" s="497"/>
      <c r="X156" s="497"/>
      <c r="Y156" s="455">
        <f t="shared" si="9"/>
        <v>0</v>
      </c>
      <c r="Z156" s="498">
        <v>3</v>
      </c>
      <c r="AA156" s="499">
        <v>22</v>
      </c>
      <c r="AB156" s="500">
        <v>44348</v>
      </c>
      <c r="AC156" s="500">
        <v>44365</v>
      </c>
      <c r="AD156" s="498"/>
      <c r="AE156" s="504"/>
      <c r="AF156" s="501"/>
      <c r="AG156" s="500"/>
      <c r="AH156" s="498"/>
      <c r="AI156" s="499"/>
      <c r="AJ156" s="501"/>
      <c r="AK156" s="502"/>
      <c r="AL156" s="498"/>
      <c r="AM156" s="499"/>
      <c r="AN156" s="501"/>
      <c r="AO156" s="502"/>
      <c r="AP156" s="498"/>
      <c r="AQ156" s="499"/>
      <c r="AR156" s="501"/>
      <c r="AS156" s="502"/>
      <c r="AT156" s="502"/>
      <c r="AU156" s="502"/>
      <c r="AV156" s="502"/>
      <c r="AW156" s="502"/>
      <c r="AX156" s="502"/>
      <c r="AY156" s="502"/>
      <c r="AZ156" s="502"/>
      <c r="BA156" s="502"/>
      <c r="BB156" s="502"/>
      <c r="BC156" s="502"/>
      <c r="BD156" s="502"/>
      <c r="BE156" s="502"/>
      <c r="BF156" s="502"/>
      <c r="BG156" s="502"/>
      <c r="BH156" s="502"/>
      <c r="BI156" s="502"/>
      <c r="BJ156" s="154">
        <f t="shared" si="7"/>
        <v>3</v>
      </c>
      <c r="BK156" s="461">
        <f t="shared" si="8"/>
        <v>3</v>
      </c>
    </row>
    <row r="157" spans="2:63" s="223" customFormat="1" ht="24" customHeight="1" x14ac:dyDescent="0.25">
      <c r="B157" s="221">
        <v>143</v>
      </c>
      <c r="C157" s="224" t="s">
        <v>38</v>
      </c>
      <c r="D157" s="494">
        <v>30132335</v>
      </c>
      <c r="E157" s="495" t="s">
        <v>1083</v>
      </c>
      <c r="F157" s="435" t="s">
        <v>897</v>
      </c>
      <c r="G157" s="460" t="s">
        <v>898</v>
      </c>
      <c r="H157" s="505" t="s">
        <v>913</v>
      </c>
      <c r="I157" s="438" t="s">
        <v>43</v>
      </c>
      <c r="J157" s="497">
        <v>4720285</v>
      </c>
      <c r="K157" s="497">
        <v>0</v>
      </c>
      <c r="L157" s="497">
        <v>4720281</v>
      </c>
      <c r="M157" s="497"/>
      <c r="N157" s="497"/>
      <c r="O157" s="497"/>
      <c r="P157" s="497"/>
      <c r="Q157" s="497"/>
      <c r="R157" s="497"/>
      <c r="S157" s="497"/>
      <c r="T157" s="497"/>
      <c r="U157" s="497"/>
      <c r="V157" s="497"/>
      <c r="W157" s="497"/>
      <c r="X157" s="497"/>
      <c r="Y157" s="455">
        <f t="shared" si="9"/>
        <v>0</v>
      </c>
      <c r="Z157" s="498">
        <v>4</v>
      </c>
      <c r="AA157" s="499">
        <v>22</v>
      </c>
      <c r="AB157" s="500">
        <v>44348</v>
      </c>
      <c r="AC157" s="500">
        <v>44365</v>
      </c>
      <c r="AD157" s="498"/>
      <c r="AE157" s="504"/>
      <c r="AF157" s="501"/>
      <c r="AG157" s="500"/>
      <c r="AH157" s="498"/>
      <c r="AI157" s="499"/>
      <c r="AJ157" s="501"/>
      <c r="AK157" s="502"/>
      <c r="AL157" s="498"/>
      <c r="AM157" s="499"/>
      <c r="AN157" s="501"/>
      <c r="AO157" s="502"/>
      <c r="AP157" s="498"/>
      <c r="AQ157" s="499"/>
      <c r="AR157" s="501"/>
      <c r="AS157" s="502"/>
      <c r="AT157" s="502"/>
      <c r="AU157" s="502"/>
      <c r="AV157" s="502"/>
      <c r="AW157" s="502"/>
      <c r="AX157" s="502"/>
      <c r="AY157" s="502"/>
      <c r="AZ157" s="502"/>
      <c r="BA157" s="502"/>
      <c r="BB157" s="502"/>
      <c r="BC157" s="502"/>
      <c r="BD157" s="502"/>
      <c r="BE157" s="502"/>
      <c r="BF157" s="502"/>
      <c r="BG157" s="502"/>
      <c r="BH157" s="502"/>
      <c r="BI157" s="502"/>
      <c r="BJ157" s="154">
        <f t="shared" si="7"/>
        <v>4</v>
      </c>
      <c r="BK157" s="461">
        <f t="shared" si="8"/>
        <v>4</v>
      </c>
    </row>
    <row r="158" spans="2:63" s="223" customFormat="1" ht="24" customHeight="1" x14ac:dyDescent="0.25">
      <c r="B158" s="222">
        <v>144</v>
      </c>
      <c r="C158" s="224" t="s">
        <v>38</v>
      </c>
      <c r="D158" s="494">
        <v>30241923</v>
      </c>
      <c r="E158" s="495" t="s">
        <v>1084</v>
      </c>
      <c r="F158" s="435" t="s">
        <v>204</v>
      </c>
      <c r="G158" s="460" t="s">
        <v>898</v>
      </c>
      <c r="H158" s="505" t="s">
        <v>971</v>
      </c>
      <c r="I158" s="438" t="s">
        <v>43</v>
      </c>
      <c r="J158" s="497">
        <v>43066</v>
      </c>
      <c r="K158" s="497">
        <v>0</v>
      </c>
      <c r="L158" s="497">
        <v>42428</v>
      </c>
      <c r="M158" s="497"/>
      <c r="N158" s="497"/>
      <c r="O158" s="497"/>
      <c r="P158" s="497"/>
      <c r="Q158" s="497"/>
      <c r="R158" s="497"/>
      <c r="S158" s="497"/>
      <c r="T158" s="497"/>
      <c r="U158" s="497"/>
      <c r="V158" s="497"/>
      <c r="W158" s="497"/>
      <c r="X158" s="497"/>
      <c r="Y158" s="455">
        <f t="shared" si="9"/>
        <v>0</v>
      </c>
      <c r="Z158" s="498">
        <v>638</v>
      </c>
      <c r="AA158" s="499">
        <v>22</v>
      </c>
      <c r="AB158" s="500">
        <v>44348</v>
      </c>
      <c r="AC158" s="500">
        <v>44365</v>
      </c>
      <c r="AD158" s="498"/>
      <c r="AE158" s="504"/>
      <c r="AF158" s="501"/>
      <c r="AG158" s="500"/>
      <c r="AH158" s="498"/>
      <c r="AI158" s="499"/>
      <c r="AJ158" s="501"/>
      <c r="AK158" s="502"/>
      <c r="AL158" s="498"/>
      <c r="AM158" s="499"/>
      <c r="AN158" s="501"/>
      <c r="AO158" s="502"/>
      <c r="AP158" s="498"/>
      <c r="AQ158" s="499"/>
      <c r="AR158" s="501"/>
      <c r="AS158" s="502"/>
      <c r="AT158" s="502"/>
      <c r="AU158" s="502"/>
      <c r="AV158" s="502"/>
      <c r="AW158" s="502"/>
      <c r="AX158" s="502"/>
      <c r="AY158" s="502"/>
      <c r="AZ158" s="502"/>
      <c r="BA158" s="502"/>
      <c r="BB158" s="502"/>
      <c r="BC158" s="502"/>
      <c r="BD158" s="502"/>
      <c r="BE158" s="502"/>
      <c r="BF158" s="502"/>
      <c r="BG158" s="502"/>
      <c r="BH158" s="502"/>
      <c r="BI158" s="502"/>
      <c r="BJ158" s="154">
        <f t="shared" si="7"/>
        <v>638</v>
      </c>
      <c r="BK158" s="461">
        <f t="shared" si="8"/>
        <v>638</v>
      </c>
    </row>
    <row r="159" spans="2:63" s="223" customFormat="1" ht="24" customHeight="1" x14ac:dyDescent="0.25">
      <c r="B159" s="222">
        <v>145</v>
      </c>
      <c r="C159" s="224" t="s">
        <v>38</v>
      </c>
      <c r="D159" s="494">
        <v>30250422</v>
      </c>
      <c r="E159" s="495" t="s">
        <v>1085</v>
      </c>
      <c r="F159" s="435" t="s">
        <v>204</v>
      </c>
      <c r="G159" s="460" t="s">
        <v>898</v>
      </c>
      <c r="H159" s="505" t="s">
        <v>899</v>
      </c>
      <c r="I159" s="438" t="s">
        <v>43</v>
      </c>
      <c r="J159" s="497">
        <v>103763</v>
      </c>
      <c r="K159" s="497">
        <v>0</v>
      </c>
      <c r="L159" s="497">
        <v>103761</v>
      </c>
      <c r="M159" s="497"/>
      <c r="N159" s="497"/>
      <c r="O159" s="497"/>
      <c r="P159" s="497"/>
      <c r="Q159" s="497"/>
      <c r="R159" s="497"/>
      <c r="S159" s="497"/>
      <c r="T159" s="497"/>
      <c r="U159" s="497"/>
      <c r="V159" s="497"/>
      <c r="W159" s="497"/>
      <c r="X159" s="497"/>
      <c r="Y159" s="455">
        <f t="shared" si="9"/>
        <v>0</v>
      </c>
      <c r="Z159" s="498">
        <v>2</v>
      </c>
      <c r="AA159" s="499">
        <v>22</v>
      </c>
      <c r="AB159" s="500">
        <v>44348</v>
      </c>
      <c r="AC159" s="500">
        <v>44365</v>
      </c>
      <c r="AD159" s="498"/>
      <c r="AE159" s="504"/>
      <c r="AF159" s="501"/>
      <c r="AG159" s="500"/>
      <c r="AH159" s="498"/>
      <c r="AI159" s="499"/>
      <c r="AJ159" s="501"/>
      <c r="AK159" s="502"/>
      <c r="AL159" s="498"/>
      <c r="AM159" s="499"/>
      <c r="AN159" s="501"/>
      <c r="AO159" s="502"/>
      <c r="AP159" s="498"/>
      <c r="AQ159" s="499"/>
      <c r="AR159" s="501"/>
      <c r="AS159" s="502"/>
      <c r="AT159" s="502"/>
      <c r="AU159" s="502"/>
      <c r="AV159" s="502"/>
      <c r="AW159" s="502"/>
      <c r="AX159" s="502"/>
      <c r="AY159" s="502"/>
      <c r="AZ159" s="502"/>
      <c r="BA159" s="502"/>
      <c r="BB159" s="502"/>
      <c r="BC159" s="502"/>
      <c r="BD159" s="502"/>
      <c r="BE159" s="502"/>
      <c r="BF159" s="502"/>
      <c r="BG159" s="502"/>
      <c r="BH159" s="502"/>
      <c r="BI159" s="502"/>
      <c r="BJ159" s="154">
        <f t="shared" si="7"/>
        <v>2</v>
      </c>
      <c r="BK159" s="461">
        <f t="shared" si="8"/>
        <v>2</v>
      </c>
    </row>
    <row r="160" spans="2:63" s="223" customFormat="1" ht="24" customHeight="1" x14ac:dyDescent="0.25">
      <c r="B160" s="221">
        <v>146</v>
      </c>
      <c r="C160" s="224" t="s">
        <v>38</v>
      </c>
      <c r="D160" s="494">
        <v>30358372</v>
      </c>
      <c r="E160" s="495" t="s">
        <v>1086</v>
      </c>
      <c r="F160" s="435" t="s">
        <v>897</v>
      </c>
      <c r="G160" s="460" t="s">
        <v>898</v>
      </c>
      <c r="H160" s="505" t="s">
        <v>1003</v>
      </c>
      <c r="I160" s="438" t="s">
        <v>43</v>
      </c>
      <c r="J160" s="497">
        <v>2421073</v>
      </c>
      <c r="K160" s="497">
        <v>0</v>
      </c>
      <c r="L160" s="497">
        <v>2421072</v>
      </c>
      <c r="M160" s="497"/>
      <c r="N160" s="497"/>
      <c r="O160" s="497"/>
      <c r="P160" s="497"/>
      <c r="Q160" s="497"/>
      <c r="R160" s="497"/>
      <c r="S160" s="497"/>
      <c r="T160" s="497"/>
      <c r="U160" s="497"/>
      <c r="V160" s="497"/>
      <c r="W160" s="497"/>
      <c r="X160" s="497"/>
      <c r="Y160" s="455">
        <f t="shared" si="9"/>
        <v>0</v>
      </c>
      <c r="Z160" s="498">
        <v>1</v>
      </c>
      <c r="AA160" s="499">
        <v>22</v>
      </c>
      <c r="AB160" s="500">
        <v>44348</v>
      </c>
      <c r="AC160" s="500">
        <v>44365</v>
      </c>
      <c r="AD160" s="498"/>
      <c r="AE160" s="504"/>
      <c r="AF160" s="501"/>
      <c r="AG160" s="500"/>
      <c r="AH160" s="498"/>
      <c r="AI160" s="499"/>
      <c r="AJ160" s="501"/>
      <c r="AK160" s="502"/>
      <c r="AL160" s="498"/>
      <c r="AM160" s="499"/>
      <c r="AN160" s="501"/>
      <c r="AO160" s="502"/>
      <c r="AP160" s="498"/>
      <c r="AQ160" s="499"/>
      <c r="AR160" s="501"/>
      <c r="AS160" s="502"/>
      <c r="AT160" s="502"/>
      <c r="AU160" s="502"/>
      <c r="AV160" s="502"/>
      <c r="AW160" s="502"/>
      <c r="AX160" s="502"/>
      <c r="AY160" s="502"/>
      <c r="AZ160" s="502"/>
      <c r="BA160" s="502"/>
      <c r="BB160" s="502"/>
      <c r="BC160" s="502"/>
      <c r="BD160" s="502"/>
      <c r="BE160" s="502"/>
      <c r="BF160" s="502"/>
      <c r="BG160" s="502"/>
      <c r="BH160" s="502"/>
      <c r="BI160" s="502"/>
      <c r="BJ160" s="154">
        <f t="shared" si="7"/>
        <v>1</v>
      </c>
      <c r="BK160" s="461">
        <f t="shared" si="8"/>
        <v>1</v>
      </c>
    </row>
    <row r="161" spans="2:260" s="223" customFormat="1" ht="24" customHeight="1" x14ac:dyDescent="0.25">
      <c r="B161" s="222">
        <v>147</v>
      </c>
      <c r="C161" s="224" t="s">
        <v>38</v>
      </c>
      <c r="D161" s="494">
        <v>30480665</v>
      </c>
      <c r="E161" s="495" t="s">
        <v>1087</v>
      </c>
      <c r="F161" s="435" t="s">
        <v>204</v>
      </c>
      <c r="G161" s="460" t="s">
        <v>898</v>
      </c>
      <c r="H161" s="505" t="s">
        <v>901</v>
      </c>
      <c r="I161" s="438" t="s">
        <v>43</v>
      </c>
      <c r="J161" s="497">
        <v>53988</v>
      </c>
      <c r="K161" s="497">
        <v>0</v>
      </c>
      <c r="L161" s="497">
        <v>53987</v>
      </c>
      <c r="M161" s="497"/>
      <c r="N161" s="497"/>
      <c r="O161" s="497"/>
      <c r="P161" s="497"/>
      <c r="Q161" s="497"/>
      <c r="R161" s="497"/>
      <c r="S161" s="497"/>
      <c r="T161" s="497"/>
      <c r="U161" s="497"/>
      <c r="V161" s="497"/>
      <c r="W161" s="497"/>
      <c r="X161" s="497"/>
      <c r="Y161" s="455">
        <f t="shared" si="9"/>
        <v>0</v>
      </c>
      <c r="Z161" s="498">
        <v>1</v>
      </c>
      <c r="AA161" s="499">
        <v>22</v>
      </c>
      <c r="AB161" s="500">
        <v>44348</v>
      </c>
      <c r="AC161" s="500">
        <v>44365</v>
      </c>
      <c r="AD161" s="498"/>
      <c r="AE161" s="504"/>
      <c r="AF161" s="501"/>
      <c r="AG161" s="500"/>
      <c r="AH161" s="498"/>
      <c r="AI161" s="499"/>
      <c r="AJ161" s="501"/>
      <c r="AK161" s="502"/>
      <c r="AL161" s="498"/>
      <c r="AM161" s="499"/>
      <c r="AN161" s="501"/>
      <c r="AO161" s="502"/>
      <c r="AP161" s="498"/>
      <c r="AQ161" s="499"/>
      <c r="AR161" s="501"/>
      <c r="AS161" s="502"/>
      <c r="AT161" s="502"/>
      <c r="AU161" s="502"/>
      <c r="AV161" s="502"/>
      <c r="AW161" s="502"/>
      <c r="AX161" s="502"/>
      <c r="AY161" s="502"/>
      <c r="AZ161" s="502"/>
      <c r="BA161" s="502"/>
      <c r="BB161" s="502"/>
      <c r="BC161" s="502"/>
      <c r="BD161" s="502"/>
      <c r="BE161" s="502"/>
      <c r="BF161" s="502"/>
      <c r="BG161" s="502"/>
      <c r="BH161" s="502"/>
      <c r="BI161" s="502"/>
      <c r="BJ161" s="154">
        <f t="shared" si="7"/>
        <v>1</v>
      </c>
      <c r="BK161" s="461">
        <f t="shared" si="8"/>
        <v>1</v>
      </c>
    </row>
    <row r="162" spans="2:260" s="223" customFormat="1" ht="24" customHeight="1" x14ac:dyDescent="0.25">
      <c r="B162" s="222">
        <v>148</v>
      </c>
      <c r="C162" s="224" t="s">
        <v>38</v>
      </c>
      <c r="D162" s="494">
        <v>40002203</v>
      </c>
      <c r="E162" s="495" t="s">
        <v>1088</v>
      </c>
      <c r="F162" s="435" t="s">
        <v>204</v>
      </c>
      <c r="G162" s="460" t="s">
        <v>898</v>
      </c>
      <c r="H162" s="505" t="s">
        <v>943</v>
      </c>
      <c r="I162" s="438" t="s">
        <v>43</v>
      </c>
      <c r="J162" s="497">
        <v>60992</v>
      </c>
      <c r="K162" s="497">
        <v>0</v>
      </c>
      <c r="L162" s="497">
        <v>60990</v>
      </c>
      <c r="M162" s="497"/>
      <c r="N162" s="497"/>
      <c r="O162" s="497"/>
      <c r="P162" s="497"/>
      <c r="Q162" s="497"/>
      <c r="R162" s="497"/>
      <c r="S162" s="497"/>
      <c r="T162" s="497"/>
      <c r="U162" s="497"/>
      <c r="V162" s="497"/>
      <c r="W162" s="497"/>
      <c r="X162" s="497"/>
      <c r="Y162" s="455">
        <f t="shared" si="9"/>
        <v>0</v>
      </c>
      <c r="Z162" s="498">
        <v>2</v>
      </c>
      <c r="AA162" s="499">
        <v>22</v>
      </c>
      <c r="AB162" s="500">
        <v>44348</v>
      </c>
      <c r="AC162" s="500">
        <v>44365</v>
      </c>
      <c r="AD162" s="498"/>
      <c r="AE162" s="504"/>
      <c r="AF162" s="501"/>
      <c r="AG162" s="500"/>
      <c r="AH162" s="498"/>
      <c r="AI162" s="499"/>
      <c r="AJ162" s="501"/>
      <c r="AK162" s="502"/>
      <c r="AL162" s="498"/>
      <c r="AM162" s="499"/>
      <c r="AN162" s="501"/>
      <c r="AO162" s="502"/>
      <c r="AP162" s="498"/>
      <c r="AQ162" s="499"/>
      <c r="AR162" s="501"/>
      <c r="AS162" s="502"/>
      <c r="AT162" s="502"/>
      <c r="AU162" s="502"/>
      <c r="AV162" s="502"/>
      <c r="AW162" s="502"/>
      <c r="AX162" s="502"/>
      <c r="AY162" s="502"/>
      <c r="AZ162" s="502"/>
      <c r="BA162" s="502"/>
      <c r="BB162" s="502"/>
      <c r="BC162" s="502"/>
      <c r="BD162" s="502"/>
      <c r="BE162" s="502"/>
      <c r="BF162" s="502"/>
      <c r="BG162" s="502"/>
      <c r="BH162" s="502"/>
      <c r="BI162" s="502"/>
      <c r="BJ162" s="154">
        <f t="shared" si="7"/>
        <v>2</v>
      </c>
      <c r="BK162" s="461">
        <f t="shared" si="8"/>
        <v>2</v>
      </c>
    </row>
    <row r="163" spans="2:260" s="223" customFormat="1" ht="24" customHeight="1" x14ac:dyDescent="0.25">
      <c r="B163" s="224"/>
      <c r="C163" s="224"/>
      <c r="D163" s="508"/>
      <c r="E163" s="509"/>
      <c r="F163" s="509"/>
      <c r="G163" s="505"/>
      <c r="H163" s="505"/>
      <c r="I163" s="509"/>
      <c r="J163" s="497"/>
      <c r="K163" s="497"/>
      <c r="L163" s="497"/>
      <c r="M163" s="497"/>
      <c r="N163" s="497"/>
      <c r="O163" s="497"/>
      <c r="P163" s="497"/>
      <c r="Q163" s="497"/>
      <c r="R163" s="497"/>
      <c r="S163" s="497"/>
      <c r="T163" s="497"/>
      <c r="U163" s="497"/>
      <c r="V163" s="497"/>
      <c r="W163" s="497"/>
      <c r="X163" s="497"/>
      <c r="Y163" s="455">
        <f t="shared" si="9"/>
        <v>0</v>
      </c>
      <c r="Z163" s="498"/>
      <c r="AA163" s="499"/>
      <c r="AB163" s="501"/>
      <c r="AC163" s="500"/>
      <c r="AD163" s="498"/>
      <c r="AE163" s="504"/>
      <c r="AF163" s="501"/>
      <c r="AG163" s="500"/>
      <c r="AH163" s="498"/>
      <c r="AI163" s="499"/>
      <c r="AJ163" s="501"/>
      <c r="AK163" s="502"/>
      <c r="AL163" s="498"/>
      <c r="AM163" s="499"/>
      <c r="AN163" s="501"/>
      <c r="AO163" s="502"/>
      <c r="AP163" s="498"/>
      <c r="AQ163" s="499"/>
      <c r="AR163" s="501"/>
      <c r="AS163" s="502"/>
      <c r="AT163" s="502"/>
      <c r="AU163" s="502"/>
      <c r="AV163" s="502"/>
      <c r="AW163" s="502"/>
      <c r="AX163" s="502"/>
      <c r="AY163" s="502"/>
      <c r="AZ163" s="502"/>
      <c r="BA163" s="502"/>
      <c r="BB163" s="502"/>
      <c r="BC163" s="502"/>
      <c r="BD163" s="502"/>
      <c r="BE163" s="502"/>
      <c r="BF163" s="502"/>
      <c r="BG163" s="502"/>
      <c r="BH163" s="502"/>
      <c r="BI163" s="502"/>
      <c r="BJ163" s="154">
        <f t="shared" si="7"/>
        <v>0</v>
      </c>
      <c r="BK163" s="461">
        <f t="shared" si="8"/>
        <v>0</v>
      </c>
    </row>
    <row r="164" spans="2:260" s="223" customFormat="1" ht="24" customHeight="1" x14ac:dyDescent="0.25">
      <c r="B164" s="224"/>
      <c r="C164" s="224"/>
      <c r="D164" s="508"/>
      <c r="E164" s="509"/>
      <c r="F164" s="509"/>
      <c r="G164" s="505"/>
      <c r="H164" s="505"/>
      <c r="I164" s="509"/>
      <c r="J164" s="497"/>
      <c r="K164" s="497"/>
      <c r="L164" s="497"/>
      <c r="M164" s="497"/>
      <c r="N164" s="497"/>
      <c r="O164" s="497"/>
      <c r="P164" s="497"/>
      <c r="Q164" s="497"/>
      <c r="R164" s="497"/>
      <c r="S164" s="497"/>
      <c r="T164" s="497"/>
      <c r="U164" s="497"/>
      <c r="V164" s="497"/>
      <c r="W164" s="497"/>
      <c r="X164" s="497"/>
      <c r="Y164" s="455">
        <f t="shared" ref="Y164:Y165" si="10">SUM(M164:X164)</f>
        <v>0</v>
      </c>
      <c r="Z164" s="498"/>
      <c r="AA164" s="499"/>
      <c r="AB164" s="501"/>
      <c r="AC164" s="500"/>
      <c r="AD164" s="498"/>
      <c r="AE164" s="504"/>
      <c r="AF164" s="501"/>
      <c r="AG164" s="500"/>
      <c r="AH164" s="498"/>
      <c r="AI164" s="499"/>
      <c r="AJ164" s="501"/>
      <c r="AK164" s="502"/>
      <c r="AL164" s="498"/>
      <c r="AM164" s="499"/>
      <c r="AN164" s="501"/>
      <c r="AO164" s="502"/>
      <c r="AP164" s="498"/>
      <c r="AQ164" s="499"/>
      <c r="AR164" s="501"/>
      <c r="AS164" s="502"/>
      <c r="AT164" s="502"/>
      <c r="AU164" s="502"/>
      <c r="AV164" s="502"/>
      <c r="AW164" s="502"/>
      <c r="AX164" s="502"/>
      <c r="AY164" s="502"/>
      <c r="AZ164" s="502"/>
      <c r="BA164" s="502"/>
      <c r="BB164" s="502"/>
      <c r="BC164" s="502"/>
      <c r="BD164" s="502"/>
      <c r="BE164" s="502"/>
      <c r="BF164" s="502"/>
      <c r="BG164" s="502"/>
      <c r="BH164" s="502"/>
      <c r="BI164" s="502"/>
      <c r="BJ164" s="154">
        <f t="shared" si="7"/>
        <v>0</v>
      </c>
      <c r="BK164" s="461">
        <f t="shared" si="8"/>
        <v>0</v>
      </c>
    </row>
    <row r="165" spans="2:260" s="223" customFormat="1" ht="24" customHeight="1" x14ac:dyDescent="0.25">
      <c r="B165" s="224"/>
      <c r="C165" s="224"/>
      <c r="D165" s="508"/>
      <c r="E165" s="509"/>
      <c r="F165" s="509"/>
      <c r="G165" s="505"/>
      <c r="H165" s="505"/>
      <c r="I165" s="435"/>
      <c r="J165" s="497"/>
      <c r="K165" s="497"/>
      <c r="L165" s="497"/>
      <c r="M165" s="497"/>
      <c r="N165" s="497"/>
      <c r="O165" s="497"/>
      <c r="P165" s="497"/>
      <c r="Q165" s="497"/>
      <c r="R165" s="497"/>
      <c r="S165" s="497"/>
      <c r="T165" s="497"/>
      <c r="U165" s="497"/>
      <c r="V165" s="497"/>
      <c r="W165" s="497"/>
      <c r="X165" s="497"/>
      <c r="Y165" s="455">
        <f t="shared" si="10"/>
        <v>0</v>
      </c>
      <c r="Z165" s="498"/>
      <c r="AA165" s="499"/>
      <c r="AB165" s="501"/>
      <c r="AC165" s="500"/>
      <c r="AD165" s="498"/>
      <c r="AE165" s="504"/>
      <c r="AF165" s="501"/>
      <c r="AG165" s="500"/>
      <c r="AH165" s="498"/>
      <c r="AI165" s="499"/>
      <c r="AJ165" s="501"/>
      <c r="AK165" s="502"/>
      <c r="AL165" s="498"/>
      <c r="AM165" s="499"/>
      <c r="AN165" s="501"/>
      <c r="AO165" s="502"/>
      <c r="AP165" s="498"/>
      <c r="AQ165" s="499"/>
      <c r="AR165" s="501"/>
      <c r="AS165" s="502"/>
      <c r="AT165" s="502"/>
      <c r="AU165" s="502"/>
      <c r="AV165" s="502"/>
      <c r="AW165" s="502"/>
      <c r="AX165" s="502"/>
      <c r="AY165" s="502"/>
      <c r="AZ165" s="502"/>
      <c r="BA165" s="502"/>
      <c r="BB165" s="502"/>
      <c r="BC165" s="502"/>
      <c r="BD165" s="502"/>
      <c r="BE165" s="502"/>
      <c r="BF165" s="502"/>
      <c r="BG165" s="502"/>
      <c r="BH165" s="502"/>
      <c r="BI165" s="502"/>
      <c r="BJ165" s="154">
        <f t="shared" si="7"/>
        <v>0</v>
      </c>
      <c r="BK165" s="461">
        <f t="shared" si="8"/>
        <v>0</v>
      </c>
    </row>
    <row r="166" spans="2:260" s="3" customFormat="1" ht="15" customHeight="1" x14ac:dyDescent="0.25">
      <c r="B166" s="724" t="s">
        <v>39</v>
      </c>
      <c r="C166" s="724"/>
      <c r="D166" s="724"/>
      <c r="E166" s="724"/>
      <c r="F166" s="724"/>
      <c r="G166" s="724"/>
      <c r="H166" s="724"/>
      <c r="I166" s="724"/>
      <c r="J166" s="24">
        <f>SUBTOTAL(9,J16:J163)</f>
        <v>227864114</v>
      </c>
      <c r="K166" s="24">
        <f>SUBTOTAL(9,K16:K163)</f>
        <v>80507274</v>
      </c>
      <c r="L166" s="24">
        <f t="shared" ref="L166:X166" si="11">SUBTOTAL(9,L16:L163)</f>
        <v>123486764</v>
      </c>
      <c r="M166" s="24">
        <f t="shared" si="11"/>
        <v>0</v>
      </c>
      <c r="N166" s="24">
        <f t="shared" si="11"/>
        <v>889077</v>
      </c>
      <c r="O166" s="24">
        <f t="shared" si="11"/>
        <v>1500833</v>
      </c>
      <c r="P166" s="24">
        <f t="shared" si="11"/>
        <v>2700740</v>
      </c>
      <c r="Q166" s="24">
        <f t="shared" si="11"/>
        <v>1070353</v>
      </c>
      <c r="R166" s="24">
        <f t="shared" si="11"/>
        <v>1204232</v>
      </c>
      <c r="S166" s="24">
        <f t="shared" si="11"/>
        <v>0</v>
      </c>
      <c r="T166" s="24">
        <f t="shared" si="11"/>
        <v>0</v>
      </c>
      <c r="U166" s="24">
        <f t="shared" si="11"/>
        <v>0</v>
      </c>
      <c r="V166" s="24">
        <f t="shared" si="11"/>
        <v>0</v>
      </c>
      <c r="W166" s="24">
        <f t="shared" si="11"/>
        <v>0</v>
      </c>
      <c r="X166" s="24">
        <f t="shared" si="11"/>
        <v>0</v>
      </c>
      <c r="Y166" s="24">
        <f>SUBTOTAL(9,Y16:Y163)</f>
        <v>7365235</v>
      </c>
      <c r="Z166" s="24">
        <f>SUBTOTAL(9,Z16:Z165)</f>
        <v>19900409</v>
      </c>
      <c r="AA166" s="24"/>
      <c r="AB166" s="24"/>
      <c r="AC166" s="24"/>
      <c r="AD166" s="24">
        <f>SUBTOTAL(9,AD16:AD165)</f>
        <v>3982913</v>
      </c>
      <c r="AE166" s="24"/>
      <c r="AF166" s="24"/>
      <c r="AG166" s="24"/>
      <c r="AH166" s="24">
        <f>SUBTOTAL(9,AH16:AH165)</f>
        <v>0</v>
      </c>
      <c r="AI166" s="24"/>
      <c r="AJ166" s="24"/>
      <c r="AK166" s="24"/>
      <c r="AL166" s="24">
        <f>SUBTOTAL(9,AL16:AL142)</f>
        <v>0</v>
      </c>
      <c r="AM166" s="24"/>
      <c r="AN166" s="24"/>
      <c r="AO166" s="24"/>
      <c r="AP166" s="24">
        <f>SUBTOTAL(9,AP16:AP142)</f>
        <v>0</v>
      </c>
      <c r="AQ166" s="24"/>
      <c r="AR166" s="24"/>
      <c r="AS166" s="24"/>
      <c r="AT166" s="24">
        <f>SUBTOTAL(9,AT16:AT142)</f>
        <v>0</v>
      </c>
      <c r="AU166" s="24"/>
      <c r="AV166" s="24"/>
      <c r="AW166" s="24"/>
      <c r="AX166" s="24">
        <f>SUBTOTAL(9,AX16:AX142)</f>
        <v>0</v>
      </c>
      <c r="AY166" s="24"/>
      <c r="AZ166" s="24"/>
      <c r="BA166" s="24"/>
      <c r="BB166" s="24">
        <f>SUBTOTAL(9,BB16:BB142)</f>
        <v>0</v>
      </c>
      <c r="BC166" s="24"/>
      <c r="BD166" s="24"/>
      <c r="BE166" s="24"/>
      <c r="BF166" s="24">
        <f>SUBTOTAL(9,BF16:BF142)</f>
        <v>0</v>
      </c>
      <c r="BG166" s="24"/>
      <c r="BH166" s="24"/>
      <c r="BI166" s="24"/>
      <c r="BJ166" s="24">
        <f>SUBTOTAL(9,BJ16:BJ163)</f>
        <v>23883322</v>
      </c>
      <c r="BK166" s="24">
        <f>SUBTOTAL(9,BK16:BK142)</f>
        <v>15706655</v>
      </c>
      <c r="BL166" s="134"/>
      <c r="BM166" s="134"/>
      <c r="BN166" s="134"/>
      <c r="BO166" s="134"/>
      <c r="BP166" s="134"/>
      <c r="BQ166" s="134"/>
      <c r="BR166" s="134"/>
      <c r="BS166" s="134"/>
      <c r="BT166" s="134"/>
      <c r="BU166" s="134"/>
      <c r="BV166" s="134"/>
      <c r="BW166" s="134"/>
      <c r="BX166" s="134"/>
      <c r="BY166" s="134"/>
      <c r="BZ166" s="134"/>
      <c r="CA166" s="134"/>
      <c r="CB166" s="134"/>
      <c r="CC166" s="134"/>
      <c r="CD166" s="134"/>
      <c r="CE166" s="134"/>
      <c r="CF166" s="134"/>
      <c r="CG166" s="134"/>
      <c r="CH166" s="134"/>
      <c r="CI166" s="134"/>
      <c r="CJ166" s="134"/>
      <c r="CK166" s="134"/>
      <c r="CL166" s="134"/>
      <c r="CM166" s="134"/>
      <c r="CN166" s="134"/>
      <c r="CO166" s="134"/>
      <c r="CP166" s="134"/>
      <c r="CQ166" s="134"/>
      <c r="CR166" s="134"/>
      <c r="CS166" s="134"/>
      <c r="CT166" s="134"/>
      <c r="CU166" s="134"/>
      <c r="CV166" s="134"/>
      <c r="CW166" s="134"/>
      <c r="CX166" s="134"/>
      <c r="CY166" s="134"/>
      <c r="CZ166" s="134"/>
      <c r="DA166" s="134"/>
      <c r="DB166" s="134"/>
      <c r="DC166" s="134"/>
      <c r="DD166" s="134"/>
      <c r="DE166" s="134"/>
      <c r="DF166" s="134"/>
      <c r="DG166" s="134"/>
      <c r="DH166" s="134"/>
      <c r="DI166" s="134"/>
      <c r="DJ166" s="134"/>
      <c r="DK166" s="134"/>
      <c r="DL166" s="134"/>
      <c r="DM166" s="134"/>
      <c r="DN166" s="134"/>
      <c r="DO166" s="134"/>
      <c r="DP166" s="134"/>
      <c r="DQ166" s="134"/>
      <c r="DR166" s="134"/>
      <c r="DS166" s="134"/>
      <c r="DT166" s="134"/>
      <c r="DU166" s="134"/>
      <c r="DV166" s="134"/>
      <c r="DW166" s="134"/>
      <c r="DX166" s="134"/>
      <c r="DY166" s="134"/>
      <c r="DZ166" s="134"/>
      <c r="EA166" s="134"/>
      <c r="EB166" s="134"/>
      <c r="EC166" s="134"/>
      <c r="ED166" s="134"/>
      <c r="EE166" s="134"/>
      <c r="EF166" s="134"/>
      <c r="EG166" s="134"/>
      <c r="EH166" s="134"/>
      <c r="EI166" s="134"/>
      <c r="EJ166" s="134"/>
      <c r="EK166" s="134"/>
      <c r="EL166" s="134"/>
      <c r="EM166" s="134"/>
      <c r="EN166" s="134"/>
      <c r="EO166" s="134"/>
      <c r="EP166" s="134"/>
      <c r="EQ166" s="134"/>
      <c r="ER166" s="134"/>
      <c r="ES166" s="134"/>
      <c r="ET166" s="134"/>
      <c r="EU166" s="134"/>
      <c r="EV166" s="134"/>
      <c r="EW166" s="134"/>
      <c r="EX166" s="134"/>
      <c r="EY166" s="134"/>
      <c r="EZ166" s="134"/>
      <c r="FA166" s="134"/>
      <c r="FB166" s="134"/>
      <c r="FC166" s="134"/>
      <c r="FD166" s="134"/>
      <c r="FE166" s="134"/>
      <c r="FF166" s="134"/>
      <c r="FG166" s="134"/>
      <c r="FH166" s="134"/>
      <c r="FI166" s="134"/>
      <c r="FJ166" s="134"/>
      <c r="FK166" s="134"/>
      <c r="FL166" s="134"/>
      <c r="FM166" s="134"/>
      <c r="FN166" s="134"/>
      <c r="FO166" s="134"/>
      <c r="FP166" s="134"/>
      <c r="FQ166" s="134"/>
      <c r="FR166" s="134"/>
      <c r="FS166" s="134"/>
      <c r="FT166" s="134"/>
      <c r="FU166" s="134"/>
      <c r="FV166" s="134"/>
      <c r="FW166" s="134"/>
      <c r="FX166" s="134"/>
      <c r="FY166" s="134"/>
      <c r="FZ166" s="134"/>
      <c r="GA166" s="134"/>
      <c r="GB166" s="134"/>
      <c r="GC166" s="134"/>
      <c r="GD166" s="134"/>
      <c r="GE166" s="134"/>
      <c r="GF166" s="134"/>
      <c r="GG166" s="134"/>
      <c r="GH166" s="134"/>
      <c r="GI166" s="134"/>
      <c r="GJ166" s="134"/>
      <c r="GK166" s="134"/>
      <c r="GL166" s="134"/>
      <c r="GM166" s="134"/>
      <c r="GN166" s="134"/>
      <c r="GO166" s="134"/>
      <c r="GP166" s="134"/>
      <c r="GQ166" s="134"/>
      <c r="GR166" s="134"/>
      <c r="GS166" s="134"/>
      <c r="GT166" s="134"/>
      <c r="GU166" s="134"/>
      <c r="GV166" s="134"/>
      <c r="GW166" s="134"/>
      <c r="GX166" s="134"/>
      <c r="GY166" s="134"/>
      <c r="GZ166" s="134"/>
      <c r="HA166" s="134"/>
      <c r="HB166" s="134"/>
      <c r="HC166" s="134"/>
      <c r="HD166" s="134"/>
      <c r="HE166" s="134"/>
      <c r="HF166" s="134"/>
      <c r="HG166" s="134"/>
      <c r="HH166" s="134"/>
      <c r="HI166" s="134"/>
      <c r="HJ166" s="134"/>
      <c r="HK166" s="134"/>
      <c r="HL166" s="134"/>
      <c r="HM166" s="134"/>
      <c r="HN166" s="134"/>
      <c r="HO166" s="134"/>
      <c r="HP166" s="134"/>
      <c r="HQ166" s="134"/>
      <c r="HR166" s="134"/>
      <c r="HS166" s="134"/>
      <c r="HT166" s="134"/>
      <c r="HU166" s="134"/>
      <c r="HV166" s="134"/>
      <c r="HW166" s="134"/>
      <c r="HX166" s="134"/>
      <c r="HY166" s="134"/>
      <c r="HZ166" s="134"/>
      <c r="IA166" s="134"/>
      <c r="IB166" s="134"/>
      <c r="IC166" s="134"/>
      <c r="ID166" s="134"/>
      <c r="IE166" s="134"/>
      <c r="IF166" s="134"/>
      <c r="IG166" s="134"/>
      <c r="IH166" s="134"/>
      <c r="II166" s="134"/>
      <c r="IJ166" s="134"/>
      <c r="IK166" s="134"/>
      <c r="IL166" s="134"/>
      <c r="IM166" s="134"/>
      <c r="IN166" s="134"/>
      <c r="IO166" s="134"/>
      <c r="IP166" s="134"/>
      <c r="IQ166" s="134"/>
      <c r="IR166" s="134"/>
      <c r="IS166" s="134"/>
      <c r="IT166" s="134"/>
      <c r="IU166" s="134"/>
      <c r="IV166" s="134"/>
      <c r="IW166" s="134"/>
      <c r="IX166" s="134"/>
      <c r="IY166" s="134"/>
      <c r="IZ166" s="134"/>
    </row>
    <row r="169" spans="2:260" x14ac:dyDescent="0.2">
      <c r="BJ169" s="140"/>
    </row>
    <row r="170" spans="2:260" x14ac:dyDescent="0.2">
      <c r="Z170" s="141"/>
      <c r="AA170" s="134"/>
      <c r="AD170" s="141"/>
      <c r="AE170" s="134"/>
      <c r="AH170" s="141"/>
      <c r="AI170" s="134"/>
      <c r="AM170" s="134"/>
      <c r="AQ170" s="134"/>
    </row>
    <row r="171" spans="2:260" x14ac:dyDescent="0.2">
      <c r="W171" s="169"/>
      <c r="Z171" s="141"/>
      <c r="AA171" s="134"/>
      <c r="AD171" s="141"/>
      <c r="AE171" s="134"/>
      <c r="AH171" s="141"/>
      <c r="AI171" s="134"/>
      <c r="AM171" s="134"/>
      <c r="AQ171" s="134"/>
      <c r="BA171" s="140"/>
    </row>
    <row r="172" spans="2:260" x14ac:dyDescent="0.2">
      <c r="W172" s="169"/>
      <c r="Z172" s="141"/>
      <c r="AA172" s="134"/>
      <c r="AD172" s="141"/>
      <c r="AE172" s="134"/>
      <c r="AH172" s="141"/>
      <c r="AI172" s="134"/>
      <c r="AM172" s="134"/>
      <c r="AQ172" s="134"/>
    </row>
    <row r="173" spans="2:260" x14ac:dyDescent="0.2">
      <c r="W173" s="169"/>
      <c r="Z173" s="141"/>
      <c r="AA173" s="134"/>
      <c r="AD173" s="141"/>
      <c r="AE173" s="134"/>
      <c r="AH173" s="141"/>
      <c r="AI173" s="134"/>
      <c r="AM173" s="134"/>
      <c r="AQ173" s="134"/>
    </row>
    <row r="174" spans="2:260" x14ac:dyDescent="0.2">
      <c r="W174" s="169"/>
      <c r="Z174" s="141"/>
      <c r="AA174" s="134"/>
      <c r="AD174" s="141"/>
      <c r="AE174" s="134"/>
      <c r="AH174" s="141"/>
      <c r="AI174" s="134"/>
      <c r="AM174" s="134"/>
      <c r="AQ174" s="134"/>
    </row>
    <row r="175" spans="2:260" x14ac:dyDescent="0.2">
      <c r="W175" s="169"/>
      <c r="Z175" s="141"/>
      <c r="AA175" s="134"/>
      <c r="AD175" s="141"/>
      <c r="AE175" s="134"/>
      <c r="AH175" s="141"/>
      <c r="AI175" s="134"/>
      <c r="AM175" s="134"/>
      <c r="AQ175" s="134"/>
    </row>
    <row r="176" spans="2:260" x14ac:dyDescent="0.2">
      <c r="W176" s="169"/>
      <c r="Z176" s="141"/>
      <c r="AA176" s="134"/>
      <c r="AD176" s="141"/>
      <c r="AE176" s="134"/>
      <c r="AH176" s="141"/>
      <c r="AI176" s="134"/>
      <c r="AM176" s="134"/>
      <c r="AQ176" s="134"/>
    </row>
    <row r="177" spans="23:53" x14ac:dyDescent="0.2">
      <c r="W177" s="169"/>
      <c r="Z177" s="141"/>
      <c r="AA177" s="134"/>
      <c r="AD177" s="141"/>
      <c r="AE177" s="134"/>
      <c r="AH177" s="141"/>
      <c r="AI177" s="134"/>
      <c r="AM177" s="134"/>
      <c r="AQ177" s="134"/>
    </row>
    <row r="178" spans="23:53" x14ac:dyDescent="0.2">
      <c r="W178" s="169"/>
      <c r="Z178" s="141"/>
      <c r="AA178" s="134"/>
      <c r="AD178" s="141"/>
      <c r="AE178" s="134"/>
      <c r="AH178" s="141"/>
      <c r="AI178" s="134"/>
      <c r="AM178" s="134"/>
      <c r="AQ178" s="134"/>
    </row>
    <row r="179" spans="23:53" x14ac:dyDescent="0.2">
      <c r="W179" s="169"/>
      <c r="Z179" s="141"/>
      <c r="AA179" s="134"/>
      <c r="AD179" s="141"/>
      <c r="AE179" s="134"/>
      <c r="AH179" s="141"/>
      <c r="AI179" s="134"/>
      <c r="AM179" s="134"/>
      <c r="AQ179" s="134"/>
    </row>
    <row r="180" spans="23:53" x14ac:dyDescent="0.2">
      <c r="W180" s="169"/>
      <c r="Z180" s="141"/>
      <c r="AA180" s="134"/>
      <c r="AD180" s="141"/>
      <c r="AE180" s="134"/>
      <c r="AH180" s="141"/>
      <c r="AI180" s="134"/>
      <c r="AM180" s="134"/>
      <c r="AQ180" s="134"/>
    </row>
    <row r="181" spans="23:53" x14ac:dyDescent="0.2">
      <c r="W181" s="169"/>
      <c r="Z181" s="141"/>
      <c r="AA181" s="134"/>
      <c r="AD181" s="141"/>
      <c r="AE181" s="134"/>
      <c r="AH181" s="141"/>
      <c r="AI181" s="134"/>
      <c r="AM181" s="134"/>
      <c r="AQ181" s="134"/>
    </row>
    <row r="182" spans="23:53" x14ac:dyDescent="0.2">
      <c r="W182" s="169"/>
      <c r="Z182" s="141"/>
      <c r="AA182" s="134"/>
      <c r="AD182" s="141"/>
      <c r="AE182" s="134"/>
      <c r="AH182" s="141"/>
      <c r="AI182" s="134"/>
      <c r="AM182" s="134"/>
      <c r="AQ182" s="134"/>
    </row>
    <row r="183" spans="23:53" x14ac:dyDescent="0.2">
      <c r="W183" s="169"/>
      <c r="Z183" s="141"/>
      <c r="AA183" s="134"/>
      <c r="AD183" s="141"/>
      <c r="AE183" s="134"/>
      <c r="AH183" s="141"/>
      <c r="AI183" s="134"/>
      <c r="AM183" s="134"/>
      <c r="AQ183" s="134"/>
      <c r="BA183" s="140"/>
    </row>
    <row r="184" spans="23:53" x14ac:dyDescent="0.2">
      <c r="W184" s="169"/>
      <c r="Z184" s="141"/>
      <c r="AA184" s="134"/>
      <c r="AD184" s="141"/>
      <c r="AE184" s="134"/>
      <c r="AH184" s="141"/>
      <c r="AI184" s="134"/>
      <c r="AM184" s="134"/>
      <c r="AQ184" s="134"/>
    </row>
    <row r="185" spans="23:53" x14ac:dyDescent="0.2">
      <c r="W185" s="169"/>
      <c r="Z185" s="141"/>
      <c r="AA185" s="134"/>
      <c r="AD185" s="141"/>
      <c r="AE185" s="134"/>
      <c r="AH185" s="141"/>
      <c r="AI185" s="134"/>
      <c r="AM185" s="134"/>
      <c r="AQ185" s="134"/>
    </row>
    <row r="186" spans="23:53" x14ac:dyDescent="0.2">
      <c r="AA186" s="169"/>
      <c r="AB186" s="169"/>
      <c r="AC186" s="169"/>
      <c r="AD186" s="169"/>
      <c r="AE186" s="169"/>
      <c r="AF186" s="169"/>
    </row>
    <row r="187" spans="23:53" x14ac:dyDescent="0.2">
      <c r="AA187" s="169"/>
      <c r="AB187" s="169"/>
      <c r="AC187" s="169"/>
      <c r="AD187" s="169"/>
      <c r="AE187" s="169"/>
      <c r="AF187" s="169"/>
    </row>
    <row r="188" spans="23:53" x14ac:dyDescent="0.2">
      <c r="AA188" s="169"/>
      <c r="AB188" s="169"/>
      <c r="AC188" s="169"/>
      <c r="AD188" s="169"/>
      <c r="AE188" s="169"/>
      <c r="AF188" s="169"/>
    </row>
    <row r="189" spans="23:53" x14ac:dyDescent="0.2">
      <c r="AA189" s="169"/>
      <c r="AB189" s="169"/>
      <c r="AC189" s="169"/>
      <c r="AD189" s="169"/>
      <c r="AE189" s="169"/>
      <c r="AF189" s="169"/>
    </row>
    <row r="190" spans="23:53" x14ac:dyDescent="0.2">
      <c r="AA190" s="169"/>
      <c r="AB190" s="169"/>
      <c r="AC190" s="169"/>
      <c r="AD190" s="169"/>
      <c r="AE190" s="169"/>
      <c r="AF190" s="169"/>
    </row>
    <row r="191" spans="23:53" x14ac:dyDescent="0.2">
      <c r="AA191" s="169"/>
      <c r="AB191" s="169"/>
      <c r="AC191" s="169"/>
      <c r="AD191" s="169"/>
      <c r="AE191" s="169"/>
      <c r="AF191" s="169"/>
    </row>
    <row r="192" spans="23:53" x14ac:dyDescent="0.2">
      <c r="AA192" s="169"/>
      <c r="AB192" s="169"/>
      <c r="AC192" s="169"/>
      <c r="AD192" s="169"/>
      <c r="AE192" s="169"/>
      <c r="AF192" s="169"/>
    </row>
    <row r="193" spans="27:32" x14ac:dyDescent="0.2">
      <c r="AA193" s="169"/>
      <c r="AB193" s="169"/>
      <c r="AC193" s="169"/>
      <c r="AD193" s="169"/>
      <c r="AE193" s="169"/>
      <c r="AF193" s="169"/>
    </row>
    <row r="194" spans="27:32" x14ac:dyDescent="0.2">
      <c r="AA194" s="169"/>
      <c r="AB194" s="169"/>
      <c r="AC194" s="169"/>
      <c r="AD194" s="169"/>
      <c r="AE194" s="169"/>
      <c r="AF194" s="169"/>
    </row>
    <row r="195" spans="27:32" x14ac:dyDescent="0.2">
      <c r="AA195" s="169"/>
      <c r="AB195" s="169"/>
      <c r="AC195" s="169"/>
      <c r="AD195" s="169"/>
      <c r="AE195" s="169"/>
      <c r="AF195" s="169"/>
    </row>
    <row r="196" spans="27:32" x14ac:dyDescent="0.2">
      <c r="AA196" s="169"/>
      <c r="AB196" s="169"/>
      <c r="AC196" s="169"/>
      <c r="AD196" s="169"/>
      <c r="AE196" s="169"/>
      <c r="AF196" s="169"/>
    </row>
    <row r="197" spans="27:32" x14ac:dyDescent="0.2">
      <c r="AA197" s="169"/>
      <c r="AB197" s="169"/>
      <c r="AC197" s="169"/>
      <c r="AD197" s="169"/>
      <c r="AE197" s="169"/>
      <c r="AF197" s="169"/>
    </row>
    <row r="198" spans="27:32" x14ac:dyDescent="0.2">
      <c r="AA198" s="169"/>
      <c r="AB198" s="169"/>
      <c r="AC198" s="169"/>
      <c r="AD198" s="169"/>
      <c r="AE198" s="169"/>
      <c r="AF198" s="169"/>
    </row>
    <row r="199" spans="27:32" x14ac:dyDescent="0.2">
      <c r="AA199" s="169"/>
      <c r="AB199" s="169"/>
      <c r="AC199" s="169"/>
      <c r="AD199" s="169"/>
      <c r="AE199" s="169"/>
      <c r="AF199" s="169"/>
    </row>
    <row r="200" spans="27:32" x14ac:dyDescent="0.2">
      <c r="AA200" s="169"/>
      <c r="AB200" s="169"/>
      <c r="AC200" s="169"/>
      <c r="AD200" s="169"/>
      <c r="AE200" s="169"/>
      <c r="AF200" s="169"/>
    </row>
    <row r="201" spans="27:32" x14ac:dyDescent="0.2">
      <c r="AA201" s="169"/>
      <c r="AB201" s="169"/>
      <c r="AC201" s="169"/>
      <c r="AD201" s="169"/>
      <c r="AE201" s="169"/>
      <c r="AF201" s="169"/>
    </row>
    <row r="202" spans="27:32" x14ac:dyDescent="0.2">
      <c r="AA202" s="169"/>
      <c r="AB202" s="169"/>
      <c r="AC202" s="169"/>
      <c r="AD202" s="169"/>
      <c r="AE202" s="169"/>
      <c r="AF202" s="169"/>
    </row>
    <row r="203" spans="27:32" x14ac:dyDescent="0.2">
      <c r="AA203" s="169"/>
      <c r="AB203" s="169"/>
      <c r="AC203" s="169"/>
      <c r="AD203" s="169"/>
      <c r="AE203" s="169"/>
      <c r="AF203" s="169"/>
    </row>
    <row r="204" spans="27:32" x14ac:dyDescent="0.2">
      <c r="AA204" s="169"/>
      <c r="AB204" s="169"/>
      <c r="AC204" s="169"/>
      <c r="AD204" s="169"/>
      <c r="AE204" s="169"/>
      <c r="AF204" s="169"/>
    </row>
    <row r="205" spans="27:32" x14ac:dyDescent="0.2">
      <c r="AA205" s="169"/>
      <c r="AB205" s="169"/>
      <c r="AC205" s="169"/>
      <c r="AD205" s="169"/>
      <c r="AE205" s="169"/>
      <c r="AF205" s="169"/>
    </row>
    <row r="206" spans="27:32" x14ac:dyDescent="0.2">
      <c r="AA206" s="169"/>
      <c r="AB206" s="169"/>
      <c r="AC206" s="169"/>
      <c r="AD206" s="169"/>
      <c r="AE206" s="169"/>
      <c r="AF206" s="169"/>
    </row>
    <row r="207" spans="27:32" x14ac:dyDescent="0.2">
      <c r="AA207" s="169"/>
      <c r="AB207" s="169"/>
      <c r="AC207" s="169"/>
      <c r="AD207" s="169"/>
      <c r="AE207" s="169"/>
      <c r="AF207" s="169"/>
    </row>
    <row r="208" spans="27:32" x14ac:dyDescent="0.2">
      <c r="AA208" s="169"/>
      <c r="AB208" s="169"/>
      <c r="AC208" s="169"/>
      <c r="AD208" s="169"/>
      <c r="AE208" s="169"/>
      <c r="AF208" s="169"/>
    </row>
    <row r="209" spans="27:32" x14ac:dyDescent="0.2">
      <c r="AA209" s="169"/>
      <c r="AB209" s="169"/>
      <c r="AC209" s="169"/>
      <c r="AD209" s="169"/>
      <c r="AE209" s="169"/>
      <c r="AF209" s="169"/>
    </row>
    <row r="210" spans="27:32" x14ac:dyDescent="0.2">
      <c r="AA210" s="169"/>
      <c r="AB210" s="169"/>
      <c r="AC210" s="169"/>
      <c r="AD210" s="169"/>
      <c r="AE210" s="169"/>
      <c r="AF210" s="169"/>
    </row>
    <row r="211" spans="27:32" x14ac:dyDescent="0.2">
      <c r="AA211" s="169"/>
      <c r="AB211" s="169"/>
      <c r="AC211" s="169"/>
      <c r="AD211" s="169"/>
      <c r="AE211" s="169"/>
      <c r="AF211" s="169"/>
    </row>
    <row r="212" spans="27:32" x14ac:dyDescent="0.2">
      <c r="AA212" s="169"/>
      <c r="AB212" s="169"/>
      <c r="AC212" s="169"/>
      <c r="AD212" s="169"/>
      <c r="AE212" s="169"/>
      <c r="AF212" s="169"/>
    </row>
    <row r="213" spans="27:32" x14ac:dyDescent="0.2">
      <c r="AA213" s="169"/>
      <c r="AB213" s="169"/>
      <c r="AC213" s="169"/>
      <c r="AD213" s="169"/>
      <c r="AE213" s="169"/>
      <c r="AF213" s="169"/>
    </row>
    <row r="214" spans="27:32" x14ac:dyDescent="0.2">
      <c r="AA214" s="169"/>
      <c r="AB214" s="169"/>
      <c r="AC214" s="169"/>
      <c r="AD214" s="169"/>
      <c r="AE214" s="169"/>
      <c r="AF214" s="169"/>
    </row>
    <row r="215" spans="27:32" x14ac:dyDescent="0.2">
      <c r="AA215" s="169"/>
      <c r="AB215" s="169"/>
      <c r="AC215" s="169"/>
      <c r="AD215" s="169"/>
      <c r="AE215" s="169"/>
      <c r="AF215" s="169"/>
    </row>
    <row r="216" spans="27:32" x14ac:dyDescent="0.2">
      <c r="AA216" s="169"/>
      <c r="AB216" s="169"/>
      <c r="AC216" s="169"/>
      <c r="AD216" s="169"/>
      <c r="AE216" s="169"/>
      <c r="AF216" s="169"/>
    </row>
    <row r="217" spans="27:32" x14ac:dyDescent="0.2">
      <c r="AA217" s="169"/>
      <c r="AB217" s="169"/>
      <c r="AC217" s="169"/>
      <c r="AD217" s="169"/>
      <c r="AE217" s="169"/>
      <c r="AF217" s="169"/>
    </row>
    <row r="218" spans="27:32" x14ac:dyDescent="0.2">
      <c r="AA218" s="169"/>
      <c r="AB218" s="169"/>
      <c r="AC218" s="169"/>
      <c r="AD218" s="169"/>
      <c r="AE218" s="169"/>
      <c r="AF218" s="169"/>
    </row>
    <row r="219" spans="27:32" x14ac:dyDescent="0.2">
      <c r="AA219" s="169"/>
      <c r="AB219" s="169"/>
      <c r="AC219" s="169"/>
      <c r="AD219" s="169"/>
      <c r="AE219" s="169"/>
      <c r="AF219" s="169"/>
    </row>
    <row r="220" spans="27:32" x14ac:dyDescent="0.2">
      <c r="AA220" s="169"/>
      <c r="AB220" s="169"/>
      <c r="AC220" s="169"/>
      <c r="AD220" s="169"/>
      <c r="AE220" s="169"/>
      <c r="AF220" s="169"/>
    </row>
    <row r="221" spans="27:32" x14ac:dyDescent="0.2">
      <c r="AA221" s="169"/>
      <c r="AB221" s="169"/>
      <c r="AC221" s="169"/>
      <c r="AD221" s="169"/>
      <c r="AE221" s="169"/>
      <c r="AF221" s="169"/>
    </row>
    <row r="222" spans="27:32" x14ac:dyDescent="0.2">
      <c r="AA222" s="169"/>
      <c r="AB222" s="169"/>
      <c r="AC222" s="169"/>
      <c r="AD222" s="169"/>
      <c r="AE222" s="169"/>
      <c r="AF222" s="169"/>
    </row>
    <row r="223" spans="27:32" x14ac:dyDescent="0.2">
      <c r="AA223" s="169"/>
      <c r="AB223" s="169"/>
      <c r="AC223" s="169"/>
      <c r="AD223" s="169"/>
      <c r="AE223" s="169"/>
      <c r="AF223" s="169"/>
    </row>
    <row r="224" spans="27:32" x14ac:dyDescent="0.2">
      <c r="AA224" s="169"/>
      <c r="AB224" s="169"/>
      <c r="AC224" s="169"/>
      <c r="AD224" s="169"/>
      <c r="AE224" s="169"/>
      <c r="AF224" s="169"/>
    </row>
    <row r="225" spans="27:32" x14ac:dyDescent="0.2">
      <c r="AA225" s="169"/>
      <c r="AB225" s="169"/>
      <c r="AC225" s="169"/>
      <c r="AD225" s="169"/>
      <c r="AE225" s="169"/>
      <c r="AF225" s="169"/>
    </row>
    <row r="226" spans="27:32" x14ac:dyDescent="0.2">
      <c r="AA226" s="169"/>
      <c r="AB226" s="169"/>
      <c r="AC226" s="169"/>
      <c r="AD226" s="169"/>
      <c r="AE226" s="169"/>
      <c r="AF226" s="169"/>
    </row>
    <row r="227" spans="27:32" x14ac:dyDescent="0.2">
      <c r="AA227" s="169"/>
      <c r="AB227" s="169"/>
      <c r="AC227" s="169"/>
      <c r="AD227" s="169"/>
      <c r="AE227" s="169"/>
      <c r="AF227" s="169"/>
    </row>
    <row r="228" spans="27:32" x14ac:dyDescent="0.2">
      <c r="AA228" s="169"/>
      <c r="AB228" s="169"/>
      <c r="AC228" s="169"/>
      <c r="AD228" s="169"/>
      <c r="AE228" s="169"/>
      <c r="AF228" s="169"/>
    </row>
    <row r="229" spans="27:32" x14ac:dyDescent="0.2">
      <c r="AA229" s="169"/>
      <c r="AB229" s="169"/>
      <c r="AC229" s="169"/>
      <c r="AD229" s="169"/>
      <c r="AE229" s="169"/>
      <c r="AF229" s="169"/>
    </row>
    <row r="230" spans="27:32" x14ac:dyDescent="0.2">
      <c r="AA230" s="169"/>
      <c r="AB230" s="169"/>
      <c r="AC230" s="169"/>
      <c r="AD230" s="169"/>
      <c r="AE230" s="169"/>
      <c r="AF230" s="169"/>
    </row>
    <row r="231" spans="27:32" x14ac:dyDescent="0.2">
      <c r="AA231" s="169"/>
      <c r="AB231" s="169"/>
      <c r="AC231" s="169"/>
      <c r="AD231" s="169"/>
      <c r="AE231" s="169"/>
      <c r="AF231" s="169"/>
    </row>
    <row r="232" spans="27:32" x14ac:dyDescent="0.2">
      <c r="AA232" s="169"/>
      <c r="AB232" s="169"/>
      <c r="AC232" s="169"/>
      <c r="AD232" s="169"/>
      <c r="AE232" s="169"/>
      <c r="AF232" s="169"/>
    </row>
    <row r="233" spans="27:32" x14ac:dyDescent="0.2">
      <c r="AA233" s="169"/>
      <c r="AB233" s="169"/>
      <c r="AC233" s="169"/>
      <c r="AD233" s="169"/>
      <c r="AE233" s="169"/>
      <c r="AF233" s="169"/>
    </row>
    <row r="234" spans="27:32" x14ac:dyDescent="0.2">
      <c r="AA234" s="169"/>
      <c r="AB234" s="169"/>
      <c r="AC234" s="169"/>
      <c r="AD234" s="169"/>
      <c r="AE234" s="169"/>
      <c r="AF234" s="169"/>
    </row>
    <row r="235" spans="27:32" x14ac:dyDescent="0.2">
      <c r="AA235" s="169"/>
      <c r="AB235" s="169"/>
      <c r="AC235" s="169"/>
      <c r="AD235" s="169"/>
      <c r="AE235" s="169"/>
      <c r="AF235" s="169"/>
    </row>
    <row r="236" spans="27:32" x14ac:dyDescent="0.2">
      <c r="AA236" s="169"/>
      <c r="AB236" s="169"/>
      <c r="AC236" s="169"/>
      <c r="AD236" s="169"/>
      <c r="AE236" s="169"/>
      <c r="AF236" s="169"/>
    </row>
    <row r="237" spans="27:32" x14ac:dyDescent="0.2">
      <c r="AA237" s="169"/>
      <c r="AB237" s="169"/>
      <c r="AC237" s="169"/>
      <c r="AD237" s="169"/>
      <c r="AE237" s="169"/>
      <c r="AF237" s="169"/>
    </row>
    <row r="238" spans="27:32" x14ac:dyDescent="0.2">
      <c r="AA238" s="169"/>
      <c r="AB238" s="169"/>
      <c r="AC238" s="169"/>
      <c r="AD238" s="169"/>
      <c r="AE238" s="169"/>
      <c r="AF238" s="169"/>
    </row>
    <row r="239" spans="27:32" x14ac:dyDescent="0.2">
      <c r="AA239" s="169"/>
      <c r="AB239" s="169"/>
      <c r="AC239" s="169"/>
      <c r="AD239" s="169"/>
      <c r="AE239" s="169"/>
      <c r="AF239" s="169"/>
    </row>
    <row r="240" spans="27:32" x14ac:dyDescent="0.2">
      <c r="AA240" s="169"/>
      <c r="AB240" s="169"/>
      <c r="AC240" s="169"/>
      <c r="AD240" s="169"/>
      <c r="AE240" s="169"/>
      <c r="AF240" s="169"/>
    </row>
    <row r="241" spans="27:32" x14ac:dyDescent="0.2">
      <c r="AA241" s="169"/>
      <c r="AB241" s="169"/>
      <c r="AC241" s="169"/>
      <c r="AD241" s="169"/>
      <c r="AE241" s="169"/>
      <c r="AF241" s="169"/>
    </row>
    <row r="242" spans="27:32" x14ac:dyDescent="0.2">
      <c r="AA242" s="169"/>
      <c r="AB242" s="169"/>
      <c r="AC242" s="169"/>
      <c r="AD242" s="169"/>
      <c r="AE242" s="169"/>
      <c r="AF242" s="169"/>
    </row>
    <row r="243" spans="27:32" x14ac:dyDescent="0.2">
      <c r="AA243" s="169"/>
      <c r="AB243" s="169"/>
      <c r="AC243" s="169"/>
      <c r="AD243" s="169"/>
      <c r="AE243" s="169"/>
      <c r="AF243" s="169"/>
    </row>
    <row r="244" spans="27:32" x14ac:dyDescent="0.2">
      <c r="AA244" s="169"/>
      <c r="AB244" s="169"/>
      <c r="AC244" s="169"/>
      <c r="AD244" s="169"/>
      <c r="AE244" s="169"/>
      <c r="AF244" s="169"/>
    </row>
    <row r="245" spans="27:32" x14ac:dyDescent="0.2">
      <c r="AA245" s="169"/>
      <c r="AB245" s="169"/>
      <c r="AC245" s="169"/>
      <c r="AD245" s="169"/>
      <c r="AE245" s="169"/>
      <c r="AF245" s="169"/>
    </row>
    <row r="246" spans="27:32" x14ac:dyDescent="0.2">
      <c r="AA246" s="169"/>
      <c r="AB246" s="169"/>
      <c r="AC246" s="169"/>
      <c r="AD246" s="169"/>
      <c r="AE246" s="169"/>
      <c r="AF246" s="169"/>
    </row>
    <row r="247" spans="27:32" x14ac:dyDescent="0.2">
      <c r="AA247" s="169"/>
      <c r="AB247" s="169"/>
      <c r="AC247" s="169"/>
      <c r="AD247" s="169"/>
      <c r="AE247" s="169"/>
      <c r="AF247" s="169"/>
    </row>
    <row r="248" spans="27:32" x14ac:dyDescent="0.2">
      <c r="AA248" s="169"/>
      <c r="AB248" s="169"/>
      <c r="AC248" s="169"/>
      <c r="AD248" s="169"/>
      <c r="AE248" s="169"/>
      <c r="AF248" s="169"/>
    </row>
    <row r="249" spans="27:32" x14ac:dyDescent="0.2">
      <c r="AA249" s="169"/>
      <c r="AB249" s="169"/>
      <c r="AC249" s="169"/>
      <c r="AD249" s="169"/>
      <c r="AE249" s="169"/>
      <c r="AF249" s="169"/>
    </row>
    <row r="250" spans="27:32" x14ac:dyDescent="0.2">
      <c r="AA250" s="169"/>
      <c r="AB250" s="169"/>
      <c r="AC250" s="169"/>
      <c r="AD250" s="169"/>
      <c r="AE250" s="169"/>
      <c r="AF250" s="169"/>
    </row>
    <row r="251" spans="27:32" x14ac:dyDescent="0.2">
      <c r="AA251" s="169"/>
      <c r="AB251" s="169"/>
      <c r="AC251" s="169"/>
      <c r="AD251" s="169"/>
      <c r="AE251" s="169"/>
      <c r="AF251" s="169"/>
    </row>
    <row r="252" spans="27:32" x14ac:dyDescent="0.2">
      <c r="AA252" s="169"/>
      <c r="AB252" s="169"/>
      <c r="AC252" s="169"/>
      <c r="AD252" s="169"/>
      <c r="AE252" s="169"/>
      <c r="AF252" s="169"/>
    </row>
    <row r="253" spans="27:32" x14ac:dyDescent="0.2">
      <c r="AA253" s="169"/>
      <c r="AB253" s="169"/>
      <c r="AC253" s="169"/>
      <c r="AD253" s="169"/>
      <c r="AE253" s="169"/>
      <c r="AF253" s="169"/>
    </row>
    <row r="254" spans="27:32" x14ac:dyDescent="0.2">
      <c r="AA254" s="169"/>
      <c r="AB254" s="169"/>
      <c r="AC254" s="169"/>
      <c r="AD254" s="169"/>
      <c r="AE254" s="169"/>
      <c r="AF254" s="169"/>
    </row>
    <row r="255" spans="27:32" x14ac:dyDescent="0.2">
      <c r="AA255" s="169"/>
      <c r="AB255" s="169"/>
      <c r="AC255" s="169"/>
      <c r="AD255" s="169"/>
      <c r="AE255" s="169"/>
      <c r="AF255" s="169"/>
    </row>
    <row r="256" spans="27:32" x14ac:dyDescent="0.2">
      <c r="AA256" s="169"/>
      <c r="AB256" s="169"/>
      <c r="AC256" s="169"/>
      <c r="AD256" s="169"/>
      <c r="AE256" s="169"/>
      <c r="AF256" s="169"/>
    </row>
    <row r="257" spans="27:32" x14ac:dyDescent="0.2">
      <c r="AA257" s="169"/>
      <c r="AB257" s="169"/>
      <c r="AC257" s="169"/>
      <c r="AD257" s="169"/>
      <c r="AE257" s="169"/>
      <c r="AF257" s="169"/>
    </row>
    <row r="258" spans="27:32" x14ac:dyDescent="0.2">
      <c r="AA258" s="169"/>
      <c r="AB258" s="169"/>
      <c r="AC258" s="169"/>
      <c r="AD258" s="169"/>
      <c r="AE258" s="169"/>
      <c r="AF258" s="169"/>
    </row>
    <row r="259" spans="27:32" x14ac:dyDescent="0.2">
      <c r="AA259" s="169"/>
      <c r="AB259" s="169"/>
      <c r="AC259" s="169"/>
      <c r="AD259" s="169"/>
      <c r="AE259" s="169"/>
      <c r="AF259" s="169"/>
    </row>
    <row r="260" spans="27:32" x14ac:dyDescent="0.2">
      <c r="AA260" s="169"/>
      <c r="AB260" s="169"/>
      <c r="AC260" s="169"/>
      <c r="AD260" s="169"/>
      <c r="AE260" s="169"/>
      <c r="AF260" s="169"/>
    </row>
    <row r="261" spans="27:32" x14ac:dyDescent="0.2">
      <c r="AA261" s="169"/>
      <c r="AB261" s="169"/>
      <c r="AC261" s="169"/>
      <c r="AD261" s="169"/>
      <c r="AE261" s="169"/>
      <c r="AF261" s="169"/>
    </row>
    <row r="262" spans="27:32" x14ac:dyDescent="0.2">
      <c r="AA262" s="169"/>
      <c r="AB262" s="169"/>
      <c r="AC262" s="169"/>
      <c r="AD262" s="169"/>
      <c r="AE262" s="169"/>
      <c r="AF262" s="169"/>
    </row>
    <row r="263" spans="27:32" x14ac:dyDescent="0.2">
      <c r="AA263" s="169"/>
      <c r="AB263" s="169"/>
      <c r="AC263" s="169"/>
      <c r="AD263" s="169"/>
      <c r="AE263" s="169"/>
      <c r="AF263" s="169"/>
    </row>
    <row r="264" spans="27:32" x14ac:dyDescent="0.2">
      <c r="AA264" s="169"/>
      <c r="AB264" s="169"/>
      <c r="AC264" s="169"/>
      <c r="AD264" s="169"/>
      <c r="AE264" s="169"/>
      <c r="AF264" s="169"/>
    </row>
    <row r="265" spans="27:32" x14ac:dyDescent="0.2">
      <c r="AA265" s="169"/>
      <c r="AB265" s="169"/>
      <c r="AC265" s="169"/>
      <c r="AD265" s="169"/>
      <c r="AE265" s="169"/>
      <c r="AF265" s="169"/>
    </row>
    <row r="266" spans="27:32" x14ac:dyDescent="0.2">
      <c r="AA266" s="169"/>
      <c r="AB266" s="169"/>
      <c r="AC266" s="169"/>
      <c r="AD266" s="169"/>
      <c r="AE266" s="169"/>
      <c r="AF266" s="169"/>
    </row>
    <row r="267" spans="27:32" x14ac:dyDescent="0.2">
      <c r="AA267" s="169"/>
      <c r="AB267" s="169"/>
      <c r="AC267" s="169"/>
      <c r="AD267" s="169"/>
      <c r="AE267" s="169"/>
      <c r="AF267" s="169"/>
    </row>
    <row r="268" spans="27:32" x14ac:dyDescent="0.2">
      <c r="AA268" s="169"/>
      <c r="AB268" s="169"/>
      <c r="AC268" s="169"/>
      <c r="AD268" s="169"/>
      <c r="AE268" s="169"/>
      <c r="AF268" s="169"/>
    </row>
    <row r="269" spans="27:32" x14ac:dyDescent="0.2">
      <c r="AA269" s="169"/>
      <c r="AB269" s="169"/>
      <c r="AC269" s="169"/>
      <c r="AD269" s="169"/>
      <c r="AE269" s="169"/>
      <c r="AF269" s="169"/>
    </row>
    <row r="270" spans="27:32" x14ac:dyDescent="0.2">
      <c r="AA270" s="169"/>
      <c r="AB270" s="169"/>
      <c r="AC270" s="169"/>
      <c r="AD270" s="169"/>
      <c r="AE270" s="169"/>
      <c r="AF270" s="169"/>
    </row>
    <row r="271" spans="27:32" x14ac:dyDescent="0.2">
      <c r="AA271" s="169"/>
      <c r="AB271" s="169"/>
      <c r="AC271" s="169"/>
      <c r="AD271" s="169"/>
      <c r="AE271" s="169"/>
      <c r="AF271" s="169"/>
    </row>
    <row r="272" spans="27:32" x14ac:dyDescent="0.2">
      <c r="AA272" s="169"/>
      <c r="AB272" s="169"/>
      <c r="AC272" s="169"/>
      <c r="AD272" s="169"/>
      <c r="AE272" s="169"/>
      <c r="AF272" s="169"/>
    </row>
    <row r="273" spans="27:32" x14ac:dyDescent="0.2">
      <c r="AA273" s="169"/>
      <c r="AB273" s="169"/>
      <c r="AC273" s="169"/>
      <c r="AD273" s="169"/>
      <c r="AE273" s="169"/>
      <c r="AF273" s="169"/>
    </row>
    <row r="274" spans="27:32" x14ac:dyDescent="0.2">
      <c r="AA274" s="169"/>
      <c r="AB274" s="169"/>
      <c r="AC274" s="169"/>
      <c r="AD274" s="169"/>
      <c r="AE274" s="169"/>
      <c r="AF274" s="169"/>
    </row>
    <row r="275" spans="27:32" x14ac:dyDescent="0.2">
      <c r="AA275" s="169"/>
      <c r="AB275" s="169"/>
      <c r="AC275" s="169"/>
      <c r="AD275" s="169"/>
      <c r="AE275" s="169"/>
      <c r="AF275" s="169"/>
    </row>
    <row r="276" spans="27:32" x14ac:dyDescent="0.2">
      <c r="AA276" s="169"/>
      <c r="AB276" s="169"/>
      <c r="AC276" s="169"/>
      <c r="AD276" s="169"/>
      <c r="AE276" s="169"/>
      <c r="AF276" s="169"/>
    </row>
    <row r="277" spans="27:32" x14ac:dyDescent="0.2">
      <c r="AA277" s="169"/>
      <c r="AB277" s="169"/>
      <c r="AC277" s="169"/>
      <c r="AD277" s="169"/>
      <c r="AE277" s="169"/>
      <c r="AF277" s="169"/>
    </row>
    <row r="278" spans="27:32" x14ac:dyDescent="0.2">
      <c r="AA278" s="169"/>
      <c r="AB278" s="169"/>
      <c r="AC278" s="169"/>
      <c r="AD278" s="169"/>
      <c r="AE278" s="169"/>
      <c r="AF278" s="169"/>
    </row>
    <row r="279" spans="27:32" x14ac:dyDescent="0.2">
      <c r="AA279" s="169"/>
      <c r="AB279" s="169"/>
      <c r="AC279" s="169"/>
      <c r="AD279" s="169"/>
      <c r="AE279" s="169"/>
      <c r="AF279" s="169"/>
    </row>
    <row r="280" spans="27:32" x14ac:dyDescent="0.2">
      <c r="AA280" s="169"/>
      <c r="AB280" s="169"/>
      <c r="AC280" s="169"/>
      <c r="AD280" s="169"/>
      <c r="AE280" s="169"/>
      <c r="AF280" s="169"/>
    </row>
    <row r="281" spans="27:32" x14ac:dyDescent="0.2">
      <c r="AA281" s="169"/>
      <c r="AB281" s="169"/>
      <c r="AC281" s="169"/>
      <c r="AD281" s="169"/>
      <c r="AE281" s="169"/>
      <c r="AF281" s="169"/>
    </row>
    <row r="282" spans="27:32" x14ac:dyDescent="0.2">
      <c r="AA282" s="169"/>
      <c r="AB282" s="169"/>
      <c r="AC282" s="169"/>
      <c r="AD282" s="169"/>
      <c r="AE282" s="169"/>
      <c r="AF282" s="169"/>
    </row>
    <row r="283" spans="27:32" x14ac:dyDescent="0.2">
      <c r="AA283" s="169"/>
      <c r="AB283" s="169"/>
      <c r="AC283" s="169"/>
      <c r="AD283" s="169"/>
      <c r="AE283" s="169"/>
      <c r="AF283" s="169"/>
    </row>
    <row r="284" spans="27:32" x14ac:dyDescent="0.2">
      <c r="AA284" s="169"/>
      <c r="AB284" s="169"/>
      <c r="AC284" s="169"/>
      <c r="AD284" s="169"/>
      <c r="AE284" s="169"/>
      <c r="AF284" s="169"/>
    </row>
    <row r="285" spans="27:32" x14ac:dyDescent="0.2">
      <c r="AA285" s="169"/>
      <c r="AB285" s="169"/>
      <c r="AC285" s="169"/>
      <c r="AD285" s="169"/>
      <c r="AE285" s="169"/>
      <c r="AF285" s="169"/>
    </row>
    <row r="286" spans="27:32" x14ac:dyDescent="0.2">
      <c r="AA286" s="169"/>
      <c r="AB286" s="169"/>
      <c r="AC286" s="169"/>
      <c r="AD286" s="169"/>
      <c r="AE286" s="169"/>
      <c r="AF286" s="169"/>
    </row>
    <row r="287" spans="27:32" x14ac:dyDescent="0.2">
      <c r="AA287" s="169"/>
      <c r="AB287" s="169"/>
      <c r="AC287" s="169"/>
      <c r="AD287" s="169"/>
      <c r="AE287" s="169"/>
      <c r="AF287" s="169"/>
    </row>
    <row r="288" spans="27:32" x14ac:dyDescent="0.2">
      <c r="AA288" s="169"/>
      <c r="AB288" s="169"/>
      <c r="AC288" s="169"/>
      <c r="AD288" s="169"/>
      <c r="AE288" s="169"/>
      <c r="AF288" s="169"/>
    </row>
    <row r="289" spans="27:32" x14ac:dyDescent="0.2">
      <c r="AA289" s="169"/>
      <c r="AB289" s="169"/>
      <c r="AC289" s="169"/>
      <c r="AD289" s="169"/>
      <c r="AE289" s="169"/>
      <c r="AF289" s="169"/>
    </row>
    <row r="290" spans="27:32" x14ac:dyDescent="0.2">
      <c r="AA290" s="169"/>
      <c r="AB290" s="169"/>
      <c r="AC290" s="169"/>
      <c r="AD290" s="169"/>
      <c r="AE290" s="169"/>
      <c r="AF290" s="169"/>
    </row>
    <row r="291" spans="27:32" x14ac:dyDescent="0.2">
      <c r="AA291" s="169"/>
      <c r="AB291" s="169"/>
      <c r="AC291" s="169"/>
      <c r="AD291" s="169"/>
      <c r="AE291" s="169"/>
      <c r="AF291" s="169"/>
    </row>
    <row r="292" spans="27:32" x14ac:dyDescent="0.2">
      <c r="AA292" s="169"/>
      <c r="AB292" s="169"/>
      <c r="AC292" s="169"/>
      <c r="AD292" s="169"/>
      <c r="AE292" s="169"/>
      <c r="AF292" s="169"/>
    </row>
    <row r="293" spans="27:32" x14ac:dyDescent="0.2">
      <c r="AA293" s="169"/>
      <c r="AB293" s="169"/>
      <c r="AC293" s="169"/>
      <c r="AD293" s="169"/>
      <c r="AE293" s="169"/>
      <c r="AF293" s="169"/>
    </row>
    <row r="294" spans="27:32" x14ac:dyDescent="0.2">
      <c r="AA294" s="169"/>
      <c r="AB294" s="169"/>
      <c r="AC294" s="169"/>
      <c r="AD294" s="169"/>
      <c r="AE294" s="169"/>
      <c r="AF294" s="169"/>
    </row>
    <row r="295" spans="27:32" x14ac:dyDescent="0.2">
      <c r="AA295" s="169"/>
      <c r="AB295" s="169"/>
      <c r="AC295" s="169"/>
      <c r="AD295" s="169"/>
      <c r="AE295" s="169"/>
      <c r="AF295" s="169"/>
    </row>
    <row r="296" spans="27:32" x14ac:dyDescent="0.2">
      <c r="AA296" s="169"/>
      <c r="AB296" s="169"/>
      <c r="AC296" s="169"/>
      <c r="AD296" s="169"/>
      <c r="AE296" s="169"/>
      <c r="AF296" s="169"/>
    </row>
    <row r="297" spans="27:32" x14ac:dyDescent="0.2">
      <c r="AA297" s="169"/>
      <c r="AB297" s="169"/>
      <c r="AC297" s="169"/>
      <c r="AD297" s="169"/>
      <c r="AE297" s="169"/>
      <c r="AF297" s="169"/>
    </row>
    <row r="298" spans="27:32" x14ac:dyDescent="0.2">
      <c r="AA298" s="169"/>
      <c r="AB298" s="169"/>
      <c r="AC298" s="169"/>
      <c r="AD298" s="169"/>
      <c r="AE298" s="169"/>
      <c r="AF298" s="169"/>
    </row>
    <row r="299" spans="27:32" x14ac:dyDescent="0.2">
      <c r="AA299" s="169"/>
      <c r="AB299" s="169"/>
      <c r="AC299" s="169"/>
      <c r="AD299" s="169"/>
      <c r="AE299" s="169"/>
      <c r="AF299" s="169"/>
    </row>
    <row r="300" spans="27:32" x14ac:dyDescent="0.2">
      <c r="AA300" s="169"/>
      <c r="AB300" s="169"/>
      <c r="AC300" s="169"/>
      <c r="AD300" s="169"/>
      <c r="AE300" s="169"/>
      <c r="AF300" s="169"/>
    </row>
    <row r="301" spans="27:32" x14ac:dyDescent="0.2">
      <c r="AA301" s="169"/>
      <c r="AB301" s="169"/>
      <c r="AC301" s="169"/>
      <c r="AD301" s="169"/>
      <c r="AE301" s="169"/>
      <c r="AF301" s="169"/>
    </row>
    <row r="302" spans="27:32" x14ac:dyDescent="0.2">
      <c r="AA302" s="169"/>
      <c r="AB302" s="169"/>
      <c r="AC302" s="169"/>
      <c r="AD302" s="169"/>
      <c r="AE302" s="169"/>
      <c r="AF302" s="169"/>
    </row>
    <row r="303" spans="27:32" x14ac:dyDescent="0.2">
      <c r="AA303" s="169"/>
      <c r="AB303" s="169"/>
      <c r="AC303" s="169"/>
      <c r="AD303" s="169"/>
      <c r="AE303" s="169"/>
      <c r="AF303" s="169"/>
    </row>
    <row r="304" spans="27:32" x14ac:dyDescent="0.2">
      <c r="AA304" s="169"/>
      <c r="AB304" s="169"/>
      <c r="AC304" s="169"/>
      <c r="AD304" s="169"/>
      <c r="AE304" s="169"/>
      <c r="AF304" s="169"/>
    </row>
    <row r="305" spans="27:32" x14ac:dyDescent="0.2">
      <c r="AA305" s="169"/>
      <c r="AB305" s="169"/>
      <c r="AC305" s="169"/>
      <c r="AD305" s="169"/>
      <c r="AE305" s="169"/>
      <c r="AF305" s="169"/>
    </row>
    <row r="306" spans="27:32" x14ac:dyDescent="0.2">
      <c r="AA306" s="169"/>
      <c r="AB306" s="169"/>
      <c r="AC306" s="169"/>
      <c r="AD306" s="169"/>
      <c r="AE306" s="169"/>
      <c r="AF306" s="169"/>
    </row>
    <row r="307" spans="27:32" x14ac:dyDescent="0.2">
      <c r="AA307" s="169"/>
      <c r="AB307" s="169"/>
      <c r="AC307" s="169"/>
      <c r="AD307" s="169"/>
      <c r="AE307" s="169"/>
      <c r="AF307" s="169"/>
    </row>
    <row r="308" spans="27:32" x14ac:dyDescent="0.2">
      <c r="AA308" s="169"/>
      <c r="AB308" s="169"/>
      <c r="AC308" s="169"/>
      <c r="AD308" s="169"/>
      <c r="AE308" s="169"/>
      <c r="AF308" s="169"/>
    </row>
    <row r="309" spans="27:32" x14ac:dyDescent="0.2">
      <c r="AA309" s="169"/>
      <c r="AB309" s="169"/>
      <c r="AC309" s="169"/>
      <c r="AD309" s="169"/>
      <c r="AE309" s="169"/>
      <c r="AF309" s="169"/>
    </row>
    <row r="310" spans="27:32" x14ac:dyDescent="0.2">
      <c r="AA310" s="169"/>
      <c r="AB310" s="169"/>
      <c r="AC310" s="169"/>
      <c r="AD310" s="169"/>
      <c r="AE310" s="169"/>
      <c r="AF310" s="169"/>
    </row>
    <row r="311" spans="27:32" x14ac:dyDescent="0.2">
      <c r="AA311" s="169"/>
      <c r="AB311" s="169"/>
      <c r="AC311" s="169"/>
      <c r="AD311" s="169"/>
      <c r="AE311" s="169"/>
      <c r="AF311" s="169"/>
    </row>
    <row r="312" spans="27:32" x14ac:dyDescent="0.2">
      <c r="AA312" s="169"/>
      <c r="AB312" s="169"/>
      <c r="AC312" s="169"/>
      <c r="AD312" s="169"/>
      <c r="AE312" s="169"/>
      <c r="AF312" s="169"/>
    </row>
    <row r="313" spans="27:32" x14ac:dyDescent="0.2">
      <c r="AA313" s="169"/>
      <c r="AB313" s="169"/>
      <c r="AC313" s="169"/>
      <c r="AD313" s="169"/>
      <c r="AE313" s="169"/>
      <c r="AF313" s="169"/>
    </row>
    <row r="314" spans="27:32" x14ac:dyDescent="0.2">
      <c r="AA314" s="169"/>
      <c r="AB314" s="169"/>
      <c r="AC314" s="169"/>
      <c r="AD314" s="169"/>
      <c r="AE314" s="169"/>
      <c r="AF314" s="169"/>
    </row>
    <row r="315" spans="27:32" x14ac:dyDescent="0.2">
      <c r="AA315" s="169"/>
      <c r="AB315" s="169"/>
      <c r="AC315" s="169"/>
      <c r="AD315" s="169"/>
      <c r="AE315" s="169"/>
      <c r="AF315" s="169"/>
    </row>
    <row r="316" spans="27:32" x14ac:dyDescent="0.2">
      <c r="AA316" s="169"/>
      <c r="AB316" s="169"/>
      <c r="AC316" s="169"/>
      <c r="AD316" s="169"/>
      <c r="AE316" s="169"/>
      <c r="AF316" s="169"/>
    </row>
    <row r="317" spans="27:32" x14ac:dyDescent="0.2">
      <c r="AA317" s="169"/>
      <c r="AB317" s="169"/>
      <c r="AC317" s="169"/>
      <c r="AD317" s="169"/>
      <c r="AE317" s="169"/>
      <c r="AF317" s="169"/>
    </row>
    <row r="318" spans="27:32" x14ac:dyDescent="0.2">
      <c r="AA318" s="169"/>
      <c r="AB318" s="169"/>
      <c r="AC318" s="169"/>
      <c r="AD318" s="169"/>
      <c r="AE318" s="169"/>
      <c r="AF318" s="169"/>
    </row>
    <row r="319" spans="27:32" x14ac:dyDescent="0.2">
      <c r="AA319" s="169"/>
      <c r="AB319" s="169"/>
      <c r="AC319" s="169"/>
      <c r="AD319" s="169"/>
      <c r="AE319" s="169"/>
      <c r="AF319" s="169"/>
    </row>
    <row r="320" spans="27:32" x14ac:dyDescent="0.2">
      <c r="AA320" s="169"/>
      <c r="AB320" s="169"/>
      <c r="AC320" s="169"/>
      <c r="AD320" s="169"/>
      <c r="AE320" s="169"/>
      <c r="AF320" s="169"/>
    </row>
    <row r="321" spans="27:32" x14ac:dyDescent="0.2">
      <c r="AA321" s="169"/>
      <c r="AB321" s="169"/>
      <c r="AC321" s="169"/>
      <c r="AD321" s="169"/>
      <c r="AE321" s="169"/>
      <c r="AF321" s="169"/>
    </row>
    <row r="322" spans="27:32" x14ac:dyDescent="0.2">
      <c r="AA322" s="169"/>
      <c r="AB322" s="169"/>
      <c r="AC322" s="169"/>
      <c r="AD322" s="169"/>
      <c r="AE322" s="169"/>
      <c r="AF322" s="169"/>
    </row>
    <row r="323" spans="27:32" x14ac:dyDescent="0.2">
      <c r="AA323" s="169"/>
      <c r="AB323" s="169"/>
      <c r="AC323" s="169"/>
      <c r="AD323" s="169"/>
      <c r="AE323" s="169"/>
      <c r="AF323" s="169"/>
    </row>
    <row r="324" spans="27:32" x14ac:dyDescent="0.2">
      <c r="AA324" s="169"/>
      <c r="AB324" s="169"/>
      <c r="AC324" s="169"/>
      <c r="AD324" s="169"/>
      <c r="AE324" s="169"/>
      <c r="AF324" s="169"/>
    </row>
    <row r="325" spans="27:32" x14ac:dyDescent="0.2">
      <c r="AA325" s="169"/>
      <c r="AB325" s="169"/>
      <c r="AC325" s="169"/>
      <c r="AD325" s="169"/>
      <c r="AE325" s="169"/>
      <c r="AF325" s="169"/>
    </row>
    <row r="326" spans="27:32" x14ac:dyDescent="0.2">
      <c r="AA326" s="169"/>
      <c r="AB326" s="169"/>
      <c r="AC326" s="169"/>
      <c r="AD326" s="169"/>
      <c r="AE326" s="169"/>
      <c r="AF326" s="169"/>
    </row>
    <row r="327" spans="27:32" x14ac:dyDescent="0.2">
      <c r="AA327" s="169"/>
      <c r="AB327" s="169"/>
      <c r="AC327" s="169"/>
      <c r="AD327" s="169"/>
      <c r="AE327" s="169"/>
      <c r="AF327" s="169"/>
    </row>
    <row r="328" spans="27:32" x14ac:dyDescent="0.2">
      <c r="AA328" s="169"/>
      <c r="AB328" s="169"/>
      <c r="AC328" s="169"/>
      <c r="AD328" s="169"/>
      <c r="AE328" s="169"/>
      <c r="AF328" s="169"/>
    </row>
    <row r="329" spans="27:32" x14ac:dyDescent="0.2">
      <c r="AA329" s="169"/>
      <c r="AB329" s="169"/>
      <c r="AC329" s="169"/>
      <c r="AD329" s="169"/>
      <c r="AE329" s="169"/>
      <c r="AF329" s="169"/>
    </row>
    <row r="330" spans="27:32" x14ac:dyDescent="0.2">
      <c r="AA330" s="169"/>
      <c r="AB330" s="169"/>
      <c r="AC330" s="169"/>
      <c r="AD330" s="169"/>
      <c r="AE330" s="169"/>
      <c r="AF330" s="169"/>
    </row>
    <row r="331" spans="27:32" x14ac:dyDescent="0.2">
      <c r="AA331" s="169"/>
      <c r="AB331" s="169"/>
      <c r="AC331" s="169"/>
      <c r="AD331" s="169"/>
      <c r="AE331" s="169"/>
      <c r="AF331" s="169"/>
    </row>
    <row r="332" spans="27:32" x14ac:dyDescent="0.2">
      <c r="AA332" s="169"/>
      <c r="AB332" s="169"/>
      <c r="AC332" s="169"/>
      <c r="AD332" s="169"/>
      <c r="AE332" s="169"/>
      <c r="AF332" s="169"/>
    </row>
    <row r="333" spans="27:32" x14ac:dyDescent="0.2">
      <c r="AA333" s="169"/>
      <c r="AB333" s="169"/>
      <c r="AC333" s="169"/>
      <c r="AD333" s="169"/>
      <c r="AE333" s="169"/>
      <c r="AF333" s="169"/>
    </row>
    <row r="334" spans="27:32" x14ac:dyDescent="0.2">
      <c r="AA334" s="169"/>
      <c r="AB334" s="169"/>
      <c r="AC334" s="169"/>
      <c r="AD334" s="169"/>
      <c r="AE334" s="169"/>
      <c r="AF334" s="169"/>
    </row>
    <row r="335" spans="27:32" x14ac:dyDescent="0.2">
      <c r="AA335" s="169"/>
      <c r="AB335" s="169"/>
      <c r="AC335" s="169"/>
      <c r="AD335" s="169"/>
      <c r="AE335" s="169"/>
      <c r="AF335" s="169"/>
    </row>
    <row r="336" spans="27:32" x14ac:dyDescent="0.2">
      <c r="AA336" s="169"/>
      <c r="AB336" s="169"/>
      <c r="AC336" s="169"/>
      <c r="AD336" s="169"/>
      <c r="AE336" s="169"/>
      <c r="AF336" s="169"/>
    </row>
    <row r="337" spans="27:32" x14ac:dyDescent="0.2">
      <c r="AA337" s="169"/>
      <c r="AB337" s="169"/>
      <c r="AC337" s="169"/>
      <c r="AD337" s="169"/>
      <c r="AE337" s="169"/>
      <c r="AF337" s="169"/>
    </row>
    <row r="338" spans="27:32" x14ac:dyDescent="0.2">
      <c r="AA338" s="169"/>
      <c r="AB338" s="169"/>
      <c r="AC338" s="169"/>
      <c r="AD338" s="169"/>
      <c r="AE338" s="169"/>
      <c r="AF338" s="169"/>
    </row>
    <row r="339" spans="27:32" x14ac:dyDescent="0.2">
      <c r="AA339" s="169"/>
      <c r="AB339" s="169"/>
      <c r="AC339" s="169"/>
      <c r="AD339" s="169"/>
      <c r="AE339" s="169"/>
      <c r="AF339" s="169"/>
    </row>
    <row r="340" spans="27:32" x14ac:dyDescent="0.2">
      <c r="AA340" s="169"/>
      <c r="AB340" s="169"/>
      <c r="AC340" s="169"/>
      <c r="AD340" s="169"/>
      <c r="AE340" s="169"/>
      <c r="AF340" s="169"/>
    </row>
    <row r="341" spans="27:32" x14ac:dyDescent="0.2">
      <c r="AA341" s="169"/>
      <c r="AB341" s="169"/>
      <c r="AC341" s="169"/>
      <c r="AD341" s="169"/>
      <c r="AE341" s="169"/>
      <c r="AF341" s="169"/>
    </row>
    <row r="342" spans="27:32" x14ac:dyDescent="0.2">
      <c r="AA342" s="169"/>
      <c r="AB342" s="169"/>
      <c r="AC342" s="169"/>
      <c r="AD342" s="169"/>
      <c r="AE342" s="169"/>
      <c r="AF342" s="169"/>
    </row>
    <row r="343" spans="27:32" x14ac:dyDescent="0.2">
      <c r="AA343" s="169"/>
      <c r="AB343" s="169"/>
      <c r="AC343" s="169"/>
      <c r="AD343" s="169"/>
      <c r="AE343" s="169"/>
      <c r="AF343" s="169"/>
    </row>
    <row r="344" spans="27:32" x14ac:dyDescent="0.2">
      <c r="AA344" s="169"/>
      <c r="AB344" s="169"/>
      <c r="AC344" s="169"/>
      <c r="AD344" s="169"/>
      <c r="AE344" s="169"/>
      <c r="AF344" s="169"/>
    </row>
    <row r="345" spans="27:32" x14ac:dyDescent="0.2">
      <c r="AA345" s="169"/>
      <c r="AB345" s="169"/>
      <c r="AC345" s="169"/>
      <c r="AD345" s="169"/>
      <c r="AE345" s="169"/>
      <c r="AF345" s="169"/>
    </row>
    <row r="346" spans="27:32" x14ac:dyDescent="0.2">
      <c r="AA346" s="169"/>
      <c r="AB346" s="169"/>
      <c r="AC346" s="169"/>
      <c r="AD346" s="169"/>
      <c r="AE346" s="169"/>
      <c r="AF346" s="169"/>
    </row>
    <row r="347" spans="27:32" x14ac:dyDescent="0.2">
      <c r="AA347" s="169"/>
      <c r="AB347" s="169"/>
      <c r="AC347" s="169"/>
      <c r="AD347" s="169"/>
      <c r="AE347" s="169"/>
      <c r="AF347" s="169"/>
    </row>
    <row r="348" spans="27:32" x14ac:dyDescent="0.2">
      <c r="AA348" s="169"/>
      <c r="AB348" s="169"/>
      <c r="AC348" s="169"/>
      <c r="AD348" s="169"/>
      <c r="AE348" s="169"/>
      <c r="AF348" s="169"/>
    </row>
    <row r="349" spans="27:32" x14ac:dyDescent="0.2">
      <c r="AA349" s="169"/>
      <c r="AB349" s="169"/>
      <c r="AC349" s="169"/>
      <c r="AD349" s="169"/>
      <c r="AE349" s="169"/>
      <c r="AF349" s="169"/>
    </row>
    <row r="350" spans="27:32" x14ac:dyDescent="0.2">
      <c r="AA350" s="169"/>
      <c r="AB350" s="169"/>
      <c r="AC350" s="169"/>
      <c r="AD350" s="169"/>
      <c r="AE350" s="169"/>
      <c r="AF350" s="169"/>
    </row>
    <row r="351" spans="27:32" x14ac:dyDescent="0.2">
      <c r="AA351" s="169"/>
      <c r="AB351" s="169"/>
      <c r="AC351" s="169"/>
      <c r="AD351" s="169"/>
      <c r="AE351" s="169"/>
      <c r="AF351" s="169"/>
    </row>
    <row r="352" spans="27:32" x14ac:dyDescent="0.2">
      <c r="AA352" s="169"/>
      <c r="AB352" s="169"/>
      <c r="AC352" s="169"/>
      <c r="AD352" s="169"/>
      <c r="AE352" s="169"/>
      <c r="AF352" s="169"/>
    </row>
    <row r="353" spans="27:32" x14ac:dyDescent="0.2">
      <c r="AA353" s="169"/>
      <c r="AB353" s="169"/>
      <c r="AC353" s="169"/>
      <c r="AD353" s="169"/>
      <c r="AE353" s="169"/>
      <c r="AF353" s="169"/>
    </row>
    <row r="354" spans="27:32" x14ac:dyDescent="0.2">
      <c r="AA354" s="169"/>
      <c r="AB354" s="169"/>
      <c r="AC354" s="169"/>
      <c r="AD354" s="169"/>
      <c r="AE354" s="169"/>
      <c r="AF354" s="169"/>
    </row>
    <row r="355" spans="27:32" x14ac:dyDescent="0.2">
      <c r="AA355" s="169"/>
      <c r="AB355" s="169"/>
      <c r="AC355" s="169"/>
      <c r="AD355" s="169"/>
      <c r="AE355" s="169"/>
      <c r="AF355" s="169"/>
    </row>
    <row r="356" spans="27:32" x14ac:dyDescent="0.2">
      <c r="AA356" s="169"/>
      <c r="AB356" s="169"/>
      <c r="AC356" s="169"/>
      <c r="AD356" s="169"/>
      <c r="AE356" s="169"/>
      <c r="AF356" s="169"/>
    </row>
    <row r="357" spans="27:32" x14ac:dyDescent="0.2">
      <c r="AA357" s="169"/>
      <c r="AB357" s="169"/>
      <c r="AC357" s="169"/>
      <c r="AD357" s="169"/>
      <c r="AE357" s="169"/>
      <c r="AF357" s="169"/>
    </row>
    <row r="358" spans="27:32" x14ac:dyDescent="0.2">
      <c r="AA358" s="169"/>
      <c r="AB358" s="169"/>
      <c r="AC358" s="169"/>
      <c r="AD358" s="169"/>
      <c r="AE358" s="169"/>
      <c r="AF358" s="169"/>
    </row>
    <row r="359" spans="27:32" x14ac:dyDescent="0.2">
      <c r="AA359" s="169"/>
      <c r="AB359" s="169"/>
      <c r="AC359" s="169"/>
      <c r="AD359" s="169"/>
      <c r="AE359" s="169"/>
      <c r="AF359" s="169"/>
    </row>
    <row r="360" spans="27:32" x14ac:dyDescent="0.2">
      <c r="AA360" s="169"/>
      <c r="AB360" s="169"/>
      <c r="AC360" s="169"/>
      <c r="AD360" s="169"/>
      <c r="AE360" s="169"/>
      <c r="AF360" s="169"/>
    </row>
    <row r="361" spans="27:32" x14ac:dyDescent="0.2">
      <c r="AA361" s="169"/>
      <c r="AB361" s="169"/>
      <c r="AC361" s="169"/>
      <c r="AD361" s="169"/>
      <c r="AE361" s="169"/>
      <c r="AF361" s="169"/>
    </row>
    <row r="362" spans="27:32" x14ac:dyDescent="0.2">
      <c r="AA362" s="169"/>
      <c r="AB362" s="169"/>
      <c r="AC362" s="169"/>
      <c r="AD362" s="169"/>
      <c r="AE362" s="169"/>
      <c r="AF362" s="169"/>
    </row>
    <row r="363" spans="27:32" x14ac:dyDescent="0.2">
      <c r="AA363" s="169"/>
      <c r="AB363" s="169"/>
      <c r="AC363" s="169"/>
      <c r="AD363" s="169"/>
      <c r="AE363" s="169"/>
      <c r="AF363" s="169"/>
    </row>
    <row r="364" spans="27:32" x14ac:dyDescent="0.2">
      <c r="AA364" s="169"/>
      <c r="AB364" s="169"/>
      <c r="AC364" s="169"/>
      <c r="AD364" s="169"/>
      <c r="AE364" s="169"/>
      <c r="AF364" s="169"/>
    </row>
  </sheetData>
  <mergeCells count="18">
    <mergeCell ref="AL14:AO14"/>
    <mergeCell ref="AP14:AS14"/>
    <mergeCell ref="B1:AC2"/>
    <mergeCell ref="B3:AC4"/>
    <mergeCell ref="B5:AC5"/>
    <mergeCell ref="B6:AC6"/>
    <mergeCell ref="B7:AC7"/>
    <mergeCell ref="B8:AC8"/>
    <mergeCell ref="B166:I166"/>
    <mergeCell ref="B9:AC10"/>
    <mergeCell ref="Z14:AC14"/>
    <mergeCell ref="AD14:AG14"/>
    <mergeCell ref="AH14:AK14"/>
    <mergeCell ref="AT14:AW14"/>
    <mergeCell ref="AX14:BA14"/>
    <mergeCell ref="BB14:BE14"/>
    <mergeCell ref="BF14:BI14"/>
    <mergeCell ref="BJ14:BK14"/>
  </mergeCells>
  <conditionalFormatting sqref="D163:D164 D49:D52">
    <cfRule type="duplicateValues" dxfId="91" priority="45"/>
  </conditionalFormatting>
  <conditionalFormatting sqref="D49:D52">
    <cfRule type="duplicateValues" dxfId="90" priority="46"/>
  </conditionalFormatting>
  <conditionalFormatting sqref="D165">
    <cfRule type="duplicateValues" dxfId="89" priority="47"/>
  </conditionalFormatting>
  <conditionalFormatting sqref="D48">
    <cfRule type="duplicateValues" dxfId="88" priority="43" stopIfTrue="1"/>
  </conditionalFormatting>
  <conditionalFormatting sqref="D45">
    <cfRule type="duplicateValues" dxfId="87" priority="38" stopIfTrue="1"/>
  </conditionalFormatting>
  <conditionalFormatting sqref="D30">
    <cfRule type="duplicateValues" dxfId="86" priority="37" stopIfTrue="1"/>
  </conditionalFormatting>
  <conditionalFormatting sqref="D40">
    <cfRule type="duplicateValues" dxfId="85" priority="36" stopIfTrue="1"/>
  </conditionalFormatting>
  <conditionalFormatting sqref="D47">
    <cfRule type="duplicateValues" dxfId="84" priority="39" stopIfTrue="1"/>
  </conditionalFormatting>
  <conditionalFormatting sqref="D31">
    <cfRule type="duplicateValues" dxfId="83" priority="40" stopIfTrue="1"/>
  </conditionalFormatting>
  <conditionalFormatting sqref="D42 D44">
    <cfRule type="duplicateValues" dxfId="82" priority="35" stopIfTrue="1"/>
  </conditionalFormatting>
  <conditionalFormatting sqref="D43">
    <cfRule type="duplicateValues" dxfId="81" priority="41" stopIfTrue="1"/>
  </conditionalFormatting>
  <conditionalFormatting sqref="D36">
    <cfRule type="duplicateValues" dxfId="80" priority="28" stopIfTrue="1"/>
  </conditionalFormatting>
  <conditionalFormatting sqref="D41">
    <cfRule type="duplicateValues" dxfId="79" priority="29" stopIfTrue="1"/>
  </conditionalFormatting>
  <conditionalFormatting sqref="D35">
    <cfRule type="duplicateValues" dxfId="78" priority="26" stopIfTrue="1"/>
  </conditionalFormatting>
  <conditionalFormatting sqref="D18">
    <cfRule type="duplicateValues" dxfId="77" priority="27" stopIfTrue="1"/>
  </conditionalFormatting>
  <conditionalFormatting sqref="D19">
    <cfRule type="duplicateValues" dxfId="76" priority="25" stopIfTrue="1"/>
  </conditionalFormatting>
  <conditionalFormatting sqref="D16:D17">
    <cfRule type="duplicateValues" dxfId="75" priority="30" stopIfTrue="1"/>
  </conditionalFormatting>
  <conditionalFormatting sqref="D23">
    <cfRule type="duplicateValues" dxfId="74" priority="31" stopIfTrue="1"/>
  </conditionalFormatting>
  <conditionalFormatting sqref="D38">
    <cfRule type="duplicateValues" dxfId="73" priority="32" stopIfTrue="1"/>
  </conditionalFormatting>
  <conditionalFormatting sqref="D28 D25">
    <cfRule type="duplicateValues" dxfId="72" priority="24" stopIfTrue="1"/>
  </conditionalFormatting>
  <conditionalFormatting sqref="D27">
    <cfRule type="duplicateValues" dxfId="71" priority="33" stopIfTrue="1"/>
  </conditionalFormatting>
  <conditionalFormatting sqref="D39 D37 D33">
    <cfRule type="duplicateValues" dxfId="70" priority="23" stopIfTrue="1"/>
  </conditionalFormatting>
  <conditionalFormatting sqref="D46">
    <cfRule type="duplicateValues" dxfId="69" priority="34" stopIfTrue="1"/>
  </conditionalFormatting>
  <conditionalFormatting sqref="D34">
    <cfRule type="duplicateValues" dxfId="68" priority="22" stopIfTrue="1"/>
  </conditionalFormatting>
  <conditionalFormatting sqref="D29">
    <cfRule type="duplicateValues" dxfId="67" priority="42" stopIfTrue="1"/>
  </conditionalFormatting>
  <conditionalFormatting sqref="D21:D22 D26 D24">
    <cfRule type="duplicateValues" dxfId="66" priority="44" stopIfTrue="1"/>
  </conditionalFormatting>
  <conditionalFormatting sqref="D60">
    <cfRule type="duplicateValues" dxfId="65" priority="20" stopIfTrue="1"/>
  </conditionalFormatting>
  <conditionalFormatting sqref="D53">
    <cfRule type="duplicateValues" dxfId="64" priority="19" stopIfTrue="1"/>
  </conditionalFormatting>
  <conditionalFormatting sqref="D58">
    <cfRule type="duplicateValues" dxfId="63" priority="17" stopIfTrue="1"/>
  </conditionalFormatting>
  <conditionalFormatting sqref="D61">
    <cfRule type="duplicateValues" dxfId="62" priority="18" stopIfTrue="1"/>
  </conditionalFormatting>
  <conditionalFormatting sqref="D57">
    <cfRule type="duplicateValues" dxfId="61" priority="16" stopIfTrue="1"/>
  </conditionalFormatting>
  <conditionalFormatting sqref="D59">
    <cfRule type="duplicateValues" dxfId="60" priority="15" stopIfTrue="1"/>
  </conditionalFormatting>
  <conditionalFormatting sqref="D56">
    <cfRule type="duplicateValues" dxfId="59" priority="14" stopIfTrue="1"/>
  </conditionalFormatting>
  <conditionalFormatting sqref="D54">
    <cfRule type="duplicateValues" dxfId="58" priority="21" stopIfTrue="1"/>
  </conditionalFormatting>
  <conditionalFormatting sqref="D63">
    <cfRule type="duplicateValues" dxfId="57" priority="13" stopIfTrue="1"/>
  </conditionalFormatting>
  <conditionalFormatting sqref="D62">
    <cfRule type="duplicateValues" dxfId="56" priority="12" stopIfTrue="1"/>
  </conditionalFormatting>
  <conditionalFormatting sqref="D64">
    <cfRule type="duplicateValues" dxfId="55" priority="11" stopIfTrue="1"/>
  </conditionalFormatting>
  <conditionalFormatting sqref="D66">
    <cfRule type="duplicateValues" dxfId="54" priority="10" stopIfTrue="1"/>
  </conditionalFormatting>
  <conditionalFormatting sqref="D65">
    <cfRule type="duplicateValues" dxfId="53" priority="9" stopIfTrue="1"/>
  </conditionalFormatting>
  <conditionalFormatting sqref="D68">
    <cfRule type="duplicateValues" dxfId="52" priority="8" stopIfTrue="1"/>
  </conditionalFormatting>
  <conditionalFormatting sqref="D67">
    <cfRule type="duplicateValues" dxfId="51" priority="7" stopIfTrue="1"/>
  </conditionalFormatting>
  <conditionalFormatting sqref="D69">
    <cfRule type="duplicateValues" dxfId="50" priority="6" stopIfTrue="1"/>
  </conditionalFormatting>
  <conditionalFormatting sqref="D70">
    <cfRule type="duplicateValues" dxfId="49" priority="5" stopIfTrue="1"/>
  </conditionalFormatting>
  <conditionalFormatting sqref="D71">
    <cfRule type="duplicateValues" dxfId="48" priority="4" stopIfTrue="1"/>
  </conditionalFormatting>
  <conditionalFormatting sqref="D72">
    <cfRule type="duplicateValues" dxfId="47" priority="3" stopIfTrue="1"/>
  </conditionalFormatting>
  <conditionalFormatting sqref="D74:D140">
    <cfRule type="duplicateValues" dxfId="46" priority="2" stopIfTrue="1"/>
  </conditionalFormatting>
  <conditionalFormatting sqref="D141">
    <cfRule type="duplicateValues" dxfId="45" priority="1" stopIfTrue="1"/>
  </conditionalFormatting>
  <conditionalFormatting sqref="D142:D151 D156:D162">
    <cfRule type="duplicateValues" dxfId="44" priority="48" stopIfTrue="1"/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rgb="FF00B050"/>
  </sheetPr>
  <dimension ref="A1:OW2496"/>
  <sheetViews>
    <sheetView topLeftCell="I9" workbookViewId="0">
      <selection activeCell="R15" sqref="A15:XFD15"/>
    </sheetView>
  </sheetViews>
  <sheetFormatPr baseColWidth="10" defaultRowHeight="12" x14ac:dyDescent="0.2"/>
  <cols>
    <col min="1" max="1" width="5" style="290" customWidth="1"/>
    <col min="2" max="2" width="10.140625" style="243" customWidth="1"/>
    <col min="3" max="3" width="9.85546875" style="230" customWidth="1"/>
    <col min="4" max="5" width="11.42578125" style="243" customWidth="1"/>
    <col min="6" max="6" width="57.85546875" style="230" customWidth="1"/>
    <col min="7" max="7" width="13.140625" style="230" customWidth="1"/>
    <col min="8" max="8" width="11.5703125" style="230" customWidth="1"/>
    <col min="9" max="9" width="18.85546875" style="230" customWidth="1"/>
    <col min="10" max="10" width="9.7109375" style="230" customWidth="1"/>
    <col min="11" max="11" width="15.85546875" style="244" customWidth="1"/>
    <col min="12" max="13" width="12" style="244" customWidth="1"/>
    <col min="14" max="14" width="12.140625" style="230" customWidth="1"/>
    <col min="15" max="15" width="13.85546875" style="230" customWidth="1"/>
    <col min="16" max="16" width="12.5703125" style="230" customWidth="1"/>
    <col min="17" max="19" width="13" style="230" customWidth="1"/>
    <col min="20" max="25" width="12" style="230" customWidth="1"/>
    <col min="26" max="26" width="13.140625" style="230" customWidth="1"/>
    <col min="27" max="27" width="15.5703125" style="230" customWidth="1"/>
    <col min="28" max="28" width="11.7109375" style="237" customWidth="1"/>
    <col min="29" max="29" width="14.7109375" style="236" customWidth="1"/>
    <col min="30" max="30" width="10.140625" style="230" customWidth="1"/>
    <col min="31" max="31" width="14" style="230" customWidth="1"/>
    <col min="32" max="32" width="10.140625" style="235" customWidth="1"/>
    <col min="33" max="33" width="10.140625" style="236" customWidth="1"/>
    <col min="34" max="35" width="10.140625" style="230" customWidth="1"/>
    <col min="36" max="36" width="10.140625" style="237" customWidth="1"/>
    <col min="37" max="37" width="10.140625" style="236" customWidth="1"/>
    <col min="38" max="39" width="10.140625" style="230" customWidth="1"/>
    <col min="40" max="40" width="10.140625" style="237" customWidth="1"/>
    <col min="41" max="43" width="10.140625" style="230" customWidth="1"/>
    <col min="44" max="44" width="10.140625" style="237" customWidth="1"/>
    <col min="45" max="46" width="10.140625" style="230" customWidth="1"/>
    <col min="47" max="47" width="11.42578125" style="230" customWidth="1"/>
    <col min="48" max="48" width="12.5703125" style="230" bestFit="1" customWidth="1"/>
    <col min="49" max="413" width="11.42578125" style="290"/>
    <col min="414" max="16384" width="11.42578125" style="230"/>
  </cols>
  <sheetData>
    <row r="1" spans="1:413" hidden="1" x14ac:dyDescent="0.2">
      <c r="B1" s="772"/>
      <c r="C1" s="772"/>
      <c r="D1" s="773"/>
      <c r="E1" s="773"/>
      <c r="F1" s="773"/>
      <c r="G1" s="773"/>
      <c r="H1" s="773"/>
      <c r="I1" s="773"/>
      <c r="J1" s="773"/>
      <c r="K1" s="773"/>
      <c r="L1" s="773"/>
      <c r="M1" s="773"/>
      <c r="N1" s="773"/>
      <c r="O1" s="773"/>
      <c r="P1" s="773"/>
      <c r="Q1" s="773"/>
      <c r="R1" s="773"/>
      <c r="S1" s="773"/>
      <c r="T1" s="773"/>
      <c r="U1" s="773"/>
      <c r="V1" s="773"/>
      <c r="W1" s="773"/>
      <c r="X1" s="773"/>
      <c r="Y1" s="773"/>
      <c r="Z1" s="773"/>
      <c r="AA1" s="773"/>
      <c r="AB1" s="773"/>
      <c r="AC1" s="773"/>
      <c r="AD1" s="773"/>
      <c r="AE1" s="226"/>
      <c r="AF1" s="227"/>
      <c r="AG1" s="228"/>
      <c r="AH1" s="226"/>
      <c r="AI1" s="226"/>
      <c r="AJ1" s="229"/>
      <c r="AK1" s="228"/>
      <c r="AL1" s="226"/>
      <c r="AM1" s="226"/>
      <c r="AN1" s="229"/>
      <c r="AO1" s="226"/>
      <c r="AP1" s="226"/>
      <c r="AQ1" s="226"/>
      <c r="AR1" s="229"/>
      <c r="AS1" s="226"/>
      <c r="AT1" s="226"/>
    </row>
    <row r="2" spans="1:413" hidden="1" x14ac:dyDescent="0.2">
      <c r="B2" s="773"/>
      <c r="C2" s="773"/>
      <c r="D2" s="773"/>
      <c r="E2" s="773"/>
      <c r="F2" s="773"/>
      <c r="G2" s="773"/>
      <c r="H2" s="773"/>
      <c r="I2" s="773"/>
      <c r="J2" s="773"/>
      <c r="K2" s="773"/>
      <c r="L2" s="773"/>
      <c r="M2" s="773"/>
      <c r="N2" s="773"/>
      <c r="O2" s="773"/>
      <c r="P2" s="773"/>
      <c r="Q2" s="773"/>
      <c r="R2" s="773"/>
      <c r="S2" s="773"/>
      <c r="T2" s="773"/>
      <c r="U2" s="773"/>
      <c r="V2" s="773"/>
      <c r="W2" s="773"/>
      <c r="X2" s="773"/>
      <c r="Y2" s="773"/>
      <c r="Z2" s="773"/>
      <c r="AA2" s="773"/>
      <c r="AB2" s="773"/>
      <c r="AC2" s="773"/>
      <c r="AD2" s="773"/>
      <c r="AE2" s="226"/>
      <c r="AF2" s="227"/>
      <c r="AG2" s="228"/>
      <c r="AH2" s="226"/>
      <c r="AI2" s="226"/>
      <c r="AJ2" s="229"/>
      <c r="AK2" s="228"/>
      <c r="AL2" s="226"/>
      <c r="AM2" s="226"/>
      <c r="AN2" s="229"/>
      <c r="AO2" s="226"/>
      <c r="AP2" s="226"/>
      <c r="AQ2" s="226"/>
      <c r="AR2" s="229"/>
      <c r="AS2" s="226"/>
      <c r="AT2" s="226"/>
    </row>
    <row r="3" spans="1:413" ht="12.75" hidden="1" customHeight="1" x14ac:dyDescent="0.2">
      <c r="B3" s="771"/>
      <c r="C3" s="771"/>
      <c r="D3" s="771"/>
      <c r="E3" s="771"/>
      <c r="F3" s="771"/>
      <c r="G3" s="771"/>
      <c r="H3" s="771"/>
      <c r="I3" s="771"/>
      <c r="J3" s="771"/>
      <c r="K3" s="771"/>
      <c r="L3" s="771"/>
      <c r="M3" s="771"/>
      <c r="N3" s="771"/>
      <c r="O3" s="771"/>
      <c r="P3" s="771"/>
      <c r="Q3" s="771"/>
      <c r="R3" s="771"/>
      <c r="S3" s="771"/>
      <c r="T3" s="771"/>
      <c r="U3" s="771"/>
      <c r="V3" s="771"/>
      <c r="W3" s="771"/>
      <c r="X3" s="771"/>
      <c r="Y3" s="771"/>
      <c r="Z3" s="771"/>
      <c r="AA3" s="771"/>
      <c r="AB3" s="771"/>
      <c r="AC3" s="771"/>
      <c r="AD3" s="771"/>
      <c r="AE3" s="231"/>
      <c r="AF3" s="232"/>
      <c r="AG3" s="233"/>
      <c r="AH3" s="231"/>
      <c r="AI3" s="231"/>
      <c r="AJ3" s="234"/>
      <c r="AK3" s="233"/>
      <c r="AL3" s="231"/>
      <c r="AM3" s="231"/>
      <c r="AN3" s="234"/>
      <c r="AO3" s="231"/>
      <c r="AP3" s="231"/>
      <c r="AQ3" s="231"/>
      <c r="AR3" s="234"/>
      <c r="AS3" s="231"/>
      <c r="AT3" s="231"/>
    </row>
    <row r="4" spans="1:413" ht="21.75" hidden="1" customHeight="1" x14ac:dyDescent="0.2">
      <c r="B4" s="771"/>
      <c r="C4" s="771"/>
      <c r="D4" s="771"/>
      <c r="E4" s="771"/>
      <c r="F4" s="771"/>
      <c r="G4" s="771"/>
      <c r="H4" s="771"/>
      <c r="I4" s="771"/>
      <c r="J4" s="771"/>
      <c r="K4" s="771"/>
      <c r="L4" s="771"/>
      <c r="M4" s="771"/>
      <c r="N4" s="771"/>
      <c r="O4" s="771"/>
      <c r="P4" s="771"/>
      <c r="Q4" s="771"/>
      <c r="R4" s="771"/>
      <c r="S4" s="771"/>
      <c r="T4" s="771"/>
      <c r="U4" s="771"/>
      <c r="V4" s="771"/>
      <c r="W4" s="771"/>
      <c r="X4" s="771"/>
      <c r="Y4" s="771"/>
      <c r="Z4" s="771"/>
      <c r="AA4" s="771"/>
      <c r="AB4" s="771"/>
      <c r="AC4" s="771"/>
      <c r="AD4" s="771"/>
      <c r="AE4" s="231"/>
      <c r="AF4" s="232"/>
      <c r="AG4" s="233"/>
      <c r="AH4" s="231"/>
      <c r="AI4" s="231"/>
      <c r="AJ4" s="234"/>
      <c r="AK4" s="233"/>
      <c r="AL4" s="231"/>
      <c r="AM4" s="231"/>
      <c r="AN4" s="234"/>
      <c r="AO4" s="231"/>
      <c r="AP4" s="231"/>
      <c r="AQ4" s="231"/>
      <c r="AR4" s="234"/>
      <c r="AS4" s="231"/>
      <c r="AT4" s="231"/>
    </row>
    <row r="5" spans="1:413" ht="11.25" hidden="1" customHeight="1" x14ac:dyDescent="0.2">
      <c r="B5" s="771"/>
      <c r="C5" s="771"/>
      <c r="D5" s="771"/>
      <c r="E5" s="771"/>
      <c r="F5" s="771"/>
      <c r="G5" s="771"/>
      <c r="H5" s="771"/>
      <c r="I5" s="771"/>
      <c r="J5" s="771"/>
      <c r="K5" s="771"/>
      <c r="L5" s="771"/>
      <c r="M5" s="771"/>
      <c r="N5" s="771"/>
      <c r="O5" s="771"/>
      <c r="P5" s="771"/>
      <c r="Q5" s="771"/>
      <c r="R5" s="771"/>
      <c r="S5" s="771"/>
      <c r="T5" s="771"/>
      <c r="U5" s="771"/>
      <c r="V5" s="771"/>
      <c r="W5" s="771"/>
      <c r="X5" s="771"/>
      <c r="Y5" s="771"/>
      <c r="Z5" s="771"/>
      <c r="AA5" s="771"/>
      <c r="AB5" s="771"/>
      <c r="AC5" s="771"/>
      <c r="AD5" s="771"/>
      <c r="AE5" s="231"/>
      <c r="AF5" s="232"/>
      <c r="AG5" s="233"/>
      <c r="AH5" s="231"/>
      <c r="AI5" s="231"/>
      <c r="AJ5" s="234"/>
      <c r="AK5" s="233"/>
      <c r="AL5" s="231"/>
      <c r="AM5" s="231"/>
      <c r="AN5" s="234"/>
      <c r="AO5" s="231"/>
      <c r="AP5" s="231"/>
      <c r="AQ5" s="231"/>
      <c r="AR5" s="234"/>
      <c r="AS5" s="231"/>
      <c r="AT5" s="231"/>
    </row>
    <row r="6" spans="1:413" ht="15" hidden="1" customHeight="1" x14ac:dyDescent="0.2">
      <c r="B6" s="771"/>
      <c r="C6" s="771"/>
      <c r="D6" s="771"/>
      <c r="E6" s="771"/>
      <c r="F6" s="771"/>
      <c r="G6" s="771"/>
      <c r="H6" s="771"/>
      <c r="I6" s="771"/>
      <c r="J6" s="771"/>
      <c r="K6" s="771"/>
      <c r="L6" s="771"/>
      <c r="M6" s="771"/>
      <c r="N6" s="771"/>
      <c r="O6" s="771"/>
      <c r="P6" s="771"/>
      <c r="Q6" s="771"/>
      <c r="R6" s="771"/>
      <c r="S6" s="771"/>
      <c r="T6" s="771"/>
      <c r="U6" s="771"/>
      <c r="V6" s="771"/>
      <c r="W6" s="771"/>
      <c r="X6" s="771"/>
      <c r="Y6" s="771"/>
      <c r="Z6" s="771"/>
      <c r="AA6" s="771"/>
      <c r="AB6" s="771"/>
      <c r="AC6" s="771"/>
      <c r="AD6" s="771"/>
      <c r="AE6" s="231"/>
      <c r="AF6" s="232"/>
      <c r="AG6" s="233"/>
      <c r="AH6" s="231"/>
      <c r="AI6" s="231"/>
      <c r="AJ6" s="234"/>
      <c r="AK6" s="233"/>
      <c r="AL6" s="231"/>
      <c r="AM6" s="231"/>
      <c r="AN6" s="234"/>
      <c r="AO6" s="231"/>
      <c r="AP6" s="231"/>
      <c r="AQ6" s="231"/>
      <c r="AR6" s="234"/>
      <c r="AS6" s="231"/>
      <c r="AT6" s="231"/>
    </row>
    <row r="7" spans="1:413" ht="21" hidden="1" customHeight="1" x14ac:dyDescent="0.2">
      <c r="B7" s="771"/>
      <c r="C7" s="771"/>
      <c r="D7" s="771"/>
      <c r="E7" s="771"/>
      <c r="F7" s="771"/>
      <c r="G7" s="771"/>
      <c r="H7" s="771"/>
      <c r="I7" s="771"/>
      <c r="J7" s="771"/>
      <c r="K7" s="771"/>
      <c r="L7" s="771"/>
      <c r="M7" s="771"/>
      <c r="N7" s="771"/>
      <c r="O7" s="771"/>
      <c r="P7" s="771"/>
      <c r="Q7" s="771"/>
      <c r="R7" s="771"/>
      <c r="S7" s="771"/>
      <c r="T7" s="771"/>
      <c r="U7" s="771"/>
      <c r="V7" s="771"/>
      <c r="W7" s="771"/>
      <c r="X7" s="771"/>
      <c r="Y7" s="771"/>
      <c r="Z7" s="771"/>
      <c r="AA7" s="771"/>
      <c r="AB7" s="771"/>
      <c r="AC7" s="771"/>
      <c r="AD7" s="771"/>
      <c r="AE7" s="231"/>
      <c r="AF7" s="232"/>
      <c r="AG7" s="233"/>
      <c r="AH7" s="231"/>
      <c r="AI7" s="231"/>
      <c r="AJ7" s="234"/>
      <c r="AK7" s="233"/>
      <c r="AL7" s="231"/>
      <c r="AM7" s="231"/>
      <c r="AN7" s="234"/>
      <c r="AO7" s="231"/>
      <c r="AP7" s="231"/>
      <c r="AQ7" s="231"/>
      <c r="AR7" s="234"/>
      <c r="AS7" s="231"/>
      <c r="AT7" s="231"/>
    </row>
    <row r="8" spans="1:413" ht="16.5" hidden="1" customHeight="1" x14ac:dyDescent="0.2">
      <c r="B8" s="771"/>
      <c r="C8" s="771"/>
      <c r="D8" s="771"/>
      <c r="E8" s="771"/>
      <c r="F8" s="771"/>
      <c r="G8" s="771"/>
      <c r="H8" s="771"/>
      <c r="I8" s="771"/>
      <c r="J8" s="771"/>
      <c r="K8" s="771"/>
      <c r="L8" s="771"/>
      <c r="M8" s="771"/>
      <c r="N8" s="771"/>
      <c r="O8" s="771"/>
      <c r="P8" s="771"/>
      <c r="Q8" s="771"/>
      <c r="R8" s="771"/>
      <c r="S8" s="771"/>
      <c r="T8" s="771"/>
      <c r="U8" s="771"/>
      <c r="V8" s="771"/>
      <c r="W8" s="771"/>
      <c r="X8" s="771"/>
      <c r="Y8" s="771"/>
      <c r="Z8" s="771"/>
      <c r="AA8" s="771"/>
      <c r="AB8" s="771"/>
      <c r="AC8" s="771"/>
      <c r="AD8" s="771"/>
      <c r="AE8" s="231"/>
      <c r="AF8" s="232"/>
      <c r="AG8" s="233"/>
      <c r="AH8" s="231"/>
      <c r="AI8" s="231"/>
      <c r="AJ8" s="234"/>
      <c r="AK8" s="233"/>
      <c r="AL8" s="231"/>
      <c r="AM8" s="231"/>
      <c r="AN8" s="234"/>
      <c r="AO8" s="231"/>
      <c r="AP8" s="231"/>
      <c r="AQ8" s="231"/>
      <c r="AR8" s="234"/>
      <c r="AS8" s="231"/>
      <c r="AT8" s="231"/>
    </row>
    <row r="9" spans="1:413" s="290" customFormat="1" ht="18.75" customHeight="1" x14ac:dyDescent="0.2">
      <c r="B9" s="751" t="s">
        <v>0</v>
      </c>
      <c r="C9" s="751"/>
      <c r="D9" s="751"/>
      <c r="E9" s="751"/>
      <c r="F9" s="751"/>
      <c r="G9" s="751"/>
      <c r="H9" s="751"/>
      <c r="I9" s="751"/>
      <c r="J9" s="751"/>
      <c r="K9" s="762"/>
      <c r="L9" s="762"/>
      <c r="M9" s="762"/>
      <c r="N9" s="751"/>
      <c r="O9" s="751"/>
      <c r="P9" s="751"/>
      <c r="Q9" s="751"/>
      <c r="R9" s="751"/>
      <c r="S9" s="751"/>
      <c r="T9" s="751"/>
      <c r="U9" s="751"/>
      <c r="V9" s="751"/>
      <c r="W9" s="751"/>
      <c r="X9" s="751"/>
      <c r="Y9" s="751"/>
      <c r="Z9" s="751"/>
      <c r="AA9" s="751"/>
      <c r="AB9" s="751"/>
      <c r="AC9" s="763"/>
      <c r="AD9" s="751"/>
      <c r="AE9" s="292"/>
      <c r="AF9" s="293"/>
      <c r="AG9" s="294"/>
      <c r="AH9" s="292"/>
      <c r="AI9" s="292"/>
      <c r="AJ9" s="295"/>
      <c r="AK9" s="294"/>
      <c r="AL9" s="292"/>
      <c r="AM9" s="292"/>
      <c r="AN9" s="295"/>
      <c r="AO9" s="292"/>
      <c r="AP9" s="292"/>
      <c r="AQ9" s="292"/>
      <c r="AR9" s="295"/>
      <c r="AS9" s="292"/>
      <c r="AT9" s="292"/>
    </row>
    <row r="10" spans="1:413" s="290" customFormat="1" x14ac:dyDescent="0.2">
      <c r="B10" s="751"/>
      <c r="C10" s="751"/>
      <c r="D10" s="751"/>
      <c r="E10" s="751"/>
      <c r="F10" s="751"/>
      <c r="G10" s="751"/>
      <c r="H10" s="751"/>
      <c r="I10" s="751"/>
      <c r="J10" s="751"/>
      <c r="K10" s="762"/>
      <c r="L10" s="762"/>
      <c r="M10" s="762"/>
      <c r="N10" s="751"/>
      <c r="O10" s="751"/>
      <c r="P10" s="751"/>
      <c r="Q10" s="751"/>
      <c r="R10" s="751"/>
      <c r="S10" s="751"/>
      <c r="T10" s="751"/>
      <c r="U10" s="751"/>
      <c r="V10" s="751"/>
      <c r="W10" s="751"/>
      <c r="X10" s="751"/>
      <c r="Y10" s="751"/>
      <c r="Z10" s="751"/>
      <c r="AA10" s="751"/>
      <c r="AB10" s="751"/>
      <c r="AC10" s="763"/>
      <c r="AD10" s="751"/>
      <c r="AF10" s="296"/>
      <c r="AG10" s="297"/>
      <c r="AJ10" s="298"/>
      <c r="AK10" s="297"/>
      <c r="AN10" s="298"/>
      <c r="AR10" s="298"/>
    </row>
    <row r="11" spans="1:413" s="290" customFormat="1" x14ac:dyDescent="0.2">
      <c r="B11" s="299"/>
      <c r="C11" s="299"/>
      <c r="D11" s="299"/>
      <c r="E11" s="299"/>
      <c r="F11" s="299"/>
      <c r="G11" s="299"/>
      <c r="H11" s="299"/>
      <c r="I11" s="299"/>
      <c r="J11" s="299"/>
      <c r="K11" s="300"/>
      <c r="L11" s="300"/>
      <c r="M11" s="300"/>
      <c r="N11" s="299"/>
      <c r="O11" s="299"/>
      <c r="P11" s="299"/>
      <c r="Q11" s="299"/>
      <c r="R11" s="299"/>
      <c r="S11" s="299"/>
      <c r="T11" s="299"/>
      <c r="U11" s="299"/>
      <c r="V11" s="299"/>
      <c r="W11" s="299"/>
      <c r="X11" s="299"/>
      <c r="Y11" s="299"/>
      <c r="Z11" s="299"/>
      <c r="AA11" s="299"/>
      <c r="AB11" s="299"/>
      <c r="AC11" s="301"/>
      <c r="AD11" s="299"/>
      <c r="AF11" s="296"/>
      <c r="AG11" s="297"/>
      <c r="AJ11" s="298"/>
      <c r="AK11" s="297"/>
      <c r="AN11" s="298"/>
      <c r="AR11" s="298"/>
    </row>
    <row r="12" spans="1:413" ht="24" x14ac:dyDescent="0.2">
      <c r="B12" s="238" t="s">
        <v>1</v>
      </c>
      <c r="C12" s="238" t="s">
        <v>2</v>
      </c>
      <c r="D12" s="239" t="s">
        <v>3</v>
      </c>
      <c r="E12" s="239"/>
      <c r="F12" s="240" t="s">
        <v>4</v>
      </c>
      <c r="G12" s="241"/>
      <c r="H12" s="299"/>
      <c r="I12" s="299"/>
      <c r="J12" s="299"/>
      <c r="K12" s="300"/>
      <c r="L12" s="300"/>
      <c r="M12" s="300"/>
      <c r="N12" s="299"/>
      <c r="O12" s="299"/>
      <c r="P12" s="299"/>
      <c r="Q12" s="299"/>
      <c r="R12" s="299"/>
      <c r="S12" s="299"/>
      <c r="T12" s="299"/>
      <c r="U12" s="299"/>
      <c r="V12" s="299"/>
      <c r="W12" s="299"/>
      <c r="X12" s="299"/>
      <c r="Y12" s="299"/>
      <c r="Z12" s="299"/>
      <c r="AA12" s="299"/>
      <c r="AB12" s="299"/>
      <c r="AC12" s="301"/>
      <c r="AD12" s="299"/>
      <c r="AE12" s="290"/>
      <c r="AF12" s="296"/>
      <c r="AG12" s="297"/>
      <c r="AH12" s="290"/>
      <c r="AI12" s="290"/>
      <c r="AJ12" s="298"/>
      <c r="AK12" s="297"/>
      <c r="AL12" s="290"/>
      <c r="AM12" s="290"/>
      <c r="AN12" s="298"/>
      <c r="AO12" s="290"/>
      <c r="AP12" s="290"/>
      <c r="AQ12" s="290"/>
      <c r="AR12" s="298"/>
      <c r="AS12" s="290"/>
      <c r="AT12" s="290"/>
      <c r="AU12" s="290"/>
      <c r="AV12" s="290"/>
    </row>
    <row r="13" spans="1:413" x14ac:dyDescent="0.2">
      <c r="B13" s="242">
        <v>30792063</v>
      </c>
      <c r="C13" s="242">
        <v>30792063</v>
      </c>
      <c r="D13" s="242">
        <v>30792063</v>
      </c>
      <c r="E13" s="242"/>
      <c r="F13" s="242">
        <f>+Z249</f>
        <v>33185157</v>
      </c>
      <c r="G13" s="304"/>
      <c r="H13" s="299"/>
      <c r="I13" s="299"/>
      <c r="J13" s="299"/>
      <c r="K13" s="300"/>
      <c r="L13" s="300"/>
      <c r="M13" s="300"/>
      <c r="N13" s="299"/>
      <c r="O13" s="299"/>
      <c r="P13" s="299"/>
      <c r="Q13" s="299"/>
      <c r="R13" s="299"/>
      <c r="S13" s="299"/>
      <c r="T13" s="299"/>
      <c r="U13" s="299"/>
      <c r="V13" s="299"/>
      <c r="W13" s="299"/>
      <c r="X13" s="299"/>
      <c r="Y13" s="299"/>
      <c r="Z13" s="299"/>
      <c r="AA13" s="299"/>
      <c r="AB13" s="299"/>
      <c r="AC13" s="301"/>
      <c r="AD13" s="299"/>
      <c r="AE13" s="290"/>
      <c r="AF13" s="296"/>
      <c r="AG13" s="297"/>
      <c r="AH13" s="290"/>
      <c r="AI13" s="290"/>
      <c r="AJ13" s="298"/>
      <c r="AK13" s="297"/>
      <c r="AL13" s="290"/>
      <c r="AM13" s="290"/>
      <c r="AN13" s="298"/>
      <c r="AO13" s="290"/>
      <c r="AP13" s="290"/>
      <c r="AQ13" s="290"/>
      <c r="AR13" s="298"/>
      <c r="AS13" s="290"/>
      <c r="AT13" s="290"/>
      <c r="AU13" s="290"/>
      <c r="AV13" s="290"/>
    </row>
    <row r="14" spans="1:413" s="290" customFormat="1" ht="15" customHeight="1" x14ac:dyDescent="0.2">
      <c r="B14" s="302"/>
      <c r="D14" s="302"/>
      <c r="E14" s="302"/>
      <c r="K14" s="303"/>
      <c r="L14" s="303"/>
      <c r="M14" s="303"/>
      <c r="AA14" s="764" t="s">
        <v>5</v>
      </c>
      <c r="AB14" s="765"/>
      <c r="AC14" s="766"/>
      <c r="AD14" s="767"/>
      <c r="AE14" s="768" t="s">
        <v>6</v>
      </c>
      <c r="AF14" s="769"/>
      <c r="AG14" s="769"/>
      <c r="AH14" s="770"/>
      <c r="AI14" s="768" t="s">
        <v>6</v>
      </c>
      <c r="AJ14" s="769"/>
      <c r="AK14" s="769"/>
      <c r="AL14" s="770"/>
      <c r="AM14" s="768" t="s">
        <v>6</v>
      </c>
      <c r="AN14" s="769"/>
      <c r="AO14" s="769"/>
      <c r="AP14" s="770"/>
      <c r="AQ14" s="768" t="s">
        <v>6</v>
      </c>
      <c r="AR14" s="769"/>
      <c r="AS14" s="769"/>
      <c r="AT14" s="770"/>
      <c r="AU14" s="758" t="s">
        <v>7</v>
      </c>
      <c r="AV14" s="758"/>
    </row>
    <row r="15" spans="1:413" s="257" customFormat="1" ht="48" x14ac:dyDescent="0.25">
      <c r="A15" s="291"/>
      <c r="B15" s="245" t="s">
        <v>8</v>
      </c>
      <c r="C15" s="245" t="s">
        <v>9</v>
      </c>
      <c r="D15" s="246" t="s">
        <v>10</v>
      </c>
      <c r="E15" s="246" t="s">
        <v>1089</v>
      </c>
      <c r="F15" s="240" t="s">
        <v>11</v>
      </c>
      <c r="G15" s="240" t="s">
        <v>12</v>
      </c>
      <c r="H15" s="240" t="s">
        <v>13</v>
      </c>
      <c r="I15" s="247" t="s">
        <v>14</v>
      </c>
      <c r="J15" s="240" t="s">
        <v>122</v>
      </c>
      <c r="K15" s="248" t="s">
        <v>15</v>
      </c>
      <c r="L15" s="248" t="s">
        <v>16</v>
      </c>
      <c r="M15" s="248" t="s">
        <v>17</v>
      </c>
      <c r="N15" s="249" t="s">
        <v>18</v>
      </c>
      <c r="O15" s="249" t="s">
        <v>19</v>
      </c>
      <c r="P15" s="249" t="s">
        <v>20</v>
      </c>
      <c r="Q15" s="249" t="s">
        <v>21</v>
      </c>
      <c r="R15" s="249" t="s">
        <v>22</v>
      </c>
      <c r="S15" s="249" t="s">
        <v>23</v>
      </c>
      <c r="T15" s="249" t="s">
        <v>24</v>
      </c>
      <c r="U15" s="249" t="s">
        <v>25</v>
      </c>
      <c r="V15" s="249" t="s">
        <v>26</v>
      </c>
      <c r="W15" s="249" t="s">
        <v>27</v>
      </c>
      <c r="X15" s="249" t="s">
        <v>28</v>
      </c>
      <c r="Y15" s="249" t="s">
        <v>29</v>
      </c>
      <c r="Z15" s="250" t="s">
        <v>30</v>
      </c>
      <c r="AA15" s="251" t="s">
        <v>31</v>
      </c>
      <c r="AB15" s="252" t="s">
        <v>32</v>
      </c>
      <c r="AC15" s="253" t="s">
        <v>33</v>
      </c>
      <c r="AD15" s="251" t="s">
        <v>34</v>
      </c>
      <c r="AE15" s="254" t="s">
        <v>35</v>
      </c>
      <c r="AF15" s="255" t="s">
        <v>32</v>
      </c>
      <c r="AG15" s="256" t="s">
        <v>33</v>
      </c>
      <c r="AH15" s="254" t="s">
        <v>34</v>
      </c>
      <c r="AI15" s="254" t="s">
        <v>1090</v>
      </c>
      <c r="AJ15" s="255" t="s">
        <v>32</v>
      </c>
      <c r="AK15" s="256" t="s">
        <v>33</v>
      </c>
      <c r="AL15" s="254" t="s">
        <v>34</v>
      </c>
      <c r="AM15" s="254" t="s">
        <v>1091</v>
      </c>
      <c r="AN15" s="255" t="s">
        <v>32</v>
      </c>
      <c r="AO15" s="254" t="s">
        <v>33</v>
      </c>
      <c r="AP15" s="254" t="s">
        <v>34</v>
      </c>
      <c r="AQ15" s="254" t="s">
        <v>1092</v>
      </c>
      <c r="AR15" s="255" t="s">
        <v>32</v>
      </c>
      <c r="AS15" s="254" t="s">
        <v>33</v>
      </c>
      <c r="AT15" s="254" t="s">
        <v>34</v>
      </c>
      <c r="AU15" s="254" t="s">
        <v>36</v>
      </c>
      <c r="AV15" s="254" t="s">
        <v>37</v>
      </c>
      <c r="AW15" s="305"/>
      <c r="AX15" s="291"/>
      <c r="AY15" s="291"/>
      <c r="AZ15" s="291"/>
      <c r="BA15" s="291"/>
      <c r="BB15" s="291"/>
      <c r="BC15" s="291"/>
      <c r="BD15" s="291"/>
      <c r="BE15" s="291"/>
      <c r="BF15" s="291"/>
      <c r="BG15" s="291"/>
      <c r="BH15" s="291"/>
      <c r="BI15" s="291"/>
      <c r="BJ15" s="291"/>
      <c r="BK15" s="291"/>
      <c r="BL15" s="291"/>
      <c r="BM15" s="291"/>
      <c r="BN15" s="291"/>
      <c r="BO15" s="291"/>
      <c r="BP15" s="291"/>
      <c r="BQ15" s="291"/>
      <c r="BR15" s="291"/>
      <c r="BS15" s="291"/>
      <c r="BT15" s="291"/>
      <c r="BU15" s="291"/>
      <c r="BV15" s="291"/>
      <c r="BW15" s="291"/>
      <c r="BX15" s="291"/>
      <c r="BY15" s="291"/>
      <c r="BZ15" s="291"/>
      <c r="CA15" s="291"/>
      <c r="CB15" s="291"/>
      <c r="CC15" s="291"/>
      <c r="CD15" s="291"/>
      <c r="CE15" s="291"/>
      <c r="CF15" s="291"/>
      <c r="CG15" s="291"/>
      <c r="CH15" s="291"/>
      <c r="CI15" s="291"/>
      <c r="CJ15" s="291"/>
      <c r="CK15" s="291"/>
      <c r="CL15" s="291"/>
      <c r="CM15" s="291"/>
      <c r="CN15" s="291"/>
      <c r="CO15" s="291"/>
      <c r="CP15" s="291"/>
      <c r="CQ15" s="291"/>
      <c r="CR15" s="291"/>
      <c r="CS15" s="291"/>
      <c r="CT15" s="291"/>
      <c r="CU15" s="291"/>
      <c r="CV15" s="291"/>
      <c r="CW15" s="291"/>
      <c r="CX15" s="291"/>
      <c r="CY15" s="291"/>
      <c r="CZ15" s="291"/>
      <c r="DA15" s="291"/>
      <c r="DB15" s="291"/>
      <c r="DC15" s="291"/>
      <c r="DD15" s="291"/>
      <c r="DE15" s="291"/>
      <c r="DF15" s="291"/>
      <c r="DG15" s="291"/>
      <c r="DH15" s="291"/>
      <c r="DI15" s="291"/>
      <c r="DJ15" s="291"/>
      <c r="DK15" s="291"/>
      <c r="DL15" s="291"/>
      <c r="DM15" s="291"/>
      <c r="DN15" s="291"/>
      <c r="DO15" s="291"/>
      <c r="DP15" s="291"/>
      <c r="DQ15" s="291"/>
      <c r="DR15" s="291"/>
      <c r="DS15" s="291"/>
      <c r="DT15" s="291"/>
      <c r="DU15" s="291"/>
      <c r="DV15" s="291"/>
      <c r="DW15" s="291"/>
      <c r="DX15" s="291"/>
      <c r="DY15" s="291"/>
      <c r="DZ15" s="291"/>
      <c r="EA15" s="291"/>
      <c r="EB15" s="291"/>
      <c r="EC15" s="291"/>
      <c r="ED15" s="291"/>
      <c r="EE15" s="291"/>
      <c r="EF15" s="291"/>
      <c r="EG15" s="291"/>
      <c r="EH15" s="291"/>
      <c r="EI15" s="291"/>
      <c r="EJ15" s="291"/>
      <c r="EK15" s="291"/>
      <c r="EL15" s="291"/>
      <c r="EM15" s="291"/>
      <c r="EN15" s="291"/>
      <c r="EO15" s="291"/>
      <c r="EP15" s="291"/>
      <c r="EQ15" s="291"/>
      <c r="ER15" s="291"/>
      <c r="ES15" s="291"/>
      <c r="ET15" s="291"/>
      <c r="EU15" s="291"/>
      <c r="EV15" s="291"/>
      <c r="EW15" s="291"/>
      <c r="EX15" s="291"/>
      <c r="EY15" s="291"/>
      <c r="EZ15" s="291"/>
      <c r="FA15" s="291"/>
      <c r="FB15" s="291"/>
      <c r="FC15" s="291"/>
      <c r="FD15" s="291"/>
      <c r="FE15" s="291"/>
      <c r="FF15" s="291"/>
      <c r="FG15" s="291"/>
      <c r="FH15" s="291"/>
      <c r="FI15" s="291"/>
      <c r="FJ15" s="291"/>
      <c r="FK15" s="291"/>
      <c r="FL15" s="291"/>
      <c r="FM15" s="291"/>
      <c r="FN15" s="291"/>
      <c r="FO15" s="291"/>
      <c r="FP15" s="291"/>
      <c r="FQ15" s="291"/>
      <c r="FR15" s="291"/>
      <c r="FS15" s="291"/>
      <c r="FT15" s="291"/>
      <c r="FU15" s="291"/>
      <c r="FV15" s="291"/>
      <c r="FW15" s="291"/>
      <c r="FX15" s="291"/>
      <c r="FY15" s="291"/>
      <c r="FZ15" s="291"/>
      <c r="GA15" s="291"/>
      <c r="GB15" s="291"/>
      <c r="GC15" s="291"/>
      <c r="GD15" s="291"/>
      <c r="GE15" s="291"/>
      <c r="GF15" s="291"/>
      <c r="GG15" s="291"/>
      <c r="GH15" s="291"/>
      <c r="GI15" s="291"/>
      <c r="GJ15" s="291"/>
      <c r="GK15" s="291"/>
      <c r="GL15" s="291"/>
      <c r="GM15" s="291"/>
      <c r="GN15" s="291"/>
      <c r="GO15" s="291"/>
      <c r="GP15" s="291"/>
      <c r="GQ15" s="291"/>
      <c r="GR15" s="291"/>
      <c r="GS15" s="291"/>
      <c r="GT15" s="291"/>
      <c r="GU15" s="291"/>
      <c r="GV15" s="291"/>
      <c r="GW15" s="291"/>
      <c r="GX15" s="291"/>
      <c r="GY15" s="291"/>
      <c r="GZ15" s="291"/>
      <c r="HA15" s="291"/>
      <c r="HB15" s="291"/>
      <c r="HC15" s="291"/>
      <c r="HD15" s="291"/>
      <c r="HE15" s="291"/>
      <c r="HF15" s="291"/>
      <c r="HG15" s="291"/>
      <c r="HH15" s="291"/>
      <c r="HI15" s="291"/>
      <c r="HJ15" s="291"/>
      <c r="HK15" s="291"/>
      <c r="HL15" s="291"/>
      <c r="HM15" s="291"/>
      <c r="HN15" s="291"/>
      <c r="HO15" s="291"/>
      <c r="HP15" s="291"/>
      <c r="HQ15" s="291"/>
      <c r="HR15" s="291"/>
      <c r="HS15" s="291"/>
      <c r="HT15" s="291"/>
      <c r="HU15" s="291"/>
      <c r="HV15" s="291"/>
      <c r="HW15" s="291"/>
      <c r="HX15" s="291"/>
      <c r="HY15" s="291"/>
      <c r="HZ15" s="291"/>
      <c r="IA15" s="291"/>
      <c r="IB15" s="291"/>
      <c r="IC15" s="291"/>
      <c r="ID15" s="291"/>
      <c r="IE15" s="291"/>
      <c r="IF15" s="291"/>
      <c r="IG15" s="291"/>
      <c r="IH15" s="291"/>
      <c r="II15" s="291"/>
      <c r="IJ15" s="291"/>
      <c r="IK15" s="291"/>
      <c r="IL15" s="291"/>
      <c r="IM15" s="291"/>
      <c r="IN15" s="291"/>
      <c r="IO15" s="291"/>
      <c r="IP15" s="291"/>
      <c r="IQ15" s="291"/>
      <c r="IR15" s="291"/>
      <c r="IS15" s="291"/>
      <c r="IT15" s="291"/>
      <c r="IU15" s="291"/>
      <c r="IV15" s="291"/>
      <c r="IW15" s="291"/>
      <c r="IX15" s="291"/>
      <c r="IY15" s="291"/>
      <c r="IZ15" s="291"/>
      <c r="JA15" s="291"/>
      <c r="JB15" s="291"/>
      <c r="JC15" s="291"/>
      <c r="JD15" s="291"/>
      <c r="JE15" s="291"/>
      <c r="JF15" s="291"/>
      <c r="JG15" s="291"/>
      <c r="JH15" s="291"/>
      <c r="JI15" s="291"/>
      <c r="JJ15" s="291"/>
      <c r="JK15" s="291"/>
      <c r="JL15" s="291"/>
      <c r="JM15" s="291"/>
      <c r="JN15" s="291"/>
      <c r="JO15" s="291"/>
      <c r="JP15" s="291"/>
      <c r="JQ15" s="291"/>
      <c r="JR15" s="291"/>
      <c r="JS15" s="291"/>
      <c r="JT15" s="291"/>
      <c r="JU15" s="291"/>
      <c r="JV15" s="291"/>
      <c r="JW15" s="291"/>
      <c r="JX15" s="291"/>
      <c r="JY15" s="291"/>
      <c r="JZ15" s="291"/>
      <c r="KA15" s="291"/>
      <c r="KB15" s="291"/>
      <c r="KC15" s="291"/>
      <c r="KD15" s="291"/>
      <c r="KE15" s="291"/>
      <c r="KF15" s="291"/>
      <c r="KG15" s="291"/>
      <c r="KH15" s="291"/>
      <c r="KI15" s="291"/>
      <c r="KJ15" s="291"/>
      <c r="KK15" s="291"/>
      <c r="KL15" s="291"/>
      <c r="KM15" s="291"/>
      <c r="KN15" s="291"/>
      <c r="KO15" s="291"/>
      <c r="KP15" s="291"/>
      <c r="KQ15" s="291"/>
      <c r="KR15" s="291"/>
      <c r="KS15" s="291"/>
      <c r="KT15" s="291"/>
      <c r="KU15" s="291"/>
      <c r="KV15" s="291"/>
      <c r="KW15" s="291"/>
      <c r="KX15" s="291"/>
      <c r="KY15" s="291"/>
      <c r="KZ15" s="291"/>
      <c r="LA15" s="291"/>
      <c r="LB15" s="291"/>
      <c r="LC15" s="291"/>
      <c r="LD15" s="291"/>
      <c r="LE15" s="291"/>
      <c r="LF15" s="291"/>
      <c r="LG15" s="291"/>
      <c r="LH15" s="291"/>
      <c r="LI15" s="291"/>
      <c r="LJ15" s="291"/>
      <c r="LK15" s="291"/>
      <c r="LL15" s="291"/>
      <c r="LM15" s="291"/>
      <c r="LN15" s="291"/>
      <c r="LO15" s="291"/>
      <c r="LP15" s="291"/>
      <c r="LQ15" s="291"/>
      <c r="LR15" s="291"/>
      <c r="LS15" s="291"/>
      <c r="LT15" s="291"/>
      <c r="LU15" s="291"/>
      <c r="LV15" s="291"/>
      <c r="LW15" s="291"/>
      <c r="LX15" s="291"/>
      <c r="LY15" s="291"/>
      <c r="LZ15" s="291"/>
      <c r="MA15" s="291"/>
      <c r="MB15" s="291"/>
      <c r="MC15" s="291"/>
      <c r="MD15" s="291"/>
      <c r="ME15" s="291"/>
      <c r="MF15" s="291"/>
      <c r="MG15" s="291"/>
      <c r="MH15" s="291"/>
      <c r="MI15" s="291"/>
      <c r="MJ15" s="291"/>
      <c r="MK15" s="291"/>
      <c r="ML15" s="291"/>
      <c r="MM15" s="291"/>
      <c r="MN15" s="291"/>
      <c r="MO15" s="291"/>
      <c r="MP15" s="291"/>
      <c r="MQ15" s="291"/>
      <c r="MR15" s="291"/>
      <c r="MS15" s="291"/>
      <c r="MT15" s="291"/>
      <c r="MU15" s="291"/>
      <c r="MV15" s="291"/>
      <c r="MW15" s="291"/>
      <c r="MX15" s="291"/>
      <c r="MY15" s="291"/>
      <c r="MZ15" s="291"/>
      <c r="NA15" s="291"/>
      <c r="NB15" s="291"/>
      <c r="NC15" s="291"/>
      <c r="ND15" s="291"/>
      <c r="NE15" s="291"/>
      <c r="NF15" s="291"/>
      <c r="NG15" s="291"/>
      <c r="NH15" s="291"/>
      <c r="NI15" s="291"/>
      <c r="NJ15" s="291"/>
      <c r="NK15" s="291"/>
      <c r="NL15" s="291"/>
      <c r="NM15" s="291"/>
      <c r="NN15" s="291"/>
      <c r="NO15" s="291"/>
      <c r="NP15" s="291"/>
      <c r="NQ15" s="291"/>
      <c r="NR15" s="291"/>
      <c r="NS15" s="291"/>
      <c r="NT15" s="291"/>
      <c r="NU15" s="291"/>
      <c r="NV15" s="291"/>
      <c r="NW15" s="291"/>
      <c r="NX15" s="291"/>
      <c r="NY15" s="291"/>
      <c r="NZ15" s="291"/>
      <c r="OA15" s="291"/>
      <c r="OB15" s="291"/>
      <c r="OC15" s="291"/>
      <c r="OD15" s="291"/>
      <c r="OE15" s="291"/>
      <c r="OF15" s="291"/>
      <c r="OG15" s="291"/>
      <c r="OH15" s="291"/>
      <c r="OI15" s="291"/>
      <c r="OJ15" s="291"/>
      <c r="OK15" s="291"/>
      <c r="OL15" s="291"/>
      <c r="OM15" s="291"/>
      <c r="ON15" s="291"/>
      <c r="OO15" s="291"/>
      <c r="OP15" s="291"/>
      <c r="OQ15" s="291"/>
      <c r="OR15" s="291"/>
      <c r="OS15" s="291"/>
      <c r="OT15" s="291"/>
      <c r="OU15" s="291"/>
      <c r="OV15" s="291"/>
      <c r="OW15" s="291"/>
    </row>
    <row r="16" spans="1:413" s="257" customFormat="1" hidden="1" x14ac:dyDescent="0.2">
      <c r="A16" s="291"/>
      <c r="B16" s="21">
        <v>1</v>
      </c>
      <c r="C16" s="510" t="s">
        <v>38</v>
      </c>
      <c r="D16" s="511">
        <v>20099555</v>
      </c>
      <c r="E16" s="511"/>
      <c r="F16" s="512" t="s">
        <v>1093</v>
      </c>
      <c r="G16" s="513" t="s">
        <v>45</v>
      </c>
      <c r="H16" s="514" t="s">
        <v>1094</v>
      </c>
      <c r="I16" s="515" t="s">
        <v>1095</v>
      </c>
      <c r="J16" s="346" t="s">
        <v>42</v>
      </c>
      <c r="K16" s="516">
        <v>1525964</v>
      </c>
      <c r="L16" s="517">
        <v>961661</v>
      </c>
      <c r="M16" s="518">
        <v>0</v>
      </c>
      <c r="N16" s="519">
        <v>0</v>
      </c>
      <c r="O16" s="519">
        <v>87929</v>
      </c>
      <c r="P16" s="519">
        <v>0</v>
      </c>
      <c r="Q16" s="519">
        <v>156040</v>
      </c>
      <c r="R16" s="519">
        <v>265789</v>
      </c>
      <c r="S16" s="520">
        <v>14291</v>
      </c>
      <c r="T16" s="18"/>
      <c r="U16" s="18"/>
      <c r="V16" s="18"/>
      <c r="W16" s="18"/>
      <c r="X16" s="18"/>
      <c r="Y16" s="18"/>
      <c r="Z16" s="18">
        <f>SUM(N16:Y16)</f>
        <v>524049</v>
      </c>
      <c r="AA16" s="309">
        <v>243971</v>
      </c>
      <c r="AB16" s="338">
        <v>5</v>
      </c>
      <c r="AC16" s="521">
        <v>44224</v>
      </c>
      <c r="AD16" s="316">
        <v>44251</v>
      </c>
      <c r="AE16" s="309">
        <v>307913</v>
      </c>
      <c r="AF16" s="314">
        <v>22</v>
      </c>
      <c r="AG16" s="315">
        <v>44301</v>
      </c>
      <c r="AH16" s="316">
        <v>44313</v>
      </c>
      <c r="AI16" s="309"/>
      <c r="AJ16" s="338"/>
      <c r="AK16" s="315"/>
      <c r="AL16" s="316"/>
      <c r="AM16" s="309"/>
      <c r="AN16" s="338"/>
      <c r="AO16" s="362"/>
      <c r="AP16" s="316"/>
      <c r="AQ16" s="309"/>
      <c r="AR16" s="338"/>
      <c r="AS16" s="21"/>
      <c r="AT16" s="25"/>
      <c r="AU16" s="522">
        <f>(AA16+AE16+AI16+AM16+AQ16)</f>
        <v>551884</v>
      </c>
      <c r="AV16" s="523">
        <f>AU16-Z16</f>
        <v>27835</v>
      </c>
      <c r="AW16" s="305"/>
      <c r="AX16" s="291"/>
      <c r="AY16" s="291"/>
      <c r="AZ16" s="291"/>
      <c r="BA16" s="291"/>
      <c r="BB16" s="291"/>
      <c r="BC16" s="291"/>
      <c r="BD16" s="291"/>
      <c r="BE16" s="291"/>
      <c r="BF16" s="291"/>
      <c r="BG16" s="291"/>
      <c r="BH16" s="291"/>
      <c r="BI16" s="291"/>
      <c r="BJ16" s="291"/>
      <c r="BK16" s="291"/>
      <c r="BL16" s="291"/>
      <c r="BM16" s="291"/>
      <c r="BN16" s="291"/>
      <c r="BO16" s="291"/>
      <c r="BP16" s="291"/>
      <c r="BQ16" s="291"/>
      <c r="BR16" s="291"/>
      <c r="BS16" s="291"/>
      <c r="BT16" s="291"/>
      <c r="BU16" s="291"/>
      <c r="BV16" s="291"/>
      <c r="BW16" s="291"/>
      <c r="BX16" s="291"/>
      <c r="BY16" s="291"/>
      <c r="BZ16" s="291"/>
      <c r="CA16" s="291"/>
      <c r="CB16" s="291"/>
      <c r="CC16" s="291"/>
      <c r="CD16" s="291"/>
      <c r="CE16" s="291"/>
      <c r="CF16" s="291"/>
      <c r="CG16" s="291"/>
      <c r="CH16" s="291"/>
      <c r="CI16" s="291"/>
      <c r="CJ16" s="291"/>
      <c r="CK16" s="291"/>
      <c r="CL16" s="291"/>
      <c r="CM16" s="291"/>
      <c r="CN16" s="291"/>
      <c r="CO16" s="291"/>
      <c r="CP16" s="291"/>
      <c r="CQ16" s="291"/>
      <c r="CR16" s="291"/>
      <c r="CS16" s="291"/>
      <c r="CT16" s="291"/>
      <c r="CU16" s="291"/>
      <c r="CV16" s="291"/>
      <c r="CW16" s="291"/>
      <c r="CX16" s="291"/>
      <c r="CY16" s="291"/>
      <c r="CZ16" s="291"/>
      <c r="DA16" s="291"/>
      <c r="DB16" s="291"/>
      <c r="DC16" s="291"/>
      <c r="DD16" s="291"/>
      <c r="DE16" s="291"/>
      <c r="DF16" s="291"/>
      <c r="DG16" s="291"/>
      <c r="DH16" s="291"/>
      <c r="DI16" s="291"/>
      <c r="DJ16" s="291"/>
      <c r="DK16" s="291"/>
      <c r="DL16" s="291"/>
      <c r="DM16" s="291"/>
      <c r="DN16" s="291"/>
      <c r="DO16" s="291"/>
      <c r="DP16" s="291"/>
      <c r="DQ16" s="291"/>
      <c r="DR16" s="291"/>
      <c r="DS16" s="291"/>
      <c r="DT16" s="291"/>
      <c r="DU16" s="291"/>
      <c r="DV16" s="291"/>
      <c r="DW16" s="291"/>
      <c r="DX16" s="291"/>
      <c r="DY16" s="291"/>
      <c r="DZ16" s="291"/>
      <c r="EA16" s="291"/>
      <c r="EB16" s="291"/>
      <c r="EC16" s="291"/>
      <c r="ED16" s="291"/>
      <c r="EE16" s="291"/>
      <c r="EF16" s="291"/>
      <c r="EG16" s="291"/>
      <c r="EH16" s="291"/>
      <c r="EI16" s="291"/>
      <c r="EJ16" s="291"/>
      <c r="EK16" s="291"/>
      <c r="EL16" s="291"/>
      <c r="EM16" s="291"/>
      <c r="EN16" s="291"/>
      <c r="EO16" s="291"/>
      <c r="EP16" s="291"/>
      <c r="EQ16" s="291"/>
      <c r="ER16" s="291"/>
      <c r="ES16" s="291"/>
      <c r="ET16" s="291"/>
      <c r="EU16" s="291"/>
      <c r="EV16" s="291"/>
      <c r="EW16" s="291"/>
      <c r="EX16" s="291"/>
      <c r="EY16" s="291"/>
      <c r="EZ16" s="291"/>
      <c r="FA16" s="291"/>
      <c r="FB16" s="291"/>
      <c r="FC16" s="291"/>
      <c r="FD16" s="291"/>
      <c r="FE16" s="291"/>
      <c r="FF16" s="291"/>
      <c r="FG16" s="291"/>
      <c r="FH16" s="291"/>
      <c r="FI16" s="291"/>
      <c r="FJ16" s="291"/>
      <c r="FK16" s="291"/>
      <c r="FL16" s="291"/>
      <c r="FM16" s="291"/>
      <c r="FN16" s="291"/>
      <c r="FO16" s="291"/>
      <c r="FP16" s="291"/>
      <c r="FQ16" s="291"/>
      <c r="FR16" s="291"/>
      <c r="FS16" s="291"/>
      <c r="FT16" s="291"/>
      <c r="FU16" s="291"/>
      <c r="FV16" s="291"/>
      <c r="FW16" s="291"/>
      <c r="FX16" s="291"/>
      <c r="FY16" s="291"/>
      <c r="FZ16" s="291"/>
      <c r="GA16" s="291"/>
      <c r="GB16" s="291"/>
      <c r="GC16" s="291"/>
      <c r="GD16" s="291"/>
      <c r="GE16" s="291"/>
      <c r="GF16" s="291"/>
      <c r="GG16" s="291"/>
      <c r="GH16" s="291"/>
      <c r="GI16" s="291"/>
      <c r="GJ16" s="291"/>
      <c r="GK16" s="291"/>
      <c r="GL16" s="291"/>
      <c r="GM16" s="291"/>
      <c r="GN16" s="291"/>
      <c r="GO16" s="291"/>
      <c r="GP16" s="291"/>
      <c r="GQ16" s="291"/>
      <c r="GR16" s="291"/>
      <c r="GS16" s="291"/>
      <c r="GT16" s="291"/>
      <c r="GU16" s="291"/>
      <c r="GV16" s="291"/>
      <c r="GW16" s="291"/>
      <c r="GX16" s="291"/>
      <c r="GY16" s="291"/>
      <c r="GZ16" s="291"/>
      <c r="HA16" s="291"/>
      <c r="HB16" s="291"/>
      <c r="HC16" s="291"/>
      <c r="HD16" s="291"/>
      <c r="HE16" s="291"/>
      <c r="HF16" s="291"/>
      <c r="HG16" s="291"/>
      <c r="HH16" s="291"/>
      <c r="HI16" s="291"/>
      <c r="HJ16" s="291"/>
      <c r="HK16" s="291"/>
      <c r="HL16" s="291"/>
      <c r="HM16" s="291"/>
      <c r="HN16" s="291"/>
      <c r="HO16" s="291"/>
      <c r="HP16" s="291"/>
      <c r="HQ16" s="291"/>
      <c r="HR16" s="291"/>
      <c r="HS16" s="291"/>
      <c r="HT16" s="291"/>
      <c r="HU16" s="291"/>
      <c r="HV16" s="291"/>
      <c r="HW16" s="291"/>
      <c r="HX16" s="291"/>
      <c r="HY16" s="291"/>
      <c r="HZ16" s="291"/>
      <c r="IA16" s="291"/>
      <c r="IB16" s="291"/>
      <c r="IC16" s="291"/>
      <c r="ID16" s="291"/>
      <c r="IE16" s="291"/>
      <c r="IF16" s="291"/>
      <c r="IG16" s="291"/>
      <c r="IH16" s="291"/>
      <c r="II16" s="291"/>
      <c r="IJ16" s="291"/>
      <c r="IK16" s="291"/>
      <c r="IL16" s="291"/>
      <c r="IM16" s="291"/>
      <c r="IN16" s="291"/>
      <c r="IO16" s="291"/>
      <c r="IP16" s="291"/>
      <c r="IQ16" s="291"/>
      <c r="IR16" s="291"/>
      <c r="IS16" s="291"/>
      <c r="IT16" s="291"/>
      <c r="IU16" s="291"/>
      <c r="IV16" s="291"/>
      <c r="IW16" s="291"/>
      <c r="IX16" s="291"/>
      <c r="IY16" s="291"/>
      <c r="IZ16" s="291"/>
      <c r="JA16" s="291"/>
      <c r="JB16" s="291"/>
      <c r="JC16" s="291"/>
      <c r="JD16" s="291"/>
      <c r="JE16" s="291"/>
      <c r="JF16" s="291"/>
      <c r="JG16" s="291"/>
      <c r="JH16" s="291"/>
      <c r="JI16" s="291"/>
      <c r="JJ16" s="291"/>
      <c r="JK16" s="291"/>
      <c r="JL16" s="291"/>
      <c r="JM16" s="291"/>
      <c r="JN16" s="291"/>
      <c r="JO16" s="291"/>
      <c r="JP16" s="291"/>
      <c r="JQ16" s="291"/>
      <c r="JR16" s="291"/>
      <c r="JS16" s="291"/>
      <c r="JT16" s="291"/>
      <c r="JU16" s="291"/>
      <c r="JV16" s="291"/>
      <c r="JW16" s="291"/>
      <c r="JX16" s="291"/>
      <c r="JY16" s="291"/>
      <c r="JZ16" s="291"/>
      <c r="KA16" s="291"/>
      <c r="KB16" s="291"/>
      <c r="KC16" s="291"/>
      <c r="KD16" s="291"/>
      <c r="KE16" s="291"/>
      <c r="KF16" s="291"/>
      <c r="KG16" s="291"/>
      <c r="KH16" s="291"/>
      <c r="KI16" s="291"/>
      <c r="KJ16" s="291"/>
      <c r="KK16" s="291"/>
      <c r="KL16" s="291"/>
      <c r="KM16" s="291"/>
      <c r="KN16" s="291"/>
      <c r="KO16" s="291"/>
      <c r="KP16" s="291"/>
      <c r="KQ16" s="291"/>
      <c r="KR16" s="291"/>
      <c r="KS16" s="291"/>
      <c r="KT16" s="291"/>
      <c r="KU16" s="291"/>
      <c r="KV16" s="291"/>
      <c r="KW16" s="291"/>
      <c r="KX16" s="291"/>
      <c r="KY16" s="291"/>
      <c r="KZ16" s="291"/>
      <c r="LA16" s="291"/>
      <c r="LB16" s="291"/>
      <c r="LC16" s="291"/>
      <c r="LD16" s="291"/>
      <c r="LE16" s="291"/>
      <c r="LF16" s="291"/>
      <c r="LG16" s="291"/>
      <c r="LH16" s="291"/>
      <c r="LI16" s="291"/>
      <c r="LJ16" s="291"/>
      <c r="LK16" s="291"/>
      <c r="LL16" s="291"/>
      <c r="LM16" s="291"/>
      <c r="LN16" s="291"/>
      <c r="LO16" s="291"/>
      <c r="LP16" s="291"/>
      <c r="LQ16" s="291"/>
      <c r="LR16" s="291"/>
      <c r="LS16" s="291"/>
      <c r="LT16" s="291"/>
      <c r="LU16" s="291"/>
      <c r="LV16" s="291"/>
      <c r="LW16" s="291"/>
      <c r="LX16" s="291"/>
      <c r="LY16" s="291"/>
      <c r="LZ16" s="291"/>
      <c r="MA16" s="291"/>
      <c r="MB16" s="291"/>
      <c r="MC16" s="291"/>
      <c r="MD16" s="291"/>
      <c r="ME16" s="291"/>
      <c r="MF16" s="291"/>
      <c r="MG16" s="291"/>
      <c r="MH16" s="291"/>
      <c r="MI16" s="291"/>
      <c r="MJ16" s="291"/>
      <c r="MK16" s="291"/>
      <c r="ML16" s="291"/>
      <c r="MM16" s="291"/>
      <c r="MN16" s="291"/>
      <c r="MO16" s="291"/>
      <c r="MP16" s="291"/>
      <c r="MQ16" s="291"/>
      <c r="MR16" s="291"/>
      <c r="MS16" s="291"/>
      <c r="MT16" s="291"/>
      <c r="MU16" s="291"/>
      <c r="MV16" s="291"/>
      <c r="MW16" s="291"/>
      <c r="MX16" s="291"/>
      <c r="MY16" s="291"/>
      <c r="MZ16" s="291"/>
      <c r="NA16" s="291"/>
      <c r="NB16" s="291"/>
      <c r="NC16" s="291"/>
      <c r="ND16" s="291"/>
      <c r="NE16" s="291"/>
      <c r="NF16" s="291"/>
      <c r="NG16" s="291"/>
      <c r="NH16" s="291"/>
      <c r="NI16" s="291"/>
      <c r="NJ16" s="291"/>
      <c r="NK16" s="291"/>
      <c r="NL16" s="291"/>
      <c r="NM16" s="291"/>
      <c r="NN16" s="291"/>
      <c r="NO16" s="291"/>
      <c r="NP16" s="291"/>
      <c r="NQ16" s="291"/>
      <c r="NR16" s="291"/>
      <c r="NS16" s="291"/>
      <c r="NT16" s="291"/>
      <c r="NU16" s="291"/>
      <c r="NV16" s="291"/>
      <c r="NW16" s="291"/>
      <c r="NX16" s="291"/>
      <c r="NY16" s="291"/>
      <c r="NZ16" s="291"/>
      <c r="OA16" s="291"/>
      <c r="OB16" s="291"/>
      <c r="OC16" s="291"/>
      <c r="OD16" s="291"/>
      <c r="OE16" s="291"/>
      <c r="OF16" s="291"/>
      <c r="OG16" s="291"/>
      <c r="OH16" s="291"/>
      <c r="OI16" s="291"/>
      <c r="OJ16" s="291"/>
      <c r="OK16" s="291"/>
      <c r="OL16" s="291"/>
      <c r="OM16" s="291"/>
      <c r="ON16" s="291"/>
      <c r="OO16" s="291"/>
      <c r="OP16" s="291"/>
      <c r="OQ16" s="291"/>
      <c r="OR16" s="291"/>
      <c r="OS16" s="291"/>
      <c r="OT16" s="291"/>
      <c r="OU16" s="291"/>
      <c r="OV16" s="291"/>
      <c r="OW16" s="291"/>
    </row>
    <row r="17" spans="1:413" s="257" customFormat="1" hidden="1" x14ac:dyDescent="0.2">
      <c r="A17" s="291"/>
      <c r="B17" s="524">
        <f>+B16+1</f>
        <v>2</v>
      </c>
      <c r="C17" s="510" t="s">
        <v>38</v>
      </c>
      <c r="D17" s="511" t="s">
        <v>1096</v>
      </c>
      <c r="E17" s="511"/>
      <c r="F17" s="512" t="s">
        <v>1097</v>
      </c>
      <c r="G17" s="513" t="s">
        <v>45</v>
      </c>
      <c r="H17" s="514" t="s">
        <v>1098</v>
      </c>
      <c r="I17" s="514" t="s">
        <v>1099</v>
      </c>
      <c r="J17" s="525"/>
      <c r="K17" s="526">
        <v>1555595</v>
      </c>
      <c r="L17" s="527">
        <v>0</v>
      </c>
      <c r="M17" s="528">
        <v>1401595</v>
      </c>
      <c r="N17" s="520">
        <v>0</v>
      </c>
      <c r="O17" s="520">
        <v>0</v>
      </c>
      <c r="P17" s="520">
        <v>0</v>
      </c>
      <c r="Q17" s="520">
        <v>0</v>
      </c>
      <c r="R17" s="520">
        <v>0</v>
      </c>
      <c r="S17" s="520">
        <v>0</v>
      </c>
      <c r="T17" s="18"/>
      <c r="U17" s="18"/>
      <c r="V17" s="18"/>
      <c r="W17" s="18"/>
      <c r="X17" s="18"/>
      <c r="Y17" s="18"/>
      <c r="Z17" s="18">
        <f t="shared" ref="Z17:Z80" si="0">SUM(N17:Y17)</f>
        <v>0</v>
      </c>
      <c r="AA17" s="309">
        <v>154000</v>
      </c>
      <c r="AB17" s="19">
        <v>39</v>
      </c>
      <c r="AC17" s="521">
        <v>44334</v>
      </c>
      <c r="AD17" s="25">
        <v>44342</v>
      </c>
      <c r="AE17" s="309">
        <v>66000</v>
      </c>
      <c r="AF17" s="20">
        <v>50</v>
      </c>
      <c r="AG17" s="23">
        <v>44356</v>
      </c>
      <c r="AH17" s="25">
        <v>44377</v>
      </c>
      <c r="AI17" s="309"/>
      <c r="AJ17" s="19"/>
      <c r="AK17" s="23"/>
      <c r="AL17" s="25"/>
      <c r="AM17" s="309"/>
      <c r="AN17" s="19"/>
      <c r="AO17" s="21"/>
      <c r="AP17" s="25"/>
      <c r="AQ17" s="309"/>
      <c r="AR17" s="19"/>
      <c r="AS17" s="21"/>
      <c r="AT17" s="25"/>
      <c r="AU17" s="522">
        <f t="shared" ref="AU17:AU80" si="1">(AA17+AE17+AI17+AM17+AQ17)</f>
        <v>220000</v>
      </c>
      <c r="AV17" s="311">
        <f t="shared" ref="AV17:AV80" si="2">AU17-Z17</f>
        <v>220000</v>
      </c>
      <c r="AW17" s="305"/>
      <c r="AX17" s="291"/>
      <c r="AY17" s="291"/>
      <c r="AZ17" s="291"/>
      <c r="BA17" s="291"/>
      <c r="BB17" s="291"/>
      <c r="BC17" s="291"/>
      <c r="BD17" s="291"/>
      <c r="BE17" s="291"/>
      <c r="BF17" s="291"/>
      <c r="BG17" s="291"/>
      <c r="BH17" s="291"/>
      <c r="BI17" s="291"/>
      <c r="BJ17" s="291"/>
      <c r="BK17" s="291"/>
      <c r="BL17" s="291"/>
      <c r="BM17" s="291"/>
      <c r="BN17" s="291"/>
      <c r="BO17" s="291"/>
      <c r="BP17" s="291"/>
      <c r="BQ17" s="291"/>
      <c r="BR17" s="291"/>
      <c r="BS17" s="291"/>
      <c r="BT17" s="291"/>
      <c r="BU17" s="291"/>
      <c r="BV17" s="291"/>
      <c r="BW17" s="291"/>
      <c r="BX17" s="291"/>
      <c r="BY17" s="291"/>
      <c r="BZ17" s="291"/>
      <c r="CA17" s="291"/>
      <c r="CB17" s="291"/>
      <c r="CC17" s="291"/>
      <c r="CD17" s="291"/>
      <c r="CE17" s="291"/>
      <c r="CF17" s="291"/>
      <c r="CG17" s="291"/>
      <c r="CH17" s="291"/>
      <c r="CI17" s="291"/>
      <c r="CJ17" s="291"/>
      <c r="CK17" s="291"/>
      <c r="CL17" s="291"/>
      <c r="CM17" s="291"/>
      <c r="CN17" s="291"/>
      <c r="CO17" s="291"/>
      <c r="CP17" s="291"/>
      <c r="CQ17" s="291"/>
      <c r="CR17" s="291"/>
      <c r="CS17" s="291"/>
      <c r="CT17" s="291"/>
      <c r="CU17" s="291"/>
      <c r="CV17" s="291"/>
      <c r="CW17" s="291"/>
      <c r="CX17" s="291"/>
      <c r="CY17" s="291"/>
      <c r="CZ17" s="291"/>
      <c r="DA17" s="291"/>
      <c r="DB17" s="291"/>
      <c r="DC17" s="291"/>
      <c r="DD17" s="291"/>
      <c r="DE17" s="291"/>
      <c r="DF17" s="291"/>
      <c r="DG17" s="291"/>
      <c r="DH17" s="291"/>
      <c r="DI17" s="291"/>
      <c r="DJ17" s="291"/>
      <c r="DK17" s="291"/>
      <c r="DL17" s="291"/>
      <c r="DM17" s="291"/>
      <c r="DN17" s="291"/>
      <c r="DO17" s="291"/>
      <c r="DP17" s="291"/>
      <c r="DQ17" s="291"/>
      <c r="DR17" s="291"/>
      <c r="DS17" s="291"/>
      <c r="DT17" s="291"/>
      <c r="DU17" s="291"/>
      <c r="DV17" s="291"/>
      <c r="DW17" s="291"/>
      <c r="DX17" s="291"/>
      <c r="DY17" s="291"/>
      <c r="DZ17" s="291"/>
      <c r="EA17" s="291"/>
      <c r="EB17" s="291"/>
      <c r="EC17" s="291"/>
      <c r="ED17" s="291"/>
      <c r="EE17" s="291"/>
      <c r="EF17" s="291"/>
      <c r="EG17" s="291"/>
      <c r="EH17" s="291"/>
      <c r="EI17" s="291"/>
      <c r="EJ17" s="291"/>
      <c r="EK17" s="291"/>
      <c r="EL17" s="291"/>
      <c r="EM17" s="291"/>
      <c r="EN17" s="291"/>
      <c r="EO17" s="291"/>
      <c r="EP17" s="291"/>
      <c r="EQ17" s="291"/>
      <c r="ER17" s="291"/>
      <c r="ES17" s="291"/>
      <c r="ET17" s="291"/>
      <c r="EU17" s="291"/>
      <c r="EV17" s="291"/>
      <c r="EW17" s="291"/>
      <c r="EX17" s="291"/>
      <c r="EY17" s="291"/>
      <c r="EZ17" s="291"/>
      <c r="FA17" s="291"/>
      <c r="FB17" s="291"/>
      <c r="FC17" s="291"/>
      <c r="FD17" s="291"/>
      <c r="FE17" s="291"/>
      <c r="FF17" s="291"/>
      <c r="FG17" s="291"/>
      <c r="FH17" s="291"/>
      <c r="FI17" s="291"/>
      <c r="FJ17" s="291"/>
      <c r="FK17" s="291"/>
      <c r="FL17" s="291"/>
      <c r="FM17" s="291"/>
      <c r="FN17" s="291"/>
      <c r="FO17" s="291"/>
      <c r="FP17" s="291"/>
      <c r="FQ17" s="291"/>
      <c r="FR17" s="291"/>
      <c r="FS17" s="291"/>
      <c r="FT17" s="291"/>
      <c r="FU17" s="291"/>
      <c r="FV17" s="291"/>
      <c r="FW17" s="291"/>
      <c r="FX17" s="291"/>
      <c r="FY17" s="291"/>
      <c r="FZ17" s="291"/>
      <c r="GA17" s="291"/>
      <c r="GB17" s="291"/>
      <c r="GC17" s="291"/>
      <c r="GD17" s="291"/>
      <c r="GE17" s="291"/>
      <c r="GF17" s="291"/>
      <c r="GG17" s="291"/>
      <c r="GH17" s="291"/>
      <c r="GI17" s="291"/>
      <c r="GJ17" s="291"/>
      <c r="GK17" s="291"/>
      <c r="GL17" s="291"/>
      <c r="GM17" s="291"/>
      <c r="GN17" s="291"/>
      <c r="GO17" s="291"/>
      <c r="GP17" s="291"/>
      <c r="GQ17" s="291"/>
      <c r="GR17" s="291"/>
      <c r="GS17" s="291"/>
      <c r="GT17" s="291"/>
      <c r="GU17" s="291"/>
      <c r="GV17" s="291"/>
      <c r="GW17" s="291"/>
      <c r="GX17" s="291"/>
      <c r="GY17" s="291"/>
      <c r="GZ17" s="291"/>
      <c r="HA17" s="291"/>
      <c r="HB17" s="291"/>
      <c r="HC17" s="291"/>
      <c r="HD17" s="291"/>
      <c r="HE17" s="291"/>
      <c r="HF17" s="291"/>
      <c r="HG17" s="291"/>
      <c r="HH17" s="291"/>
      <c r="HI17" s="291"/>
      <c r="HJ17" s="291"/>
      <c r="HK17" s="291"/>
      <c r="HL17" s="291"/>
      <c r="HM17" s="291"/>
      <c r="HN17" s="291"/>
      <c r="HO17" s="291"/>
      <c r="HP17" s="291"/>
      <c r="HQ17" s="291"/>
      <c r="HR17" s="291"/>
      <c r="HS17" s="291"/>
      <c r="HT17" s="291"/>
      <c r="HU17" s="291"/>
      <c r="HV17" s="291"/>
      <c r="HW17" s="291"/>
      <c r="HX17" s="291"/>
      <c r="HY17" s="291"/>
      <c r="HZ17" s="291"/>
      <c r="IA17" s="291"/>
      <c r="IB17" s="291"/>
      <c r="IC17" s="291"/>
      <c r="ID17" s="291"/>
      <c r="IE17" s="291"/>
      <c r="IF17" s="291"/>
      <c r="IG17" s="291"/>
      <c r="IH17" s="291"/>
      <c r="II17" s="291"/>
      <c r="IJ17" s="291"/>
      <c r="IK17" s="291"/>
      <c r="IL17" s="291"/>
      <c r="IM17" s="291"/>
      <c r="IN17" s="291"/>
      <c r="IO17" s="291"/>
      <c r="IP17" s="291"/>
      <c r="IQ17" s="291"/>
      <c r="IR17" s="291"/>
      <c r="IS17" s="291"/>
      <c r="IT17" s="291"/>
      <c r="IU17" s="291"/>
      <c r="IV17" s="291"/>
      <c r="IW17" s="291"/>
      <c r="IX17" s="291"/>
      <c r="IY17" s="291"/>
      <c r="IZ17" s="291"/>
      <c r="JA17" s="291"/>
      <c r="JB17" s="291"/>
      <c r="JC17" s="291"/>
      <c r="JD17" s="291"/>
      <c r="JE17" s="291"/>
      <c r="JF17" s="291"/>
      <c r="JG17" s="291"/>
      <c r="JH17" s="291"/>
      <c r="JI17" s="291"/>
      <c r="JJ17" s="291"/>
      <c r="JK17" s="291"/>
      <c r="JL17" s="291"/>
      <c r="JM17" s="291"/>
      <c r="JN17" s="291"/>
      <c r="JO17" s="291"/>
      <c r="JP17" s="291"/>
      <c r="JQ17" s="291"/>
      <c r="JR17" s="291"/>
      <c r="JS17" s="291"/>
      <c r="JT17" s="291"/>
      <c r="JU17" s="291"/>
      <c r="JV17" s="291"/>
      <c r="JW17" s="291"/>
      <c r="JX17" s="291"/>
      <c r="JY17" s="291"/>
      <c r="JZ17" s="291"/>
      <c r="KA17" s="291"/>
      <c r="KB17" s="291"/>
      <c r="KC17" s="291"/>
      <c r="KD17" s="291"/>
      <c r="KE17" s="291"/>
      <c r="KF17" s="291"/>
      <c r="KG17" s="291"/>
      <c r="KH17" s="291"/>
      <c r="KI17" s="291"/>
      <c r="KJ17" s="291"/>
      <c r="KK17" s="291"/>
      <c r="KL17" s="291"/>
      <c r="KM17" s="291"/>
      <c r="KN17" s="291"/>
      <c r="KO17" s="291"/>
      <c r="KP17" s="291"/>
      <c r="KQ17" s="291"/>
      <c r="KR17" s="291"/>
      <c r="KS17" s="291"/>
      <c r="KT17" s="291"/>
      <c r="KU17" s="291"/>
      <c r="KV17" s="291"/>
      <c r="KW17" s="291"/>
      <c r="KX17" s="291"/>
      <c r="KY17" s="291"/>
      <c r="KZ17" s="291"/>
      <c r="LA17" s="291"/>
      <c r="LB17" s="291"/>
      <c r="LC17" s="291"/>
      <c r="LD17" s="291"/>
      <c r="LE17" s="291"/>
      <c r="LF17" s="291"/>
      <c r="LG17" s="291"/>
      <c r="LH17" s="291"/>
      <c r="LI17" s="291"/>
      <c r="LJ17" s="291"/>
      <c r="LK17" s="291"/>
      <c r="LL17" s="291"/>
      <c r="LM17" s="291"/>
      <c r="LN17" s="291"/>
      <c r="LO17" s="291"/>
      <c r="LP17" s="291"/>
      <c r="LQ17" s="291"/>
      <c r="LR17" s="291"/>
      <c r="LS17" s="291"/>
      <c r="LT17" s="291"/>
      <c r="LU17" s="291"/>
      <c r="LV17" s="291"/>
      <c r="LW17" s="291"/>
      <c r="LX17" s="291"/>
      <c r="LY17" s="291"/>
      <c r="LZ17" s="291"/>
      <c r="MA17" s="291"/>
      <c r="MB17" s="291"/>
      <c r="MC17" s="291"/>
      <c r="MD17" s="291"/>
      <c r="ME17" s="291"/>
      <c r="MF17" s="291"/>
      <c r="MG17" s="291"/>
      <c r="MH17" s="291"/>
      <c r="MI17" s="291"/>
      <c r="MJ17" s="291"/>
      <c r="MK17" s="291"/>
      <c r="ML17" s="291"/>
      <c r="MM17" s="291"/>
      <c r="MN17" s="291"/>
      <c r="MO17" s="291"/>
      <c r="MP17" s="291"/>
      <c r="MQ17" s="291"/>
      <c r="MR17" s="291"/>
      <c r="MS17" s="291"/>
      <c r="MT17" s="291"/>
      <c r="MU17" s="291"/>
      <c r="MV17" s="291"/>
      <c r="MW17" s="291"/>
      <c r="MX17" s="291"/>
      <c r="MY17" s="291"/>
      <c r="MZ17" s="291"/>
      <c r="NA17" s="291"/>
      <c r="NB17" s="291"/>
      <c r="NC17" s="291"/>
      <c r="ND17" s="291"/>
      <c r="NE17" s="291"/>
      <c r="NF17" s="291"/>
      <c r="NG17" s="291"/>
      <c r="NH17" s="291"/>
      <c r="NI17" s="291"/>
      <c r="NJ17" s="291"/>
      <c r="NK17" s="291"/>
      <c r="NL17" s="291"/>
      <c r="NM17" s="291"/>
      <c r="NN17" s="291"/>
      <c r="NO17" s="291"/>
      <c r="NP17" s="291"/>
      <c r="NQ17" s="291"/>
      <c r="NR17" s="291"/>
      <c r="NS17" s="291"/>
      <c r="NT17" s="291"/>
      <c r="NU17" s="291"/>
      <c r="NV17" s="291"/>
      <c r="NW17" s="291"/>
      <c r="NX17" s="291"/>
      <c r="NY17" s="291"/>
      <c r="NZ17" s="291"/>
      <c r="OA17" s="291"/>
      <c r="OB17" s="291"/>
      <c r="OC17" s="291"/>
      <c r="OD17" s="291"/>
      <c r="OE17" s="291"/>
      <c r="OF17" s="291"/>
      <c r="OG17" s="291"/>
      <c r="OH17" s="291"/>
      <c r="OI17" s="291"/>
      <c r="OJ17" s="291"/>
      <c r="OK17" s="291"/>
      <c r="OL17" s="291"/>
      <c r="OM17" s="291"/>
      <c r="ON17" s="291"/>
      <c r="OO17" s="291"/>
      <c r="OP17" s="291"/>
      <c r="OQ17" s="291"/>
      <c r="OR17" s="291"/>
      <c r="OS17" s="291"/>
      <c r="OT17" s="291"/>
      <c r="OU17" s="291"/>
      <c r="OV17" s="291"/>
      <c r="OW17" s="291"/>
    </row>
    <row r="18" spans="1:413" s="257" customFormat="1" hidden="1" x14ac:dyDescent="0.2">
      <c r="A18" s="291"/>
      <c r="B18" s="524">
        <f t="shared" ref="B18:B81" si="3">+B17+1</f>
        <v>3</v>
      </c>
      <c r="C18" s="510" t="s">
        <v>38</v>
      </c>
      <c r="D18" s="511">
        <v>20155824</v>
      </c>
      <c r="E18" s="511"/>
      <c r="F18" s="512" t="s">
        <v>1100</v>
      </c>
      <c r="G18" s="513" t="s">
        <v>45</v>
      </c>
      <c r="H18" s="514" t="s">
        <v>1094</v>
      </c>
      <c r="I18" s="514" t="s">
        <v>1101</v>
      </c>
      <c r="J18" s="346" t="s">
        <v>42</v>
      </c>
      <c r="K18" s="526">
        <v>3625201</v>
      </c>
      <c r="L18" s="527">
        <v>3583373</v>
      </c>
      <c r="M18" s="528">
        <v>0</v>
      </c>
      <c r="N18" s="520">
        <v>0</v>
      </c>
      <c r="O18" s="520">
        <v>0</v>
      </c>
      <c r="P18" s="520">
        <v>0</v>
      </c>
      <c r="Q18" s="520">
        <v>0</v>
      </c>
      <c r="R18" s="520">
        <v>0</v>
      </c>
      <c r="S18" s="520">
        <v>0</v>
      </c>
      <c r="T18" s="18"/>
      <c r="U18" s="18"/>
      <c r="V18" s="18"/>
      <c r="W18" s="18"/>
      <c r="X18" s="18"/>
      <c r="Y18" s="18"/>
      <c r="Z18" s="18">
        <f t="shared" si="0"/>
        <v>0</v>
      </c>
      <c r="AA18" s="309">
        <v>2</v>
      </c>
      <c r="AB18" s="19">
        <v>9</v>
      </c>
      <c r="AC18" s="521">
        <v>44232</v>
      </c>
      <c r="AD18" s="25">
        <v>44251</v>
      </c>
      <c r="AE18" s="529"/>
      <c r="AF18" s="20"/>
      <c r="AG18" s="23"/>
      <c r="AH18" s="25"/>
      <c r="AI18" s="529"/>
      <c r="AJ18" s="19"/>
      <c r="AK18" s="23"/>
      <c r="AL18" s="25"/>
      <c r="AM18" s="529"/>
      <c r="AN18" s="19"/>
      <c r="AO18" s="21"/>
      <c r="AP18" s="25"/>
      <c r="AQ18" s="529"/>
      <c r="AR18" s="19"/>
      <c r="AS18" s="21"/>
      <c r="AT18" s="25"/>
      <c r="AU18" s="522">
        <f t="shared" si="1"/>
        <v>2</v>
      </c>
      <c r="AV18" s="311">
        <f t="shared" si="2"/>
        <v>2</v>
      </c>
      <c r="AW18" s="305"/>
      <c r="AX18" s="291"/>
      <c r="AY18" s="291"/>
      <c r="AZ18" s="291"/>
      <c r="BA18" s="291"/>
      <c r="BB18" s="291"/>
      <c r="BC18" s="291"/>
      <c r="BD18" s="291"/>
      <c r="BE18" s="291"/>
      <c r="BF18" s="291"/>
      <c r="BG18" s="291"/>
      <c r="BH18" s="291"/>
      <c r="BI18" s="291"/>
      <c r="BJ18" s="291"/>
      <c r="BK18" s="291"/>
      <c r="BL18" s="291"/>
      <c r="BM18" s="291"/>
      <c r="BN18" s="291"/>
      <c r="BO18" s="291"/>
      <c r="BP18" s="291"/>
      <c r="BQ18" s="291"/>
      <c r="BR18" s="291"/>
      <c r="BS18" s="291"/>
      <c r="BT18" s="291"/>
      <c r="BU18" s="291"/>
      <c r="BV18" s="291"/>
      <c r="BW18" s="291"/>
      <c r="BX18" s="291"/>
      <c r="BY18" s="291"/>
      <c r="BZ18" s="291"/>
      <c r="CA18" s="291"/>
      <c r="CB18" s="291"/>
      <c r="CC18" s="291"/>
      <c r="CD18" s="291"/>
      <c r="CE18" s="291"/>
      <c r="CF18" s="291"/>
      <c r="CG18" s="291"/>
      <c r="CH18" s="291"/>
      <c r="CI18" s="291"/>
      <c r="CJ18" s="291"/>
      <c r="CK18" s="291"/>
      <c r="CL18" s="291"/>
      <c r="CM18" s="291"/>
      <c r="CN18" s="291"/>
      <c r="CO18" s="291"/>
      <c r="CP18" s="291"/>
      <c r="CQ18" s="291"/>
      <c r="CR18" s="291"/>
      <c r="CS18" s="291"/>
      <c r="CT18" s="291"/>
      <c r="CU18" s="291"/>
      <c r="CV18" s="291"/>
      <c r="CW18" s="291"/>
      <c r="CX18" s="291"/>
      <c r="CY18" s="291"/>
      <c r="CZ18" s="291"/>
      <c r="DA18" s="291"/>
      <c r="DB18" s="291"/>
      <c r="DC18" s="291"/>
      <c r="DD18" s="291"/>
      <c r="DE18" s="291"/>
      <c r="DF18" s="291"/>
      <c r="DG18" s="291"/>
      <c r="DH18" s="291"/>
      <c r="DI18" s="291"/>
      <c r="DJ18" s="291"/>
      <c r="DK18" s="291"/>
      <c r="DL18" s="291"/>
      <c r="DM18" s="291"/>
      <c r="DN18" s="291"/>
      <c r="DO18" s="291"/>
      <c r="DP18" s="291"/>
      <c r="DQ18" s="291"/>
      <c r="DR18" s="291"/>
      <c r="DS18" s="291"/>
      <c r="DT18" s="291"/>
      <c r="DU18" s="291"/>
      <c r="DV18" s="291"/>
      <c r="DW18" s="291"/>
      <c r="DX18" s="291"/>
      <c r="DY18" s="291"/>
      <c r="DZ18" s="291"/>
      <c r="EA18" s="291"/>
      <c r="EB18" s="291"/>
      <c r="EC18" s="291"/>
      <c r="ED18" s="291"/>
      <c r="EE18" s="291"/>
      <c r="EF18" s="291"/>
      <c r="EG18" s="291"/>
      <c r="EH18" s="291"/>
      <c r="EI18" s="291"/>
      <c r="EJ18" s="291"/>
      <c r="EK18" s="291"/>
      <c r="EL18" s="291"/>
      <c r="EM18" s="291"/>
      <c r="EN18" s="291"/>
      <c r="EO18" s="291"/>
      <c r="EP18" s="291"/>
      <c r="EQ18" s="291"/>
      <c r="ER18" s="291"/>
      <c r="ES18" s="291"/>
      <c r="ET18" s="291"/>
      <c r="EU18" s="291"/>
      <c r="EV18" s="291"/>
      <c r="EW18" s="291"/>
      <c r="EX18" s="291"/>
      <c r="EY18" s="291"/>
      <c r="EZ18" s="291"/>
      <c r="FA18" s="291"/>
      <c r="FB18" s="291"/>
      <c r="FC18" s="291"/>
      <c r="FD18" s="291"/>
      <c r="FE18" s="291"/>
      <c r="FF18" s="291"/>
      <c r="FG18" s="291"/>
      <c r="FH18" s="291"/>
      <c r="FI18" s="291"/>
      <c r="FJ18" s="291"/>
      <c r="FK18" s="291"/>
      <c r="FL18" s="291"/>
      <c r="FM18" s="291"/>
      <c r="FN18" s="291"/>
      <c r="FO18" s="291"/>
      <c r="FP18" s="291"/>
      <c r="FQ18" s="291"/>
      <c r="FR18" s="291"/>
      <c r="FS18" s="291"/>
      <c r="FT18" s="291"/>
      <c r="FU18" s="291"/>
      <c r="FV18" s="291"/>
      <c r="FW18" s="291"/>
      <c r="FX18" s="291"/>
      <c r="FY18" s="291"/>
      <c r="FZ18" s="291"/>
      <c r="GA18" s="291"/>
      <c r="GB18" s="291"/>
      <c r="GC18" s="291"/>
      <c r="GD18" s="291"/>
      <c r="GE18" s="291"/>
      <c r="GF18" s="291"/>
      <c r="GG18" s="291"/>
      <c r="GH18" s="291"/>
      <c r="GI18" s="291"/>
      <c r="GJ18" s="291"/>
      <c r="GK18" s="291"/>
      <c r="GL18" s="291"/>
      <c r="GM18" s="291"/>
      <c r="GN18" s="291"/>
      <c r="GO18" s="291"/>
      <c r="GP18" s="291"/>
      <c r="GQ18" s="291"/>
      <c r="GR18" s="291"/>
      <c r="GS18" s="291"/>
      <c r="GT18" s="291"/>
      <c r="GU18" s="291"/>
      <c r="GV18" s="291"/>
      <c r="GW18" s="291"/>
      <c r="GX18" s="291"/>
      <c r="GY18" s="291"/>
      <c r="GZ18" s="291"/>
      <c r="HA18" s="291"/>
      <c r="HB18" s="291"/>
      <c r="HC18" s="291"/>
      <c r="HD18" s="291"/>
      <c r="HE18" s="291"/>
      <c r="HF18" s="291"/>
      <c r="HG18" s="291"/>
      <c r="HH18" s="291"/>
      <c r="HI18" s="291"/>
      <c r="HJ18" s="291"/>
      <c r="HK18" s="291"/>
      <c r="HL18" s="291"/>
      <c r="HM18" s="291"/>
      <c r="HN18" s="291"/>
      <c r="HO18" s="291"/>
      <c r="HP18" s="291"/>
      <c r="HQ18" s="291"/>
      <c r="HR18" s="291"/>
      <c r="HS18" s="291"/>
      <c r="HT18" s="291"/>
      <c r="HU18" s="291"/>
      <c r="HV18" s="291"/>
      <c r="HW18" s="291"/>
      <c r="HX18" s="291"/>
      <c r="HY18" s="291"/>
      <c r="HZ18" s="291"/>
      <c r="IA18" s="291"/>
      <c r="IB18" s="291"/>
      <c r="IC18" s="291"/>
      <c r="ID18" s="291"/>
      <c r="IE18" s="291"/>
      <c r="IF18" s="291"/>
      <c r="IG18" s="291"/>
      <c r="IH18" s="291"/>
      <c r="II18" s="291"/>
      <c r="IJ18" s="291"/>
      <c r="IK18" s="291"/>
      <c r="IL18" s="291"/>
      <c r="IM18" s="291"/>
      <c r="IN18" s="291"/>
      <c r="IO18" s="291"/>
      <c r="IP18" s="291"/>
      <c r="IQ18" s="291"/>
      <c r="IR18" s="291"/>
      <c r="IS18" s="291"/>
      <c r="IT18" s="291"/>
      <c r="IU18" s="291"/>
      <c r="IV18" s="291"/>
      <c r="IW18" s="291"/>
      <c r="IX18" s="291"/>
      <c r="IY18" s="291"/>
      <c r="IZ18" s="291"/>
      <c r="JA18" s="291"/>
      <c r="JB18" s="291"/>
      <c r="JC18" s="291"/>
      <c r="JD18" s="291"/>
      <c r="JE18" s="291"/>
      <c r="JF18" s="291"/>
      <c r="JG18" s="291"/>
      <c r="JH18" s="291"/>
      <c r="JI18" s="291"/>
      <c r="JJ18" s="291"/>
      <c r="JK18" s="291"/>
      <c r="JL18" s="291"/>
      <c r="JM18" s="291"/>
      <c r="JN18" s="291"/>
      <c r="JO18" s="291"/>
      <c r="JP18" s="291"/>
      <c r="JQ18" s="291"/>
      <c r="JR18" s="291"/>
      <c r="JS18" s="291"/>
      <c r="JT18" s="291"/>
      <c r="JU18" s="291"/>
      <c r="JV18" s="291"/>
      <c r="JW18" s="291"/>
      <c r="JX18" s="291"/>
      <c r="JY18" s="291"/>
      <c r="JZ18" s="291"/>
      <c r="KA18" s="291"/>
      <c r="KB18" s="291"/>
      <c r="KC18" s="291"/>
      <c r="KD18" s="291"/>
      <c r="KE18" s="291"/>
      <c r="KF18" s="291"/>
      <c r="KG18" s="291"/>
      <c r="KH18" s="291"/>
      <c r="KI18" s="291"/>
      <c r="KJ18" s="291"/>
      <c r="KK18" s="291"/>
      <c r="KL18" s="291"/>
      <c r="KM18" s="291"/>
      <c r="KN18" s="291"/>
      <c r="KO18" s="291"/>
      <c r="KP18" s="291"/>
      <c r="KQ18" s="291"/>
      <c r="KR18" s="291"/>
      <c r="KS18" s="291"/>
      <c r="KT18" s="291"/>
      <c r="KU18" s="291"/>
      <c r="KV18" s="291"/>
      <c r="KW18" s="291"/>
      <c r="KX18" s="291"/>
      <c r="KY18" s="291"/>
      <c r="KZ18" s="291"/>
      <c r="LA18" s="291"/>
      <c r="LB18" s="291"/>
      <c r="LC18" s="291"/>
      <c r="LD18" s="291"/>
      <c r="LE18" s="291"/>
      <c r="LF18" s="291"/>
      <c r="LG18" s="291"/>
      <c r="LH18" s="291"/>
      <c r="LI18" s="291"/>
      <c r="LJ18" s="291"/>
      <c r="LK18" s="291"/>
      <c r="LL18" s="291"/>
      <c r="LM18" s="291"/>
      <c r="LN18" s="291"/>
      <c r="LO18" s="291"/>
      <c r="LP18" s="291"/>
      <c r="LQ18" s="291"/>
      <c r="LR18" s="291"/>
      <c r="LS18" s="291"/>
      <c r="LT18" s="291"/>
      <c r="LU18" s="291"/>
      <c r="LV18" s="291"/>
      <c r="LW18" s="291"/>
      <c r="LX18" s="291"/>
      <c r="LY18" s="291"/>
      <c r="LZ18" s="291"/>
      <c r="MA18" s="291"/>
      <c r="MB18" s="291"/>
      <c r="MC18" s="291"/>
      <c r="MD18" s="291"/>
      <c r="ME18" s="291"/>
      <c r="MF18" s="291"/>
      <c r="MG18" s="291"/>
      <c r="MH18" s="291"/>
      <c r="MI18" s="291"/>
      <c r="MJ18" s="291"/>
      <c r="MK18" s="291"/>
      <c r="ML18" s="291"/>
      <c r="MM18" s="291"/>
      <c r="MN18" s="291"/>
      <c r="MO18" s="291"/>
      <c r="MP18" s="291"/>
      <c r="MQ18" s="291"/>
      <c r="MR18" s="291"/>
      <c r="MS18" s="291"/>
      <c r="MT18" s="291"/>
      <c r="MU18" s="291"/>
      <c r="MV18" s="291"/>
      <c r="MW18" s="291"/>
      <c r="MX18" s="291"/>
      <c r="MY18" s="291"/>
      <c r="MZ18" s="291"/>
      <c r="NA18" s="291"/>
      <c r="NB18" s="291"/>
      <c r="NC18" s="291"/>
      <c r="ND18" s="291"/>
      <c r="NE18" s="291"/>
      <c r="NF18" s="291"/>
      <c r="NG18" s="291"/>
      <c r="NH18" s="291"/>
      <c r="NI18" s="291"/>
      <c r="NJ18" s="291"/>
      <c r="NK18" s="291"/>
      <c r="NL18" s="291"/>
      <c r="NM18" s="291"/>
      <c r="NN18" s="291"/>
      <c r="NO18" s="291"/>
      <c r="NP18" s="291"/>
      <c r="NQ18" s="291"/>
      <c r="NR18" s="291"/>
      <c r="NS18" s="291"/>
      <c r="NT18" s="291"/>
      <c r="NU18" s="291"/>
      <c r="NV18" s="291"/>
      <c r="NW18" s="291"/>
      <c r="NX18" s="291"/>
      <c r="NY18" s="291"/>
      <c r="NZ18" s="291"/>
      <c r="OA18" s="291"/>
      <c r="OB18" s="291"/>
      <c r="OC18" s="291"/>
      <c r="OD18" s="291"/>
      <c r="OE18" s="291"/>
      <c r="OF18" s="291"/>
      <c r="OG18" s="291"/>
      <c r="OH18" s="291"/>
      <c r="OI18" s="291"/>
      <c r="OJ18" s="291"/>
      <c r="OK18" s="291"/>
      <c r="OL18" s="291"/>
      <c r="OM18" s="291"/>
      <c r="ON18" s="291"/>
      <c r="OO18" s="291"/>
      <c r="OP18" s="291"/>
      <c r="OQ18" s="291"/>
      <c r="OR18" s="291"/>
      <c r="OS18" s="291"/>
      <c r="OT18" s="291"/>
      <c r="OU18" s="291"/>
      <c r="OV18" s="291"/>
      <c r="OW18" s="291"/>
    </row>
    <row r="19" spans="1:413" s="257" customFormat="1" hidden="1" x14ac:dyDescent="0.2">
      <c r="A19" s="291"/>
      <c r="B19" s="524">
        <f t="shared" si="3"/>
        <v>4</v>
      </c>
      <c r="C19" s="510" t="s">
        <v>38</v>
      </c>
      <c r="D19" s="511">
        <v>20156148</v>
      </c>
      <c r="E19" s="511"/>
      <c r="F19" s="512" t="s">
        <v>1102</v>
      </c>
      <c r="G19" s="513" t="s">
        <v>45</v>
      </c>
      <c r="H19" s="514" t="s">
        <v>1094</v>
      </c>
      <c r="I19" s="514" t="s">
        <v>1103</v>
      </c>
      <c r="J19" s="346" t="s">
        <v>42</v>
      </c>
      <c r="K19" s="526">
        <v>4460357</v>
      </c>
      <c r="L19" s="527">
        <v>10534</v>
      </c>
      <c r="M19" s="528">
        <v>3624015</v>
      </c>
      <c r="N19" s="519">
        <v>0</v>
      </c>
      <c r="O19" s="519">
        <v>120039</v>
      </c>
      <c r="P19" s="519">
        <v>137040</v>
      </c>
      <c r="Q19" s="519">
        <v>145671</v>
      </c>
      <c r="R19" s="519">
        <v>152379</v>
      </c>
      <c r="S19" s="520">
        <v>179088</v>
      </c>
      <c r="T19" s="18"/>
      <c r="U19" s="18"/>
      <c r="V19" s="18"/>
      <c r="W19" s="18"/>
      <c r="X19" s="18"/>
      <c r="Y19" s="18"/>
      <c r="Z19" s="18">
        <f t="shared" si="0"/>
        <v>734217</v>
      </c>
      <c r="AA19" s="309">
        <v>815000</v>
      </c>
      <c r="AB19" s="19">
        <v>9</v>
      </c>
      <c r="AC19" s="521">
        <v>44232</v>
      </c>
      <c r="AD19" s="25">
        <v>44251</v>
      </c>
      <c r="AE19" s="309">
        <v>1000002</v>
      </c>
      <c r="AF19" s="20">
        <v>39</v>
      </c>
      <c r="AG19" s="23">
        <v>44334</v>
      </c>
      <c r="AH19" s="25">
        <v>44342</v>
      </c>
      <c r="AI19" s="309"/>
      <c r="AJ19" s="19"/>
      <c r="AK19" s="23"/>
      <c r="AL19" s="25"/>
      <c r="AM19" s="309"/>
      <c r="AN19" s="19"/>
      <c r="AO19" s="21"/>
      <c r="AP19" s="25"/>
      <c r="AQ19" s="309"/>
      <c r="AR19" s="19"/>
      <c r="AS19" s="21"/>
      <c r="AT19" s="25"/>
      <c r="AU19" s="522">
        <f t="shared" si="1"/>
        <v>1815002</v>
      </c>
      <c r="AV19" s="311">
        <f t="shared" si="2"/>
        <v>1080785</v>
      </c>
      <c r="AW19" s="305"/>
      <c r="AX19" s="291"/>
      <c r="AY19" s="291"/>
      <c r="AZ19" s="291"/>
      <c r="BA19" s="291"/>
      <c r="BB19" s="291"/>
      <c r="BC19" s="291"/>
      <c r="BD19" s="291"/>
      <c r="BE19" s="291"/>
      <c r="BF19" s="291"/>
      <c r="BG19" s="291"/>
      <c r="BH19" s="291"/>
      <c r="BI19" s="291"/>
      <c r="BJ19" s="291"/>
      <c r="BK19" s="291"/>
      <c r="BL19" s="291"/>
      <c r="BM19" s="291"/>
      <c r="BN19" s="291"/>
      <c r="BO19" s="291"/>
      <c r="BP19" s="291"/>
      <c r="BQ19" s="291"/>
      <c r="BR19" s="291"/>
      <c r="BS19" s="291"/>
      <c r="BT19" s="291"/>
      <c r="BU19" s="291"/>
      <c r="BV19" s="291"/>
      <c r="BW19" s="291"/>
      <c r="BX19" s="291"/>
      <c r="BY19" s="291"/>
      <c r="BZ19" s="291"/>
      <c r="CA19" s="291"/>
      <c r="CB19" s="291"/>
      <c r="CC19" s="291"/>
      <c r="CD19" s="291"/>
      <c r="CE19" s="291"/>
      <c r="CF19" s="291"/>
      <c r="CG19" s="291"/>
      <c r="CH19" s="291"/>
      <c r="CI19" s="291"/>
      <c r="CJ19" s="291"/>
      <c r="CK19" s="291"/>
      <c r="CL19" s="291"/>
      <c r="CM19" s="291"/>
      <c r="CN19" s="291"/>
      <c r="CO19" s="291"/>
      <c r="CP19" s="291"/>
      <c r="CQ19" s="291"/>
      <c r="CR19" s="291"/>
      <c r="CS19" s="291"/>
      <c r="CT19" s="291"/>
      <c r="CU19" s="291"/>
      <c r="CV19" s="291"/>
      <c r="CW19" s="291"/>
      <c r="CX19" s="291"/>
      <c r="CY19" s="291"/>
      <c r="CZ19" s="291"/>
      <c r="DA19" s="291"/>
      <c r="DB19" s="291"/>
      <c r="DC19" s="291"/>
      <c r="DD19" s="291"/>
      <c r="DE19" s="291"/>
      <c r="DF19" s="291"/>
      <c r="DG19" s="291"/>
      <c r="DH19" s="291"/>
      <c r="DI19" s="291"/>
      <c r="DJ19" s="291"/>
      <c r="DK19" s="291"/>
      <c r="DL19" s="291"/>
      <c r="DM19" s="291"/>
      <c r="DN19" s="291"/>
      <c r="DO19" s="291"/>
      <c r="DP19" s="291"/>
      <c r="DQ19" s="291"/>
      <c r="DR19" s="291"/>
      <c r="DS19" s="291"/>
      <c r="DT19" s="291"/>
      <c r="DU19" s="291"/>
      <c r="DV19" s="291"/>
      <c r="DW19" s="291"/>
      <c r="DX19" s="291"/>
      <c r="DY19" s="291"/>
      <c r="DZ19" s="291"/>
      <c r="EA19" s="291"/>
      <c r="EB19" s="291"/>
      <c r="EC19" s="291"/>
      <c r="ED19" s="291"/>
      <c r="EE19" s="291"/>
      <c r="EF19" s="291"/>
      <c r="EG19" s="291"/>
      <c r="EH19" s="291"/>
      <c r="EI19" s="291"/>
      <c r="EJ19" s="291"/>
      <c r="EK19" s="291"/>
      <c r="EL19" s="291"/>
      <c r="EM19" s="291"/>
      <c r="EN19" s="291"/>
      <c r="EO19" s="291"/>
      <c r="EP19" s="291"/>
      <c r="EQ19" s="291"/>
      <c r="ER19" s="291"/>
      <c r="ES19" s="291"/>
      <c r="ET19" s="291"/>
      <c r="EU19" s="291"/>
      <c r="EV19" s="291"/>
      <c r="EW19" s="291"/>
      <c r="EX19" s="291"/>
      <c r="EY19" s="291"/>
      <c r="EZ19" s="291"/>
      <c r="FA19" s="291"/>
      <c r="FB19" s="291"/>
      <c r="FC19" s="291"/>
      <c r="FD19" s="291"/>
      <c r="FE19" s="291"/>
      <c r="FF19" s="291"/>
      <c r="FG19" s="291"/>
      <c r="FH19" s="291"/>
      <c r="FI19" s="291"/>
      <c r="FJ19" s="291"/>
      <c r="FK19" s="291"/>
      <c r="FL19" s="291"/>
      <c r="FM19" s="291"/>
      <c r="FN19" s="291"/>
      <c r="FO19" s="291"/>
      <c r="FP19" s="291"/>
      <c r="FQ19" s="291"/>
      <c r="FR19" s="291"/>
      <c r="FS19" s="291"/>
      <c r="FT19" s="291"/>
      <c r="FU19" s="291"/>
      <c r="FV19" s="291"/>
      <c r="FW19" s="291"/>
      <c r="FX19" s="291"/>
      <c r="FY19" s="291"/>
      <c r="FZ19" s="291"/>
      <c r="GA19" s="291"/>
      <c r="GB19" s="291"/>
      <c r="GC19" s="291"/>
      <c r="GD19" s="291"/>
      <c r="GE19" s="291"/>
      <c r="GF19" s="291"/>
      <c r="GG19" s="291"/>
      <c r="GH19" s="291"/>
      <c r="GI19" s="291"/>
      <c r="GJ19" s="291"/>
      <c r="GK19" s="291"/>
      <c r="GL19" s="291"/>
      <c r="GM19" s="291"/>
      <c r="GN19" s="291"/>
      <c r="GO19" s="291"/>
      <c r="GP19" s="291"/>
      <c r="GQ19" s="291"/>
      <c r="GR19" s="291"/>
      <c r="GS19" s="291"/>
      <c r="GT19" s="291"/>
      <c r="GU19" s="291"/>
      <c r="GV19" s="291"/>
      <c r="GW19" s="291"/>
      <c r="GX19" s="291"/>
      <c r="GY19" s="291"/>
      <c r="GZ19" s="291"/>
      <c r="HA19" s="291"/>
      <c r="HB19" s="291"/>
      <c r="HC19" s="291"/>
      <c r="HD19" s="291"/>
      <c r="HE19" s="291"/>
      <c r="HF19" s="291"/>
      <c r="HG19" s="291"/>
      <c r="HH19" s="291"/>
      <c r="HI19" s="291"/>
      <c r="HJ19" s="291"/>
      <c r="HK19" s="291"/>
      <c r="HL19" s="291"/>
      <c r="HM19" s="291"/>
      <c r="HN19" s="291"/>
      <c r="HO19" s="291"/>
      <c r="HP19" s="291"/>
      <c r="HQ19" s="291"/>
      <c r="HR19" s="291"/>
      <c r="HS19" s="291"/>
      <c r="HT19" s="291"/>
      <c r="HU19" s="291"/>
      <c r="HV19" s="291"/>
      <c r="HW19" s="291"/>
      <c r="HX19" s="291"/>
      <c r="HY19" s="291"/>
      <c r="HZ19" s="291"/>
      <c r="IA19" s="291"/>
      <c r="IB19" s="291"/>
      <c r="IC19" s="291"/>
      <c r="ID19" s="291"/>
      <c r="IE19" s="291"/>
      <c r="IF19" s="291"/>
      <c r="IG19" s="291"/>
      <c r="IH19" s="291"/>
      <c r="II19" s="291"/>
      <c r="IJ19" s="291"/>
      <c r="IK19" s="291"/>
      <c r="IL19" s="291"/>
      <c r="IM19" s="291"/>
      <c r="IN19" s="291"/>
      <c r="IO19" s="291"/>
      <c r="IP19" s="291"/>
      <c r="IQ19" s="291"/>
      <c r="IR19" s="291"/>
      <c r="IS19" s="291"/>
      <c r="IT19" s="291"/>
      <c r="IU19" s="291"/>
      <c r="IV19" s="291"/>
      <c r="IW19" s="291"/>
      <c r="IX19" s="291"/>
      <c r="IY19" s="291"/>
      <c r="IZ19" s="291"/>
      <c r="JA19" s="291"/>
      <c r="JB19" s="291"/>
      <c r="JC19" s="291"/>
      <c r="JD19" s="291"/>
      <c r="JE19" s="291"/>
      <c r="JF19" s="291"/>
      <c r="JG19" s="291"/>
      <c r="JH19" s="291"/>
      <c r="JI19" s="291"/>
      <c r="JJ19" s="291"/>
      <c r="JK19" s="291"/>
      <c r="JL19" s="291"/>
      <c r="JM19" s="291"/>
      <c r="JN19" s="291"/>
      <c r="JO19" s="291"/>
      <c r="JP19" s="291"/>
      <c r="JQ19" s="291"/>
      <c r="JR19" s="291"/>
      <c r="JS19" s="291"/>
      <c r="JT19" s="291"/>
      <c r="JU19" s="291"/>
      <c r="JV19" s="291"/>
      <c r="JW19" s="291"/>
      <c r="JX19" s="291"/>
      <c r="JY19" s="291"/>
      <c r="JZ19" s="291"/>
      <c r="KA19" s="291"/>
      <c r="KB19" s="291"/>
      <c r="KC19" s="291"/>
      <c r="KD19" s="291"/>
      <c r="KE19" s="291"/>
      <c r="KF19" s="291"/>
      <c r="KG19" s="291"/>
      <c r="KH19" s="291"/>
      <c r="KI19" s="291"/>
      <c r="KJ19" s="291"/>
      <c r="KK19" s="291"/>
      <c r="KL19" s="291"/>
      <c r="KM19" s="291"/>
      <c r="KN19" s="291"/>
      <c r="KO19" s="291"/>
      <c r="KP19" s="291"/>
      <c r="KQ19" s="291"/>
      <c r="KR19" s="291"/>
      <c r="KS19" s="291"/>
      <c r="KT19" s="291"/>
      <c r="KU19" s="291"/>
      <c r="KV19" s="291"/>
      <c r="KW19" s="291"/>
      <c r="KX19" s="291"/>
      <c r="KY19" s="291"/>
      <c r="KZ19" s="291"/>
      <c r="LA19" s="291"/>
      <c r="LB19" s="291"/>
      <c r="LC19" s="291"/>
      <c r="LD19" s="291"/>
      <c r="LE19" s="291"/>
      <c r="LF19" s="291"/>
      <c r="LG19" s="291"/>
      <c r="LH19" s="291"/>
      <c r="LI19" s="291"/>
      <c r="LJ19" s="291"/>
      <c r="LK19" s="291"/>
      <c r="LL19" s="291"/>
      <c r="LM19" s="291"/>
      <c r="LN19" s="291"/>
      <c r="LO19" s="291"/>
      <c r="LP19" s="291"/>
      <c r="LQ19" s="291"/>
      <c r="LR19" s="291"/>
      <c r="LS19" s="291"/>
      <c r="LT19" s="291"/>
      <c r="LU19" s="291"/>
      <c r="LV19" s="291"/>
      <c r="LW19" s="291"/>
      <c r="LX19" s="291"/>
      <c r="LY19" s="291"/>
      <c r="LZ19" s="291"/>
      <c r="MA19" s="291"/>
      <c r="MB19" s="291"/>
      <c r="MC19" s="291"/>
      <c r="MD19" s="291"/>
      <c r="ME19" s="291"/>
      <c r="MF19" s="291"/>
      <c r="MG19" s="291"/>
      <c r="MH19" s="291"/>
      <c r="MI19" s="291"/>
      <c r="MJ19" s="291"/>
      <c r="MK19" s="291"/>
      <c r="ML19" s="291"/>
      <c r="MM19" s="291"/>
      <c r="MN19" s="291"/>
      <c r="MO19" s="291"/>
      <c r="MP19" s="291"/>
      <c r="MQ19" s="291"/>
      <c r="MR19" s="291"/>
      <c r="MS19" s="291"/>
      <c r="MT19" s="291"/>
      <c r="MU19" s="291"/>
      <c r="MV19" s="291"/>
      <c r="MW19" s="291"/>
      <c r="MX19" s="291"/>
      <c r="MY19" s="291"/>
      <c r="MZ19" s="291"/>
      <c r="NA19" s="291"/>
      <c r="NB19" s="291"/>
      <c r="NC19" s="291"/>
      <c r="ND19" s="291"/>
      <c r="NE19" s="291"/>
      <c r="NF19" s="291"/>
      <c r="NG19" s="291"/>
      <c r="NH19" s="291"/>
      <c r="NI19" s="291"/>
      <c r="NJ19" s="291"/>
      <c r="NK19" s="291"/>
      <c r="NL19" s="291"/>
      <c r="NM19" s="291"/>
      <c r="NN19" s="291"/>
      <c r="NO19" s="291"/>
      <c r="NP19" s="291"/>
      <c r="NQ19" s="291"/>
      <c r="NR19" s="291"/>
      <c r="NS19" s="291"/>
      <c r="NT19" s="291"/>
      <c r="NU19" s="291"/>
      <c r="NV19" s="291"/>
      <c r="NW19" s="291"/>
      <c r="NX19" s="291"/>
      <c r="NY19" s="291"/>
      <c r="NZ19" s="291"/>
      <c r="OA19" s="291"/>
      <c r="OB19" s="291"/>
      <c r="OC19" s="291"/>
      <c r="OD19" s="291"/>
      <c r="OE19" s="291"/>
      <c r="OF19" s="291"/>
      <c r="OG19" s="291"/>
      <c r="OH19" s="291"/>
      <c r="OI19" s="291"/>
      <c r="OJ19" s="291"/>
      <c r="OK19" s="291"/>
      <c r="OL19" s="291"/>
      <c r="OM19" s="291"/>
      <c r="ON19" s="291"/>
      <c r="OO19" s="291"/>
      <c r="OP19" s="291"/>
      <c r="OQ19" s="291"/>
      <c r="OR19" s="291"/>
      <c r="OS19" s="291"/>
      <c r="OT19" s="291"/>
      <c r="OU19" s="291"/>
      <c r="OV19" s="291"/>
      <c r="OW19" s="291"/>
    </row>
    <row r="20" spans="1:413" s="257" customFormat="1" hidden="1" x14ac:dyDescent="0.2">
      <c r="A20" s="291"/>
      <c r="B20" s="524">
        <f t="shared" si="3"/>
        <v>5</v>
      </c>
      <c r="C20" s="510" t="s">
        <v>38</v>
      </c>
      <c r="D20" s="511">
        <v>20160270</v>
      </c>
      <c r="E20" s="511"/>
      <c r="F20" s="512" t="s">
        <v>1104</v>
      </c>
      <c r="G20" s="513" t="s">
        <v>45</v>
      </c>
      <c r="H20" s="514" t="s">
        <v>1094</v>
      </c>
      <c r="I20" s="514" t="s">
        <v>1105</v>
      </c>
      <c r="J20" s="346" t="s">
        <v>42</v>
      </c>
      <c r="K20" s="526">
        <v>1814141</v>
      </c>
      <c r="L20" s="527">
        <v>1274050</v>
      </c>
      <c r="M20" s="528">
        <v>4</v>
      </c>
      <c r="N20" s="519">
        <v>0</v>
      </c>
      <c r="O20" s="519">
        <v>0</v>
      </c>
      <c r="P20" s="519">
        <v>0</v>
      </c>
      <c r="Q20" s="519">
        <v>411299</v>
      </c>
      <c r="R20" s="519">
        <v>0</v>
      </c>
      <c r="S20" s="520">
        <v>222073</v>
      </c>
      <c r="T20" s="18"/>
      <c r="U20" s="18"/>
      <c r="V20" s="18"/>
      <c r="W20" s="18"/>
      <c r="X20" s="18"/>
      <c r="Y20" s="18"/>
      <c r="Z20" s="18">
        <f t="shared" si="0"/>
        <v>633372</v>
      </c>
      <c r="AA20" s="309">
        <v>538904</v>
      </c>
      <c r="AB20" s="338">
        <v>5</v>
      </c>
      <c r="AC20" s="521">
        <v>44224</v>
      </c>
      <c r="AD20" s="316">
        <v>44251</v>
      </c>
      <c r="AE20" s="309"/>
      <c r="AF20" s="314"/>
      <c r="AG20" s="315"/>
      <c r="AH20" s="316"/>
      <c r="AI20" s="309"/>
      <c r="AJ20" s="338"/>
      <c r="AK20" s="315"/>
      <c r="AL20" s="316"/>
      <c r="AM20" s="309"/>
      <c r="AN20" s="338"/>
      <c r="AO20" s="362"/>
      <c r="AP20" s="316"/>
      <c r="AQ20" s="309"/>
      <c r="AR20" s="338"/>
      <c r="AS20" s="21"/>
      <c r="AT20" s="25"/>
      <c r="AU20" s="522">
        <f t="shared" si="1"/>
        <v>538904</v>
      </c>
      <c r="AV20" s="311">
        <f t="shared" si="2"/>
        <v>-94468</v>
      </c>
      <c r="AW20" s="291"/>
      <c r="AX20" s="291"/>
      <c r="AY20" s="291"/>
      <c r="AZ20" s="291"/>
      <c r="BA20" s="291"/>
      <c r="BB20" s="291"/>
      <c r="BC20" s="291"/>
      <c r="BD20" s="291"/>
      <c r="BE20" s="291"/>
      <c r="BF20" s="291"/>
      <c r="BG20" s="291"/>
      <c r="BH20" s="291"/>
      <c r="BI20" s="291"/>
      <c r="BJ20" s="291"/>
      <c r="BK20" s="291"/>
      <c r="BL20" s="291"/>
      <c r="BM20" s="291"/>
      <c r="BN20" s="291"/>
      <c r="BO20" s="291"/>
      <c r="BP20" s="291"/>
      <c r="BQ20" s="291"/>
      <c r="BR20" s="291"/>
      <c r="BS20" s="291"/>
      <c r="BT20" s="291"/>
      <c r="BU20" s="291"/>
      <c r="BV20" s="291"/>
      <c r="BW20" s="291"/>
      <c r="BX20" s="291"/>
      <c r="BY20" s="291"/>
      <c r="BZ20" s="291"/>
      <c r="CA20" s="291"/>
      <c r="CB20" s="291"/>
      <c r="CC20" s="291"/>
      <c r="CD20" s="291"/>
      <c r="CE20" s="291"/>
      <c r="CF20" s="291"/>
      <c r="CG20" s="291"/>
      <c r="CH20" s="291"/>
      <c r="CI20" s="291"/>
      <c r="CJ20" s="291"/>
      <c r="CK20" s="291"/>
      <c r="CL20" s="291"/>
      <c r="CM20" s="291"/>
      <c r="CN20" s="291"/>
      <c r="CO20" s="291"/>
      <c r="CP20" s="291"/>
      <c r="CQ20" s="291"/>
      <c r="CR20" s="291"/>
      <c r="CS20" s="291"/>
      <c r="CT20" s="291"/>
      <c r="CU20" s="291"/>
      <c r="CV20" s="291"/>
      <c r="CW20" s="291"/>
      <c r="CX20" s="291"/>
      <c r="CY20" s="291"/>
      <c r="CZ20" s="291"/>
      <c r="DA20" s="291"/>
      <c r="DB20" s="291"/>
      <c r="DC20" s="291"/>
      <c r="DD20" s="291"/>
      <c r="DE20" s="291"/>
      <c r="DF20" s="291"/>
      <c r="DG20" s="291"/>
      <c r="DH20" s="291"/>
      <c r="DI20" s="291"/>
      <c r="DJ20" s="291"/>
      <c r="DK20" s="291"/>
      <c r="DL20" s="291"/>
      <c r="DM20" s="291"/>
      <c r="DN20" s="291"/>
      <c r="DO20" s="291"/>
      <c r="DP20" s="291"/>
      <c r="DQ20" s="291"/>
      <c r="DR20" s="291"/>
      <c r="DS20" s="291"/>
      <c r="DT20" s="291"/>
      <c r="DU20" s="291"/>
      <c r="DV20" s="291"/>
      <c r="DW20" s="291"/>
      <c r="DX20" s="291"/>
      <c r="DY20" s="291"/>
      <c r="DZ20" s="291"/>
      <c r="EA20" s="291"/>
      <c r="EB20" s="291"/>
      <c r="EC20" s="291"/>
      <c r="ED20" s="291"/>
      <c r="EE20" s="291"/>
      <c r="EF20" s="291"/>
      <c r="EG20" s="291"/>
      <c r="EH20" s="291"/>
      <c r="EI20" s="291"/>
      <c r="EJ20" s="291"/>
      <c r="EK20" s="291"/>
      <c r="EL20" s="291"/>
      <c r="EM20" s="291"/>
      <c r="EN20" s="291"/>
      <c r="EO20" s="291"/>
      <c r="EP20" s="291"/>
      <c r="EQ20" s="291"/>
      <c r="ER20" s="291"/>
      <c r="ES20" s="291"/>
      <c r="ET20" s="291"/>
      <c r="EU20" s="291"/>
      <c r="EV20" s="291"/>
      <c r="EW20" s="291"/>
      <c r="EX20" s="291"/>
      <c r="EY20" s="291"/>
      <c r="EZ20" s="291"/>
      <c r="FA20" s="291"/>
      <c r="FB20" s="291"/>
      <c r="FC20" s="291"/>
      <c r="FD20" s="291"/>
      <c r="FE20" s="291"/>
      <c r="FF20" s="291"/>
      <c r="FG20" s="291"/>
      <c r="FH20" s="291"/>
      <c r="FI20" s="291"/>
      <c r="FJ20" s="291"/>
      <c r="FK20" s="291"/>
      <c r="FL20" s="291"/>
      <c r="FM20" s="291"/>
      <c r="FN20" s="291"/>
      <c r="FO20" s="291"/>
      <c r="FP20" s="291"/>
      <c r="FQ20" s="291"/>
      <c r="FR20" s="291"/>
      <c r="FS20" s="291"/>
      <c r="FT20" s="291"/>
      <c r="FU20" s="291"/>
      <c r="FV20" s="291"/>
      <c r="FW20" s="291"/>
      <c r="FX20" s="291"/>
      <c r="FY20" s="291"/>
      <c r="FZ20" s="291"/>
      <c r="GA20" s="291"/>
      <c r="GB20" s="291"/>
      <c r="GC20" s="291"/>
      <c r="GD20" s="291"/>
      <c r="GE20" s="291"/>
      <c r="GF20" s="291"/>
      <c r="GG20" s="291"/>
      <c r="GH20" s="291"/>
      <c r="GI20" s="291"/>
      <c r="GJ20" s="291"/>
      <c r="GK20" s="291"/>
      <c r="GL20" s="291"/>
      <c r="GM20" s="291"/>
      <c r="GN20" s="291"/>
      <c r="GO20" s="291"/>
      <c r="GP20" s="291"/>
      <c r="GQ20" s="291"/>
      <c r="GR20" s="291"/>
      <c r="GS20" s="291"/>
      <c r="GT20" s="291"/>
      <c r="GU20" s="291"/>
      <c r="GV20" s="291"/>
      <c r="GW20" s="291"/>
      <c r="GX20" s="291"/>
      <c r="GY20" s="291"/>
      <c r="GZ20" s="291"/>
      <c r="HA20" s="291"/>
      <c r="HB20" s="291"/>
      <c r="HC20" s="291"/>
      <c r="HD20" s="291"/>
      <c r="HE20" s="291"/>
      <c r="HF20" s="291"/>
      <c r="HG20" s="291"/>
      <c r="HH20" s="291"/>
      <c r="HI20" s="291"/>
      <c r="HJ20" s="291"/>
      <c r="HK20" s="291"/>
      <c r="HL20" s="291"/>
      <c r="HM20" s="291"/>
      <c r="HN20" s="291"/>
      <c r="HO20" s="291"/>
      <c r="HP20" s="291"/>
      <c r="HQ20" s="291"/>
      <c r="HR20" s="291"/>
      <c r="HS20" s="291"/>
      <c r="HT20" s="291"/>
      <c r="HU20" s="291"/>
      <c r="HV20" s="291"/>
      <c r="HW20" s="291"/>
      <c r="HX20" s="291"/>
      <c r="HY20" s="291"/>
      <c r="HZ20" s="291"/>
      <c r="IA20" s="291"/>
      <c r="IB20" s="291"/>
      <c r="IC20" s="291"/>
      <c r="ID20" s="291"/>
      <c r="IE20" s="291"/>
      <c r="IF20" s="291"/>
      <c r="IG20" s="291"/>
      <c r="IH20" s="291"/>
      <c r="II20" s="291"/>
      <c r="IJ20" s="291"/>
      <c r="IK20" s="291"/>
      <c r="IL20" s="291"/>
      <c r="IM20" s="291"/>
      <c r="IN20" s="291"/>
      <c r="IO20" s="291"/>
      <c r="IP20" s="291"/>
      <c r="IQ20" s="291"/>
      <c r="IR20" s="291"/>
      <c r="IS20" s="291"/>
      <c r="IT20" s="291"/>
      <c r="IU20" s="291"/>
      <c r="IV20" s="291"/>
      <c r="IW20" s="291"/>
      <c r="IX20" s="291"/>
      <c r="IY20" s="291"/>
      <c r="IZ20" s="291"/>
      <c r="JA20" s="291"/>
      <c r="JB20" s="291"/>
      <c r="JC20" s="291"/>
      <c r="JD20" s="291"/>
      <c r="JE20" s="291"/>
      <c r="JF20" s="291"/>
      <c r="JG20" s="291"/>
      <c r="JH20" s="291"/>
      <c r="JI20" s="291"/>
      <c r="JJ20" s="291"/>
      <c r="JK20" s="291"/>
      <c r="JL20" s="291"/>
      <c r="JM20" s="291"/>
      <c r="JN20" s="291"/>
      <c r="JO20" s="291"/>
      <c r="JP20" s="291"/>
      <c r="JQ20" s="291"/>
      <c r="JR20" s="291"/>
      <c r="JS20" s="291"/>
      <c r="JT20" s="291"/>
      <c r="JU20" s="291"/>
      <c r="JV20" s="291"/>
      <c r="JW20" s="291"/>
      <c r="JX20" s="291"/>
      <c r="JY20" s="291"/>
      <c r="JZ20" s="291"/>
      <c r="KA20" s="291"/>
      <c r="KB20" s="291"/>
      <c r="KC20" s="291"/>
      <c r="KD20" s="291"/>
      <c r="KE20" s="291"/>
      <c r="KF20" s="291"/>
      <c r="KG20" s="291"/>
      <c r="KH20" s="291"/>
      <c r="KI20" s="291"/>
      <c r="KJ20" s="291"/>
      <c r="KK20" s="291"/>
      <c r="KL20" s="291"/>
      <c r="KM20" s="291"/>
      <c r="KN20" s="291"/>
      <c r="KO20" s="291"/>
      <c r="KP20" s="291"/>
      <c r="KQ20" s="291"/>
      <c r="KR20" s="291"/>
      <c r="KS20" s="291"/>
      <c r="KT20" s="291"/>
      <c r="KU20" s="291"/>
      <c r="KV20" s="291"/>
      <c r="KW20" s="291"/>
      <c r="KX20" s="291"/>
      <c r="KY20" s="291"/>
      <c r="KZ20" s="291"/>
      <c r="LA20" s="291"/>
      <c r="LB20" s="291"/>
      <c r="LC20" s="291"/>
      <c r="LD20" s="291"/>
      <c r="LE20" s="291"/>
      <c r="LF20" s="291"/>
      <c r="LG20" s="291"/>
      <c r="LH20" s="291"/>
      <c r="LI20" s="291"/>
      <c r="LJ20" s="291"/>
      <c r="LK20" s="291"/>
      <c r="LL20" s="291"/>
      <c r="LM20" s="291"/>
      <c r="LN20" s="291"/>
      <c r="LO20" s="291"/>
      <c r="LP20" s="291"/>
      <c r="LQ20" s="291"/>
      <c r="LR20" s="291"/>
      <c r="LS20" s="291"/>
      <c r="LT20" s="291"/>
      <c r="LU20" s="291"/>
      <c r="LV20" s="291"/>
      <c r="LW20" s="291"/>
      <c r="LX20" s="291"/>
      <c r="LY20" s="291"/>
      <c r="LZ20" s="291"/>
      <c r="MA20" s="291"/>
      <c r="MB20" s="291"/>
      <c r="MC20" s="291"/>
      <c r="MD20" s="291"/>
      <c r="ME20" s="291"/>
      <c r="MF20" s="291"/>
      <c r="MG20" s="291"/>
      <c r="MH20" s="291"/>
      <c r="MI20" s="291"/>
      <c r="MJ20" s="291"/>
      <c r="MK20" s="291"/>
      <c r="ML20" s="291"/>
      <c r="MM20" s="291"/>
      <c r="MN20" s="291"/>
      <c r="MO20" s="291"/>
      <c r="MP20" s="291"/>
      <c r="MQ20" s="291"/>
      <c r="MR20" s="291"/>
      <c r="MS20" s="291"/>
      <c r="MT20" s="291"/>
      <c r="MU20" s="291"/>
      <c r="MV20" s="291"/>
      <c r="MW20" s="291"/>
      <c r="MX20" s="291"/>
      <c r="MY20" s="291"/>
      <c r="MZ20" s="291"/>
      <c r="NA20" s="291"/>
      <c r="NB20" s="291"/>
      <c r="NC20" s="291"/>
      <c r="ND20" s="291"/>
      <c r="NE20" s="291"/>
      <c r="NF20" s="291"/>
      <c r="NG20" s="291"/>
      <c r="NH20" s="291"/>
      <c r="NI20" s="291"/>
      <c r="NJ20" s="291"/>
      <c r="NK20" s="291"/>
      <c r="NL20" s="291"/>
      <c r="NM20" s="291"/>
      <c r="NN20" s="291"/>
      <c r="NO20" s="291"/>
      <c r="NP20" s="291"/>
      <c r="NQ20" s="291"/>
      <c r="NR20" s="291"/>
      <c r="NS20" s="291"/>
      <c r="NT20" s="291"/>
      <c r="NU20" s="291"/>
      <c r="NV20" s="291"/>
      <c r="NW20" s="291"/>
      <c r="NX20" s="291"/>
      <c r="NY20" s="291"/>
      <c r="NZ20" s="291"/>
      <c r="OA20" s="291"/>
      <c r="OB20" s="291"/>
      <c r="OC20" s="291"/>
      <c r="OD20" s="291"/>
      <c r="OE20" s="291"/>
      <c r="OF20" s="291"/>
      <c r="OG20" s="291"/>
      <c r="OH20" s="291"/>
      <c r="OI20" s="291"/>
      <c r="OJ20" s="291"/>
      <c r="OK20" s="291"/>
      <c r="OL20" s="291"/>
      <c r="OM20" s="291"/>
      <c r="ON20" s="291"/>
      <c r="OO20" s="291"/>
      <c r="OP20" s="291"/>
      <c r="OQ20" s="291"/>
      <c r="OR20" s="291"/>
      <c r="OS20" s="291"/>
      <c r="OT20" s="291"/>
      <c r="OU20" s="291"/>
      <c r="OV20" s="291"/>
      <c r="OW20" s="291"/>
    </row>
    <row r="21" spans="1:413" s="257" customFormat="1" ht="22.5" hidden="1" x14ac:dyDescent="0.2">
      <c r="A21" s="291"/>
      <c r="B21" s="524">
        <f t="shared" si="3"/>
        <v>6</v>
      </c>
      <c r="C21" s="510" t="s">
        <v>38</v>
      </c>
      <c r="D21" s="511">
        <v>20160278</v>
      </c>
      <c r="E21" s="511"/>
      <c r="F21" s="512" t="s">
        <v>1106</v>
      </c>
      <c r="G21" s="513" t="s">
        <v>46</v>
      </c>
      <c r="H21" s="514" t="s">
        <v>1094</v>
      </c>
      <c r="I21" s="514" t="s">
        <v>1107</v>
      </c>
      <c r="J21" s="346" t="s">
        <v>43</v>
      </c>
      <c r="K21" s="526">
        <v>78047</v>
      </c>
      <c r="L21" s="527">
        <v>0</v>
      </c>
      <c r="M21" s="528">
        <v>1718</v>
      </c>
      <c r="N21" s="519">
        <v>0</v>
      </c>
      <c r="O21" s="519">
        <v>0</v>
      </c>
      <c r="P21" s="519">
        <v>0</v>
      </c>
      <c r="Q21" s="519">
        <v>0</v>
      </c>
      <c r="R21" s="519">
        <v>0</v>
      </c>
      <c r="S21" s="520">
        <v>0</v>
      </c>
      <c r="T21" s="18"/>
      <c r="U21" s="18"/>
      <c r="V21" s="18"/>
      <c r="W21" s="18"/>
      <c r="X21" s="18"/>
      <c r="Y21" s="18"/>
      <c r="Z21" s="18">
        <f t="shared" si="0"/>
        <v>0</v>
      </c>
      <c r="AA21" s="309">
        <v>38165</v>
      </c>
      <c r="AB21" s="19">
        <v>5</v>
      </c>
      <c r="AC21" s="521">
        <v>44224</v>
      </c>
      <c r="AD21" s="25">
        <v>44251</v>
      </c>
      <c r="AE21" s="309">
        <v>-17265</v>
      </c>
      <c r="AF21" s="20">
        <v>50</v>
      </c>
      <c r="AG21" s="23">
        <v>44356</v>
      </c>
      <c r="AH21" s="25">
        <v>44377</v>
      </c>
      <c r="AI21" s="309"/>
      <c r="AJ21" s="19"/>
      <c r="AK21" s="23"/>
      <c r="AL21" s="25"/>
      <c r="AM21" s="309"/>
      <c r="AN21" s="19"/>
      <c r="AO21" s="21"/>
      <c r="AP21" s="25"/>
      <c r="AQ21" s="309"/>
      <c r="AR21" s="19"/>
      <c r="AS21" s="21"/>
      <c r="AT21" s="25"/>
      <c r="AU21" s="522">
        <f t="shared" si="1"/>
        <v>20900</v>
      </c>
      <c r="AV21" s="311">
        <f t="shared" si="2"/>
        <v>20900</v>
      </c>
      <c r="AW21" s="305"/>
      <c r="AX21" s="291"/>
      <c r="AY21" s="291"/>
      <c r="AZ21" s="291"/>
      <c r="BA21" s="291"/>
      <c r="BB21" s="291"/>
      <c r="BC21" s="291"/>
      <c r="BD21" s="291"/>
      <c r="BE21" s="291"/>
      <c r="BF21" s="291"/>
      <c r="BG21" s="291"/>
      <c r="BH21" s="291"/>
      <c r="BI21" s="291"/>
      <c r="BJ21" s="291"/>
      <c r="BK21" s="291"/>
      <c r="BL21" s="291"/>
      <c r="BM21" s="291"/>
      <c r="BN21" s="291"/>
      <c r="BO21" s="291"/>
      <c r="BP21" s="291"/>
      <c r="BQ21" s="291"/>
      <c r="BR21" s="291"/>
      <c r="BS21" s="291"/>
      <c r="BT21" s="291"/>
      <c r="BU21" s="291"/>
      <c r="BV21" s="291"/>
      <c r="BW21" s="291"/>
      <c r="BX21" s="291"/>
      <c r="BY21" s="291"/>
      <c r="BZ21" s="291"/>
      <c r="CA21" s="291"/>
      <c r="CB21" s="291"/>
      <c r="CC21" s="291"/>
      <c r="CD21" s="291"/>
      <c r="CE21" s="291"/>
      <c r="CF21" s="291"/>
      <c r="CG21" s="291"/>
      <c r="CH21" s="291"/>
      <c r="CI21" s="291"/>
      <c r="CJ21" s="291"/>
      <c r="CK21" s="291"/>
      <c r="CL21" s="291"/>
      <c r="CM21" s="291"/>
      <c r="CN21" s="291"/>
      <c r="CO21" s="291"/>
      <c r="CP21" s="291"/>
      <c r="CQ21" s="291"/>
      <c r="CR21" s="291"/>
      <c r="CS21" s="291"/>
      <c r="CT21" s="291"/>
      <c r="CU21" s="291"/>
      <c r="CV21" s="291"/>
      <c r="CW21" s="291"/>
      <c r="CX21" s="291"/>
      <c r="CY21" s="291"/>
      <c r="CZ21" s="291"/>
      <c r="DA21" s="291"/>
      <c r="DB21" s="291"/>
      <c r="DC21" s="291"/>
      <c r="DD21" s="291"/>
      <c r="DE21" s="291"/>
      <c r="DF21" s="291"/>
      <c r="DG21" s="291"/>
      <c r="DH21" s="291"/>
      <c r="DI21" s="291"/>
      <c r="DJ21" s="291"/>
      <c r="DK21" s="291"/>
      <c r="DL21" s="291"/>
      <c r="DM21" s="291"/>
      <c r="DN21" s="291"/>
      <c r="DO21" s="291"/>
      <c r="DP21" s="291"/>
      <c r="DQ21" s="291"/>
      <c r="DR21" s="291"/>
      <c r="DS21" s="291"/>
      <c r="DT21" s="291"/>
      <c r="DU21" s="291"/>
      <c r="DV21" s="291"/>
      <c r="DW21" s="291"/>
      <c r="DX21" s="291"/>
      <c r="DY21" s="291"/>
      <c r="DZ21" s="291"/>
      <c r="EA21" s="291"/>
      <c r="EB21" s="291"/>
      <c r="EC21" s="291"/>
      <c r="ED21" s="291"/>
      <c r="EE21" s="291"/>
      <c r="EF21" s="291"/>
      <c r="EG21" s="291"/>
      <c r="EH21" s="291"/>
      <c r="EI21" s="291"/>
      <c r="EJ21" s="291"/>
      <c r="EK21" s="291"/>
      <c r="EL21" s="291"/>
      <c r="EM21" s="291"/>
      <c r="EN21" s="291"/>
      <c r="EO21" s="291"/>
      <c r="EP21" s="291"/>
      <c r="EQ21" s="291"/>
      <c r="ER21" s="291"/>
      <c r="ES21" s="291"/>
      <c r="ET21" s="291"/>
      <c r="EU21" s="291"/>
      <c r="EV21" s="291"/>
      <c r="EW21" s="291"/>
      <c r="EX21" s="291"/>
      <c r="EY21" s="291"/>
      <c r="EZ21" s="291"/>
      <c r="FA21" s="291"/>
      <c r="FB21" s="291"/>
      <c r="FC21" s="291"/>
      <c r="FD21" s="291"/>
      <c r="FE21" s="291"/>
      <c r="FF21" s="291"/>
      <c r="FG21" s="291"/>
      <c r="FH21" s="291"/>
      <c r="FI21" s="291"/>
      <c r="FJ21" s="291"/>
      <c r="FK21" s="291"/>
      <c r="FL21" s="291"/>
      <c r="FM21" s="291"/>
      <c r="FN21" s="291"/>
      <c r="FO21" s="291"/>
      <c r="FP21" s="291"/>
      <c r="FQ21" s="291"/>
      <c r="FR21" s="291"/>
      <c r="FS21" s="291"/>
      <c r="FT21" s="291"/>
      <c r="FU21" s="291"/>
      <c r="FV21" s="291"/>
      <c r="FW21" s="291"/>
      <c r="FX21" s="291"/>
      <c r="FY21" s="291"/>
      <c r="FZ21" s="291"/>
      <c r="GA21" s="291"/>
      <c r="GB21" s="291"/>
      <c r="GC21" s="291"/>
      <c r="GD21" s="291"/>
      <c r="GE21" s="291"/>
      <c r="GF21" s="291"/>
      <c r="GG21" s="291"/>
      <c r="GH21" s="291"/>
      <c r="GI21" s="291"/>
      <c r="GJ21" s="291"/>
      <c r="GK21" s="291"/>
      <c r="GL21" s="291"/>
      <c r="GM21" s="291"/>
      <c r="GN21" s="291"/>
      <c r="GO21" s="291"/>
      <c r="GP21" s="291"/>
      <c r="GQ21" s="291"/>
      <c r="GR21" s="291"/>
      <c r="GS21" s="291"/>
      <c r="GT21" s="291"/>
      <c r="GU21" s="291"/>
      <c r="GV21" s="291"/>
      <c r="GW21" s="291"/>
      <c r="GX21" s="291"/>
      <c r="GY21" s="291"/>
      <c r="GZ21" s="291"/>
      <c r="HA21" s="291"/>
      <c r="HB21" s="291"/>
      <c r="HC21" s="291"/>
      <c r="HD21" s="291"/>
      <c r="HE21" s="291"/>
      <c r="HF21" s="291"/>
      <c r="HG21" s="291"/>
      <c r="HH21" s="291"/>
      <c r="HI21" s="291"/>
      <c r="HJ21" s="291"/>
      <c r="HK21" s="291"/>
      <c r="HL21" s="291"/>
      <c r="HM21" s="291"/>
      <c r="HN21" s="291"/>
      <c r="HO21" s="291"/>
      <c r="HP21" s="291"/>
      <c r="HQ21" s="291"/>
      <c r="HR21" s="291"/>
      <c r="HS21" s="291"/>
      <c r="HT21" s="291"/>
      <c r="HU21" s="291"/>
      <c r="HV21" s="291"/>
      <c r="HW21" s="291"/>
      <c r="HX21" s="291"/>
      <c r="HY21" s="291"/>
      <c r="HZ21" s="291"/>
      <c r="IA21" s="291"/>
      <c r="IB21" s="291"/>
      <c r="IC21" s="291"/>
      <c r="ID21" s="291"/>
      <c r="IE21" s="291"/>
      <c r="IF21" s="291"/>
      <c r="IG21" s="291"/>
      <c r="IH21" s="291"/>
      <c r="II21" s="291"/>
      <c r="IJ21" s="291"/>
      <c r="IK21" s="291"/>
      <c r="IL21" s="291"/>
      <c r="IM21" s="291"/>
      <c r="IN21" s="291"/>
      <c r="IO21" s="291"/>
      <c r="IP21" s="291"/>
      <c r="IQ21" s="291"/>
      <c r="IR21" s="291"/>
      <c r="IS21" s="291"/>
      <c r="IT21" s="291"/>
      <c r="IU21" s="291"/>
      <c r="IV21" s="291"/>
      <c r="IW21" s="291"/>
      <c r="IX21" s="291"/>
      <c r="IY21" s="291"/>
      <c r="IZ21" s="291"/>
      <c r="JA21" s="291"/>
      <c r="JB21" s="291"/>
      <c r="JC21" s="291"/>
      <c r="JD21" s="291"/>
      <c r="JE21" s="291"/>
      <c r="JF21" s="291"/>
      <c r="JG21" s="291"/>
      <c r="JH21" s="291"/>
      <c r="JI21" s="291"/>
      <c r="JJ21" s="291"/>
      <c r="JK21" s="291"/>
      <c r="JL21" s="291"/>
      <c r="JM21" s="291"/>
      <c r="JN21" s="291"/>
      <c r="JO21" s="291"/>
      <c r="JP21" s="291"/>
      <c r="JQ21" s="291"/>
      <c r="JR21" s="291"/>
      <c r="JS21" s="291"/>
      <c r="JT21" s="291"/>
      <c r="JU21" s="291"/>
      <c r="JV21" s="291"/>
      <c r="JW21" s="291"/>
      <c r="JX21" s="291"/>
      <c r="JY21" s="291"/>
      <c r="JZ21" s="291"/>
      <c r="KA21" s="291"/>
      <c r="KB21" s="291"/>
      <c r="KC21" s="291"/>
      <c r="KD21" s="291"/>
      <c r="KE21" s="291"/>
      <c r="KF21" s="291"/>
      <c r="KG21" s="291"/>
      <c r="KH21" s="291"/>
      <c r="KI21" s="291"/>
      <c r="KJ21" s="291"/>
      <c r="KK21" s="291"/>
      <c r="KL21" s="291"/>
      <c r="KM21" s="291"/>
      <c r="KN21" s="291"/>
      <c r="KO21" s="291"/>
      <c r="KP21" s="291"/>
      <c r="KQ21" s="291"/>
      <c r="KR21" s="291"/>
      <c r="KS21" s="291"/>
      <c r="KT21" s="291"/>
      <c r="KU21" s="291"/>
      <c r="KV21" s="291"/>
      <c r="KW21" s="291"/>
      <c r="KX21" s="291"/>
      <c r="KY21" s="291"/>
      <c r="KZ21" s="291"/>
      <c r="LA21" s="291"/>
      <c r="LB21" s="291"/>
      <c r="LC21" s="291"/>
      <c r="LD21" s="291"/>
      <c r="LE21" s="291"/>
      <c r="LF21" s="291"/>
      <c r="LG21" s="291"/>
      <c r="LH21" s="291"/>
      <c r="LI21" s="291"/>
      <c r="LJ21" s="291"/>
      <c r="LK21" s="291"/>
      <c r="LL21" s="291"/>
      <c r="LM21" s="291"/>
      <c r="LN21" s="291"/>
      <c r="LO21" s="291"/>
      <c r="LP21" s="291"/>
      <c r="LQ21" s="291"/>
      <c r="LR21" s="291"/>
      <c r="LS21" s="291"/>
      <c r="LT21" s="291"/>
      <c r="LU21" s="291"/>
      <c r="LV21" s="291"/>
      <c r="LW21" s="291"/>
      <c r="LX21" s="291"/>
      <c r="LY21" s="291"/>
      <c r="LZ21" s="291"/>
      <c r="MA21" s="291"/>
      <c r="MB21" s="291"/>
      <c r="MC21" s="291"/>
      <c r="MD21" s="291"/>
      <c r="ME21" s="291"/>
      <c r="MF21" s="291"/>
      <c r="MG21" s="291"/>
      <c r="MH21" s="291"/>
      <c r="MI21" s="291"/>
      <c r="MJ21" s="291"/>
      <c r="MK21" s="291"/>
      <c r="ML21" s="291"/>
      <c r="MM21" s="291"/>
      <c r="MN21" s="291"/>
      <c r="MO21" s="291"/>
      <c r="MP21" s="291"/>
      <c r="MQ21" s="291"/>
      <c r="MR21" s="291"/>
      <c r="MS21" s="291"/>
      <c r="MT21" s="291"/>
      <c r="MU21" s="291"/>
      <c r="MV21" s="291"/>
      <c r="MW21" s="291"/>
      <c r="MX21" s="291"/>
      <c r="MY21" s="291"/>
      <c r="MZ21" s="291"/>
      <c r="NA21" s="291"/>
      <c r="NB21" s="291"/>
      <c r="NC21" s="291"/>
      <c r="ND21" s="291"/>
      <c r="NE21" s="291"/>
      <c r="NF21" s="291"/>
      <c r="NG21" s="291"/>
      <c r="NH21" s="291"/>
      <c r="NI21" s="291"/>
      <c r="NJ21" s="291"/>
      <c r="NK21" s="291"/>
      <c r="NL21" s="291"/>
      <c r="NM21" s="291"/>
      <c r="NN21" s="291"/>
      <c r="NO21" s="291"/>
      <c r="NP21" s="291"/>
      <c r="NQ21" s="291"/>
      <c r="NR21" s="291"/>
      <c r="NS21" s="291"/>
      <c r="NT21" s="291"/>
      <c r="NU21" s="291"/>
      <c r="NV21" s="291"/>
      <c r="NW21" s="291"/>
      <c r="NX21" s="291"/>
      <c r="NY21" s="291"/>
      <c r="NZ21" s="291"/>
      <c r="OA21" s="291"/>
      <c r="OB21" s="291"/>
      <c r="OC21" s="291"/>
      <c r="OD21" s="291"/>
      <c r="OE21" s="291"/>
      <c r="OF21" s="291"/>
      <c r="OG21" s="291"/>
      <c r="OH21" s="291"/>
      <c r="OI21" s="291"/>
      <c r="OJ21" s="291"/>
      <c r="OK21" s="291"/>
      <c r="OL21" s="291"/>
      <c r="OM21" s="291"/>
      <c r="ON21" s="291"/>
      <c r="OO21" s="291"/>
      <c r="OP21" s="291"/>
      <c r="OQ21" s="291"/>
      <c r="OR21" s="291"/>
      <c r="OS21" s="291"/>
      <c r="OT21" s="291"/>
      <c r="OU21" s="291"/>
      <c r="OV21" s="291"/>
      <c r="OW21" s="291"/>
    </row>
    <row r="22" spans="1:413" s="257" customFormat="1" hidden="1" x14ac:dyDescent="0.2">
      <c r="A22" s="291"/>
      <c r="B22" s="524">
        <f t="shared" si="3"/>
        <v>7</v>
      </c>
      <c r="C22" s="510" t="s">
        <v>38</v>
      </c>
      <c r="D22" s="511">
        <v>20167712</v>
      </c>
      <c r="E22" s="511"/>
      <c r="F22" s="512" t="s">
        <v>1108</v>
      </c>
      <c r="G22" s="513" t="s">
        <v>45</v>
      </c>
      <c r="H22" s="514" t="s">
        <v>1094</v>
      </c>
      <c r="I22" s="515" t="s">
        <v>1109</v>
      </c>
      <c r="J22" s="346" t="s">
        <v>42</v>
      </c>
      <c r="K22" s="526">
        <v>1148821</v>
      </c>
      <c r="L22" s="527">
        <v>16316</v>
      </c>
      <c r="M22" s="528">
        <v>907503</v>
      </c>
      <c r="N22" s="520">
        <v>0</v>
      </c>
      <c r="O22" s="520">
        <v>0</v>
      </c>
      <c r="P22" s="520">
        <v>0</v>
      </c>
      <c r="Q22" s="520">
        <v>0</v>
      </c>
      <c r="R22" s="520">
        <v>0</v>
      </c>
      <c r="S22" s="520">
        <v>0</v>
      </c>
      <c r="T22" s="18"/>
      <c r="U22" s="18"/>
      <c r="V22" s="18"/>
      <c r="W22" s="18"/>
      <c r="X22" s="18"/>
      <c r="Y22" s="18"/>
      <c r="Z22" s="18">
        <f t="shared" si="0"/>
        <v>0</v>
      </c>
      <c r="AA22" s="309">
        <v>210002</v>
      </c>
      <c r="AB22" s="19">
        <v>3</v>
      </c>
      <c r="AC22" s="521">
        <v>44222</v>
      </c>
      <c r="AD22" s="25">
        <v>44225</v>
      </c>
      <c r="AE22" s="309"/>
      <c r="AF22" s="20"/>
      <c r="AG22" s="23"/>
      <c r="AH22" s="25"/>
      <c r="AI22" s="309"/>
      <c r="AJ22" s="19"/>
      <c r="AK22" s="23"/>
      <c r="AL22" s="25"/>
      <c r="AM22" s="309"/>
      <c r="AN22" s="19"/>
      <c r="AO22" s="21"/>
      <c r="AP22" s="25"/>
      <c r="AQ22" s="309"/>
      <c r="AR22" s="19"/>
      <c r="AS22" s="21"/>
      <c r="AT22" s="25"/>
      <c r="AU22" s="522">
        <f t="shared" si="1"/>
        <v>210002</v>
      </c>
      <c r="AV22" s="311">
        <f t="shared" si="2"/>
        <v>210002</v>
      </c>
      <c r="AW22" s="305"/>
      <c r="AX22" s="291"/>
      <c r="AY22" s="291"/>
      <c r="AZ22" s="291"/>
      <c r="BA22" s="291"/>
      <c r="BB22" s="291"/>
      <c r="BC22" s="291"/>
      <c r="BD22" s="291"/>
      <c r="BE22" s="291"/>
      <c r="BF22" s="291"/>
      <c r="BG22" s="291"/>
      <c r="BH22" s="291"/>
      <c r="BI22" s="291"/>
      <c r="BJ22" s="291"/>
      <c r="BK22" s="291"/>
      <c r="BL22" s="291"/>
      <c r="BM22" s="291"/>
      <c r="BN22" s="291"/>
      <c r="BO22" s="291"/>
      <c r="BP22" s="291"/>
      <c r="BQ22" s="291"/>
      <c r="BR22" s="291"/>
      <c r="BS22" s="291"/>
      <c r="BT22" s="291"/>
      <c r="BU22" s="291"/>
      <c r="BV22" s="291"/>
      <c r="BW22" s="291"/>
      <c r="BX22" s="291"/>
      <c r="BY22" s="291"/>
      <c r="BZ22" s="291"/>
      <c r="CA22" s="291"/>
      <c r="CB22" s="291"/>
      <c r="CC22" s="291"/>
      <c r="CD22" s="291"/>
      <c r="CE22" s="291"/>
      <c r="CF22" s="291"/>
      <c r="CG22" s="291"/>
      <c r="CH22" s="291"/>
      <c r="CI22" s="291"/>
      <c r="CJ22" s="291"/>
      <c r="CK22" s="291"/>
      <c r="CL22" s="291"/>
      <c r="CM22" s="291"/>
      <c r="CN22" s="291"/>
      <c r="CO22" s="291"/>
      <c r="CP22" s="291"/>
      <c r="CQ22" s="291"/>
      <c r="CR22" s="291"/>
      <c r="CS22" s="291"/>
      <c r="CT22" s="291"/>
      <c r="CU22" s="291"/>
      <c r="CV22" s="291"/>
      <c r="CW22" s="291"/>
      <c r="CX22" s="291"/>
      <c r="CY22" s="291"/>
      <c r="CZ22" s="291"/>
      <c r="DA22" s="291"/>
      <c r="DB22" s="291"/>
      <c r="DC22" s="291"/>
      <c r="DD22" s="291"/>
      <c r="DE22" s="291"/>
      <c r="DF22" s="291"/>
      <c r="DG22" s="291"/>
      <c r="DH22" s="291"/>
      <c r="DI22" s="291"/>
      <c r="DJ22" s="291"/>
      <c r="DK22" s="291"/>
      <c r="DL22" s="291"/>
      <c r="DM22" s="291"/>
      <c r="DN22" s="291"/>
      <c r="DO22" s="291"/>
      <c r="DP22" s="291"/>
      <c r="DQ22" s="291"/>
      <c r="DR22" s="291"/>
      <c r="DS22" s="291"/>
      <c r="DT22" s="291"/>
      <c r="DU22" s="291"/>
      <c r="DV22" s="291"/>
      <c r="DW22" s="291"/>
      <c r="DX22" s="291"/>
      <c r="DY22" s="291"/>
      <c r="DZ22" s="291"/>
      <c r="EA22" s="291"/>
      <c r="EB22" s="291"/>
      <c r="EC22" s="291"/>
      <c r="ED22" s="291"/>
      <c r="EE22" s="291"/>
      <c r="EF22" s="291"/>
      <c r="EG22" s="291"/>
      <c r="EH22" s="291"/>
      <c r="EI22" s="291"/>
      <c r="EJ22" s="291"/>
      <c r="EK22" s="291"/>
      <c r="EL22" s="291"/>
      <c r="EM22" s="291"/>
      <c r="EN22" s="291"/>
      <c r="EO22" s="291"/>
      <c r="EP22" s="291"/>
      <c r="EQ22" s="291"/>
      <c r="ER22" s="291"/>
      <c r="ES22" s="291"/>
      <c r="ET22" s="291"/>
      <c r="EU22" s="291"/>
      <c r="EV22" s="291"/>
      <c r="EW22" s="291"/>
      <c r="EX22" s="291"/>
      <c r="EY22" s="291"/>
      <c r="EZ22" s="291"/>
      <c r="FA22" s="291"/>
      <c r="FB22" s="291"/>
      <c r="FC22" s="291"/>
      <c r="FD22" s="291"/>
      <c r="FE22" s="291"/>
      <c r="FF22" s="291"/>
      <c r="FG22" s="291"/>
      <c r="FH22" s="291"/>
      <c r="FI22" s="291"/>
      <c r="FJ22" s="291"/>
      <c r="FK22" s="291"/>
      <c r="FL22" s="291"/>
      <c r="FM22" s="291"/>
      <c r="FN22" s="291"/>
      <c r="FO22" s="291"/>
      <c r="FP22" s="291"/>
      <c r="FQ22" s="291"/>
      <c r="FR22" s="291"/>
      <c r="FS22" s="291"/>
      <c r="FT22" s="291"/>
      <c r="FU22" s="291"/>
      <c r="FV22" s="291"/>
      <c r="FW22" s="291"/>
      <c r="FX22" s="291"/>
      <c r="FY22" s="291"/>
      <c r="FZ22" s="291"/>
      <c r="GA22" s="291"/>
      <c r="GB22" s="291"/>
      <c r="GC22" s="291"/>
      <c r="GD22" s="291"/>
      <c r="GE22" s="291"/>
      <c r="GF22" s="291"/>
      <c r="GG22" s="291"/>
      <c r="GH22" s="291"/>
      <c r="GI22" s="291"/>
      <c r="GJ22" s="291"/>
      <c r="GK22" s="291"/>
      <c r="GL22" s="291"/>
      <c r="GM22" s="291"/>
      <c r="GN22" s="291"/>
      <c r="GO22" s="291"/>
      <c r="GP22" s="291"/>
      <c r="GQ22" s="291"/>
      <c r="GR22" s="291"/>
      <c r="GS22" s="291"/>
      <c r="GT22" s="291"/>
      <c r="GU22" s="291"/>
      <c r="GV22" s="291"/>
      <c r="GW22" s="291"/>
      <c r="GX22" s="291"/>
      <c r="GY22" s="291"/>
      <c r="GZ22" s="291"/>
      <c r="HA22" s="291"/>
      <c r="HB22" s="291"/>
      <c r="HC22" s="291"/>
      <c r="HD22" s="291"/>
      <c r="HE22" s="291"/>
      <c r="HF22" s="291"/>
      <c r="HG22" s="291"/>
      <c r="HH22" s="291"/>
      <c r="HI22" s="291"/>
      <c r="HJ22" s="291"/>
      <c r="HK22" s="291"/>
      <c r="HL22" s="291"/>
      <c r="HM22" s="291"/>
      <c r="HN22" s="291"/>
      <c r="HO22" s="291"/>
      <c r="HP22" s="291"/>
      <c r="HQ22" s="291"/>
      <c r="HR22" s="291"/>
      <c r="HS22" s="291"/>
      <c r="HT22" s="291"/>
      <c r="HU22" s="291"/>
      <c r="HV22" s="291"/>
      <c r="HW22" s="291"/>
      <c r="HX22" s="291"/>
      <c r="HY22" s="291"/>
      <c r="HZ22" s="291"/>
      <c r="IA22" s="291"/>
      <c r="IB22" s="291"/>
      <c r="IC22" s="291"/>
      <c r="ID22" s="291"/>
      <c r="IE22" s="291"/>
      <c r="IF22" s="291"/>
      <c r="IG22" s="291"/>
      <c r="IH22" s="291"/>
      <c r="II22" s="291"/>
      <c r="IJ22" s="291"/>
      <c r="IK22" s="291"/>
      <c r="IL22" s="291"/>
      <c r="IM22" s="291"/>
      <c r="IN22" s="291"/>
      <c r="IO22" s="291"/>
      <c r="IP22" s="291"/>
      <c r="IQ22" s="291"/>
      <c r="IR22" s="291"/>
      <c r="IS22" s="291"/>
      <c r="IT22" s="291"/>
      <c r="IU22" s="291"/>
      <c r="IV22" s="291"/>
      <c r="IW22" s="291"/>
      <c r="IX22" s="291"/>
      <c r="IY22" s="291"/>
      <c r="IZ22" s="291"/>
      <c r="JA22" s="291"/>
      <c r="JB22" s="291"/>
      <c r="JC22" s="291"/>
      <c r="JD22" s="291"/>
      <c r="JE22" s="291"/>
      <c r="JF22" s="291"/>
      <c r="JG22" s="291"/>
      <c r="JH22" s="291"/>
      <c r="JI22" s="291"/>
      <c r="JJ22" s="291"/>
      <c r="JK22" s="291"/>
      <c r="JL22" s="291"/>
      <c r="JM22" s="291"/>
      <c r="JN22" s="291"/>
      <c r="JO22" s="291"/>
      <c r="JP22" s="291"/>
      <c r="JQ22" s="291"/>
      <c r="JR22" s="291"/>
      <c r="JS22" s="291"/>
      <c r="JT22" s="291"/>
      <c r="JU22" s="291"/>
      <c r="JV22" s="291"/>
      <c r="JW22" s="291"/>
      <c r="JX22" s="291"/>
      <c r="JY22" s="291"/>
      <c r="JZ22" s="291"/>
      <c r="KA22" s="291"/>
      <c r="KB22" s="291"/>
      <c r="KC22" s="291"/>
      <c r="KD22" s="291"/>
      <c r="KE22" s="291"/>
      <c r="KF22" s="291"/>
      <c r="KG22" s="291"/>
      <c r="KH22" s="291"/>
      <c r="KI22" s="291"/>
      <c r="KJ22" s="291"/>
      <c r="KK22" s="291"/>
      <c r="KL22" s="291"/>
      <c r="KM22" s="291"/>
      <c r="KN22" s="291"/>
      <c r="KO22" s="291"/>
      <c r="KP22" s="291"/>
      <c r="KQ22" s="291"/>
      <c r="KR22" s="291"/>
      <c r="KS22" s="291"/>
      <c r="KT22" s="291"/>
      <c r="KU22" s="291"/>
      <c r="KV22" s="291"/>
      <c r="KW22" s="291"/>
      <c r="KX22" s="291"/>
      <c r="KY22" s="291"/>
      <c r="KZ22" s="291"/>
      <c r="LA22" s="291"/>
      <c r="LB22" s="291"/>
      <c r="LC22" s="291"/>
      <c r="LD22" s="291"/>
      <c r="LE22" s="291"/>
      <c r="LF22" s="291"/>
      <c r="LG22" s="291"/>
      <c r="LH22" s="291"/>
      <c r="LI22" s="291"/>
      <c r="LJ22" s="291"/>
      <c r="LK22" s="291"/>
      <c r="LL22" s="291"/>
      <c r="LM22" s="291"/>
      <c r="LN22" s="291"/>
      <c r="LO22" s="291"/>
      <c r="LP22" s="291"/>
      <c r="LQ22" s="291"/>
      <c r="LR22" s="291"/>
      <c r="LS22" s="291"/>
      <c r="LT22" s="291"/>
      <c r="LU22" s="291"/>
      <c r="LV22" s="291"/>
      <c r="LW22" s="291"/>
      <c r="LX22" s="291"/>
      <c r="LY22" s="291"/>
      <c r="LZ22" s="291"/>
      <c r="MA22" s="291"/>
      <c r="MB22" s="291"/>
      <c r="MC22" s="291"/>
      <c r="MD22" s="291"/>
      <c r="ME22" s="291"/>
      <c r="MF22" s="291"/>
      <c r="MG22" s="291"/>
      <c r="MH22" s="291"/>
      <c r="MI22" s="291"/>
      <c r="MJ22" s="291"/>
      <c r="MK22" s="291"/>
      <c r="ML22" s="291"/>
      <c r="MM22" s="291"/>
      <c r="MN22" s="291"/>
      <c r="MO22" s="291"/>
      <c r="MP22" s="291"/>
      <c r="MQ22" s="291"/>
      <c r="MR22" s="291"/>
      <c r="MS22" s="291"/>
      <c r="MT22" s="291"/>
      <c r="MU22" s="291"/>
      <c r="MV22" s="291"/>
      <c r="MW22" s="291"/>
      <c r="MX22" s="291"/>
      <c r="MY22" s="291"/>
      <c r="MZ22" s="291"/>
      <c r="NA22" s="291"/>
      <c r="NB22" s="291"/>
      <c r="NC22" s="291"/>
      <c r="ND22" s="291"/>
      <c r="NE22" s="291"/>
      <c r="NF22" s="291"/>
      <c r="NG22" s="291"/>
      <c r="NH22" s="291"/>
      <c r="NI22" s="291"/>
      <c r="NJ22" s="291"/>
      <c r="NK22" s="291"/>
      <c r="NL22" s="291"/>
      <c r="NM22" s="291"/>
      <c r="NN22" s="291"/>
      <c r="NO22" s="291"/>
      <c r="NP22" s="291"/>
      <c r="NQ22" s="291"/>
      <c r="NR22" s="291"/>
      <c r="NS22" s="291"/>
      <c r="NT22" s="291"/>
      <c r="NU22" s="291"/>
      <c r="NV22" s="291"/>
      <c r="NW22" s="291"/>
      <c r="NX22" s="291"/>
      <c r="NY22" s="291"/>
      <c r="NZ22" s="291"/>
      <c r="OA22" s="291"/>
      <c r="OB22" s="291"/>
      <c r="OC22" s="291"/>
      <c r="OD22" s="291"/>
      <c r="OE22" s="291"/>
      <c r="OF22" s="291"/>
      <c r="OG22" s="291"/>
      <c r="OH22" s="291"/>
      <c r="OI22" s="291"/>
      <c r="OJ22" s="291"/>
      <c r="OK22" s="291"/>
      <c r="OL22" s="291"/>
      <c r="OM22" s="291"/>
      <c r="ON22" s="291"/>
      <c r="OO22" s="291"/>
      <c r="OP22" s="291"/>
      <c r="OQ22" s="291"/>
      <c r="OR22" s="291"/>
      <c r="OS22" s="291"/>
      <c r="OT22" s="291"/>
      <c r="OU22" s="291"/>
      <c r="OV22" s="291"/>
      <c r="OW22" s="291"/>
    </row>
    <row r="23" spans="1:413" s="257" customFormat="1" hidden="1" x14ac:dyDescent="0.2">
      <c r="A23" s="291"/>
      <c r="B23" s="524">
        <f t="shared" si="3"/>
        <v>8</v>
      </c>
      <c r="C23" s="510" t="s">
        <v>38</v>
      </c>
      <c r="D23" s="511">
        <v>20177920</v>
      </c>
      <c r="E23" s="511"/>
      <c r="F23" s="512" t="s">
        <v>1110</v>
      </c>
      <c r="G23" s="513" t="s">
        <v>46</v>
      </c>
      <c r="H23" s="514" t="s">
        <v>1094</v>
      </c>
      <c r="I23" s="515" t="s">
        <v>1095</v>
      </c>
      <c r="J23" s="346" t="s">
        <v>43</v>
      </c>
      <c r="K23" s="526">
        <v>44990</v>
      </c>
      <c r="L23" s="527">
        <v>0</v>
      </c>
      <c r="M23" s="528">
        <v>990</v>
      </c>
      <c r="N23" s="520">
        <v>0</v>
      </c>
      <c r="O23" s="520">
        <v>0</v>
      </c>
      <c r="P23" s="520">
        <v>0</v>
      </c>
      <c r="Q23" s="520">
        <v>0</v>
      </c>
      <c r="R23" s="520">
        <v>0</v>
      </c>
      <c r="S23" s="520">
        <v>0</v>
      </c>
      <c r="T23" s="18"/>
      <c r="U23" s="18"/>
      <c r="V23" s="18"/>
      <c r="W23" s="18"/>
      <c r="X23" s="18"/>
      <c r="Y23" s="18"/>
      <c r="Z23" s="18">
        <f t="shared" si="0"/>
        <v>0</v>
      </c>
      <c r="AA23" s="309">
        <v>22000</v>
      </c>
      <c r="AB23" s="19">
        <v>5</v>
      </c>
      <c r="AC23" s="521">
        <v>44224</v>
      </c>
      <c r="AD23" s="25">
        <v>44251</v>
      </c>
      <c r="AE23" s="309">
        <v>0</v>
      </c>
      <c r="AF23" s="20">
        <v>22</v>
      </c>
      <c r="AG23" s="23">
        <v>44301</v>
      </c>
      <c r="AH23" s="25">
        <v>44313</v>
      </c>
      <c r="AI23" s="309"/>
      <c r="AJ23" s="19"/>
      <c r="AK23" s="23"/>
      <c r="AL23" s="25"/>
      <c r="AM23" s="309"/>
      <c r="AN23" s="19"/>
      <c r="AO23" s="21"/>
      <c r="AP23" s="25"/>
      <c r="AQ23" s="309"/>
      <c r="AR23" s="19"/>
      <c r="AS23" s="21"/>
      <c r="AT23" s="25"/>
      <c r="AU23" s="522">
        <f t="shared" si="1"/>
        <v>22000</v>
      </c>
      <c r="AV23" s="311">
        <f t="shared" si="2"/>
        <v>22000</v>
      </c>
      <c r="AW23" s="305"/>
      <c r="AX23" s="291"/>
      <c r="AY23" s="291"/>
      <c r="AZ23" s="291"/>
      <c r="BA23" s="291"/>
      <c r="BB23" s="291"/>
      <c r="BC23" s="291"/>
      <c r="BD23" s="291"/>
      <c r="BE23" s="291"/>
      <c r="BF23" s="291"/>
      <c r="BG23" s="291"/>
      <c r="BH23" s="291"/>
      <c r="BI23" s="291"/>
      <c r="BJ23" s="291"/>
      <c r="BK23" s="291"/>
      <c r="BL23" s="291"/>
      <c r="BM23" s="291"/>
      <c r="BN23" s="291"/>
      <c r="BO23" s="291"/>
      <c r="BP23" s="291"/>
      <c r="BQ23" s="291"/>
      <c r="BR23" s="291"/>
      <c r="BS23" s="291"/>
      <c r="BT23" s="291"/>
      <c r="BU23" s="291"/>
      <c r="BV23" s="291"/>
      <c r="BW23" s="291"/>
      <c r="BX23" s="291"/>
      <c r="BY23" s="291"/>
      <c r="BZ23" s="291"/>
      <c r="CA23" s="291"/>
      <c r="CB23" s="291"/>
      <c r="CC23" s="291"/>
      <c r="CD23" s="291"/>
      <c r="CE23" s="291"/>
      <c r="CF23" s="291"/>
      <c r="CG23" s="291"/>
      <c r="CH23" s="291"/>
      <c r="CI23" s="291"/>
      <c r="CJ23" s="291"/>
      <c r="CK23" s="291"/>
      <c r="CL23" s="291"/>
      <c r="CM23" s="291"/>
      <c r="CN23" s="291"/>
      <c r="CO23" s="291"/>
      <c r="CP23" s="291"/>
      <c r="CQ23" s="291"/>
      <c r="CR23" s="291"/>
      <c r="CS23" s="291"/>
      <c r="CT23" s="291"/>
      <c r="CU23" s="291"/>
      <c r="CV23" s="291"/>
      <c r="CW23" s="291"/>
      <c r="CX23" s="291"/>
      <c r="CY23" s="291"/>
      <c r="CZ23" s="291"/>
      <c r="DA23" s="291"/>
      <c r="DB23" s="291"/>
      <c r="DC23" s="291"/>
      <c r="DD23" s="291"/>
      <c r="DE23" s="291"/>
      <c r="DF23" s="291"/>
      <c r="DG23" s="291"/>
      <c r="DH23" s="291"/>
      <c r="DI23" s="291"/>
      <c r="DJ23" s="291"/>
      <c r="DK23" s="291"/>
      <c r="DL23" s="291"/>
      <c r="DM23" s="291"/>
      <c r="DN23" s="291"/>
      <c r="DO23" s="291"/>
      <c r="DP23" s="291"/>
      <c r="DQ23" s="291"/>
      <c r="DR23" s="291"/>
      <c r="DS23" s="291"/>
      <c r="DT23" s="291"/>
      <c r="DU23" s="291"/>
      <c r="DV23" s="291"/>
      <c r="DW23" s="291"/>
      <c r="DX23" s="291"/>
      <c r="DY23" s="291"/>
      <c r="DZ23" s="291"/>
      <c r="EA23" s="291"/>
      <c r="EB23" s="291"/>
      <c r="EC23" s="291"/>
      <c r="ED23" s="291"/>
      <c r="EE23" s="291"/>
      <c r="EF23" s="291"/>
      <c r="EG23" s="291"/>
      <c r="EH23" s="291"/>
      <c r="EI23" s="291"/>
      <c r="EJ23" s="291"/>
      <c r="EK23" s="291"/>
      <c r="EL23" s="291"/>
      <c r="EM23" s="291"/>
      <c r="EN23" s="291"/>
      <c r="EO23" s="291"/>
      <c r="EP23" s="291"/>
      <c r="EQ23" s="291"/>
      <c r="ER23" s="291"/>
      <c r="ES23" s="291"/>
      <c r="ET23" s="291"/>
      <c r="EU23" s="291"/>
      <c r="EV23" s="291"/>
      <c r="EW23" s="291"/>
      <c r="EX23" s="291"/>
      <c r="EY23" s="291"/>
      <c r="EZ23" s="291"/>
      <c r="FA23" s="291"/>
      <c r="FB23" s="291"/>
      <c r="FC23" s="291"/>
      <c r="FD23" s="291"/>
      <c r="FE23" s="291"/>
      <c r="FF23" s="291"/>
      <c r="FG23" s="291"/>
      <c r="FH23" s="291"/>
      <c r="FI23" s="291"/>
      <c r="FJ23" s="291"/>
      <c r="FK23" s="291"/>
      <c r="FL23" s="291"/>
      <c r="FM23" s="291"/>
      <c r="FN23" s="291"/>
      <c r="FO23" s="291"/>
      <c r="FP23" s="291"/>
      <c r="FQ23" s="291"/>
      <c r="FR23" s="291"/>
      <c r="FS23" s="291"/>
      <c r="FT23" s="291"/>
      <c r="FU23" s="291"/>
      <c r="FV23" s="291"/>
      <c r="FW23" s="291"/>
      <c r="FX23" s="291"/>
      <c r="FY23" s="291"/>
      <c r="FZ23" s="291"/>
      <c r="GA23" s="291"/>
      <c r="GB23" s="291"/>
      <c r="GC23" s="291"/>
      <c r="GD23" s="291"/>
      <c r="GE23" s="291"/>
      <c r="GF23" s="291"/>
      <c r="GG23" s="291"/>
      <c r="GH23" s="291"/>
      <c r="GI23" s="291"/>
      <c r="GJ23" s="291"/>
      <c r="GK23" s="291"/>
      <c r="GL23" s="291"/>
      <c r="GM23" s="291"/>
      <c r="GN23" s="291"/>
      <c r="GO23" s="291"/>
      <c r="GP23" s="291"/>
      <c r="GQ23" s="291"/>
      <c r="GR23" s="291"/>
      <c r="GS23" s="291"/>
      <c r="GT23" s="291"/>
      <c r="GU23" s="291"/>
      <c r="GV23" s="291"/>
      <c r="GW23" s="291"/>
      <c r="GX23" s="291"/>
      <c r="GY23" s="291"/>
      <c r="GZ23" s="291"/>
      <c r="HA23" s="291"/>
      <c r="HB23" s="291"/>
      <c r="HC23" s="291"/>
      <c r="HD23" s="291"/>
      <c r="HE23" s="291"/>
      <c r="HF23" s="291"/>
      <c r="HG23" s="291"/>
      <c r="HH23" s="291"/>
      <c r="HI23" s="291"/>
      <c r="HJ23" s="291"/>
      <c r="HK23" s="291"/>
      <c r="HL23" s="291"/>
      <c r="HM23" s="291"/>
      <c r="HN23" s="291"/>
      <c r="HO23" s="291"/>
      <c r="HP23" s="291"/>
      <c r="HQ23" s="291"/>
      <c r="HR23" s="291"/>
      <c r="HS23" s="291"/>
      <c r="HT23" s="291"/>
      <c r="HU23" s="291"/>
      <c r="HV23" s="291"/>
      <c r="HW23" s="291"/>
      <c r="HX23" s="291"/>
      <c r="HY23" s="291"/>
      <c r="HZ23" s="291"/>
      <c r="IA23" s="291"/>
      <c r="IB23" s="291"/>
      <c r="IC23" s="291"/>
      <c r="ID23" s="291"/>
      <c r="IE23" s="291"/>
      <c r="IF23" s="291"/>
      <c r="IG23" s="291"/>
      <c r="IH23" s="291"/>
      <c r="II23" s="291"/>
      <c r="IJ23" s="291"/>
      <c r="IK23" s="291"/>
      <c r="IL23" s="291"/>
      <c r="IM23" s="291"/>
      <c r="IN23" s="291"/>
      <c r="IO23" s="291"/>
      <c r="IP23" s="291"/>
      <c r="IQ23" s="291"/>
      <c r="IR23" s="291"/>
      <c r="IS23" s="291"/>
      <c r="IT23" s="291"/>
      <c r="IU23" s="291"/>
      <c r="IV23" s="291"/>
      <c r="IW23" s="291"/>
      <c r="IX23" s="291"/>
      <c r="IY23" s="291"/>
      <c r="IZ23" s="291"/>
      <c r="JA23" s="291"/>
      <c r="JB23" s="291"/>
      <c r="JC23" s="291"/>
      <c r="JD23" s="291"/>
      <c r="JE23" s="291"/>
      <c r="JF23" s="291"/>
      <c r="JG23" s="291"/>
      <c r="JH23" s="291"/>
      <c r="JI23" s="291"/>
      <c r="JJ23" s="291"/>
      <c r="JK23" s="291"/>
      <c r="JL23" s="291"/>
      <c r="JM23" s="291"/>
      <c r="JN23" s="291"/>
      <c r="JO23" s="291"/>
      <c r="JP23" s="291"/>
      <c r="JQ23" s="291"/>
      <c r="JR23" s="291"/>
      <c r="JS23" s="291"/>
      <c r="JT23" s="291"/>
      <c r="JU23" s="291"/>
      <c r="JV23" s="291"/>
      <c r="JW23" s="291"/>
      <c r="JX23" s="291"/>
      <c r="JY23" s="291"/>
      <c r="JZ23" s="291"/>
      <c r="KA23" s="291"/>
      <c r="KB23" s="291"/>
      <c r="KC23" s="291"/>
      <c r="KD23" s="291"/>
      <c r="KE23" s="291"/>
      <c r="KF23" s="291"/>
      <c r="KG23" s="291"/>
      <c r="KH23" s="291"/>
      <c r="KI23" s="291"/>
      <c r="KJ23" s="291"/>
      <c r="KK23" s="291"/>
      <c r="KL23" s="291"/>
      <c r="KM23" s="291"/>
      <c r="KN23" s="291"/>
      <c r="KO23" s="291"/>
      <c r="KP23" s="291"/>
      <c r="KQ23" s="291"/>
      <c r="KR23" s="291"/>
      <c r="KS23" s="291"/>
      <c r="KT23" s="291"/>
      <c r="KU23" s="291"/>
      <c r="KV23" s="291"/>
      <c r="KW23" s="291"/>
      <c r="KX23" s="291"/>
      <c r="KY23" s="291"/>
      <c r="KZ23" s="291"/>
      <c r="LA23" s="291"/>
      <c r="LB23" s="291"/>
      <c r="LC23" s="291"/>
      <c r="LD23" s="291"/>
      <c r="LE23" s="291"/>
      <c r="LF23" s="291"/>
      <c r="LG23" s="291"/>
      <c r="LH23" s="291"/>
      <c r="LI23" s="291"/>
      <c r="LJ23" s="291"/>
      <c r="LK23" s="291"/>
      <c r="LL23" s="291"/>
      <c r="LM23" s="291"/>
      <c r="LN23" s="291"/>
      <c r="LO23" s="291"/>
      <c r="LP23" s="291"/>
      <c r="LQ23" s="291"/>
      <c r="LR23" s="291"/>
      <c r="LS23" s="291"/>
      <c r="LT23" s="291"/>
      <c r="LU23" s="291"/>
      <c r="LV23" s="291"/>
      <c r="LW23" s="291"/>
      <c r="LX23" s="291"/>
      <c r="LY23" s="291"/>
      <c r="LZ23" s="291"/>
      <c r="MA23" s="291"/>
      <c r="MB23" s="291"/>
      <c r="MC23" s="291"/>
      <c r="MD23" s="291"/>
      <c r="ME23" s="291"/>
      <c r="MF23" s="291"/>
      <c r="MG23" s="291"/>
      <c r="MH23" s="291"/>
      <c r="MI23" s="291"/>
      <c r="MJ23" s="291"/>
      <c r="MK23" s="291"/>
      <c r="ML23" s="291"/>
      <c r="MM23" s="291"/>
      <c r="MN23" s="291"/>
      <c r="MO23" s="291"/>
      <c r="MP23" s="291"/>
      <c r="MQ23" s="291"/>
      <c r="MR23" s="291"/>
      <c r="MS23" s="291"/>
      <c r="MT23" s="291"/>
      <c r="MU23" s="291"/>
      <c r="MV23" s="291"/>
      <c r="MW23" s="291"/>
      <c r="MX23" s="291"/>
      <c r="MY23" s="291"/>
      <c r="MZ23" s="291"/>
      <c r="NA23" s="291"/>
      <c r="NB23" s="291"/>
      <c r="NC23" s="291"/>
      <c r="ND23" s="291"/>
      <c r="NE23" s="291"/>
      <c r="NF23" s="291"/>
      <c r="NG23" s="291"/>
      <c r="NH23" s="291"/>
      <c r="NI23" s="291"/>
      <c r="NJ23" s="291"/>
      <c r="NK23" s="291"/>
      <c r="NL23" s="291"/>
      <c r="NM23" s="291"/>
      <c r="NN23" s="291"/>
      <c r="NO23" s="291"/>
      <c r="NP23" s="291"/>
      <c r="NQ23" s="291"/>
      <c r="NR23" s="291"/>
      <c r="NS23" s="291"/>
      <c r="NT23" s="291"/>
      <c r="NU23" s="291"/>
      <c r="NV23" s="291"/>
      <c r="NW23" s="291"/>
      <c r="NX23" s="291"/>
      <c r="NY23" s="291"/>
      <c r="NZ23" s="291"/>
      <c r="OA23" s="291"/>
      <c r="OB23" s="291"/>
      <c r="OC23" s="291"/>
      <c r="OD23" s="291"/>
      <c r="OE23" s="291"/>
      <c r="OF23" s="291"/>
      <c r="OG23" s="291"/>
      <c r="OH23" s="291"/>
      <c r="OI23" s="291"/>
      <c r="OJ23" s="291"/>
      <c r="OK23" s="291"/>
      <c r="OL23" s="291"/>
      <c r="OM23" s="291"/>
      <c r="ON23" s="291"/>
      <c r="OO23" s="291"/>
      <c r="OP23" s="291"/>
      <c r="OQ23" s="291"/>
      <c r="OR23" s="291"/>
      <c r="OS23" s="291"/>
      <c r="OT23" s="291"/>
      <c r="OU23" s="291"/>
      <c r="OV23" s="291"/>
      <c r="OW23" s="291"/>
    </row>
    <row r="24" spans="1:413" s="257" customFormat="1" hidden="1" x14ac:dyDescent="0.2">
      <c r="A24" s="291"/>
      <c r="B24" s="524">
        <f t="shared" si="3"/>
        <v>9</v>
      </c>
      <c r="C24" s="510" t="s">
        <v>38</v>
      </c>
      <c r="D24" s="511">
        <v>20178141</v>
      </c>
      <c r="E24" s="511"/>
      <c r="F24" s="512" t="s">
        <v>1111</v>
      </c>
      <c r="G24" s="513" t="s">
        <v>46</v>
      </c>
      <c r="H24" s="514" t="s">
        <v>1094</v>
      </c>
      <c r="I24" s="515" t="s">
        <v>1112</v>
      </c>
      <c r="J24" s="346" t="s">
        <v>42</v>
      </c>
      <c r="K24" s="526">
        <v>49222</v>
      </c>
      <c r="L24" s="527">
        <v>12512</v>
      </c>
      <c r="M24" s="528">
        <v>0</v>
      </c>
      <c r="N24" s="520">
        <v>0</v>
      </c>
      <c r="O24" s="520">
        <v>0</v>
      </c>
      <c r="P24" s="520">
        <v>0</v>
      </c>
      <c r="Q24" s="520">
        <v>0</v>
      </c>
      <c r="R24" s="520">
        <v>0</v>
      </c>
      <c r="S24" s="520">
        <v>0</v>
      </c>
      <c r="T24" s="18"/>
      <c r="U24" s="18"/>
      <c r="V24" s="18"/>
      <c r="W24" s="18"/>
      <c r="X24" s="18"/>
      <c r="Y24" s="18"/>
      <c r="Z24" s="18">
        <f t="shared" si="0"/>
        <v>0</v>
      </c>
      <c r="AA24" s="309">
        <v>36710</v>
      </c>
      <c r="AB24" s="19">
        <v>5</v>
      </c>
      <c r="AC24" s="521">
        <v>44224</v>
      </c>
      <c r="AD24" s="25">
        <v>44251</v>
      </c>
      <c r="AE24" s="309">
        <v>23705</v>
      </c>
      <c r="AF24" s="19">
        <v>22</v>
      </c>
      <c r="AG24" s="521">
        <v>44301</v>
      </c>
      <c r="AH24" s="25">
        <v>44313</v>
      </c>
      <c r="AI24" s="309">
        <v>-55520</v>
      </c>
      <c r="AJ24" s="19">
        <v>50</v>
      </c>
      <c r="AK24" s="23">
        <v>44334</v>
      </c>
      <c r="AL24" s="25">
        <v>44342</v>
      </c>
      <c r="AM24" s="309"/>
      <c r="AN24" s="19"/>
      <c r="AO24" s="21"/>
      <c r="AP24" s="25"/>
      <c r="AQ24" s="309"/>
      <c r="AR24" s="19"/>
      <c r="AS24" s="21"/>
      <c r="AT24" s="25"/>
      <c r="AU24" s="522">
        <f t="shared" si="1"/>
        <v>4895</v>
      </c>
      <c r="AV24" s="311">
        <f t="shared" si="2"/>
        <v>4895</v>
      </c>
      <c r="AW24" s="305"/>
      <c r="AX24" s="291"/>
      <c r="AY24" s="291"/>
      <c r="AZ24" s="291"/>
      <c r="BA24" s="291"/>
      <c r="BB24" s="291"/>
      <c r="BC24" s="291"/>
      <c r="BD24" s="291"/>
      <c r="BE24" s="291"/>
      <c r="BF24" s="291"/>
      <c r="BG24" s="291"/>
      <c r="BH24" s="291"/>
      <c r="BI24" s="291"/>
      <c r="BJ24" s="291"/>
      <c r="BK24" s="291"/>
      <c r="BL24" s="291"/>
      <c r="BM24" s="291"/>
      <c r="BN24" s="291"/>
      <c r="BO24" s="291"/>
      <c r="BP24" s="291"/>
      <c r="BQ24" s="291"/>
      <c r="BR24" s="291"/>
      <c r="BS24" s="291"/>
      <c r="BT24" s="291"/>
      <c r="BU24" s="291"/>
      <c r="BV24" s="291"/>
      <c r="BW24" s="291"/>
      <c r="BX24" s="291"/>
      <c r="BY24" s="291"/>
      <c r="BZ24" s="291"/>
      <c r="CA24" s="291"/>
      <c r="CB24" s="291"/>
      <c r="CC24" s="291"/>
      <c r="CD24" s="291"/>
      <c r="CE24" s="291"/>
      <c r="CF24" s="291"/>
      <c r="CG24" s="291"/>
      <c r="CH24" s="291"/>
      <c r="CI24" s="291"/>
      <c r="CJ24" s="291"/>
      <c r="CK24" s="291"/>
      <c r="CL24" s="291"/>
      <c r="CM24" s="291"/>
      <c r="CN24" s="291"/>
      <c r="CO24" s="291"/>
      <c r="CP24" s="291"/>
      <c r="CQ24" s="291"/>
      <c r="CR24" s="291"/>
      <c r="CS24" s="291"/>
      <c r="CT24" s="291"/>
      <c r="CU24" s="291"/>
      <c r="CV24" s="291"/>
      <c r="CW24" s="291"/>
      <c r="CX24" s="291"/>
      <c r="CY24" s="291"/>
      <c r="CZ24" s="291"/>
      <c r="DA24" s="291"/>
      <c r="DB24" s="291"/>
      <c r="DC24" s="291"/>
      <c r="DD24" s="291"/>
      <c r="DE24" s="291"/>
      <c r="DF24" s="291"/>
      <c r="DG24" s="291"/>
      <c r="DH24" s="291"/>
      <c r="DI24" s="291"/>
      <c r="DJ24" s="291"/>
      <c r="DK24" s="291"/>
      <c r="DL24" s="291"/>
      <c r="DM24" s="291"/>
      <c r="DN24" s="291"/>
      <c r="DO24" s="291"/>
      <c r="DP24" s="291"/>
      <c r="DQ24" s="291"/>
      <c r="DR24" s="291"/>
      <c r="DS24" s="291"/>
      <c r="DT24" s="291"/>
      <c r="DU24" s="291"/>
      <c r="DV24" s="291"/>
      <c r="DW24" s="291"/>
      <c r="DX24" s="291"/>
      <c r="DY24" s="291"/>
      <c r="DZ24" s="291"/>
      <c r="EA24" s="291"/>
      <c r="EB24" s="291"/>
      <c r="EC24" s="291"/>
      <c r="ED24" s="291"/>
      <c r="EE24" s="291"/>
      <c r="EF24" s="291"/>
      <c r="EG24" s="291"/>
      <c r="EH24" s="291"/>
      <c r="EI24" s="291"/>
      <c r="EJ24" s="291"/>
      <c r="EK24" s="291"/>
      <c r="EL24" s="291"/>
      <c r="EM24" s="291"/>
      <c r="EN24" s="291"/>
      <c r="EO24" s="291"/>
      <c r="EP24" s="291"/>
      <c r="EQ24" s="291"/>
      <c r="ER24" s="291"/>
      <c r="ES24" s="291"/>
      <c r="ET24" s="291"/>
      <c r="EU24" s="291"/>
      <c r="EV24" s="291"/>
      <c r="EW24" s="291"/>
      <c r="EX24" s="291"/>
      <c r="EY24" s="291"/>
      <c r="EZ24" s="291"/>
      <c r="FA24" s="291"/>
      <c r="FB24" s="291"/>
      <c r="FC24" s="291"/>
      <c r="FD24" s="291"/>
      <c r="FE24" s="291"/>
      <c r="FF24" s="291"/>
      <c r="FG24" s="291"/>
      <c r="FH24" s="291"/>
      <c r="FI24" s="291"/>
      <c r="FJ24" s="291"/>
      <c r="FK24" s="291"/>
      <c r="FL24" s="291"/>
      <c r="FM24" s="291"/>
      <c r="FN24" s="291"/>
      <c r="FO24" s="291"/>
      <c r="FP24" s="291"/>
      <c r="FQ24" s="291"/>
      <c r="FR24" s="291"/>
      <c r="FS24" s="291"/>
      <c r="FT24" s="291"/>
      <c r="FU24" s="291"/>
      <c r="FV24" s="291"/>
      <c r="FW24" s="291"/>
      <c r="FX24" s="291"/>
      <c r="FY24" s="291"/>
      <c r="FZ24" s="291"/>
      <c r="GA24" s="291"/>
      <c r="GB24" s="291"/>
      <c r="GC24" s="291"/>
      <c r="GD24" s="291"/>
      <c r="GE24" s="291"/>
      <c r="GF24" s="291"/>
      <c r="GG24" s="291"/>
      <c r="GH24" s="291"/>
      <c r="GI24" s="291"/>
      <c r="GJ24" s="291"/>
      <c r="GK24" s="291"/>
      <c r="GL24" s="291"/>
      <c r="GM24" s="291"/>
      <c r="GN24" s="291"/>
      <c r="GO24" s="291"/>
      <c r="GP24" s="291"/>
      <c r="GQ24" s="291"/>
      <c r="GR24" s="291"/>
      <c r="GS24" s="291"/>
      <c r="GT24" s="291"/>
      <c r="GU24" s="291"/>
      <c r="GV24" s="291"/>
      <c r="GW24" s="291"/>
      <c r="GX24" s="291"/>
      <c r="GY24" s="291"/>
      <c r="GZ24" s="291"/>
      <c r="HA24" s="291"/>
      <c r="HB24" s="291"/>
      <c r="HC24" s="291"/>
      <c r="HD24" s="291"/>
      <c r="HE24" s="291"/>
      <c r="HF24" s="291"/>
      <c r="HG24" s="291"/>
      <c r="HH24" s="291"/>
      <c r="HI24" s="291"/>
      <c r="HJ24" s="291"/>
      <c r="HK24" s="291"/>
      <c r="HL24" s="291"/>
      <c r="HM24" s="291"/>
      <c r="HN24" s="291"/>
      <c r="HO24" s="291"/>
      <c r="HP24" s="291"/>
      <c r="HQ24" s="291"/>
      <c r="HR24" s="291"/>
      <c r="HS24" s="291"/>
      <c r="HT24" s="291"/>
      <c r="HU24" s="291"/>
      <c r="HV24" s="291"/>
      <c r="HW24" s="291"/>
      <c r="HX24" s="291"/>
      <c r="HY24" s="291"/>
      <c r="HZ24" s="291"/>
      <c r="IA24" s="291"/>
      <c r="IB24" s="291"/>
      <c r="IC24" s="291"/>
      <c r="ID24" s="291"/>
      <c r="IE24" s="291"/>
      <c r="IF24" s="291"/>
      <c r="IG24" s="291"/>
      <c r="IH24" s="291"/>
      <c r="II24" s="291"/>
      <c r="IJ24" s="291"/>
      <c r="IK24" s="291"/>
      <c r="IL24" s="291"/>
      <c r="IM24" s="291"/>
      <c r="IN24" s="291"/>
      <c r="IO24" s="291"/>
      <c r="IP24" s="291"/>
      <c r="IQ24" s="291"/>
      <c r="IR24" s="291"/>
      <c r="IS24" s="291"/>
      <c r="IT24" s="291"/>
      <c r="IU24" s="291"/>
      <c r="IV24" s="291"/>
      <c r="IW24" s="291"/>
      <c r="IX24" s="291"/>
      <c r="IY24" s="291"/>
      <c r="IZ24" s="291"/>
      <c r="JA24" s="291"/>
      <c r="JB24" s="291"/>
      <c r="JC24" s="291"/>
      <c r="JD24" s="291"/>
      <c r="JE24" s="291"/>
      <c r="JF24" s="291"/>
      <c r="JG24" s="291"/>
      <c r="JH24" s="291"/>
      <c r="JI24" s="291"/>
      <c r="JJ24" s="291"/>
      <c r="JK24" s="291"/>
      <c r="JL24" s="291"/>
      <c r="JM24" s="291"/>
      <c r="JN24" s="291"/>
      <c r="JO24" s="291"/>
      <c r="JP24" s="291"/>
      <c r="JQ24" s="291"/>
      <c r="JR24" s="291"/>
      <c r="JS24" s="291"/>
      <c r="JT24" s="291"/>
      <c r="JU24" s="291"/>
      <c r="JV24" s="291"/>
      <c r="JW24" s="291"/>
      <c r="JX24" s="291"/>
      <c r="JY24" s="291"/>
      <c r="JZ24" s="291"/>
      <c r="KA24" s="291"/>
      <c r="KB24" s="291"/>
      <c r="KC24" s="291"/>
      <c r="KD24" s="291"/>
      <c r="KE24" s="291"/>
      <c r="KF24" s="291"/>
      <c r="KG24" s="291"/>
      <c r="KH24" s="291"/>
      <c r="KI24" s="291"/>
      <c r="KJ24" s="291"/>
      <c r="KK24" s="291"/>
      <c r="KL24" s="291"/>
      <c r="KM24" s="291"/>
      <c r="KN24" s="291"/>
      <c r="KO24" s="291"/>
      <c r="KP24" s="291"/>
      <c r="KQ24" s="291"/>
      <c r="KR24" s="291"/>
      <c r="KS24" s="291"/>
      <c r="KT24" s="291"/>
      <c r="KU24" s="291"/>
      <c r="KV24" s="291"/>
      <c r="KW24" s="291"/>
      <c r="KX24" s="291"/>
      <c r="KY24" s="291"/>
      <c r="KZ24" s="291"/>
      <c r="LA24" s="291"/>
      <c r="LB24" s="291"/>
      <c r="LC24" s="291"/>
      <c r="LD24" s="291"/>
      <c r="LE24" s="291"/>
      <c r="LF24" s="291"/>
      <c r="LG24" s="291"/>
      <c r="LH24" s="291"/>
      <c r="LI24" s="291"/>
      <c r="LJ24" s="291"/>
      <c r="LK24" s="291"/>
      <c r="LL24" s="291"/>
      <c r="LM24" s="291"/>
      <c r="LN24" s="291"/>
      <c r="LO24" s="291"/>
      <c r="LP24" s="291"/>
      <c r="LQ24" s="291"/>
      <c r="LR24" s="291"/>
      <c r="LS24" s="291"/>
      <c r="LT24" s="291"/>
      <c r="LU24" s="291"/>
      <c r="LV24" s="291"/>
      <c r="LW24" s="291"/>
      <c r="LX24" s="291"/>
      <c r="LY24" s="291"/>
      <c r="LZ24" s="291"/>
      <c r="MA24" s="291"/>
      <c r="MB24" s="291"/>
      <c r="MC24" s="291"/>
      <c r="MD24" s="291"/>
      <c r="ME24" s="291"/>
      <c r="MF24" s="291"/>
      <c r="MG24" s="291"/>
      <c r="MH24" s="291"/>
      <c r="MI24" s="291"/>
      <c r="MJ24" s="291"/>
      <c r="MK24" s="291"/>
      <c r="ML24" s="291"/>
      <c r="MM24" s="291"/>
      <c r="MN24" s="291"/>
      <c r="MO24" s="291"/>
      <c r="MP24" s="291"/>
      <c r="MQ24" s="291"/>
      <c r="MR24" s="291"/>
      <c r="MS24" s="291"/>
      <c r="MT24" s="291"/>
      <c r="MU24" s="291"/>
      <c r="MV24" s="291"/>
      <c r="MW24" s="291"/>
      <c r="MX24" s="291"/>
      <c r="MY24" s="291"/>
      <c r="MZ24" s="291"/>
      <c r="NA24" s="291"/>
      <c r="NB24" s="291"/>
      <c r="NC24" s="291"/>
      <c r="ND24" s="291"/>
      <c r="NE24" s="291"/>
      <c r="NF24" s="291"/>
      <c r="NG24" s="291"/>
      <c r="NH24" s="291"/>
      <c r="NI24" s="291"/>
      <c r="NJ24" s="291"/>
      <c r="NK24" s="291"/>
      <c r="NL24" s="291"/>
      <c r="NM24" s="291"/>
      <c r="NN24" s="291"/>
      <c r="NO24" s="291"/>
      <c r="NP24" s="291"/>
      <c r="NQ24" s="291"/>
      <c r="NR24" s="291"/>
      <c r="NS24" s="291"/>
      <c r="NT24" s="291"/>
      <c r="NU24" s="291"/>
      <c r="NV24" s="291"/>
      <c r="NW24" s="291"/>
      <c r="NX24" s="291"/>
      <c r="NY24" s="291"/>
      <c r="NZ24" s="291"/>
      <c r="OA24" s="291"/>
      <c r="OB24" s="291"/>
      <c r="OC24" s="291"/>
      <c r="OD24" s="291"/>
      <c r="OE24" s="291"/>
      <c r="OF24" s="291"/>
      <c r="OG24" s="291"/>
      <c r="OH24" s="291"/>
      <c r="OI24" s="291"/>
      <c r="OJ24" s="291"/>
      <c r="OK24" s="291"/>
      <c r="OL24" s="291"/>
      <c r="OM24" s="291"/>
      <c r="ON24" s="291"/>
      <c r="OO24" s="291"/>
      <c r="OP24" s="291"/>
      <c r="OQ24" s="291"/>
      <c r="OR24" s="291"/>
      <c r="OS24" s="291"/>
      <c r="OT24" s="291"/>
      <c r="OU24" s="291"/>
      <c r="OV24" s="291"/>
      <c r="OW24" s="291"/>
    </row>
    <row r="25" spans="1:413" s="257" customFormat="1" hidden="1" x14ac:dyDescent="0.2">
      <c r="A25" s="291"/>
      <c r="B25" s="524">
        <f t="shared" si="3"/>
        <v>10</v>
      </c>
      <c r="C25" s="510" t="s">
        <v>38</v>
      </c>
      <c r="D25" s="511">
        <v>20189195</v>
      </c>
      <c r="E25" s="511"/>
      <c r="F25" s="512" t="s">
        <v>1113</v>
      </c>
      <c r="G25" s="513" t="s">
        <v>45</v>
      </c>
      <c r="H25" s="514" t="s">
        <v>1094</v>
      </c>
      <c r="I25" s="515" t="s">
        <v>1114</v>
      </c>
      <c r="J25" s="346" t="s">
        <v>43</v>
      </c>
      <c r="K25" s="526">
        <v>751944</v>
      </c>
      <c r="L25" s="527">
        <v>0</v>
      </c>
      <c r="M25" s="528">
        <v>10156</v>
      </c>
      <c r="N25" s="519">
        <v>0</v>
      </c>
      <c r="O25" s="519">
        <v>0</v>
      </c>
      <c r="P25" s="519">
        <v>138164</v>
      </c>
      <c r="Q25" s="519">
        <v>61569</v>
      </c>
      <c r="R25" s="519">
        <v>63545</v>
      </c>
      <c r="S25" s="520">
        <v>72176</v>
      </c>
      <c r="T25" s="18"/>
      <c r="U25" s="18"/>
      <c r="V25" s="18"/>
      <c r="W25" s="18"/>
      <c r="X25" s="18"/>
      <c r="Y25" s="18"/>
      <c r="Z25" s="18">
        <f t="shared" si="0"/>
        <v>335454</v>
      </c>
      <c r="AA25" s="309">
        <v>741788</v>
      </c>
      <c r="AB25" s="19">
        <v>5</v>
      </c>
      <c r="AC25" s="521">
        <v>44224</v>
      </c>
      <c r="AD25" s="25">
        <v>44251</v>
      </c>
      <c r="AE25" s="309"/>
      <c r="AF25" s="20"/>
      <c r="AG25" s="23"/>
      <c r="AH25" s="25"/>
      <c r="AI25" s="309"/>
      <c r="AJ25" s="19"/>
      <c r="AK25" s="23"/>
      <c r="AL25" s="25"/>
      <c r="AM25" s="309"/>
      <c r="AN25" s="19"/>
      <c r="AO25" s="21"/>
      <c r="AP25" s="25"/>
      <c r="AQ25" s="309"/>
      <c r="AR25" s="19"/>
      <c r="AS25" s="21"/>
      <c r="AT25" s="25"/>
      <c r="AU25" s="522">
        <f t="shared" si="1"/>
        <v>741788</v>
      </c>
      <c r="AV25" s="311">
        <f t="shared" si="2"/>
        <v>406334</v>
      </c>
      <c r="AW25" s="305"/>
      <c r="AX25" s="291"/>
      <c r="AY25" s="291"/>
      <c r="AZ25" s="291"/>
      <c r="BA25" s="291"/>
      <c r="BB25" s="291"/>
      <c r="BC25" s="291"/>
      <c r="BD25" s="291"/>
      <c r="BE25" s="291"/>
      <c r="BF25" s="291"/>
      <c r="BG25" s="291"/>
      <c r="BH25" s="291"/>
      <c r="BI25" s="291"/>
      <c r="BJ25" s="291"/>
      <c r="BK25" s="291"/>
      <c r="BL25" s="291"/>
      <c r="BM25" s="291"/>
      <c r="BN25" s="291"/>
      <c r="BO25" s="291"/>
      <c r="BP25" s="291"/>
      <c r="BQ25" s="291"/>
      <c r="BR25" s="291"/>
      <c r="BS25" s="291"/>
      <c r="BT25" s="291"/>
      <c r="BU25" s="291"/>
      <c r="BV25" s="291"/>
      <c r="BW25" s="291"/>
      <c r="BX25" s="291"/>
      <c r="BY25" s="291"/>
      <c r="BZ25" s="291"/>
      <c r="CA25" s="291"/>
      <c r="CB25" s="291"/>
      <c r="CC25" s="291"/>
      <c r="CD25" s="291"/>
      <c r="CE25" s="291"/>
      <c r="CF25" s="291"/>
      <c r="CG25" s="291"/>
      <c r="CH25" s="291"/>
      <c r="CI25" s="291"/>
      <c r="CJ25" s="291"/>
      <c r="CK25" s="291"/>
      <c r="CL25" s="291"/>
      <c r="CM25" s="291"/>
      <c r="CN25" s="291"/>
      <c r="CO25" s="291"/>
      <c r="CP25" s="291"/>
      <c r="CQ25" s="291"/>
      <c r="CR25" s="291"/>
      <c r="CS25" s="291"/>
      <c r="CT25" s="291"/>
      <c r="CU25" s="291"/>
      <c r="CV25" s="291"/>
      <c r="CW25" s="291"/>
      <c r="CX25" s="291"/>
      <c r="CY25" s="291"/>
      <c r="CZ25" s="291"/>
      <c r="DA25" s="291"/>
      <c r="DB25" s="291"/>
      <c r="DC25" s="291"/>
      <c r="DD25" s="291"/>
      <c r="DE25" s="291"/>
      <c r="DF25" s="291"/>
      <c r="DG25" s="291"/>
      <c r="DH25" s="291"/>
      <c r="DI25" s="291"/>
      <c r="DJ25" s="291"/>
      <c r="DK25" s="291"/>
      <c r="DL25" s="291"/>
      <c r="DM25" s="291"/>
      <c r="DN25" s="291"/>
      <c r="DO25" s="291"/>
      <c r="DP25" s="291"/>
      <c r="DQ25" s="291"/>
      <c r="DR25" s="291"/>
      <c r="DS25" s="291"/>
      <c r="DT25" s="291"/>
      <c r="DU25" s="291"/>
      <c r="DV25" s="291"/>
      <c r="DW25" s="291"/>
      <c r="DX25" s="291"/>
      <c r="DY25" s="291"/>
      <c r="DZ25" s="291"/>
      <c r="EA25" s="291"/>
      <c r="EB25" s="291"/>
      <c r="EC25" s="291"/>
      <c r="ED25" s="291"/>
      <c r="EE25" s="291"/>
      <c r="EF25" s="291"/>
      <c r="EG25" s="291"/>
      <c r="EH25" s="291"/>
      <c r="EI25" s="291"/>
      <c r="EJ25" s="291"/>
      <c r="EK25" s="291"/>
      <c r="EL25" s="291"/>
      <c r="EM25" s="291"/>
      <c r="EN25" s="291"/>
      <c r="EO25" s="291"/>
      <c r="EP25" s="291"/>
      <c r="EQ25" s="291"/>
      <c r="ER25" s="291"/>
      <c r="ES25" s="291"/>
      <c r="ET25" s="291"/>
      <c r="EU25" s="291"/>
      <c r="EV25" s="291"/>
      <c r="EW25" s="291"/>
      <c r="EX25" s="291"/>
      <c r="EY25" s="291"/>
      <c r="EZ25" s="291"/>
      <c r="FA25" s="291"/>
      <c r="FB25" s="291"/>
      <c r="FC25" s="291"/>
      <c r="FD25" s="291"/>
      <c r="FE25" s="291"/>
      <c r="FF25" s="291"/>
      <c r="FG25" s="291"/>
      <c r="FH25" s="291"/>
      <c r="FI25" s="291"/>
      <c r="FJ25" s="291"/>
      <c r="FK25" s="291"/>
      <c r="FL25" s="291"/>
      <c r="FM25" s="291"/>
      <c r="FN25" s="291"/>
      <c r="FO25" s="291"/>
      <c r="FP25" s="291"/>
      <c r="FQ25" s="291"/>
      <c r="FR25" s="291"/>
      <c r="FS25" s="291"/>
      <c r="FT25" s="291"/>
      <c r="FU25" s="291"/>
      <c r="FV25" s="291"/>
      <c r="FW25" s="291"/>
      <c r="FX25" s="291"/>
      <c r="FY25" s="291"/>
      <c r="FZ25" s="291"/>
      <c r="GA25" s="291"/>
      <c r="GB25" s="291"/>
      <c r="GC25" s="291"/>
      <c r="GD25" s="291"/>
      <c r="GE25" s="291"/>
      <c r="GF25" s="291"/>
      <c r="GG25" s="291"/>
      <c r="GH25" s="291"/>
      <c r="GI25" s="291"/>
      <c r="GJ25" s="291"/>
      <c r="GK25" s="291"/>
      <c r="GL25" s="291"/>
      <c r="GM25" s="291"/>
      <c r="GN25" s="291"/>
      <c r="GO25" s="291"/>
      <c r="GP25" s="291"/>
      <c r="GQ25" s="291"/>
      <c r="GR25" s="291"/>
      <c r="GS25" s="291"/>
      <c r="GT25" s="291"/>
      <c r="GU25" s="291"/>
      <c r="GV25" s="291"/>
      <c r="GW25" s="291"/>
      <c r="GX25" s="291"/>
      <c r="GY25" s="291"/>
      <c r="GZ25" s="291"/>
      <c r="HA25" s="291"/>
      <c r="HB25" s="291"/>
      <c r="HC25" s="291"/>
      <c r="HD25" s="291"/>
      <c r="HE25" s="291"/>
      <c r="HF25" s="291"/>
      <c r="HG25" s="291"/>
      <c r="HH25" s="291"/>
      <c r="HI25" s="291"/>
      <c r="HJ25" s="291"/>
      <c r="HK25" s="291"/>
      <c r="HL25" s="291"/>
      <c r="HM25" s="291"/>
      <c r="HN25" s="291"/>
      <c r="HO25" s="291"/>
      <c r="HP25" s="291"/>
      <c r="HQ25" s="291"/>
      <c r="HR25" s="291"/>
      <c r="HS25" s="291"/>
      <c r="HT25" s="291"/>
      <c r="HU25" s="291"/>
      <c r="HV25" s="291"/>
      <c r="HW25" s="291"/>
      <c r="HX25" s="291"/>
      <c r="HY25" s="291"/>
      <c r="HZ25" s="291"/>
      <c r="IA25" s="291"/>
      <c r="IB25" s="291"/>
      <c r="IC25" s="291"/>
      <c r="ID25" s="291"/>
      <c r="IE25" s="291"/>
      <c r="IF25" s="291"/>
      <c r="IG25" s="291"/>
      <c r="IH25" s="291"/>
      <c r="II25" s="291"/>
      <c r="IJ25" s="291"/>
      <c r="IK25" s="291"/>
      <c r="IL25" s="291"/>
      <c r="IM25" s="291"/>
      <c r="IN25" s="291"/>
      <c r="IO25" s="291"/>
      <c r="IP25" s="291"/>
      <c r="IQ25" s="291"/>
      <c r="IR25" s="291"/>
      <c r="IS25" s="291"/>
      <c r="IT25" s="291"/>
      <c r="IU25" s="291"/>
      <c r="IV25" s="291"/>
      <c r="IW25" s="291"/>
      <c r="IX25" s="291"/>
      <c r="IY25" s="291"/>
      <c r="IZ25" s="291"/>
      <c r="JA25" s="291"/>
      <c r="JB25" s="291"/>
      <c r="JC25" s="291"/>
      <c r="JD25" s="291"/>
      <c r="JE25" s="291"/>
      <c r="JF25" s="291"/>
      <c r="JG25" s="291"/>
      <c r="JH25" s="291"/>
      <c r="JI25" s="291"/>
      <c r="JJ25" s="291"/>
      <c r="JK25" s="291"/>
      <c r="JL25" s="291"/>
      <c r="JM25" s="291"/>
      <c r="JN25" s="291"/>
      <c r="JO25" s="291"/>
      <c r="JP25" s="291"/>
      <c r="JQ25" s="291"/>
      <c r="JR25" s="291"/>
      <c r="JS25" s="291"/>
      <c r="JT25" s="291"/>
      <c r="JU25" s="291"/>
      <c r="JV25" s="291"/>
      <c r="JW25" s="291"/>
      <c r="JX25" s="291"/>
      <c r="JY25" s="291"/>
      <c r="JZ25" s="291"/>
      <c r="KA25" s="291"/>
      <c r="KB25" s="291"/>
      <c r="KC25" s="291"/>
      <c r="KD25" s="291"/>
      <c r="KE25" s="291"/>
      <c r="KF25" s="291"/>
      <c r="KG25" s="291"/>
      <c r="KH25" s="291"/>
      <c r="KI25" s="291"/>
      <c r="KJ25" s="291"/>
      <c r="KK25" s="291"/>
      <c r="KL25" s="291"/>
      <c r="KM25" s="291"/>
      <c r="KN25" s="291"/>
      <c r="KO25" s="291"/>
      <c r="KP25" s="291"/>
      <c r="KQ25" s="291"/>
      <c r="KR25" s="291"/>
      <c r="KS25" s="291"/>
      <c r="KT25" s="291"/>
      <c r="KU25" s="291"/>
      <c r="KV25" s="291"/>
      <c r="KW25" s="291"/>
      <c r="KX25" s="291"/>
      <c r="KY25" s="291"/>
      <c r="KZ25" s="291"/>
      <c r="LA25" s="291"/>
      <c r="LB25" s="291"/>
      <c r="LC25" s="291"/>
      <c r="LD25" s="291"/>
      <c r="LE25" s="291"/>
      <c r="LF25" s="291"/>
      <c r="LG25" s="291"/>
      <c r="LH25" s="291"/>
      <c r="LI25" s="291"/>
      <c r="LJ25" s="291"/>
      <c r="LK25" s="291"/>
      <c r="LL25" s="291"/>
      <c r="LM25" s="291"/>
      <c r="LN25" s="291"/>
      <c r="LO25" s="291"/>
      <c r="LP25" s="291"/>
      <c r="LQ25" s="291"/>
      <c r="LR25" s="291"/>
      <c r="LS25" s="291"/>
      <c r="LT25" s="291"/>
      <c r="LU25" s="291"/>
      <c r="LV25" s="291"/>
      <c r="LW25" s="291"/>
      <c r="LX25" s="291"/>
      <c r="LY25" s="291"/>
      <c r="LZ25" s="291"/>
      <c r="MA25" s="291"/>
      <c r="MB25" s="291"/>
      <c r="MC25" s="291"/>
      <c r="MD25" s="291"/>
      <c r="ME25" s="291"/>
      <c r="MF25" s="291"/>
      <c r="MG25" s="291"/>
      <c r="MH25" s="291"/>
      <c r="MI25" s="291"/>
      <c r="MJ25" s="291"/>
      <c r="MK25" s="291"/>
      <c r="ML25" s="291"/>
      <c r="MM25" s="291"/>
      <c r="MN25" s="291"/>
      <c r="MO25" s="291"/>
      <c r="MP25" s="291"/>
      <c r="MQ25" s="291"/>
      <c r="MR25" s="291"/>
      <c r="MS25" s="291"/>
      <c r="MT25" s="291"/>
      <c r="MU25" s="291"/>
      <c r="MV25" s="291"/>
      <c r="MW25" s="291"/>
      <c r="MX25" s="291"/>
      <c r="MY25" s="291"/>
      <c r="MZ25" s="291"/>
      <c r="NA25" s="291"/>
      <c r="NB25" s="291"/>
      <c r="NC25" s="291"/>
      <c r="ND25" s="291"/>
      <c r="NE25" s="291"/>
      <c r="NF25" s="291"/>
      <c r="NG25" s="291"/>
      <c r="NH25" s="291"/>
      <c r="NI25" s="291"/>
      <c r="NJ25" s="291"/>
      <c r="NK25" s="291"/>
      <c r="NL25" s="291"/>
      <c r="NM25" s="291"/>
      <c r="NN25" s="291"/>
      <c r="NO25" s="291"/>
      <c r="NP25" s="291"/>
      <c r="NQ25" s="291"/>
      <c r="NR25" s="291"/>
      <c r="NS25" s="291"/>
      <c r="NT25" s="291"/>
      <c r="NU25" s="291"/>
      <c r="NV25" s="291"/>
      <c r="NW25" s="291"/>
      <c r="NX25" s="291"/>
      <c r="NY25" s="291"/>
      <c r="NZ25" s="291"/>
      <c r="OA25" s="291"/>
      <c r="OB25" s="291"/>
      <c r="OC25" s="291"/>
      <c r="OD25" s="291"/>
      <c r="OE25" s="291"/>
      <c r="OF25" s="291"/>
      <c r="OG25" s="291"/>
      <c r="OH25" s="291"/>
      <c r="OI25" s="291"/>
      <c r="OJ25" s="291"/>
      <c r="OK25" s="291"/>
      <c r="OL25" s="291"/>
      <c r="OM25" s="291"/>
      <c r="ON25" s="291"/>
      <c r="OO25" s="291"/>
      <c r="OP25" s="291"/>
      <c r="OQ25" s="291"/>
      <c r="OR25" s="291"/>
      <c r="OS25" s="291"/>
      <c r="OT25" s="291"/>
      <c r="OU25" s="291"/>
      <c r="OV25" s="291"/>
      <c r="OW25" s="291"/>
    </row>
    <row r="26" spans="1:413" s="257" customFormat="1" hidden="1" x14ac:dyDescent="0.2">
      <c r="A26" s="291"/>
      <c r="B26" s="524">
        <f t="shared" si="3"/>
        <v>11</v>
      </c>
      <c r="C26" s="510" t="s">
        <v>38</v>
      </c>
      <c r="D26" s="511">
        <v>30005793</v>
      </c>
      <c r="E26" s="511"/>
      <c r="F26" s="512" t="s">
        <v>1115</v>
      </c>
      <c r="G26" s="513" t="s">
        <v>46</v>
      </c>
      <c r="H26" s="514" t="s">
        <v>1094</v>
      </c>
      <c r="I26" s="515" t="s">
        <v>1116</v>
      </c>
      <c r="J26" s="346" t="s">
        <v>43</v>
      </c>
      <c r="K26" s="526">
        <v>51824</v>
      </c>
      <c r="L26" s="527">
        <v>0</v>
      </c>
      <c r="M26" s="528">
        <v>50775</v>
      </c>
      <c r="N26" s="520">
        <v>0</v>
      </c>
      <c r="O26" s="520">
        <v>0</v>
      </c>
      <c r="P26" s="520">
        <v>0</v>
      </c>
      <c r="Q26" s="520">
        <v>0</v>
      </c>
      <c r="R26" s="520">
        <v>0</v>
      </c>
      <c r="S26" s="520">
        <v>0</v>
      </c>
      <c r="T26" s="18"/>
      <c r="U26" s="18"/>
      <c r="V26" s="18"/>
      <c r="W26" s="18"/>
      <c r="X26" s="18"/>
      <c r="Y26" s="18"/>
      <c r="Z26" s="18">
        <f t="shared" si="0"/>
        <v>0</v>
      </c>
      <c r="AA26" s="309">
        <v>1030</v>
      </c>
      <c r="AB26" s="19">
        <v>3</v>
      </c>
      <c r="AC26" s="521">
        <v>44222</v>
      </c>
      <c r="AD26" s="25">
        <v>44225</v>
      </c>
      <c r="AE26" s="309"/>
      <c r="AF26" s="20"/>
      <c r="AG26" s="23"/>
      <c r="AH26" s="25"/>
      <c r="AI26" s="309"/>
      <c r="AJ26" s="19"/>
      <c r="AK26" s="23"/>
      <c r="AL26" s="25"/>
      <c r="AM26" s="309"/>
      <c r="AN26" s="19"/>
      <c r="AO26" s="21"/>
      <c r="AP26" s="25"/>
      <c r="AQ26" s="309"/>
      <c r="AR26" s="19"/>
      <c r="AS26" s="21"/>
      <c r="AT26" s="25"/>
      <c r="AU26" s="522">
        <f t="shared" si="1"/>
        <v>1030</v>
      </c>
      <c r="AV26" s="311">
        <f t="shared" si="2"/>
        <v>1030</v>
      </c>
      <c r="AW26" s="305"/>
      <c r="AX26" s="291"/>
      <c r="AY26" s="291"/>
      <c r="AZ26" s="291"/>
      <c r="BA26" s="291"/>
      <c r="BB26" s="291"/>
      <c r="BC26" s="291"/>
      <c r="BD26" s="291"/>
      <c r="BE26" s="291"/>
      <c r="BF26" s="291"/>
      <c r="BG26" s="291"/>
      <c r="BH26" s="291"/>
      <c r="BI26" s="291"/>
      <c r="BJ26" s="291"/>
      <c r="BK26" s="291"/>
      <c r="BL26" s="291"/>
      <c r="BM26" s="291"/>
      <c r="BN26" s="291"/>
      <c r="BO26" s="291"/>
      <c r="BP26" s="291"/>
      <c r="BQ26" s="291"/>
      <c r="BR26" s="291"/>
      <c r="BS26" s="291"/>
      <c r="BT26" s="291"/>
      <c r="BU26" s="291"/>
      <c r="BV26" s="291"/>
      <c r="BW26" s="291"/>
      <c r="BX26" s="291"/>
      <c r="BY26" s="291"/>
      <c r="BZ26" s="291"/>
      <c r="CA26" s="291"/>
      <c r="CB26" s="291"/>
      <c r="CC26" s="291"/>
      <c r="CD26" s="291"/>
      <c r="CE26" s="291"/>
      <c r="CF26" s="291"/>
      <c r="CG26" s="291"/>
      <c r="CH26" s="291"/>
      <c r="CI26" s="291"/>
      <c r="CJ26" s="291"/>
      <c r="CK26" s="291"/>
      <c r="CL26" s="291"/>
      <c r="CM26" s="291"/>
      <c r="CN26" s="291"/>
      <c r="CO26" s="291"/>
      <c r="CP26" s="291"/>
      <c r="CQ26" s="291"/>
      <c r="CR26" s="291"/>
      <c r="CS26" s="291"/>
      <c r="CT26" s="291"/>
      <c r="CU26" s="291"/>
      <c r="CV26" s="291"/>
      <c r="CW26" s="291"/>
      <c r="CX26" s="291"/>
      <c r="CY26" s="291"/>
      <c r="CZ26" s="291"/>
      <c r="DA26" s="291"/>
      <c r="DB26" s="291"/>
      <c r="DC26" s="291"/>
      <c r="DD26" s="291"/>
      <c r="DE26" s="291"/>
      <c r="DF26" s="291"/>
      <c r="DG26" s="291"/>
      <c r="DH26" s="291"/>
      <c r="DI26" s="291"/>
      <c r="DJ26" s="291"/>
      <c r="DK26" s="291"/>
      <c r="DL26" s="291"/>
      <c r="DM26" s="291"/>
      <c r="DN26" s="291"/>
      <c r="DO26" s="291"/>
      <c r="DP26" s="291"/>
      <c r="DQ26" s="291"/>
      <c r="DR26" s="291"/>
      <c r="DS26" s="291"/>
      <c r="DT26" s="291"/>
      <c r="DU26" s="291"/>
      <c r="DV26" s="291"/>
      <c r="DW26" s="291"/>
      <c r="DX26" s="291"/>
      <c r="DY26" s="291"/>
      <c r="DZ26" s="291"/>
      <c r="EA26" s="291"/>
      <c r="EB26" s="291"/>
      <c r="EC26" s="291"/>
      <c r="ED26" s="291"/>
      <c r="EE26" s="291"/>
      <c r="EF26" s="291"/>
      <c r="EG26" s="291"/>
      <c r="EH26" s="291"/>
      <c r="EI26" s="291"/>
      <c r="EJ26" s="291"/>
      <c r="EK26" s="291"/>
      <c r="EL26" s="291"/>
      <c r="EM26" s="291"/>
      <c r="EN26" s="291"/>
      <c r="EO26" s="291"/>
      <c r="EP26" s="291"/>
      <c r="EQ26" s="291"/>
      <c r="ER26" s="291"/>
      <c r="ES26" s="291"/>
      <c r="ET26" s="291"/>
      <c r="EU26" s="291"/>
      <c r="EV26" s="291"/>
      <c r="EW26" s="291"/>
      <c r="EX26" s="291"/>
      <c r="EY26" s="291"/>
      <c r="EZ26" s="291"/>
      <c r="FA26" s="291"/>
      <c r="FB26" s="291"/>
      <c r="FC26" s="291"/>
      <c r="FD26" s="291"/>
      <c r="FE26" s="291"/>
      <c r="FF26" s="291"/>
      <c r="FG26" s="291"/>
      <c r="FH26" s="291"/>
      <c r="FI26" s="291"/>
      <c r="FJ26" s="291"/>
      <c r="FK26" s="291"/>
      <c r="FL26" s="291"/>
      <c r="FM26" s="291"/>
      <c r="FN26" s="291"/>
      <c r="FO26" s="291"/>
      <c r="FP26" s="291"/>
      <c r="FQ26" s="291"/>
      <c r="FR26" s="291"/>
      <c r="FS26" s="291"/>
      <c r="FT26" s="291"/>
      <c r="FU26" s="291"/>
      <c r="FV26" s="291"/>
      <c r="FW26" s="291"/>
      <c r="FX26" s="291"/>
      <c r="FY26" s="291"/>
      <c r="FZ26" s="291"/>
      <c r="GA26" s="291"/>
      <c r="GB26" s="291"/>
      <c r="GC26" s="291"/>
      <c r="GD26" s="291"/>
      <c r="GE26" s="291"/>
      <c r="GF26" s="291"/>
      <c r="GG26" s="291"/>
      <c r="GH26" s="291"/>
      <c r="GI26" s="291"/>
      <c r="GJ26" s="291"/>
      <c r="GK26" s="291"/>
      <c r="GL26" s="291"/>
      <c r="GM26" s="291"/>
      <c r="GN26" s="291"/>
      <c r="GO26" s="291"/>
      <c r="GP26" s="291"/>
      <c r="GQ26" s="291"/>
      <c r="GR26" s="291"/>
      <c r="GS26" s="291"/>
      <c r="GT26" s="291"/>
      <c r="GU26" s="291"/>
      <c r="GV26" s="291"/>
      <c r="GW26" s="291"/>
      <c r="GX26" s="291"/>
      <c r="GY26" s="291"/>
      <c r="GZ26" s="291"/>
      <c r="HA26" s="291"/>
      <c r="HB26" s="291"/>
      <c r="HC26" s="291"/>
      <c r="HD26" s="291"/>
      <c r="HE26" s="291"/>
      <c r="HF26" s="291"/>
      <c r="HG26" s="291"/>
      <c r="HH26" s="291"/>
      <c r="HI26" s="291"/>
      <c r="HJ26" s="291"/>
      <c r="HK26" s="291"/>
      <c r="HL26" s="291"/>
      <c r="HM26" s="291"/>
      <c r="HN26" s="291"/>
      <c r="HO26" s="291"/>
      <c r="HP26" s="291"/>
      <c r="HQ26" s="291"/>
      <c r="HR26" s="291"/>
      <c r="HS26" s="291"/>
      <c r="HT26" s="291"/>
      <c r="HU26" s="291"/>
      <c r="HV26" s="291"/>
      <c r="HW26" s="291"/>
      <c r="HX26" s="291"/>
      <c r="HY26" s="291"/>
      <c r="HZ26" s="291"/>
      <c r="IA26" s="291"/>
      <c r="IB26" s="291"/>
      <c r="IC26" s="291"/>
      <c r="ID26" s="291"/>
      <c r="IE26" s="291"/>
      <c r="IF26" s="291"/>
      <c r="IG26" s="291"/>
      <c r="IH26" s="291"/>
      <c r="II26" s="291"/>
      <c r="IJ26" s="291"/>
      <c r="IK26" s="291"/>
      <c r="IL26" s="291"/>
      <c r="IM26" s="291"/>
      <c r="IN26" s="291"/>
      <c r="IO26" s="291"/>
      <c r="IP26" s="291"/>
      <c r="IQ26" s="291"/>
      <c r="IR26" s="291"/>
      <c r="IS26" s="291"/>
      <c r="IT26" s="291"/>
      <c r="IU26" s="291"/>
      <c r="IV26" s="291"/>
      <c r="IW26" s="291"/>
      <c r="IX26" s="291"/>
      <c r="IY26" s="291"/>
      <c r="IZ26" s="291"/>
      <c r="JA26" s="291"/>
      <c r="JB26" s="291"/>
      <c r="JC26" s="291"/>
      <c r="JD26" s="291"/>
      <c r="JE26" s="291"/>
      <c r="JF26" s="291"/>
      <c r="JG26" s="291"/>
      <c r="JH26" s="291"/>
      <c r="JI26" s="291"/>
      <c r="JJ26" s="291"/>
      <c r="JK26" s="291"/>
      <c r="JL26" s="291"/>
      <c r="JM26" s="291"/>
      <c r="JN26" s="291"/>
      <c r="JO26" s="291"/>
      <c r="JP26" s="291"/>
      <c r="JQ26" s="291"/>
      <c r="JR26" s="291"/>
      <c r="JS26" s="291"/>
      <c r="JT26" s="291"/>
      <c r="JU26" s="291"/>
      <c r="JV26" s="291"/>
      <c r="JW26" s="291"/>
      <c r="JX26" s="291"/>
      <c r="JY26" s="291"/>
      <c r="JZ26" s="291"/>
      <c r="KA26" s="291"/>
      <c r="KB26" s="291"/>
      <c r="KC26" s="291"/>
      <c r="KD26" s="291"/>
      <c r="KE26" s="291"/>
      <c r="KF26" s="291"/>
      <c r="KG26" s="291"/>
      <c r="KH26" s="291"/>
      <c r="KI26" s="291"/>
      <c r="KJ26" s="291"/>
      <c r="KK26" s="291"/>
      <c r="KL26" s="291"/>
      <c r="KM26" s="291"/>
      <c r="KN26" s="291"/>
      <c r="KO26" s="291"/>
      <c r="KP26" s="291"/>
      <c r="KQ26" s="291"/>
      <c r="KR26" s="291"/>
      <c r="KS26" s="291"/>
      <c r="KT26" s="291"/>
      <c r="KU26" s="291"/>
      <c r="KV26" s="291"/>
      <c r="KW26" s="291"/>
      <c r="KX26" s="291"/>
      <c r="KY26" s="291"/>
      <c r="KZ26" s="291"/>
      <c r="LA26" s="291"/>
      <c r="LB26" s="291"/>
      <c r="LC26" s="291"/>
      <c r="LD26" s="291"/>
      <c r="LE26" s="291"/>
      <c r="LF26" s="291"/>
      <c r="LG26" s="291"/>
      <c r="LH26" s="291"/>
      <c r="LI26" s="291"/>
      <c r="LJ26" s="291"/>
      <c r="LK26" s="291"/>
      <c r="LL26" s="291"/>
      <c r="LM26" s="291"/>
      <c r="LN26" s="291"/>
      <c r="LO26" s="291"/>
      <c r="LP26" s="291"/>
      <c r="LQ26" s="291"/>
      <c r="LR26" s="291"/>
      <c r="LS26" s="291"/>
      <c r="LT26" s="291"/>
      <c r="LU26" s="291"/>
      <c r="LV26" s="291"/>
      <c r="LW26" s="291"/>
      <c r="LX26" s="291"/>
      <c r="LY26" s="291"/>
      <c r="LZ26" s="291"/>
      <c r="MA26" s="291"/>
      <c r="MB26" s="291"/>
      <c r="MC26" s="291"/>
      <c r="MD26" s="291"/>
      <c r="ME26" s="291"/>
      <c r="MF26" s="291"/>
      <c r="MG26" s="291"/>
      <c r="MH26" s="291"/>
      <c r="MI26" s="291"/>
      <c r="MJ26" s="291"/>
      <c r="MK26" s="291"/>
      <c r="ML26" s="291"/>
      <c r="MM26" s="291"/>
      <c r="MN26" s="291"/>
      <c r="MO26" s="291"/>
      <c r="MP26" s="291"/>
      <c r="MQ26" s="291"/>
      <c r="MR26" s="291"/>
      <c r="MS26" s="291"/>
      <c r="MT26" s="291"/>
      <c r="MU26" s="291"/>
      <c r="MV26" s="291"/>
      <c r="MW26" s="291"/>
      <c r="MX26" s="291"/>
      <c r="MY26" s="291"/>
      <c r="MZ26" s="291"/>
      <c r="NA26" s="291"/>
      <c r="NB26" s="291"/>
      <c r="NC26" s="291"/>
      <c r="ND26" s="291"/>
      <c r="NE26" s="291"/>
      <c r="NF26" s="291"/>
      <c r="NG26" s="291"/>
      <c r="NH26" s="291"/>
      <c r="NI26" s="291"/>
      <c r="NJ26" s="291"/>
      <c r="NK26" s="291"/>
      <c r="NL26" s="291"/>
      <c r="NM26" s="291"/>
      <c r="NN26" s="291"/>
      <c r="NO26" s="291"/>
      <c r="NP26" s="291"/>
      <c r="NQ26" s="291"/>
      <c r="NR26" s="291"/>
      <c r="NS26" s="291"/>
      <c r="NT26" s="291"/>
      <c r="NU26" s="291"/>
      <c r="NV26" s="291"/>
      <c r="NW26" s="291"/>
      <c r="NX26" s="291"/>
      <c r="NY26" s="291"/>
      <c r="NZ26" s="291"/>
      <c r="OA26" s="291"/>
      <c r="OB26" s="291"/>
      <c r="OC26" s="291"/>
      <c r="OD26" s="291"/>
      <c r="OE26" s="291"/>
      <c r="OF26" s="291"/>
      <c r="OG26" s="291"/>
      <c r="OH26" s="291"/>
      <c r="OI26" s="291"/>
      <c r="OJ26" s="291"/>
      <c r="OK26" s="291"/>
      <c r="OL26" s="291"/>
      <c r="OM26" s="291"/>
      <c r="ON26" s="291"/>
      <c r="OO26" s="291"/>
      <c r="OP26" s="291"/>
      <c r="OQ26" s="291"/>
      <c r="OR26" s="291"/>
      <c r="OS26" s="291"/>
      <c r="OT26" s="291"/>
      <c r="OU26" s="291"/>
      <c r="OV26" s="291"/>
      <c r="OW26" s="291"/>
    </row>
    <row r="27" spans="1:413" s="257" customFormat="1" hidden="1" x14ac:dyDescent="0.2">
      <c r="A27" s="291"/>
      <c r="B27" s="524">
        <f t="shared" si="3"/>
        <v>12</v>
      </c>
      <c r="C27" s="510" t="s">
        <v>38</v>
      </c>
      <c r="D27" s="511">
        <v>30036236</v>
      </c>
      <c r="E27" s="511"/>
      <c r="F27" s="512" t="s">
        <v>1117</v>
      </c>
      <c r="G27" s="513" t="s">
        <v>46</v>
      </c>
      <c r="H27" s="514" t="s">
        <v>1094</v>
      </c>
      <c r="I27" s="515" t="s">
        <v>1118</v>
      </c>
      <c r="J27" s="346" t="s">
        <v>42</v>
      </c>
      <c r="K27" s="526">
        <v>80501</v>
      </c>
      <c r="L27" s="527">
        <v>35238</v>
      </c>
      <c r="M27" s="528">
        <v>0</v>
      </c>
      <c r="N27" s="520">
        <v>0</v>
      </c>
      <c r="O27" s="520">
        <v>0</v>
      </c>
      <c r="P27" s="520">
        <v>0</v>
      </c>
      <c r="Q27" s="520">
        <v>0</v>
      </c>
      <c r="R27" s="520">
        <v>0</v>
      </c>
      <c r="S27" s="520">
        <v>11903</v>
      </c>
      <c r="T27" s="18"/>
      <c r="U27" s="18"/>
      <c r="V27" s="18"/>
      <c r="W27" s="18"/>
      <c r="X27" s="18"/>
      <c r="Y27" s="18"/>
      <c r="Z27" s="18">
        <f t="shared" si="0"/>
        <v>11903</v>
      </c>
      <c r="AA27" s="309">
        <v>45263</v>
      </c>
      <c r="AB27" s="19">
        <v>5</v>
      </c>
      <c r="AC27" s="521">
        <v>44224</v>
      </c>
      <c r="AD27" s="25">
        <v>44251</v>
      </c>
      <c r="AE27" s="309">
        <v>-15934</v>
      </c>
      <c r="AF27" s="20">
        <v>50</v>
      </c>
      <c r="AG27" s="23">
        <v>44356</v>
      </c>
      <c r="AH27" s="25">
        <v>44377</v>
      </c>
      <c r="AI27" s="309"/>
      <c r="AJ27" s="19"/>
      <c r="AK27" s="23"/>
      <c r="AL27" s="25"/>
      <c r="AM27" s="309"/>
      <c r="AN27" s="19"/>
      <c r="AO27" s="21"/>
      <c r="AP27" s="25"/>
      <c r="AQ27" s="309"/>
      <c r="AR27" s="19"/>
      <c r="AS27" s="21"/>
      <c r="AT27" s="25"/>
      <c r="AU27" s="522">
        <f t="shared" si="1"/>
        <v>29329</v>
      </c>
      <c r="AV27" s="311">
        <f t="shared" si="2"/>
        <v>17426</v>
      </c>
      <c r="AW27" s="305"/>
      <c r="AX27" s="291"/>
      <c r="AY27" s="291"/>
      <c r="AZ27" s="291"/>
      <c r="BA27" s="291"/>
      <c r="BB27" s="291"/>
      <c r="BC27" s="291"/>
      <c r="BD27" s="291"/>
      <c r="BE27" s="291"/>
      <c r="BF27" s="291"/>
      <c r="BG27" s="291"/>
      <c r="BH27" s="291"/>
      <c r="BI27" s="291"/>
      <c r="BJ27" s="291"/>
      <c r="BK27" s="291"/>
      <c r="BL27" s="291"/>
      <c r="BM27" s="291"/>
      <c r="BN27" s="291"/>
      <c r="BO27" s="291"/>
      <c r="BP27" s="291"/>
      <c r="BQ27" s="291"/>
      <c r="BR27" s="291"/>
      <c r="BS27" s="291"/>
      <c r="BT27" s="291"/>
      <c r="BU27" s="291"/>
      <c r="BV27" s="291"/>
      <c r="BW27" s="291"/>
      <c r="BX27" s="291"/>
      <c r="BY27" s="291"/>
      <c r="BZ27" s="291"/>
      <c r="CA27" s="291"/>
      <c r="CB27" s="291"/>
      <c r="CC27" s="291"/>
      <c r="CD27" s="291"/>
      <c r="CE27" s="291"/>
      <c r="CF27" s="291"/>
      <c r="CG27" s="291"/>
      <c r="CH27" s="291"/>
      <c r="CI27" s="291"/>
      <c r="CJ27" s="291"/>
      <c r="CK27" s="291"/>
      <c r="CL27" s="291"/>
      <c r="CM27" s="291"/>
      <c r="CN27" s="291"/>
      <c r="CO27" s="291"/>
      <c r="CP27" s="291"/>
      <c r="CQ27" s="291"/>
      <c r="CR27" s="291"/>
      <c r="CS27" s="291"/>
      <c r="CT27" s="291"/>
      <c r="CU27" s="291"/>
      <c r="CV27" s="291"/>
      <c r="CW27" s="291"/>
      <c r="CX27" s="291"/>
      <c r="CY27" s="291"/>
      <c r="CZ27" s="291"/>
      <c r="DA27" s="291"/>
      <c r="DB27" s="291"/>
      <c r="DC27" s="291"/>
      <c r="DD27" s="291"/>
      <c r="DE27" s="291"/>
      <c r="DF27" s="291"/>
      <c r="DG27" s="291"/>
      <c r="DH27" s="291"/>
      <c r="DI27" s="291"/>
      <c r="DJ27" s="291"/>
      <c r="DK27" s="291"/>
      <c r="DL27" s="291"/>
      <c r="DM27" s="291"/>
      <c r="DN27" s="291"/>
      <c r="DO27" s="291"/>
      <c r="DP27" s="291"/>
      <c r="DQ27" s="291"/>
      <c r="DR27" s="291"/>
      <c r="DS27" s="291"/>
      <c r="DT27" s="291"/>
      <c r="DU27" s="291"/>
      <c r="DV27" s="291"/>
      <c r="DW27" s="291"/>
      <c r="DX27" s="291"/>
      <c r="DY27" s="291"/>
      <c r="DZ27" s="291"/>
      <c r="EA27" s="291"/>
      <c r="EB27" s="291"/>
      <c r="EC27" s="291"/>
      <c r="ED27" s="291"/>
      <c r="EE27" s="291"/>
      <c r="EF27" s="291"/>
      <c r="EG27" s="291"/>
      <c r="EH27" s="291"/>
      <c r="EI27" s="291"/>
      <c r="EJ27" s="291"/>
      <c r="EK27" s="291"/>
      <c r="EL27" s="291"/>
      <c r="EM27" s="291"/>
      <c r="EN27" s="291"/>
      <c r="EO27" s="291"/>
      <c r="EP27" s="291"/>
      <c r="EQ27" s="291"/>
      <c r="ER27" s="291"/>
      <c r="ES27" s="291"/>
      <c r="ET27" s="291"/>
      <c r="EU27" s="291"/>
      <c r="EV27" s="291"/>
      <c r="EW27" s="291"/>
      <c r="EX27" s="291"/>
      <c r="EY27" s="291"/>
      <c r="EZ27" s="291"/>
      <c r="FA27" s="291"/>
      <c r="FB27" s="291"/>
      <c r="FC27" s="291"/>
      <c r="FD27" s="291"/>
      <c r="FE27" s="291"/>
      <c r="FF27" s="291"/>
      <c r="FG27" s="291"/>
      <c r="FH27" s="291"/>
      <c r="FI27" s="291"/>
      <c r="FJ27" s="291"/>
      <c r="FK27" s="291"/>
      <c r="FL27" s="291"/>
      <c r="FM27" s="291"/>
      <c r="FN27" s="291"/>
      <c r="FO27" s="291"/>
      <c r="FP27" s="291"/>
      <c r="FQ27" s="291"/>
      <c r="FR27" s="291"/>
      <c r="FS27" s="291"/>
      <c r="FT27" s="291"/>
      <c r="FU27" s="291"/>
      <c r="FV27" s="291"/>
      <c r="FW27" s="291"/>
      <c r="FX27" s="291"/>
      <c r="FY27" s="291"/>
      <c r="FZ27" s="291"/>
      <c r="GA27" s="291"/>
      <c r="GB27" s="291"/>
      <c r="GC27" s="291"/>
      <c r="GD27" s="291"/>
      <c r="GE27" s="291"/>
      <c r="GF27" s="291"/>
      <c r="GG27" s="291"/>
      <c r="GH27" s="291"/>
      <c r="GI27" s="291"/>
      <c r="GJ27" s="291"/>
      <c r="GK27" s="291"/>
      <c r="GL27" s="291"/>
      <c r="GM27" s="291"/>
      <c r="GN27" s="291"/>
      <c r="GO27" s="291"/>
      <c r="GP27" s="291"/>
      <c r="GQ27" s="291"/>
      <c r="GR27" s="291"/>
      <c r="GS27" s="291"/>
      <c r="GT27" s="291"/>
      <c r="GU27" s="291"/>
      <c r="GV27" s="291"/>
      <c r="GW27" s="291"/>
      <c r="GX27" s="291"/>
      <c r="GY27" s="291"/>
      <c r="GZ27" s="291"/>
      <c r="HA27" s="291"/>
      <c r="HB27" s="291"/>
      <c r="HC27" s="291"/>
      <c r="HD27" s="291"/>
      <c r="HE27" s="291"/>
      <c r="HF27" s="291"/>
      <c r="HG27" s="291"/>
      <c r="HH27" s="291"/>
      <c r="HI27" s="291"/>
      <c r="HJ27" s="291"/>
      <c r="HK27" s="291"/>
      <c r="HL27" s="291"/>
      <c r="HM27" s="291"/>
      <c r="HN27" s="291"/>
      <c r="HO27" s="291"/>
      <c r="HP27" s="291"/>
      <c r="HQ27" s="291"/>
      <c r="HR27" s="291"/>
      <c r="HS27" s="291"/>
      <c r="HT27" s="291"/>
      <c r="HU27" s="291"/>
      <c r="HV27" s="291"/>
      <c r="HW27" s="291"/>
      <c r="HX27" s="291"/>
      <c r="HY27" s="291"/>
      <c r="HZ27" s="291"/>
      <c r="IA27" s="291"/>
      <c r="IB27" s="291"/>
      <c r="IC27" s="291"/>
      <c r="ID27" s="291"/>
      <c r="IE27" s="291"/>
      <c r="IF27" s="291"/>
      <c r="IG27" s="291"/>
      <c r="IH27" s="291"/>
      <c r="II27" s="291"/>
      <c r="IJ27" s="291"/>
      <c r="IK27" s="291"/>
      <c r="IL27" s="291"/>
      <c r="IM27" s="291"/>
      <c r="IN27" s="291"/>
      <c r="IO27" s="291"/>
      <c r="IP27" s="291"/>
      <c r="IQ27" s="291"/>
      <c r="IR27" s="291"/>
      <c r="IS27" s="291"/>
      <c r="IT27" s="291"/>
      <c r="IU27" s="291"/>
      <c r="IV27" s="291"/>
      <c r="IW27" s="291"/>
      <c r="IX27" s="291"/>
      <c r="IY27" s="291"/>
      <c r="IZ27" s="291"/>
      <c r="JA27" s="291"/>
      <c r="JB27" s="291"/>
      <c r="JC27" s="291"/>
      <c r="JD27" s="291"/>
      <c r="JE27" s="291"/>
      <c r="JF27" s="291"/>
      <c r="JG27" s="291"/>
      <c r="JH27" s="291"/>
      <c r="JI27" s="291"/>
      <c r="JJ27" s="291"/>
      <c r="JK27" s="291"/>
      <c r="JL27" s="291"/>
      <c r="JM27" s="291"/>
      <c r="JN27" s="291"/>
      <c r="JO27" s="291"/>
      <c r="JP27" s="291"/>
      <c r="JQ27" s="291"/>
      <c r="JR27" s="291"/>
      <c r="JS27" s="291"/>
      <c r="JT27" s="291"/>
      <c r="JU27" s="291"/>
      <c r="JV27" s="291"/>
      <c r="JW27" s="291"/>
      <c r="JX27" s="291"/>
      <c r="JY27" s="291"/>
      <c r="JZ27" s="291"/>
      <c r="KA27" s="291"/>
      <c r="KB27" s="291"/>
      <c r="KC27" s="291"/>
      <c r="KD27" s="291"/>
      <c r="KE27" s="291"/>
      <c r="KF27" s="291"/>
      <c r="KG27" s="291"/>
      <c r="KH27" s="291"/>
      <c r="KI27" s="291"/>
      <c r="KJ27" s="291"/>
      <c r="KK27" s="291"/>
      <c r="KL27" s="291"/>
      <c r="KM27" s="291"/>
      <c r="KN27" s="291"/>
      <c r="KO27" s="291"/>
      <c r="KP27" s="291"/>
      <c r="KQ27" s="291"/>
      <c r="KR27" s="291"/>
      <c r="KS27" s="291"/>
      <c r="KT27" s="291"/>
      <c r="KU27" s="291"/>
      <c r="KV27" s="291"/>
      <c r="KW27" s="291"/>
      <c r="KX27" s="291"/>
      <c r="KY27" s="291"/>
      <c r="KZ27" s="291"/>
      <c r="LA27" s="291"/>
      <c r="LB27" s="291"/>
      <c r="LC27" s="291"/>
      <c r="LD27" s="291"/>
      <c r="LE27" s="291"/>
      <c r="LF27" s="291"/>
      <c r="LG27" s="291"/>
      <c r="LH27" s="291"/>
      <c r="LI27" s="291"/>
      <c r="LJ27" s="291"/>
      <c r="LK27" s="291"/>
      <c r="LL27" s="291"/>
      <c r="LM27" s="291"/>
      <c r="LN27" s="291"/>
      <c r="LO27" s="291"/>
      <c r="LP27" s="291"/>
      <c r="LQ27" s="291"/>
      <c r="LR27" s="291"/>
      <c r="LS27" s="291"/>
      <c r="LT27" s="291"/>
      <c r="LU27" s="291"/>
      <c r="LV27" s="291"/>
      <c r="LW27" s="291"/>
      <c r="LX27" s="291"/>
      <c r="LY27" s="291"/>
      <c r="LZ27" s="291"/>
      <c r="MA27" s="291"/>
      <c r="MB27" s="291"/>
      <c r="MC27" s="291"/>
      <c r="MD27" s="291"/>
      <c r="ME27" s="291"/>
      <c r="MF27" s="291"/>
      <c r="MG27" s="291"/>
      <c r="MH27" s="291"/>
      <c r="MI27" s="291"/>
      <c r="MJ27" s="291"/>
      <c r="MK27" s="291"/>
      <c r="ML27" s="291"/>
      <c r="MM27" s="291"/>
      <c r="MN27" s="291"/>
      <c r="MO27" s="291"/>
      <c r="MP27" s="291"/>
      <c r="MQ27" s="291"/>
      <c r="MR27" s="291"/>
      <c r="MS27" s="291"/>
      <c r="MT27" s="291"/>
      <c r="MU27" s="291"/>
      <c r="MV27" s="291"/>
      <c r="MW27" s="291"/>
      <c r="MX27" s="291"/>
      <c r="MY27" s="291"/>
      <c r="MZ27" s="291"/>
      <c r="NA27" s="291"/>
      <c r="NB27" s="291"/>
      <c r="NC27" s="291"/>
      <c r="ND27" s="291"/>
      <c r="NE27" s="291"/>
      <c r="NF27" s="291"/>
      <c r="NG27" s="291"/>
      <c r="NH27" s="291"/>
      <c r="NI27" s="291"/>
      <c r="NJ27" s="291"/>
      <c r="NK27" s="291"/>
      <c r="NL27" s="291"/>
      <c r="NM27" s="291"/>
      <c r="NN27" s="291"/>
      <c r="NO27" s="291"/>
      <c r="NP27" s="291"/>
      <c r="NQ27" s="291"/>
      <c r="NR27" s="291"/>
      <c r="NS27" s="291"/>
      <c r="NT27" s="291"/>
      <c r="NU27" s="291"/>
      <c r="NV27" s="291"/>
      <c r="NW27" s="291"/>
      <c r="NX27" s="291"/>
      <c r="NY27" s="291"/>
      <c r="NZ27" s="291"/>
      <c r="OA27" s="291"/>
      <c r="OB27" s="291"/>
      <c r="OC27" s="291"/>
      <c r="OD27" s="291"/>
      <c r="OE27" s="291"/>
      <c r="OF27" s="291"/>
      <c r="OG27" s="291"/>
      <c r="OH27" s="291"/>
      <c r="OI27" s="291"/>
      <c r="OJ27" s="291"/>
      <c r="OK27" s="291"/>
      <c r="OL27" s="291"/>
      <c r="OM27" s="291"/>
      <c r="ON27" s="291"/>
      <c r="OO27" s="291"/>
      <c r="OP27" s="291"/>
      <c r="OQ27" s="291"/>
      <c r="OR27" s="291"/>
      <c r="OS27" s="291"/>
      <c r="OT27" s="291"/>
      <c r="OU27" s="291"/>
      <c r="OV27" s="291"/>
      <c r="OW27" s="291"/>
    </row>
    <row r="28" spans="1:413" s="257" customFormat="1" hidden="1" x14ac:dyDescent="0.2">
      <c r="A28" s="291"/>
      <c r="B28" s="524">
        <f t="shared" si="3"/>
        <v>13</v>
      </c>
      <c r="C28" s="510" t="s">
        <v>38</v>
      </c>
      <c r="D28" s="511">
        <v>30036878</v>
      </c>
      <c r="E28" s="511"/>
      <c r="F28" s="512" t="s">
        <v>1119</v>
      </c>
      <c r="G28" s="513" t="s">
        <v>46</v>
      </c>
      <c r="H28" s="514" t="s">
        <v>1094</v>
      </c>
      <c r="I28" s="515" t="s">
        <v>1120</v>
      </c>
      <c r="J28" s="346" t="s">
        <v>43</v>
      </c>
      <c r="K28" s="526">
        <v>140886</v>
      </c>
      <c r="L28" s="527">
        <v>0</v>
      </c>
      <c r="M28" s="528">
        <v>116769</v>
      </c>
      <c r="N28" s="520">
        <v>0</v>
      </c>
      <c r="O28" s="520">
        <v>0</v>
      </c>
      <c r="P28" s="520">
        <v>0</v>
      </c>
      <c r="Q28" s="520">
        <v>0</v>
      </c>
      <c r="R28" s="520">
        <v>0</v>
      </c>
      <c r="S28" s="520">
        <v>0</v>
      </c>
      <c r="T28" s="18"/>
      <c r="U28" s="18"/>
      <c r="V28" s="18"/>
      <c r="W28" s="18"/>
      <c r="X28" s="18"/>
      <c r="Y28" s="18"/>
      <c r="Z28" s="18">
        <f t="shared" si="0"/>
        <v>0</v>
      </c>
      <c r="AA28" s="309">
        <v>20450</v>
      </c>
      <c r="AB28" s="19">
        <v>3</v>
      </c>
      <c r="AC28" s="521">
        <v>44222</v>
      </c>
      <c r="AD28" s="25">
        <v>44225</v>
      </c>
      <c r="AE28" s="57">
        <v>1000</v>
      </c>
      <c r="AF28" s="20">
        <v>15</v>
      </c>
      <c r="AG28" s="25">
        <v>44259</v>
      </c>
      <c r="AH28" s="25">
        <v>44274</v>
      </c>
      <c r="AI28" s="57"/>
      <c r="AJ28" s="19"/>
      <c r="AK28" s="25"/>
      <c r="AL28" s="25"/>
      <c r="AM28" s="309"/>
      <c r="AN28" s="19"/>
      <c r="AO28" s="21"/>
      <c r="AP28" s="25"/>
      <c r="AQ28" s="309"/>
      <c r="AR28" s="19"/>
      <c r="AS28" s="21"/>
      <c r="AT28" s="25"/>
      <c r="AU28" s="522">
        <f t="shared" si="1"/>
        <v>21450</v>
      </c>
      <c r="AV28" s="311">
        <f t="shared" si="2"/>
        <v>21450</v>
      </c>
      <c r="AW28" s="305"/>
      <c r="AX28" s="291"/>
      <c r="AY28" s="291"/>
      <c r="AZ28" s="291"/>
      <c r="BA28" s="291"/>
      <c r="BB28" s="291"/>
      <c r="BC28" s="291"/>
      <c r="BD28" s="291"/>
      <c r="BE28" s="291"/>
      <c r="BF28" s="291"/>
      <c r="BG28" s="291"/>
      <c r="BH28" s="291"/>
      <c r="BI28" s="291"/>
      <c r="BJ28" s="291"/>
      <c r="BK28" s="291"/>
      <c r="BL28" s="291"/>
      <c r="BM28" s="291"/>
      <c r="BN28" s="291"/>
      <c r="BO28" s="291"/>
      <c r="BP28" s="291"/>
      <c r="BQ28" s="291"/>
      <c r="BR28" s="291"/>
      <c r="BS28" s="291"/>
      <c r="BT28" s="291"/>
      <c r="BU28" s="291"/>
      <c r="BV28" s="291"/>
      <c r="BW28" s="291"/>
      <c r="BX28" s="291"/>
      <c r="BY28" s="291"/>
      <c r="BZ28" s="291"/>
      <c r="CA28" s="291"/>
      <c r="CB28" s="291"/>
      <c r="CC28" s="291"/>
      <c r="CD28" s="291"/>
      <c r="CE28" s="291"/>
      <c r="CF28" s="291"/>
      <c r="CG28" s="291"/>
      <c r="CH28" s="291"/>
      <c r="CI28" s="291"/>
      <c r="CJ28" s="291"/>
      <c r="CK28" s="291"/>
      <c r="CL28" s="291"/>
      <c r="CM28" s="291"/>
      <c r="CN28" s="291"/>
      <c r="CO28" s="291"/>
      <c r="CP28" s="291"/>
      <c r="CQ28" s="291"/>
      <c r="CR28" s="291"/>
      <c r="CS28" s="291"/>
      <c r="CT28" s="291"/>
      <c r="CU28" s="291"/>
      <c r="CV28" s="291"/>
      <c r="CW28" s="291"/>
      <c r="CX28" s="291"/>
      <c r="CY28" s="291"/>
      <c r="CZ28" s="291"/>
      <c r="DA28" s="291"/>
      <c r="DB28" s="291"/>
      <c r="DC28" s="291"/>
      <c r="DD28" s="291"/>
      <c r="DE28" s="291"/>
      <c r="DF28" s="291"/>
      <c r="DG28" s="291"/>
      <c r="DH28" s="291"/>
      <c r="DI28" s="291"/>
      <c r="DJ28" s="291"/>
      <c r="DK28" s="291"/>
      <c r="DL28" s="291"/>
      <c r="DM28" s="291"/>
      <c r="DN28" s="291"/>
      <c r="DO28" s="291"/>
      <c r="DP28" s="291"/>
      <c r="DQ28" s="291"/>
      <c r="DR28" s="291"/>
      <c r="DS28" s="291"/>
      <c r="DT28" s="291"/>
      <c r="DU28" s="291"/>
      <c r="DV28" s="291"/>
      <c r="DW28" s="291"/>
      <c r="DX28" s="291"/>
      <c r="DY28" s="291"/>
      <c r="DZ28" s="291"/>
      <c r="EA28" s="291"/>
      <c r="EB28" s="291"/>
      <c r="EC28" s="291"/>
      <c r="ED28" s="291"/>
      <c r="EE28" s="291"/>
      <c r="EF28" s="291"/>
      <c r="EG28" s="291"/>
      <c r="EH28" s="291"/>
      <c r="EI28" s="291"/>
      <c r="EJ28" s="291"/>
      <c r="EK28" s="291"/>
      <c r="EL28" s="291"/>
      <c r="EM28" s="291"/>
      <c r="EN28" s="291"/>
      <c r="EO28" s="291"/>
      <c r="EP28" s="291"/>
      <c r="EQ28" s="291"/>
      <c r="ER28" s="291"/>
      <c r="ES28" s="291"/>
      <c r="ET28" s="291"/>
      <c r="EU28" s="291"/>
      <c r="EV28" s="291"/>
      <c r="EW28" s="291"/>
      <c r="EX28" s="291"/>
      <c r="EY28" s="291"/>
      <c r="EZ28" s="291"/>
      <c r="FA28" s="291"/>
      <c r="FB28" s="291"/>
      <c r="FC28" s="291"/>
      <c r="FD28" s="291"/>
      <c r="FE28" s="291"/>
      <c r="FF28" s="291"/>
      <c r="FG28" s="291"/>
      <c r="FH28" s="291"/>
      <c r="FI28" s="291"/>
      <c r="FJ28" s="291"/>
      <c r="FK28" s="291"/>
      <c r="FL28" s="291"/>
      <c r="FM28" s="291"/>
      <c r="FN28" s="291"/>
      <c r="FO28" s="291"/>
      <c r="FP28" s="291"/>
      <c r="FQ28" s="291"/>
      <c r="FR28" s="291"/>
      <c r="FS28" s="291"/>
      <c r="FT28" s="291"/>
      <c r="FU28" s="291"/>
      <c r="FV28" s="291"/>
      <c r="FW28" s="291"/>
      <c r="FX28" s="291"/>
      <c r="FY28" s="291"/>
      <c r="FZ28" s="291"/>
      <c r="GA28" s="291"/>
      <c r="GB28" s="291"/>
      <c r="GC28" s="291"/>
      <c r="GD28" s="291"/>
      <c r="GE28" s="291"/>
      <c r="GF28" s="291"/>
      <c r="GG28" s="291"/>
      <c r="GH28" s="291"/>
      <c r="GI28" s="291"/>
      <c r="GJ28" s="291"/>
      <c r="GK28" s="291"/>
      <c r="GL28" s="291"/>
      <c r="GM28" s="291"/>
      <c r="GN28" s="291"/>
      <c r="GO28" s="291"/>
      <c r="GP28" s="291"/>
      <c r="GQ28" s="291"/>
      <c r="GR28" s="291"/>
      <c r="GS28" s="291"/>
      <c r="GT28" s="291"/>
      <c r="GU28" s="291"/>
      <c r="GV28" s="291"/>
      <c r="GW28" s="291"/>
      <c r="GX28" s="291"/>
      <c r="GY28" s="291"/>
      <c r="GZ28" s="291"/>
      <c r="HA28" s="291"/>
      <c r="HB28" s="291"/>
      <c r="HC28" s="291"/>
      <c r="HD28" s="291"/>
      <c r="HE28" s="291"/>
      <c r="HF28" s="291"/>
      <c r="HG28" s="291"/>
      <c r="HH28" s="291"/>
      <c r="HI28" s="291"/>
      <c r="HJ28" s="291"/>
      <c r="HK28" s="291"/>
      <c r="HL28" s="291"/>
      <c r="HM28" s="291"/>
      <c r="HN28" s="291"/>
      <c r="HO28" s="291"/>
      <c r="HP28" s="291"/>
      <c r="HQ28" s="291"/>
      <c r="HR28" s="291"/>
      <c r="HS28" s="291"/>
      <c r="HT28" s="291"/>
      <c r="HU28" s="291"/>
      <c r="HV28" s="291"/>
      <c r="HW28" s="291"/>
      <c r="HX28" s="291"/>
      <c r="HY28" s="291"/>
      <c r="HZ28" s="291"/>
      <c r="IA28" s="291"/>
      <c r="IB28" s="291"/>
      <c r="IC28" s="291"/>
      <c r="ID28" s="291"/>
      <c r="IE28" s="291"/>
      <c r="IF28" s="291"/>
      <c r="IG28" s="291"/>
      <c r="IH28" s="291"/>
      <c r="II28" s="291"/>
      <c r="IJ28" s="291"/>
      <c r="IK28" s="291"/>
      <c r="IL28" s="291"/>
      <c r="IM28" s="291"/>
      <c r="IN28" s="291"/>
      <c r="IO28" s="291"/>
      <c r="IP28" s="291"/>
      <c r="IQ28" s="291"/>
      <c r="IR28" s="291"/>
      <c r="IS28" s="291"/>
      <c r="IT28" s="291"/>
      <c r="IU28" s="291"/>
      <c r="IV28" s="291"/>
      <c r="IW28" s="291"/>
      <c r="IX28" s="291"/>
      <c r="IY28" s="291"/>
      <c r="IZ28" s="291"/>
      <c r="JA28" s="291"/>
      <c r="JB28" s="291"/>
      <c r="JC28" s="291"/>
      <c r="JD28" s="291"/>
      <c r="JE28" s="291"/>
      <c r="JF28" s="291"/>
      <c r="JG28" s="291"/>
      <c r="JH28" s="291"/>
      <c r="JI28" s="291"/>
      <c r="JJ28" s="291"/>
      <c r="JK28" s="291"/>
      <c r="JL28" s="291"/>
      <c r="JM28" s="291"/>
      <c r="JN28" s="291"/>
      <c r="JO28" s="291"/>
      <c r="JP28" s="291"/>
      <c r="JQ28" s="291"/>
      <c r="JR28" s="291"/>
      <c r="JS28" s="291"/>
      <c r="JT28" s="291"/>
      <c r="JU28" s="291"/>
      <c r="JV28" s="291"/>
      <c r="JW28" s="291"/>
      <c r="JX28" s="291"/>
      <c r="JY28" s="291"/>
      <c r="JZ28" s="291"/>
      <c r="KA28" s="291"/>
      <c r="KB28" s="291"/>
      <c r="KC28" s="291"/>
      <c r="KD28" s="291"/>
      <c r="KE28" s="291"/>
      <c r="KF28" s="291"/>
      <c r="KG28" s="291"/>
      <c r="KH28" s="291"/>
      <c r="KI28" s="291"/>
      <c r="KJ28" s="291"/>
      <c r="KK28" s="291"/>
      <c r="KL28" s="291"/>
      <c r="KM28" s="291"/>
      <c r="KN28" s="291"/>
      <c r="KO28" s="291"/>
      <c r="KP28" s="291"/>
      <c r="KQ28" s="291"/>
      <c r="KR28" s="291"/>
      <c r="KS28" s="291"/>
      <c r="KT28" s="291"/>
      <c r="KU28" s="291"/>
      <c r="KV28" s="291"/>
      <c r="KW28" s="291"/>
      <c r="KX28" s="291"/>
      <c r="KY28" s="291"/>
      <c r="KZ28" s="291"/>
      <c r="LA28" s="291"/>
      <c r="LB28" s="291"/>
      <c r="LC28" s="291"/>
      <c r="LD28" s="291"/>
      <c r="LE28" s="291"/>
      <c r="LF28" s="291"/>
      <c r="LG28" s="291"/>
      <c r="LH28" s="291"/>
      <c r="LI28" s="291"/>
      <c r="LJ28" s="291"/>
      <c r="LK28" s="291"/>
      <c r="LL28" s="291"/>
      <c r="LM28" s="291"/>
      <c r="LN28" s="291"/>
      <c r="LO28" s="291"/>
      <c r="LP28" s="291"/>
      <c r="LQ28" s="291"/>
      <c r="LR28" s="291"/>
      <c r="LS28" s="291"/>
      <c r="LT28" s="291"/>
      <c r="LU28" s="291"/>
      <c r="LV28" s="291"/>
      <c r="LW28" s="291"/>
      <c r="LX28" s="291"/>
      <c r="LY28" s="291"/>
      <c r="LZ28" s="291"/>
      <c r="MA28" s="291"/>
      <c r="MB28" s="291"/>
      <c r="MC28" s="291"/>
      <c r="MD28" s="291"/>
      <c r="ME28" s="291"/>
      <c r="MF28" s="291"/>
      <c r="MG28" s="291"/>
      <c r="MH28" s="291"/>
      <c r="MI28" s="291"/>
      <c r="MJ28" s="291"/>
      <c r="MK28" s="291"/>
      <c r="ML28" s="291"/>
      <c r="MM28" s="291"/>
      <c r="MN28" s="291"/>
      <c r="MO28" s="291"/>
      <c r="MP28" s="291"/>
      <c r="MQ28" s="291"/>
      <c r="MR28" s="291"/>
      <c r="MS28" s="291"/>
      <c r="MT28" s="291"/>
      <c r="MU28" s="291"/>
      <c r="MV28" s="291"/>
      <c r="MW28" s="291"/>
      <c r="MX28" s="291"/>
      <c r="MY28" s="291"/>
      <c r="MZ28" s="291"/>
      <c r="NA28" s="291"/>
      <c r="NB28" s="291"/>
      <c r="NC28" s="291"/>
      <c r="ND28" s="291"/>
      <c r="NE28" s="291"/>
      <c r="NF28" s="291"/>
      <c r="NG28" s="291"/>
      <c r="NH28" s="291"/>
      <c r="NI28" s="291"/>
      <c r="NJ28" s="291"/>
      <c r="NK28" s="291"/>
      <c r="NL28" s="291"/>
      <c r="NM28" s="291"/>
      <c r="NN28" s="291"/>
      <c r="NO28" s="291"/>
      <c r="NP28" s="291"/>
      <c r="NQ28" s="291"/>
      <c r="NR28" s="291"/>
      <c r="NS28" s="291"/>
      <c r="NT28" s="291"/>
      <c r="NU28" s="291"/>
      <c r="NV28" s="291"/>
      <c r="NW28" s="291"/>
      <c r="NX28" s="291"/>
      <c r="NY28" s="291"/>
      <c r="NZ28" s="291"/>
      <c r="OA28" s="291"/>
      <c r="OB28" s="291"/>
      <c r="OC28" s="291"/>
      <c r="OD28" s="291"/>
      <c r="OE28" s="291"/>
      <c r="OF28" s="291"/>
      <c r="OG28" s="291"/>
      <c r="OH28" s="291"/>
      <c r="OI28" s="291"/>
      <c r="OJ28" s="291"/>
      <c r="OK28" s="291"/>
      <c r="OL28" s="291"/>
      <c r="OM28" s="291"/>
      <c r="ON28" s="291"/>
      <c r="OO28" s="291"/>
      <c r="OP28" s="291"/>
      <c r="OQ28" s="291"/>
      <c r="OR28" s="291"/>
      <c r="OS28" s="291"/>
      <c r="OT28" s="291"/>
      <c r="OU28" s="291"/>
      <c r="OV28" s="291"/>
      <c r="OW28" s="291"/>
    </row>
    <row r="29" spans="1:413" s="257" customFormat="1" x14ac:dyDescent="0.2">
      <c r="A29" s="291"/>
      <c r="B29" s="524">
        <f t="shared" si="3"/>
        <v>14</v>
      </c>
      <c r="C29" s="510" t="s">
        <v>38</v>
      </c>
      <c r="D29" s="511" t="s">
        <v>1121</v>
      </c>
      <c r="E29" s="511"/>
      <c r="F29" s="512" t="s">
        <v>1122</v>
      </c>
      <c r="G29" s="513" t="s">
        <v>46</v>
      </c>
      <c r="H29" s="514" t="s">
        <v>1098</v>
      </c>
      <c r="I29" s="515" t="s">
        <v>1123</v>
      </c>
      <c r="J29" s="346"/>
      <c r="K29" s="526">
        <v>40543</v>
      </c>
      <c r="L29" s="527">
        <v>0</v>
      </c>
      <c r="M29" s="528">
        <v>40542</v>
      </c>
      <c r="N29" s="520">
        <v>0</v>
      </c>
      <c r="O29" s="520">
        <v>0</v>
      </c>
      <c r="P29" s="520">
        <v>0</v>
      </c>
      <c r="Q29" s="520">
        <v>0</v>
      </c>
      <c r="R29" s="520">
        <v>0</v>
      </c>
      <c r="S29" s="520">
        <v>0</v>
      </c>
      <c r="T29" s="18"/>
      <c r="U29" s="18"/>
      <c r="V29" s="18"/>
      <c r="W29" s="18"/>
      <c r="X29" s="18"/>
      <c r="Y29" s="18"/>
      <c r="Z29" s="18">
        <f t="shared" si="0"/>
        <v>0</v>
      </c>
      <c r="AA29" s="309">
        <v>1</v>
      </c>
      <c r="AB29" s="19">
        <v>22</v>
      </c>
      <c r="AC29" s="521">
        <v>44301</v>
      </c>
      <c r="AD29" s="25">
        <v>44313</v>
      </c>
      <c r="AE29" s="309"/>
      <c r="AF29" s="20"/>
      <c r="AG29" s="23"/>
      <c r="AH29" s="25"/>
      <c r="AI29" s="309"/>
      <c r="AJ29" s="19"/>
      <c r="AK29" s="23"/>
      <c r="AL29" s="25"/>
      <c r="AM29" s="309"/>
      <c r="AN29" s="19"/>
      <c r="AO29" s="21"/>
      <c r="AP29" s="25"/>
      <c r="AQ29" s="309"/>
      <c r="AR29" s="19"/>
      <c r="AS29" s="21"/>
      <c r="AT29" s="25"/>
      <c r="AU29" s="522">
        <f t="shared" si="1"/>
        <v>1</v>
      </c>
      <c r="AV29" s="311">
        <f t="shared" si="2"/>
        <v>1</v>
      </c>
      <c r="AW29" s="305"/>
      <c r="AX29" s="291"/>
      <c r="AY29" s="291"/>
      <c r="AZ29" s="291"/>
      <c r="BA29" s="291"/>
      <c r="BB29" s="291"/>
      <c r="BC29" s="291"/>
      <c r="BD29" s="291"/>
      <c r="BE29" s="291"/>
      <c r="BF29" s="291"/>
      <c r="BG29" s="291"/>
      <c r="BH29" s="291"/>
      <c r="BI29" s="291"/>
      <c r="BJ29" s="291"/>
      <c r="BK29" s="291"/>
      <c r="BL29" s="291"/>
      <c r="BM29" s="291"/>
      <c r="BN29" s="291"/>
      <c r="BO29" s="291"/>
      <c r="BP29" s="291"/>
      <c r="BQ29" s="291"/>
      <c r="BR29" s="291"/>
      <c r="BS29" s="291"/>
      <c r="BT29" s="291"/>
      <c r="BU29" s="291"/>
      <c r="BV29" s="291"/>
      <c r="BW29" s="291"/>
      <c r="BX29" s="291"/>
      <c r="BY29" s="291"/>
      <c r="BZ29" s="291"/>
      <c r="CA29" s="291"/>
      <c r="CB29" s="291"/>
      <c r="CC29" s="291"/>
      <c r="CD29" s="291"/>
      <c r="CE29" s="291"/>
      <c r="CF29" s="291"/>
      <c r="CG29" s="291"/>
      <c r="CH29" s="291"/>
      <c r="CI29" s="291"/>
      <c r="CJ29" s="291"/>
      <c r="CK29" s="291"/>
      <c r="CL29" s="291"/>
      <c r="CM29" s="291"/>
      <c r="CN29" s="291"/>
      <c r="CO29" s="291"/>
      <c r="CP29" s="291"/>
      <c r="CQ29" s="291"/>
      <c r="CR29" s="291"/>
      <c r="CS29" s="291"/>
      <c r="CT29" s="291"/>
      <c r="CU29" s="291"/>
      <c r="CV29" s="291"/>
      <c r="CW29" s="291"/>
      <c r="CX29" s="291"/>
      <c r="CY29" s="291"/>
      <c r="CZ29" s="291"/>
      <c r="DA29" s="291"/>
      <c r="DB29" s="291"/>
      <c r="DC29" s="291"/>
      <c r="DD29" s="291"/>
      <c r="DE29" s="291"/>
      <c r="DF29" s="291"/>
      <c r="DG29" s="291"/>
      <c r="DH29" s="291"/>
      <c r="DI29" s="291"/>
      <c r="DJ29" s="291"/>
      <c r="DK29" s="291"/>
      <c r="DL29" s="291"/>
      <c r="DM29" s="291"/>
      <c r="DN29" s="291"/>
      <c r="DO29" s="291"/>
      <c r="DP29" s="291"/>
      <c r="DQ29" s="291"/>
      <c r="DR29" s="291"/>
      <c r="DS29" s="291"/>
      <c r="DT29" s="291"/>
      <c r="DU29" s="291"/>
      <c r="DV29" s="291"/>
      <c r="DW29" s="291"/>
      <c r="DX29" s="291"/>
      <c r="DY29" s="291"/>
      <c r="DZ29" s="291"/>
      <c r="EA29" s="291"/>
      <c r="EB29" s="291"/>
      <c r="EC29" s="291"/>
      <c r="ED29" s="291"/>
      <c r="EE29" s="291"/>
      <c r="EF29" s="291"/>
      <c r="EG29" s="291"/>
      <c r="EH29" s="291"/>
      <c r="EI29" s="291"/>
      <c r="EJ29" s="291"/>
      <c r="EK29" s="291"/>
      <c r="EL29" s="291"/>
      <c r="EM29" s="291"/>
      <c r="EN29" s="291"/>
      <c r="EO29" s="291"/>
      <c r="EP29" s="291"/>
      <c r="EQ29" s="291"/>
      <c r="ER29" s="291"/>
      <c r="ES29" s="291"/>
      <c r="ET29" s="291"/>
      <c r="EU29" s="291"/>
      <c r="EV29" s="291"/>
      <c r="EW29" s="291"/>
      <c r="EX29" s="291"/>
      <c r="EY29" s="291"/>
      <c r="EZ29" s="291"/>
      <c r="FA29" s="291"/>
      <c r="FB29" s="291"/>
      <c r="FC29" s="291"/>
      <c r="FD29" s="291"/>
      <c r="FE29" s="291"/>
      <c r="FF29" s="291"/>
      <c r="FG29" s="291"/>
      <c r="FH29" s="291"/>
      <c r="FI29" s="291"/>
      <c r="FJ29" s="291"/>
      <c r="FK29" s="291"/>
      <c r="FL29" s="291"/>
      <c r="FM29" s="291"/>
      <c r="FN29" s="291"/>
      <c r="FO29" s="291"/>
      <c r="FP29" s="291"/>
      <c r="FQ29" s="291"/>
      <c r="FR29" s="291"/>
      <c r="FS29" s="291"/>
      <c r="FT29" s="291"/>
      <c r="FU29" s="291"/>
      <c r="FV29" s="291"/>
      <c r="FW29" s="291"/>
      <c r="FX29" s="291"/>
      <c r="FY29" s="291"/>
      <c r="FZ29" s="291"/>
      <c r="GA29" s="291"/>
      <c r="GB29" s="291"/>
      <c r="GC29" s="291"/>
      <c r="GD29" s="291"/>
      <c r="GE29" s="291"/>
      <c r="GF29" s="291"/>
      <c r="GG29" s="291"/>
      <c r="GH29" s="291"/>
      <c r="GI29" s="291"/>
      <c r="GJ29" s="291"/>
      <c r="GK29" s="291"/>
      <c r="GL29" s="291"/>
      <c r="GM29" s="291"/>
      <c r="GN29" s="291"/>
      <c r="GO29" s="291"/>
      <c r="GP29" s="291"/>
      <c r="GQ29" s="291"/>
      <c r="GR29" s="291"/>
      <c r="GS29" s="291"/>
      <c r="GT29" s="291"/>
      <c r="GU29" s="291"/>
      <c r="GV29" s="291"/>
      <c r="GW29" s="291"/>
      <c r="GX29" s="291"/>
      <c r="GY29" s="291"/>
      <c r="GZ29" s="291"/>
      <c r="HA29" s="291"/>
      <c r="HB29" s="291"/>
      <c r="HC29" s="291"/>
      <c r="HD29" s="291"/>
      <c r="HE29" s="291"/>
      <c r="HF29" s="291"/>
      <c r="HG29" s="291"/>
      <c r="HH29" s="291"/>
      <c r="HI29" s="291"/>
      <c r="HJ29" s="291"/>
      <c r="HK29" s="291"/>
      <c r="HL29" s="291"/>
      <c r="HM29" s="291"/>
      <c r="HN29" s="291"/>
      <c r="HO29" s="291"/>
      <c r="HP29" s="291"/>
      <c r="HQ29" s="291"/>
      <c r="HR29" s="291"/>
      <c r="HS29" s="291"/>
      <c r="HT29" s="291"/>
      <c r="HU29" s="291"/>
      <c r="HV29" s="291"/>
      <c r="HW29" s="291"/>
      <c r="HX29" s="291"/>
      <c r="HY29" s="291"/>
      <c r="HZ29" s="291"/>
      <c r="IA29" s="291"/>
      <c r="IB29" s="291"/>
      <c r="IC29" s="291"/>
      <c r="ID29" s="291"/>
      <c r="IE29" s="291"/>
      <c r="IF29" s="291"/>
      <c r="IG29" s="291"/>
      <c r="IH29" s="291"/>
      <c r="II29" s="291"/>
      <c r="IJ29" s="291"/>
      <c r="IK29" s="291"/>
      <c r="IL29" s="291"/>
      <c r="IM29" s="291"/>
      <c r="IN29" s="291"/>
      <c r="IO29" s="291"/>
      <c r="IP29" s="291"/>
      <c r="IQ29" s="291"/>
      <c r="IR29" s="291"/>
      <c r="IS29" s="291"/>
      <c r="IT29" s="291"/>
      <c r="IU29" s="291"/>
      <c r="IV29" s="291"/>
      <c r="IW29" s="291"/>
      <c r="IX29" s="291"/>
      <c r="IY29" s="291"/>
      <c r="IZ29" s="291"/>
      <c r="JA29" s="291"/>
      <c r="JB29" s="291"/>
      <c r="JC29" s="291"/>
      <c r="JD29" s="291"/>
      <c r="JE29" s="291"/>
      <c r="JF29" s="291"/>
      <c r="JG29" s="291"/>
      <c r="JH29" s="291"/>
      <c r="JI29" s="291"/>
      <c r="JJ29" s="291"/>
      <c r="JK29" s="291"/>
      <c r="JL29" s="291"/>
      <c r="JM29" s="291"/>
      <c r="JN29" s="291"/>
      <c r="JO29" s="291"/>
      <c r="JP29" s="291"/>
      <c r="JQ29" s="291"/>
      <c r="JR29" s="291"/>
      <c r="JS29" s="291"/>
      <c r="JT29" s="291"/>
      <c r="JU29" s="291"/>
      <c r="JV29" s="291"/>
      <c r="JW29" s="291"/>
      <c r="JX29" s="291"/>
      <c r="JY29" s="291"/>
      <c r="JZ29" s="291"/>
      <c r="KA29" s="291"/>
      <c r="KB29" s="291"/>
      <c r="KC29" s="291"/>
      <c r="KD29" s="291"/>
      <c r="KE29" s="291"/>
      <c r="KF29" s="291"/>
      <c r="KG29" s="291"/>
      <c r="KH29" s="291"/>
      <c r="KI29" s="291"/>
      <c r="KJ29" s="291"/>
      <c r="KK29" s="291"/>
      <c r="KL29" s="291"/>
      <c r="KM29" s="291"/>
      <c r="KN29" s="291"/>
      <c r="KO29" s="291"/>
      <c r="KP29" s="291"/>
      <c r="KQ29" s="291"/>
      <c r="KR29" s="291"/>
      <c r="KS29" s="291"/>
      <c r="KT29" s="291"/>
      <c r="KU29" s="291"/>
      <c r="KV29" s="291"/>
      <c r="KW29" s="291"/>
      <c r="KX29" s="291"/>
      <c r="KY29" s="291"/>
      <c r="KZ29" s="291"/>
      <c r="LA29" s="291"/>
      <c r="LB29" s="291"/>
      <c r="LC29" s="291"/>
      <c r="LD29" s="291"/>
      <c r="LE29" s="291"/>
      <c r="LF29" s="291"/>
      <c r="LG29" s="291"/>
      <c r="LH29" s="291"/>
      <c r="LI29" s="291"/>
      <c r="LJ29" s="291"/>
      <c r="LK29" s="291"/>
      <c r="LL29" s="291"/>
      <c r="LM29" s="291"/>
      <c r="LN29" s="291"/>
      <c r="LO29" s="291"/>
      <c r="LP29" s="291"/>
      <c r="LQ29" s="291"/>
      <c r="LR29" s="291"/>
      <c r="LS29" s="291"/>
      <c r="LT29" s="291"/>
      <c r="LU29" s="291"/>
      <c r="LV29" s="291"/>
      <c r="LW29" s="291"/>
      <c r="LX29" s="291"/>
      <c r="LY29" s="291"/>
      <c r="LZ29" s="291"/>
      <c r="MA29" s="291"/>
      <c r="MB29" s="291"/>
      <c r="MC29" s="291"/>
      <c r="MD29" s="291"/>
      <c r="ME29" s="291"/>
      <c r="MF29" s="291"/>
      <c r="MG29" s="291"/>
      <c r="MH29" s="291"/>
      <c r="MI29" s="291"/>
      <c r="MJ29" s="291"/>
      <c r="MK29" s="291"/>
      <c r="ML29" s="291"/>
      <c r="MM29" s="291"/>
      <c r="MN29" s="291"/>
      <c r="MO29" s="291"/>
      <c r="MP29" s="291"/>
      <c r="MQ29" s="291"/>
      <c r="MR29" s="291"/>
      <c r="MS29" s="291"/>
      <c r="MT29" s="291"/>
      <c r="MU29" s="291"/>
      <c r="MV29" s="291"/>
      <c r="MW29" s="291"/>
      <c r="MX29" s="291"/>
      <c r="MY29" s="291"/>
      <c r="MZ29" s="291"/>
      <c r="NA29" s="291"/>
      <c r="NB29" s="291"/>
      <c r="NC29" s="291"/>
      <c r="ND29" s="291"/>
      <c r="NE29" s="291"/>
      <c r="NF29" s="291"/>
      <c r="NG29" s="291"/>
      <c r="NH29" s="291"/>
      <c r="NI29" s="291"/>
      <c r="NJ29" s="291"/>
      <c r="NK29" s="291"/>
      <c r="NL29" s="291"/>
      <c r="NM29" s="291"/>
      <c r="NN29" s="291"/>
      <c r="NO29" s="291"/>
      <c r="NP29" s="291"/>
      <c r="NQ29" s="291"/>
      <c r="NR29" s="291"/>
      <c r="NS29" s="291"/>
      <c r="NT29" s="291"/>
      <c r="NU29" s="291"/>
      <c r="NV29" s="291"/>
      <c r="NW29" s="291"/>
      <c r="NX29" s="291"/>
      <c r="NY29" s="291"/>
      <c r="NZ29" s="291"/>
      <c r="OA29" s="291"/>
      <c r="OB29" s="291"/>
      <c r="OC29" s="291"/>
      <c r="OD29" s="291"/>
      <c r="OE29" s="291"/>
      <c r="OF29" s="291"/>
      <c r="OG29" s="291"/>
      <c r="OH29" s="291"/>
      <c r="OI29" s="291"/>
      <c r="OJ29" s="291"/>
      <c r="OK29" s="291"/>
      <c r="OL29" s="291"/>
      <c r="OM29" s="291"/>
      <c r="ON29" s="291"/>
      <c r="OO29" s="291"/>
      <c r="OP29" s="291"/>
      <c r="OQ29" s="291"/>
      <c r="OR29" s="291"/>
      <c r="OS29" s="291"/>
      <c r="OT29" s="291"/>
      <c r="OU29" s="291"/>
      <c r="OV29" s="291"/>
      <c r="OW29" s="291"/>
    </row>
    <row r="30" spans="1:413" s="257" customFormat="1" hidden="1" x14ac:dyDescent="0.2">
      <c r="A30" s="291"/>
      <c r="B30" s="524">
        <f t="shared" si="3"/>
        <v>15</v>
      </c>
      <c r="C30" s="510" t="s">
        <v>38</v>
      </c>
      <c r="D30" s="511">
        <v>30043540</v>
      </c>
      <c r="E30" s="511"/>
      <c r="F30" s="512" t="s">
        <v>1124</v>
      </c>
      <c r="G30" s="513" t="s">
        <v>45</v>
      </c>
      <c r="H30" s="514" t="s">
        <v>1094</v>
      </c>
      <c r="I30" s="515" t="s">
        <v>1120</v>
      </c>
      <c r="J30" s="346" t="s">
        <v>42</v>
      </c>
      <c r="K30" s="526">
        <v>767858</v>
      </c>
      <c r="L30" s="527">
        <v>479949</v>
      </c>
      <c r="M30" s="528">
        <v>0</v>
      </c>
      <c r="N30" s="520">
        <v>0</v>
      </c>
      <c r="O30" s="520">
        <v>0</v>
      </c>
      <c r="P30" s="520">
        <v>0</v>
      </c>
      <c r="Q30" s="520">
        <v>0</v>
      </c>
      <c r="R30" s="520">
        <v>0</v>
      </c>
      <c r="S30" s="520">
        <v>0</v>
      </c>
      <c r="T30" s="18"/>
      <c r="U30" s="18"/>
      <c r="V30" s="18"/>
      <c r="W30" s="18"/>
      <c r="X30" s="18"/>
      <c r="Y30" s="18"/>
      <c r="Z30" s="18">
        <f t="shared" si="0"/>
        <v>0</v>
      </c>
      <c r="AA30" s="309">
        <v>1</v>
      </c>
      <c r="AB30" s="19">
        <v>9</v>
      </c>
      <c r="AC30" s="521">
        <v>44232</v>
      </c>
      <c r="AD30" s="25">
        <v>44251</v>
      </c>
      <c r="AE30" s="309"/>
      <c r="AF30" s="20"/>
      <c r="AG30" s="23"/>
      <c r="AH30" s="25"/>
      <c r="AI30" s="309"/>
      <c r="AJ30" s="19"/>
      <c r="AK30" s="23"/>
      <c r="AL30" s="25"/>
      <c r="AM30" s="309"/>
      <c r="AN30" s="19"/>
      <c r="AO30" s="21"/>
      <c r="AP30" s="25"/>
      <c r="AQ30" s="309"/>
      <c r="AR30" s="19"/>
      <c r="AS30" s="21"/>
      <c r="AT30" s="25"/>
      <c r="AU30" s="522">
        <f t="shared" si="1"/>
        <v>1</v>
      </c>
      <c r="AV30" s="311">
        <f t="shared" si="2"/>
        <v>1</v>
      </c>
      <c r="AW30" s="305"/>
      <c r="AX30" s="291"/>
      <c r="AY30" s="291"/>
      <c r="AZ30" s="291"/>
      <c r="BA30" s="291"/>
      <c r="BB30" s="291"/>
      <c r="BC30" s="291"/>
      <c r="BD30" s="291"/>
      <c r="BE30" s="291"/>
      <c r="BF30" s="291"/>
      <c r="BG30" s="291"/>
      <c r="BH30" s="291"/>
      <c r="BI30" s="291"/>
      <c r="BJ30" s="291"/>
      <c r="BK30" s="291"/>
      <c r="BL30" s="291"/>
      <c r="BM30" s="291"/>
      <c r="BN30" s="291"/>
      <c r="BO30" s="291"/>
      <c r="BP30" s="291"/>
      <c r="BQ30" s="291"/>
      <c r="BR30" s="291"/>
      <c r="BS30" s="291"/>
      <c r="BT30" s="291"/>
      <c r="BU30" s="291"/>
      <c r="BV30" s="291"/>
      <c r="BW30" s="291"/>
      <c r="BX30" s="291"/>
      <c r="BY30" s="291"/>
      <c r="BZ30" s="291"/>
      <c r="CA30" s="291"/>
      <c r="CB30" s="291"/>
      <c r="CC30" s="291"/>
      <c r="CD30" s="291"/>
      <c r="CE30" s="291"/>
      <c r="CF30" s="291"/>
      <c r="CG30" s="291"/>
      <c r="CH30" s="291"/>
      <c r="CI30" s="291"/>
      <c r="CJ30" s="291"/>
      <c r="CK30" s="291"/>
      <c r="CL30" s="291"/>
      <c r="CM30" s="291"/>
      <c r="CN30" s="291"/>
      <c r="CO30" s="291"/>
      <c r="CP30" s="291"/>
      <c r="CQ30" s="291"/>
      <c r="CR30" s="291"/>
      <c r="CS30" s="291"/>
      <c r="CT30" s="291"/>
      <c r="CU30" s="291"/>
      <c r="CV30" s="291"/>
      <c r="CW30" s="291"/>
      <c r="CX30" s="291"/>
      <c r="CY30" s="291"/>
      <c r="CZ30" s="291"/>
      <c r="DA30" s="291"/>
      <c r="DB30" s="291"/>
      <c r="DC30" s="291"/>
      <c r="DD30" s="291"/>
      <c r="DE30" s="291"/>
      <c r="DF30" s="291"/>
      <c r="DG30" s="291"/>
      <c r="DH30" s="291"/>
      <c r="DI30" s="291"/>
      <c r="DJ30" s="291"/>
      <c r="DK30" s="291"/>
      <c r="DL30" s="291"/>
      <c r="DM30" s="291"/>
      <c r="DN30" s="291"/>
      <c r="DO30" s="291"/>
      <c r="DP30" s="291"/>
      <c r="DQ30" s="291"/>
      <c r="DR30" s="291"/>
      <c r="DS30" s="291"/>
      <c r="DT30" s="291"/>
      <c r="DU30" s="291"/>
      <c r="DV30" s="291"/>
      <c r="DW30" s="291"/>
      <c r="DX30" s="291"/>
      <c r="DY30" s="291"/>
      <c r="DZ30" s="291"/>
      <c r="EA30" s="291"/>
      <c r="EB30" s="291"/>
      <c r="EC30" s="291"/>
      <c r="ED30" s="291"/>
      <c r="EE30" s="291"/>
      <c r="EF30" s="291"/>
      <c r="EG30" s="291"/>
      <c r="EH30" s="291"/>
      <c r="EI30" s="291"/>
      <c r="EJ30" s="291"/>
      <c r="EK30" s="291"/>
      <c r="EL30" s="291"/>
      <c r="EM30" s="291"/>
      <c r="EN30" s="291"/>
      <c r="EO30" s="291"/>
      <c r="EP30" s="291"/>
      <c r="EQ30" s="291"/>
      <c r="ER30" s="291"/>
      <c r="ES30" s="291"/>
      <c r="ET30" s="291"/>
      <c r="EU30" s="291"/>
      <c r="EV30" s="291"/>
      <c r="EW30" s="291"/>
      <c r="EX30" s="291"/>
      <c r="EY30" s="291"/>
      <c r="EZ30" s="291"/>
      <c r="FA30" s="291"/>
      <c r="FB30" s="291"/>
      <c r="FC30" s="291"/>
      <c r="FD30" s="291"/>
      <c r="FE30" s="291"/>
      <c r="FF30" s="291"/>
      <c r="FG30" s="291"/>
      <c r="FH30" s="291"/>
      <c r="FI30" s="291"/>
      <c r="FJ30" s="291"/>
      <c r="FK30" s="291"/>
      <c r="FL30" s="291"/>
      <c r="FM30" s="291"/>
      <c r="FN30" s="291"/>
      <c r="FO30" s="291"/>
      <c r="FP30" s="291"/>
      <c r="FQ30" s="291"/>
      <c r="FR30" s="291"/>
      <c r="FS30" s="291"/>
      <c r="FT30" s="291"/>
      <c r="FU30" s="291"/>
      <c r="FV30" s="291"/>
      <c r="FW30" s="291"/>
      <c r="FX30" s="291"/>
      <c r="FY30" s="291"/>
      <c r="FZ30" s="291"/>
      <c r="GA30" s="291"/>
      <c r="GB30" s="291"/>
      <c r="GC30" s="291"/>
      <c r="GD30" s="291"/>
      <c r="GE30" s="291"/>
      <c r="GF30" s="291"/>
      <c r="GG30" s="291"/>
      <c r="GH30" s="291"/>
      <c r="GI30" s="291"/>
      <c r="GJ30" s="291"/>
      <c r="GK30" s="291"/>
      <c r="GL30" s="291"/>
      <c r="GM30" s="291"/>
      <c r="GN30" s="291"/>
      <c r="GO30" s="291"/>
      <c r="GP30" s="291"/>
      <c r="GQ30" s="291"/>
      <c r="GR30" s="291"/>
      <c r="GS30" s="291"/>
      <c r="GT30" s="291"/>
      <c r="GU30" s="291"/>
      <c r="GV30" s="291"/>
      <c r="GW30" s="291"/>
      <c r="GX30" s="291"/>
      <c r="GY30" s="291"/>
      <c r="GZ30" s="291"/>
      <c r="HA30" s="291"/>
      <c r="HB30" s="291"/>
      <c r="HC30" s="291"/>
      <c r="HD30" s="291"/>
      <c r="HE30" s="291"/>
      <c r="HF30" s="291"/>
      <c r="HG30" s="291"/>
      <c r="HH30" s="291"/>
      <c r="HI30" s="291"/>
      <c r="HJ30" s="291"/>
      <c r="HK30" s="291"/>
      <c r="HL30" s="291"/>
      <c r="HM30" s="291"/>
      <c r="HN30" s="291"/>
      <c r="HO30" s="291"/>
      <c r="HP30" s="291"/>
      <c r="HQ30" s="291"/>
      <c r="HR30" s="291"/>
      <c r="HS30" s="291"/>
      <c r="HT30" s="291"/>
      <c r="HU30" s="291"/>
      <c r="HV30" s="291"/>
      <c r="HW30" s="291"/>
      <c r="HX30" s="291"/>
      <c r="HY30" s="291"/>
      <c r="HZ30" s="291"/>
      <c r="IA30" s="291"/>
      <c r="IB30" s="291"/>
      <c r="IC30" s="291"/>
      <c r="ID30" s="291"/>
      <c r="IE30" s="291"/>
      <c r="IF30" s="291"/>
      <c r="IG30" s="291"/>
      <c r="IH30" s="291"/>
      <c r="II30" s="291"/>
      <c r="IJ30" s="291"/>
      <c r="IK30" s="291"/>
      <c r="IL30" s="291"/>
      <c r="IM30" s="291"/>
      <c r="IN30" s="291"/>
      <c r="IO30" s="291"/>
      <c r="IP30" s="291"/>
      <c r="IQ30" s="291"/>
      <c r="IR30" s="291"/>
      <c r="IS30" s="291"/>
      <c r="IT30" s="291"/>
      <c r="IU30" s="291"/>
      <c r="IV30" s="291"/>
      <c r="IW30" s="291"/>
      <c r="IX30" s="291"/>
      <c r="IY30" s="291"/>
      <c r="IZ30" s="291"/>
      <c r="JA30" s="291"/>
      <c r="JB30" s="291"/>
      <c r="JC30" s="291"/>
      <c r="JD30" s="291"/>
      <c r="JE30" s="291"/>
      <c r="JF30" s="291"/>
      <c r="JG30" s="291"/>
      <c r="JH30" s="291"/>
      <c r="JI30" s="291"/>
      <c r="JJ30" s="291"/>
      <c r="JK30" s="291"/>
      <c r="JL30" s="291"/>
      <c r="JM30" s="291"/>
      <c r="JN30" s="291"/>
      <c r="JO30" s="291"/>
      <c r="JP30" s="291"/>
      <c r="JQ30" s="291"/>
      <c r="JR30" s="291"/>
      <c r="JS30" s="291"/>
      <c r="JT30" s="291"/>
      <c r="JU30" s="291"/>
      <c r="JV30" s="291"/>
      <c r="JW30" s="291"/>
      <c r="JX30" s="291"/>
      <c r="JY30" s="291"/>
      <c r="JZ30" s="291"/>
      <c r="KA30" s="291"/>
      <c r="KB30" s="291"/>
      <c r="KC30" s="291"/>
      <c r="KD30" s="291"/>
      <c r="KE30" s="291"/>
      <c r="KF30" s="291"/>
      <c r="KG30" s="291"/>
      <c r="KH30" s="291"/>
      <c r="KI30" s="291"/>
      <c r="KJ30" s="291"/>
      <c r="KK30" s="291"/>
      <c r="KL30" s="291"/>
      <c r="KM30" s="291"/>
      <c r="KN30" s="291"/>
      <c r="KO30" s="291"/>
      <c r="KP30" s="291"/>
      <c r="KQ30" s="291"/>
      <c r="KR30" s="291"/>
      <c r="KS30" s="291"/>
      <c r="KT30" s="291"/>
      <c r="KU30" s="291"/>
      <c r="KV30" s="291"/>
      <c r="KW30" s="291"/>
      <c r="KX30" s="291"/>
      <c r="KY30" s="291"/>
      <c r="KZ30" s="291"/>
      <c r="LA30" s="291"/>
      <c r="LB30" s="291"/>
      <c r="LC30" s="291"/>
      <c r="LD30" s="291"/>
      <c r="LE30" s="291"/>
      <c r="LF30" s="291"/>
      <c r="LG30" s="291"/>
      <c r="LH30" s="291"/>
      <c r="LI30" s="291"/>
      <c r="LJ30" s="291"/>
      <c r="LK30" s="291"/>
      <c r="LL30" s="291"/>
      <c r="LM30" s="291"/>
      <c r="LN30" s="291"/>
      <c r="LO30" s="291"/>
      <c r="LP30" s="291"/>
      <c r="LQ30" s="291"/>
      <c r="LR30" s="291"/>
      <c r="LS30" s="291"/>
      <c r="LT30" s="291"/>
      <c r="LU30" s="291"/>
      <c r="LV30" s="291"/>
      <c r="LW30" s="291"/>
      <c r="LX30" s="291"/>
      <c r="LY30" s="291"/>
      <c r="LZ30" s="291"/>
      <c r="MA30" s="291"/>
      <c r="MB30" s="291"/>
      <c r="MC30" s="291"/>
      <c r="MD30" s="291"/>
      <c r="ME30" s="291"/>
      <c r="MF30" s="291"/>
      <c r="MG30" s="291"/>
      <c r="MH30" s="291"/>
      <c r="MI30" s="291"/>
      <c r="MJ30" s="291"/>
      <c r="MK30" s="291"/>
      <c r="ML30" s="291"/>
      <c r="MM30" s="291"/>
      <c r="MN30" s="291"/>
      <c r="MO30" s="291"/>
      <c r="MP30" s="291"/>
      <c r="MQ30" s="291"/>
      <c r="MR30" s="291"/>
      <c r="MS30" s="291"/>
      <c r="MT30" s="291"/>
      <c r="MU30" s="291"/>
      <c r="MV30" s="291"/>
      <c r="MW30" s="291"/>
      <c r="MX30" s="291"/>
      <c r="MY30" s="291"/>
      <c r="MZ30" s="291"/>
      <c r="NA30" s="291"/>
      <c r="NB30" s="291"/>
      <c r="NC30" s="291"/>
      <c r="ND30" s="291"/>
      <c r="NE30" s="291"/>
      <c r="NF30" s="291"/>
      <c r="NG30" s="291"/>
      <c r="NH30" s="291"/>
      <c r="NI30" s="291"/>
      <c r="NJ30" s="291"/>
      <c r="NK30" s="291"/>
      <c r="NL30" s="291"/>
      <c r="NM30" s="291"/>
      <c r="NN30" s="291"/>
      <c r="NO30" s="291"/>
      <c r="NP30" s="291"/>
      <c r="NQ30" s="291"/>
      <c r="NR30" s="291"/>
      <c r="NS30" s="291"/>
      <c r="NT30" s="291"/>
      <c r="NU30" s="291"/>
      <c r="NV30" s="291"/>
      <c r="NW30" s="291"/>
      <c r="NX30" s="291"/>
      <c r="NY30" s="291"/>
      <c r="NZ30" s="291"/>
      <c r="OA30" s="291"/>
      <c r="OB30" s="291"/>
      <c r="OC30" s="291"/>
      <c r="OD30" s="291"/>
      <c r="OE30" s="291"/>
      <c r="OF30" s="291"/>
      <c r="OG30" s="291"/>
      <c r="OH30" s="291"/>
      <c r="OI30" s="291"/>
      <c r="OJ30" s="291"/>
      <c r="OK30" s="291"/>
      <c r="OL30" s="291"/>
      <c r="OM30" s="291"/>
      <c r="ON30" s="291"/>
      <c r="OO30" s="291"/>
      <c r="OP30" s="291"/>
      <c r="OQ30" s="291"/>
      <c r="OR30" s="291"/>
      <c r="OS30" s="291"/>
      <c r="OT30" s="291"/>
      <c r="OU30" s="291"/>
      <c r="OV30" s="291"/>
      <c r="OW30" s="291"/>
    </row>
    <row r="31" spans="1:413" s="257" customFormat="1" hidden="1" x14ac:dyDescent="0.2">
      <c r="A31" s="291"/>
      <c r="B31" s="524">
        <f t="shared" si="3"/>
        <v>16</v>
      </c>
      <c r="C31" s="510" t="s">
        <v>38</v>
      </c>
      <c r="D31" s="511" t="s">
        <v>1125</v>
      </c>
      <c r="E31" s="511"/>
      <c r="F31" s="512" t="s">
        <v>1126</v>
      </c>
      <c r="G31" s="513" t="s">
        <v>46</v>
      </c>
      <c r="H31" s="514" t="s">
        <v>1098</v>
      </c>
      <c r="I31" s="515" t="s">
        <v>1127</v>
      </c>
      <c r="J31" s="346"/>
      <c r="K31" s="526">
        <v>29585</v>
      </c>
      <c r="L31" s="527">
        <v>13335</v>
      </c>
      <c r="M31" s="528">
        <v>0</v>
      </c>
      <c r="N31" s="520">
        <v>0</v>
      </c>
      <c r="O31" s="520">
        <v>0</v>
      </c>
      <c r="P31" s="520">
        <v>0</v>
      </c>
      <c r="Q31" s="520">
        <v>0</v>
      </c>
      <c r="R31" s="520">
        <v>0</v>
      </c>
      <c r="S31" s="520">
        <v>0</v>
      </c>
      <c r="T31" s="18"/>
      <c r="U31" s="18"/>
      <c r="V31" s="18"/>
      <c r="W31" s="18"/>
      <c r="X31" s="18"/>
      <c r="Y31" s="18"/>
      <c r="Z31" s="18">
        <f t="shared" si="0"/>
        <v>0</v>
      </c>
      <c r="AA31" s="309">
        <v>16250</v>
      </c>
      <c r="AB31" s="19">
        <v>39</v>
      </c>
      <c r="AC31" s="521">
        <v>44334</v>
      </c>
      <c r="AD31" s="25">
        <v>44342</v>
      </c>
      <c r="AE31" s="309"/>
      <c r="AF31" s="20"/>
      <c r="AG31" s="23"/>
      <c r="AH31" s="25"/>
      <c r="AI31" s="309"/>
      <c r="AJ31" s="19"/>
      <c r="AK31" s="23"/>
      <c r="AL31" s="25"/>
      <c r="AM31" s="309"/>
      <c r="AN31" s="19"/>
      <c r="AO31" s="21"/>
      <c r="AP31" s="25"/>
      <c r="AQ31" s="309"/>
      <c r="AR31" s="19"/>
      <c r="AS31" s="21"/>
      <c r="AT31" s="25"/>
      <c r="AU31" s="522">
        <f t="shared" si="1"/>
        <v>16250</v>
      </c>
      <c r="AV31" s="311">
        <f t="shared" si="2"/>
        <v>16250</v>
      </c>
      <c r="AW31" s="305"/>
      <c r="AX31" s="291"/>
      <c r="AY31" s="291"/>
      <c r="AZ31" s="291"/>
      <c r="BA31" s="291"/>
      <c r="BB31" s="291"/>
      <c r="BC31" s="291"/>
      <c r="BD31" s="291"/>
      <c r="BE31" s="291"/>
      <c r="BF31" s="291"/>
      <c r="BG31" s="291"/>
      <c r="BH31" s="291"/>
      <c r="BI31" s="291"/>
      <c r="BJ31" s="291"/>
      <c r="BK31" s="291"/>
      <c r="BL31" s="291"/>
      <c r="BM31" s="291"/>
      <c r="BN31" s="291"/>
      <c r="BO31" s="291"/>
      <c r="BP31" s="291"/>
      <c r="BQ31" s="291"/>
      <c r="BR31" s="291"/>
      <c r="BS31" s="291"/>
      <c r="BT31" s="291"/>
      <c r="BU31" s="291"/>
      <c r="BV31" s="291"/>
      <c r="BW31" s="291"/>
      <c r="BX31" s="291"/>
      <c r="BY31" s="291"/>
      <c r="BZ31" s="291"/>
      <c r="CA31" s="291"/>
      <c r="CB31" s="291"/>
      <c r="CC31" s="291"/>
      <c r="CD31" s="291"/>
      <c r="CE31" s="291"/>
      <c r="CF31" s="291"/>
      <c r="CG31" s="291"/>
      <c r="CH31" s="291"/>
      <c r="CI31" s="291"/>
      <c r="CJ31" s="291"/>
      <c r="CK31" s="291"/>
      <c r="CL31" s="291"/>
      <c r="CM31" s="291"/>
      <c r="CN31" s="291"/>
      <c r="CO31" s="291"/>
      <c r="CP31" s="291"/>
      <c r="CQ31" s="291"/>
      <c r="CR31" s="291"/>
      <c r="CS31" s="291"/>
      <c r="CT31" s="291"/>
      <c r="CU31" s="291"/>
      <c r="CV31" s="291"/>
      <c r="CW31" s="291"/>
      <c r="CX31" s="291"/>
      <c r="CY31" s="291"/>
      <c r="CZ31" s="291"/>
      <c r="DA31" s="291"/>
      <c r="DB31" s="291"/>
      <c r="DC31" s="291"/>
      <c r="DD31" s="291"/>
      <c r="DE31" s="291"/>
      <c r="DF31" s="291"/>
      <c r="DG31" s="291"/>
      <c r="DH31" s="291"/>
      <c r="DI31" s="291"/>
      <c r="DJ31" s="291"/>
      <c r="DK31" s="291"/>
      <c r="DL31" s="291"/>
      <c r="DM31" s="291"/>
      <c r="DN31" s="291"/>
      <c r="DO31" s="291"/>
      <c r="DP31" s="291"/>
      <c r="DQ31" s="291"/>
      <c r="DR31" s="291"/>
      <c r="DS31" s="291"/>
      <c r="DT31" s="291"/>
      <c r="DU31" s="291"/>
      <c r="DV31" s="291"/>
      <c r="DW31" s="291"/>
      <c r="DX31" s="291"/>
      <c r="DY31" s="291"/>
      <c r="DZ31" s="291"/>
      <c r="EA31" s="291"/>
      <c r="EB31" s="291"/>
      <c r="EC31" s="291"/>
      <c r="ED31" s="291"/>
      <c r="EE31" s="291"/>
      <c r="EF31" s="291"/>
      <c r="EG31" s="291"/>
      <c r="EH31" s="291"/>
      <c r="EI31" s="291"/>
      <c r="EJ31" s="291"/>
      <c r="EK31" s="291"/>
      <c r="EL31" s="291"/>
      <c r="EM31" s="291"/>
      <c r="EN31" s="291"/>
      <c r="EO31" s="291"/>
      <c r="EP31" s="291"/>
      <c r="EQ31" s="291"/>
      <c r="ER31" s="291"/>
      <c r="ES31" s="291"/>
      <c r="ET31" s="291"/>
      <c r="EU31" s="291"/>
      <c r="EV31" s="291"/>
      <c r="EW31" s="291"/>
      <c r="EX31" s="291"/>
      <c r="EY31" s="291"/>
      <c r="EZ31" s="291"/>
      <c r="FA31" s="291"/>
      <c r="FB31" s="291"/>
      <c r="FC31" s="291"/>
      <c r="FD31" s="291"/>
      <c r="FE31" s="291"/>
      <c r="FF31" s="291"/>
      <c r="FG31" s="291"/>
      <c r="FH31" s="291"/>
      <c r="FI31" s="291"/>
      <c r="FJ31" s="291"/>
      <c r="FK31" s="291"/>
      <c r="FL31" s="291"/>
      <c r="FM31" s="291"/>
      <c r="FN31" s="291"/>
      <c r="FO31" s="291"/>
      <c r="FP31" s="291"/>
      <c r="FQ31" s="291"/>
      <c r="FR31" s="291"/>
      <c r="FS31" s="291"/>
      <c r="FT31" s="291"/>
      <c r="FU31" s="291"/>
      <c r="FV31" s="291"/>
      <c r="FW31" s="291"/>
      <c r="FX31" s="291"/>
      <c r="FY31" s="291"/>
      <c r="FZ31" s="291"/>
      <c r="GA31" s="291"/>
      <c r="GB31" s="291"/>
      <c r="GC31" s="291"/>
      <c r="GD31" s="291"/>
      <c r="GE31" s="291"/>
      <c r="GF31" s="291"/>
      <c r="GG31" s="291"/>
      <c r="GH31" s="291"/>
      <c r="GI31" s="291"/>
      <c r="GJ31" s="291"/>
      <c r="GK31" s="291"/>
      <c r="GL31" s="291"/>
      <c r="GM31" s="291"/>
      <c r="GN31" s="291"/>
      <c r="GO31" s="291"/>
      <c r="GP31" s="291"/>
      <c r="GQ31" s="291"/>
      <c r="GR31" s="291"/>
      <c r="GS31" s="291"/>
      <c r="GT31" s="291"/>
      <c r="GU31" s="291"/>
      <c r="GV31" s="291"/>
      <c r="GW31" s="291"/>
      <c r="GX31" s="291"/>
      <c r="GY31" s="291"/>
      <c r="GZ31" s="291"/>
      <c r="HA31" s="291"/>
      <c r="HB31" s="291"/>
      <c r="HC31" s="291"/>
      <c r="HD31" s="291"/>
      <c r="HE31" s="291"/>
      <c r="HF31" s="291"/>
      <c r="HG31" s="291"/>
      <c r="HH31" s="291"/>
      <c r="HI31" s="291"/>
      <c r="HJ31" s="291"/>
      <c r="HK31" s="291"/>
      <c r="HL31" s="291"/>
      <c r="HM31" s="291"/>
      <c r="HN31" s="291"/>
      <c r="HO31" s="291"/>
      <c r="HP31" s="291"/>
      <c r="HQ31" s="291"/>
      <c r="HR31" s="291"/>
      <c r="HS31" s="291"/>
      <c r="HT31" s="291"/>
      <c r="HU31" s="291"/>
      <c r="HV31" s="291"/>
      <c r="HW31" s="291"/>
      <c r="HX31" s="291"/>
      <c r="HY31" s="291"/>
      <c r="HZ31" s="291"/>
      <c r="IA31" s="291"/>
      <c r="IB31" s="291"/>
      <c r="IC31" s="291"/>
      <c r="ID31" s="291"/>
      <c r="IE31" s="291"/>
      <c r="IF31" s="291"/>
      <c r="IG31" s="291"/>
      <c r="IH31" s="291"/>
      <c r="II31" s="291"/>
      <c r="IJ31" s="291"/>
      <c r="IK31" s="291"/>
      <c r="IL31" s="291"/>
      <c r="IM31" s="291"/>
      <c r="IN31" s="291"/>
      <c r="IO31" s="291"/>
      <c r="IP31" s="291"/>
      <c r="IQ31" s="291"/>
      <c r="IR31" s="291"/>
      <c r="IS31" s="291"/>
      <c r="IT31" s="291"/>
      <c r="IU31" s="291"/>
      <c r="IV31" s="291"/>
      <c r="IW31" s="291"/>
      <c r="IX31" s="291"/>
      <c r="IY31" s="291"/>
      <c r="IZ31" s="291"/>
      <c r="JA31" s="291"/>
      <c r="JB31" s="291"/>
      <c r="JC31" s="291"/>
      <c r="JD31" s="291"/>
      <c r="JE31" s="291"/>
      <c r="JF31" s="291"/>
      <c r="JG31" s="291"/>
      <c r="JH31" s="291"/>
      <c r="JI31" s="291"/>
      <c r="JJ31" s="291"/>
      <c r="JK31" s="291"/>
      <c r="JL31" s="291"/>
      <c r="JM31" s="291"/>
      <c r="JN31" s="291"/>
      <c r="JO31" s="291"/>
      <c r="JP31" s="291"/>
      <c r="JQ31" s="291"/>
      <c r="JR31" s="291"/>
      <c r="JS31" s="291"/>
      <c r="JT31" s="291"/>
      <c r="JU31" s="291"/>
      <c r="JV31" s="291"/>
      <c r="JW31" s="291"/>
      <c r="JX31" s="291"/>
      <c r="JY31" s="291"/>
      <c r="JZ31" s="291"/>
      <c r="KA31" s="291"/>
      <c r="KB31" s="291"/>
      <c r="KC31" s="291"/>
      <c r="KD31" s="291"/>
      <c r="KE31" s="291"/>
      <c r="KF31" s="291"/>
      <c r="KG31" s="291"/>
      <c r="KH31" s="291"/>
      <c r="KI31" s="291"/>
      <c r="KJ31" s="291"/>
      <c r="KK31" s="291"/>
      <c r="KL31" s="291"/>
      <c r="KM31" s="291"/>
      <c r="KN31" s="291"/>
      <c r="KO31" s="291"/>
      <c r="KP31" s="291"/>
      <c r="KQ31" s="291"/>
      <c r="KR31" s="291"/>
      <c r="KS31" s="291"/>
      <c r="KT31" s="291"/>
      <c r="KU31" s="291"/>
      <c r="KV31" s="291"/>
      <c r="KW31" s="291"/>
      <c r="KX31" s="291"/>
      <c r="KY31" s="291"/>
      <c r="KZ31" s="291"/>
      <c r="LA31" s="291"/>
      <c r="LB31" s="291"/>
      <c r="LC31" s="291"/>
      <c r="LD31" s="291"/>
      <c r="LE31" s="291"/>
      <c r="LF31" s="291"/>
      <c r="LG31" s="291"/>
      <c r="LH31" s="291"/>
      <c r="LI31" s="291"/>
      <c r="LJ31" s="291"/>
      <c r="LK31" s="291"/>
      <c r="LL31" s="291"/>
      <c r="LM31" s="291"/>
      <c r="LN31" s="291"/>
      <c r="LO31" s="291"/>
      <c r="LP31" s="291"/>
      <c r="LQ31" s="291"/>
      <c r="LR31" s="291"/>
      <c r="LS31" s="291"/>
      <c r="LT31" s="291"/>
      <c r="LU31" s="291"/>
      <c r="LV31" s="291"/>
      <c r="LW31" s="291"/>
      <c r="LX31" s="291"/>
      <c r="LY31" s="291"/>
      <c r="LZ31" s="291"/>
      <c r="MA31" s="291"/>
      <c r="MB31" s="291"/>
      <c r="MC31" s="291"/>
      <c r="MD31" s="291"/>
      <c r="ME31" s="291"/>
      <c r="MF31" s="291"/>
      <c r="MG31" s="291"/>
      <c r="MH31" s="291"/>
      <c r="MI31" s="291"/>
      <c r="MJ31" s="291"/>
      <c r="MK31" s="291"/>
      <c r="ML31" s="291"/>
      <c r="MM31" s="291"/>
      <c r="MN31" s="291"/>
      <c r="MO31" s="291"/>
      <c r="MP31" s="291"/>
      <c r="MQ31" s="291"/>
      <c r="MR31" s="291"/>
      <c r="MS31" s="291"/>
      <c r="MT31" s="291"/>
      <c r="MU31" s="291"/>
      <c r="MV31" s="291"/>
      <c r="MW31" s="291"/>
      <c r="MX31" s="291"/>
      <c r="MY31" s="291"/>
      <c r="MZ31" s="291"/>
      <c r="NA31" s="291"/>
      <c r="NB31" s="291"/>
      <c r="NC31" s="291"/>
      <c r="ND31" s="291"/>
      <c r="NE31" s="291"/>
      <c r="NF31" s="291"/>
      <c r="NG31" s="291"/>
      <c r="NH31" s="291"/>
      <c r="NI31" s="291"/>
      <c r="NJ31" s="291"/>
      <c r="NK31" s="291"/>
      <c r="NL31" s="291"/>
      <c r="NM31" s="291"/>
      <c r="NN31" s="291"/>
      <c r="NO31" s="291"/>
      <c r="NP31" s="291"/>
      <c r="NQ31" s="291"/>
      <c r="NR31" s="291"/>
      <c r="NS31" s="291"/>
      <c r="NT31" s="291"/>
      <c r="NU31" s="291"/>
      <c r="NV31" s="291"/>
      <c r="NW31" s="291"/>
      <c r="NX31" s="291"/>
      <c r="NY31" s="291"/>
      <c r="NZ31" s="291"/>
      <c r="OA31" s="291"/>
      <c r="OB31" s="291"/>
      <c r="OC31" s="291"/>
      <c r="OD31" s="291"/>
      <c r="OE31" s="291"/>
      <c r="OF31" s="291"/>
      <c r="OG31" s="291"/>
      <c r="OH31" s="291"/>
      <c r="OI31" s="291"/>
      <c r="OJ31" s="291"/>
      <c r="OK31" s="291"/>
      <c r="OL31" s="291"/>
      <c r="OM31" s="291"/>
      <c r="ON31" s="291"/>
      <c r="OO31" s="291"/>
      <c r="OP31" s="291"/>
      <c r="OQ31" s="291"/>
      <c r="OR31" s="291"/>
      <c r="OS31" s="291"/>
      <c r="OT31" s="291"/>
      <c r="OU31" s="291"/>
      <c r="OV31" s="291"/>
      <c r="OW31" s="291"/>
    </row>
    <row r="32" spans="1:413" s="257" customFormat="1" hidden="1" x14ac:dyDescent="0.2">
      <c r="A32" s="291"/>
      <c r="B32" s="524">
        <f t="shared" si="3"/>
        <v>17</v>
      </c>
      <c r="C32" s="510" t="s">
        <v>38</v>
      </c>
      <c r="D32" s="511">
        <v>30044470</v>
      </c>
      <c r="E32" s="511"/>
      <c r="F32" s="512" t="s">
        <v>1128</v>
      </c>
      <c r="G32" s="513" t="s">
        <v>45</v>
      </c>
      <c r="H32" s="514" t="s">
        <v>1094</v>
      </c>
      <c r="I32" s="515" t="s">
        <v>1129</v>
      </c>
      <c r="J32" s="346" t="s">
        <v>42</v>
      </c>
      <c r="K32" s="526">
        <v>4393917</v>
      </c>
      <c r="L32" s="527">
        <v>3108381</v>
      </c>
      <c r="M32" s="528">
        <v>0</v>
      </c>
      <c r="N32" s="519">
        <v>0</v>
      </c>
      <c r="O32" s="519">
        <v>284904</v>
      </c>
      <c r="P32" s="519">
        <v>153010</v>
      </c>
      <c r="Q32" s="519">
        <v>186664</v>
      </c>
      <c r="R32" s="519">
        <v>161090</v>
      </c>
      <c r="S32" s="519">
        <v>92354</v>
      </c>
      <c r="T32" s="18"/>
      <c r="U32" s="18"/>
      <c r="V32" s="18"/>
      <c r="W32" s="18"/>
      <c r="X32" s="18"/>
      <c r="Y32" s="18"/>
      <c r="Z32" s="18">
        <f t="shared" si="0"/>
        <v>878022</v>
      </c>
      <c r="AA32" s="309">
        <v>1166896</v>
      </c>
      <c r="AB32" s="19">
        <v>9</v>
      </c>
      <c r="AC32" s="521">
        <v>44232</v>
      </c>
      <c r="AD32" s="25">
        <v>44251</v>
      </c>
      <c r="AE32" s="309">
        <v>105592</v>
      </c>
      <c r="AF32" s="20">
        <v>39</v>
      </c>
      <c r="AG32" s="23">
        <v>44334</v>
      </c>
      <c r="AH32" s="25">
        <v>44342</v>
      </c>
      <c r="AI32" s="309"/>
      <c r="AJ32" s="19"/>
      <c r="AK32" s="23"/>
      <c r="AL32" s="25"/>
      <c r="AM32" s="309"/>
      <c r="AN32" s="19"/>
      <c r="AO32" s="21"/>
      <c r="AP32" s="25"/>
      <c r="AQ32" s="309"/>
      <c r="AR32" s="19"/>
      <c r="AS32" s="21"/>
      <c r="AT32" s="25"/>
      <c r="AU32" s="522">
        <f t="shared" si="1"/>
        <v>1272488</v>
      </c>
      <c r="AV32" s="311">
        <f t="shared" si="2"/>
        <v>394466</v>
      </c>
      <c r="AW32" s="305"/>
      <c r="AX32" s="291"/>
      <c r="AY32" s="291"/>
      <c r="AZ32" s="291"/>
      <c r="BA32" s="291"/>
      <c r="BB32" s="291"/>
      <c r="BC32" s="291"/>
      <c r="BD32" s="291"/>
      <c r="BE32" s="291"/>
      <c r="BF32" s="291"/>
      <c r="BG32" s="291"/>
      <c r="BH32" s="291"/>
      <c r="BI32" s="291"/>
      <c r="BJ32" s="291"/>
      <c r="BK32" s="291"/>
      <c r="BL32" s="291"/>
      <c r="BM32" s="291"/>
      <c r="BN32" s="291"/>
      <c r="BO32" s="291"/>
      <c r="BP32" s="291"/>
      <c r="BQ32" s="291"/>
      <c r="BR32" s="291"/>
      <c r="BS32" s="291"/>
      <c r="BT32" s="291"/>
      <c r="BU32" s="291"/>
      <c r="BV32" s="291"/>
      <c r="BW32" s="291"/>
      <c r="BX32" s="291"/>
      <c r="BY32" s="291"/>
      <c r="BZ32" s="291"/>
      <c r="CA32" s="291"/>
      <c r="CB32" s="291"/>
      <c r="CC32" s="291"/>
      <c r="CD32" s="291"/>
      <c r="CE32" s="291"/>
      <c r="CF32" s="291"/>
      <c r="CG32" s="291"/>
      <c r="CH32" s="291"/>
      <c r="CI32" s="291"/>
      <c r="CJ32" s="291"/>
      <c r="CK32" s="291"/>
      <c r="CL32" s="291"/>
      <c r="CM32" s="291"/>
      <c r="CN32" s="291"/>
      <c r="CO32" s="291"/>
      <c r="CP32" s="291"/>
      <c r="CQ32" s="291"/>
      <c r="CR32" s="291"/>
      <c r="CS32" s="291"/>
      <c r="CT32" s="291"/>
      <c r="CU32" s="291"/>
      <c r="CV32" s="291"/>
      <c r="CW32" s="291"/>
      <c r="CX32" s="291"/>
      <c r="CY32" s="291"/>
      <c r="CZ32" s="291"/>
      <c r="DA32" s="291"/>
      <c r="DB32" s="291"/>
      <c r="DC32" s="291"/>
      <c r="DD32" s="291"/>
      <c r="DE32" s="291"/>
      <c r="DF32" s="291"/>
      <c r="DG32" s="291"/>
      <c r="DH32" s="291"/>
      <c r="DI32" s="291"/>
      <c r="DJ32" s="291"/>
      <c r="DK32" s="291"/>
      <c r="DL32" s="291"/>
      <c r="DM32" s="291"/>
      <c r="DN32" s="291"/>
      <c r="DO32" s="291"/>
      <c r="DP32" s="291"/>
      <c r="DQ32" s="291"/>
      <c r="DR32" s="291"/>
      <c r="DS32" s="291"/>
      <c r="DT32" s="291"/>
      <c r="DU32" s="291"/>
      <c r="DV32" s="291"/>
      <c r="DW32" s="291"/>
      <c r="DX32" s="291"/>
      <c r="DY32" s="291"/>
      <c r="DZ32" s="291"/>
      <c r="EA32" s="291"/>
      <c r="EB32" s="291"/>
      <c r="EC32" s="291"/>
      <c r="ED32" s="291"/>
      <c r="EE32" s="291"/>
      <c r="EF32" s="291"/>
      <c r="EG32" s="291"/>
      <c r="EH32" s="291"/>
      <c r="EI32" s="291"/>
      <c r="EJ32" s="291"/>
      <c r="EK32" s="291"/>
      <c r="EL32" s="291"/>
      <c r="EM32" s="291"/>
      <c r="EN32" s="291"/>
      <c r="EO32" s="291"/>
      <c r="EP32" s="291"/>
      <c r="EQ32" s="291"/>
      <c r="ER32" s="291"/>
      <c r="ES32" s="291"/>
      <c r="ET32" s="291"/>
      <c r="EU32" s="291"/>
      <c r="EV32" s="291"/>
      <c r="EW32" s="291"/>
      <c r="EX32" s="291"/>
      <c r="EY32" s="291"/>
      <c r="EZ32" s="291"/>
      <c r="FA32" s="291"/>
      <c r="FB32" s="291"/>
      <c r="FC32" s="291"/>
      <c r="FD32" s="291"/>
      <c r="FE32" s="291"/>
      <c r="FF32" s="291"/>
      <c r="FG32" s="291"/>
      <c r="FH32" s="291"/>
      <c r="FI32" s="291"/>
      <c r="FJ32" s="291"/>
      <c r="FK32" s="291"/>
      <c r="FL32" s="291"/>
      <c r="FM32" s="291"/>
      <c r="FN32" s="291"/>
      <c r="FO32" s="291"/>
      <c r="FP32" s="291"/>
      <c r="FQ32" s="291"/>
      <c r="FR32" s="291"/>
      <c r="FS32" s="291"/>
      <c r="FT32" s="291"/>
      <c r="FU32" s="291"/>
      <c r="FV32" s="291"/>
      <c r="FW32" s="291"/>
      <c r="FX32" s="291"/>
      <c r="FY32" s="291"/>
      <c r="FZ32" s="291"/>
      <c r="GA32" s="291"/>
      <c r="GB32" s="291"/>
      <c r="GC32" s="291"/>
      <c r="GD32" s="291"/>
      <c r="GE32" s="291"/>
      <c r="GF32" s="291"/>
      <c r="GG32" s="291"/>
      <c r="GH32" s="291"/>
      <c r="GI32" s="291"/>
      <c r="GJ32" s="291"/>
      <c r="GK32" s="291"/>
      <c r="GL32" s="291"/>
      <c r="GM32" s="291"/>
      <c r="GN32" s="291"/>
      <c r="GO32" s="291"/>
      <c r="GP32" s="291"/>
      <c r="GQ32" s="291"/>
      <c r="GR32" s="291"/>
      <c r="GS32" s="291"/>
      <c r="GT32" s="291"/>
      <c r="GU32" s="291"/>
      <c r="GV32" s="291"/>
      <c r="GW32" s="291"/>
      <c r="GX32" s="291"/>
      <c r="GY32" s="291"/>
      <c r="GZ32" s="291"/>
      <c r="HA32" s="291"/>
      <c r="HB32" s="291"/>
      <c r="HC32" s="291"/>
      <c r="HD32" s="291"/>
      <c r="HE32" s="291"/>
      <c r="HF32" s="291"/>
      <c r="HG32" s="291"/>
      <c r="HH32" s="291"/>
      <c r="HI32" s="291"/>
      <c r="HJ32" s="291"/>
      <c r="HK32" s="291"/>
      <c r="HL32" s="291"/>
      <c r="HM32" s="291"/>
      <c r="HN32" s="291"/>
      <c r="HO32" s="291"/>
      <c r="HP32" s="291"/>
      <c r="HQ32" s="291"/>
      <c r="HR32" s="291"/>
      <c r="HS32" s="291"/>
      <c r="HT32" s="291"/>
      <c r="HU32" s="291"/>
      <c r="HV32" s="291"/>
      <c r="HW32" s="291"/>
      <c r="HX32" s="291"/>
      <c r="HY32" s="291"/>
      <c r="HZ32" s="291"/>
      <c r="IA32" s="291"/>
      <c r="IB32" s="291"/>
      <c r="IC32" s="291"/>
      <c r="ID32" s="291"/>
      <c r="IE32" s="291"/>
      <c r="IF32" s="291"/>
      <c r="IG32" s="291"/>
      <c r="IH32" s="291"/>
      <c r="II32" s="291"/>
      <c r="IJ32" s="291"/>
      <c r="IK32" s="291"/>
      <c r="IL32" s="291"/>
      <c r="IM32" s="291"/>
      <c r="IN32" s="291"/>
      <c r="IO32" s="291"/>
      <c r="IP32" s="291"/>
      <c r="IQ32" s="291"/>
      <c r="IR32" s="291"/>
      <c r="IS32" s="291"/>
      <c r="IT32" s="291"/>
      <c r="IU32" s="291"/>
      <c r="IV32" s="291"/>
      <c r="IW32" s="291"/>
      <c r="IX32" s="291"/>
      <c r="IY32" s="291"/>
      <c r="IZ32" s="291"/>
      <c r="JA32" s="291"/>
      <c r="JB32" s="291"/>
      <c r="JC32" s="291"/>
      <c r="JD32" s="291"/>
      <c r="JE32" s="291"/>
      <c r="JF32" s="291"/>
      <c r="JG32" s="291"/>
      <c r="JH32" s="291"/>
      <c r="JI32" s="291"/>
      <c r="JJ32" s="291"/>
      <c r="JK32" s="291"/>
      <c r="JL32" s="291"/>
      <c r="JM32" s="291"/>
      <c r="JN32" s="291"/>
      <c r="JO32" s="291"/>
      <c r="JP32" s="291"/>
      <c r="JQ32" s="291"/>
      <c r="JR32" s="291"/>
      <c r="JS32" s="291"/>
      <c r="JT32" s="291"/>
      <c r="JU32" s="291"/>
      <c r="JV32" s="291"/>
      <c r="JW32" s="291"/>
      <c r="JX32" s="291"/>
      <c r="JY32" s="291"/>
      <c r="JZ32" s="291"/>
      <c r="KA32" s="291"/>
      <c r="KB32" s="291"/>
      <c r="KC32" s="291"/>
      <c r="KD32" s="291"/>
      <c r="KE32" s="291"/>
      <c r="KF32" s="291"/>
      <c r="KG32" s="291"/>
      <c r="KH32" s="291"/>
      <c r="KI32" s="291"/>
      <c r="KJ32" s="291"/>
      <c r="KK32" s="291"/>
      <c r="KL32" s="291"/>
      <c r="KM32" s="291"/>
      <c r="KN32" s="291"/>
      <c r="KO32" s="291"/>
      <c r="KP32" s="291"/>
      <c r="KQ32" s="291"/>
      <c r="KR32" s="291"/>
      <c r="KS32" s="291"/>
      <c r="KT32" s="291"/>
      <c r="KU32" s="291"/>
      <c r="KV32" s="291"/>
      <c r="KW32" s="291"/>
      <c r="KX32" s="291"/>
      <c r="KY32" s="291"/>
      <c r="KZ32" s="291"/>
      <c r="LA32" s="291"/>
      <c r="LB32" s="291"/>
      <c r="LC32" s="291"/>
      <c r="LD32" s="291"/>
      <c r="LE32" s="291"/>
      <c r="LF32" s="291"/>
      <c r="LG32" s="291"/>
      <c r="LH32" s="291"/>
      <c r="LI32" s="291"/>
      <c r="LJ32" s="291"/>
      <c r="LK32" s="291"/>
      <c r="LL32" s="291"/>
      <c r="LM32" s="291"/>
      <c r="LN32" s="291"/>
      <c r="LO32" s="291"/>
      <c r="LP32" s="291"/>
      <c r="LQ32" s="291"/>
      <c r="LR32" s="291"/>
      <c r="LS32" s="291"/>
      <c r="LT32" s="291"/>
      <c r="LU32" s="291"/>
      <c r="LV32" s="291"/>
      <c r="LW32" s="291"/>
      <c r="LX32" s="291"/>
      <c r="LY32" s="291"/>
      <c r="LZ32" s="291"/>
      <c r="MA32" s="291"/>
      <c r="MB32" s="291"/>
      <c r="MC32" s="291"/>
      <c r="MD32" s="291"/>
      <c r="ME32" s="291"/>
      <c r="MF32" s="291"/>
      <c r="MG32" s="291"/>
      <c r="MH32" s="291"/>
      <c r="MI32" s="291"/>
      <c r="MJ32" s="291"/>
      <c r="MK32" s="291"/>
      <c r="ML32" s="291"/>
      <c r="MM32" s="291"/>
      <c r="MN32" s="291"/>
      <c r="MO32" s="291"/>
      <c r="MP32" s="291"/>
      <c r="MQ32" s="291"/>
      <c r="MR32" s="291"/>
      <c r="MS32" s="291"/>
      <c r="MT32" s="291"/>
      <c r="MU32" s="291"/>
      <c r="MV32" s="291"/>
      <c r="MW32" s="291"/>
      <c r="MX32" s="291"/>
      <c r="MY32" s="291"/>
      <c r="MZ32" s="291"/>
      <c r="NA32" s="291"/>
      <c r="NB32" s="291"/>
      <c r="NC32" s="291"/>
      <c r="ND32" s="291"/>
      <c r="NE32" s="291"/>
      <c r="NF32" s="291"/>
      <c r="NG32" s="291"/>
      <c r="NH32" s="291"/>
      <c r="NI32" s="291"/>
      <c r="NJ32" s="291"/>
      <c r="NK32" s="291"/>
      <c r="NL32" s="291"/>
      <c r="NM32" s="291"/>
      <c r="NN32" s="291"/>
      <c r="NO32" s="291"/>
      <c r="NP32" s="291"/>
      <c r="NQ32" s="291"/>
      <c r="NR32" s="291"/>
      <c r="NS32" s="291"/>
      <c r="NT32" s="291"/>
      <c r="NU32" s="291"/>
      <c r="NV32" s="291"/>
      <c r="NW32" s="291"/>
      <c r="NX32" s="291"/>
      <c r="NY32" s="291"/>
      <c r="NZ32" s="291"/>
      <c r="OA32" s="291"/>
      <c r="OB32" s="291"/>
      <c r="OC32" s="291"/>
      <c r="OD32" s="291"/>
      <c r="OE32" s="291"/>
      <c r="OF32" s="291"/>
      <c r="OG32" s="291"/>
      <c r="OH32" s="291"/>
      <c r="OI32" s="291"/>
      <c r="OJ32" s="291"/>
      <c r="OK32" s="291"/>
      <c r="OL32" s="291"/>
      <c r="OM32" s="291"/>
      <c r="ON32" s="291"/>
      <c r="OO32" s="291"/>
      <c r="OP32" s="291"/>
      <c r="OQ32" s="291"/>
      <c r="OR32" s="291"/>
      <c r="OS32" s="291"/>
      <c r="OT32" s="291"/>
      <c r="OU32" s="291"/>
      <c r="OV32" s="291"/>
      <c r="OW32" s="291"/>
    </row>
    <row r="33" spans="1:413" s="257" customFormat="1" hidden="1" x14ac:dyDescent="0.2">
      <c r="A33" s="291"/>
      <c r="B33" s="524">
        <f t="shared" si="3"/>
        <v>18</v>
      </c>
      <c r="C33" s="510" t="s">
        <v>38</v>
      </c>
      <c r="D33" s="511">
        <v>30045256</v>
      </c>
      <c r="E33" s="511"/>
      <c r="F33" s="512" t="s">
        <v>1130</v>
      </c>
      <c r="G33" s="513" t="s">
        <v>45</v>
      </c>
      <c r="H33" s="514" t="s">
        <v>1094</v>
      </c>
      <c r="I33" s="515" t="s">
        <v>1131</v>
      </c>
      <c r="J33" s="346" t="s">
        <v>42</v>
      </c>
      <c r="K33" s="526">
        <v>1954072</v>
      </c>
      <c r="L33" s="527">
        <v>787325</v>
      </c>
      <c r="M33" s="528">
        <v>2</v>
      </c>
      <c r="N33" s="519">
        <v>0</v>
      </c>
      <c r="O33" s="519">
        <v>331304</v>
      </c>
      <c r="P33" s="519">
        <v>171979</v>
      </c>
      <c r="Q33" s="519">
        <v>78222</v>
      </c>
      <c r="R33" s="519">
        <v>149564</v>
      </c>
      <c r="S33" s="519">
        <v>42095</v>
      </c>
      <c r="T33" s="18"/>
      <c r="U33" s="18"/>
      <c r="V33" s="18"/>
      <c r="W33" s="18"/>
      <c r="X33" s="18"/>
      <c r="Y33" s="18"/>
      <c r="Z33" s="18">
        <f t="shared" si="0"/>
        <v>773164</v>
      </c>
      <c r="AA33" s="309">
        <v>1166745</v>
      </c>
      <c r="AB33" s="19">
        <v>5</v>
      </c>
      <c r="AC33" s="521">
        <v>44224</v>
      </c>
      <c r="AD33" s="25">
        <v>44251</v>
      </c>
      <c r="AE33" s="309">
        <v>213355</v>
      </c>
      <c r="AF33" s="20">
        <v>50</v>
      </c>
      <c r="AG33" s="23">
        <v>44356</v>
      </c>
      <c r="AH33" s="25">
        <v>44377</v>
      </c>
      <c r="AI33" s="309"/>
      <c r="AJ33" s="19"/>
      <c r="AK33" s="23"/>
      <c r="AL33" s="25"/>
      <c r="AM33" s="309"/>
      <c r="AN33" s="19"/>
      <c r="AO33" s="21"/>
      <c r="AP33" s="25"/>
      <c r="AQ33" s="309"/>
      <c r="AR33" s="19"/>
      <c r="AS33" s="21"/>
      <c r="AT33" s="25"/>
      <c r="AU33" s="522">
        <f t="shared" si="1"/>
        <v>1380100</v>
      </c>
      <c r="AV33" s="311">
        <f t="shared" si="2"/>
        <v>606936</v>
      </c>
      <c r="AW33" s="305"/>
      <c r="AX33" s="291"/>
      <c r="AY33" s="291"/>
      <c r="AZ33" s="291"/>
      <c r="BA33" s="291"/>
      <c r="BB33" s="291"/>
      <c r="BC33" s="291"/>
      <c r="BD33" s="291"/>
      <c r="BE33" s="291"/>
      <c r="BF33" s="291"/>
      <c r="BG33" s="291"/>
      <c r="BH33" s="291"/>
      <c r="BI33" s="291"/>
      <c r="BJ33" s="291"/>
      <c r="BK33" s="291"/>
      <c r="BL33" s="291"/>
      <c r="BM33" s="291"/>
      <c r="BN33" s="291"/>
      <c r="BO33" s="291"/>
      <c r="BP33" s="291"/>
      <c r="BQ33" s="291"/>
      <c r="BR33" s="291"/>
      <c r="BS33" s="291"/>
      <c r="BT33" s="291"/>
      <c r="BU33" s="291"/>
      <c r="BV33" s="291"/>
      <c r="BW33" s="291"/>
      <c r="BX33" s="291"/>
      <c r="BY33" s="291"/>
      <c r="BZ33" s="291"/>
      <c r="CA33" s="291"/>
      <c r="CB33" s="291"/>
      <c r="CC33" s="291"/>
      <c r="CD33" s="291"/>
      <c r="CE33" s="291"/>
      <c r="CF33" s="291"/>
      <c r="CG33" s="291"/>
      <c r="CH33" s="291"/>
      <c r="CI33" s="291"/>
      <c r="CJ33" s="291"/>
      <c r="CK33" s="291"/>
      <c r="CL33" s="291"/>
      <c r="CM33" s="291"/>
      <c r="CN33" s="291"/>
      <c r="CO33" s="291"/>
      <c r="CP33" s="291"/>
      <c r="CQ33" s="291"/>
      <c r="CR33" s="291"/>
      <c r="CS33" s="291"/>
      <c r="CT33" s="291"/>
      <c r="CU33" s="291"/>
      <c r="CV33" s="291"/>
      <c r="CW33" s="291"/>
      <c r="CX33" s="291"/>
      <c r="CY33" s="291"/>
      <c r="CZ33" s="291"/>
      <c r="DA33" s="291"/>
      <c r="DB33" s="291"/>
      <c r="DC33" s="291"/>
      <c r="DD33" s="291"/>
      <c r="DE33" s="291"/>
      <c r="DF33" s="291"/>
      <c r="DG33" s="291"/>
      <c r="DH33" s="291"/>
      <c r="DI33" s="291"/>
      <c r="DJ33" s="291"/>
      <c r="DK33" s="291"/>
      <c r="DL33" s="291"/>
      <c r="DM33" s="291"/>
      <c r="DN33" s="291"/>
      <c r="DO33" s="291"/>
      <c r="DP33" s="291"/>
      <c r="DQ33" s="291"/>
      <c r="DR33" s="291"/>
      <c r="DS33" s="291"/>
      <c r="DT33" s="291"/>
      <c r="DU33" s="291"/>
      <c r="DV33" s="291"/>
      <c r="DW33" s="291"/>
      <c r="DX33" s="291"/>
      <c r="DY33" s="291"/>
      <c r="DZ33" s="291"/>
      <c r="EA33" s="291"/>
      <c r="EB33" s="291"/>
      <c r="EC33" s="291"/>
      <c r="ED33" s="291"/>
      <c r="EE33" s="291"/>
      <c r="EF33" s="291"/>
      <c r="EG33" s="291"/>
      <c r="EH33" s="291"/>
      <c r="EI33" s="291"/>
      <c r="EJ33" s="291"/>
      <c r="EK33" s="291"/>
      <c r="EL33" s="291"/>
      <c r="EM33" s="291"/>
      <c r="EN33" s="291"/>
      <c r="EO33" s="291"/>
      <c r="EP33" s="291"/>
      <c r="EQ33" s="291"/>
      <c r="ER33" s="291"/>
      <c r="ES33" s="291"/>
      <c r="ET33" s="291"/>
      <c r="EU33" s="291"/>
      <c r="EV33" s="291"/>
      <c r="EW33" s="291"/>
      <c r="EX33" s="291"/>
      <c r="EY33" s="291"/>
      <c r="EZ33" s="291"/>
      <c r="FA33" s="291"/>
      <c r="FB33" s="291"/>
      <c r="FC33" s="291"/>
      <c r="FD33" s="291"/>
      <c r="FE33" s="291"/>
      <c r="FF33" s="291"/>
      <c r="FG33" s="291"/>
      <c r="FH33" s="291"/>
      <c r="FI33" s="291"/>
      <c r="FJ33" s="291"/>
      <c r="FK33" s="291"/>
      <c r="FL33" s="291"/>
      <c r="FM33" s="291"/>
      <c r="FN33" s="291"/>
      <c r="FO33" s="291"/>
      <c r="FP33" s="291"/>
      <c r="FQ33" s="291"/>
      <c r="FR33" s="291"/>
      <c r="FS33" s="291"/>
      <c r="FT33" s="291"/>
      <c r="FU33" s="291"/>
      <c r="FV33" s="291"/>
      <c r="FW33" s="291"/>
      <c r="FX33" s="291"/>
      <c r="FY33" s="291"/>
      <c r="FZ33" s="291"/>
      <c r="GA33" s="291"/>
      <c r="GB33" s="291"/>
      <c r="GC33" s="291"/>
      <c r="GD33" s="291"/>
      <c r="GE33" s="291"/>
      <c r="GF33" s="291"/>
      <c r="GG33" s="291"/>
      <c r="GH33" s="291"/>
      <c r="GI33" s="291"/>
      <c r="GJ33" s="291"/>
      <c r="GK33" s="291"/>
      <c r="GL33" s="291"/>
      <c r="GM33" s="291"/>
      <c r="GN33" s="291"/>
      <c r="GO33" s="291"/>
      <c r="GP33" s="291"/>
      <c r="GQ33" s="291"/>
      <c r="GR33" s="291"/>
      <c r="GS33" s="291"/>
      <c r="GT33" s="291"/>
      <c r="GU33" s="291"/>
      <c r="GV33" s="291"/>
      <c r="GW33" s="291"/>
      <c r="GX33" s="291"/>
      <c r="GY33" s="291"/>
      <c r="GZ33" s="291"/>
      <c r="HA33" s="291"/>
      <c r="HB33" s="291"/>
      <c r="HC33" s="291"/>
      <c r="HD33" s="291"/>
      <c r="HE33" s="291"/>
      <c r="HF33" s="291"/>
      <c r="HG33" s="291"/>
      <c r="HH33" s="291"/>
      <c r="HI33" s="291"/>
      <c r="HJ33" s="291"/>
      <c r="HK33" s="291"/>
      <c r="HL33" s="291"/>
      <c r="HM33" s="291"/>
      <c r="HN33" s="291"/>
      <c r="HO33" s="291"/>
      <c r="HP33" s="291"/>
      <c r="HQ33" s="291"/>
      <c r="HR33" s="291"/>
      <c r="HS33" s="291"/>
      <c r="HT33" s="291"/>
      <c r="HU33" s="291"/>
      <c r="HV33" s="291"/>
      <c r="HW33" s="291"/>
      <c r="HX33" s="291"/>
      <c r="HY33" s="291"/>
      <c r="HZ33" s="291"/>
      <c r="IA33" s="291"/>
      <c r="IB33" s="291"/>
      <c r="IC33" s="291"/>
      <c r="ID33" s="291"/>
      <c r="IE33" s="291"/>
      <c r="IF33" s="291"/>
      <c r="IG33" s="291"/>
      <c r="IH33" s="291"/>
      <c r="II33" s="291"/>
      <c r="IJ33" s="291"/>
      <c r="IK33" s="291"/>
      <c r="IL33" s="291"/>
      <c r="IM33" s="291"/>
      <c r="IN33" s="291"/>
      <c r="IO33" s="291"/>
      <c r="IP33" s="291"/>
      <c r="IQ33" s="291"/>
      <c r="IR33" s="291"/>
      <c r="IS33" s="291"/>
      <c r="IT33" s="291"/>
      <c r="IU33" s="291"/>
      <c r="IV33" s="291"/>
      <c r="IW33" s="291"/>
      <c r="IX33" s="291"/>
      <c r="IY33" s="291"/>
      <c r="IZ33" s="291"/>
      <c r="JA33" s="291"/>
      <c r="JB33" s="291"/>
      <c r="JC33" s="291"/>
      <c r="JD33" s="291"/>
      <c r="JE33" s="291"/>
      <c r="JF33" s="291"/>
      <c r="JG33" s="291"/>
      <c r="JH33" s="291"/>
      <c r="JI33" s="291"/>
      <c r="JJ33" s="291"/>
      <c r="JK33" s="291"/>
      <c r="JL33" s="291"/>
      <c r="JM33" s="291"/>
      <c r="JN33" s="291"/>
      <c r="JO33" s="291"/>
      <c r="JP33" s="291"/>
      <c r="JQ33" s="291"/>
      <c r="JR33" s="291"/>
      <c r="JS33" s="291"/>
      <c r="JT33" s="291"/>
      <c r="JU33" s="291"/>
      <c r="JV33" s="291"/>
      <c r="JW33" s="291"/>
      <c r="JX33" s="291"/>
      <c r="JY33" s="291"/>
      <c r="JZ33" s="291"/>
      <c r="KA33" s="291"/>
      <c r="KB33" s="291"/>
      <c r="KC33" s="291"/>
      <c r="KD33" s="291"/>
      <c r="KE33" s="291"/>
      <c r="KF33" s="291"/>
      <c r="KG33" s="291"/>
      <c r="KH33" s="291"/>
      <c r="KI33" s="291"/>
      <c r="KJ33" s="291"/>
      <c r="KK33" s="291"/>
      <c r="KL33" s="291"/>
      <c r="KM33" s="291"/>
      <c r="KN33" s="291"/>
      <c r="KO33" s="291"/>
      <c r="KP33" s="291"/>
      <c r="KQ33" s="291"/>
      <c r="KR33" s="291"/>
      <c r="KS33" s="291"/>
      <c r="KT33" s="291"/>
      <c r="KU33" s="291"/>
      <c r="KV33" s="291"/>
      <c r="KW33" s="291"/>
      <c r="KX33" s="291"/>
      <c r="KY33" s="291"/>
      <c r="KZ33" s="291"/>
      <c r="LA33" s="291"/>
      <c r="LB33" s="291"/>
      <c r="LC33" s="291"/>
      <c r="LD33" s="291"/>
      <c r="LE33" s="291"/>
      <c r="LF33" s="291"/>
      <c r="LG33" s="291"/>
      <c r="LH33" s="291"/>
      <c r="LI33" s="291"/>
      <c r="LJ33" s="291"/>
      <c r="LK33" s="291"/>
      <c r="LL33" s="291"/>
      <c r="LM33" s="291"/>
      <c r="LN33" s="291"/>
      <c r="LO33" s="291"/>
      <c r="LP33" s="291"/>
      <c r="LQ33" s="291"/>
      <c r="LR33" s="291"/>
      <c r="LS33" s="291"/>
      <c r="LT33" s="291"/>
      <c r="LU33" s="291"/>
      <c r="LV33" s="291"/>
      <c r="LW33" s="291"/>
      <c r="LX33" s="291"/>
      <c r="LY33" s="291"/>
      <c r="LZ33" s="291"/>
      <c r="MA33" s="291"/>
      <c r="MB33" s="291"/>
      <c r="MC33" s="291"/>
      <c r="MD33" s="291"/>
      <c r="ME33" s="291"/>
      <c r="MF33" s="291"/>
      <c r="MG33" s="291"/>
      <c r="MH33" s="291"/>
      <c r="MI33" s="291"/>
      <c r="MJ33" s="291"/>
      <c r="MK33" s="291"/>
      <c r="ML33" s="291"/>
      <c r="MM33" s="291"/>
      <c r="MN33" s="291"/>
      <c r="MO33" s="291"/>
      <c r="MP33" s="291"/>
      <c r="MQ33" s="291"/>
      <c r="MR33" s="291"/>
      <c r="MS33" s="291"/>
      <c r="MT33" s="291"/>
      <c r="MU33" s="291"/>
      <c r="MV33" s="291"/>
      <c r="MW33" s="291"/>
      <c r="MX33" s="291"/>
      <c r="MY33" s="291"/>
      <c r="MZ33" s="291"/>
      <c r="NA33" s="291"/>
      <c r="NB33" s="291"/>
      <c r="NC33" s="291"/>
      <c r="ND33" s="291"/>
      <c r="NE33" s="291"/>
      <c r="NF33" s="291"/>
      <c r="NG33" s="291"/>
      <c r="NH33" s="291"/>
      <c r="NI33" s="291"/>
      <c r="NJ33" s="291"/>
      <c r="NK33" s="291"/>
      <c r="NL33" s="291"/>
      <c r="NM33" s="291"/>
      <c r="NN33" s="291"/>
      <c r="NO33" s="291"/>
      <c r="NP33" s="291"/>
      <c r="NQ33" s="291"/>
      <c r="NR33" s="291"/>
      <c r="NS33" s="291"/>
      <c r="NT33" s="291"/>
      <c r="NU33" s="291"/>
      <c r="NV33" s="291"/>
      <c r="NW33" s="291"/>
      <c r="NX33" s="291"/>
      <c r="NY33" s="291"/>
      <c r="NZ33" s="291"/>
      <c r="OA33" s="291"/>
      <c r="OB33" s="291"/>
      <c r="OC33" s="291"/>
      <c r="OD33" s="291"/>
      <c r="OE33" s="291"/>
      <c r="OF33" s="291"/>
      <c r="OG33" s="291"/>
      <c r="OH33" s="291"/>
      <c r="OI33" s="291"/>
      <c r="OJ33" s="291"/>
      <c r="OK33" s="291"/>
      <c r="OL33" s="291"/>
      <c r="OM33" s="291"/>
      <c r="ON33" s="291"/>
      <c r="OO33" s="291"/>
      <c r="OP33" s="291"/>
      <c r="OQ33" s="291"/>
      <c r="OR33" s="291"/>
      <c r="OS33" s="291"/>
      <c r="OT33" s="291"/>
      <c r="OU33" s="291"/>
      <c r="OV33" s="291"/>
      <c r="OW33" s="291"/>
    </row>
    <row r="34" spans="1:413" s="257" customFormat="1" x14ac:dyDescent="0.2">
      <c r="A34" s="291"/>
      <c r="B34" s="524">
        <f t="shared" si="3"/>
        <v>19</v>
      </c>
      <c r="C34" s="510" t="s">
        <v>38</v>
      </c>
      <c r="D34" s="511" t="s">
        <v>1132</v>
      </c>
      <c r="E34" s="511"/>
      <c r="F34" s="512" t="s">
        <v>1133</v>
      </c>
      <c r="G34" s="513" t="s">
        <v>45</v>
      </c>
      <c r="H34" s="514" t="s">
        <v>1098</v>
      </c>
      <c r="I34" s="515" t="s">
        <v>1134</v>
      </c>
      <c r="J34" s="346"/>
      <c r="K34" s="526">
        <v>763815</v>
      </c>
      <c r="L34" s="527">
        <v>0</v>
      </c>
      <c r="M34" s="528">
        <v>653815</v>
      </c>
      <c r="N34" s="520">
        <v>0</v>
      </c>
      <c r="O34" s="520">
        <v>0</v>
      </c>
      <c r="P34" s="520">
        <v>0</v>
      </c>
      <c r="Q34" s="520">
        <v>0</v>
      </c>
      <c r="R34" s="520">
        <v>0</v>
      </c>
      <c r="S34" s="520">
        <v>0</v>
      </c>
      <c r="T34" s="18"/>
      <c r="U34" s="18"/>
      <c r="V34" s="18"/>
      <c r="W34" s="18"/>
      <c r="X34" s="18"/>
      <c r="Y34" s="18"/>
      <c r="Z34" s="18">
        <f t="shared" si="0"/>
        <v>0</v>
      </c>
      <c r="AA34" s="309">
        <v>110000</v>
      </c>
      <c r="AB34" s="19">
        <v>22</v>
      </c>
      <c r="AC34" s="521">
        <v>44301</v>
      </c>
      <c r="AD34" s="25">
        <v>44313</v>
      </c>
      <c r="AE34" s="309">
        <v>55000</v>
      </c>
      <c r="AF34" s="20">
        <v>50</v>
      </c>
      <c r="AG34" s="23">
        <v>44356</v>
      </c>
      <c r="AH34" s="25">
        <v>44377</v>
      </c>
      <c r="AI34" s="309"/>
      <c r="AJ34" s="19"/>
      <c r="AK34" s="23"/>
      <c r="AL34" s="25"/>
      <c r="AM34" s="309"/>
      <c r="AN34" s="19"/>
      <c r="AO34" s="21"/>
      <c r="AP34" s="25"/>
      <c r="AQ34" s="309"/>
      <c r="AR34" s="19"/>
      <c r="AS34" s="21"/>
      <c r="AT34" s="25"/>
      <c r="AU34" s="522">
        <f t="shared" si="1"/>
        <v>165000</v>
      </c>
      <c r="AV34" s="311">
        <f t="shared" si="2"/>
        <v>165000</v>
      </c>
      <c r="AW34" s="305"/>
      <c r="AX34" s="291"/>
      <c r="AY34" s="291"/>
      <c r="AZ34" s="291"/>
      <c r="BA34" s="291"/>
      <c r="BB34" s="291"/>
      <c r="BC34" s="291"/>
      <c r="BD34" s="291"/>
      <c r="BE34" s="291"/>
      <c r="BF34" s="291"/>
      <c r="BG34" s="291"/>
      <c r="BH34" s="291"/>
      <c r="BI34" s="291"/>
      <c r="BJ34" s="291"/>
      <c r="BK34" s="291"/>
      <c r="BL34" s="291"/>
      <c r="BM34" s="291"/>
      <c r="BN34" s="291"/>
      <c r="BO34" s="291"/>
      <c r="BP34" s="291"/>
      <c r="BQ34" s="291"/>
      <c r="BR34" s="291"/>
      <c r="BS34" s="291"/>
      <c r="BT34" s="291"/>
      <c r="BU34" s="291"/>
      <c r="BV34" s="291"/>
      <c r="BW34" s="291"/>
      <c r="BX34" s="291"/>
      <c r="BY34" s="291"/>
      <c r="BZ34" s="291"/>
      <c r="CA34" s="291"/>
      <c r="CB34" s="291"/>
      <c r="CC34" s="291"/>
      <c r="CD34" s="291"/>
      <c r="CE34" s="291"/>
      <c r="CF34" s="291"/>
      <c r="CG34" s="291"/>
      <c r="CH34" s="291"/>
      <c r="CI34" s="291"/>
      <c r="CJ34" s="291"/>
      <c r="CK34" s="291"/>
      <c r="CL34" s="291"/>
      <c r="CM34" s="291"/>
      <c r="CN34" s="291"/>
      <c r="CO34" s="291"/>
      <c r="CP34" s="291"/>
      <c r="CQ34" s="291"/>
      <c r="CR34" s="291"/>
      <c r="CS34" s="291"/>
      <c r="CT34" s="291"/>
      <c r="CU34" s="291"/>
      <c r="CV34" s="291"/>
      <c r="CW34" s="291"/>
      <c r="CX34" s="291"/>
      <c r="CY34" s="291"/>
      <c r="CZ34" s="291"/>
      <c r="DA34" s="291"/>
      <c r="DB34" s="291"/>
      <c r="DC34" s="291"/>
      <c r="DD34" s="291"/>
      <c r="DE34" s="291"/>
      <c r="DF34" s="291"/>
      <c r="DG34" s="291"/>
      <c r="DH34" s="291"/>
      <c r="DI34" s="291"/>
      <c r="DJ34" s="291"/>
      <c r="DK34" s="291"/>
      <c r="DL34" s="291"/>
      <c r="DM34" s="291"/>
      <c r="DN34" s="291"/>
      <c r="DO34" s="291"/>
      <c r="DP34" s="291"/>
      <c r="DQ34" s="291"/>
      <c r="DR34" s="291"/>
      <c r="DS34" s="291"/>
      <c r="DT34" s="291"/>
      <c r="DU34" s="291"/>
      <c r="DV34" s="291"/>
      <c r="DW34" s="291"/>
      <c r="DX34" s="291"/>
      <c r="DY34" s="291"/>
      <c r="DZ34" s="291"/>
      <c r="EA34" s="291"/>
      <c r="EB34" s="291"/>
      <c r="EC34" s="291"/>
      <c r="ED34" s="291"/>
      <c r="EE34" s="291"/>
      <c r="EF34" s="291"/>
      <c r="EG34" s="291"/>
      <c r="EH34" s="291"/>
      <c r="EI34" s="291"/>
      <c r="EJ34" s="291"/>
      <c r="EK34" s="291"/>
      <c r="EL34" s="291"/>
      <c r="EM34" s="291"/>
      <c r="EN34" s="291"/>
      <c r="EO34" s="291"/>
      <c r="EP34" s="291"/>
      <c r="EQ34" s="291"/>
      <c r="ER34" s="291"/>
      <c r="ES34" s="291"/>
      <c r="ET34" s="291"/>
      <c r="EU34" s="291"/>
      <c r="EV34" s="291"/>
      <c r="EW34" s="291"/>
      <c r="EX34" s="291"/>
      <c r="EY34" s="291"/>
      <c r="EZ34" s="291"/>
      <c r="FA34" s="291"/>
      <c r="FB34" s="291"/>
      <c r="FC34" s="291"/>
      <c r="FD34" s="291"/>
      <c r="FE34" s="291"/>
      <c r="FF34" s="291"/>
      <c r="FG34" s="291"/>
      <c r="FH34" s="291"/>
      <c r="FI34" s="291"/>
      <c r="FJ34" s="291"/>
      <c r="FK34" s="291"/>
      <c r="FL34" s="291"/>
      <c r="FM34" s="291"/>
      <c r="FN34" s="291"/>
      <c r="FO34" s="291"/>
      <c r="FP34" s="291"/>
      <c r="FQ34" s="291"/>
      <c r="FR34" s="291"/>
      <c r="FS34" s="291"/>
      <c r="FT34" s="291"/>
      <c r="FU34" s="291"/>
      <c r="FV34" s="291"/>
      <c r="FW34" s="291"/>
      <c r="FX34" s="291"/>
      <c r="FY34" s="291"/>
      <c r="FZ34" s="291"/>
      <c r="GA34" s="291"/>
      <c r="GB34" s="291"/>
      <c r="GC34" s="291"/>
      <c r="GD34" s="291"/>
      <c r="GE34" s="291"/>
      <c r="GF34" s="291"/>
      <c r="GG34" s="291"/>
      <c r="GH34" s="291"/>
      <c r="GI34" s="291"/>
      <c r="GJ34" s="291"/>
      <c r="GK34" s="291"/>
      <c r="GL34" s="291"/>
      <c r="GM34" s="291"/>
      <c r="GN34" s="291"/>
      <c r="GO34" s="291"/>
      <c r="GP34" s="291"/>
      <c r="GQ34" s="291"/>
      <c r="GR34" s="291"/>
      <c r="GS34" s="291"/>
      <c r="GT34" s="291"/>
      <c r="GU34" s="291"/>
      <c r="GV34" s="291"/>
      <c r="GW34" s="291"/>
      <c r="GX34" s="291"/>
      <c r="GY34" s="291"/>
      <c r="GZ34" s="291"/>
      <c r="HA34" s="291"/>
      <c r="HB34" s="291"/>
      <c r="HC34" s="291"/>
      <c r="HD34" s="291"/>
      <c r="HE34" s="291"/>
      <c r="HF34" s="291"/>
      <c r="HG34" s="291"/>
      <c r="HH34" s="291"/>
      <c r="HI34" s="291"/>
      <c r="HJ34" s="291"/>
      <c r="HK34" s="291"/>
      <c r="HL34" s="291"/>
      <c r="HM34" s="291"/>
      <c r="HN34" s="291"/>
      <c r="HO34" s="291"/>
      <c r="HP34" s="291"/>
      <c r="HQ34" s="291"/>
      <c r="HR34" s="291"/>
      <c r="HS34" s="291"/>
      <c r="HT34" s="291"/>
      <c r="HU34" s="291"/>
      <c r="HV34" s="291"/>
      <c r="HW34" s="291"/>
      <c r="HX34" s="291"/>
      <c r="HY34" s="291"/>
      <c r="HZ34" s="291"/>
      <c r="IA34" s="291"/>
      <c r="IB34" s="291"/>
      <c r="IC34" s="291"/>
      <c r="ID34" s="291"/>
      <c r="IE34" s="291"/>
      <c r="IF34" s="291"/>
      <c r="IG34" s="291"/>
      <c r="IH34" s="291"/>
      <c r="II34" s="291"/>
      <c r="IJ34" s="291"/>
      <c r="IK34" s="291"/>
      <c r="IL34" s="291"/>
      <c r="IM34" s="291"/>
      <c r="IN34" s="291"/>
      <c r="IO34" s="291"/>
      <c r="IP34" s="291"/>
      <c r="IQ34" s="291"/>
      <c r="IR34" s="291"/>
      <c r="IS34" s="291"/>
      <c r="IT34" s="291"/>
      <c r="IU34" s="291"/>
      <c r="IV34" s="291"/>
      <c r="IW34" s="291"/>
      <c r="IX34" s="291"/>
      <c r="IY34" s="291"/>
      <c r="IZ34" s="291"/>
      <c r="JA34" s="291"/>
      <c r="JB34" s="291"/>
      <c r="JC34" s="291"/>
      <c r="JD34" s="291"/>
      <c r="JE34" s="291"/>
      <c r="JF34" s="291"/>
      <c r="JG34" s="291"/>
      <c r="JH34" s="291"/>
      <c r="JI34" s="291"/>
      <c r="JJ34" s="291"/>
      <c r="JK34" s="291"/>
      <c r="JL34" s="291"/>
      <c r="JM34" s="291"/>
      <c r="JN34" s="291"/>
      <c r="JO34" s="291"/>
      <c r="JP34" s="291"/>
      <c r="JQ34" s="291"/>
      <c r="JR34" s="291"/>
      <c r="JS34" s="291"/>
      <c r="JT34" s="291"/>
      <c r="JU34" s="291"/>
      <c r="JV34" s="291"/>
      <c r="JW34" s="291"/>
      <c r="JX34" s="291"/>
      <c r="JY34" s="291"/>
      <c r="JZ34" s="291"/>
      <c r="KA34" s="291"/>
      <c r="KB34" s="291"/>
      <c r="KC34" s="291"/>
      <c r="KD34" s="291"/>
      <c r="KE34" s="291"/>
      <c r="KF34" s="291"/>
      <c r="KG34" s="291"/>
      <c r="KH34" s="291"/>
      <c r="KI34" s="291"/>
      <c r="KJ34" s="291"/>
      <c r="KK34" s="291"/>
      <c r="KL34" s="291"/>
      <c r="KM34" s="291"/>
      <c r="KN34" s="291"/>
      <c r="KO34" s="291"/>
      <c r="KP34" s="291"/>
      <c r="KQ34" s="291"/>
      <c r="KR34" s="291"/>
      <c r="KS34" s="291"/>
      <c r="KT34" s="291"/>
      <c r="KU34" s="291"/>
      <c r="KV34" s="291"/>
      <c r="KW34" s="291"/>
      <c r="KX34" s="291"/>
      <c r="KY34" s="291"/>
      <c r="KZ34" s="291"/>
      <c r="LA34" s="291"/>
      <c r="LB34" s="291"/>
      <c r="LC34" s="291"/>
      <c r="LD34" s="291"/>
      <c r="LE34" s="291"/>
      <c r="LF34" s="291"/>
      <c r="LG34" s="291"/>
      <c r="LH34" s="291"/>
      <c r="LI34" s="291"/>
      <c r="LJ34" s="291"/>
      <c r="LK34" s="291"/>
      <c r="LL34" s="291"/>
      <c r="LM34" s="291"/>
      <c r="LN34" s="291"/>
      <c r="LO34" s="291"/>
      <c r="LP34" s="291"/>
      <c r="LQ34" s="291"/>
      <c r="LR34" s="291"/>
      <c r="LS34" s="291"/>
      <c r="LT34" s="291"/>
      <c r="LU34" s="291"/>
      <c r="LV34" s="291"/>
      <c r="LW34" s="291"/>
      <c r="LX34" s="291"/>
      <c r="LY34" s="291"/>
      <c r="LZ34" s="291"/>
      <c r="MA34" s="291"/>
      <c r="MB34" s="291"/>
      <c r="MC34" s="291"/>
      <c r="MD34" s="291"/>
      <c r="ME34" s="291"/>
      <c r="MF34" s="291"/>
      <c r="MG34" s="291"/>
      <c r="MH34" s="291"/>
      <c r="MI34" s="291"/>
      <c r="MJ34" s="291"/>
      <c r="MK34" s="291"/>
      <c r="ML34" s="291"/>
      <c r="MM34" s="291"/>
      <c r="MN34" s="291"/>
      <c r="MO34" s="291"/>
      <c r="MP34" s="291"/>
      <c r="MQ34" s="291"/>
      <c r="MR34" s="291"/>
      <c r="MS34" s="291"/>
      <c r="MT34" s="291"/>
      <c r="MU34" s="291"/>
      <c r="MV34" s="291"/>
      <c r="MW34" s="291"/>
      <c r="MX34" s="291"/>
      <c r="MY34" s="291"/>
      <c r="MZ34" s="291"/>
      <c r="NA34" s="291"/>
      <c r="NB34" s="291"/>
      <c r="NC34" s="291"/>
      <c r="ND34" s="291"/>
      <c r="NE34" s="291"/>
      <c r="NF34" s="291"/>
      <c r="NG34" s="291"/>
      <c r="NH34" s="291"/>
      <c r="NI34" s="291"/>
      <c r="NJ34" s="291"/>
      <c r="NK34" s="291"/>
      <c r="NL34" s="291"/>
      <c r="NM34" s="291"/>
      <c r="NN34" s="291"/>
      <c r="NO34" s="291"/>
      <c r="NP34" s="291"/>
      <c r="NQ34" s="291"/>
      <c r="NR34" s="291"/>
      <c r="NS34" s="291"/>
      <c r="NT34" s="291"/>
      <c r="NU34" s="291"/>
      <c r="NV34" s="291"/>
      <c r="NW34" s="291"/>
      <c r="NX34" s="291"/>
      <c r="NY34" s="291"/>
      <c r="NZ34" s="291"/>
      <c r="OA34" s="291"/>
      <c r="OB34" s="291"/>
      <c r="OC34" s="291"/>
      <c r="OD34" s="291"/>
      <c r="OE34" s="291"/>
      <c r="OF34" s="291"/>
      <c r="OG34" s="291"/>
      <c r="OH34" s="291"/>
      <c r="OI34" s="291"/>
      <c r="OJ34" s="291"/>
      <c r="OK34" s="291"/>
      <c r="OL34" s="291"/>
      <c r="OM34" s="291"/>
      <c r="ON34" s="291"/>
      <c r="OO34" s="291"/>
      <c r="OP34" s="291"/>
      <c r="OQ34" s="291"/>
      <c r="OR34" s="291"/>
      <c r="OS34" s="291"/>
      <c r="OT34" s="291"/>
      <c r="OU34" s="291"/>
      <c r="OV34" s="291"/>
      <c r="OW34" s="291"/>
    </row>
    <row r="35" spans="1:413" s="257" customFormat="1" hidden="1" x14ac:dyDescent="0.2">
      <c r="A35" s="291"/>
      <c r="B35" s="524">
        <f t="shared" si="3"/>
        <v>20</v>
      </c>
      <c r="C35" s="510" t="s">
        <v>38</v>
      </c>
      <c r="D35" s="511">
        <v>30057859</v>
      </c>
      <c r="E35" s="511"/>
      <c r="F35" s="512" t="s">
        <v>1135</v>
      </c>
      <c r="G35" s="513" t="s">
        <v>46</v>
      </c>
      <c r="H35" s="514" t="s">
        <v>1094</v>
      </c>
      <c r="I35" s="515" t="s">
        <v>1107</v>
      </c>
      <c r="J35" s="346" t="s">
        <v>42</v>
      </c>
      <c r="K35" s="526">
        <v>36106</v>
      </c>
      <c r="L35" s="527">
        <v>12820</v>
      </c>
      <c r="M35" s="528">
        <v>1</v>
      </c>
      <c r="N35" s="520">
        <v>0</v>
      </c>
      <c r="O35" s="520">
        <v>0</v>
      </c>
      <c r="P35" s="520">
        <v>0</v>
      </c>
      <c r="Q35" s="520">
        <v>0</v>
      </c>
      <c r="R35" s="520">
        <v>7164</v>
      </c>
      <c r="S35" s="520">
        <v>0</v>
      </c>
      <c r="T35" s="18"/>
      <c r="U35" s="18"/>
      <c r="V35" s="18"/>
      <c r="W35" s="18"/>
      <c r="X35" s="18"/>
      <c r="Y35" s="18"/>
      <c r="Z35" s="18">
        <f t="shared" si="0"/>
        <v>7164</v>
      </c>
      <c r="AA35" s="309">
        <v>23285</v>
      </c>
      <c r="AB35" s="19">
        <v>5</v>
      </c>
      <c r="AC35" s="521">
        <v>44224</v>
      </c>
      <c r="AD35" s="25">
        <v>44251</v>
      </c>
      <c r="AE35" s="309">
        <v>-8059</v>
      </c>
      <c r="AF35" s="20">
        <v>50</v>
      </c>
      <c r="AG35" s="23">
        <v>44356</v>
      </c>
      <c r="AH35" s="25">
        <v>44377</v>
      </c>
      <c r="AI35" s="309"/>
      <c r="AJ35" s="19"/>
      <c r="AK35" s="23"/>
      <c r="AL35" s="25"/>
      <c r="AM35" s="309"/>
      <c r="AN35" s="19"/>
      <c r="AO35" s="21"/>
      <c r="AP35" s="25"/>
      <c r="AQ35" s="309"/>
      <c r="AR35" s="19"/>
      <c r="AS35" s="21"/>
      <c r="AT35" s="25"/>
      <c r="AU35" s="522">
        <f t="shared" si="1"/>
        <v>15226</v>
      </c>
      <c r="AV35" s="311">
        <f t="shared" si="2"/>
        <v>8062</v>
      </c>
      <c r="AW35" s="305"/>
      <c r="AX35" s="291"/>
      <c r="AY35" s="291"/>
      <c r="AZ35" s="291"/>
      <c r="BA35" s="291"/>
      <c r="BB35" s="291"/>
      <c r="BC35" s="291"/>
      <c r="BD35" s="291"/>
      <c r="BE35" s="291"/>
      <c r="BF35" s="291"/>
      <c r="BG35" s="291"/>
      <c r="BH35" s="291"/>
      <c r="BI35" s="291"/>
      <c r="BJ35" s="291"/>
      <c r="BK35" s="291"/>
      <c r="BL35" s="291"/>
      <c r="BM35" s="291"/>
      <c r="BN35" s="291"/>
      <c r="BO35" s="291"/>
      <c r="BP35" s="291"/>
      <c r="BQ35" s="291"/>
      <c r="BR35" s="291"/>
      <c r="BS35" s="291"/>
      <c r="BT35" s="291"/>
      <c r="BU35" s="291"/>
      <c r="BV35" s="291"/>
      <c r="BW35" s="291"/>
      <c r="BX35" s="291"/>
      <c r="BY35" s="291"/>
      <c r="BZ35" s="291"/>
      <c r="CA35" s="291"/>
      <c r="CB35" s="291"/>
      <c r="CC35" s="291"/>
      <c r="CD35" s="291"/>
      <c r="CE35" s="291"/>
      <c r="CF35" s="291"/>
      <c r="CG35" s="291"/>
      <c r="CH35" s="291"/>
      <c r="CI35" s="291"/>
      <c r="CJ35" s="291"/>
      <c r="CK35" s="291"/>
      <c r="CL35" s="291"/>
      <c r="CM35" s="291"/>
      <c r="CN35" s="291"/>
      <c r="CO35" s="291"/>
      <c r="CP35" s="291"/>
      <c r="CQ35" s="291"/>
      <c r="CR35" s="291"/>
      <c r="CS35" s="291"/>
      <c r="CT35" s="291"/>
      <c r="CU35" s="291"/>
      <c r="CV35" s="291"/>
      <c r="CW35" s="291"/>
      <c r="CX35" s="291"/>
      <c r="CY35" s="291"/>
      <c r="CZ35" s="291"/>
      <c r="DA35" s="291"/>
      <c r="DB35" s="291"/>
      <c r="DC35" s="291"/>
      <c r="DD35" s="291"/>
      <c r="DE35" s="291"/>
      <c r="DF35" s="291"/>
      <c r="DG35" s="291"/>
      <c r="DH35" s="291"/>
      <c r="DI35" s="291"/>
      <c r="DJ35" s="291"/>
      <c r="DK35" s="291"/>
      <c r="DL35" s="291"/>
      <c r="DM35" s="291"/>
      <c r="DN35" s="291"/>
      <c r="DO35" s="291"/>
      <c r="DP35" s="291"/>
      <c r="DQ35" s="291"/>
      <c r="DR35" s="291"/>
      <c r="DS35" s="291"/>
      <c r="DT35" s="291"/>
      <c r="DU35" s="291"/>
      <c r="DV35" s="291"/>
      <c r="DW35" s="291"/>
      <c r="DX35" s="291"/>
      <c r="DY35" s="291"/>
      <c r="DZ35" s="291"/>
      <c r="EA35" s="291"/>
      <c r="EB35" s="291"/>
      <c r="EC35" s="291"/>
      <c r="ED35" s="291"/>
      <c r="EE35" s="291"/>
      <c r="EF35" s="291"/>
      <c r="EG35" s="291"/>
      <c r="EH35" s="291"/>
      <c r="EI35" s="291"/>
      <c r="EJ35" s="291"/>
      <c r="EK35" s="291"/>
      <c r="EL35" s="291"/>
      <c r="EM35" s="291"/>
      <c r="EN35" s="291"/>
      <c r="EO35" s="291"/>
      <c r="EP35" s="291"/>
      <c r="EQ35" s="291"/>
      <c r="ER35" s="291"/>
      <c r="ES35" s="291"/>
      <c r="ET35" s="291"/>
      <c r="EU35" s="291"/>
      <c r="EV35" s="291"/>
      <c r="EW35" s="291"/>
      <c r="EX35" s="291"/>
      <c r="EY35" s="291"/>
      <c r="EZ35" s="291"/>
      <c r="FA35" s="291"/>
      <c r="FB35" s="291"/>
      <c r="FC35" s="291"/>
      <c r="FD35" s="291"/>
      <c r="FE35" s="291"/>
      <c r="FF35" s="291"/>
      <c r="FG35" s="291"/>
      <c r="FH35" s="291"/>
      <c r="FI35" s="291"/>
      <c r="FJ35" s="291"/>
      <c r="FK35" s="291"/>
      <c r="FL35" s="291"/>
      <c r="FM35" s="291"/>
      <c r="FN35" s="291"/>
      <c r="FO35" s="291"/>
      <c r="FP35" s="291"/>
      <c r="FQ35" s="291"/>
      <c r="FR35" s="291"/>
      <c r="FS35" s="291"/>
      <c r="FT35" s="291"/>
      <c r="FU35" s="291"/>
      <c r="FV35" s="291"/>
      <c r="FW35" s="291"/>
      <c r="FX35" s="291"/>
      <c r="FY35" s="291"/>
      <c r="FZ35" s="291"/>
      <c r="GA35" s="291"/>
      <c r="GB35" s="291"/>
      <c r="GC35" s="291"/>
      <c r="GD35" s="291"/>
      <c r="GE35" s="291"/>
      <c r="GF35" s="291"/>
      <c r="GG35" s="291"/>
      <c r="GH35" s="291"/>
      <c r="GI35" s="291"/>
      <c r="GJ35" s="291"/>
      <c r="GK35" s="291"/>
      <c r="GL35" s="291"/>
      <c r="GM35" s="291"/>
      <c r="GN35" s="291"/>
      <c r="GO35" s="291"/>
      <c r="GP35" s="291"/>
      <c r="GQ35" s="291"/>
      <c r="GR35" s="291"/>
      <c r="GS35" s="291"/>
      <c r="GT35" s="291"/>
      <c r="GU35" s="291"/>
      <c r="GV35" s="291"/>
      <c r="GW35" s="291"/>
      <c r="GX35" s="291"/>
      <c r="GY35" s="291"/>
      <c r="GZ35" s="291"/>
      <c r="HA35" s="291"/>
      <c r="HB35" s="291"/>
      <c r="HC35" s="291"/>
      <c r="HD35" s="291"/>
      <c r="HE35" s="291"/>
      <c r="HF35" s="291"/>
      <c r="HG35" s="291"/>
      <c r="HH35" s="291"/>
      <c r="HI35" s="291"/>
      <c r="HJ35" s="291"/>
      <c r="HK35" s="291"/>
      <c r="HL35" s="291"/>
      <c r="HM35" s="291"/>
      <c r="HN35" s="291"/>
      <c r="HO35" s="291"/>
      <c r="HP35" s="291"/>
      <c r="HQ35" s="291"/>
      <c r="HR35" s="291"/>
      <c r="HS35" s="291"/>
      <c r="HT35" s="291"/>
      <c r="HU35" s="291"/>
      <c r="HV35" s="291"/>
      <c r="HW35" s="291"/>
      <c r="HX35" s="291"/>
      <c r="HY35" s="291"/>
      <c r="HZ35" s="291"/>
      <c r="IA35" s="291"/>
      <c r="IB35" s="291"/>
      <c r="IC35" s="291"/>
      <c r="ID35" s="291"/>
      <c r="IE35" s="291"/>
      <c r="IF35" s="291"/>
      <c r="IG35" s="291"/>
      <c r="IH35" s="291"/>
      <c r="II35" s="291"/>
      <c r="IJ35" s="291"/>
      <c r="IK35" s="291"/>
      <c r="IL35" s="291"/>
      <c r="IM35" s="291"/>
      <c r="IN35" s="291"/>
      <c r="IO35" s="291"/>
      <c r="IP35" s="291"/>
      <c r="IQ35" s="291"/>
      <c r="IR35" s="291"/>
      <c r="IS35" s="291"/>
      <c r="IT35" s="291"/>
      <c r="IU35" s="291"/>
      <c r="IV35" s="291"/>
      <c r="IW35" s="291"/>
      <c r="IX35" s="291"/>
      <c r="IY35" s="291"/>
      <c r="IZ35" s="291"/>
      <c r="JA35" s="291"/>
      <c r="JB35" s="291"/>
      <c r="JC35" s="291"/>
      <c r="JD35" s="291"/>
      <c r="JE35" s="291"/>
      <c r="JF35" s="291"/>
      <c r="JG35" s="291"/>
      <c r="JH35" s="291"/>
      <c r="JI35" s="291"/>
      <c r="JJ35" s="291"/>
      <c r="JK35" s="291"/>
      <c r="JL35" s="291"/>
      <c r="JM35" s="291"/>
      <c r="JN35" s="291"/>
      <c r="JO35" s="291"/>
      <c r="JP35" s="291"/>
      <c r="JQ35" s="291"/>
      <c r="JR35" s="291"/>
      <c r="JS35" s="291"/>
      <c r="JT35" s="291"/>
      <c r="JU35" s="291"/>
      <c r="JV35" s="291"/>
      <c r="JW35" s="291"/>
      <c r="JX35" s="291"/>
      <c r="JY35" s="291"/>
      <c r="JZ35" s="291"/>
      <c r="KA35" s="291"/>
      <c r="KB35" s="291"/>
      <c r="KC35" s="291"/>
      <c r="KD35" s="291"/>
      <c r="KE35" s="291"/>
      <c r="KF35" s="291"/>
      <c r="KG35" s="291"/>
      <c r="KH35" s="291"/>
      <c r="KI35" s="291"/>
      <c r="KJ35" s="291"/>
      <c r="KK35" s="291"/>
      <c r="KL35" s="291"/>
      <c r="KM35" s="291"/>
      <c r="KN35" s="291"/>
      <c r="KO35" s="291"/>
      <c r="KP35" s="291"/>
      <c r="KQ35" s="291"/>
      <c r="KR35" s="291"/>
      <c r="KS35" s="291"/>
      <c r="KT35" s="291"/>
      <c r="KU35" s="291"/>
      <c r="KV35" s="291"/>
      <c r="KW35" s="291"/>
      <c r="KX35" s="291"/>
      <c r="KY35" s="291"/>
      <c r="KZ35" s="291"/>
      <c r="LA35" s="291"/>
      <c r="LB35" s="291"/>
      <c r="LC35" s="291"/>
      <c r="LD35" s="291"/>
      <c r="LE35" s="291"/>
      <c r="LF35" s="291"/>
      <c r="LG35" s="291"/>
      <c r="LH35" s="291"/>
      <c r="LI35" s="291"/>
      <c r="LJ35" s="291"/>
      <c r="LK35" s="291"/>
      <c r="LL35" s="291"/>
      <c r="LM35" s="291"/>
      <c r="LN35" s="291"/>
      <c r="LO35" s="291"/>
      <c r="LP35" s="291"/>
      <c r="LQ35" s="291"/>
      <c r="LR35" s="291"/>
      <c r="LS35" s="291"/>
      <c r="LT35" s="291"/>
      <c r="LU35" s="291"/>
      <c r="LV35" s="291"/>
      <c r="LW35" s="291"/>
      <c r="LX35" s="291"/>
      <c r="LY35" s="291"/>
      <c r="LZ35" s="291"/>
      <c r="MA35" s="291"/>
      <c r="MB35" s="291"/>
      <c r="MC35" s="291"/>
      <c r="MD35" s="291"/>
      <c r="ME35" s="291"/>
      <c r="MF35" s="291"/>
      <c r="MG35" s="291"/>
      <c r="MH35" s="291"/>
      <c r="MI35" s="291"/>
      <c r="MJ35" s="291"/>
      <c r="MK35" s="291"/>
      <c r="ML35" s="291"/>
      <c r="MM35" s="291"/>
      <c r="MN35" s="291"/>
      <c r="MO35" s="291"/>
      <c r="MP35" s="291"/>
      <c r="MQ35" s="291"/>
      <c r="MR35" s="291"/>
      <c r="MS35" s="291"/>
      <c r="MT35" s="291"/>
      <c r="MU35" s="291"/>
      <c r="MV35" s="291"/>
      <c r="MW35" s="291"/>
      <c r="MX35" s="291"/>
      <c r="MY35" s="291"/>
      <c r="MZ35" s="291"/>
      <c r="NA35" s="291"/>
      <c r="NB35" s="291"/>
      <c r="NC35" s="291"/>
      <c r="ND35" s="291"/>
      <c r="NE35" s="291"/>
      <c r="NF35" s="291"/>
      <c r="NG35" s="291"/>
      <c r="NH35" s="291"/>
      <c r="NI35" s="291"/>
      <c r="NJ35" s="291"/>
      <c r="NK35" s="291"/>
      <c r="NL35" s="291"/>
      <c r="NM35" s="291"/>
      <c r="NN35" s="291"/>
      <c r="NO35" s="291"/>
      <c r="NP35" s="291"/>
      <c r="NQ35" s="291"/>
      <c r="NR35" s="291"/>
      <c r="NS35" s="291"/>
      <c r="NT35" s="291"/>
      <c r="NU35" s="291"/>
      <c r="NV35" s="291"/>
      <c r="NW35" s="291"/>
      <c r="NX35" s="291"/>
      <c r="NY35" s="291"/>
      <c r="NZ35" s="291"/>
      <c r="OA35" s="291"/>
      <c r="OB35" s="291"/>
      <c r="OC35" s="291"/>
      <c r="OD35" s="291"/>
      <c r="OE35" s="291"/>
      <c r="OF35" s="291"/>
      <c r="OG35" s="291"/>
      <c r="OH35" s="291"/>
      <c r="OI35" s="291"/>
      <c r="OJ35" s="291"/>
      <c r="OK35" s="291"/>
      <c r="OL35" s="291"/>
      <c r="OM35" s="291"/>
      <c r="ON35" s="291"/>
      <c r="OO35" s="291"/>
      <c r="OP35" s="291"/>
      <c r="OQ35" s="291"/>
      <c r="OR35" s="291"/>
      <c r="OS35" s="291"/>
      <c r="OT35" s="291"/>
      <c r="OU35" s="291"/>
      <c r="OV35" s="291"/>
      <c r="OW35" s="291"/>
    </row>
    <row r="36" spans="1:413" s="257" customFormat="1" hidden="1" x14ac:dyDescent="0.2">
      <c r="A36" s="291"/>
      <c r="B36" s="524">
        <f t="shared" si="3"/>
        <v>21</v>
      </c>
      <c r="C36" s="510" t="s">
        <v>38</v>
      </c>
      <c r="D36" s="511">
        <v>30057931</v>
      </c>
      <c r="E36" s="511"/>
      <c r="F36" s="512" t="s">
        <v>1136</v>
      </c>
      <c r="G36" s="513" t="s">
        <v>45</v>
      </c>
      <c r="H36" s="514" t="s">
        <v>1094</v>
      </c>
      <c r="I36" s="515" t="s">
        <v>1107</v>
      </c>
      <c r="J36" s="346" t="s">
        <v>42</v>
      </c>
      <c r="K36" s="526">
        <v>1995500</v>
      </c>
      <c r="L36" s="527">
        <v>1930799</v>
      </c>
      <c r="M36" s="528">
        <v>0</v>
      </c>
      <c r="N36" s="519">
        <v>0</v>
      </c>
      <c r="O36" s="519">
        <v>59186</v>
      </c>
      <c r="P36" s="519">
        <v>5512</v>
      </c>
      <c r="Q36" s="519">
        <v>0</v>
      </c>
      <c r="R36" s="519">
        <v>0</v>
      </c>
      <c r="S36" s="520">
        <v>20567</v>
      </c>
      <c r="T36" s="18"/>
      <c r="U36" s="18"/>
      <c r="V36" s="18"/>
      <c r="W36" s="18"/>
      <c r="X36" s="18"/>
      <c r="Y36" s="18"/>
      <c r="Z36" s="18">
        <f t="shared" si="0"/>
        <v>85265</v>
      </c>
      <c r="AA36" s="309">
        <v>64699</v>
      </c>
      <c r="AB36" s="19">
        <v>5</v>
      </c>
      <c r="AC36" s="521">
        <v>44224</v>
      </c>
      <c r="AD36" s="25">
        <v>44251</v>
      </c>
      <c r="AE36" s="309">
        <v>231572</v>
      </c>
      <c r="AF36" s="20">
        <v>22</v>
      </c>
      <c r="AG36" s="23">
        <v>44301</v>
      </c>
      <c r="AH36" s="25">
        <v>44313</v>
      </c>
      <c r="AI36" s="309"/>
      <c r="AJ36" s="19"/>
      <c r="AK36" s="23"/>
      <c r="AL36" s="25"/>
      <c r="AM36" s="309"/>
      <c r="AN36" s="19"/>
      <c r="AO36" s="21"/>
      <c r="AP36" s="25"/>
      <c r="AQ36" s="309"/>
      <c r="AR36" s="19"/>
      <c r="AS36" s="21"/>
      <c r="AT36" s="25"/>
      <c r="AU36" s="522">
        <f t="shared" si="1"/>
        <v>296271</v>
      </c>
      <c r="AV36" s="311">
        <f t="shared" si="2"/>
        <v>211006</v>
      </c>
      <c r="AW36" s="305"/>
      <c r="AX36" s="291"/>
      <c r="AY36" s="291"/>
      <c r="AZ36" s="291"/>
      <c r="BA36" s="291"/>
      <c r="BB36" s="291"/>
      <c r="BC36" s="291"/>
      <c r="BD36" s="291"/>
      <c r="BE36" s="291"/>
      <c r="BF36" s="291"/>
      <c r="BG36" s="291"/>
      <c r="BH36" s="291"/>
      <c r="BI36" s="291"/>
      <c r="BJ36" s="291"/>
      <c r="BK36" s="291"/>
      <c r="BL36" s="291"/>
      <c r="BM36" s="291"/>
      <c r="BN36" s="291"/>
      <c r="BO36" s="291"/>
      <c r="BP36" s="291"/>
      <c r="BQ36" s="291"/>
      <c r="BR36" s="291"/>
      <c r="BS36" s="291"/>
      <c r="BT36" s="291"/>
      <c r="BU36" s="291"/>
      <c r="BV36" s="291"/>
      <c r="BW36" s="291"/>
      <c r="BX36" s="291"/>
      <c r="BY36" s="291"/>
      <c r="BZ36" s="291"/>
      <c r="CA36" s="291"/>
      <c r="CB36" s="291"/>
      <c r="CC36" s="291"/>
      <c r="CD36" s="291"/>
      <c r="CE36" s="291"/>
      <c r="CF36" s="291"/>
      <c r="CG36" s="291"/>
      <c r="CH36" s="291"/>
      <c r="CI36" s="291"/>
      <c r="CJ36" s="291"/>
      <c r="CK36" s="291"/>
      <c r="CL36" s="291"/>
      <c r="CM36" s="291"/>
      <c r="CN36" s="291"/>
      <c r="CO36" s="291"/>
      <c r="CP36" s="291"/>
      <c r="CQ36" s="291"/>
      <c r="CR36" s="291"/>
      <c r="CS36" s="291"/>
      <c r="CT36" s="291"/>
      <c r="CU36" s="291"/>
      <c r="CV36" s="291"/>
      <c r="CW36" s="291"/>
      <c r="CX36" s="291"/>
      <c r="CY36" s="291"/>
      <c r="CZ36" s="291"/>
      <c r="DA36" s="291"/>
      <c r="DB36" s="291"/>
      <c r="DC36" s="291"/>
      <c r="DD36" s="291"/>
      <c r="DE36" s="291"/>
      <c r="DF36" s="291"/>
      <c r="DG36" s="291"/>
      <c r="DH36" s="291"/>
      <c r="DI36" s="291"/>
      <c r="DJ36" s="291"/>
      <c r="DK36" s="291"/>
      <c r="DL36" s="291"/>
      <c r="DM36" s="291"/>
      <c r="DN36" s="291"/>
      <c r="DO36" s="291"/>
      <c r="DP36" s="291"/>
      <c r="DQ36" s="291"/>
      <c r="DR36" s="291"/>
      <c r="DS36" s="291"/>
      <c r="DT36" s="291"/>
      <c r="DU36" s="291"/>
      <c r="DV36" s="291"/>
      <c r="DW36" s="291"/>
      <c r="DX36" s="291"/>
      <c r="DY36" s="291"/>
      <c r="DZ36" s="291"/>
      <c r="EA36" s="291"/>
      <c r="EB36" s="291"/>
      <c r="EC36" s="291"/>
      <c r="ED36" s="291"/>
      <c r="EE36" s="291"/>
      <c r="EF36" s="291"/>
      <c r="EG36" s="291"/>
      <c r="EH36" s="291"/>
      <c r="EI36" s="291"/>
      <c r="EJ36" s="291"/>
      <c r="EK36" s="291"/>
      <c r="EL36" s="291"/>
      <c r="EM36" s="291"/>
      <c r="EN36" s="291"/>
      <c r="EO36" s="291"/>
      <c r="EP36" s="291"/>
      <c r="EQ36" s="291"/>
      <c r="ER36" s="291"/>
      <c r="ES36" s="291"/>
      <c r="ET36" s="291"/>
      <c r="EU36" s="291"/>
      <c r="EV36" s="291"/>
      <c r="EW36" s="291"/>
      <c r="EX36" s="291"/>
      <c r="EY36" s="291"/>
      <c r="EZ36" s="291"/>
      <c r="FA36" s="291"/>
      <c r="FB36" s="291"/>
      <c r="FC36" s="291"/>
      <c r="FD36" s="291"/>
      <c r="FE36" s="291"/>
      <c r="FF36" s="291"/>
      <c r="FG36" s="291"/>
      <c r="FH36" s="291"/>
      <c r="FI36" s="291"/>
      <c r="FJ36" s="291"/>
      <c r="FK36" s="291"/>
      <c r="FL36" s="291"/>
      <c r="FM36" s="291"/>
      <c r="FN36" s="291"/>
      <c r="FO36" s="291"/>
      <c r="FP36" s="291"/>
      <c r="FQ36" s="291"/>
      <c r="FR36" s="291"/>
      <c r="FS36" s="291"/>
      <c r="FT36" s="291"/>
      <c r="FU36" s="291"/>
      <c r="FV36" s="291"/>
      <c r="FW36" s="291"/>
      <c r="FX36" s="291"/>
      <c r="FY36" s="291"/>
      <c r="FZ36" s="291"/>
      <c r="GA36" s="291"/>
      <c r="GB36" s="291"/>
      <c r="GC36" s="291"/>
      <c r="GD36" s="291"/>
      <c r="GE36" s="291"/>
      <c r="GF36" s="291"/>
      <c r="GG36" s="291"/>
      <c r="GH36" s="291"/>
      <c r="GI36" s="291"/>
      <c r="GJ36" s="291"/>
      <c r="GK36" s="291"/>
      <c r="GL36" s="291"/>
      <c r="GM36" s="291"/>
      <c r="GN36" s="291"/>
      <c r="GO36" s="291"/>
      <c r="GP36" s="291"/>
      <c r="GQ36" s="291"/>
      <c r="GR36" s="291"/>
      <c r="GS36" s="291"/>
      <c r="GT36" s="291"/>
      <c r="GU36" s="291"/>
      <c r="GV36" s="291"/>
      <c r="GW36" s="291"/>
      <c r="GX36" s="291"/>
      <c r="GY36" s="291"/>
      <c r="GZ36" s="291"/>
      <c r="HA36" s="291"/>
      <c r="HB36" s="291"/>
      <c r="HC36" s="291"/>
      <c r="HD36" s="291"/>
      <c r="HE36" s="291"/>
      <c r="HF36" s="291"/>
      <c r="HG36" s="291"/>
      <c r="HH36" s="291"/>
      <c r="HI36" s="291"/>
      <c r="HJ36" s="291"/>
      <c r="HK36" s="291"/>
      <c r="HL36" s="291"/>
      <c r="HM36" s="291"/>
      <c r="HN36" s="291"/>
      <c r="HO36" s="291"/>
      <c r="HP36" s="291"/>
      <c r="HQ36" s="291"/>
      <c r="HR36" s="291"/>
      <c r="HS36" s="291"/>
      <c r="HT36" s="291"/>
      <c r="HU36" s="291"/>
      <c r="HV36" s="291"/>
      <c r="HW36" s="291"/>
      <c r="HX36" s="291"/>
      <c r="HY36" s="291"/>
      <c r="HZ36" s="291"/>
      <c r="IA36" s="291"/>
      <c r="IB36" s="291"/>
      <c r="IC36" s="291"/>
      <c r="ID36" s="291"/>
      <c r="IE36" s="291"/>
      <c r="IF36" s="291"/>
      <c r="IG36" s="291"/>
      <c r="IH36" s="291"/>
      <c r="II36" s="291"/>
      <c r="IJ36" s="291"/>
      <c r="IK36" s="291"/>
      <c r="IL36" s="291"/>
      <c r="IM36" s="291"/>
      <c r="IN36" s="291"/>
      <c r="IO36" s="291"/>
      <c r="IP36" s="291"/>
      <c r="IQ36" s="291"/>
      <c r="IR36" s="291"/>
      <c r="IS36" s="291"/>
      <c r="IT36" s="291"/>
      <c r="IU36" s="291"/>
      <c r="IV36" s="291"/>
      <c r="IW36" s="291"/>
      <c r="IX36" s="291"/>
      <c r="IY36" s="291"/>
      <c r="IZ36" s="291"/>
      <c r="JA36" s="291"/>
      <c r="JB36" s="291"/>
      <c r="JC36" s="291"/>
      <c r="JD36" s="291"/>
      <c r="JE36" s="291"/>
      <c r="JF36" s="291"/>
      <c r="JG36" s="291"/>
      <c r="JH36" s="291"/>
      <c r="JI36" s="291"/>
      <c r="JJ36" s="291"/>
      <c r="JK36" s="291"/>
      <c r="JL36" s="291"/>
      <c r="JM36" s="291"/>
      <c r="JN36" s="291"/>
      <c r="JO36" s="291"/>
      <c r="JP36" s="291"/>
      <c r="JQ36" s="291"/>
      <c r="JR36" s="291"/>
      <c r="JS36" s="291"/>
      <c r="JT36" s="291"/>
      <c r="JU36" s="291"/>
      <c r="JV36" s="291"/>
      <c r="JW36" s="291"/>
      <c r="JX36" s="291"/>
      <c r="JY36" s="291"/>
      <c r="JZ36" s="291"/>
      <c r="KA36" s="291"/>
      <c r="KB36" s="291"/>
      <c r="KC36" s="291"/>
      <c r="KD36" s="291"/>
      <c r="KE36" s="291"/>
      <c r="KF36" s="291"/>
      <c r="KG36" s="291"/>
      <c r="KH36" s="291"/>
      <c r="KI36" s="291"/>
      <c r="KJ36" s="291"/>
      <c r="KK36" s="291"/>
      <c r="KL36" s="291"/>
      <c r="KM36" s="291"/>
      <c r="KN36" s="291"/>
      <c r="KO36" s="291"/>
      <c r="KP36" s="291"/>
      <c r="KQ36" s="291"/>
      <c r="KR36" s="291"/>
      <c r="KS36" s="291"/>
      <c r="KT36" s="291"/>
      <c r="KU36" s="291"/>
      <c r="KV36" s="291"/>
      <c r="KW36" s="291"/>
      <c r="KX36" s="291"/>
      <c r="KY36" s="291"/>
      <c r="KZ36" s="291"/>
      <c r="LA36" s="291"/>
      <c r="LB36" s="291"/>
      <c r="LC36" s="291"/>
      <c r="LD36" s="291"/>
      <c r="LE36" s="291"/>
      <c r="LF36" s="291"/>
      <c r="LG36" s="291"/>
      <c r="LH36" s="291"/>
      <c r="LI36" s="291"/>
      <c r="LJ36" s="291"/>
      <c r="LK36" s="291"/>
      <c r="LL36" s="291"/>
      <c r="LM36" s="291"/>
      <c r="LN36" s="291"/>
      <c r="LO36" s="291"/>
      <c r="LP36" s="291"/>
      <c r="LQ36" s="291"/>
      <c r="LR36" s="291"/>
      <c r="LS36" s="291"/>
      <c r="LT36" s="291"/>
      <c r="LU36" s="291"/>
      <c r="LV36" s="291"/>
      <c r="LW36" s="291"/>
      <c r="LX36" s="291"/>
      <c r="LY36" s="291"/>
      <c r="LZ36" s="291"/>
      <c r="MA36" s="291"/>
      <c r="MB36" s="291"/>
      <c r="MC36" s="291"/>
      <c r="MD36" s="291"/>
      <c r="ME36" s="291"/>
      <c r="MF36" s="291"/>
      <c r="MG36" s="291"/>
      <c r="MH36" s="291"/>
      <c r="MI36" s="291"/>
      <c r="MJ36" s="291"/>
      <c r="MK36" s="291"/>
      <c r="ML36" s="291"/>
      <c r="MM36" s="291"/>
      <c r="MN36" s="291"/>
      <c r="MO36" s="291"/>
      <c r="MP36" s="291"/>
      <c r="MQ36" s="291"/>
      <c r="MR36" s="291"/>
      <c r="MS36" s="291"/>
      <c r="MT36" s="291"/>
      <c r="MU36" s="291"/>
      <c r="MV36" s="291"/>
      <c r="MW36" s="291"/>
      <c r="MX36" s="291"/>
      <c r="MY36" s="291"/>
      <c r="MZ36" s="291"/>
      <c r="NA36" s="291"/>
      <c r="NB36" s="291"/>
      <c r="NC36" s="291"/>
      <c r="ND36" s="291"/>
      <c r="NE36" s="291"/>
      <c r="NF36" s="291"/>
      <c r="NG36" s="291"/>
      <c r="NH36" s="291"/>
      <c r="NI36" s="291"/>
      <c r="NJ36" s="291"/>
      <c r="NK36" s="291"/>
      <c r="NL36" s="291"/>
      <c r="NM36" s="291"/>
      <c r="NN36" s="291"/>
      <c r="NO36" s="291"/>
      <c r="NP36" s="291"/>
      <c r="NQ36" s="291"/>
      <c r="NR36" s="291"/>
      <c r="NS36" s="291"/>
      <c r="NT36" s="291"/>
      <c r="NU36" s="291"/>
      <c r="NV36" s="291"/>
      <c r="NW36" s="291"/>
      <c r="NX36" s="291"/>
      <c r="NY36" s="291"/>
      <c r="NZ36" s="291"/>
      <c r="OA36" s="291"/>
      <c r="OB36" s="291"/>
      <c r="OC36" s="291"/>
      <c r="OD36" s="291"/>
      <c r="OE36" s="291"/>
      <c r="OF36" s="291"/>
      <c r="OG36" s="291"/>
      <c r="OH36" s="291"/>
      <c r="OI36" s="291"/>
      <c r="OJ36" s="291"/>
      <c r="OK36" s="291"/>
      <c r="OL36" s="291"/>
      <c r="OM36" s="291"/>
      <c r="ON36" s="291"/>
      <c r="OO36" s="291"/>
      <c r="OP36" s="291"/>
      <c r="OQ36" s="291"/>
      <c r="OR36" s="291"/>
      <c r="OS36" s="291"/>
      <c r="OT36" s="291"/>
      <c r="OU36" s="291"/>
      <c r="OV36" s="291"/>
      <c r="OW36" s="291"/>
    </row>
    <row r="37" spans="1:413" s="257" customFormat="1" hidden="1" x14ac:dyDescent="0.2">
      <c r="A37" s="291"/>
      <c r="B37" s="524">
        <f t="shared" si="3"/>
        <v>22</v>
      </c>
      <c r="C37" s="510" t="s">
        <v>38</v>
      </c>
      <c r="D37" s="511">
        <v>30064328</v>
      </c>
      <c r="E37" s="511"/>
      <c r="F37" s="512" t="s">
        <v>1137</v>
      </c>
      <c r="G37" s="513" t="s">
        <v>45</v>
      </c>
      <c r="H37" s="514" t="s">
        <v>1094</v>
      </c>
      <c r="I37" s="515" t="s">
        <v>1138</v>
      </c>
      <c r="J37" s="346" t="s">
        <v>42</v>
      </c>
      <c r="K37" s="526">
        <v>1881581</v>
      </c>
      <c r="L37" s="527">
        <v>1718618</v>
      </c>
      <c r="M37" s="528">
        <v>0</v>
      </c>
      <c r="N37" s="519">
        <v>0</v>
      </c>
      <c r="O37" s="519">
        <v>0</v>
      </c>
      <c r="P37" s="519">
        <v>54541</v>
      </c>
      <c r="Q37" s="519">
        <v>0</v>
      </c>
      <c r="R37" s="519">
        <v>0</v>
      </c>
      <c r="S37" s="520">
        <v>0</v>
      </c>
      <c r="T37" s="18"/>
      <c r="U37" s="18"/>
      <c r="V37" s="18"/>
      <c r="W37" s="18"/>
      <c r="X37" s="18"/>
      <c r="Y37" s="18"/>
      <c r="Z37" s="18">
        <f t="shared" si="0"/>
        <v>54541</v>
      </c>
      <c r="AA37" s="309">
        <v>54542</v>
      </c>
      <c r="AB37" s="19">
        <v>5</v>
      </c>
      <c r="AC37" s="521">
        <v>44224</v>
      </c>
      <c r="AD37" s="25">
        <v>44251</v>
      </c>
      <c r="AE37" s="309"/>
      <c r="AF37" s="20"/>
      <c r="AG37" s="23"/>
      <c r="AH37" s="25"/>
      <c r="AI37" s="309"/>
      <c r="AJ37" s="19"/>
      <c r="AK37" s="23"/>
      <c r="AL37" s="25"/>
      <c r="AM37" s="309"/>
      <c r="AN37" s="19"/>
      <c r="AO37" s="21"/>
      <c r="AP37" s="25"/>
      <c r="AQ37" s="309"/>
      <c r="AR37" s="19"/>
      <c r="AS37" s="21"/>
      <c r="AT37" s="25"/>
      <c r="AU37" s="522">
        <f t="shared" si="1"/>
        <v>54542</v>
      </c>
      <c r="AV37" s="311">
        <f t="shared" si="2"/>
        <v>1</v>
      </c>
      <c r="AW37" s="305"/>
      <c r="AX37" s="291"/>
      <c r="AY37" s="291"/>
      <c r="AZ37" s="291"/>
      <c r="BA37" s="291"/>
      <c r="BB37" s="291"/>
      <c r="BC37" s="291"/>
      <c r="BD37" s="291"/>
      <c r="BE37" s="291"/>
      <c r="BF37" s="291"/>
      <c r="BG37" s="291"/>
      <c r="BH37" s="291"/>
      <c r="BI37" s="291"/>
      <c r="BJ37" s="291"/>
      <c r="BK37" s="291"/>
      <c r="BL37" s="291"/>
      <c r="BM37" s="291"/>
      <c r="BN37" s="291"/>
      <c r="BO37" s="291"/>
      <c r="BP37" s="291"/>
      <c r="BQ37" s="291"/>
      <c r="BR37" s="291"/>
      <c r="BS37" s="291"/>
      <c r="BT37" s="291"/>
      <c r="BU37" s="291"/>
      <c r="BV37" s="291"/>
      <c r="BW37" s="291"/>
      <c r="BX37" s="291"/>
      <c r="BY37" s="291"/>
      <c r="BZ37" s="291"/>
      <c r="CA37" s="291"/>
      <c r="CB37" s="291"/>
      <c r="CC37" s="291"/>
      <c r="CD37" s="291"/>
      <c r="CE37" s="291"/>
      <c r="CF37" s="291"/>
      <c r="CG37" s="291"/>
      <c r="CH37" s="291"/>
      <c r="CI37" s="291"/>
      <c r="CJ37" s="291"/>
      <c r="CK37" s="291"/>
      <c r="CL37" s="291"/>
      <c r="CM37" s="291"/>
      <c r="CN37" s="291"/>
      <c r="CO37" s="291"/>
      <c r="CP37" s="291"/>
      <c r="CQ37" s="291"/>
      <c r="CR37" s="291"/>
      <c r="CS37" s="291"/>
      <c r="CT37" s="291"/>
      <c r="CU37" s="291"/>
      <c r="CV37" s="291"/>
      <c r="CW37" s="291"/>
      <c r="CX37" s="291"/>
      <c r="CY37" s="291"/>
      <c r="CZ37" s="291"/>
      <c r="DA37" s="291"/>
      <c r="DB37" s="291"/>
      <c r="DC37" s="291"/>
      <c r="DD37" s="291"/>
      <c r="DE37" s="291"/>
      <c r="DF37" s="291"/>
      <c r="DG37" s="291"/>
      <c r="DH37" s="291"/>
      <c r="DI37" s="291"/>
      <c r="DJ37" s="291"/>
      <c r="DK37" s="291"/>
      <c r="DL37" s="291"/>
      <c r="DM37" s="291"/>
      <c r="DN37" s="291"/>
      <c r="DO37" s="291"/>
      <c r="DP37" s="291"/>
      <c r="DQ37" s="291"/>
      <c r="DR37" s="291"/>
      <c r="DS37" s="291"/>
      <c r="DT37" s="291"/>
      <c r="DU37" s="291"/>
      <c r="DV37" s="291"/>
      <c r="DW37" s="291"/>
      <c r="DX37" s="291"/>
      <c r="DY37" s="291"/>
      <c r="DZ37" s="291"/>
      <c r="EA37" s="291"/>
      <c r="EB37" s="291"/>
      <c r="EC37" s="291"/>
      <c r="ED37" s="291"/>
      <c r="EE37" s="291"/>
      <c r="EF37" s="291"/>
      <c r="EG37" s="291"/>
      <c r="EH37" s="291"/>
      <c r="EI37" s="291"/>
      <c r="EJ37" s="291"/>
      <c r="EK37" s="291"/>
      <c r="EL37" s="291"/>
      <c r="EM37" s="291"/>
      <c r="EN37" s="291"/>
      <c r="EO37" s="291"/>
      <c r="EP37" s="291"/>
      <c r="EQ37" s="291"/>
      <c r="ER37" s="291"/>
      <c r="ES37" s="291"/>
      <c r="ET37" s="291"/>
      <c r="EU37" s="291"/>
      <c r="EV37" s="291"/>
      <c r="EW37" s="291"/>
      <c r="EX37" s="291"/>
      <c r="EY37" s="291"/>
      <c r="EZ37" s="291"/>
      <c r="FA37" s="291"/>
      <c r="FB37" s="291"/>
      <c r="FC37" s="291"/>
      <c r="FD37" s="291"/>
      <c r="FE37" s="291"/>
      <c r="FF37" s="291"/>
      <c r="FG37" s="291"/>
      <c r="FH37" s="291"/>
      <c r="FI37" s="291"/>
      <c r="FJ37" s="291"/>
      <c r="FK37" s="291"/>
      <c r="FL37" s="291"/>
      <c r="FM37" s="291"/>
      <c r="FN37" s="291"/>
      <c r="FO37" s="291"/>
      <c r="FP37" s="291"/>
      <c r="FQ37" s="291"/>
      <c r="FR37" s="291"/>
      <c r="FS37" s="291"/>
      <c r="FT37" s="291"/>
      <c r="FU37" s="291"/>
      <c r="FV37" s="291"/>
      <c r="FW37" s="291"/>
      <c r="FX37" s="291"/>
      <c r="FY37" s="291"/>
      <c r="FZ37" s="291"/>
      <c r="GA37" s="291"/>
      <c r="GB37" s="291"/>
      <c r="GC37" s="291"/>
      <c r="GD37" s="291"/>
      <c r="GE37" s="291"/>
      <c r="GF37" s="291"/>
      <c r="GG37" s="291"/>
      <c r="GH37" s="291"/>
      <c r="GI37" s="291"/>
      <c r="GJ37" s="291"/>
      <c r="GK37" s="291"/>
      <c r="GL37" s="291"/>
      <c r="GM37" s="291"/>
      <c r="GN37" s="291"/>
      <c r="GO37" s="291"/>
      <c r="GP37" s="291"/>
      <c r="GQ37" s="291"/>
      <c r="GR37" s="291"/>
      <c r="GS37" s="291"/>
      <c r="GT37" s="291"/>
      <c r="GU37" s="291"/>
      <c r="GV37" s="291"/>
      <c r="GW37" s="291"/>
      <c r="GX37" s="291"/>
      <c r="GY37" s="291"/>
      <c r="GZ37" s="291"/>
      <c r="HA37" s="291"/>
      <c r="HB37" s="291"/>
      <c r="HC37" s="291"/>
      <c r="HD37" s="291"/>
      <c r="HE37" s="291"/>
      <c r="HF37" s="291"/>
      <c r="HG37" s="291"/>
      <c r="HH37" s="291"/>
      <c r="HI37" s="291"/>
      <c r="HJ37" s="291"/>
      <c r="HK37" s="291"/>
      <c r="HL37" s="291"/>
      <c r="HM37" s="291"/>
      <c r="HN37" s="291"/>
      <c r="HO37" s="291"/>
      <c r="HP37" s="291"/>
      <c r="HQ37" s="291"/>
      <c r="HR37" s="291"/>
      <c r="HS37" s="291"/>
      <c r="HT37" s="291"/>
      <c r="HU37" s="291"/>
      <c r="HV37" s="291"/>
      <c r="HW37" s="291"/>
      <c r="HX37" s="291"/>
      <c r="HY37" s="291"/>
      <c r="HZ37" s="291"/>
      <c r="IA37" s="291"/>
      <c r="IB37" s="291"/>
      <c r="IC37" s="291"/>
      <c r="ID37" s="291"/>
      <c r="IE37" s="291"/>
      <c r="IF37" s="291"/>
      <c r="IG37" s="291"/>
      <c r="IH37" s="291"/>
      <c r="II37" s="291"/>
      <c r="IJ37" s="291"/>
      <c r="IK37" s="291"/>
      <c r="IL37" s="291"/>
      <c r="IM37" s="291"/>
      <c r="IN37" s="291"/>
      <c r="IO37" s="291"/>
      <c r="IP37" s="291"/>
      <c r="IQ37" s="291"/>
      <c r="IR37" s="291"/>
      <c r="IS37" s="291"/>
      <c r="IT37" s="291"/>
      <c r="IU37" s="291"/>
      <c r="IV37" s="291"/>
      <c r="IW37" s="291"/>
      <c r="IX37" s="291"/>
      <c r="IY37" s="291"/>
      <c r="IZ37" s="291"/>
      <c r="JA37" s="291"/>
      <c r="JB37" s="291"/>
      <c r="JC37" s="291"/>
      <c r="JD37" s="291"/>
      <c r="JE37" s="291"/>
      <c r="JF37" s="291"/>
      <c r="JG37" s="291"/>
      <c r="JH37" s="291"/>
      <c r="JI37" s="291"/>
      <c r="JJ37" s="291"/>
      <c r="JK37" s="291"/>
      <c r="JL37" s="291"/>
      <c r="JM37" s="291"/>
      <c r="JN37" s="291"/>
      <c r="JO37" s="291"/>
      <c r="JP37" s="291"/>
      <c r="JQ37" s="291"/>
      <c r="JR37" s="291"/>
      <c r="JS37" s="291"/>
      <c r="JT37" s="291"/>
      <c r="JU37" s="291"/>
      <c r="JV37" s="291"/>
      <c r="JW37" s="291"/>
      <c r="JX37" s="291"/>
      <c r="JY37" s="291"/>
      <c r="JZ37" s="291"/>
      <c r="KA37" s="291"/>
      <c r="KB37" s="291"/>
      <c r="KC37" s="291"/>
      <c r="KD37" s="291"/>
      <c r="KE37" s="291"/>
      <c r="KF37" s="291"/>
      <c r="KG37" s="291"/>
      <c r="KH37" s="291"/>
      <c r="KI37" s="291"/>
      <c r="KJ37" s="291"/>
      <c r="KK37" s="291"/>
      <c r="KL37" s="291"/>
      <c r="KM37" s="291"/>
      <c r="KN37" s="291"/>
      <c r="KO37" s="291"/>
      <c r="KP37" s="291"/>
      <c r="KQ37" s="291"/>
      <c r="KR37" s="291"/>
      <c r="KS37" s="291"/>
      <c r="KT37" s="291"/>
      <c r="KU37" s="291"/>
      <c r="KV37" s="291"/>
      <c r="KW37" s="291"/>
      <c r="KX37" s="291"/>
      <c r="KY37" s="291"/>
      <c r="KZ37" s="291"/>
      <c r="LA37" s="291"/>
      <c r="LB37" s="291"/>
      <c r="LC37" s="291"/>
      <c r="LD37" s="291"/>
      <c r="LE37" s="291"/>
      <c r="LF37" s="291"/>
      <c r="LG37" s="291"/>
      <c r="LH37" s="291"/>
      <c r="LI37" s="291"/>
      <c r="LJ37" s="291"/>
      <c r="LK37" s="291"/>
      <c r="LL37" s="291"/>
      <c r="LM37" s="291"/>
      <c r="LN37" s="291"/>
      <c r="LO37" s="291"/>
      <c r="LP37" s="291"/>
      <c r="LQ37" s="291"/>
      <c r="LR37" s="291"/>
      <c r="LS37" s="291"/>
      <c r="LT37" s="291"/>
      <c r="LU37" s="291"/>
      <c r="LV37" s="291"/>
      <c r="LW37" s="291"/>
      <c r="LX37" s="291"/>
      <c r="LY37" s="291"/>
      <c r="LZ37" s="291"/>
      <c r="MA37" s="291"/>
      <c r="MB37" s="291"/>
      <c r="MC37" s="291"/>
      <c r="MD37" s="291"/>
      <c r="ME37" s="291"/>
      <c r="MF37" s="291"/>
      <c r="MG37" s="291"/>
      <c r="MH37" s="291"/>
      <c r="MI37" s="291"/>
      <c r="MJ37" s="291"/>
      <c r="MK37" s="291"/>
      <c r="ML37" s="291"/>
      <c r="MM37" s="291"/>
      <c r="MN37" s="291"/>
      <c r="MO37" s="291"/>
      <c r="MP37" s="291"/>
      <c r="MQ37" s="291"/>
      <c r="MR37" s="291"/>
      <c r="MS37" s="291"/>
      <c r="MT37" s="291"/>
      <c r="MU37" s="291"/>
      <c r="MV37" s="291"/>
      <c r="MW37" s="291"/>
      <c r="MX37" s="291"/>
      <c r="MY37" s="291"/>
      <c r="MZ37" s="291"/>
      <c r="NA37" s="291"/>
      <c r="NB37" s="291"/>
      <c r="NC37" s="291"/>
      <c r="ND37" s="291"/>
      <c r="NE37" s="291"/>
      <c r="NF37" s="291"/>
      <c r="NG37" s="291"/>
      <c r="NH37" s="291"/>
      <c r="NI37" s="291"/>
      <c r="NJ37" s="291"/>
      <c r="NK37" s="291"/>
      <c r="NL37" s="291"/>
      <c r="NM37" s="291"/>
      <c r="NN37" s="291"/>
      <c r="NO37" s="291"/>
      <c r="NP37" s="291"/>
      <c r="NQ37" s="291"/>
      <c r="NR37" s="291"/>
      <c r="NS37" s="291"/>
      <c r="NT37" s="291"/>
      <c r="NU37" s="291"/>
      <c r="NV37" s="291"/>
      <c r="NW37" s="291"/>
      <c r="NX37" s="291"/>
      <c r="NY37" s="291"/>
      <c r="NZ37" s="291"/>
      <c r="OA37" s="291"/>
      <c r="OB37" s="291"/>
      <c r="OC37" s="291"/>
      <c r="OD37" s="291"/>
      <c r="OE37" s="291"/>
      <c r="OF37" s="291"/>
      <c r="OG37" s="291"/>
      <c r="OH37" s="291"/>
      <c r="OI37" s="291"/>
      <c r="OJ37" s="291"/>
      <c r="OK37" s="291"/>
      <c r="OL37" s="291"/>
      <c r="OM37" s="291"/>
      <c r="ON37" s="291"/>
      <c r="OO37" s="291"/>
      <c r="OP37" s="291"/>
      <c r="OQ37" s="291"/>
      <c r="OR37" s="291"/>
      <c r="OS37" s="291"/>
      <c r="OT37" s="291"/>
      <c r="OU37" s="291"/>
      <c r="OV37" s="291"/>
      <c r="OW37" s="291"/>
    </row>
    <row r="38" spans="1:413" s="257" customFormat="1" hidden="1" x14ac:dyDescent="0.2">
      <c r="A38" s="291"/>
      <c r="B38" s="524">
        <f t="shared" si="3"/>
        <v>23</v>
      </c>
      <c r="C38" s="510" t="s">
        <v>38</v>
      </c>
      <c r="D38" s="511">
        <v>30064908</v>
      </c>
      <c r="E38" s="511"/>
      <c r="F38" s="512" t="s">
        <v>1139</v>
      </c>
      <c r="G38" s="513" t="s">
        <v>45</v>
      </c>
      <c r="H38" s="514" t="s">
        <v>1094</v>
      </c>
      <c r="I38" s="515" t="s">
        <v>1107</v>
      </c>
      <c r="J38" s="346" t="s">
        <v>43</v>
      </c>
      <c r="K38" s="526">
        <v>1467056</v>
      </c>
      <c r="L38" s="527">
        <v>0</v>
      </c>
      <c r="M38" s="528">
        <v>32281</v>
      </c>
      <c r="N38" s="520">
        <v>0</v>
      </c>
      <c r="O38" s="520">
        <v>0</v>
      </c>
      <c r="P38" s="520">
        <v>0</v>
      </c>
      <c r="Q38" s="520">
        <v>0</v>
      </c>
      <c r="R38" s="520">
        <v>0</v>
      </c>
      <c r="S38" s="520">
        <v>11681</v>
      </c>
      <c r="T38" s="18"/>
      <c r="U38" s="18"/>
      <c r="V38" s="18"/>
      <c r="W38" s="18"/>
      <c r="X38" s="18"/>
      <c r="Y38" s="18"/>
      <c r="Z38" s="18">
        <f t="shared" si="0"/>
        <v>11681</v>
      </c>
      <c r="AA38" s="309">
        <v>880000</v>
      </c>
      <c r="AB38" s="19">
        <v>5</v>
      </c>
      <c r="AC38" s="521">
        <v>44224</v>
      </c>
      <c r="AD38" s="25">
        <v>44251</v>
      </c>
      <c r="AE38" s="309">
        <v>0</v>
      </c>
      <c r="AF38" s="20">
        <v>22</v>
      </c>
      <c r="AG38" s="23">
        <v>44301</v>
      </c>
      <c r="AH38" s="25">
        <v>44313</v>
      </c>
      <c r="AI38" s="309"/>
      <c r="AJ38" s="19"/>
      <c r="AK38" s="23"/>
      <c r="AL38" s="25"/>
      <c r="AM38" s="309"/>
      <c r="AN38" s="19"/>
      <c r="AO38" s="21"/>
      <c r="AP38" s="25"/>
      <c r="AQ38" s="309"/>
      <c r="AR38" s="19"/>
      <c r="AS38" s="21"/>
      <c r="AT38" s="25"/>
      <c r="AU38" s="522">
        <f t="shared" si="1"/>
        <v>880000</v>
      </c>
      <c r="AV38" s="311">
        <f t="shared" si="2"/>
        <v>868319</v>
      </c>
      <c r="AW38" s="305"/>
      <c r="AX38" s="291"/>
      <c r="AY38" s="291"/>
      <c r="AZ38" s="291"/>
      <c r="BA38" s="291"/>
      <c r="BB38" s="291"/>
      <c r="BC38" s="291"/>
      <c r="BD38" s="291"/>
      <c r="BE38" s="291"/>
      <c r="BF38" s="291"/>
      <c r="BG38" s="291"/>
      <c r="BH38" s="291"/>
      <c r="BI38" s="291"/>
      <c r="BJ38" s="291"/>
      <c r="BK38" s="291"/>
      <c r="BL38" s="291"/>
      <c r="BM38" s="291"/>
      <c r="BN38" s="291"/>
      <c r="BO38" s="291"/>
      <c r="BP38" s="291"/>
      <c r="BQ38" s="291"/>
      <c r="BR38" s="291"/>
      <c r="BS38" s="291"/>
      <c r="BT38" s="291"/>
      <c r="BU38" s="291"/>
      <c r="BV38" s="291"/>
      <c r="BW38" s="291"/>
      <c r="BX38" s="291"/>
      <c r="BY38" s="291"/>
      <c r="BZ38" s="291"/>
      <c r="CA38" s="291"/>
      <c r="CB38" s="291"/>
      <c r="CC38" s="291"/>
      <c r="CD38" s="291"/>
      <c r="CE38" s="291"/>
      <c r="CF38" s="291"/>
      <c r="CG38" s="291"/>
      <c r="CH38" s="291"/>
      <c r="CI38" s="291"/>
      <c r="CJ38" s="291"/>
      <c r="CK38" s="291"/>
      <c r="CL38" s="291"/>
      <c r="CM38" s="291"/>
      <c r="CN38" s="291"/>
      <c r="CO38" s="291"/>
      <c r="CP38" s="291"/>
      <c r="CQ38" s="291"/>
      <c r="CR38" s="291"/>
      <c r="CS38" s="291"/>
      <c r="CT38" s="291"/>
      <c r="CU38" s="291"/>
      <c r="CV38" s="291"/>
      <c r="CW38" s="291"/>
      <c r="CX38" s="291"/>
      <c r="CY38" s="291"/>
      <c r="CZ38" s="291"/>
      <c r="DA38" s="291"/>
      <c r="DB38" s="291"/>
      <c r="DC38" s="291"/>
      <c r="DD38" s="291"/>
      <c r="DE38" s="291"/>
      <c r="DF38" s="291"/>
      <c r="DG38" s="291"/>
      <c r="DH38" s="291"/>
      <c r="DI38" s="291"/>
      <c r="DJ38" s="291"/>
      <c r="DK38" s="291"/>
      <c r="DL38" s="291"/>
      <c r="DM38" s="291"/>
      <c r="DN38" s="291"/>
      <c r="DO38" s="291"/>
      <c r="DP38" s="291"/>
      <c r="DQ38" s="291"/>
      <c r="DR38" s="291"/>
      <c r="DS38" s="291"/>
      <c r="DT38" s="291"/>
      <c r="DU38" s="291"/>
      <c r="DV38" s="291"/>
      <c r="DW38" s="291"/>
      <c r="DX38" s="291"/>
      <c r="DY38" s="291"/>
      <c r="DZ38" s="291"/>
      <c r="EA38" s="291"/>
      <c r="EB38" s="291"/>
      <c r="EC38" s="291"/>
      <c r="ED38" s="291"/>
      <c r="EE38" s="291"/>
      <c r="EF38" s="291"/>
      <c r="EG38" s="291"/>
      <c r="EH38" s="291"/>
      <c r="EI38" s="291"/>
      <c r="EJ38" s="291"/>
      <c r="EK38" s="291"/>
      <c r="EL38" s="291"/>
      <c r="EM38" s="291"/>
      <c r="EN38" s="291"/>
      <c r="EO38" s="291"/>
      <c r="EP38" s="291"/>
      <c r="EQ38" s="291"/>
      <c r="ER38" s="291"/>
      <c r="ES38" s="291"/>
      <c r="ET38" s="291"/>
      <c r="EU38" s="291"/>
      <c r="EV38" s="291"/>
      <c r="EW38" s="291"/>
      <c r="EX38" s="291"/>
      <c r="EY38" s="291"/>
      <c r="EZ38" s="291"/>
      <c r="FA38" s="291"/>
      <c r="FB38" s="291"/>
      <c r="FC38" s="291"/>
      <c r="FD38" s="291"/>
      <c r="FE38" s="291"/>
      <c r="FF38" s="291"/>
      <c r="FG38" s="291"/>
      <c r="FH38" s="291"/>
      <c r="FI38" s="291"/>
      <c r="FJ38" s="291"/>
      <c r="FK38" s="291"/>
      <c r="FL38" s="291"/>
      <c r="FM38" s="291"/>
      <c r="FN38" s="291"/>
      <c r="FO38" s="291"/>
      <c r="FP38" s="291"/>
      <c r="FQ38" s="291"/>
      <c r="FR38" s="291"/>
      <c r="FS38" s="291"/>
      <c r="FT38" s="291"/>
      <c r="FU38" s="291"/>
      <c r="FV38" s="291"/>
      <c r="FW38" s="291"/>
      <c r="FX38" s="291"/>
      <c r="FY38" s="291"/>
      <c r="FZ38" s="291"/>
      <c r="GA38" s="291"/>
      <c r="GB38" s="291"/>
      <c r="GC38" s="291"/>
      <c r="GD38" s="291"/>
      <c r="GE38" s="291"/>
      <c r="GF38" s="291"/>
      <c r="GG38" s="291"/>
      <c r="GH38" s="291"/>
      <c r="GI38" s="291"/>
      <c r="GJ38" s="291"/>
      <c r="GK38" s="291"/>
      <c r="GL38" s="291"/>
      <c r="GM38" s="291"/>
      <c r="GN38" s="291"/>
      <c r="GO38" s="291"/>
      <c r="GP38" s="291"/>
      <c r="GQ38" s="291"/>
      <c r="GR38" s="291"/>
      <c r="GS38" s="291"/>
      <c r="GT38" s="291"/>
      <c r="GU38" s="291"/>
      <c r="GV38" s="291"/>
      <c r="GW38" s="291"/>
      <c r="GX38" s="291"/>
      <c r="GY38" s="291"/>
      <c r="GZ38" s="291"/>
      <c r="HA38" s="291"/>
      <c r="HB38" s="291"/>
      <c r="HC38" s="291"/>
      <c r="HD38" s="291"/>
      <c r="HE38" s="291"/>
      <c r="HF38" s="291"/>
      <c r="HG38" s="291"/>
      <c r="HH38" s="291"/>
      <c r="HI38" s="291"/>
      <c r="HJ38" s="291"/>
      <c r="HK38" s="291"/>
      <c r="HL38" s="291"/>
      <c r="HM38" s="291"/>
      <c r="HN38" s="291"/>
      <c r="HO38" s="291"/>
      <c r="HP38" s="291"/>
      <c r="HQ38" s="291"/>
      <c r="HR38" s="291"/>
      <c r="HS38" s="291"/>
      <c r="HT38" s="291"/>
      <c r="HU38" s="291"/>
      <c r="HV38" s="291"/>
      <c r="HW38" s="291"/>
      <c r="HX38" s="291"/>
      <c r="HY38" s="291"/>
      <c r="HZ38" s="291"/>
      <c r="IA38" s="291"/>
      <c r="IB38" s="291"/>
      <c r="IC38" s="291"/>
      <c r="ID38" s="291"/>
      <c r="IE38" s="291"/>
      <c r="IF38" s="291"/>
      <c r="IG38" s="291"/>
      <c r="IH38" s="291"/>
      <c r="II38" s="291"/>
      <c r="IJ38" s="291"/>
      <c r="IK38" s="291"/>
      <c r="IL38" s="291"/>
      <c r="IM38" s="291"/>
      <c r="IN38" s="291"/>
      <c r="IO38" s="291"/>
      <c r="IP38" s="291"/>
      <c r="IQ38" s="291"/>
      <c r="IR38" s="291"/>
      <c r="IS38" s="291"/>
      <c r="IT38" s="291"/>
      <c r="IU38" s="291"/>
      <c r="IV38" s="291"/>
      <c r="IW38" s="291"/>
      <c r="IX38" s="291"/>
      <c r="IY38" s="291"/>
      <c r="IZ38" s="291"/>
      <c r="JA38" s="291"/>
      <c r="JB38" s="291"/>
      <c r="JC38" s="291"/>
      <c r="JD38" s="291"/>
      <c r="JE38" s="291"/>
      <c r="JF38" s="291"/>
      <c r="JG38" s="291"/>
      <c r="JH38" s="291"/>
      <c r="JI38" s="291"/>
      <c r="JJ38" s="291"/>
      <c r="JK38" s="291"/>
      <c r="JL38" s="291"/>
      <c r="JM38" s="291"/>
      <c r="JN38" s="291"/>
      <c r="JO38" s="291"/>
      <c r="JP38" s="291"/>
      <c r="JQ38" s="291"/>
      <c r="JR38" s="291"/>
      <c r="JS38" s="291"/>
      <c r="JT38" s="291"/>
      <c r="JU38" s="291"/>
      <c r="JV38" s="291"/>
      <c r="JW38" s="291"/>
      <c r="JX38" s="291"/>
      <c r="JY38" s="291"/>
      <c r="JZ38" s="291"/>
      <c r="KA38" s="291"/>
      <c r="KB38" s="291"/>
      <c r="KC38" s="291"/>
      <c r="KD38" s="291"/>
      <c r="KE38" s="291"/>
      <c r="KF38" s="291"/>
      <c r="KG38" s="291"/>
      <c r="KH38" s="291"/>
      <c r="KI38" s="291"/>
      <c r="KJ38" s="291"/>
      <c r="KK38" s="291"/>
      <c r="KL38" s="291"/>
      <c r="KM38" s="291"/>
      <c r="KN38" s="291"/>
      <c r="KO38" s="291"/>
      <c r="KP38" s="291"/>
      <c r="KQ38" s="291"/>
      <c r="KR38" s="291"/>
      <c r="KS38" s="291"/>
      <c r="KT38" s="291"/>
      <c r="KU38" s="291"/>
      <c r="KV38" s="291"/>
      <c r="KW38" s="291"/>
      <c r="KX38" s="291"/>
      <c r="KY38" s="291"/>
      <c r="KZ38" s="291"/>
      <c r="LA38" s="291"/>
      <c r="LB38" s="291"/>
      <c r="LC38" s="291"/>
      <c r="LD38" s="291"/>
      <c r="LE38" s="291"/>
      <c r="LF38" s="291"/>
      <c r="LG38" s="291"/>
      <c r="LH38" s="291"/>
      <c r="LI38" s="291"/>
      <c r="LJ38" s="291"/>
      <c r="LK38" s="291"/>
      <c r="LL38" s="291"/>
      <c r="LM38" s="291"/>
      <c r="LN38" s="291"/>
      <c r="LO38" s="291"/>
      <c r="LP38" s="291"/>
      <c r="LQ38" s="291"/>
      <c r="LR38" s="291"/>
      <c r="LS38" s="291"/>
      <c r="LT38" s="291"/>
      <c r="LU38" s="291"/>
      <c r="LV38" s="291"/>
      <c r="LW38" s="291"/>
      <c r="LX38" s="291"/>
      <c r="LY38" s="291"/>
      <c r="LZ38" s="291"/>
      <c r="MA38" s="291"/>
      <c r="MB38" s="291"/>
      <c r="MC38" s="291"/>
      <c r="MD38" s="291"/>
      <c r="ME38" s="291"/>
      <c r="MF38" s="291"/>
      <c r="MG38" s="291"/>
      <c r="MH38" s="291"/>
      <c r="MI38" s="291"/>
      <c r="MJ38" s="291"/>
      <c r="MK38" s="291"/>
      <c r="ML38" s="291"/>
      <c r="MM38" s="291"/>
      <c r="MN38" s="291"/>
      <c r="MO38" s="291"/>
      <c r="MP38" s="291"/>
      <c r="MQ38" s="291"/>
      <c r="MR38" s="291"/>
      <c r="MS38" s="291"/>
      <c r="MT38" s="291"/>
      <c r="MU38" s="291"/>
      <c r="MV38" s="291"/>
      <c r="MW38" s="291"/>
      <c r="MX38" s="291"/>
      <c r="MY38" s="291"/>
      <c r="MZ38" s="291"/>
      <c r="NA38" s="291"/>
      <c r="NB38" s="291"/>
      <c r="NC38" s="291"/>
      <c r="ND38" s="291"/>
      <c r="NE38" s="291"/>
      <c r="NF38" s="291"/>
      <c r="NG38" s="291"/>
      <c r="NH38" s="291"/>
      <c r="NI38" s="291"/>
      <c r="NJ38" s="291"/>
      <c r="NK38" s="291"/>
      <c r="NL38" s="291"/>
      <c r="NM38" s="291"/>
      <c r="NN38" s="291"/>
      <c r="NO38" s="291"/>
      <c r="NP38" s="291"/>
      <c r="NQ38" s="291"/>
      <c r="NR38" s="291"/>
      <c r="NS38" s="291"/>
      <c r="NT38" s="291"/>
      <c r="NU38" s="291"/>
      <c r="NV38" s="291"/>
      <c r="NW38" s="291"/>
      <c r="NX38" s="291"/>
      <c r="NY38" s="291"/>
      <c r="NZ38" s="291"/>
      <c r="OA38" s="291"/>
      <c r="OB38" s="291"/>
      <c r="OC38" s="291"/>
      <c r="OD38" s="291"/>
      <c r="OE38" s="291"/>
      <c r="OF38" s="291"/>
      <c r="OG38" s="291"/>
      <c r="OH38" s="291"/>
      <c r="OI38" s="291"/>
      <c r="OJ38" s="291"/>
      <c r="OK38" s="291"/>
      <c r="OL38" s="291"/>
      <c r="OM38" s="291"/>
      <c r="ON38" s="291"/>
      <c r="OO38" s="291"/>
      <c r="OP38" s="291"/>
      <c r="OQ38" s="291"/>
      <c r="OR38" s="291"/>
      <c r="OS38" s="291"/>
      <c r="OT38" s="291"/>
      <c r="OU38" s="291"/>
      <c r="OV38" s="291"/>
      <c r="OW38" s="291"/>
    </row>
    <row r="39" spans="1:413" s="257" customFormat="1" hidden="1" x14ac:dyDescent="0.2">
      <c r="A39" s="291"/>
      <c r="B39" s="524">
        <f t="shared" si="3"/>
        <v>24</v>
      </c>
      <c r="C39" s="510" t="s">
        <v>38</v>
      </c>
      <c r="D39" s="511">
        <v>30065140</v>
      </c>
      <c r="E39" s="511"/>
      <c r="F39" s="512" t="s">
        <v>1140</v>
      </c>
      <c r="G39" s="513" t="s">
        <v>45</v>
      </c>
      <c r="H39" s="514" t="s">
        <v>1094</v>
      </c>
      <c r="I39" s="515" t="s">
        <v>1116</v>
      </c>
      <c r="J39" s="346" t="s">
        <v>42</v>
      </c>
      <c r="K39" s="526">
        <v>2575426</v>
      </c>
      <c r="L39" s="527">
        <v>2543381</v>
      </c>
      <c r="M39" s="528">
        <v>0</v>
      </c>
      <c r="N39" s="520">
        <v>0</v>
      </c>
      <c r="O39" s="520">
        <v>0</v>
      </c>
      <c r="P39" s="520">
        <v>0</v>
      </c>
      <c r="Q39" s="520">
        <v>0</v>
      </c>
      <c r="R39" s="520">
        <v>0</v>
      </c>
      <c r="S39" s="520">
        <v>0</v>
      </c>
      <c r="T39" s="18"/>
      <c r="U39" s="18"/>
      <c r="V39" s="18"/>
      <c r="W39" s="18"/>
      <c r="X39" s="18"/>
      <c r="Y39" s="18"/>
      <c r="Z39" s="18">
        <f t="shared" si="0"/>
        <v>0</v>
      </c>
      <c r="AA39" s="309">
        <v>32045</v>
      </c>
      <c r="AB39" s="19">
        <v>11</v>
      </c>
      <c r="AC39" s="521">
        <v>44237</v>
      </c>
      <c r="AD39" s="25">
        <v>44251</v>
      </c>
      <c r="AE39" s="309"/>
      <c r="AF39" s="20"/>
      <c r="AG39" s="23"/>
      <c r="AH39" s="25"/>
      <c r="AI39" s="309"/>
      <c r="AJ39" s="19"/>
      <c r="AK39" s="23"/>
      <c r="AL39" s="25"/>
      <c r="AM39" s="309"/>
      <c r="AN39" s="19"/>
      <c r="AO39" s="21"/>
      <c r="AP39" s="25"/>
      <c r="AQ39" s="309"/>
      <c r="AR39" s="19"/>
      <c r="AS39" s="21"/>
      <c r="AT39" s="25"/>
      <c r="AU39" s="522">
        <f t="shared" si="1"/>
        <v>32045</v>
      </c>
      <c r="AV39" s="311">
        <f t="shared" si="2"/>
        <v>32045</v>
      </c>
      <c r="AW39" s="305"/>
      <c r="AX39" s="291"/>
      <c r="AY39" s="291"/>
      <c r="AZ39" s="291"/>
      <c r="BA39" s="291"/>
      <c r="BB39" s="291"/>
      <c r="BC39" s="291"/>
      <c r="BD39" s="291"/>
      <c r="BE39" s="291"/>
      <c r="BF39" s="291"/>
      <c r="BG39" s="291"/>
      <c r="BH39" s="291"/>
      <c r="BI39" s="291"/>
      <c r="BJ39" s="291"/>
      <c r="BK39" s="291"/>
      <c r="BL39" s="291"/>
      <c r="BM39" s="291"/>
      <c r="BN39" s="291"/>
      <c r="BO39" s="291"/>
      <c r="BP39" s="291"/>
      <c r="BQ39" s="291"/>
      <c r="BR39" s="291"/>
      <c r="BS39" s="291"/>
      <c r="BT39" s="291"/>
      <c r="BU39" s="291"/>
      <c r="BV39" s="291"/>
      <c r="BW39" s="291"/>
      <c r="BX39" s="291"/>
      <c r="BY39" s="291"/>
      <c r="BZ39" s="291"/>
      <c r="CA39" s="291"/>
      <c r="CB39" s="291"/>
      <c r="CC39" s="291"/>
      <c r="CD39" s="291"/>
      <c r="CE39" s="291"/>
      <c r="CF39" s="291"/>
      <c r="CG39" s="291"/>
      <c r="CH39" s="291"/>
      <c r="CI39" s="291"/>
      <c r="CJ39" s="291"/>
      <c r="CK39" s="291"/>
      <c r="CL39" s="291"/>
      <c r="CM39" s="291"/>
      <c r="CN39" s="291"/>
      <c r="CO39" s="291"/>
      <c r="CP39" s="291"/>
      <c r="CQ39" s="291"/>
      <c r="CR39" s="291"/>
      <c r="CS39" s="291"/>
      <c r="CT39" s="291"/>
      <c r="CU39" s="291"/>
      <c r="CV39" s="291"/>
      <c r="CW39" s="291"/>
      <c r="CX39" s="291"/>
      <c r="CY39" s="291"/>
      <c r="CZ39" s="291"/>
      <c r="DA39" s="291"/>
      <c r="DB39" s="291"/>
      <c r="DC39" s="291"/>
      <c r="DD39" s="291"/>
      <c r="DE39" s="291"/>
      <c r="DF39" s="291"/>
      <c r="DG39" s="291"/>
      <c r="DH39" s="291"/>
      <c r="DI39" s="291"/>
      <c r="DJ39" s="291"/>
      <c r="DK39" s="291"/>
      <c r="DL39" s="291"/>
      <c r="DM39" s="291"/>
      <c r="DN39" s="291"/>
      <c r="DO39" s="291"/>
      <c r="DP39" s="291"/>
      <c r="DQ39" s="291"/>
      <c r="DR39" s="291"/>
      <c r="DS39" s="291"/>
      <c r="DT39" s="291"/>
      <c r="DU39" s="291"/>
      <c r="DV39" s="291"/>
      <c r="DW39" s="291"/>
      <c r="DX39" s="291"/>
      <c r="DY39" s="291"/>
      <c r="DZ39" s="291"/>
      <c r="EA39" s="291"/>
      <c r="EB39" s="291"/>
      <c r="EC39" s="291"/>
      <c r="ED39" s="291"/>
      <c r="EE39" s="291"/>
      <c r="EF39" s="291"/>
      <c r="EG39" s="291"/>
      <c r="EH39" s="291"/>
      <c r="EI39" s="291"/>
      <c r="EJ39" s="291"/>
      <c r="EK39" s="291"/>
      <c r="EL39" s="291"/>
      <c r="EM39" s="291"/>
      <c r="EN39" s="291"/>
      <c r="EO39" s="291"/>
      <c r="EP39" s="291"/>
      <c r="EQ39" s="291"/>
      <c r="ER39" s="291"/>
      <c r="ES39" s="291"/>
      <c r="ET39" s="291"/>
      <c r="EU39" s="291"/>
      <c r="EV39" s="291"/>
      <c r="EW39" s="291"/>
      <c r="EX39" s="291"/>
      <c r="EY39" s="291"/>
      <c r="EZ39" s="291"/>
      <c r="FA39" s="291"/>
      <c r="FB39" s="291"/>
      <c r="FC39" s="291"/>
      <c r="FD39" s="291"/>
      <c r="FE39" s="291"/>
      <c r="FF39" s="291"/>
      <c r="FG39" s="291"/>
      <c r="FH39" s="291"/>
      <c r="FI39" s="291"/>
      <c r="FJ39" s="291"/>
      <c r="FK39" s="291"/>
      <c r="FL39" s="291"/>
      <c r="FM39" s="291"/>
      <c r="FN39" s="291"/>
      <c r="FO39" s="291"/>
      <c r="FP39" s="291"/>
      <c r="FQ39" s="291"/>
      <c r="FR39" s="291"/>
      <c r="FS39" s="291"/>
      <c r="FT39" s="291"/>
      <c r="FU39" s="291"/>
      <c r="FV39" s="291"/>
      <c r="FW39" s="291"/>
      <c r="FX39" s="291"/>
      <c r="FY39" s="291"/>
      <c r="FZ39" s="291"/>
      <c r="GA39" s="291"/>
      <c r="GB39" s="291"/>
      <c r="GC39" s="291"/>
      <c r="GD39" s="291"/>
      <c r="GE39" s="291"/>
      <c r="GF39" s="291"/>
      <c r="GG39" s="291"/>
      <c r="GH39" s="291"/>
      <c r="GI39" s="291"/>
      <c r="GJ39" s="291"/>
      <c r="GK39" s="291"/>
      <c r="GL39" s="291"/>
      <c r="GM39" s="291"/>
      <c r="GN39" s="291"/>
      <c r="GO39" s="291"/>
      <c r="GP39" s="291"/>
      <c r="GQ39" s="291"/>
      <c r="GR39" s="291"/>
      <c r="GS39" s="291"/>
      <c r="GT39" s="291"/>
      <c r="GU39" s="291"/>
      <c r="GV39" s="291"/>
      <c r="GW39" s="291"/>
      <c r="GX39" s="291"/>
      <c r="GY39" s="291"/>
      <c r="GZ39" s="291"/>
      <c r="HA39" s="291"/>
      <c r="HB39" s="291"/>
      <c r="HC39" s="291"/>
      <c r="HD39" s="291"/>
      <c r="HE39" s="291"/>
      <c r="HF39" s="291"/>
      <c r="HG39" s="291"/>
      <c r="HH39" s="291"/>
      <c r="HI39" s="291"/>
      <c r="HJ39" s="291"/>
      <c r="HK39" s="291"/>
      <c r="HL39" s="291"/>
      <c r="HM39" s="291"/>
      <c r="HN39" s="291"/>
      <c r="HO39" s="291"/>
      <c r="HP39" s="291"/>
      <c r="HQ39" s="291"/>
      <c r="HR39" s="291"/>
      <c r="HS39" s="291"/>
      <c r="HT39" s="291"/>
      <c r="HU39" s="291"/>
      <c r="HV39" s="291"/>
      <c r="HW39" s="291"/>
      <c r="HX39" s="291"/>
      <c r="HY39" s="291"/>
      <c r="HZ39" s="291"/>
      <c r="IA39" s="291"/>
      <c r="IB39" s="291"/>
      <c r="IC39" s="291"/>
      <c r="ID39" s="291"/>
      <c r="IE39" s="291"/>
      <c r="IF39" s="291"/>
      <c r="IG39" s="291"/>
      <c r="IH39" s="291"/>
      <c r="II39" s="291"/>
      <c r="IJ39" s="291"/>
      <c r="IK39" s="291"/>
      <c r="IL39" s="291"/>
      <c r="IM39" s="291"/>
      <c r="IN39" s="291"/>
      <c r="IO39" s="291"/>
      <c r="IP39" s="291"/>
      <c r="IQ39" s="291"/>
      <c r="IR39" s="291"/>
      <c r="IS39" s="291"/>
      <c r="IT39" s="291"/>
      <c r="IU39" s="291"/>
      <c r="IV39" s="291"/>
      <c r="IW39" s="291"/>
      <c r="IX39" s="291"/>
      <c r="IY39" s="291"/>
      <c r="IZ39" s="291"/>
      <c r="JA39" s="291"/>
      <c r="JB39" s="291"/>
      <c r="JC39" s="291"/>
      <c r="JD39" s="291"/>
      <c r="JE39" s="291"/>
      <c r="JF39" s="291"/>
      <c r="JG39" s="291"/>
      <c r="JH39" s="291"/>
      <c r="JI39" s="291"/>
      <c r="JJ39" s="291"/>
      <c r="JK39" s="291"/>
      <c r="JL39" s="291"/>
      <c r="JM39" s="291"/>
      <c r="JN39" s="291"/>
      <c r="JO39" s="291"/>
      <c r="JP39" s="291"/>
      <c r="JQ39" s="291"/>
      <c r="JR39" s="291"/>
      <c r="JS39" s="291"/>
      <c r="JT39" s="291"/>
      <c r="JU39" s="291"/>
      <c r="JV39" s="291"/>
      <c r="JW39" s="291"/>
      <c r="JX39" s="291"/>
      <c r="JY39" s="291"/>
      <c r="JZ39" s="291"/>
      <c r="KA39" s="291"/>
      <c r="KB39" s="291"/>
      <c r="KC39" s="291"/>
      <c r="KD39" s="291"/>
      <c r="KE39" s="291"/>
      <c r="KF39" s="291"/>
      <c r="KG39" s="291"/>
      <c r="KH39" s="291"/>
      <c r="KI39" s="291"/>
      <c r="KJ39" s="291"/>
      <c r="KK39" s="291"/>
      <c r="KL39" s="291"/>
      <c r="KM39" s="291"/>
      <c r="KN39" s="291"/>
      <c r="KO39" s="291"/>
      <c r="KP39" s="291"/>
      <c r="KQ39" s="291"/>
      <c r="KR39" s="291"/>
      <c r="KS39" s="291"/>
      <c r="KT39" s="291"/>
      <c r="KU39" s="291"/>
      <c r="KV39" s="291"/>
      <c r="KW39" s="291"/>
      <c r="KX39" s="291"/>
      <c r="KY39" s="291"/>
      <c r="KZ39" s="291"/>
      <c r="LA39" s="291"/>
      <c r="LB39" s="291"/>
      <c r="LC39" s="291"/>
      <c r="LD39" s="291"/>
      <c r="LE39" s="291"/>
      <c r="LF39" s="291"/>
      <c r="LG39" s="291"/>
      <c r="LH39" s="291"/>
      <c r="LI39" s="291"/>
      <c r="LJ39" s="291"/>
      <c r="LK39" s="291"/>
      <c r="LL39" s="291"/>
      <c r="LM39" s="291"/>
      <c r="LN39" s="291"/>
      <c r="LO39" s="291"/>
      <c r="LP39" s="291"/>
      <c r="LQ39" s="291"/>
      <c r="LR39" s="291"/>
      <c r="LS39" s="291"/>
      <c r="LT39" s="291"/>
      <c r="LU39" s="291"/>
      <c r="LV39" s="291"/>
      <c r="LW39" s="291"/>
      <c r="LX39" s="291"/>
      <c r="LY39" s="291"/>
      <c r="LZ39" s="291"/>
      <c r="MA39" s="291"/>
      <c r="MB39" s="291"/>
      <c r="MC39" s="291"/>
      <c r="MD39" s="291"/>
      <c r="ME39" s="291"/>
      <c r="MF39" s="291"/>
      <c r="MG39" s="291"/>
      <c r="MH39" s="291"/>
      <c r="MI39" s="291"/>
      <c r="MJ39" s="291"/>
      <c r="MK39" s="291"/>
      <c r="ML39" s="291"/>
      <c r="MM39" s="291"/>
      <c r="MN39" s="291"/>
      <c r="MO39" s="291"/>
      <c r="MP39" s="291"/>
      <c r="MQ39" s="291"/>
      <c r="MR39" s="291"/>
      <c r="MS39" s="291"/>
      <c r="MT39" s="291"/>
      <c r="MU39" s="291"/>
      <c r="MV39" s="291"/>
      <c r="MW39" s="291"/>
      <c r="MX39" s="291"/>
      <c r="MY39" s="291"/>
      <c r="MZ39" s="291"/>
      <c r="NA39" s="291"/>
      <c r="NB39" s="291"/>
      <c r="NC39" s="291"/>
      <c r="ND39" s="291"/>
      <c r="NE39" s="291"/>
      <c r="NF39" s="291"/>
      <c r="NG39" s="291"/>
      <c r="NH39" s="291"/>
      <c r="NI39" s="291"/>
      <c r="NJ39" s="291"/>
      <c r="NK39" s="291"/>
      <c r="NL39" s="291"/>
      <c r="NM39" s="291"/>
      <c r="NN39" s="291"/>
      <c r="NO39" s="291"/>
      <c r="NP39" s="291"/>
      <c r="NQ39" s="291"/>
      <c r="NR39" s="291"/>
      <c r="NS39" s="291"/>
      <c r="NT39" s="291"/>
      <c r="NU39" s="291"/>
      <c r="NV39" s="291"/>
      <c r="NW39" s="291"/>
      <c r="NX39" s="291"/>
      <c r="NY39" s="291"/>
      <c r="NZ39" s="291"/>
      <c r="OA39" s="291"/>
      <c r="OB39" s="291"/>
      <c r="OC39" s="291"/>
      <c r="OD39" s="291"/>
      <c r="OE39" s="291"/>
      <c r="OF39" s="291"/>
      <c r="OG39" s="291"/>
      <c r="OH39" s="291"/>
      <c r="OI39" s="291"/>
      <c r="OJ39" s="291"/>
      <c r="OK39" s="291"/>
      <c r="OL39" s="291"/>
      <c r="OM39" s="291"/>
      <c r="ON39" s="291"/>
      <c r="OO39" s="291"/>
      <c r="OP39" s="291"/>
      <c r="OQ39" s="291"/>
      <c r="OR39" s="291"/>
      <c r="OS39" s="291"/>
      <c r="OT39" s="291"/>
      <c r="OU39" s="291"/>
      <c r="OV39" s="291"/>
      <c r="OW39" s="291"/>
    </row>
    <row r="40" spans="1:413" s="257" customFormat="1" hidden="1" x14ac:dyDescent="0.2">
      <c r="A40" s="291"/>
      <c r="B40" s="524">
        <f t="shared" si="3"/>
        <v>25</v>
      </c>
      <c r="C40" s="510" t="s">
        <v>38</v>
      </c>
      <c r="D40" s="511">
        <v>30065299</v>
      </c>
      <c r="E40" s="511"/>
      <c r="F40" s="512" t="s">
        <v>1141</v>
      </c>
      <c r="G40" s="513" t="s">
        <v>45</v>
      </c>
      <c r="H40" s="514" t="s">
        <v>1094</v>
      </c>
      <c r="I40" s="515" t="s">
        <v>1142</v>
      </c>
      <c r="J40" s="346" t="s">
        <v>42</v>
      </c>
      <c r="K40" s="526">
        <v>479882</v>
      </c>
      <c r="L40" s="527">
        <v>464494</v>
      </c>
      <c r="M40" s="528">
        <v>0</v>
      </c>
      <c r="N40" s="519">
        <v>0</v>
      </c>
      <c r="O40" s="519">
        <v>0</v>
      </c>
      <c r="P40" s="519">
        <v>15048</v>
      </c>
      <c r="Q40" s="519">
        <v>0</v>
      </c>
      <c r="R40" s="519">
        <v>0</v>
      </c>
      <c r="S40" s="520">
        <v>0</v>
      </c>
      <c r="T40" s="18"/>
      <c r="U40" s="18"/>
      <c r="V40" s="18"/>
      <c r="W40" s="18"/>
      <c r="X40" s="18"/>
      <c r="Y40" s="18"/>
      <c r="Z40" s="18">
        <f t="shared" si="0"/>
        <v>15048</v>
      </c>
      <c r="AA40" s="309">
        <v>15048</v>
      </c>
      <c r="AB40" s="19">
        <v>9</v>
      </c>
      <c r="AC40" s="521">
        <v>44232</v>
      </c>
      <c r="AD40" s="25">
        <v>44251</v>
      </c>
      <c r="AE40" s="309"/>
      <c r="AF40" s="20"/>
      <c r="AG40" s="23"/>
      <c r="AH40" s="25"/>
      <c r="AI40" s="309"/>
      <c r="AJ40" s="19"/>
      <c r="AK40" s="23"/>
      <c r="AL40" s="25"/>
      <c r="AM40" s="309"/>
      <c r="AN40" s="19"/>
      <c r="AO40" s="21"/>
      <c r="AP40" s="25"/>
      <c r="AQ40" s="309"/>
      <c r="AR40" s="19"/>
      <c r="AS40" s="21"/>
      <c r="AT40" s="25"/>
      <c r="AU40" s="522">
        <f t="shared" si="1"/>
        <v>15048</v>
      </c>
      <c r="AV40" s="311">
        <f t="shared" si="2"/>
        <v>0</v>
      </c>
      <c r="AW40" s="305"/>
      <c r="AX40" s="291"/>
      <c r="AY40" s="291"/>
      <c r="AZ40" s="291"/>
      <c r="BA40" s="291"/>
      <c r="BB40" s="291"/>
      <c r="BC40" s="291"/>
      <c r="BD40" s="291"/>
      <c r="BE40" s="291"/>
      <c r="BF40" s="291"/>
      <c r="BG40" s="291"/>
      <c r="BH40" s="291"/>
      <c r="BI40" s="291"/>
      <c r="BJ40" s="291"/>
      <c r="BK40" s="291"/>
      <c r="BL40" s="291"/>
      <c r="BM40" s="291"/>
      <c r="BN40" s="291"/>
      <c r="BO40" s="291"/>
      <c r="BP40" s="291"/>
      <c r="BQ40" s="291"/>
      <c r="BR40" s="291"/>
      <c r="BS40" s="291"/>
      <c r="BT40" s="291"/>
      <c r="BU40" s="291"/>
      <c r="BV40" s="291"/>
      <c r="BW40" s="291"/>
      <c r="BX40" s="291"/>
      <c r="BY40" s="291"/>
      <c r="BZ40" s="291"/>
      <c r="CA40" s="291"/>
      <c r="CB40" s="291"/>
      <c r="CC40" s="291"/>
      <c r="CD40" s="291"/>
      <c r="CE40" s="291"/>
      <c r="CF40" s="291"/>
      <c r="CG40" s="291"/>
      <c r="CH40" s="291"/>
      <c r="CI40" s="291"/>
      <c r="CJ40" s="291"/>
      <c r="CK40" s="291"/>
      <c r="CL40" s="291"/>
      <c r="CM40" s="291"/>
      <c r="CN40" s="291"/>
      <c r="CO40" s="291"/>
      <c r="CP40" s="291"/>
      <c r="CQ40" s="291"/>
      <c r="CR40" s="291"/>
      <c r="CS40" s="291"/>
      <c r="CT40" s="291"/>
      <c r="CU40" s="291"/>
      <c r="CV40" s="291"/>
      <c r="CW40" s="291"/>
      <c r="CX40" s="291"/>
      <c r="CY40" s="291"/>
      <c r="CZ40" s="291"/>
      <c r="DA40" s="291"/>
      <c r="DB40" s="291"/>
      <c r="DC40" s="291"/>
      <c r="DD40" s="291"/>
      <c r="DE40" s="291"/>
      <c r="DF40" s="291"/>
      <c r="DG40" s="291"/>
      <c r="DH40" s="291"/>
      <c r="DI40" s="291"/>
      <c r="DJ40" s="291"/>
      <c r="DK40" s="291"/>
      <c r="DL40" s="291"/>
      <c r="DM40" s="291"/>
      <c r="DN40" s="291"/>
      <c r="DO40" s="291"/>
      <c r="DP40" s="291"/>
      <c r="DQ40" s="291"/>
      <c r="DR40" s="291"/>
      <c r="DS40" s="291"/>
      <c r="DT40" s="291"/>
      <c r="DU40" s="291"/>
      <c r="DV40" s="291"/>
      <c r="DW40" s="291"/>
      <c r="DX40" s="291"/>
      <c r="DY40" s="291"/>
      <c r="DZ40" s="291"/>
      <c r="EA40" s="291"/>
      <c r="EB40" s="291"/>
      <c r="EC40" s="291"/>
      <c r="ED40" s="291"/>
      <c r="EE40" s="291"/>
      <c r="EF40" s="291"/>
      <c r="EG40" s="291"/>
      <c r="EH40" s="291"/>
      <c r="EI40" s="291"/>
      <c r="EJ40" s="291"/>
      <c r="EK40" s="291"/>
      <c r="EL40" s="291"/>
      <c r="EM40" s="291"/>
      <c r="EN40" s="291"/>
      <c r="EO40" s="291"/>
      <c r="EP40" s="291"/>
      <c r="EQ40" s="291"/>
      <c r="ER40" s="291"/>
      <c r="ES40" s="291"/>
      <c r="ET40" s="291"/>
      <c r="EU40" s="291"/>
      <c r="EV40" s="291"/>
      <c r="EW40" s="291"/>
      <c r="EX40" s="291"/>
      <c r="EY40" s="291"/>
      <c r="EZ40" s="291"/>
      <c r="FA40" s="291"/>
      <c r="FB40" s="291"/>
      <c r="FC40" s="291"/>
      <c r="FD40" s="291"/>
      <c r="FE40" s="291"/>
      <c r="FF40" s="291"/>
      <c r="FG40" s="291"/>
      <c r="FH40" s="291"/>
      <c r="FI40" s="291"/>
      <c r="FJ40" s="291"/>
      <c r="FK40" s="291"/>
      <c r="FL40" s="291"/>
      <c r="FM40" s="291"/>
      <c r="FN40" s="291"/>
      <c r="FO40" s="291"/>
      <c r="FP40" s="291"/>
      <c r="FQ40" s="291"/>
      <c r="FR40" s="291"/>
      <c r="FS40" s="291"/>
      <c r="FT40" s="291"/>
      <c r="FU40" s="291"/>
      <c r="FV40" s="291"/>
      <c r="FW40" s="291"/>
      <c r="FX40" s="291"/>
      <c r="FY40" s="291"/>
      <c r="FZ40" s="291"/>
      <c r="GA40" s="291"/>
      <c r="GB40" s="291"/>
      <c r="GC40" s="291"/>
      <c r="GD40" s="291"/>
      <c r="GE40" s="291"/>
      <c r="GF40" s="291"/>
      <c r="GG40" s="291"/>
      <c r="GH40" s="291"/>
      <c r="GI40" s="291"/>
      <c r="GJ40" s="291"/>
      <c r="GK40" s="291"/>
      <c r="GL40" s="291"/>
      <c r="GM40" s="291"/>
      <c r="GN40" s="291"/>
      <c r="GO40" s="291"/>
      <c r="GP40" s="291"/>
      <c r="GQ40" s="291"/>
      <c r="GR40" s="291"/>
      <c r="GS40" s="291"/>
      <c r="GT40" s="291"/>
      <c r="GU40" s="291"/>
      <c r="GV40" s="291"/>
      <c r="GW40" s="291"/>
      <c r="GX40" s="291"/>
      <c r="GY40" s="291"/>
      <c r="GZ40" s="291"/>
      <c r="HA40" s="291"/>
      <c r="HB40" s="291"/>
      <c r="HC40" s="291"/>
      <c r="HD40" s="291"/>
      <c r="HE40" s="291"/>
      <c r="HF40" s="291"/>
      <c r="HG40" s="291"/>
      <c r="HH40" s="291"/>
      <c r="HI40" s="291"/>
      <c r="HJ40" s="291"/>
      <c r="HK40" s="291"/>
      <c r="HL40" s="291"/>
      <c r="HM40" s="291"/>
      <c r="HN40" s="291"/>
      <c r="HO40" s="291"/>
      <c r="HP40" s="291"/>
      <c r="HQ40" s="291"/>
      <c r="HR40" s="291"/>
      <c r="HS40" s="291"/>
      <c r="HT40" s="291"/>
      <c r="HU40" s="291"/>
      <c r="HV40" s="291"/>
      <c r="HW40" s="291"/>
      <c r="HX40" s="291"/>
      <c r="HY40" s="291"/>
      <c r="HZ40" s="291"/>
      <c r="IA40" s="291"/>
      <c r="IB40" s="291"/>
      <c r="IC40" s="291"/>
      <c r="ID40" s="291"/>
      <c r="IE40" s="291"/>
      <c r="IF40" s="291"/>
      <c r="IG40" s="291"/>
      <c r="IH40" s="291"/>
      <c r="II40" s="291"/>
      <c r="IJ40" s="291"/>
      <c r="IK40" s="291"/>
      <c r="IL40" s="291"/>
      <c r="IM40" s="291"/>
      <c r="IN40" s="291"/>
      <c r="IO40" s="291"/>
      <c r="IP40" s="291"/>
      <c r="IQ40" s="291"/>
      <c r="IR40" s="291"/>
      <c r="IS40" s="291"/>
      <c r="IT40" s="291"/>
      <c r="IU40" s="291"/>
      <c r="IV40" s="291"/>
      <c r="IW40" s="291"/>
      <c r="IX40" s="291"/>
      <c r="IY40" s="291"/>
      <c r="IZ40" s="291"/>
      <c r="JA40" s="291"/>
      <c r="JB40" s="291"/>
      <c r="JC40" s="291"/>
      <c r="JD40" s="291"/>
      <c r="JE40" s="291"/>
      <c r="JF40" s="291"/>
      <c r="JG40" s="291"/>
      <c r="JH40" s="291"/>
      <c r="JI40" s="291"/>
      <c r="JJ40" s="291"/>
      <c r="JK40" s="291"/>
      <c r="JL40" s="291"/>
      <c r="JM40" s="291"/>
      <c r="JN40" s="291"/>
      <c r="JO40" s="291"/>
      <c r="JP40" s="291"/>
      <c r="JQ40" s="291"/>
      <c r="JR40" s="291"/>
      <c r="JS40" s="291"/>
      <c r="JT40" s="291"/>
      <c r="JU40" s="291"/>
      <c r="JV40" s="291"/>
      <c r="JW40" s="291"/>
      <c r="JX40" s="291"/>
      <c r="JY40" s="291"/>
      <c r="JZ40" s="291"/>
      <c r="KA40" s="291"/>
      <c r="KB40" s="291"/>
      <c r="KC40" s="291"/>
      <c r="KD40" s="291"/>
      <c r="KE40" s="291"/>
      <c r="KF40" s="291"/>
      <c r="KG40" s="291"/>
      <c r="KH40" s="291"/>
      <c r="KI40" s="291"/>
      <c r="KJ40" s="291"/>
      <c r="KK40" s="291"/>
      <c r="KL40" s="291"/>
      <c r="KM40" s="291"/>
      <c r="KN40" s="291"/>
      <c r="KO40" s="291"/>
      <c r="KP40" s="291"/>
      <c r="KQ40" s="291"/>
      <c r="KR40" s="291"/>
      <c r="KS40" s="291"/>
      <c r="KT40" s="291"/>
      <c r="KU40" s="291"/>
      <c r="KV40" s="291"/>
      <c r="KW40" s="291"/>
      <c r="KX40" s="291"/>
      <c r="KY40" s="291"/>
      <c r="KZ40" s="291"/>
      <c r="LA40" s="291"/>
      <c r="LB40" s="291"/>
      <c r="LC40" s="291"/>
      <c r="LD40" s="291"/>
      <c r="LE40" s="291"/>
      <c r="LF40" s="291"/>
      <c r="LG40" s="291"/>
      <c r="LH40" s="291"/>
      <c r="LI40" s="291"/>
      <c r="LJ40" s="291"/>
      <c r="LK40" s="291"/>
      <c r="LL40" s="291"/>
      <c r="LM40" s="291"/>
      <c r="LN40" s="291"/>
      <c r="LO40" s="291"/>
      <c r="LP40" s="291"/>
      <c r="LQ40" s="291"/>
      <c r="LR40" s="291"/>
      <c r="LS40" s="291"/>
      <c r="LT40" s="291"/>
      <c r="LU40" s="291"/>
      <c r="LV40" s="291"/>
      <c r="LW40" s="291"/>
      <c r="LX40" s="291"/>
      <c r="LY40" s="291"/>
      <c r="LZ40" s="291"/>
      <c r="MA40" s="291"/>
      <c r="MB40" s="291"/>
      <c r="MC40" s="291"/>
      <c r="MD40" s="291"/>
      <c r="ME40" s="291"/>
      <c r="MF40" s="291"/>
      <c r="MG40" s="291"/>
      <c r="MH40" s="291"/>
      <c r="MI40" s="291"/>
      <c r="MJ40" s="291"/>
      <c r="MK40" s="291"/>
      <c r="ML40" s="291"/>
      <c r="MM40" s="291"/>
      <c r="MN40" s="291"/>
      <c r="MO40" s="291"/>
      <c r="MP40" s="291"/>
      <c r="MQ40" s="291"/>
      <c r="MR40" s="291"/>
      <c r="MS40" s="291"/>
      <c r="MT40" s="291"/>
      <c r="MU40" s="291"/>
      <c r="MV40" s="291"/>
      <c r="MW40" s="291"/>
      <c r="MX40" s="291"/>
      <c r="MY40" s="291"/>
      <c r="MZ40" s="291"/>
      <c r="NA40" s="291"/>
      <c r="NB40" s="291"/>
      <c r="NC40" s="291"/>
      <c r="ND40" s="291"/>
      <c r="NE40" s="291"/>
      <c r="NF40" s="291"/>
      <c r="NG40" s="291"/>
      <c r="NH40" s="291"/>
      <c r="NI40" s="291"/>
      <c r="NJ40" s="291"/>
      <c r="NK40" s="291"/>
      <c r="NL40" s="291"/>
      <c r="NM40" s="291"/>
      <c r="NN40" s="291"/>
      <c r="NO40" s="291"/>
      <c r="NP40" s="291"/>
      <c r="NQ40" s="291"/>
      <c r="NR40" s="291"/>
      <c r="NS40" s="291"/>
      <c r="NT40" s="291"/>
      <c r="NU40" s="291"/>
      <c r="NV40" s="291"/>
      <c r="NW40" s="291"/>
      <c r="NX40" s="291"/>
      <c r="NY40" s="291"/>
      <c r="NZ40" s="291"/>
      <c r="OA40" s="291"/>
      <c r="OB40" s="291"/>
      <c r="OC40" s="291"/>
      <c r="OD40" s="291"/>
      <c r="OE40" s="291"/>
      <c r="OF40" s="291"/>
      <c r="OG40" s="291"/>
      <c r="OH40" s="291"/>
      <c r="OI40" s="291"/>
      <c r="OJ40" s="291"/>
      <c r="OK40" s="291"/>
      <c r="OL40" s="291"/>
      <c r="OM40" s="291"/>
      <c r="ON40" s="291"/>
      <c r="OO40" s="291"/>
      <c r="OP40" s="291"/>
      <c r="OQ40" s="291"/>
      <c r="OR40" s="291"/>
      <c r="OS40" s="291"/>
      <c r="OT40" s="291"/>
      <c r="OU40" s="291"/>
      <c r="OV40" s="291"/>
      <c r="OW40" s="291"/>
    </row>
    <row r="41" spans="1:413" s="257" customFormat="1" hidden="1" x14ac:dyDescent="0.2">
      <c r="A41" s="291"/>
      <c r="B41" s="524">
        <f t="shared" si="3"/>
        <v>26</v>
      </c>
      <c r="C41" s="510" t="s">
        <v>38</v>
      </c>
      <c r="D41" s="511">
        <v>30067644</v>
      </c>
      <c r="E41" s="511"/>
      <c r="F41" s="512" t="s">
        <v>1143</v>
      </c>
      <c r="G41" s="513" t="s">
        <v>45</v>
      </c>
      <c r="H41" s="514" t="s">
        <v>1094</v>
      </c>
      <c r="I41" s="515" t="s">
        <v>1144</v>
      </c>
      <c r="J41" s="346" t="s">
        <v>43</v>
      </c>
      <c r="K41" s="526">
        <v>1353449</v>
      </c>
      <c r="L41" s="527">
        <v>0</v>
      </c>
      <c r="M41" s="528">
        <v>1241000</v>
      </c>
      <c r="N41" s="519">
        <v>0</v>
      </c>
      <c r="O41" s="519">
        <v>0</v>
      </c>
      <c r="P41" s="519">
        <v>0</v>
      </c>
      <c r="Q41" s="519">
        <v>0</v>
      </c>
      <c r="R41" s="519">
        <v>0</v>
      </c>
      <c r="S41" s="520">
        <v>0</v>
      </c>
      <c r="T41" s="18"/>
      <c r="U41" s="18"/>
      <c r="V41" s="18"/>
      <c r="W41" s="18"/>
      <c r="X41" s="18"/>
      <c r="Y41" s="18"/>
      <c r="Z41" s="18">
        <f t="shared" si="0"/>
        <v>0</v>
      </c>
      <c r="AA41" s="309">
        <v>112449</v>
      </c>
      <c r="AB41" s="19">
        <v>3</v>
      </c>
      <c r="AC41" s="521">
        <v>44222</v>
      </c>
      <c r="AD41" s="25">
        <v>44225</v>
      </c>
      <c r="AE41" s="309"/>
      <c r="AF41" s="20"/>
      <c r="AG41" s="23"/>
      <c r="AH41" s="25"/>
      <c r="AI41" s="309"/>
      <c r="AJ41" s="19"/>
      <c r="AK41" s="23"/>
      <c r="AL41" s="25"/>
      <c r="AM41" s="309"/>
      <c r="AN41" s="19"/>
      <c r="AO41" s="21"/>
      <c r="AP41" s="25"/>
      <c r="AQ41" s="309"/>
      <c r="AR41" s="19"/>
      <c r="AS41" s="21"/>
      <c r="AT41" s="25"/>
      <c r="AU41" s="522">
        <f t="shared" si="1"/>
        <v>112449</v>
      </c>
      <c r="AV41" s="311">
        <f t="shared" si="2"/>
        <v>112449</v>
      </c>
      <c r="AW41" s="305"/>
      <c r="AX41" s="291"/>
      <c r="AY41" s="291"/>
      <c r="AZ41" s="291"/>
      <c r="BA41" s="291"/>
      <c r="BB41" s="291"/>
      <c r="BC41" s="291"/>
      <c r="BD41" s="291"/>
      <c r="BE41" s="291"/>
      <c r="BF41" s="291"/>
      <c r="BG41" s="291"/>
      <c r="BH41" s="291"/>
      <c r="BI41" s="291"/>
      <c r="BJ41" s="291"/>
      <c r="BK41" s="291"/>
      <c r="BL41" s="291"/>
      <c r="BM41" s="291"/>
      <c r="BN41" s="291"/>
      <c r="BO41" s="291"/>
      <c r="BP41" s="291"/>
      <c r="BQ41" s="291"/>
      <c r="BR41" s="291"/>
      <c r="BS41" s="291"/>
      <c r="BT41" s="291"/>
      <c r="BU41" s="291"/>
      <c r="BV41" s="291"/>
      <c r="BW41" s="291"/>
      <c r="BX41" s="291"/>
      <c r="BY41" s="291"/>
      <c r="BZ41" s="291"/>
      <c r="CA41" s="291"/>
      <c r="CB41" s="291"/>
      <c r="CC41" s="291"/>
      <c r="CD41" s="291"/>
      <c r="CE41" s="291"/>
      <c r="CF41" s="291"/>
      <c r="CG41" s="291"/>
      <c r="CH41" s="291"/>
      <c r="CI41" s="291"/>
      <c r="CJ41" s="291"/>
      <c r="CK41" s="291"/>
      <c r="CL41" s="291"/>
      <c r="CM41" s="291"/>
      <c r="CN41" s="291"/>
      <c r="CO41" s="291"/>
      <c r="CP41" s="291"/>
      <c r="CQ41" s="291"/>
      <c r="CR41" s="291"/>
      <c r="CS41" s="291"/>
      <c r="CT41" s="291"/>
      <c r="CU41" s="291"/>
      <c r="CV41" s="291"/>
      <c r="CW41" s="291"/>
      <c r="CX41" s="291"/>
      <c r="CY41" s="291"/>
      <c r="CZ41" s="291"/>
      <c r="DA41" s="291"/>
      <c r="DB41" s="291"/>
      <c r="DC41" s="291"/>
      <c r="DD41" s="291"/>
      <c r="DE41" s="291"/>
      <c r="DF41" s="291"/>
      <c r="DG41" s="291"/>
      <c r="DH41" s="291"/>
      <c r="DI41" s="291"/>
      <c r="DJ41" s="291"/>
      <c r="DK41" s="291"/>
      <c r="DL41" s="291"/>
      <c r="DM41" s="291"/>
      <c r="DN41" s="291"/>
      <c r="DO41" s="291"/>
      <c r="DP41" s="291"/>
      <c r="DQ41" s="291"/>
      <c r="DR41" s="291"/>
      <c r="DS41" s="291"/>
      <c r="DT41" s="291"/>
      <c r="DU41" s="291"/>
      <c r="DV41" s="291"/>
      <c r="DW41" s="291"/>
      <c r="DX41" s="291"/>
      <c r="DY41" s="291"/>
      <c r="DZ41" s="291"/>
      <c r="EA41" s="291"/>
      <c r="EB41" s="291"/>
      <c r="EC41" s="291"/>
      <c r="ED41" s="291"/>
      <c r="EE41" s="291"/>
      <c r="EF41" s="291"/>
      <c r="EG41" s="291"/>
      <c r="EH41" s="291"/>
      <c r="EI41" s="291"/>
      <c r="EJ41" s="291"/>
      <c r="EK41" s="291"/>
      <c r="EL41" s="291"/>
      <c r="EM41" s="291"/>
      <c r="EN41" s="291"/>
      <c r="EO41" s="291"/>
      <c r="EP41" s="291"/>
      <c r="EQ41" s="291"/>
      <c r="ER41" s="291"/>
      <c r="ES41" s="291"/>
      <c r="ET41" s="291"/>
      <c r="EU41" s="291"/>
      <c r="EV41" s="291"/>
      <c r="EW41" s="291"/>
      <c r="EX41" s="291"/>
      <c r="EY41" s="291"/>
      <c r="EZ41" s="291"/>
      <c r="FA41" s="291"/>
      <c r="FB41" s="291"/>
      <c r="FC41" s="291"/>
      <c r="FD41" s="291"/>
      <c r="FE41" s="291"/>
      <c r="FF41" s="291"/>
      <c r="FG41" s="291"/>
      <c r="FH41" s="291"/>
      <c r="FI41" s="291"/>
      <c r="FJ41" s="291"/>
      <c r="FK41" s="291"/>
      <c r="FL41" s="291"/>
      <c r="FM41" s="291"/>
      <c r="FN41" s="291"/>
      <c r="FO41" s="291"/>
      <c r="FP41" s="291"/>
      <c r="FQ41" s="291"/>
      <c r="FR41" s="291"/>
      <c r="FS41" s="291"/>
      <c r="FT41" s="291"/>
      <c r="FU41" s="291"/>
      <c r="FV41" s="291"/>
      <c r="FW41" s="291"/>
      <c r="FX41" s="291"/>
      <c r="FY41" s="291"/>
      <c r="FZ41" s="291"/>
      <c r="GA41" s="291"/>
      <c r="GB41" s="291"/>
      <c r="GC41" s="291"/>
      <c r="GD41" s="291"/>
      <c r="GE41" s="291"/>
      <c r="GF41" s="291"/>
      <c r="GG41" s="291"/>
      <c r="GH41" s="291"/>
      <c r="GI41" s="291"/>
      <c r="GJ41" s="291"/>
      <c r="GK41" s="291"/>
      <c r="GL41" s="291"/>
      <c r="GM41" s="291"/>
      <c r="GN41" s="291"/>
      <c r="GO41" s="291"/>
      <c r="GP41" s="291"/>
      <c r="GQ41" s="291"/>
      <c r="GR41" s="291"/>
      <c r="GS41" s="291"/>
      <c r="GT41" s="291"/>
      <c r="GU41" s="291"/>
      <c r="GV41" s="291"/>
      <c r="GW41" s="291"/>
      <c r="GX41" s="291"/>
      <c r="GY41" s="291"/>
      <c r="GZ41" s="291"/>
      <c r="HA41" s="291"/>
      <c r="HB41" s="291"/>
      <c r="HC41" s="291"/>
      <c r="HD41" s="291"/>
      <c r="HE41" s="291"/>
      <c r="HF41" s="291"/>
      <c r="HG41" s="291"/>
      <c r="HH41" s="291"/>
      <c r="HI41" s="291"/>
      <c r="HJ41" s="291"/>
      <c r="HK41" s="291"/>
      <c r="HL41" s="291"/>
      <c r="HM41" s="291"/>
      <c r="HN41" s="291"/>
      <c r="HO41" s="291"/>
      <c r="HP41" s="291"/>
      <c r="HQ41" s="291"/>
      <c r="HR41" s="291"/>
      <c r="HS41" s="291"/>
      <c r="HT41" s="291"/>
      <c r="HU41" s="291"/>
      <c r="HV41" s="291"/>
      <c r="HW41" s="291"/>
      <c r="HX41" s="291"/>
      <c r="HY41" s="291"/>
      <c r="HZ41" s="291"/>
      <c r="IA41" s="291"/>
      <c r="IB41" s="291"/>
      <c r="IC41" s="291"/>
      <c r="ID41" s="291"/>
      <c r="IE41" s="291"/>
      <c r="IF41" s="291"/>
      <c r="IG41" s="291"/>
      <c r="IH41" s="291"/>
      <c r="II41" s="291"/>
      <c r="IJ41" s="291"/>
      <c r="IK41" s="291"/>
      <c r="IL41" s="291"/>
      <c r="IM41" s="291"/>
      <c r="IN41" s="291"/>
      <c r="IO41" s="291"/>
      <c r="IP41" s="291"/>
      <c r="IQ41" s="291"/>
      <c r="IR41" s="291"/>
      <c r="IS41" s="291"/>
      <c r="IT41" s="291"/>
      <c r="IU41" s="291"/>
      <c r="IV41" s="291"/>
      <c r="IW41" s="291"/>
      <c r="IX41" s="291"/>
      <c r="IY41" s="291"/>
      <c r="IZ41" s="291"/>
      <c r="JA41" s="291"/>
      <c r="JB41" s="291"/>
      <c r="JC41" s="291"/>
      <c r="JD41" s="291"/>
      <c r="JE41" s="291"/>
      <c r="JF41" s="291"/>
      <c r="JG41" s="291"/>
      <c r="JH41" s="291"/>
      <c r="JI41" s="291"/>
      <c r="JJ41" s="291"/>
      <c r="JK41" s="291"/>
      <c r="JL41" s="291"/>
      <c r="JM41" s="291"/>
      <c r="JN41" s="291"/>
      <c r="JO41" s="291"/>
      <c r="JP41" s="291"/>
      <c r="JQ41" s="291"/>
      <c r="JR41" s="291"/>
      <c r="JS41" s="291"/>
      <c r="JT41" s="291"/>
      <c r="JU41" s="291"/>
      <c r="JV41" s="291"/>
      <c r="JW41" s="291"/>
      <c r="JX41" s="291"/>
      <c r="JY41" s="291"/>
      <c r="JZ41" s="291"/>
      <c r="KA41" s="291"/>
      <c r="KB41" s="291"/>
      <c r="KC41" s="291"/>
      <c r="KD41" s="291"/>
      <c r="KE41" s="291"/>
      <c r="KF41" s="291"/>
      <c r="KG41" s="291"/>
      <c r="KH41" s="291"/>
      <c r="KI41" s="291"/>
      <c r="KJ41" s="291"/>
      <c r="KK41" s="291"/>
      <c r="KL41" s="291"/>
      <c r="KM41" s="291"/>
      <c r="KN41" s="291"/>
      <c r="KO41" s="291"/>
      <c r="KP41" s="291"/>
      <c r="KQ41" s="291"/>
      <c r="KR41" s="291"/>
      <c r="KS41" s="291"/>
      <c r="KT41" s="291"/>
      <c r="KU41" s="291"/>
      <c r="KV41" s="291"/>
      <c r="KW41" s="291"/>
      <c r="KX41" s="291"/>
      <c r="KY41" s="291"/>
      <c r="KZ41" s="291"/>
      <c r="LA41" s="291"/>
      <c r="LB41" s="291"/>
      <c r="LC41" s="291"/>
      <c r="LD41" s="291"/>
      <c r="LE41" s="291"/>
      <c r="LF41" s="291"/>
      <c r="LG41" s="291"/>
      <c r="LH41" s="291"/>
      <c r="LI41" s="291"/>
      <c r="LJ41" s="291"/>
      <c r="LK41" s="291"/>
      <c r="LL41" s="291"/>
      <c r="LM41" s="291"/>
      <c r="LN41" s="291"/>
      <c r="LO41" s="291"/>
      <c r="LP41" s="291"/>
      <c r="LQ41" s="291"/>
      <c r="LR41" s="291"/>
      <c r="LS41" s="291"/>
      <c r="LT41" s="291"/>
      <c r="LU41" s="291"/>
      <c r="LV41" s="291"/>
      <c r="LW41" s="291"/>
      <c r="LX41" s="291"/>
      <c r="LY41" s="291"/>
      <c r="LZ41" s="291"/>
      <c r="MA41" s="291"/>
      <c r="MB41" s="291"/>
      <c r="MC41" s="291"/>
      <c r="MD41" s="291"/>
      <c r="ME41" s="291"/>
      <c r="MF41" s="291"/>
      <c r="MG41" s="291"/>
      <c r="MH41" s="291"/>
      <c r="MI41" s="291"/>
      <c r="MJ41" s="291"/>
      <c r="MK41" s="291"/>
      <c r="ML41" s="291"/>
      <c r="MM41" s="291"/>
      <c r="MN41" s="291"/>
      <c r="MO41" s="291"/>
      <c r="MP41" s="291"/>
      <c r="MQ41" s="291"/>
      <c r="MR41" s="291"/>
      <c r="MS41" s="291"/>
      <c r="MT41" s="291"/>
      <c r="MU41" s="291"/>
      <c r="MV41" s="291"/>
      <c r="MW41" s="291"/>
      <c r="MX41" s="291"/>
      <c r="MY41" s="291"/>
      <c r="MZ41" s="291"/>
      <c r="NA41" s="291"/>
      <c r="NB41" s="291"/>
      <c r="NC41" s="291"/>
      <c r="ND41" s="291"/>
      <c r="NE41" s="291"/>
      <c r="NF41" s="291"/>
      <c r="NG41" s="291"/>
      <c r="NH41" s="291"/>
      <c r="NI41" s="291"/>
      <c r="NJ41" s="291"/>
      <c r="NK41" s="291"/>
      <c r="NL41" s="291"/>
      <c r="NM41" s="291"/>
      <c r="NN41" s="291"/>
      <c r="NO41" s="291"/>
      <c r="NP41" s="291"/>
      <c r="NQ41" s="291"/>
      <c r="NR41" s="291"/>
      <c r="NS41" s="291"/>
      <c r="NT41" s="291"/>
      <c r="NU41" s="291"/>
      <c r="NV41" s="291"/>
      <c r="NW41" s="291"/>
      <c r="NX41" s="291"/>
      <c r="NY41" s="291"/>
      <c r="NZ41" s="291"/>
      <c r="OA41" s="291"/>
      <c r="OB41" s="291"/>
      <c r="OC41" s="291"/>
      <c r="OD41" s="291"/>
      <c r="OE41" s="291"/>
      <c r="OF41" s="291"/>
      <c r="OG41" s="291"/>
      <c r="OH41" s="291"/>
      <c r="OI41" s="291"/>
      <c r="OJ41" s="291"/>
      <c r="OK41" s="291"/>
      <c r="OL41" s="291"/>
      <c r="OM41" s="291"/>
      <c r="ON41" s="291"/>
      <c r="OO41" s="291"/>
      <c r="OP41" s="291"/>
      <c r="OQ41" s="291"/>
      <c r="OR41" s="291"/>
      <c r="OS41" s="291"/>
      <c r="OT41" s="291"/>
      <c r="OU41" s="291"/>
      <c r="OV41" s="291"/>
      <c r="OW41" s="291"/>
    </row>
    <row r="42" spans="1:413" s="257" customFormat="1" hidden="1" x14ac:dyDescent="0.2">
      <c r="A42" s="291"/>
      <c r="B42" s="524">
        <f t="shared" si="3"/>
        <v>27</v>
      </c>
      <c r="C42" s="510" t="s">
        <v>38</v>
      </c>
      <c r="D42" s="511">
        <v>30068032</v>
      </c>
      <c r="E42" s="511"/>
      <c r="F42" s="512" t="s">
        <v>1145</v>
      </c>
      <c r="G42" s="513" t="s">
        <v>45</v>
      </c>
      <c r="H42" s="514" t="s">
        <v>1094</v>
      </c>
      <c r="I42" s="515" t="s">
        <v>1146</v>
      </c>
      <c r="J42" s="346" t="s">
        <v>42</v>
      </c>
      <c r="K42" s="526">
        <v>1185369</v>
      </c>
      <c r="L42" s="527">
        <v>832315</v>
      </c>
      <c r="M42" s="528">
        <v>0</v>
      </c>
      <c r="N42" s="520">
        <v>0</v>
      </c>
      <c r="O42" s="520">
        <v>173790</v>
      </c>
      <c r="P42" s="520">
        <v>0</v>
      </c>
      <c r="Q42" s="520">
        <v>0</v>
      </c>
      <c r="R42" s="520">
        <v>80412</v>
      </c>
      <c r="S42" s="520">
        <v>65381</v>
      </c>
      <c r="T42" s="18"/>
      <c r="U42" s="18"/>
      <c r="V42" s="18"/>
      <c r="W42" s="18"/>
      <c r="X42" s="18"/>
      <c r="Y42" s="18"/>
      <c r="Z42" s="18">
        <f t="shared" si="0"/>
        <v>319583</v>
      </c>
      <c r="AA42" s="309">
        <v>353054</v>
      </c>
      <c r="AB42" s="19">
        <v>5</v>
      </c>
      <c r="AC42" s="521">
        <v>44224</v>
      </c>
      <c r="AD42" s="25">
        <v>44251</v>
      </c>
      <c r="AE42" s="309"/>
      <c r="AF42" s="20"/>
      <c r="AG42" s="23"/>
      <c r="AH42" s="25"/>
      <c r="AI42" s="309"/>
      <c r="AJ42" s="19"/>
      <c r="AK42" s="23"/>
      <c r="AL42" s="25"/>
      <c r="AM42" s="309"/>
      <c r="AN42" s="19"/>
      <c r="AO42" s="21"/>
      <c r="AP42" s="25"/>
      <c r="AQ42" s="309"/>
      <c r="AR42" s="19"/>
      <c r="AS42" s="21"/>
      <c r="AT42" s="25"/>
      <c r="AU42" s="522">
        <f t="shared" si="1"/>
        <v>353054</v>
      </c>
      <c r="AV42" s="311">
        <f t="shared" si="2"/>
        <v>33471</v>
      </c>
      <c r="AW42" s="305"/>
      <c r="AX42" s="291"/>
      <c r="AY42" s="291"/>
      <c r="AZ42" s="291"/>
      <c r="BA42" s="291"/>
      <c r="BB42" s="291"/>
      <c r="BC42" s="291"/>
      <c r="BD42" s="291"/>
      <c r="BE42" s="291"/>
      <c r="BF42" s="291"/>
      <c r="BG42" s="291"/>
      <c r="BH42" s="291"/>
      <c r="BI42" s="291"/>
      <c r="BJ42" s="291"/>
      <c r="BK42" s="291"/>
      <c r="BL42" s="291"/>
      <c r="BM42" s="291"/>
      <c r="BN42" s="291"/>
      <c r="BO42" s="291"/>
      <c r="BP42" s="291"/>
      <c r="BQ42" s="291"/>
      <c r="BR42" s="291"/>
      <c r="BS42" s="291"/>
      <c r="BT42" s="291"/>
      <c r="BU42" s="291"/>
      <c r="BV42" s="291"/>
      <c r="BW42" s="291"/>
      <c r="BX42" s="291"/>
      <c r="BY42" s="291"/>
      <c r="BZ42" s="291"/>
      <c r="CA42" s="291"/>
      <c r="CB42" s="291"/>
      <c r="CC42" s="291"/>
      <c r="CD42" s="291"/>
      <c r="CE42" s="291"/>
      <c r="CF42" s="291"/>
      <c r="CG42" s="291"/>
      <c r="CH42" s="291"/>
      <c r="CI42" s="291"/>
      <c r="CJ42" s="291"/>
      <c r="CK42" s="291"/>
      <c r="CL42" s="291"/>
      <c r="CM42" s="291"/>
      <c r="CN42" s="291"/>
      <c r="CO42" s="291"/>
      <c r="CP42" s="291"/>
      <c r="CQ42" s="291"/>
      <c r="CR42" s="291"/>
      <c r="CS42" s="291"/>
      <c r="CT42" s="291"/>
      <c r="CU42" s="291"/>
      <c r="CV42" s="291"/>
      <c r="CW42" s="291"/>
      <c r="CX42" s="291"/>
      <c r="CY42" s="291"/>
      <c r="CZ42" s="291"/>
      <c r="DA42" s="291"/>
      <c r="DB42" s="291"/>
      <c r="DC42" s="291"/>
      <c r="DD42" s="291"/>
      <c r="DE42" s="291"/>
      <c r="DF42" s="291"/>
      <c r="DG42" s="291"/>
      <c r="DH42" s="291"/>
      <c r="DI42" s="291"/>
      <c r="DJ42" s="291"/>
      <c r="DK42" s="291"/>
      <c r="DL42" s="291"/>
      <c r="DM42" s="291"/>
      <c r="DN42" s="291"/>
      <c r="DO42" s="291"/>
      <c r="DP42" s="291"/>
      <c r="DQ42" s="291"/>
      <c r="DR42" s="291"/>
      <c r="DS42" s="291"/>
      <c r="DT42" s="291"/>
      <c r="DU42" s="291"/>
      <c r="DV42" s="291"/>
      <c r="DW42" s="291"/>
      <c r="DX42" s="291"/>
      <c r="DY42" s="291"/>
      <c r="DZ42" s="291"/>
      <c r="EA42" s="291"/>
      <c r="EB42" s="291"/>
      <c r="EC42" s="291"/>
      <c r="ED42" s="291"/>
      <c r="EE42" s="291"/>
      <c r="EF42" s="291"/>
      <c r="EG42" s="291"/>
      <c r="EH42" s="291"/>
      <c r="EI42" s="291"/>
      <c r="EJ42" s="291"/>
      <c r="EK42" s="291"/>
      <c r="EL42" s="291"/>
      <c r="EM42" s="291"/>
      <c r="EN42" s="291"/>
      <c r="EO42" s="291"/>
      <c r="EP42" s="291"/>
      <c r="EQ42" s="291"/>
      <c r="ER42" s="291"/>
      <c r="ES42" s="291"/>
      <c r="ET42" s="291"/>
      <c r="EU42" s="291"/>
      <c r="EV42" s="291"/>
      <c r="EW42" s="291"/>
      <c r="EX42" s="291"/>
      <c r="EY42" s="291"/>
      <c r="EZ42" s="291"/>
      <c r="FA42" s="291"/>
      <c r="FB42" s="291"/>
      <c r="FC42" s="291"/>
      <c r="FD42" s="291"/>
      <c r="FE42" s="291"/>
      <c r="FF42" s="291"/>
      <c r="FG42" s="291"/>
      <c r="FH42" s="291"/>
      <c r="FI42" s="291"/>
      <c r="FJ42" s="291"/>
      <c r="FK42" s="291"/>
      <c r="FL42" s="291"/>
      <c r="FM42" s="291"/>
      <c r="FN42" s="291"/>
      <c r="FO42" s="291"/>
      <c r="FP42" s="291"/>
      <c r="FQ42" s="291"/>
      <c r="FR42" s="291"/>
      <c r="FS42" s="291"/>
      <c r="FT42" s="291"/>
      <c r="FU42" s="291"/>
      <c r="FV42" s="291"/>
      <c r="FW42" s="291"/>
      <c r="FX42" s="291"/>
      <c r="FY42" s="291"/>
      <c r="FZ42" s="291"/>
      <c r="GA42" s="291"/>
      <c r="GB42" s="291"/>
      <c r="GC42" s="291"/>
      <c r="GD42" s="291"/>
      <c r="GE42" s="291"/>
      <c r="GF42" s="291"/>
      <c r="GG42" s="291"/>
      <c r="GH42" s="291"/>
      <c r="GI42" s="291"/>
      <c r="GJ42" s="291"/>
      <c r="GK42" s="291"/>
      <c r="GL42" s="291"/>
      <c r="GM42" s="291"/>
      <c r="GN42" s="291"/>
      <c r="GO42" s="291"/>
      <c r="GP42" s="291"/>
      <c r="GQ42" s="291"/>
      <c r="GR42" s="291"/>
      <c r="GS42" s="291"/>
      <c r="GT42" s="291"/>
      <c r="GU42" s="291"/>
      <c r="GV42" s="291"/>
      <c r="GW42" s="291"/>
      <c r="GX42" s="291"/>
      <c r="GY42" s="291"/>
      <c r="GZ42" s="291"/>
      <c r="HA42" s="291"/>
      <c r="HB42" s="291"/>
      <c r="HC42" s="291"/>
      <c r="HD42" s="291"/>
      <c r="HE42" s="291"/>
      <c r="HF42" s="291"/>
      <c r="HG42" s="291"/>
      <c r="HH42" s="291"/>
      <c r="HI42" s="291"/>
      <c r="HJ42" s="291"/>
      <c r="HK42" s="291"/>
      <c r="HL42" s="291"/>
      <c r="HM42" s="291"/>
      <c r="HN42" s="291"/>
      <c r="HO42" s="291"/>
      <c r="HP42" s="291"/>
      <c r="HQ42" s="291"/>
      <c r="HR42" s="291"/>
      <c r="HS42" s="291"/>
      <c r="HT42" s="291"/>
      <c r="HU42" s="291"/>
      <c r="HV42" s="291"/>
      <c r="HW42" s="291"/>
      <c r="HX42" s="291"/>
      <c r="HY42" s="291"/>
      <c r="HZ42" s="291"/>
      <c r="IA42" s="291"/>
      <c r="IB42" s="291"/>
      <c r="IC42" s="291"/>
      <c r="ID42" s="291"/>
      <c r="IE42" s="291"/>
      <c r="IF42" s="291"/>
      <c r="IG42" s="291"/>
      <c r="IH42" s="291"/>
      <c r="II42" s="291"/>
      <c r="IJ42" s="291"/>
      <c r="IK42" s="291"/>
      <c r="IL42" s="291"/>
      <c r="IM42" s="291"/>
      <c r="IN42" s="291"/>
      <c r="IO42" s="291"/>
      <c r="IP42" s="291"/>
      <c r="IQ42" s="291"/>
      <c r="IR42" s="291"/>
      <c r="IS42" s="291"/>
      <c r="IT42" s="291"/>
      <c r="IU42" s="291"/>
      <c r="IV42" s="291"/>
      <c r="IW42" s="291"/>
      <c r="IX42" s="291"/>
      <c r="IY42" s="291"/>
      <c r="IZ42" s="291"/>
      <c r="JA42" s="291"/>
      <c r="JB42" s="291"/>
      <c r="JC42" s="291"/>
      <c r="JD42" s="291"/>
      <c r="JE42" s="291"/>
      <c r="JF42" s="291"/>
      <c r="JG42" s="291"/>
      <c r="JH42" s="291"/>
      <c r="JI42" s="291"/>
      <c r="JJ42" s="291"/>
      <c r="JK42" s="291"/>
      <c r="JL42" s="291"/>
      <c r="JM42" s="291"/>
      <c r="JN42" s="291"/>
      <c r="JO42" s="291"/>
      <c r="JP42" s="291"/>
      <c r="JQ42" s="291"/>
      <c r="JR42" s="291"/>
      <c r="JS42" s="291"/>
      <c r="JT42" s="291"/>
      <c r="JU42" s="291"/>
      <c r="JV42" s="291"/>
      <c r="JW42" s="291"/>
      <c r="JX42" s="291"/>
      <c r="JY42" s="291"/>
      <c r="JZ42" s="291"/>
      <c r="KA42" s="291"/>
      <c r="KB42" s="291"/>
      <c r="KC42" s="291"/>
      <c r="KD42" s="291"/>
      <c r="KE42" s="291"/>
      <c r="KF42" s="291"/>
      <c r="KG42" s="291"/>
      <c r="KH42" s="291"/>
      <c r="KI42" s="291"/>
      <c r="KJ42" s="291"/>
      <c r="KK42" s="291"/>
      <c r="KL42" s="291"/>
      <c r="KM42" s="291"/>
      <c r="KN42" s="291"/>
      <c r="KO42" s="291"/>
      <c r="KP42" s="291"/>
      <c r="KQ42" s="291"/>
      <c r="KR42" s="291"/>
      <c r="KS42" s="291"/>
      <c r="KT42" s="291"/>
      <c r="KU42" s="291"/>
      <c r="KV42" s="291"/>
      <c r="KW42" s="291"/>
      <c r="KX42" s="291"/>
      <c r="KY42" s="291"/>
      <c r="KZ42" s="291"/>
      <c r="LA42" s="291"/>
      <c r="LB42" s="291"/>
      <c r="LC42" s="291"/>
      <c r="LD42" s="291"/>
      <c r="LE42" s="291"/>
      <c r="LF42" s="291"/>
      <c r="LG42" s="291"/>
      <c r="LH42" s="291"/>
      <c r="LI42" s="291"/>
      <c r="LJ42" s="291"/>
      <c r="LK42" s="291"/>
      <c r="LL42" s="291"/>
      <c r="LM42" s="291"/>
      <c r="LN42" s="291"/>
      <c r="LO42" s="291"/>
      <c r="LP42" s="291"/>
      <c r="LQ42" s="291"/>
      <c r="LR42" s="291"/>
      <c r="LS42" s="291"/>
      <c r="LT42" s="291"/>
      <c r="LU42" s="291"/>
      <c r="LV42" s="291"/>
      <c r="LW42" s="291"/>
      <c r="LX42" s="291"/>
      <c r="LY42" s="291"/>
      <c r="LZ42" s="291"/>
      <c r="MA42" s="291"/>
      <c r="MB42" s="291"/>
      <c r="MC42" s="291"/>
      <c r="MD42" s="291"/>
      <c r="ME42" s="291"/>
      <c r="MF42" s="291"/>
      <c r="MG42" s="291"/>
      <c r="MH42" s="291"/>
      <c r="MI42" s="291"/>
      <c r="MJ42" s="291"/>
      <c r="MK42" s="291"/>
      <c r="ML42" s="291"/>
      <c r="MM42" s="291"/>
      <c r="MN42" s="291"/>
      <c r="MO42" s="291"/>
      <c r="MP42" s="291"/>
      <c r="MQ42" s="291"/>
      <c r="MR42" s="291"/>
      <c r="MS42" s="291"/>
      <c r="MT42" s="291"/>
      <c r="MU42" s="291"/>
      <c r="MV42" s="291"/>
      <c r="MW42" s="291"/>
      <c r="MX42" s="291"/>
      <c r="MY42" s="291"/>
      <c r="MZ42" s="291"/>
      <c r="NA42" s="291"/>
      <c r="NB42" s="291"/>
      <c r="NC42" s="291"/>
      <c r="ND42" s="291"/>
      <c r="NE42" s="291"/>
      <c r="NF42" s="291"/>
      <c r="NG42" s="291"/>
      <c r="NH42" s="291"/>
      <c r="NI42" s="291"/>
      <c r="NJ42" s="291"/>
      <c r="NK42" s="291"/>
      <c r="NL42" s="291"/>
      <c r="NM42" s="291"/>
      <c r="NN42" s="291"/>
      <c r="NO42" s="291"/>
      <c r="NP42" s="291"/>
      <c r="NQ42" s="291"/>
      <c r="NR42" s="291"/>
      <c r="NS42" s="291"/>
      <c r="NT42" s="291"/>
      <c r="NU42" s="291"/>
      <c r="NV42" s="291"/>
      <c r="NW42" s="291"/>
      <c r="NX42" s="291"/>
      <c r="NY42" s="291"/>
      <c r="NZ42" s="291"/>
      <c r="OA42" s="291"/>
      <c r="OB42" s="291"/>
      <c r="OC42" s="291"/>
      <c r="OD42" s="291"/>
      <c r="OE42" s="291"/>
      <c r="OF42" s="291"/>
      <c r="OG42" s="291"/>
      <c r="OH42" s="291"/>
      <c r="OI42" s="291"/>
      <c r="OJ42" s="291"/>
      <c r="OK42" s="291"/>
      <c r="OL42" s="291"/>
      <c r="OM42" s="291"/>
      <c r="ON42" s="291"/>
      <c r="OO42" s="291"/>
      <c r="OP42" s="291"/>
      <c r="OQ42" s="291"/>
      <c r="OR42" s="291"/>
      <c r="OS42" s="291"/>
      <c r="OT42" s="291"/>
      <c r="OU42" s="291"/>
      <c r="OV42" s="291"/>
      <c r="OW42" s="291"/>
    </row>
    <row r="43" spans="1:413" s="257" customFormat="1" hidden="1" x14ac:dyDescent="0.2">
      <c r="A43" s="291"/>
      <c r="B43" s="524">
        <f t="shared" si="3"/>
        <v>28</v>
      </c>
      <c r="C43" s="510" t="s">
        <v>38</v>
      </c>
      <c r="D43" s="511">
        <v>30068457</v>
      </c>
      <c r="E43" s="511"/>
      <c r="F43" s="512" t="s">
        <v>1147</v>
      </c>
      <c r="G43" s="513" t="s">
        <v>45</v>
      </c>
      <c r="H43" s="514" t="s">
        <v>1094</v>
      </c>
      <c r="I43" s="515" t="s">
        <v>1148</v>
      </c>
      <c r="J43" s="346" t="s">
        <v>42</v>
      </c>
      <c r="K43" s="526">
        <v>2687609</v>
      </c>
      <c r="L43" s="527">
        <v>2643162</v>
      </c>
      <c r="M43" s="528">
        <v>0</v>
      </c>
      <c r="N43" s="520">
        <v>0</v>
      </c>
      <c r="O43" s="520">
        <v>38636</v>
      </c>
      <c r="P43" s="520">
        <v>0</v>
      </c>
      <c r="Q43" s="520">
        <v>0</v>
      </c>
      <c r="R43" s="520">
        <v>5810</v>
      </c>
      <c r="S43" s="520">
        <v>0</v>
      </c>
      <c r="T43" s="18"/>
      <c r="U43" s="18"/>
      <c r="V43" s="18"/>
      <c r="W43" s="18"/>
      <c r="X43" s="18"/>
      <c r="Y43" s="18"/>
      <c r="Z43" s="18">
        <f t="shared" si="0"/>
        <v>44446</v>
      </c>
      <c r="AA43" s="309">
        <v>44447</v>
      </c>
      <c r="AB43" s="19">
        <v>5</v>
      </c>
      <c r="AC43" s="521">
        <v>44224</v>
      </c>
      <c r="AD43" s="25">
        <v>44251</v>
      </c>
      <c r="AE43" s="309"/>
      <c r="AF43" s="20"/>
      <c r="AG43" s="23"/>
      <c r="AH43" s="25"/>
      <c r="AI43" s="309"/>
      <c r="AJ43" s="19"/>
      <c r="AK43" s="23"/>
      <c r="AL43" s="25"/>
      <c r="AM43" s="309"/>
      <c r="AN43" s="19"/>
      <c r="AO43" s="21"/>
      <c r="AP43" s="25"/>
      <c r="AQ43" s="309"/>
      <c r="AR43" s="19"/>
      <c r="AS43" s="21"/>
      <c r="AT43" s="25"/>
      <c r="AU43" s="522">
        <f t="shared" si="1"/>
        <v>44447</v>
      </c>
      <c r="AV43" s="311">
        <f t="shared" si="2"/>
        <v>1</v>
      </c>
      <c r="AW43" s="305"/>
      <c r="AX43" s="291"/>
      <c r="AY43" s="291"/>
      <c r="AZ43" s="291"/>
      <c r="BA43" s="291"/>
      <c r="BB43" s="291"/>
      <c r="BC43" s="291"/>
      <c r="BD43" s="291"/>
      <c r="BE43" s="291"/>
      <c r="BF43" s="291"/>
      <c r="BG43" s="291"/>
      <c r="BH43" s="291"/>
      <c r="BI43" s="291"/>
      <c r="BJ43" s="291"/>
      <c r="BK43" s="291"/>
      <c r="BL43" s="291"/>
      <c r="BM43" s="291"/>
      <c r="BN43" s="291"/>
      <c r="BO43" s="291"/>
      <c r="BP43" s="291"/>
      <c r="BQ43" s="291"/>
      <c r="BR43" s="291"/>
      <c r="BS43" s="291"/>
      <c r="BT43" s="291"/>
      <c r="BU43" s="291"/>
      <c r="BV43" s="291"/>
      <c r="BW43" s="291"/>
      <c r="BX43" s="291"/>
      <c r="BY43" s="291"/>
      <c r="BZ43" s="291"/>
      <c r="CA43" s="291"/>
      <c r="CB43" s="291"/>
      <c r="CC43" s="291"/>
      <c r="CD43" s="291"/>
      <c r="CE43" s="291"/>
      <c r="CF43" s="291"/>
      <c r="CG43" s="291"/>
      <c r="CH43" s="291"/>
      <c r="CI43" s="291"/>
      <c r="CJ43" s="291"/>
      <c r="CK43" s="291"/>
      <c r="CL43" s="291"/>
      <c r="CM43" s="291"/>
      <c r="CN43" s="291"/>
      <c r="CO43" s="291"/>
      <c r="CP43" s="291"/>
      <c r="CQ43" s="291"/>
      <c r="CR43" s="291"/>
      <c r="CS43" s="291"/>
      <c r="CT43" s="291"/>
      <c r="CU43" s="291"/>
      <c r="CV43" s="291"/>
      <c r="CW43" s="291"/>
      <c r="CX43" s="291"/>
      <c r="CY43" s="291"/>
      <c r="CZ43" s="291"/>
      <c r="DA43" s="291"/>
      <c r="DB43" s="291"/>
      <c r="DC43" s="291"/>
      <c r="DD43" s="291"/>
      <c r="DE43" s="291"/>
      <c r="DF43" s="291"/>
      <c r="DG43" s="291"/>
      <c r="DH43" s="291"/>
      <c r="DI43" s="291"/>
      <c r="DJ43" s="291"/>
      <c r="DK43" s="291"/>
      <c r="DL43" s="291"/>
      <c r="DM43" s="291"/>
      <c r="DN43" s="291"/>
      <c r="DO43" s="291"/>
      <c r="DP43" s="291"/>
      <c r="DQ43" s="291"/>
      <c r="DR43" s="291"/>
      <c r="DS43" s="291"/>
      <c r="DT43" s="291"/>
      <c r="DU43" s="291"/>
      <c r="DV43" s="291"/>
      <c r="DW43" s="291"/>
      <c r="DX43" s="291"/>
      <c r="DY43" s="291"/>
      <c r="DZ43" s="291"/>
      <c r="EA43" s="291"/>
      <c r="EB43" s="291"/>
      <c r="EC43" s="291"/>
      <c r="ED43" s="291"/>
      <c r="EE43" s="291"/>
      <c r="EF43" s="291"/>
      <c r="EG43" s="291"/>
      <c r="EH43" s="291"/>
      <c r="EI43" s="291"/>
      <c r="EJ43" s="291"/>
      <c r="EK43" s="291"/>
      <c r="EL43" s="291"/>
      <c r="EM43" s="291"/>
      <c r="EN43" s="291"/>
      <c r="EO43" s="291"/>
      <c r="EP43" s="291"/>
      <c r="EQ43" s="291"/>
      <c r="ER43" s="291"/>
      <c r="ES43" s="291"/>
      <c r="ET43" s="291"/>
      <c r="EU43" s="291"/>
      <c r="EV43" s="291"/>
      <c r="EW43" s="291"/>
      <c r="EX43" s="291"/>
      <c r="EY43" s="291"/>
      <c r="EZ43" s="291"/>
      <c r="FA43" s="291"/>
      <c r="FB43" s="291"/>
      <c r="FC43" s="291"/>
      <c r="FD43" s="291"/>
      <c r="FE43" s="291"/>
      <c r="FF43" s="291"/>
      <c r="FG43" s="291"/>
      <c r="FH43" s="291"/>
      <c r="FI43" s="291"/>
      <c r="FJ43" s="291"/>
      <c r="FK43" s="291"/>
      <c r="FL43" s="291"/>
      <c r="FM43" s="291"/>
      <c r="FN43" s="291"/>
      <c r="FO43" s="291"/>
      <c r="FP43" s="291"/>
      <c r="FQ43" s="291"/>
      <c r="FR43" s="291"/>
      <c r="FS43" s="291"/>
      <c r="FT43" s="291"/>
      <c r="FU43" s="291"/>
      <c r="FV43" s="291"/>
      <c r="FW43" s="291"/>
      <c r="FX43" s="291"/>
      <c r="FY43" s="291"/>
      <c r="FZ43" s="291"/>
      <c r="GA43" s="291"/>
      <c r="GB43" s="291"/>
      <c r="GC43" s="291"/>
      <c r="GD43" s="291"/>
      <c r="GE43" s="291"/>
      <c r="GF43" s="291"/>
      <c r="GG43" s="291"/>
      <c r="GH43" s="291"/>
      <c r="GI43" s="291"/>
      <c r="GJ43" s="291"/>
      <c r="GK43" s="291"/>
      <c r="GL43" s="291"/>
      <c r="GM43" s="291"/>
      <c r="GN43" s="291"/>
      <c r="GO43" s="291"/>
      <c r="GP43" s="291"/>
      <c r="GQ43" s="291"/>
      <c r="GR43" s="291"/>
      <c r="GS43" s="291"/>
      <c r="GT43" s="291"/>
      <c r="GU43" s="291"/>
      <c r="GV43" s="291"/>
      <c r="GW43" s="291"/>
      <c r="GX43" s="291"/>
      <c r="GY43" s="291"/>
      <c r="GZ43" s="291"/>
      <c r="HA43" s="291"/>
      <c r="HB43" s="291"/>
      <c r="HC43" s="291"/>
      <c r="HD43" s="291"/>
      <c r="HE43" s="291"/>
      <c r="HF43" s="291"/>
      <c r="HG43" s="291"/>
      <c r="HH43" s="291"/>
      <c r="HI43" s="291"/>
      <c r="HJ43" s="291"/>
      <c r="HK43" s="291"/>
      <c r="HL43" s="291"/>
      <c r="HM43" s="291"/>
      <c r="HN43" s="291"/>
      <c r="HO43" s="291"/>
      <c r="HP43" s="291"/>
      <c r="HQ43" s="291"/>
      <c r="HR43" s="291"/>
      <c r="HS43" s="291"/>
      <c r="HT43" s="291"/>
      <c r="HU43" s="291"/>
      <c r="HV43" s="291"/>
      <c r="HW43" s="291"/>
      <c r="HX43" s="291"/>
      <c r="HY43" s="291"/>
      <c r="HZ43" s="291"/>
      <c r="IA43" s="291"/>
      <c r="IB43" s="291"/>
      <c r="IC43" s="291"/>
      <c r="ID43" s="291"/>
      <c r="IE43" s="291"/>
      <c r="IF43" s="291"/>
      <c r="IG43" s="291"/>
      <c r="IH43" s="291"/>
      <c r="II43" s="291"/>
      <c r="IJ43" s="291"/>
      <c r="IK43" s="291"/>
      <c r="IL43" s="291"/>
      <c r="IM43" s="291"/>
      <c r="IN43" s="291"/>
      <c r="IO43" s="291"/>
      <c r="IP43" s="291"/>
      <c r="IQ43" s="291"/>
      <c r="IR43" s="291"/>
      <c r="IS43" s="291"/>
      <c r="IT43" s="291"/>
      <c r="IU43" s="291"/>
      <c r="IV43" s="291"/>
      <c r="IW43" s="291"/>
      <c r="IX43" s="291"/>
      <c r="IY43" s="291"/>
      <c r="IZ43" s="291"/>
      <c r="JA43" s="291"/>
      <c r="JB43" s="291"/>
      <c r="JC43" s="291"/>
      <c r="JD43" s="291"/>
      <c r="JE43" s="291"/>
      <c r="JF43" s="291"/>
      <c r="JG43" s="291"/>
      <c r="JH43" s="291"/>
      <c r="JI43" s="291"/>
      <c r="JJ43" s="291"/>
      <c r="JK43" s="291"/>
      <c r="JL43" s="291"/>
      <c r="JM43" s="291"/>
      <c r="JN43" s="291"/>
      <c r="JO43" s="291"/>
      <c r="JP43" s="291"/>
      <c r="JQ43" s="291"/>
      <c r="JR43" s="291"/>
      <c r="JS43" s="291"/>
      <c r="JT43" s="291"/>
      <c r="JU43" s="291"/>
      <c r="JV43" s="291"/>
      <c r="JW43" s="291"/>
      <c r="JX43" s="291"/>
      <c r="JY43" s="291"/>
      <c r="JZ43" s="291"/>
      <c r="KA43" s="291"/>
      <c r="KB43" s="291"/>
      <c r="KC43" s="291"/>
      <c r="KD43" s="291"/>
      <c r="KE43" s="291"/>
      <c r="KF43" s="291"/>
      <c r="KG43" s="291"/>
      <c r="KH43" s="291"/>
      <c r="KI43" s="291"/>
      <c r="KJ43" s="291"/>
      <c r="KK43" s="291"/>
      <c r="KL43" s="291"/>
      <c r="KM43" s="291"/>
      <c r="KN43" s="291"/>
      <c r="KO43" s="291"/>
      <c r="KP43" s="291"/>
      <c r="KQ43" s="291"/>
      <c r="KR43" s="291"/>
      <c r="KS43" s="291"/>
      <c r="KT43" s="291"/>
      <c r="KU43" s="291"/>
      <c r="KV43" s="291"/>
      <c r="KW43" s="291"/>
      <c r="KX43" s="291"/>
      <c r="KY43" s="291"/>
      <c r="KZ43" s="291"/>
      <c r="LA43" s="291"/>
      <c r="LB43" s="291"/>
      <c r="LC43" s="291"/>
      <c r="LD43" s="291"/>
      <c r="LE43" s="291"/>
      <c r="LF43" s="291"/>
      <c r="LG43" s="291"/>
      <c r="LH43" s="291"/>
      <c r="LI43" s="291"/>
      <c r="LJ43" s="291"/>
      <c r="LK43" s="291"/>
      <c r="LL43" s="291"/>
      <c r="LM43" s="291"/>
      <c r="LN43" s="291"/>
      <c r="LO43" s="291"/>
      <c r="LP43" s="291"/>
      <c r="LQ43" s="291"/>
      <c r="LR43" s="291"/>
      <c r="LS43" s="291"/>
      <c r="LT43" s="291"/>
      <c r="LU43" s="291"/>
      <c r="LV43" s="291"/>
      <c r="LW43" s="291"/>
      <c r="LX43" s="291"/>
      <c r="LY43" s="291"/>
      <c r="LZ43" s="291"/>
      <c r="MA43" s="291"/>
      <c r="MB43" s="291"/>
      <c r="MC43" s="291"/>
      <c r="MD43" s="291"/>
      <c r="ME43" s="291"/>
      <c r="MF43" s="291"/>
      <c r="MG43" s="291"/>
      <c r="MH43" s="291"/>
      <c r="MI43" s="291"/>
      <c r="MJ43" s="291"/>
      <c r="MK43" s="291"/>
      <c r="ML43" s="291"/>
      <c r="MM43" s="291"/>
      <c r="MN43" s="291"/>
      <c r="MO43" s="291"/>
      <c r="MP43" s="291"/>
      <c r="MQ43" s="291"/>
      <c r="MR43" s="291"/>
      <c r="MS43" s="291"/>
      <c r="MT43" s="291"/>
      <c r="MU43" s="291"/>
      <c r="MV43" s="291"/>
      <c r="MW43" s="291"/>
      <c r="MX43" s="291"/>
      <c r="MY43" s="291"/>
      <c r="MZ43" s="291"/>
      <c r="NA43" s="291"/>
      <c r="NB43" s="291"/>
      <c r="NC43" s="291"/>
      <c r="ND43" s="291"/>
      <c r="NE43" s="291"/>
      <c r="NF43" s="291"/>
      <c r="NG43" s="291"/>
      <c r="NH43" s="291"/>
      <c r="NI43" s="291"/>
      <c r="NJ43" s="291"/>
      <c r="NK43" s="291"/>
      <c r="NL43" s="291"/>
      <c r="NM43" s="291"/>
      <c r="NN43" s="291"/>
      <c r="NO43" s="291"/>
      <c r="NP43" s="291"/>
      <c r="NQ43" s="291"/>
      <c r="NR43" s="291"/>
      <c r="NS43" s="291"/>
      <c r="NT43" s="291"/>
      <c r="NU43" s="291"/>
      <c r="NV43" s="291"/>
      <c r="NW43" s="291"/>
      <c r="NX43" s="291"/>
      <c r="NY43" s="291"/>
      <c r="NZ43" s="291"/>
      <c r="OA43" s="291"/>
      <c r="OB43" s="291"/>
      <c r="OC43" s="291"/>
      <c r="OD43" s="291"/>
      <c r="OE43" s="291"/>
      <c r="OF43" s="291"/>
      <c r="OG43" s="291"/>
      <c r="OH43" s="291"/>
      <c r="OI43" s="291"/>
      <c r="OJ43" s="291"/>
      <c r="OK43" s="291"/>
      <c r="OL43" s="291"/>
      <c r="OM43" s="291"/>
      <c r="ON43" s="291"/>
      <c r="OO43" s="291"/>
      <c r="OP43" s="291"/>
      <c r="OQ43" s="291"/>
      <c r="OR43" s="291"/>
      <c r="OS43" s="291"/>
      <c r="OT43" s="291"/>
      <c r="OU43" s="291"/>
      <c r="OV43" s="291"/>
      <c r="OW43" s="291"/>
    </row>
    <row r="44" spans="1:413" s="257" customFormat="1" hidden="1" x14ac:dyDescent="0.2">
      <c r="A44" s="291"/>
      <c r="B44" s="524">
        <f t="shared" si="3"/>
        <v>29</v>
      </c>
      <c r="C44" s="510" t="s">
        <v>38</v>
      </c>
      <c r="D44" s="511">
        <v>30068866</v>
      </c>
      <c r="E44" s="511"/>
      <c r="F44" s="512" t="s">
        <v>1149</v>
      </c>
      <c r="G44" s="513" t="s">
        <v>45</v>
      </c>
      <c r="H44" s="514" t="s">
        <v>1094</v>
      </c>
      <c r="I44" s="515" t="s">
        <v>1150</v>
      </c>
      <c r="J44" s="346" t="s">
        <v>42</v>
      </c>
      <c r="K44" s="526">
        <v>657911</v>
      </c>
      <c r="L44" s="527">
        <v>644882</v>
      </c>
      <c r="M44" s="528">
        <v>0</v>
      </c>
      <c r="N44" s="519">
        <v>0</v>
      </c>
      <c r="O44" s="519">
        <v>0</v>
      </c>
      <c r="P44" s="519">
        <v>0</v>
      </c>
      <c r="Q44" s="519">
        <v>3311</v>
      </c>
      <c r="R44" s="519">
        <v>0</v>
      </c>
      <c r="S44" s="520">
        <v>0</v>
      </c>
      <c r="T44" s="18"/>
      <c r="U44" s="18"/>
      <c r="V44" s="18"/>
      <c r="W44" s="18"/>
      <c r="X44" s="18"/>
      <c r="Y44" s="18"/>
      <c r="Z44" s="18">
        <f t="shared" si="0"/>
        <v>3311</v>
      </c>
      <c r="AA44" s="309">
        <v>13029</v>
      </c>
      <c r="AB44" s="19">
        <v>11</v>
      </c>
      <c r="AC44" s="521">
        <v>44237</v>
      </c>
      <c r="AD44" s="25">
        <v>44251</v>
      </c>
      <c r="AE44" s="309"/>
      <c r="AF44" s="20"/>
      <c r="AG44" s="23"/>
      <c r="AH44" s="25"/>
      <c r="AI44" s="309"/>
      <c r="AJ44" s="19"/>
      <c r="AK44" s="23"/>
      <c r="AL44" s="25"/>
      <c r="AM44" s="309"/>
      <c r="AN44" s="19"/>
      <c r="AO44" s="21"/>
      <c r="AP44" s="25"/>
      <c r="AQ44" s="309"/>
      <c r="AR44" s="19"/>
      <c r="AS44" s="21"/>
      <c r="AT44" s="25"/>
      <c r="AU44" s="522">
        <f t="shared" si="1"/>
        <v>13029</v>
      </c>
      <c r="AV44" s="311">
        <f t="shared" si="2"/>
        <v>9718</v>
      </c>
      <c r="AW44" s="305"/>
      <c r="AX44" s="291"/>
      <c r="AY44" s="291"/>
      <c r="AZ44" s="291"/>
      <c r="BA44" s="291"/>
      <c r="BB44" s="291"/>
      <c r="BC44" s="291"/>
      <c r="BD44" s="291"/>
      <c r="BE44" s="291"/>
      <c r="BF44" s="291"/>
      <c r="BG44" s="291"/>
      <c r="BH44" s="291"/>
      <c r="BI44" s="291"/>
      <c r="BJ44" s="291"/>
      <c r="BK44" s="291"/>
      <c r="BL44" s="291"/>
      <c r="BM44" s="291"/>
      <c r="BN44" s="291"/>
      <c r="BO44" s="291"/>
      <c r="BP44" s="291"/>
      <c r="BQ44" s="291"/>
      <c r="BR44" s="291"/>
      <c r="BS44" s="291"/>
      <c r="BT44" s="291"/>
      <c r="BU44" s="291"/>
      <c r="BV44" s="291"/>
      <c r="BW44" s="291"/>
      <c r="BX44" s="291"/>
      <c r="BY44" s="291"/>
      <c r="BZ44" s="291"/>
      <c r="CA44" s="291"/>
      <c r="CB44" s="291"/>
      <c r="CC44" s="291"/>
      <c r="CD44" s="291"/>
      <c r="CE44" s="291"/>
      <c r="CF44" s="291"/>
      <c r="CG44" s="291"/>
      <c r="CH44" s="291"/>
      <c r="CI44" s="291"/>
      <c r="CJ44" s="291"/>
      <c r="CK44" s="291"/>
      <c r="CL44" s="291"/>
      <c r="CM44" s="291"/>
      <c r="CN44" s="291"/>
      <c r="CO44" s="291"/>
      <c r="CP44" s="291"/>
      <c r="CQ44" s="291"/>
      <c r="CR44" s="291"/>
      <c r="CS44" s="291"/>
      <c r="CT44" s="291"/>
      <c r="CU44" s="291"/>
      <c r="CV44" s="291"/>
      <c r="CW44" s="291"/>
      <c r="CX44" s="291"/>
      <c r="CY44" s="291"/>
      <c r="CZ44" s="291"/>
      <c r="DA44" s="291"/>
      <c r="DB44" s="291"/>
      <c r="DC44" s="291"/>
      <c r="DD44" s="291"/>
      <c r="DE44" s="291"/>
      <c r="DF44" s="291"/>
      <c r="DG44" s="291"/>
      <c r="DH44" s="291"/>
      <c r="DI44" s="291"/>
      <c r="DJ44" s="291"/>
      <c r="DK44" s="291"/>
      <c r="DL44" s="291"/>
      <c r="DM44" s="291"/>
      <c r="DN44" s="291"/>
      <c r="DO44" s="291"/>
      <c r="DP44" s="291"/>
      <c r="DQ44" s="291"/>
      <c r="DR44" s="291"/>
      <c r="DS44" s="291"/>
      <c r="DT44" s="291"/>
      <c r="DU44" s="291"/>
      <c r="DV44" s="291"/>
      <c r="DW44" s="291"/>
      <c r="DX44" s="291"/>
      <c r="DY44" s="291"/>
      <c r="DZ44" s="291"/>
      <c r="EA44" s="291"/>
      <c r="EB44" s="291"/>
      <c r="EC44" s="291"/>
      <c r="ED44" s="291"/>
      <c r="EE44" s="291"/>
      <c r="EF44" s="291"/>
      <c r="EG44" s="291"/>
      <c r="EH44" s="291"/>
      <c r="EI44" s="291"/>
      <c r="EJ44" s="291"/>
      <c r="EK44" s="291"/>
      <c r="EL44" s="291"/>
      <c r="EM44" s="291"/>
      <c r="EN44" s="291"/>
      <c r="EO44" s="291"/>
      <c r="EP44" s="291"/>
      <c r="EQ44" s="291"/>
      <c r="ER44" s="291"/>
      <c r="ES44" s="291"/>
      <c r="ET44" s="291"/>
      <c r="EU44" s="291"/>
      <c r="EV44" s="291"/>
      <c r="EW44" s="291"/>
      <c r="EX44" s="291"/>
      <c r="EY44" s="291"/>
      <c r="EZ44" s="291"/>
      <c r="FA44" s="291"/>
      <c r="FB44" s="291"/>
      <c r="FC44" s="291"/>
      <c r="FD44" s="291"/>
      <c r="FE44" s="291"/>
      <c r="FF44" s="291"/>
      <c r="FG44" s="291"/>
      <c r="FH44" s="291"/>
      <c r="FI44" s="291"/>
      <c r="FJ44" s="291"/>
      <c r="FK44" s="291"/>
      <c r="FL44" s="291"/>
      <c r="FM44" s="291"/>
      <c r="FN44" s="291"/>
      <c r="FO44" s="291"/>
      <c r="FP44" s="291"/>
      <c r="FQ44" s="291"/>
      <c r="FR44" s="291"/>
      <c r="FS44" s="291"/>
      <c r="FT44" s="291"/>
      <c r="FU44" s="291"/>
      <c r="FV44" s="291"/>
      <c r="FW44" s="291"/>
      <c r="FX44" s="291"/>
      <c r="FY44" s="291"/>
      <c r="FZ44" s="291"/>
      <c r="GA44" s="291"/>
      <c r="GB44" s="291"/>
      <c r="GC44" s="291"/>
      <c r="GD44" s="291"/>
      <c r="GE44" s="291"/>
      <c r="GF44" s="291"/>
      <c r="GG44" s="291"/>
      <c r="GH44" s="291"/>
      <c r="GI44" s="291"/>
      <c r="GJ44" s="291"/>
      <c r="GK44" s="291"/>
      <c r="GL44" s="291"/>
      <c r="GM44" s="291"/>
      <c r="GN44" s="291"/>
      <c r="GO44" s="291"/>
      <c r="GP44" s="291"/>
      <c r="GQ44" s="291"/>
      <c r="GR44" s="291"/>
      <c r="GS44" s="291"/>
      <c r="GT44" s="291"/>
      <c r="GU44" s="291"/>
      <c r="GV44" s="291"/>
      <c r="GW44" s="291"/>
      <c r="GX44" s="291"/>
      <c r="GY44" s="291"/>
      <c r="GZ44" s="291"/>
      <c r="HA44" s="291"/>
      <c r="HB44" s="291"/>
      <c r="HC44" s="291"/>
      <c r="HD44" s="291"/>
      <c r="HE44" s="291"/>
      <c r="HF44" s="291"/>
      <c r="HG44" s="291"/>
      <c r="HH44" s="291"/>
      <c r="HI44" s="291"/>
      <c r="HJ44" s="291"/>
      <c r="HK44" s="291"/>
      <c r="HL44" s="291"/>
      <c r="HM44" s="291"/>
      <c r="HN44" s="291"/>
      <c r="HO44" s="291"/>
      <c r="HP44" s="291"/>
      <c r="HQ44" s="291"/>
      <c r="HR44" s="291"/>
      <c r="HS44" s="291"/>
      <c r="HT44" s="291"/>
      <c r="HU44" s="291"/>
      <c r="HV44" s="291"/>
      <c r="HW44" s="291"/>
      <c r="HX44" s="291"/>
      <c r="HY44" s="291"/>
      <c r="HZ44" s="291"/>
      <c r="IA44" s="291"/>
      <c r="IB44" s="291"/>
      <c r="IC44" s="291"/>
      <c r="ID44" s="291"/>
      <c r="IE44" s="291"/>
      <c r="IF44" s="291"/>
      <c r="IG44" s="291"/>
      <c r="IH44" s="291"/>
      <c r="II44" s="291"/>
      <c r="IJ44" s="291"/>
      <c r="IK44" s="291"/>
      <c r="IL44" s="291"/>
      <c r="IM44" s="291"/>
      <c r="IN44" s="291"/>
      <c r="IO44" s="291"/>
      <c r="IP44" s="291"/>
      <c r="IQ44" s="291"/>
      <c r="IR44" s="291"/>
      <c r="IS44" s="291"/>
      <c r="IT44" s="291"/>
      <c r="IU44" s="291"/>
      <c r="IV44" s="291"/>
      <c r="IW44" s="291"/>
      <c r="IX44" s="291"/>
      <c r="IY44" s="291"/>
      <c r="IZ44" s="291"/>
      <c r="JA44" s="291"/>
      <c r="JB44" s="291"/>
      <c r="JC44" s="291"/>
      <c r="JD44" s="291"/>
      <c r="JE44" s="291"/>
      <c r="JF44" s="291"/>
      <c r="JG44" s="291"/>
      <c r="JH44" s="291"/>
      <c r="JI44" s="291"/>
      <c r="JJ44" s="291"/>
      <c r="JK44" s="291"/>
      <c r="JL44" s="291"/>
      <c r="JM44" s="291"/>
      <c r="JN44" s="291"/>
      <c r="JO44" s="291"/>
      <c r="JP44" s="291"/>
      <c r="JQ44" s="291"/>
      <c r="JR44" s="291"/>
      <c r="JS44" s="291"/>
      <c r="JT44" s="291"/>
      <c r="JU44" s="291"/>
      <c r="JV44" s="291"/>
      <c r="JW44" s="291"/>
      <c r="JX44" s="291"/>
      <c r="JY44" s="291"/>
      <c r="JZ44" s="291"/>
      <c r="KA44" s="291"/>
      <c r="KB44" s="291"/>
      <c r="KC44" s="291"/>
      <c r="KD44" s="291"/>
      <c r="KE44" s="291"/>
      <c r="KF44" s="291"/>
      <c r="KG44" s="291"/>
      <c r="KH44" s="291"/>
      <c r="KI44" s="291"/>
      <c r="KJ44" s="291"/>
      <c r="KK44" s="291"/>
      <c r="KL44" s="291"/>
      <c r="KM44" s="291"/>
      <c r="KN44" s="291"/>
      <c r="KO44" s="291"/>
      <c r="KP44" s="291"/>
      <c r="KQ44" s="291"/>
      <c r="KR44" s="291"/>
      <c r="KS44" s="291"/>
      <c r="KT44" s="291"/>
      <c r="KU44" s="291"/>
      <c r="KV44" s="291"/>
      <c r="KW44" s="291"/>
      <c r="KX44" s="291"/>
      <c r="KY44" s="291"/>
      <c r="KZ44" s="291"/>
      <c r="LA44" s="291"/>
      <c r="LB44" s="291"/>
      <c r="LC44" s="291"/>
      <c r="LD44" s="291"/>
      <c r="LE44" s="291"/>
      <c r="LF44" s="291"/>
      <c r="LG44" s="291"/>
      <c r="LH44" s="291"/>
      <c r="LI44" s="291"/>
      <c r="LJ44" s="291"/>
      <c r="LK44" s="291"/>
      <c r="LL44" s="291"/>
      <c r="LM44" s="291"/>
      <c r="LN44" s="291"/>
      <c r="LO44" s="291"/>
      <c r="LP44" s="291"/>
      <c r="LQ44" s="291"/>
      <c r="LR44" s="291"/>
      <c r="LS44" s="291"/>
      <c r="LT44" s="291"/>
      <c r="LU44" s="291"/>
      <c r="LV44" s="291"/>
      <c r="LW44" s="291"/>
      <c r="LX44" s="291"/>
      <c r="LY44" s="291"/>
      <c r="LZ44" s="291"/>
      <c r="MA44" s="291"/>
      <c r="MB44" s="291"/>
      <c r="MC44" s="291"/>
      <c r="MD44" s="291"/>
      <c r="ME44" s="291"/>
      <c r="MF44" s="291"/>
      <c r="MG44" s="291"/>
      <c r="MH44" s="291"/>
      <c r="MI44" s="291"/>
      <c r="MJ44" s="291"/>
      <c r="MK44" s="291"/>
      <c r="ML44" s="291"/>
      <c r="MM44" s="291"/>
      <c r="MN44" s="291"/>
      <c r="MO44" s="291"/>
      <c r="MP44" s="291"/>
      <c r="MQ44" s="291"/>
      <c r="MR44" s="291"/>
      <c r="MS44" s="291"/>
      <c r="MT44" s="291"/>
      <c r="MU44" s="291"/>
      <c r="MV44" s="291"/>
      <c r="MW44" s="291"/>
      <c r="MX44" s="291"/>
      <c r="MY44" s="291"/>
      <c r="MZ44" s="291"/>
      <c r="NA44" s="291"/>
      <c r="NB44" s="291"/>
      <c r="NC44" s="291"/>
      <c r="ND44" s="291"/>
      <c r="NE44" s="291"/>
      <c r="NF44" s="291"/>
      <c r="NG44" s="291"/>
      <c r="NH44" s="291"/>
      <c r="NI44" s="291"/>
      <c r="NJ44" s="291"/>
      <c r="NK44" s="291"/>
      <c r="NL44" s="291"/>
      <c r="NM44" s="291"/>
      <c r="NN44" s="291"/>
      <c r="NO44" s="291"/>
      <c r="NP44" s="291"/>
      <c r="NQ44" s="291"/>
      <c r="NR44" s="291"/>
      <c r="NS44" s="291"/>
      <c r="NT44" s="291"/>
      <c r="NU44" s="291"/>
      <c r="NV44" s="291"/>
      <c r="NW44" s="291"/>
      <c r="NX44" s="291"/>
      <c r="NY44" s="291"/>
      <c r="NZ44" s="291"/>
      <c r="OA44" s="291"/>
      <c r="OB44" s="291"/>
      <c r="OC44" s="291"/>
      <c r="OD44" s="291"/>
      <c r="OE44" s="291"/>
      <c r="OF44" s="291"/>
      <c r="OG44" s="291"/>
      <c r="OH44" s="291"/>
      <c r="OI44" s="291"/>
      <c r="OJ44" s="291"/>
      <c r="OK44" s="291"/>
      <c r="OL44" s="291"/>
      <c r="OM44" s="291"/>
      <c r="ON44" s="291"/>
      <c r="OO44" s="291"/>
      <c r="OP44" s="291"/>
      <c r="OQ44" s="291"/>
      <c r="OR44" s="291"/>
      <c r="OS44" s="291"/>
      <c r="OT44" s="291"/>
      <c r="OU44" s="291"/>
      <c r="OV44" s="291"/>
      <c r="OW44" s="291"/>
    </row>
    <row r="45" spans="1:413" s="257" customFormat="1" hidden="1" x14ac:dyDescent="0.2">
      <c r="A45" s="291"/>
      <c r="B45" s="524">
        <f t="shared" si="3"/>
        <v>30</v>
      </c>
      <c r="C45" s="510" t="s">
        <v>38</v>
      </c>
      <c r="D45" s="511">
        <v>30070555</v>
      </c>
      <c r="E45" s="511"/>
      <c r="F45" s="512" t="s">
        <v>1151</v>
      </c>
      <c r="G45" s="513" t="s">
        <v>45</v>
      </c>
      <c r="H45" s="514" t="s">
        <v>1094</v>
      </c>
      <c r="I45" s="515" t="s">
        <v>1134</v>
      </c>
      <c r="J45" s="346" t="s">
        <v>42</v>
      </c>
      <c r="K45" s="526">
        <v>6427827</v>
      </c>
      <c r="L45" s="527">
        <v>74575</v>
      </c>
      <c r="M45" s="528">
        <v>5523252</v>
      </c>
      <c r="N45" s="519">
        <v>0</v>
      </c>
      <c r="O45" s="519">
        <v>0</v>
      </c>
      <c r="P45" s="519">
        <v>0</v>
      </c>
      <c r="Q45" s="519">
        <v>101636</v>
      </c>
      <c r="R45" s="519">
        <v>236717</v>
      </c>
      <c r="S45" s="520">
        <v>119398</v>
      </c>
      <c r="T45" s="18"/>
      <c r="U45" s="18"/>
      <c r="V45" s="18"/>
      <c r="W45" s="18"/>
      <c r="X45" s="18"/>
      <c r="Y45" s="18"/>
      <c r="Z45" s="18">
        <f t="shared" si="0"/>
        <v>457751</v>
      </c>
      <c r="AA45" s="309">
        <v>818000</v>
      </c>
      <c r="AB45" s="19">
        <v>9</v>
      </c>
      <c r="AC45" s="521">
        <v>44232</v>
      </c>
      <c r="AD45" s="25">
        <v>44251</v>
      </c>
      <c r="AE45" s="309">
        <v>1000001</v>
      </c>
      <c r="AF45" s="20">
        <v>39</v>
      </c>
      <c r="AG45" s="23">
        <v>44334</v>
      </c>
      <c r="AH45" s="25">
        <v>44342</v>
      </c>
      <c r="AI45" s="309"/>
      <c r="AJ45" s="19"/>
      <c r="AK45" s="23"/>
      <c r="AL45" s="25"/>
      <c r="AM45" s="309"/>
      <c r="AN45" s="19"/>
      <c r="AO45" s="21"/>
      <c r="AP45" s="25"/>
      <c r="AQ45" s="309"/>
      <c r="AR45" s="19"/>
      <c r="AS45" s="21"/>
      <c r="AT45" s="25"/>
      <c r="AU45" s="522">
        <f t="shared" si="1"/>
        <v>1818001</v>
      </c>
      <c r="AV45" s="311">
        <f t="shared" si="2"/>
        <v>1360250</v>
      </c>
      <c r="AW45" s="305"/>
      <c r="AX45" s="291"/>
      <c r="AY45" s="291"/>
      <c r="AZ45" s="291"/>
      <c r="BA45" s="291"/>
      <c r="BB45" s="291"/>
      <c r="BC45" s="291"/>
      <c r="BD45" s="291"/>
      <c r="BE45" s="291"/>
      <c r="BF45" s="291"/>
      <c r="BG45" s="291"/>
      <c r="BH45" s="291"/>
      <c r="BI45" s="291"/>
      <c r="BJ45" s="291"/>
      <c r="BK45" s="291"/>
      <c r="BL45" s="291"/>
      <c r="BM45" s="291"/>
      <c r="BN45" s="291"/>
      <c r="BO45" s="291"/>
      <c r="BP45" s="291"/>
      <c r="BQ45" s="291"/>
      <c r="BR45" s="291"/>
      <c r="BS45" s="291"/>
      <c r="BT45" s="291"/>
      <c r="BU45" s="291"/>
      <c r="BV45" s="291"/>
      <c r="BW45" s="291"/>
      <c r="BX45" s="291"/>
      <c r="BY45" s="291"/>
      <c r="BZ45" s="291"/>
      <c r="CA45" s="291"/>
      <c r="CB45" s="291"/>
      <c r="CC45" s="291"/>
      <c r="CD45" s="291"/>
      <c r="CE45" s="291"/>
      <c r="CF45" s="291"/>
      <c r="CG45" s="291"/>
      <c r="CH45" s="291"/>
      <c r="CI45" s="291"/>
      <c r="CJ45" s="291"/>
      <c r="CK45" s="291"/>
      <c r="CL45" s="291"/>
      <c r="CM45" s="291"/>
      <c r="CN45" s="291"/>
      <c r="CO45" s="291"/>
      <c r="CP45" s="291"/>
      <c r="CQ45" s="291"/>
      <c r="CR45" s="291"/>
      <c r="CS45" s="291"/>
      <c r="CT45" s="291"/>
      <c r="CU45" s="291"/>
      <c r="CV45" s="291"/>
      <c r="CW45" s="291"/>
      <c r="CX45" s="291"/>
      <c r="CY45" s="291"/>
      <c r="CZ45" s="291"/>
      <c r="DA45" s="291"/>
      <c r="DB45" s="291"/>
      <c r="DC45" s="291"/>
      <c r="DD45" s="291"/>
      <c r="DE45" s="291"/>
      <c r="DF45" s="291"/>
      <c r="DG45" s="291"/>
      <c r="DH45" s="291"/>
      <c r="DI45" s="291"/>
      <c r="DJ45" s="291"/>
      <c r="DK45" s="291"/>
      <c r="DL45" s="291"/>
      <c r="DM45" s="291"/>
      <c r="DN45" s="291"/>
      <c r="DO45" s="291"/>
      <c r="DP45" s="291"/>
      <c r="DQ45" s="291"/>
      <c r="DR45" s="291"/>
      <c r="DS45" s="291"/>
      <c r="DT45" s="291"/>
      <c r="DU45" s="291"/>
      <c r="DV45" s="291"/>
      <c r="DW45" s="291"/>
      <c r="DX45" s="291"/>
      <c r="DY45" s="291"/>
      <c r="DZ45" s="291"/>
      <c r="EA45" s="291"/>
      <c r="EB45" s="291"/>
      <c r="EC45" s="291"/>
      <c r="ED45" s="291"/>
      <c r="EE45" s="291"/>
      <c r="EF45" s="291"/>
      <c r="EG45" s="291"/>
      <c r="EH45" s="291"/>
      <c r="EI45" s="291"/>
      <c r="EJ45" s="291"/>
      <c r="EK45" s="291"/>
      <c r="EL45" s="291"/>
      <c r="EM45" s="291"/>
      <c r="EN45" s="291"/>
      <c r="EO45" s="291"/>
      <c r="EP45" s="291"/>
      <c r="EQ45" s="291"/>
      <c r="ER45" s="291"/>
      <c r="ES45" s="291"/>
      <c r="ET45" s="291"/>
      <c r="EU45" s="291"/>
      <c r="EV45" s="291"/>
      <c r="EW45" s="291"/>
      <c r="EX45" s="291"/>
      <c r="EY45" s="291"/>
      <c r="EZ45" s="291"/>
      <c r="FA45" s="291"/>
      <c r="FB45" s="291"/>
      <c r="FC45" s="291"/>
      <c r="FD45" s="291"/>
      <c r="FE45" s="291"/>
      <c r="FF45" s="291"/>
      <c r="FG45" s="291"/>
      <c r="FH45" s="291"/>
      <c r="FI45" s="291"/>
      <c r="FJ45" s="291"/>
      <c r="FK45" s="291"/>
      <c r="FL45" s="291"/>
      <c r="FM45" s="291"/>
      <c r="FN45" s="291"/>
      <c r="FO45" s="291"/>
      <c r="FP45" s="291"/>
      <c r="FQ45" s="291"/>
      <c r="FR45" s="291"/>
      <c r="FS45" s="291"/>
      <c r="FT45" s="291"/>
      <c r="FU45" s="291"/>
      <c r="FV45" s="291"/>
      <c r="FW45" s="291"/>
      <c r="FX45" s="291"/>
      <c r="FY45" s="291"/>
      <c r="FZ45" s="291"/>
      <c r="GA45" s="291"/>
      <c r="GB45" s="291"/>
      <c r="GC45" s="291"/>
      <c r="GD45" s="291"/>
      <c r="GE45" s="291"/>
      <c r="GF45" s="291"/>
      <c r="GG45" s="291"/>
      <c r="GH45" s="291"/>
      <c r="GI45" s="291"/>
      <c r="GJ45" s="291"/>
      <c r="GK45" s="291"/>
      <c r="GL45" s="291"/>
      <c r="GM45" s="291"/>
      <c r="GN45" s="291"/>
      <c r="GO45" s="291"/>
      <c r="GP45" s="291"/>
      <c r="GQ45" s="291"/>
      <c r="GR45" s="291"/>
      <c r="GS45" s="291"/>
      <c r="GT45" s="291"/>
      <c r="GU45" s="291"/>
      <c r="GV45" s="291"/>
      <c r="GW45" s="291"/>
      <c r="GX45" s="291"/>
      <c r="GY45" s="291"/>
      <c r="GZ45" s="291"/>
      <c r="HA45" s="291"/>
      <c r="HB45" s="291"/>
      <c r="HC45" s="291"/>
      <c r="HD45" s="291"/>
      <c r="HE45" s="291"/>
      <c r="HF45" s="291"/>
      <c r="HG45" s="291"/>
      <c r="HH45" s="291"/>
      <c r="HI45" s="291"/>
      <c r="HJ45" s="291"/>
      <c r="HK45" s="291"/>
      <c r="HL45" s="291"/>
      <c r="HM45" s="291"/>
      <c r="HN45" s="291"/>
      <c r="HO45" s="291"/>
      <c r="HP45" s="291"/>
      <c r="HQ45" s="291"/>
      <c r="HR45" s="291"/>
      <c r="HS45" s="291"/>
      <c r="HT45" s="291"/>
      <c r="HU45" s="291"/>
      <c r="HV45" s="291"/>
      <c r="HW45" s="291"/>
      <c r="HX45" s="291"/>
      <c r="HY45" s="291"/>
      <c r="HZ45" s="291"/>
      <c r="IA45" s="291"/>
      <c r="IB45" s="291"/>
      <c r="IC45" s="291"/>
      <c r="ID45" s="291"/>
      <c r="IE45" s="291"/>
      <c r="IF45" s="291"/>
      <c r="IG45" s="291"/>
      <c r="IH45" s="291"/>
      <c r="II45" s="291"/>
      <c r="IJ45" s="291"/>
      <c r="IK45" s="291"/>
      <c r="IL45" s="291"/>
      <c r="IM45" s="291"/>
      <c r="IN45" s="291"/>
      <c r="IO45" s="291"/>
      <c r="IP45" s="291"/>
      <c r="IQ45" s="291"/>
      <c r="IR45" s="291"/>
      <c r="IS45" s="291"/>
      <c r="IT45" s="291"/>
      <c r="IU45" s="291"/>
      <c r="IV45" s="291"/>
      <c r="IW45" s="291"/>
      <c r="IX45" s="291"/>
      <c r="IY45" s="291"/>
      <c r="IZ45" s="291"/>
      <c r="JA45" s="291"/>
      <c r="JB45" s="291"/>
      <c r="JC45" s="291"/>
      <c r="JD45" s="291"/>
      <c r="JE45" s="291"/>
      <c r="JF45" s="291"/>
      <c r="JG45" s="291"/>
      <c r="JH45" s="291"/>
      <c r="JI45" s="291"/>
      <c r="JJ45" s="291"/>
      <c r="JK45" s="291"/>
      <c r="JL45" s="291"/>
      <c r="JM45" s="291"/>
      <c r="JN45" s="291"/>
      <c r="JO45" s="291"/>
      <c r="JP45" s="291"/>
      <c r="JQ45" s="291"/>
      <c r="JR45" s="291"/>
      <c r="JS45" s="291"/>
      <c r="JT45" s="291"/>
      <c r="JU45" s="291"/>
      <c r="JV45" s="291"/>
      <c r="JW45" s="291"/>
      <c r="JX45" s="291"/>
      <c r="JY45" s="291"/>
      <c r="JZ45" s="291"/>
      <c r="KA45" s="291"/>
      <c r="KB45" s="291"/>
      <c r="KC45" s="291"/>
      <c r="KD45" s="291"/>
      <c r="KE45" s="291"/>
      <c r="KF45" s="291"/>
      <c r="KG45" s="291"/>
      <c r="KH45" s="291"/>
      <c r="KI45" s="291"/>
      <c r="KJ45" s="291"/>
      <c r="KK45" s="291"/>
      <c r="KL45" s="291"/>
      <c r="KM45" s="291"/>
      <c r="KN45" s="291"/>
      <c r="KO45" s="291"/>
      <c r="KP45" s="291"/>
      <c r="KQ45" s="291"/>
      <c r="KR45" s="291"/>
      <c r="KS45" s="291"/>
      <c r="KT45" s="291"/>
      <c r="KU45" s="291"/>
      <c r="KV45" s="291"/>
      <c r="KW45" s="291"/>
      <c r="KX45" s="291"/>
      <c r="KY45" s="291"/>
      <c r="KZ45" s="291"/>
      <c r="LA45" s="291"/>
      <c r="LB45" s="291"/>
      <c r="LC45" s="291"/>
      <c r="LD45" s="291"/>
      <c r="LE45" s="291"/>
      <c r="LF45" s="291"/>
      <c r="LG45" s="291"/>
      <c r="LH45" s="291"/>
      <c r="LI45" s="291"/>
      <c r="LJ45" s="291"/>
      <c r="LK45" s="291"/>
      <c r="LL45" s="291"/>
      <c r="LM45" s="291"/>
      <c r="LN45" s="291"/>
      <c r="LO45" s="291"/>
      <c r="LP45" s="291"/>
      <c r="LQ45" s="291"/>
      <c r="LR45" s="291"/>
      <c r="LS45" s="291"/>
      <c r="LT45" s="291"/>
      <c r="LU45" s="291"/>
      <c r="LV45" s="291"/>
      <c r="LW45" s="291"/>
      <c r="LX45" s="291"/>
      <c r="LY45" s="291"/>
      <c r="LZ45" s="291"/>
      <c r="MA45" s="291"/>
      <c r="MB45" s="291"/>
      <c r="MC45" s="291"/>
      <c r="MD45" s="291"/>
      <c r="ME45" s="291"/>
      <c r="MF45" s="291"/>
      <c r="MG45" s="291"/>
      <c r="MH45" s="291"/>
      <c r="MI45" s="291"/>
      <c r="MJ45" s="291"/>
      <c r="MK45" s="291"/>
      <c r="ML45" s="291"/>
      <c r="MM45" s="291"/>
      <c r="MN45" s="291"/>
      <c r="MO45" s="291"/>
      <c r="MP45" s="291"/>
      <c r="MQ45" s="291"/>
      <c r="MR45" s="291"/>
      <c r="MS45" s="291"/>
      <c r="MT45" s="291"/>
      <c r="MU45" s="291"/>
      <c r="MV45" s="291"/>
      <c r="MW45" s="291"/>
      <c r="MX45" s="291"/>
      <c r="MY45" s="291"/>
      <c r="MZ45" s="291"/>
      <c r="NA45" s="291"/>
      <c r="NB45" s="291"/>
      <c r="NC45" s="291"/>
      <c r="ND45" s="291"/>
      <c r="NE45" s="291"/>
      <c r="NF45" s="291"/>
      <c r="NG45" s="291"/>
      <c r="NH45" s="291"/>
      <c r="NI45" s="291"/>
      <c r="NJ45" s="291"/>
      <c r="NK45" s="291"/>
      <c r="NL45" s="291"/>
      <c r="NM45" s="291"/>
      <c r="NN45" s="291"/>
      <c r="NO45" s="291"/>
      <c r="NP45" s="291"/>
      <c r="NQ45" s="291"/>
      <c r="NR45" s="291"/>
      <c r="NS45" s="291"/>
      <c r="NT45" s="291"/>
      <c r="NU45" s="291"/>
      <c r="NV45" s="291"/>
      <c r="NW45" s="291"/>
      <c r="NX45" s="291"/>
      <c r="NY45" s="291"/>
      <c r="NZ45" s="291"/>
      <c r="OA45" s="291"/>
      <c r="OB45" s="291"/>
      <c r="OC45" s="291"/>
      <c r="OD45" s="291"/>
      <c r="OE45" s="291"/>
      <c r="OF45" s="291"/>
      <c r="OG45" s="291"/>
      <c r="OH45" s="291"/>
      <c r="OI45" s="291"/>
      <c r="OJ45" s="291"/>
      <c r="OK45" s="291"/>
      <c r="OL45" s="291"/>
      <c r="OM45" s="291"/>
      <c r="ON45" s="291"/>
      <c r="OO45" s="291"/>
      <c r="OP45" s="291"/>
      <c r="OQ45" s="291"/>
      <c r="OR45" s="291"/>
      <c r="OS45" s="291"/>
      <c r="OT45" s="291"/>
      <c r="OU45" s="291"/>
      <c r="OV45" s="291"/>
      <c r="OW45" s="291"/>
    </row>
    <row r="46" spans="1:413" s="276" customFormat="1" hidden="1" x14ac:dyDescent="0.2">
      <c r="A46" s="291"/>
      <c r="B46" s="530">
        <f t="shared" si="3"/>
        <v>31</v>
      </c>
      <c r="C46" s="510" t="s">
        <v>38</v>
      </c>
      <c r="D46" s="511">
        <v>30072803</v>
      </c>
      <c r="E46" s="511"/>
      <c r="F46" s="512" t="s">
        <v>1152</v>
      </c>
      <c r="G46" s="513" t="s">
        <v>45</v>
      </c>
      <c r="H46" s="514" t="s">
        <v>1094</v>
      </c>
      <c r="I46" s="515" t="s">
        <v>1153</v>
      </c>
      <c r="J46" s="346" t="s">
        <v>42</v>
      </c>
      <c r="K46" s="526">
        <v>617425</v>
      </c>
      <c r="L46" s="527">
        <v>112517</v>
      </c>
      <c r="M46" s="528">
        <v>0</v>
      </c>
      <c r="N46" s="519">
        <v>0</v>
      </c>
      <c r="O46" s="519">
        <v>0</v>
      </c>
      <c r="P46" s="519">
        <v>168</v>
      </c>
      <c r="Q46" s="519">
        <v>328</v>
      </c>
      <c r="R46" s="519">
        <v>1769</v>
      </c>
      <c r="S46" s="520">
        <v>50</v>
      </c>
      <c r="T46" s="57"/>
      <c r="U46" s="57"/>
      <c r="V46" s="57"/>
      <c r="W46" s="57"/>
      <c r="X46" s="57"/>
      <c r="Y46" s="57"/>
      <c r="Z46" s="57">
        <f t="shared" si="0"/>
        <v>2315</v>
      </c>
      <c r="AA46" s="309">
        <v>121532</v>
      </c>
      <c r="AB46" s="338">
        <v>11</v>
      </c>
      <c r="AC46" s="531">
        <v>44237</v>
      </c>
      <c r="AD46" s="316">
        <v>44251</v>
      </c>
      <c r="AE46" s="309"/>
      <c r="AF46" s="314"/>
      <c r="AG46" s="315"/>
      <c r="AH46" s="316"/>
      <c r="AI46" s="309"/>
      <c r="AJ46" s="338"/>
      <c r="AK46" s="315"/>
      <c r="AL46" s="316"/>
      <c r="AM46" s="309"/>
      <c r="AN46" s="338"/>
      <c r="AO46" s="362"/>
      <c r="AP46" s="316"/>
      <c r="AQ46" s="309"/>
      <c r="AR46" s="338"/>
      <c r="AS46" s="362"/>
      <c r="AT46" s="316"/>
      <c r="AU46" s="522">
        <f t="shared" si="1"/>
        <v>121532</v>
      </c>
      <c r="AV46" s="311">
        <f t="shared" si="2"/>
        <v>119217</v>
      </c>
      <c r="AW46" s="305"/>
      <c r="AX46" s="291"/>
      <c r="AY46" s="291"/>
      <c r="AZ46" s="291"/>
      <c r="BA46" s="291"/>
      <c r="BB46" s="291"/>
      <c r="BC46" s="291"/>
      <c r="BD46" s="291"/>
      <c r="BE46" s="291"/>
      <c r="BF46" s="291"/>
      <c r="BG46" s="291"/>
      <c r="BH46" s="291"/>
      <c r="BI46" s="291"/>
      <c r="BJ46" s="291"/>
      <c r="BK46" s="291"/>
      <c r="BL46" s="291"/>
      <c r="BM46" s="291"/>
      <c r="BN46" s="291"/>
      <c r="BO46" s="291"/>
      <c r="BP46" s="291"/>
      <c r="BQ46" s="291"/>
      <c r="BR46" s="291"/>
      <c r="BS46" s="291"/>
      <c r="BT46" s="291"/>
      <c r="BU46" s="291"/>
      <c r="BV46" s="291"/>
      <c r="BW46" s="291"/>
      <c r="BX46" s="291"/>
      <c r="BY46" s="291"/>
      <c r="BZ46" s="291"/>
      <c r="CA46" s="291"/>
      <c r="CB46" s="291"/>
      <c r="CC46" s="291"/>
      <c r="CD46" s="291"/>
      <c r="CE46" s="291"/>
      <c r="CF46" s="291"/>
      <c r="CG46" s="291"/>
      <c r="CH46" s="291"/>
      <c r="CI46" s="291"/>
      <c r="CJ46" s="291"/>
      <c r="CK46" s="291"/>
      <c r="CL46" s="291"/>
      <c r="CM46" s="291"/>
      <c r="CN46" s="291"/>
      <c r="CO46" s="291"/>
      <c r="CP46" s="291"/>
      <c r="CQ46" s="291"/>
      <c r="CR46" s="291"/>
      <c r="CS46" s="291"/>
      <c r="CT46" s="291"/>
      <c r="CU46" s="291"/>
      <c r="CV46" s="291"/>
      <c r="CW46" s="291"/>
      <c r="CX46" s="291"/>
      <c r="CY46" s="291"/>
      <c r="CZ46" s="291"/>
      <c r="DA46" s="291"/>
      <c r="DB46" s="291"/>
      <c r="DC46" s="291"/>
      <c r="DD46" s="291"/>
      <c r="DE46" s="291"/>
      <c r="DF46" s="291"/>
      <c r="DG46" s="291"/>
      <c r="DH46" s="291"/>
      <c r="DI46" s="291"/>
      <c r="DJ46" s="291"/>
      <c r="DK46" s="291"/>
      <c r="DL46" s="291"/>
      <c r="DM46" s="291"/>
      <c r="DN46" s="291"/>
      <c r="DO46" s="291"/>
      <c r="DP46" s="291"/>
      <c r="DQ46" s="291"/>
      <c r="DR46" s="291"/>
      <c r="DS46" s="291"/>
      <c r="DT46" s="291"/>
      <c r="DU46" s="291"/>
      <c r="DV46" s="291"/>
      <c r="DW46" s="291"/>
      <c r="DX46" s="291"/>
      <c r="DY46" s="291"/>
      <c r="DZ46" s="291"/>
      <c r="EA46" s="291"/>
      <c r="EB46" s="291"/>
      <c r="EC46" s="291"/>
      <c r="ED46" s="291"/>
      <c r="EE46" s="291"/>
      <c r="EF46" s="291"/>
      <c r="EG46" s="291"/>
      <c r="EH46" s="291"/>
      <c r="EI46" s="291"/>
      <c r="EJ46" s="291"/>
      <c r="EK46" s="291"/>
      <c r="EL46" s="291"/>
      <c r="EM46" s="291"/>
      <c r="EN46" s="291"/>
      <c r="EO46" s="291"/>
      <c r="EP46" s="291"/>
      <c r="EQ46" s="291"/>
      <c r="ER46" s="291"/>
      <c r="ES46" s="291"/>
      <c r="ET46" s="291"/>
      <c r="EU46" s="291"/>
      <c r="EV46" s="291"/>
      <c r="EW46" s="291"/>
      <c r="EX46" s="291"/>
      <c r="EY46" s="291"/>
      <c r="EZ46" s="291"/>
      <c r="FA46" s="291"/>
      <c r="FB46" s="291"/>
      <c r="FC46" s="291"/>
      <c r="FD46" s="291"/>
      <c r="FE46" s="291"/>
      <c r="FF46" s="291"/>
      <c r="FG46" s="291"/>
      <c r="FH46" s="291"/>
      <c r="FI46" s="291"/>
      <c r="FJ46" s="291"/>
      <c r="FK46" s="291"/>
      <c r="FL46" s="291"/>
      <c r="FM46" s="291"/>
      <c r="FN46" s="291"/>
      <c r="FO46" s="291"/>
      <c r="FP46" s="291"/>
      <c r="FQ46" s="291"/>
      <c r="FR46" s="291"/>
      <c r="FS46" s="291"/>
      <c r="FT46" s="291"/>
      <c r="FU46" s="291"/>
      <c r="FV46" s="291"/>
      <c r="FW46" s="291"/>
      <c r="FX46" s="291"/>
      <c r="FY46" s="291"/>
      <c r="FZ46" s="291"/>
      <c r="GA46" s="291"/>
      <c r="GB46" s="291"/>
      <c r="GC46" s="291"/>
      <c r="GD46" s="291"/>
      <c r="GE46" s="291"/>
      <c r="GF46" s="291"/>
      <c r="GG46" s="291"/>
      <c r="GH46" s="291"/>
      <c r="GI46" s="291"/>
      <c r="GJ46" s="291"/>
      <c r="GK46" s="291"/>
      <c r="GL46" s="291"/>
      <c r="GM46" s="291"/>
      <c r="GN46" s="291"/>
      <c r="GO46" s="291"/>
      <c r="GP46" s="291"/>
      <c r="GQ46" s="291"/>
      <c r="GR46" s="291"/>
      <c r="GS46" s="291"/>
      <c r="GT46" s="291"/>
      <c r="GU46" s="291"/>
      <c r="GV46" s="291"/>
      <c r="GW46" s="291"/>
      <c r="GX46" s="291"/>
      <c r="GY46" s="291"/>
      <c r="GZ46" s="291"/>
      <c r="HA46" s="291"/>
      <c r="HB46" s="291"/>
      <c r="HC46" s="291"/>
      <c r="HD46" s="291"/>
      <c r="HE46" s="291"/>
      <c r="HF46" s="291"/>
      <c r="HG46" s="291"/>
      <c r="HH46" s="291"/>
      <c r="HI46" s="291"/>
      <c r="HJ46" s="291"/>
      <c r="HK46" s="291"/>
      <c r="HL46" s="291"/>
      <c r="HM46" s="291"/>
      <c r="HN46" s="291"/>
      <c r="HO46" s="291"/>
      <c r="HP46" s="291"/>
      <c r="HQ46" s="291"/>
      <c r="HR46" s="291"/>
      <c r="HS46" s="291"/>
      <c r="HT46" s="291"/>
      <c r="HU46" s="291"/>
      <c r="HV46" s="291"/>
      <c r="HW46" s="291"/>
      <c r="HX46" s="291"/>
      <c r="HY46" s="291"/>
      <c r="HZ46" s="291"/>
      <c r="IA46" s="291"/>
      <c r="IB46" s="291"/>
      <c r="IC46" s="291"/>
      <c r="ID46" s="291"/>
      <c r="IE46" s="291"/>
      <c r="IF46" s="291"/>
      <c r="IG46" s="291"/>
      <c r="IH46" s="291"/>
      <c r="II46" s="291"/>
      <c r="IJ46" s="291"/>
      <c r="IK46" s="291"/>
      <c r="IL46" s="291"/>
      <c r="IM46" s="291"/>
      <c r="IN46" s="291"/>
      <c r="IO46" s="291"/>
      <c r="IP46" s="291"/>
      <c r="IQ46" s="291"/>
      <c r="IR46" s="291"/>
      <c r="IS46" s="291"/>
      <c r="IT46" s="291"/>
      <c r="IU46" s="291"/>
      <c r="IV46" s="291"/>
      <c r="IW46" s="291"/>
      <c r="IX46" s="291"/>
      <c r="IY46" s="291"/>
      <c r="IZ46" s="291"/>
      <c r="JA46" s="291"/>
      <c r="JB46" s="291"/>
      <c r="JC46" s="291"/>
      <c r="JD46" s="291"/>
      <c r="JE46" s="291"/>
      <c r="JF46" s="291"/>
      <c r="JG46" s="291"/>
      <c r="JH46" s="291"/>
      <c r="JI46" s="291"/>
      <c r="JJ46" s="291"/>
      <c r="JK46" s="291"/>
      <c r="JL46" s="291"/>
      <c r="JM46" s="291"/>
      <c r="JN46" s="291"/>
      <c r="JO46" s="291"/>
      <c r="JP46" s="291"/>
      <c r="JQ46" s="291"/>
      <c r="JR46" s="291"/>
      <c r="JS46" s="291"/>
      <c r="JT46" s="291"/>
      <c r="JU46" s="291"/>
      <c r="JV46" s="291"/>
      <c r="JW46" s="291"/>
      <c r="JX46" s="291"/>
      <c r="JY46" s="291"/>
      <c r="JZ46" s="291"/>
      <c r="KA46" s="291"/>
      <c r="KB46" s="291"/>
      <c r="KC46" s="291"/>
      <c r="KD46" s="291"/>
      <c r="KE46" s="291"/>
      <c r="KF46" s="291"/>
      <c r="KG46" s="291"/>
      <c r="KH46" s="291"/>
      <c r="KI46" s="291"/>
      <c r="KJ46" s="291"/>
      <c r="KK46" s="291"/>
      <c r="KL46" s="291"/>
      <c r="KM46" s="291"/>
      <c r="KN46" s="291"/>
      <c r="KO46" s="291"/>
      <c r="KP46" s="291"/>
      <c r="KQ46" s="291"/>
      <c r="KR46" s="291"/>
      <c r="KS46" s="291"/>
      <c r="KT46" s="291"/>
      <c r="KU46" s="291"/>
      <c r="KV46" s="291"/>
      <c r="KW46" s="291"/>
      <c r="KX46" s="291"/>
      <c r="KY46" s="291"/>
      <c r="KZ46" s="291"/>
      <c r="LA46" s="291"/>
      <c r="LB46" s="291"/>
      <c r="LC46" s="291"/>
      <c r="LD46" s="291"/>
      <c r="LE46" s="291"/>
      <c r="LF46" s="291"/>
      <c r="LG46" s="291"/>
      <c r="LH46" s="291"/>
      <c r="LI46" s="291"/>
      <c r="LJ46" s="291"/>
      <c r="LK46" s="291"/>
      <c r="LL46" s="291"/>
      <c r="LM46" s="291"/>
      <c r="LN46" s="291"/>
      <c r="LO46" s="291"/>
      <c r="LP46" s="291"/>
      <c r="LQ46" s="291"/>
      <c r="LR46" s="291"/>
      <c r="LS46" s="291"/>
      <c r="LT46" s="291"/>
      <c r="LU46" s="291"/>
      <c r="LV46" s="291"/>
      <c r="LW46" s="291"/>
      <c r="LX46" s="291"/>
      <c r="LY46" s="291"/>
      <c r="LZ46" s="291"/>
      <c r="MA46" s="291"/>
      <c r="MB46" s="291"/>
      <c r="MC46" s="291"/>
      <c r="MD46" s="291"/>
      <c r="ME46" s="291"/>
      <c r="MF46" s="291"/>
      <c r="MG46" s="291"/>
      <c r="MH46" s="291"/>
      <c r="MI46" s="291"/>
      <c r="MJ46" s="291"/>
      <c r="MK46" s="291"/>
      <c r="ML46" s="291"/>
      <c r="MM46" s="291"/>
      <c r="MN46" s="291"/>
      <c r="MO46" s="291"/>
      <c r="MP46" s="291"/>
      <c r="MQ46" s="291"/>
      <c r="MR46" s="291"/>
      <c r="MS46" s="291"/>
      <c r="MT46" s="291"/>
      <c r="MU46" s="291"/>
      <c r="MV46" s="291"/>
      <c r="MW46" s="291"/>
      <c r="MX46" s="291"/>
      <c r="MY46" s="291"/>
      <c r="MZ46" s="291"/>
      <c r="NA46" s="291"/>
      <c r="NB46" s="291"/>
      <c r="NC46" s="291"/>
      <c r="ND46" s="291"/>
      <c r="NE46" s="291"/>
      <c r="NF46" s="291"/>
      <c r="NG46" s="291"/>
      <c r="NH46" s="291"/>
      <c r="NI46" s="291"/>
      <c r="NJ46" s="291"/>
      <c r="NK46" s="291"/>
      <c r="NL46" s="291"/>
      <c r="NM46" s="291"/>
      <c r="NN46" s="291"/>
      <c r="NO46" s="291"/>
      <c r="NP46" s="291"/>
      <c r="NQ46" s="291"/>
      <c r="NR46" s="291"/>
      <c r="NS46" s="291"/>
      <c r="NT46" s="291"/>
      <c r="NU46" s="291"/>
      <c r="NV46" s="291"/>
      <c r="NW46" s="291"/>
      <c r="NX46" s="291"/>
      <c r="NY46" s="291"/>
      <c r="NZ46" s="291"/>
      <c r="OA46" s="291"/>
      <c r="OB46" s="291"/>
      <c r="OC46" s="291"/>
      <c r="OD46" s="291"/>
      <c r="OE46" s="291"/>
      <c r="OF46" s="291"/>
      <c r="OG46" s="291"/>
      <c r="OH46" s="291"/>
      <c r="OI46" s="291"/>
      <c r="OJ46" s="291"/>
      <c r="OK46" s="291"/>
      <c r="OL46" s="291"/>
      <c r="OM46" s="291"/>
      <c r="ON46" s="291"/>
      <c r="OO46" s="291"/>
      <c r="OP46" s="291"/>
      <c r="OQ46" s="291"/>
      <c r="OR46" s="291"/>
      <c r="OS46" s="291"/>
      <c r="OT46" s="291"/>
      <c r="OU46" s="291"/>
      <c r="OV46" s="291"/>
      <c r="OW46" s="291"/>
    </row>
    <row r="47" spans="1:413" s="257" customFormat="1" hidden="1" x14ac:dyDescent="0.2">
      <c r="A47" s="291"/>
      <c r="B47" s="524">
        <f t="shared" si="3"/>
        <v>32</v>
      </c>
      <c r="C47" s="510" t="s">
        <v>38</v>
      </c>
      <c r="D47" s="511">
        <v>30072828</v>
      </c>
      <c r="E47" s="511"/>
      <c r="F47" s="512" t="s">
        <v>1154</v>
      </c>
      <c r="G47" s="513" t="s">
        <v>45</v>
      </c>
      <c r="H47" s="514" t="s">
        <v>1094</v>
      </c>
      <c r="I47" s="515" t="s">
        <v>1155</v>
      </c>
      <c r="J47" s="346" t="s">
        <v>42</v>
      </c>
      <c r="K47" s="526">
        <v>7860231</v>
      </c>
      <c r="L47" s="527">
        <v>652284</v>
      </c>
      <c r="M47" s="528">
        <v>6927945</v>
      </c>
      <c r="N47" s="519">
        <v>0</v>
      </c>
      <c r="O47" s="519">
        <v>112854</v>
      </c>
      <c r="P47" s="519">
        <v>67623</v>
      </c>
      <c r="Q47" s="519">
        <v>35082</v>
      </c>
      <c r="R47" s="519">
        <v>0</v>
      </c>
      <c r="S47" s="520">
        <v>0</v>
      </c>
      <c r="T47" s="18"/>
      <c r="U47" s="18"/>
      <c r="V47" s="18"/>
      <c r="W47" s="18"/>
      <c r="X47" s="18"/>
      <c r="Y47" s="18"/>
      <c r="Z47" s="18">
        <f t="shared" si="0"/>
        <v>215559</v>
      </c>
      <c r="AA47" s="309">
        <v>270002</v>
      </c>
      <c r="AB47" s="19">
        <v>9</v>
      </c>
      <c r="AC47" s="521">
        <v>44232</v>
      </c>
      <c r="AD47" s="25">
        <v>44251</v>
      </c>
      <c r="AE47" s="309"/>
      <c r="AF47" s="20"/>
      <c r="AG47" s="23"/>
      <c r="AH47" s="25"/>
      <c r="AI47" s="309"/>
      <c r="AJ47" s="19"/>
      <c r="AK47" s="23"/>
      <c r="AL47" s="25"/>
      <c r="AM47" s="309"/>
      <c r="AN47" s="19"/>
      <c r="AO47" s="21"/>
      <c r="AP47" s="25"/>
      <c r="AQ47" s="309"/>
      <c r="AR47" s="19"/>
      <c r="AS47" s="21"/>
      <c r="AT47" s="25"/>
      <c r="AU47" s="522">
        <f t="shared" si="1"/>
        <v>270002</v>
      </c>
      <c r="AV47" s="311">
        <f t="shared" si="2"/>
        <v>54443</v>
      </c>
      <c r="AW47" s="305"/>
      <c r="AX47" s="291"/>
      <c r="AY47" s="291"/>
      <c r="AZ47" s="291"/>
      <c r="BA47" s="291"/>
      <c r="BB47" s="291"/>
      <c r="BC47" s="291"/>
      <c r="BD47" s="291"/>
      <c r="BE47" s="291"/>
      <c r="BF47" s="291"/>
      <c r="BG47" s="291"/>
      <c r="BH47" s="291"/>
      <c r="BI47" s="291"/>
      <c r="BJ47" s="291"/>
      <c r="BK47" s="291"/>
      <c r="BL47" s="291"/>
      <c r="BM47" s="291"/>
      <c r="BN47" s="291"/>
      <c r="BO47" s="291"/>
      <c r="BP47" s="291"/>
      <c r="BQ47" s="291"/>
      <c r="BR47" s="291"/>
      <c r="BS47" s="291"/>
      <c r="BT47" s="291"/>
      <c r="BU47" s="291"/>
      <c r="BV47" s="291"/>
      <c r="BW47" s="291"/>
      <c r="BX47" s="291"/>
      <c r="BY47" s="291"/>
      <c r="BZ47" s="291"/>
      <c r="CA47" s="291"/>
      <c r="CB47" s="291"/>
      <c r="CC47" s="291"/>
      <c r="CD47" s="291"/>
      <c r="CE47" s="291"/>
      <c r="CF47" s="291"/>
      <c r="CG47" s="291"/>
      <c r="CH47" s="291"/>
      <c r="CI47" s="291"/>
      <c r="CJ47" s="291"/>
      <c r="CK47" s="291"/>
      <c r="CL47" s="291"/>
      <c r="CM47" s="291"/>
      <c r="CN47" s="291"/>
      <c r="CO47" s="291"/>
      <c r="CP47" s="291"/>
      <c r="CQ47" s="291"/>
      <c r="CR47" s="291"/>
      <c r="CS47" s="291"/>
      <c r="CT47" s="291"/>
      <c r="CU47" s="291"/>
      <c r="CV47" s="291"/>
      <c r="CW47" s="291"/>
      <c r="CX47" s="291"/>
      <c r="CY47" s="291"/>
      <c r="CZ47" s="291"/>
      <c r="DA47" s="291"/>
      <c r="DB47" s="291"/>
      <c r="DC47" s="291"/>
      <c r="DD47" s="291"/>
      <c r="DE47" s="291"/>
      <c r="DF47" s="291"/>
      <c r="DG47" s="291"/>
      <c r="DH47" s="291"/>
      <c r="DI47" s="291"/>
      <c r="DJ47" s="291"/>
      <c r="DK47" s="291"/>
      <c r="DL47" s="291"/>
      <c r="DM47" s="291"/>
      <c r="DN47" s="291"/>
      <c r="DO47" s="291"/>
      <c r="DP47" s="291"/>
      <c r="DQ47" s="291"/>
      <c r="DR47" s="291"/>
      <c r="DS47" s="291"/>
      <c r="DT47" s="291"/>
      <c r="DU47" s="291"/>
      <c r="DV47" s="291"/>
      <c r="DW47" s="291"/>
      <c r="DX47" s="291"/>
      <c r="DY47" s="291"/>
      <c r="DZ47" s="291"/>
      <c r="EA47" s="291"/>
      <c r="EB47" s="291"/>
      <c r="EC47" s="291"/>
      <c r="ED47" s="291"/>
      <c r="EE47" s="291"/>
      <c r="EF47" s="291"/>
      <c r="EG47" s="291"/>
      <c r="EH47" s="291"/>
      <c r="EI47" s="291"/>
      <c r="EJ47" s="291"/>
      <c r="EK47" s="291"/>
      <c r="EL47" s="291"/>
      <c r="EM47" s="291"/>
      <c r="EN47" s="291"/>
      <c r="EO47" s="291"/>
      <c r="EP47" s="291"/>
      <c r="EQ47" s="291"/>
      <c r="ER47" s="291"/>
      <c r="ES47" s="291"/>
      <c r="ET47" s="291"/>
      <c r="EU47" s="291"/>
      <c r="EV47" s="291"/>
      <c r="EW47" s="291"/>
      <c r="EX47" s="291"/>
      <c r="EY47" s="291"/>
      <c r="EZ47" s="291"/>
      <c r="FA47" s="291"/>
      <c r="FB47" s="291"/>
      <c r="FC47" s="291"/>
      <c r="FD47" s="291"/>
      <c r="FE47" s="291"/>
      <c r="FF47" s="291"/>
      <c r="FG47" s="291"/>
      <c r="FH47" s="291"/>
      <c r="FI47" s="291"/>
      <c r="FJ47" s="291"/>
      <c r="FK47" s="291"/>
      <c r="FL47" s="291"/>
      <c r="FM47" s="291"/>
      <c r="FN47" s="291"/>
      <c r="FO47" s="291"/>
      <c r="FP47" s="291"/>
      <c r="FQ47" s="291"/>
      <c r="FR47" s="291"/>
      <c r="FS47" s="291"/>
      <c r="FT47" s="291"/>
      <c r="FU47" s="291"/>
      <c r="FV47" s="291"/>
      <c r="FW47" s="291"/>
      <c r="FX47" s="291"/>
      <c r="FY47" s="291"/>
      <c r="FZ47" s="291"/>
      <c r="GA47" s="291"/>
      <c r="GB47" s="291"/>
      <c r="GC47" s="291"/>
      <c r="GD47" s="291"/>
      <c r="GE47" s="291"/>
      <c r="GF47" s="291"/>
      <c r="GG47" s="291"/>
      <c r="GH47" s="291"/>
      <c r="GI47" s="291"/>
      <c r="GJ47" s="291"/>
      <c r="GK47" s="291"/>
      <c r="GL47" s="291"/>
      <c r="GM47" s="291"/>
      <c r="GN47" s="291"/>
      <c r="GO47" s="291"/>
      <c r="GP47" s="291"/>
      <c r="GQ47" s="291"/>
      <c r="GR47" s="291"/>
      <c r="GS47" s="291"/>
      <c r="GT47" s="291"/>
      <c r="GU47" s="291"/>
      <c r="GV47" s="291"/>
      <c r="GW47" s="291"/>
      <c r="GX47" s="291"/>
      <c r="GY47" s="291"/>
      <c r="GZ47" s="291"/>
      <c r="HA47" s="291"/>
      <c r="HB47" s="291"/>
      <c r="HC47" s="291"/>
      <c r="HD47" s="291"/>
      <c r="HE47" s="291"/>
      <c r="HF47" s="291"/>
      <c r="HG47" s="291"/>
      <c r="HH47" s="291"/>
      <c r="HI47" s="291"/>
      <c r="HJ47" s="291"/>
      <c r="HK47" s="291"/>
      <c r="HL47" s="291"/>
      <c r="HM47" s="291"/>
      <c r="HN47" s="291"/>
      <c r="HO47" s="291"/>
      <c r="HP47" s="291"/>
      <c r="HQ47" s="291"/>
      <c r="HR47" s="291"/>
      <c r="HS47" s="291"/>
      <c r="HT47" s="291"/>
      <c r="HU47" s="291"/>
      <c r="HV47" s="291"/>
      <c r="HW47" s="291"/>
      <c r="HX47" s="291"/>
      <c r="HY47" s="291"/>
      <c r="HZ47" s="291"/>
      <c r="IA47" s="291"/>
      <c r="IB47" s="291"/>
      <c r="IC47" s="291"/>
      <c r="ID47" s="291"/>
      <c r="IE47" s="291"/>
      <c r="IF47" s="291"/>
      <c r="IG47" s="291"/>
      <c r="IH47" s="291"/>
      <c r="II47" s="291"/>
      <c r="IJ47" s="291"/>
      <c r="IK47" s="291"/>
      <c r="IL47" s="291"/>
      <c r="IM47" s="291"/>
      <c r="IN47" s="291"/>
      <c r="IO47" s="291"/>
      <c r="IP47" s="291"/>
      <c r="IQ47" s="291"/>
      <c r="IR47" s="291"/>
      <c r="IS47" s="291"/>
      <c r="IT47" s="291"/>
      <c r="IU47" s="291"/>
      <c r="IV47" s="291"/>
      <c r="IW47" s="291"/>
      <c r="IX47" s="291"/>
      <c r="IY47" s="291"/>
      <c r="IZ47" s="291"/>
      <c r="JA47" s="291"/>
      <c r="JB47" s="291"/>
      <c r="JC47" s="291"/>
      <c r="JD47" s="291"/>
      <c r="JE47" s="291"/>
      <c r="JF47" s="291"/>
      <c r="JG47" s="291"/>
      <c r="JH47" s="291"/>
      <c r="JI47" s="291"/>
      <c r="JJ47" s="291"/>
      <c r="JK47" s="291"/>
      <c r="JL47" s="291"/>
      <c r="JM47" s="291"/>
      <c r="JN47" s="291"/>
      <c r="JO47" s="291"/>
      <c r="JP47" s="291"/>
      <c r="JQ47" s="291"/>
      <c r="JR47" s="291"/>
      <c r="JS47" s="291"/>
      <c r="JT47" s="291"/>
      <c r="JU47" s="291"/>
      <c r="JV47" s="291"/>
      <c r="JW47" s="291"/>
      <c r="JX47" s="291"/>
      <c r="JY47" s="291"/>
      <c r="JZ47" s="291"/>
      <c r="KA47" s="291"/>
      <c r="KB47" s="291"/>
      <c r="KC47" s="291"/>
      <c r="KD47" s="291"/>
      <c r="KE47" s="291"/>
      <c r="KF47" s="291"/>
      <c r="KG47" s="291"/>
      <c r="KH47" s="291"/>
      <c r="KI47" s="291"/>
      <c r="KJ47" s="291"/>
      <c r="KK47" s="291"/>
      <c r="KL47" s="291"/>
      <c r="KM47" s="291"/>
      <c r="KN47" s="291"/>
      <c r="KO47" s="291"/>
      <c r="KP47" s="291"/>
      <c r="KQ47" s="291"/>
      <c r="KR47" s="291"/>
      <c r="KS47" s="291"/>
      <c r="KT47" s="291"/>
      <c r="KU47" s="291"/>
      <c r="KV47" s="291"/>
      <c r="KW47" s="291"/>
      <c r="KX47" s="291"/>
      <c r="KY47" s="291"/>
      <c r="KZ47" s="291"/>
      <c r="LA47" s="291"/>
      <c r="LB47" s="291"/>
      <c r="LC47" s="291"/>
      <c r="LD47" s="291"/>
      <c r="LE47" s="291"/>
      <c r="LF47" s="291"/>
      <c r="LG47" s="291"/>
      <c r="LH47" s="291"/>
      <c r="LI47" s="291"/>
      <c r="LJ47" s="291"/>
      <c r="LK47" s="291"/>
      <c r="LL47" s="291"/>
      <c r="LM47" s="291"/>
      <c r="LN47" s="291"/>
      <c r="LO47" s="291"/>
      <c r="LP47" s="291"/>
      <c r="LQ47" s="291"/>
      <c r="LR47" s="291"/>
      <c r="LS47" s="291"/>
      <c r="LT47" s="291"/>
      <c r="LU47" s="291"/>
      <c r="LV47" s="291"/>
      <c r="LW47" s="291"/>
      <c r="LX47" s="291"/>
      <c r="LY47" s="291"/>
      <c r="LZ47" s="291"/>
      <c r="MA47" s="291"/>
      <c r="MB47" s="291"/>
      <c r="MC47" s="291"/>
      <c r="MD47" s="291"/>
      <c r="ME47" s="291"/>
      <c r="MF47" s="291"/>
      <c r="MG47" s="291"/>
      <c r="MH47" s="291"/>
      <c r="MI47" s="291"/>
      <c r="MJ47" s="291"/>
      <c r="MK47" s="291"/>
      <c r="ML47" s="291"/>
      <c r="MM47" s="291"/>
      <c r="MN47" s="291"/>
      <c r="MO47" s="291"/>
      <c r="MP47" s="291"/>
      <c r="MQ47" s="291"/>
      <c r="MR47" s="291"/>
      <c r="MS47" s="291"/>
      <c r="MT47" s="291"/>
      <c r="MU47" s="291"/>
      <c r="MV47" s="291"/>
      <c r="MW47" s="291"/>
      <c r="MX47" s="291"/>
      <c r="MY47" s="291"/>
      <c r="MZ47" s="291"/>
      <c r="NA47" s="291"/>
      <c r="NB47" s="291"/>
      <c r="NC47" s="291"/>
      <c r="ND47" s="291"/>
      <c r="NE47" s="291"/>
      <c r="NF47" s="291"/>
      <c r="NG47" s="291"/>
      <c r="NH47" s="291"/>
      <c r="NI47" s="291"/>
      <c r="NJ47" s="291"/>
      <c r="NK47" s="291"/>
      <c r="NL47" s="291"/>
      <c r="NM47" s="291"/>
      <c r="NN47" s="291"/>
      <c r="NO47" s="291"/>
      <c r="NP47" s="291"/>
      <c r="NQ47" s="291"/>
      <c r="NR47" s="291"/>
      <c r="NS47" s="291"/>
      <c r="NT47" s="291"/>
      <c r="NU47" s="291"/>
      <c r="NV47" s="291"/>
      <c r="NW47" s="291"/>
      <c r="NX47" s="291"/>
      <c r="NY47" s="291"/>
      <c r="NZ47" s="291"/>
      <c r="OA47" s="291"/>
      <c r="OB47" s="291"/>
      <c r="OC47" s="291"/>
      <c r="OD47" s="291"/>
      <c r="OE47" s="291"/>
      <c r="OF47" s="291"/>
      <c r="OG47" s="291"/>
      <c r="OH47" s="291"/>
      <c r="OI47" s="291"/>
      <c r="OJ47" s="291"/>
      <c r="OK47" s="291"/>
      <c r="OL47" s="291"/>
      <c r="OM47" s="291"/>
      <c r="ON47" s="291"/>
      <c r="OO47" s="291"/>
      <c r="OP47" s="291"/>
      <c r="OQ47" s="291"/>
      <c r="OR47" s="291"/>
      <c r="OS47" s="291"/>
      <c r="OT47" s="291"/>
      <c r="OU47" s="291"/>
      <c r="OV47" s="291"/>
      <c r="OW47" s="291"/>
    </row>
    <row r="48" spans="1:413" s="257" customFormat="1" hidden="1" x14ac:dyDescent="0.2">
      <c r="A48" s="291"/>
      <c r="B48" s="524">
        <f t="shared" si="3"/>
        <v>33</v>
      </c>
      <c r="C48" s="510" t="s">
        <v>38</v>
      </c>
      <c r="D48" s="511">
        <v>30073738</v>
      </c>
      <c r="E48" s="511"/>
      <c r="F48" s="512" t="s">
        <v>1156</v>
      </c>
      <c r="G48" s="513" t="s">
        <v>45</v>
      </c>
      <c r="H48" s="514" t="s">
        <v>1094</v>
      </c>
      <c r="I48" s="515" t="s">
        <v>1157</v>
      </c>
      <c r="J48" s="346" t="s">
        <v>42</v>
      </c>
      <c r="K48" s="526">
        <v>1017668</v>
      </c>
      <c r="L48" s="527">
        <v>753397</v>
      </c>
      <c r="M48" s="528">
        <v>38216</v>
      </c>
      <c r="N48" s="519">
        <v>0</v>
      </c>
      <c r="O48" s="519">
        <v>161017</v>
      </c>
      <c r="P48" s="519">
        <v>54822</v>
      </c>
      <c r="Q48" s="519">
        <v>6033</v>
      </c>
      <c r="R48" s="519">
        <v>1900</v>
      </c>
      <c r="S48" s="520">
        <v>1900</v>
      </c>
      <c r="T48" s="18"/>
      <c r="U48" s="18"/>
      <c r="V48" s="18"/>
      <c r="W48" s="18"/>
      <c r="X48" s="18"/>
      <c r="Y48" s="18"/>
      <c r="Z48" s="18">
        <f t="shared" si="0"/>
        <v>225672</v>
      </c>
      <c r="AA48" s="309">
        <v>226055</v>
      </c>
      <c r="AB48" s="19">
        <v>9</v>
      </c>
      <c r="AC48" s="521">
        <v>44232</v>
      </c>
      <c r="AD48" s="25">
        <v>44251</v>
      </c>
      <c r="AE48" s="309">
        <v>31728</v>
      </c>
      <c r="AF48" s="20">
        <v>39</v>
      </c>
      <c r="AG48" s="23">
        <v>44334</v>
      </c>
      <c r="AH48" s="25">
        <v>44342</v>
      </c>
      <c r="AI48" s="309"/>
      <c r="AJ48" s="19"/>
      <c r="AK48" s="23"/>
      <c r="AL48" s="25"/>
      <c r="AM48" s="309"/>
      <c r="AN48" s="19"/>
      <c r="AO48" s="21"/>
      <c r="AP48" s="25"/>
      <c r="AQ48" s="309"/>
      <c r="AR48" s="19"/>
      <c r="AS48" s="21"/>
      <c r="AT48" s="25"/>
      <c r="AU48" s="522">
        <f t="shared" si="1"/>
        <v>257783</v>
      </c>
      <c r="AV48" s="311">
        <f t="shared" si="2"/>
        <v>32111</v>
      </c>
      <c r="AW48" s="305"/>
      <c r="AX48" s="291"/>
      <c r="AY48" s="291"/>
      <c r="AZ48" s="291"/>
      <c r="BA48" s="291"/>
      <c r="BB48" s="291"/>
      <c r="BC48" s="291"/>
      <c r="BD48" s="291"/>
      <c r="BE48" s="291"/>
      <c r="BF48" s="291"/>
      <c r="BG48" s="291"/>
      <c r="BH48" s="291"/>
      <c r="BI48" s="291"/>
      <c r="BJ48" s="291"/>
      <c r="BK48" s="291"/>
      <c r="BL48" s="291"/>
      <c r="BM48" s="291"/>
      <c r="BN48" s="291"/>
      <c r="BO48" s="291"/>
      <c r="BP48" s="291"/>
      <c r="BQ48" s="291"/>
      <c r="BR48" s="291"/>
      <c r="BS48" s="291"/>
      <c r="BT48" s="291"/>
      <c r="BU48" s="291"/>
      <c r="BV48" s="291"/>
      <c r="BW48" s="291"/>
      <c r="BX48" s="291"/>
      <c r="BY48" s="291"/>
      <c r="BZ48" s="291"/>
      <c r="CA48" s="291"/>
      <c r="CB48" s="291"/>
      <c r="CC48" s="291"/>
      <c r="CD48" s="291"/>
      <c r="CE48" s="291"/>
      <c r="CF48" s="291"/>
      <c r="CG48" s="291"/>
      <c r="CH48" s="291"/>
      <c r="CI48" s="291"/>
      <c r="CJ48" s="291"/>
      <c r="CK48" s="291"/>
      <c r="CL48" s="291"/>
      <c r="CM48" s="291"/>
      <c r="CN48" s="291"/>
      <c r="CO48" s="291"/>
      <c r="CP48" s="291"/>
      <c r="CQ48" s="291"/>
      <c r="CR48" s="291"/>
      <c r="CS48" s="291"/>
      <c r="CT48" s="291"/>
      <c r="CU48" s="291"/>
      <c r="CV48" s="291"/>
      <c r="CW48" s="291"/>
      <c r="CX48" s="291"/>
      <c r="CY48" s="291"/>
      <c r="CZ48" s="291"/>
      <c r="DA48" s="291"/>
      <c r="DB48" s="291"/>
      <c r="DC48" s="291"/>
      <c r="DD48" s="291"/>
      <c r="DE48" s="291"/>
      <c r="DF48" s="291"/>
      <c r="DG48" s="291"/>
      <c r="DH48" s="291"/>
      <c r="DI48" s="291"/>
      <c r="DJ48" s="291"/>
      <c r="DK48" s="291"/>
      <c r="DL48" s="291"/>
      <c r="DM48" s="291"/>
      <c r="DN48" s="291"/>
      <c r="DO48" s="291"/>
      <c r="DP48" s="291"/>
      <c r="DQ48" s="291"/>
      <c r="DR48" s="291"/>
      <c r="DS48" s="291"/>
      <c r="DT48" s="291"/>
      <c r="DU48" s="291"/>
      <c r="DV48" s="291"/>
      <c r="DW48" s="291"/>
      <c r="DX48" s="291"/>
      <c r="DY48" s="291"/>
      <c r="DZ48" s="291"/>
      <c r="EA48" s="291"/>
      <c r="EB48" s="291"/>
      <c r="EC48" s="291"/>
      <c r="ED48" s="291"/>
      <c r="EE48" s="291"/>
      <c r="EF48" s="291"/>
      <c r="EG48" s="291"/>
      <c r="EH48" s="291"/>
      <c r="EI48" s="291"/>
      <c r="EJ48" s="291"/>
      <c r="EK48" s="291"/>
      <c r="EL48" s="291"/>
      <c r="EM48" s="291"/>
      <c r="EN48" s="291"/>
      <c r="EO48" s="291"/>
      <c r="EP48" s="291"/>
      <c r="EQ48" s="291"/>
      <c r="ER48" s="291"/>
      <c r="ES48" s="291"/>
      <c r="ET48" s="291"/>
      <c r="EU48" s="291"/>
      <c r="EV48" s="291"/>
      <c r="EW48" s="291"/>
      <c r="EX48" s="291"/>
      <c r="EY48" s="291"/>
      <c r="EZ48" s="291"/>
      <c r="FA48" s="291"/>
      <c r="FB48" s="291"/>
      <c r="FC48" s="291"/>
      <c r="FD48" s="291"/>
      <c r="FE48" s="291"/>
      <c r="FF48" s="291"/>
      <c r="FG48" s="291"/>
      <c r="FH48" s="291"/>
      <c r="FI48" s="291"/>
      <c r="FJ48" s="291"/>
      <c r="FK48" s="291"/>
      <c r="FL48" s="291"/>
      <c r="FM48" s="291"/>
      <c r="FN48" s="291"/>
      <c r="FO48" s="291"/>
      <c r="FP48" s="291"/>
      <c r="FQ48" s="291"/>
      <c r="FR48" s="291"/>
      <c r="FS48" s="291"/>
      <c r="FT48" s="291"/>
      <c r="FU48" s="291"/>
      <c r="FV48" s="291"/>
      <c r="FW48" s="291"/>
      <c r="FX48" s="291"/>
      <c r="FY48" s="291"/>
      <c r="FZ48" s="291"/>
      <c r="GA48" s="291"/>
      <c r="GB48" s="291"/>
      <c r="GC48" s="291"/>
      <c r="GD48" s="291"/>
      <c r="GE48" s="291"/>
      <c r="GF48" s="291"/>
      <c r="GG48" s="291"/>
      <c r="GH48" s="291"/>
      <c r="GI48" s="291"/>
      <c r="GJ48" s="291"/>
      <c r="GK48" s="291"/>
      <c r="GL48" s="291"/>
      <c r="GM48" s="291"/>
      <c r="GN48" s="291"/>
      <c r="GO48" s="291"/>
      <c r="GP48" s="291"/>
      <c r="GQ48" s="291"/>
      <c r="GR48" s="291"/>
      <c r="GS48" s="291"/>
      <c r="GT48" s="291"/>
      <c r="GU48" s="291"/>
      <c r="GV48" s="291"/>
      <c r="GW48" s="291"/>
      <c r="GX48" s="291"/>
      <c r="GY48" s="291"/>
      <c r="GZ48" s="291"/>
      <c r="HA48" s="291"/>
      <c r="HB48" s="291"/>
      <c r="HC48" s="291"/>
      <c r="HD48" s="291"/>
      <c r="HE48" s="291"/>
      <c r="HF48" s="291"/>
      <c r="HG48" s="291"/>
      <c r="HH48" s="291"/>
      <c r="HI48" s="291"/>
      <c r="HJ48" s="291"/>
      <c r="HK48" s="291"/>
      <c r="HL48" s="291"/>
      <c r="HM48" s="291"/>
      <c r="HN48" s="291"/>
      <c r="HO48" s="291"/>
      <c r="HP48" s="291"/>
      <c r="HQ48" s="291"/>
      <c r="HR48" s="291"/>
      <c r="HS48" s="291"/>
      <c r="HT48" s="291"/>
      <c r="HU48" s="291"/>
      <c r="HV48" s="291"/>
      <c r="HW48" s="291"/>
      <c r="HX48" s="291"/>
      <c r="HY48" s="291"/>
      <c r="HZ48" s="291"/>
      <c r="IA48" s="291"/>
      <c r="IB48" s="291"/>
      <c r="IC48" s="291"/>
      <c r="ID48" s="291"/>
      <c r="IE48" s="291"/>
      <c r="IF48" s="291"/>
      <c r="IG48" s="291"/>
      <c r="IH48" s="291"/>
      <c r="II48" s="291"/>
      <c r="IJ48" s="291"/>
      <c r="IK48" s="291"/>
      <c r="IL48" s="291"/>
      <c r="IM48" s="291"/>
      <c r="IN48" s="291"/>
      <c r="IO48" s="291"/>
      <c r="IP48" s="291"/>
      <c r="IQ48" s="291"/>
      <c r="IR48" s="291"/>
      <c r="IS48" s="291"/>
      <c r="IT48" s="291"/>
      <c r="IU48" s="291"/>
      <c r="IV48" s="291"/>
      <c r="IW48" s="291"/>
      <c r="IX48" s="291"/>
      <c r="IY48" s="291"/>
      <c r="IZ48" s="291"/>
      <c r="JA48" s="291"/>
      <c r="JB48" s="291"/>
      <c r="JC48" s="291"/>
      <c r="JD48" s="291"/>
      <c r="JE48" s="291"/>
      <c r="JF48" s="291"/>
      <c r="JG48" s="291"/>
      <c r="JH48" s="291"/>
      <c r="JI48" s="291"/>
      <c r="JJ48" s="291"/>
      <c r="JK48" s="291"/>
      <c r="JL48" s="291"/>
      <c r="JM48" s="291"/>
      <c r="JN48" s="291"/>
      <c r="JO48" s="291"/>
      <c r="JP48" s="291"/>
      <c r="JQ48" s="291"/>
      <c r="JR48" s="291"/>
      <c r="JS48" s="291"/>
      <c r="JT48" s="291"/>
      <c r="JU48" s="291"/>
      <c r="JV48" s="291"/>
      <c r="JW48" s="291"/>
      <c r="JX48" s="291"/>
      <c r="JY48" s="291"/>
      <c r="JZ48" s="291"/>
      <c r="KA48" s="291"/>
      <c r="KB48" s="291"/>
      <c r="KC48" s="291"/>
      <c r="KD48" s="291"/>
      <c r="KE48" s="291"/>
      <c r="KF48" s="291"/>
      <c r="KG48" s="291"/>
      <c r="KH48" s="291"/>
      <c r="KI48" s="291"/>
      <c r="KJ48" s="291"/>
      <c r="KK48" s="291"/>
      <c r="KL48" s="291"/>
      <c r="KM48" s="291"/>
      <c r="KN48" s="291"/>
      <c r="KO48" s="291"/>
      <c r="KP48" s="291"/>
      <c r="KQ48" s="291"/>
      <c r="KR48" s="291"/>
      <c r="KS48" s="291"/>
      <c r="KT48" s="291"/>
      <c r="KU48" s="291"/>
      <c r="KV48" s="291"/>
      <c r="KW48" s="291"/>
      <c r="KX48" s="291"/>
      <c r="KY48" s="291"/>
      <c r="KZ48" s="291"/>
      <c r="LA48" s="291"/>
      <c r="LB48" s="291"/>
      <c r="LC48" s="291"/>
      <c r="LD48" s="291"/>
      <c r="LE48" s="291"/>
      <c r="LF48" s="291"/>
      <c r="LG48" s="291"/>
      <c r="LH48" s="291"/>
      <c r="LI48" s="291"/>
      <c r="LJ48" s="291"/>
      <c r="LK48" s="291"/>
      <c r="LL48" s="291"/>
      <c r="LM48" s="291"/>
      <c r="LN48" s="291"/>
      <c r="LO48" s="291"/>
      <c r="LP48" s="291"/>
      <c r="LQ48" s="291"/>
      <c r="LR48" s="291"/>
      <c r="LS48" s="291"/>
      <c r="LT48" s="291"/>
      <c r="LU48" s="291"/>
      <c r="LV48" s="291"/>
      <c r="LW48" s="291"/>
      <c r="LX48" s="291"/>
      <c r="LY48" s="291"/>
      <c r="LZ48" s="291"/>
      <c r="MA48" s="291"/>
      <c r="MB48" s="291"/>
      <c r="MC48" s="291"/>
      <c r="MD48" s="291"/>
      <c r="ME48" s="291"/>
      <c r="MF48" s="291"/>
      <c r="MG48" s="291"/>
      <c r="MH48" s="291"/>
      <c r="MI48" s="291"/>
      <c r="MJ48" s="291"/>
      <c r="MK48" s="291"/>
      <c r="ML48" s="291"/>
      <c r="MM48" s="291"/>
      <c r="MN48" s="291"/>
      <c r="MO48" s="291"/>
      <c r="MP48" s="291"/>
      <c r="MQ48" s="291"/>
      <c r="MR48" s="291"/>
      <c r="MS48" s="291"/>
      <c r="MT48" s="291"/>
      <c r="MU48" s="291"/>
      <c r="MV48" s="291"/>
      <c r="MW48" s="291"/>
      <c r="MX48" s="291"/>
      <c r="MY48" s="291"/>
      <c r="MZ48" s="291"/>
      <c r="NA48" s="291"/>
      <c r="NB48" s="291"/>
      <c r="NC48" s="291"/>
      <c r="ND48" s="291"/>
      <c r="NE48" s="291"/>
      <c r="NF48" s="291"/>
      <c r="NG48" s="291"/>
      <c r="NH48" s="291"/>
      <c r="NI48" s="291"/>
      <c r="NJ48" s="291"/>
      <c r="NK48" s="291"/>
      <c r="NL48" s="291"/>
      <c r="NM48" s="291"/>
      <c r="NN48" s="291"/>
      <c r="NO48" s="291"/>
      <c r="NP48" s="291"/>
      <c r="NQ48" s="291"/>
      <c r="NR48" s="291"/>
      <c r="NS48" s="291"/>
      <c r="NT48" s="291"/>
      <c r="NU48" s="291"/>
      <c r="NV48" s="291"/>
      <c r="NW48" s="291"/>
      <c r="NX48" s="291"/>
      <c r="NY48" s="291"/>
      <c r="NZ48" s="291"/>
      <c r="OA48" s="291"/>
      <c r="OB48" s="291"/>
      <c r="OC48" s="291"/>
      <c r="OD48" s="291"/>
      <c r="OE48" s="291"/>
      <c r="OF48" s="291"/>
      <c r="OG48" s="291"/>
      <c r="OH48" s="291"/>
      <c r="OI48" s="291"/>
      <c r="OJ48" s="291"/>
      <c r="OK48" s="291"/>
      <c r="OL48" s="291"/>
      <c r="OM48" s="291"/>
      <c r="ON48" s="291"/>
      <c r="OO48" s="291"/>
      <c r="OP48" s="291"/>
      <c r="OQ48" s="291"/>
      <c r="OR48" s="291"/>
      <c r="OS48" s="291"/>
      <c r="OT48" s="291"/>
      <c r="OU48" s="291"/>
      <c r="OV48" s="291"/>
      <c r="OW48" s="291"/>
    </row>
    <row r="49" spans="1:413" s="257" customFormat="1" hidden="1" x14ac:dyDescent="0.2">
      <c r="A49" s="291"/>
      <c r="B49" s="524">
        <f t="shared" si="3"/>
        <v>34</v>
      </c>
      <c r="C49" s="510" t="s">
        <v>38</v>
      </c>
      <c r="D49" s="511">
        <v>30074166</v>
      </c>
      <c r="E49" s="511"/>
      <c r="F49" s="512" t="s">
        <v>1158</v>
      </c>
      <c r="G49" s="513" t="s">
        <v>45</v>
      </c>
      <c r="H49" s="514" t="s">
        <v>1094</v>
      </c>
      <c r="I49" s="515" t="s">
        <v>1159</v>
      </c>
      <c r="J49" s="346" t="s">
        <v>42</v>
      </c>
      <c r="K49" s="526">
        <v>1452026</v>
      </c>
      <c r="L49" s="527">
        <v>1124750</v>
      </c>
      <c r="M49" s="528">
        <v>0</v>
      </c>
      <c r="N49" s="519">
        <v>0</v>
      </c>
      <c r="O49" s="519">
        <v>104568</v>
      </c>
      <c r="P49" s="519">
        <v>109743</v>
      </c>
      <c r="Q49" s="519">
        <v>9903</v>
      </c>
      <c r="R49" s="519">
        <v>0</v>
      </c>
      <c r="S49" s="520">
        <v>0</v>
      </c>
      <c r="T49" s="18"/>
      <c r="U49" s="18"/>
      <c r="V49" s="18"/>
      <c r="W49" s="18"/>
      <c r="X49" s="18"/>
      <c r="Y49" s="18"/>
      <c r="Z49" s="18">
        <f t="shared" si="0"/>
        <v>224214</v>
      </c>
      <c r="AA49" s="309">
        <v>263291</v>
      </c>
      <c r="AB49" s="19">
        <v>5</v>
      </c>
      <c r="AC49" s="521">
        <v>44224</v>
      </c>
      <c r="AD49" s="25">
        <v>44251</v>
      </c>
      <c r="AE49" s="309"/>
      <c r="AF49" s="20"/>
      <c r="AG49" s="23"/>
      <c r="AH49" s="25"/>
      <c r="AI49" s="309"/>
      <c r="AJ49" s="19"/>
      <c r="AK49" s="23"/>
      <c r="AL49" s="25"/>
      <c r="AM49" s="309"/>
      <c r="AN49" s="19"/>
      <c r="AO49" s="21"/>
      <c r="AP49" s="25"/>
      <c r="AQ49" s="309"/>
      <c r="AR49" s="19"/>
      <c r="AS49" s="21"/>
      <c r="AT49" s="25"/>
      <c r="AU49" s="522">
        <f t="shared" si="1"/>
        <v>263291</v>
      </c>
      <c r="AV49" s="311">
        <f t="shared" si="2"/>
        <v>39077</v>
      </c>
      <c r="AW49" s="305"/>
      <c r="AX49" s="291"/>
      <c r="AY49" s="291"/>
      <c r="AZ49" s="291"/>
      <c r="BA49" s="291"/>
      <c r="BB49" s="291"/>
      <c r="BC49" s="291"/>
      <c r="BD49" s="291"/>
      <c r="BE49" s="291"/>
      <c r="BF49" s="291"/>
      <c r="BG49" s="291"/>
      <c r="BH49" s="291"/>
      <c r="BI49" s="291"/>
      <c r="BJ49" s="291"/>
      <c r="BK49" s="291"/>
      <c r="BL49" s="291"/>
      <c r="BM49" s="291"/>
      <c r="BN49" s="291"/>
      <c r="BO49" s="291"/>
      <c r="BP49" s="291"/>
      <c r="BQ49" s="291"/>
      <c r="BR49" s="291"/>
      <c r="BS49" s="291"/>
      <c r="BT49" s="291"/>
      <c r="BU49" s="291"/>
      <c r="BV49" s="291"/>
      <c r="BW49" s="291"/>
      <c r="BX49" s="291"/>
      <c r="BY49" s="291"/>
      <c r="BZ49" s="291"/>
      <c r="CA49" s="291"/>
      <c r="CB49" s="291"/>
      <c r="CC49" s="291"/>
      <c r="CD49" s="291"/>
      <c r="CE49" s="291"/>
      <c r="CF49" s="291"/>
      <c r="CG49" s="291"/>
      <c r="CH49" s="291"/>
      <c r="CI49" s="291"/>
      <c r="CJ49" s="291"/>
      <c r="CK49" s="291"/>
      <c r="CL49" s="291"/>
      <c r="CM49" s="291"/>
      <c r="CN49" s="291"/>
      <c r="CO49" s="291"/>
      <c r="CP49" s="291"/>
      <c r="CQ49" s="291"/>
      <c r="CR49" s="291"/>
      <c r="CS49" s="291"/>
      <c r="CT49" s="291"/>
      <c r="CU49" s="291"/>
      <c r="CV49" s="291"/>
      <c r="CW49" s="291"/>
      <c r="CX49" s="291"/>
      <c r="CY49" s="291"/>
      <c r="CZ49" s="291"/>
      <c r="DA49" s="291"/>
      <c r="DB49" s="291"/>
      <c r="DC49" s="291"/>
      <c r="DD49" s="291"/>
      <c r="DE49" s="291"/>
      <c r="DF49" s="291"/>
      <c r="DG49" s="291"/>
      <c r="DH49" s="291"/>
      <c r="DI49" s="291"/>
      <c r="DJ49" s="291"/>
      <c r="DK49" s="291"/>
      <c r="DL49" s="291"/>
      <c r="DM49" s="291"/>
      <c r="DN49" s="291"/>
      <c r="DO49" s="291"/>
      <c r="DP49" s="291"/>
      <c r="DQ49" s="291"/>
      <c r="DR49" s="291"/>
      <c r="DS49" s="291"/>
      <c r="DT49" s="291"/>
      <c r="DU49" s="291"/>
      <c r="DV49" s="291"/>
      <c r="DW49" s="291"/>
      <c r="DX49" s="291"/>
      <c r="DY49" s="291"/>
      <c r="DZ49" s="291"/>
      <c r="EA49" s="291"/>
      <c r="EB49" s="291"/>
      <c r="EC49" s="291"/>
      <c r="ED49" s="291"/>
      <c r="EE49" s="291"/>
      <c r="EF49" s="291"/>
      <c r="EG49" s="291"/>
      <c r="EH49" s="291"/>
      <c r="EI49" s="291"/>
      <c r="EJ49" s="291"/>
      <c r="EK49" s="291"/>
      <c r="EL49" s="291"/>
      <c r="EM49" s="291"/>
      <c r="EN49" s="291"/>
      <c r="EO49" s="291"/>
      <c r="EP49" s="291"/>
      <c r="EQ49" s="291"/>
      <c r="ER49" s="291"/>
      <c r="ES49" s="291"/>
      <c r="ET49" s="291"/>
      <c r="EU49" s="291"/>
      <c r="EV49" s="291"/>
      <c r="EW49" s="291"/>
      <c r="EX49" s="291"/>
      <c r="EY49" s="291"/>
      <c r="EZ49" s="291"/>
      <c r="FA49" s="291"/>
      <c r="FB49" s="291"/>
      <c r="FC49" s="291"/>
      <c r="FD49" s="291"/>
      <c r="FE49" s="291"/>
      <c r="FF49" s="291"/>
      <c r="FG49" s="291"/>
      <c r="FH49" s="291"/>
      <c r="FI49" s="291"/>
      <c r="FJ49" s="291"/>
      <c r="FK49" s="291"/>
      <c r="FL49" s="291"/>
      <c r="FM49" s="291"/>
      <c r="FN49" s="291"/>
      <c r="FO49" s="291"/>
      <c r="FP49" s="291"/>
      <c r="FQ49" s="291"/>
      <c r="FR49" s="291"/>
      <c r="FS49" s="291"/>
      <c r="FT49" s="291"/>
      <c r="FU49" s="291"/>
      <c r="FV49" s="291"/>
      <c r="FW49" s="291"/>
      <c r="FX49" s="291"/>
      <c r="FY49" s="291"/>
      <c r="FZ49" s="291"/>
      <c r="GA49" s="291"/>
      <c r="GB49" s="291"/>
      <c r="GC49" s="291"/>
      <c r="GD49" s="291"/>
      <c r="GE49" s="291"/>
      <c r="GF49" s="291"/>
      <c r="GG49" s="291"/>
      <c r="GH49" s="291"/>
      <c r="GI49" s="291"/>
      <c r="GJ49" s="291"/>
      <c r="GK49" s="291"/>
      <c r="GL49" s="291"/>
      <c r="GM49" s="291"/>
      <c r="GN49" s="291"/>
      <c r="GO49" s="291"/>
      <c r="GP49" s="291"/>
      <c r="GQ49" s="291"/>
      <c r="GR49" s="291"/>
      <c r="GS49" s="291"/>
      <c r="GT49" s="291"/>
      <c r="GU49" s="291"/>
      <c r="GV49" s="291"/>
      <c r="GW49" s="291"/>
      <c r="GX49" s="291"/>
      <c r="GY49" s="291"/>
      <c r="GZ49" s="291"/>
      <c r="HA49" s="291"/>
      <c r="HB49" s="291"/>
      <c r="HC49" s="291"/>
      <c r="HD49" s="291"/>
      <c r="HE49" s="291"/>
      <c r="HF49" s="291"/>
      <c r="HG49" s="291"/>
      <c r="HH49" s="291"/>
      <c r="HI49" s="291"/>
      <c r="HJ49" s="291"/>
      <c r="HK49" s="291"/>
      <c r="HL49" s="291"/>
      <c r="HM49" s="291"/>
      <c r="HN49" s="291"/>
      <c r="HO49" s="291"/>
      <c r="HP49" s="291"/>
      <c r="HQ49" s="291"/>
      <c r="HR49" s="291"/>
      <c r="HS49" s="291"/>
      <c r="HT49" s="291"/>
      <c r="HU49" s="291"/>
      <c r="HV49" s="291"/>
      <c r="HW49" s="291"/>
      <c r="HX49" s="291"/>
      <c r="HY49" s="291"/>
      <c r="HZ49" s="291"/>
      <c r="IA49" s="291"/>
      <c r="IB49" s="291"/>
      <c r="IC49" s="291"/>
      <c r="ID49" s="291"/>
      <c r="IE49" s="291"/>
      <c r="IF49" s="291"/>
      <c r="IG49" s="291"/>
      <c r="IH49" s="291"/>
      <c r="II49" s="291"/>
      <c r="IJ49" s="291"/>
      <c r="IK49" s="291"/>
      <c r="IL49" s="291"/>
      <c r="IM49" s="291"/>
      <c r="IN49" s="291"/>
      <c r="IO49" s="291"/>
      <c r="IP49" s="291"/>
      <c r="IQ49" s="291"/>
      <c r="IR49" s="291"/>
      <c r="IS49" s="291"/>
      <c r="IT49" s="291"/>
      <c r="IU49" s="291"/>
      <c r="IV49" s="291"/>
      <c r="IW49" s="291"/>
      <c r="IX49" s="291"/>
      <c r="IY49" s="291"/>
      <c r="IZ49" s="291"/>
      <c r="JA49" s="291"/>
      <c r="JB49" s="291"/>
      <c r="JC49" s="291"/>
      <c r="JD49" s="291"/>
      <c r="JE49" s="291"/>
      <c r="JF49" s="291"/>
      <c r="JG49" s="291"/>
      <c r="JH49" s="291"/>
      <c r="JI49" s="291"/>
      <c r="JJ49" s="291"/>
      <c r="JK49" s="291"/>
      <c r="JL49" s="291"/>
      <c r="JM49" s="291"/>
      <c r="JN49" s="291"/>
      <c r="JO49" s="291"/>
      <c r="JP49" s="291"/>
      <c r="JQ49" s="291"/>
      <c r="JR49" s="291"/>
      <c r="JS49" s="291"/>
      <c r="JT49" s="291"/>
      <c r="JU49" s="291"/>
      <c r="JV49" s="291"/>
      <c r="JW49" s="291"/>
      <c r="JX49" s="291"/>
      <c r="JY49" s="291"/>
      <c r="JZ49" s="291"/>
      <c r="KA49" s="291"/>
      <c r="KB49" s="291"/>
      <c r="KC49" s="291"/>
      <c r="KD49" s="291"/>
      <c r="KE49" s="291"/>
      <c r="KF49" s="291"/>
      <c r="KG49" s="291"/>
      <c r="KH49" s="291"/>
      <c r="KI49" s="291"/>
      <c r="KJ49" s="291"/>
      <c r="KK49" s="291"/>
      <c r="KL49" s="291"/>
      <c r="KM49" s="291"/>
      <c r="KN49" s="291"/>
      <c r="KO49" s="291"/>
      <c r="KP49" s="291"/>
      <c r="KQ49" s="291"/>
      <c r="KR49" s="291"/>
      <c r="KS49" s="291"/>
      <c r="KT49" s="291"/>
      <c r="KU49" s="291"/>
      <c r="KV49" s="291"/>
      <c r="KW49" s="291"/>
      <c r="KX49" s="291"/>
      <c r="KY49" s="291"/>
      <c r="KZ49" s="291"/>
      <c r="LA49" s="291"/>
      <c r="LB49" s="291"/>
      <c r="LC49" s="291"/>
      <c r="LD49" s="291"/>
      <c r="LE49" s="291"/>
      <c r="LF49" s="291"/>
      <c r="LG49" s="291"/>
      <c r="LH49" s="291"/>
      <c r="LI49" s="291"/>
      <c r="LJ49" s="291"/>
      <c r="LK49" s="291"/>
      <c r="LL49" s="291"/>
      <c r="LM49" s="291"/>
      <c r="LN49" s="291"/>
      <c r="LO49" s="291"/>
      <c r="LP49" s="291"/>
      <c r="LQ49" s="291"/>
      <c r="LR49" s="291"/>
      <c r="LS49" s="291"/>
      <c r="LT49" s="291"/>
      <c r="LU49" s="291"/>
      <c r="LV49" s="291"/>
      <c r="LW49" s="291"/>
      <c r="LX49" s="291"/>
      <c r="LY49" s="291"/>
      <c r="LZ49" s="291"/>
      <c r="MA49" s="291"/>
      <c r="MB49" s="291"/>
      <c r="MC49" s="291"/>
      <c r="MD49" s="291"/>
      <c r="ME49" s="291"/>
      <c r="MF49" s="291"/>
      <c r="MG49" s="291"/>
      <c r="MH49" s="291"/>
      <c r="MI49" s="291"/>
      <c r="MJ49" s="291"/>
      <c r="MK49" s="291"/>
      <c r="ML49" s="291"/>
      <c r="MM49" s="291"/>
      <c r="MN49" s="291"/>
      <c r="MO49" s="291"/>
      <c r="MP49" s="291"/>
      <c r="MQ49" s="291"/>
      <c r="MR49" s="291"/>
      <c r="MS49" s="291"/>
      <c r="MT49" s="291"/>
      <c r="MU49" s="291"/>
      <c r="MV49" s="291"/>
      <c r="MW49" s="291"/>
      <c r="MX49" s="291"/>
      <c r="MY49" s="291"/>
      <c r="MZ49" s="291"/>
      <c r="NA49" s="291"/>
      <c r="NB49" s="291"/>
      <c r="NC49" s="291"/>
      <c r="ND49" s="291"/>
      <c r="NE49" s="291"/>
      <c r="NF49" s="291"/>
      <c r="NG49" s="291"/>
      <c r="NH49" s="291"/>
      <c r="NI49" s="291"/>
      <c r="NJ49" s="291"/>
      <c r="NK49" s="291"/>
      <c r="NL49" s="291"/>
      <c r="NM49" s="291"/>
      <c r="NN49" s="291"/>
      <c r="NO49" s="291"/>
      <c r="NP49" s="291"/>
      <c r="NQ49" s="291"/>
      <c r="NR49" s="291"/>
      <c r="NS49" s="291"/>
      <c r="NT49" s="291"/>
      <c r="NU49" s="291"/>
      <c r="NV49" s="291"/>
      <c r="NW49" s="291"/>
      <c r="NX49" s="291"/>
      <c r="NY49" s="291"/>
      <c r="NZ49" s="291"/>
      <c r="OA49" s="291"/>
      <c r="OB49" s="291"/>
      <c r="OC49" s="291"/>
      <c r="OD49" s="291"/>
      <c r="OE49" s="291"/>
      <c r="OF49" s="291"/>
      <c r="OG49" s="291"/>
      <c r="OH49" s="291"/>
      <c r="OI49" s="291"/>
      <c r="OJ49" s="291"/>
      <c r="OK49" s="291"/>
      <c r="OL49" s="291"/>
      <c r="OM49" s="291"/>
      <c r="ON49" s="291"/>
      <c r="OO49" s="291"/>
      <c r="OP49" s="291"/>
      <c r="OQ49" s="291"/>
      <c r="OR49" s="291"/>
      <c r="OS49" s="291"/>
      <c r="OT49" s="291"/>
      <c r="OU49" s="291"/>
      <c r="OV49" s="291"/>
      <c r="OW49" s="291"/>
    </row>
    <row r="50" spans="1:413" s="257" customFormat="1" hidden="1" x14ac:dyDescent="0.2">
      <c r="A50" s="291"/>
      <c r="B50" s="524">
        <f t="shared" si="3"/>
        <v>35</v>
      </c>
      <c r="C50" s="510" t="s">
        <v>38</v>
      </c>
      <c r="D50" s="511">
        <v>30074607</v>
      </c>
      <c r="E50" s="511"/>
      <c r="F50" s="512" t="s">
        <v>1160</v>
      </c>
      <c r="G50" s="513" t="s">
        <v>45</v>
      </c>
      <c r="H50" s="514" t="s">
        <v>1094</v>
      </c>
      <c r="I50" s="515" t="s">
        <v>1101</v>
      </c>
      <c r="J50" s="346" t="s">
        <v>42</v>
      </c>
      <c r="K50" s="526">
        <v>21796655</v>
      </c>
      <c r="L50" s="527">
        <v>19451899</v>
      </c>
      <c r="M50" s="528">
        <v>0</v>
      </c>
      <c r="N50" s="519">
        <v>0</v>
      </c>
      <c r="O50" s="519">
        <v>4200</v>
      </c>
      <c r="P50" s="519">
        <v>236528</v>
      </c>
      <c r="Q50" s="519">
        <v>12851</v>
      </c>
      <c r="R50" s="519">
        <v>59939</v>
      </c>
      <c r="S50" s="520">
        <v>82613</v>
      </c>
      <c r="T50" s="18"/>
      <c r="U50" s="18"/>
      <c r="V50" s="18"/>
      <c r="W50" s="18"/>
      <c r="X50" s="18"/>
      <c r="Y50" s="18"/>
      <c r="Z50" s="18">
        <f t="shared" si="0"/>
        <v>396131</v>
      </c>
      <c r="AA50" s="309">
        <v>2344756</v>
      </c>
      <c r="AB50" s="19">
        <v>11</v>
      </c>
      <c r="AC50" s="521">
        <v>44237</v>
      </c>
      <c r="AD50" s="25">
        <v>44251</v>
      </c>
      <c r="AE50" s="309"/>
      <c r="AF50" s="20"/>
      <c r="AG50" s="23"/>
      <c r="AH50" s="25"/>
      <c r="AI50" s="309"/>
      <c r="AJ50" s="19"/>
      <c r="AK50" s="23"/>
      <c r="AL50" s="25"/>
      <c r="AM50" s="309"/>
      <c r="AN50" s="19"/>
      <c r="AO50" s="21"/>
      <c r="AP50" s="25"/>
      <c r="AQ50" s="309"/>
      <c r="AR50" s="19"/>
      <c r="AS50" s="21"/>
      <c r="AT50" s="25"/>
      <c r="AU50" s="522">
        <f t="shared" si="1"/>
        <v>2344756</v>
      </c>
      <c r="AV50" s="311">
        <f t="shared" si="2"/>
        <v>1948625</v>
      </c>
      <c r="AW50" s="305"/>
      <c r="AX50" s="291"/>
      <c r="AY50" s="291"/>
      <c r="AZ50" s="291"/>
      <c r="BA50" s="291"/>
      <c r="BB50" s="291"/>
      <c r="BC50" s="291"/>
      <c r="BD50" s="291"/>
      <c r="BE50" s="291"/>
      <c r="BF50" s="291"/>
      <c r="BG50" s="291"/>
      <c r="BH50" s="291"/>
      <c r="BI50" s="291"/>
      <c r="BJ50" s="291"/>
      <c r="BK50" s="291"/>
      <c r="BL50" s="291"/>
      <c r="BM50" s="291"/>
      <c r="BN50" s="291"/>
      <c r="BO50" s="291"/>
      <c r="BP50" s="291"/>
      <c r="BQ50" s="291"/>
      <c r="BR50" s="291"/>
      <c r="BS50" s="291"/>
      <c r="BT50" s="291"/>
      <c r="BU50" s="291"/>
      <c r="BV50" s="291"/>
      <c r="BW50" s="291"/>
      <c r="BX50" s="291"/>
      <c r="BY50" s="291"/>
      <c r="BZ50" s="291"/>
      <c r="CA50" s="291"/>
      <c r="CB50" s="291"/>
      <c r="CC50" s="291"/>
      <c r="CD50" s="291"/>
      <c r="CE50" s="291"/>
      <c r="CF50" s="291"/>
      <c r="CG50" s="291"/>
      <c r="CH50" s="291"/>
      <c r="CI50" s="291"/>
      <c r="CJ50" s="291"/>
      <c r="CK50" s="291"/>
      <c r="CL50" s="291"/>
      <c r="CM50" s="291"/>
      <c r="CN50" s="291"/>
      <c r="CO50" s="291"/>
      <c r="CP50" s="291"/>
      <c r="CQ50" s="291"/>
      <c r="CR50" s="291"/>
      <c r="CS50" s="291"/>
      <c r="CT50" s="291"/>
      <c r="CU50" s="291"/>
      <c r="CV50" s="291"/>
      <c r="CW50" s="291"/>
      <c r="CX50" s="291"/>
      <c r="CY50" s="291"/>
      <c r="CZ50" s="291"/>
      <c r="DA50" s="291"/>
      <c r="DB50" s="291"/>
      <c r="DC50" s="291"/>
      <c r="DD50" s="291"/>
      <c r="DE50" s="291"/>
      <c r="DF50" s="291"/>
      <c r="DG50" s="291"/>
      <c r="DH50" s="291"/>
      <c r="DI50" s="291"/>
      <c r="DJ50" s="291"/>
      <c r="DK50" s="291"/>
      <c r="DL50" s="291"/>
      <c r="DM50" s="291"/>
      <c r="DN50" s="291"/>
      <c r="DO50" s="291"/>
      <c r="DP50" s="291"/>
      <c r="DQ50" s="291"/>
      <c r="DR50" s="291"/>
      <c r="DS50" s="291"/>
      <c r="DT50" s="291"/>
      <c r="DU50" s="291"/>
      <c r="DV50" s="291"/>
      <c r="DW50" s="291"/>
      <c r="DX50" s="291"/>
      <c r="DY50" s="291"/>
      <c r="DZ50" s="291"/>
      <c r="EA50" s="291"/>
      <c r="EB50" s="291"/>
      <c r="EC50" s="291"/>
      <c r="ED50" s="291"/>
      <c r="EE50" s="291"/>
      <c r="EF50" s="291"/>
      <c r="EG50" s="291"/>
      <c r="EH50" s="291"/>
      <c r="EI50" s="291"/>
      <c r="EJ50" s="291"/>
      <c r="EK50" s="291"/>
      <c r="EL50" s="291"/>
      <c r="EM50" s="291"/>
      <c r="EN50" s="291"/>
      <c r="EO50" s="291"/>
      <c r="EP50" s="291"/>
      <c r="EQ50" s="291"/>
      <c r="ER50" s="291"/>
      <c r="ES50" s="291"/>
      <c r="ET50" s="291"/>
      <c r="EU50" s="291"/>
      <c r="EV50" s="291"/>
      <c r="EW50" s="291"/>
      <c r="EX50" s="291"/>
      <c r="EY50" s="291"/>
      <c r="EZ50" s="291"/>
      <c r="FA50" s="291"/>
      <c r="FB50" s="291"/>
      <c r="FC50" s="291"/>
      <c r="FD50" s="291"/>
      <c r="FE50" s="291"/>
      <c r="FF50" s="291"/>
      <c r="FG50" s="291"/>
      <c r="FH50" s="291"/>
      <c r="FI50" s="291"/>
      <c r="FJ50" s="291"/>
      <c r="FK50" s="291"/>
      <c r="FL50" s="291"/>
      <c r="FM50" s="291"/>
      <c r="FN50" s="291"/>
      <c r="FO50" s="291"/>
      <c r="FP50" s="291"/>
      <c r="FQ50" s="291"/>
      <c r="FR50" s="291"/>
      <c r="FS50" s="291"/>
      <c r="FT50" s="291"/>
      <c r="FU50" s="291"/>
      <c r="FV50" s="291"/>
      <c r="FW50" s="291"/>
      <c r="FX50" s="291"/>
      <c r="FY50" s="291"/>
      <c r="FZ50" s="291"/>
      <c r="GA50" s="291"/>
      <c r="GB50" s="291"/>
      <c r="GC50" s="291"/>
      <c r="GD50" s="291"/>
      <c r="GE50" s="291"/>
      <c r="GF50" s="291"/>
      <c r="GG50" s="291"/>
      <c r="GH50" s="291"/>
      <c r="GI50" s="291"/>
      <c r="GJ50" s="291"/>
      <c r="GK50" s="291"/>
      <c r="GL50" s="291"/>
      <c r="GM50" s="291"/>
      <c r="GN50" s="291"/>
      <c r="GO50" s="291"/>
      <c r="GP50" s="291"/>
      <c r="GQ50" s="291"/>
      <c r="GR50" s="291"/>
      <c r="GS50" s="291"/>
      <c r="GT50" s="291"/>
      <c r="GU50" s="291"/>
      <c r="GV50" s="291"/>
      <c r="GW50" s="291"/>
      <c r="GX50" s="291"/>
      <c r="GY50" s="291"/>
      <c r="GZ50" s="291"/>
      <c r="HA50" s="291"/>
      <c r="HB50" s="291"/>
      <c r="HC50" s="291"/>
      <c r="HD50" s="291"/>
      <c r="HE50" s="291"/>
      <c r="HF50" s="291"/>
      <c r="HG50" s="291"/>
      <c r="HH50" s="291"/>
      <c r="HI50" s="291"/>
      <c r="HJ50" s="291"/>
      <c r="HK50" s="291"/>
      <c r="HL50" s="291"/>
      <c r="HM50" s="291"/>
      <c r="HN50" s="291"/>
      <c r="HO50" s="291"/>
      <c r="HP50" s="291"/>
      <c r="HQ50" s="291"/>
      <c r="HR50" s="291"/>
      <c r="HS50" s="291"/>
      <c r="HT50" s="291"/>
      <c r="HU50" s="291"/>
      <c r="HV50" s="291"/>
      <c r="HW50" s="291"/>
      <c r="HX50" s="291"/>
      <c r="HY50" s="291"/>
      <c r="HZ50" s="291"/>
      <c r="IA50" s="291"/>
      <c r="IB50" s="291"/>
      <c r="IC50" s="291"/>
      <c r="ID50" s="291"/>
      <c r="IE50" s="291"/>
      <c r="IF50" s="291"/>
      <c r="IG50" s="291"/>
      <c r="IH50" s="291"/>
      <c r="II50" s="291"/>
      <c r="IJ50" s="291"/>
      <c r="IK50" s="291"/>
      <c r="IL50" s="291"/>
      <c r="IM50" s="291"/>
      <c r="IN50" s="291"/>
      <c r="IO50" s="291"/>
      <c r="IP50" s="291"/>
      <c r="IQ50" s="291"/>
      <c r="IR50" s="291"/>
      <c r="IS50" s="291"/>
      <c r="IT50" s="291"/>
      <c r="IU50" s="291"/>
      <c r="IV50" s="291"/>
      <c r="IW50" s="291"/>
      <c r="IX50" s="291"/>
      <c r="IY50" s="291"/>
      <c r="IZ50" s="291"/>
      <c r="JA50" s="291"/>
      <c r="JB50" s="291"/>
      <c r="JC50" s="291"/>
      <c r="JD50" s="291"/>
      <c r="JE50" s="291"/>
      <c r="JF50" s="291"/>
      <c r="JG50" s="291"/>
      <c r="JH50" s="291"/>
      <c r="JI50" s="291"/>
      <c r="JJ50" s="291"/>
      <c r="JK50" s="291"/>
      <c r="JL50" s="291"/>
      <c r="JM50" s="291"/>
      <c r="JN50" s="291"/>
      <c r="JO50" s="291"/>
      <c r="JP50" s="291"/>
      <c r="JQ50" s="291"/>
      <c r="JR50" s="291"/>
      <c r="JS50" s="291"/>
      <c r="JT50" s="291"/>
      <c r="JU50" s="291"/>
      <c r="JV50" s="291"/>
      <c r="JW50" s="291"/>
      <c r="JX50" s="291"/>
      <c r="JY50" s="291"/>
      <c r="JZ50" s="291"/>
      <c r="KA50" s="291"/>
      <c r="KB50" s="291"/>
      <c r="KC50" s="291"/>
      <c r="KD50" s="291"/>
      <c r="KE50" s="291"/>
      <c r="KF50" s="291"/>
      <c r="KG50" s="291"/>
      <c r="KH50" s="291"/>
      <c r="KI50" s="291"/>
      <c r="KJ50" s="291"/>
      <c r="KK50" s="291"/>
      <c r="KL50" s="291"/>
      <c r="KM50" s="291"/>
      <c r="KN50" s="291"/>
      <c r="KO50" s="291"/>
      <c r="KP50" s="291"/>
      <c r="KQ50" s="291"/>
      <c r="KR50" s="291"/>
      <c r="KS50" s="291"/>
      <c r="KT50" s="291"/>
      <c r="KU50" s="291"/>
      <c r="KV50" s="291"/>
      <c r="KW50" s="291"/>
      <c r="KX50" s="291"/>
      <c r="KY50" s="291"/>
      <c r="KZ50" s="291"/>
      <c r="LA50" s="291"/>
      <c r="LB50" s="291"/>
      <c r="LC50" s="291"/>
      <c r="LD50" s="291"/>
      <c r="LE50" s="291"/>
      <c r="LF50" s="291"/>
      <c r="LG50" s="291"/>
      <c r="LH50" s="291"/>
      <c r="LI50" s="291"/>
      <c r="LJ50" s="291"/>
      <c r="LK50" s="291"/>
      <c r="LL50" s="291"/>
      <c r="LM50" s="291"/>
      <c r="LN50" s="291"/>
      <c r="LO50" s="291"/>
      <c r="LP50" s="291"/>
      <c r="LQ50" s="291"/>
      <c r="LR50" s="291"/>
      <c r="LS50" s="291"/>
      <c r="LT50" s="291"/>
      <c r="LU50" s="291"/>
      <c r="LV50" s="291"/>
      <c r="LW50" s="291"/>
      <c r="LX50" s="291"/>
      <c r="LY50" s="291"/>
      <c r="LZ50" s="291"/>
      <c r="MA50" s="291"/>
      <c r="MB50" s="291"/>
      <c r="MC50" s="291"/>
      <c r="MD50" s="291"/>
      <c r="ME50" s="291"/>
      <c r="MF50" s="291"/>
      <c r="MG50" s="291"/>
      <c r="MH50" s="291"/>
      <c r="MI50" s="291"/>
      <c r="MJ50" s="291"/>
      <c r="MK50" s="291"/>
      <c r="ML50" s="291"/>
      <c r="MM50" s="291"/>
      <c r="MN50" s="291"/>
      <c r="MO50" s="291"/>
      <c r="MP50" s="291"/>
      <c r="MQ50" s="291"/>
      <c r="MR50" s="291"/>
      <c r="MS50" s="291"/>
      <c r="MT50" s="291"/>
      <c r="MU50" s="291"/>
      <c r="MV50" s="291"/>
      <c r="MW50" s="291"/>
      <c r="MX50" s="291"/>
      <c r="MY50" s="291"/>
      <c r="MZ50" s="291"/>
      <c r="NA50" s="291"/>
      <c r="NB50" s="291"/>
      <c r="NC50" s="291"/>
      <c r="ND50" s="291"/>
      <c r="NE50" s="291"/>
      <c r="NF50" s="291"/>
      <c r="NG50" s="291"/>
      <c r="NH50" s="291"/>
      <c r="NI50" s="291"/>
      <c r="NJ50" s="291"/>
      <c r="NK50" s="291"/>
      <c r="NL50" s="291"/>
      <c r="NM50" s="291"/>
      <c r="NN50" s="291"/>
      <c r="NO50" s="291"/>
      <c r="NP50" s="291"/>
      <c r="NQ50" s="291"/>
      <c r="NR50" s="291"/>
      <c r="NS50" s="291"/>
      <c r="NT50" s="291"/>
      <c r="NU50" s="291"/>
      <c r="NV50" s="291"/>
      <c r="NW50" s="291"/>
      <c r="NX50" s="291"/>
      <c r="NY50" s="291"/>
      <c r="NZ50" s="291"/>
      <c r="OA50" s="291"/>
      <c r="OB50" s="291"/>
      <c r="OC50" s="291"/>
      <c r="OD50" s="291"/>
      <c r="OE50" s="291"/>
      <c r="OF50" s="291"/>
      <c r="OG50" s="291"/>
      <c r="OH50" s="291"/>
      <c r="OI50" s="291"/>
      <c r="OJ50" s="291"/>
      <c r="OK50" s="291"/>
      <c r="OL50" s="291"/>
      <c r="OM50" s="291"/>
      <c r="ON50" s="291"/>
      <c r="OO50" s="291"/>
      <c r="OP50" s="291"/>
      <c r="OQ50" s="291"/>
      <c r="OR50" s="291"/>
      <c r="OS50" s="291"/>
      <c r="OT50" s="291"/>
      <c r="OU50" s="291"/>
      <c r="OV50" s="291"/>
      <c r="OW50" s="291"/>
    </row>
    <row r="51" spans="1:413" s="257" customFormat="1" hidden="1" x14ac:dyDescent="0.2">
      <c r="A51" s="291"/>
      <c r="B51" s="524">
        <f t="shared" si="3"/>
        <v>36</v>
      </c>
      <c r="C51" s="510" t="s">
        <v>38</v>
      </c>
      <c r="D51" s="511">
        <v>30075290</v>
      </c>
      <c r="E51" s="511"/>
      <c r="F51" s="512" t="s">
        <v>1161</v>
      </c>
      <c r="G51" s="513" t="s">
        <v>45</v>
      </c>
      <c r="H51" s="514" t="s">
        <v>1094</v>
      </c>
      <c r="I51" s="515" t="s">
        <v>1123</v>
      </c>
      <c r="J51" s="346" t="s">
        <v>42</v>
      </c>
      <c r="K51" s="526">
        <v>19444262</v>
      </c>
      <c r="L51" s="527">
        <v>28920</v>
      </c>
      <c r="M51" s="528">
        <v>17241409</v>
      </c>
      <c r="N51" s="520">
        <v>0</v>
      </c>
      <c r="O51" s="520">
        <v>0</v>
      </c>
      <c r="P51" s="520">
        <v>0</v>
      </c>
      <c r="Q51" s="520">
        <v>0</v>
      </c>
      <c r="R51" s="520">
        <v>0</v>
      </c>
      <c r="S51" s="520">
        <v>0</v>
      </c>
      <c r="T51" s="18"/>
      <c r="U51" s="18"/>
      <c r="V51" s="18"/>
      <c r="W51" s="18"/>
      <c r="X51" s="18"/>
      <c r="Y51" s="18"/>
      <c r="Z51" s="18">
        <f t="shared" si="0"/>
        <v>0</v>
      </c>
      <c r="AA51" s="309">
        <v>2131793</v>
      </c>
      <c r="AB51" s="19">
        <v>15</v>
      </c>
      <c r="AC51" s="521">
        <v>44259</v>
      </c>
      <c r="AD51" s="25">
        <v>44274</v>
      </c>
      <c r="AE51" s="309">
        <v>31355</v>
      </c>
      <c r="AF51" s="20">
        <v>22</v>
      </c>
      <c r="AG51" s="23">
        <v>44301</v>
      </c>
      <c r="AH51" s="25">
        <v>44313</v>
      </c>
      <c r="AI51" s="309"/>
      <c r="AJ51" s="19"/>
      <c r="AK51" s="23"/>
      <c r="AL51" s="25"/>
      <c r="AM51" s="309"/>
      <c r="AN51" s="19"/>
      <c r="AO51" s="21"/>
      <c r="AP51" s="25"/>
      <c r="AQ51" s="309"/>
      <c r="AR51" s="19"/>
      <c r="AS51" s="21"/>
      <c r="AT51" s="25"/>
      <c r="AU51" s="522">
        <f t="shared" si="1"/>
        <v>2163148</v>
      </c>
      <c r="AV51" s="311">
        <f t="shared" si="2"/>
        <v>2163148</v>
      </c>
      <c r="AW51" s="305"/>
      <c r="AX51" s="291"/>
      <c r="AY51" s="291"/>
      <c r="AZ51" s="291"/>
      <c r="BA51" s="291"/>
      <c r="BB51" s="291"/>
      <c r="BC51" s="291"/>
      <c r="BD51" s="291"/>
      <c r="BE51" s="291"/>
      <c r="BF51" s="291"/>
      <c r="BG51" s="291"/>
      <c r="BH51" s="291"/>
      <c r="BI51" s="291"/>
      <c r="BJ51" s="291"/>
      <c r="BK51" s="291"/>
      <c r="BL51" s="291"/>
      <c r="BM51" s="291"/>
      <c r="BN51" s="291"/>
      <c r="BO51" s="291"/>
      <c r="BP51" s="291"/>
      <c r="BQ51" s="291"/>
      <c r="BR51" s="291"/>
      <c r="BS51" s="291"/>
      <c r="BT51" s="291"/>
      <c r="BU51" s="291"/>
      <c r="BV51" s="291"/>
      <c r="BW51" s="291"/>
      <c r="BX51" s="291"/>
      <c r="BY51" s="291"/>
      <c r="BZ51" s="291"/>
      <c r="CA51" s="291"/>
      <c r="CB51" s="291"/>
      <c r="CC51" s="291"/>
      <c r="CD51" s="291"/>
      <c r="CE51" s="291"/>
      <c r="CF51" s="291"/>
      <c r="CG51" s="291"/>
      <c r="CH51" s="291"/>
      <c r="CI51" s="291"/>
      <c r="CJ51" s="291"/>
      <c r="CK51" s="291"/>
      <c r="CL51" s="291"/>
      <c r="CM51" s="291"/>
      <c r="CN51" s="291"/>
      <c r="CO51" s="291"/>
      <c r="CP51" s="291"/>
      <c r="CQ51" s="291"/>
      <c r="CR51" s="291"/>
      <c r="CS51" s="291"/>
      <c r="CT51" s="291"/>
      <c r="CU51" s="291"/>
      <c r="CV51" s="291"/>
      <c r="CW51" s="291"/>
      <c r="CX51" s="291"/>
      <c r="CY51" s="291"/>
      <c r="CZ51" s="291"/>
      <c r="DA51" s="291"/>
      <c r="DB51" s="291"/>
      <c r="DC51" s="291"/>
      <c r="DD51" s="291"/>
      <c r="DE51" s="291"/>
      <c r="DF51" s="291"/>
      <c r="DG51" s="291"/>
      <c r="DH51" s="291"/>
      <c r="DI51" s="291"/>
      <c r="DJ51" s="291"/>
      <c r="DK51" s="291"/>
      <c r="DL51" s="291"/>
      <c r="DM51" s="291"/>
      <c r="DN51" s="291"/>
      <c r="DO51" s="291"/>
      <c r="DP51" s="291"/>
      <c r="DQ51" s="291"/>
      <c r="DR51" s="291"/>
      <c r="DS51" s="291"/>
      <c r="DT51" s="291"/>
      <c r="DU51" s="291"/>
      <c r="DV51" s="291"/>
      <c r="DW51" s="291"/>
      <c r="DX51" s="291"/>
      <c r="DY51" s="291"/>
      <c r="DZ51" s="291"/>
      <c r="EA51" s="291"/>
      <c r="EB51" s="291"/>
      <c r="EC51" s="291"/>
      <c r="ED51" s="291"/>
      <c r="EE51" s="291"/>
      <c r="EF51" s="291"/>
      <c r="EG51" s="291"/>
      <c r="EH51" s="291"/>
      <c r="EI51" s="291"/>
      <c r="EJ51" s="291"/>
      <c r="EK51" s="291"/>
      <c r="EL51" s="291"/>
      <c r="EM51" s="291"/>
      <c r="EN51" s="291"/>
      <c r="EO51" s="291"/>
      <c r="EP51" s="291"/>
      <c r="EQ51" s="291"/>
      <c r="ER51" s="291"/>
      <c r="ES51" s="291"/>
      <c r="ET51" s="291"/>
      <c r="EU51" s="291"/>
      <c r="EV51" s="291"/>
      <c r="EW51" s="291"/>
      <c r="EX51" s="291"/>
      <c r="EY51" s="291"/>
      <c r="EZ51" s="291"/>
      <c r="FA51" s="291"/>
      <c r="FB51" s="291"/>
      <c r="FC51" s="291"/>
      <c r="FD51" s="291"/>
      <c r="FE51" s="291"/>
      <c r="FF51" s="291"/>
      <c r="FG51" s="291"/>
      <c r="FH51" s="291"/>
      <c r="FI51" s="291"/>
      <c r="FJ51" s="291"/>
      <c r="FK51" s="291"/>
      <c r="FL51" s="291"/>
      <c r="FM51" s="291"/>
      <c r="FN51" s="291"/>
      <c r="FO51" s="291"/>
      <c r="FP51" s="291"/>
      <c r="FQ51" s="291"/>
      <c r="FR51" s="291"/>
      <c r="FS51" s="291"/>
      <c r="FT51" s="291"/>
      <c r="FU51" s="291"/>
      <c r="FV51" s="291"/>
      <c r="FW51" s="291"/>
      <c r="FX51" s="291"/>
      <c r="FY51" s="291"/>
      <c r="FZ51" s="291"/>
      <c r="GA51" s="291"/>
      <c r="GB51" s="291"/>
      <c r="GC51" s="291"/>
      <c r="GD51" s="291"/>
      <c r="GE51" s="291"/>
      <c r="GF51" s="291"/>
      <c r="GG51" s="291"/>
      <c r="GH51" s="291"/>
      <c r="GI51" s="291"/>
      <c r="GJ51" s="291"/>
      <c r="GK51" s="291"/>
      <c r="GL51" s="291"/>
      <c r="GM51" s="291"/>
      <c r="GN51" s="291"/>
      <c r="GO51" s="291"/>
      <c r="GP51" s="291"/>
      <c r="GQ51" s="291"/>
      <c r="GR51" s="291"/>
      <c r="GS51" s="291"/>
      <c r="GT51" s="291"/>
      <c r="GU51" s="291"/>
      <c r="GV51" s="291"/>
      <c r="GW51" s="291"/>
      <c r="GX51" s="291"/>
      <c r="GY51" s="291"/>
      <c r="GZ51" s="291"/>
      <c r="HA51" s="291"/>
      <c r="HB51" s="291"/>
      <c r="HC51" s="291"/>
      <c r="HD51" s="291"/>
      <c r="HE51" s="291"/>
      <c r="HF51" s="291"/>
      <c r="HG51" s="291"/>
      <c r="HH51" s="291"/>
      <c r="HI51" s="291"/>
      <c r="HJ51" s="291"/>
      <c r="HK51" s="291"/>
      <c r="HL51" s="291"/>
      <c r="HM51" s="291"/>
      <c r="HN51" s="291"/>
      <c r="HO51" s="291"/>
      <c r="HP51" s="291"/>
      <c r="HQ51" s="291"/>
      <c r="HR51" s="291"/>
      <c r="HS51" s="291"/>
      <c r="HT51" s="291"/>
      <c r="HU51" s="291"/>
      <c r="HV51" s="291"/>
      <c r="HW51" s="291"/>
      <c r="HX51" s="291"/>
      <c r="HY51" s="291"/>
      <c r="HZ51" s="291"/>
      <c r="IA51" s="291"/>
      <c r="IB51" s="291"/>
      <c r="IC51" s="291"/>
      <c r="ID51" s="291"/>
      <c r="IE51" s="291"/>
      <c r="IF51" s="291"/>
      <c r="IG51" s="291"/>
      <c r="IH51" s="291"/>
      <c r="II51" s="291"/>
      <c r="IJ51" s="291"/>
      <c r="IK51" s="291"/>
      <c r="IL51" s="291"/>
      <c r="IM51" s="291"/>
      <c r="IN51" s="291"/>
      <c r="IO51" s="291"/>
      <c r="IP51" s="291"/>
      <c r="IQ51" s="291"/>
      <c r="IR51" s="291"/>
      <c r="IS51" s="291"/>
      <c r="IT51" s="291"/>
      <c r="IU51" s="291"/>
      <c r="IV51" s="291"/>
      <c r="IW51" s="291"/>
      <c r="IX51" s="291"/>
      <c r="IY51" s="291"/>
      <c r="IZ51" s="291"/>
      <c r="JA51" s="291"/>
      <c r="JB51" s="291"/>
      <c r="JC51" s="291"/>
      <c r="JD51" s="291"/>
      <c r="JE51" s="291"/>
      <c r="JF51" s="291"/>
      <c r="JG51" s="291"/>
      <c r="JH51" s="291"/>
      <c r="JI51" s="291"/>
      <c r="JJ51" s="291"/>
      <c r="JK51" s="291"/>
      <c r="JL51" s="291"/>
      <c r="JM51" s="291"/>
      <c r="JN51" s="291"/>
      <c r="JO51" s="291"/>
      <c r="JP51" s="291"/>
      <c r="JQ51" s="291"/>
      <c r="JR51" s="291"/>
      <c r="JS51" s="291"/>
      <c r="JT51" s="291"/>
      <c r="JU51" s="291"/>
      <c r="JV51" s="291"/>
      <c r="JW51" s="291"/>
      <c r="JX51" s="291"/>
      <c r="JY51" s="291"/>
      <c r="JZ51" s="291"/>
      <c r="KA51" s="291"/>
      <c r="KB51" s="291"/>
      <c r="KC51" s="291"/>
      <c r="KD51" s="291"/>
      <c r="KE51" s="291"/>
      <c r="KF51" s="291"/>
      <c r="KG51" s="291"/>
      <c r="KH51" s="291"/>
      <c r="KI51" s="291"/>
      <c r="KJ51" s="291"/>
      <c r="KK51" s="291"/>
      <c r="KL51" s="291"/>
      <c r="KM51" s="291"/>
      <c r="KN51" s="291"/>
      <c r="KO51" s="291"/>
      <c r="KP51" s="291"/>
      <c r="KQ51" s="291"/>
      <c r="KR51" s="291"/>
      <c r="KS51" s="291"/>
      <c r="KT51" s="291"/>
      <c r="KU51" s="291"/>
      <c r="KV51" s="291"/>
      <c r="KW51" s="291"/>
      <c r="KX51" s="291"/>
      <c r="KY51" s="291"/>
      <c r="KZ51" s="291"/>
      <c r="LA51" s="291"/>
      <c r="LB51" s="291"/>
      <c r="LC51" s="291"/>
      <c r="LD51" s="291"/>
      <c r="LE51" s="291"/>
      <c r="LF51" s="291"/>
      <c r="LG51" s="291"/>
      <c r="LH51" s="291"/>
      <c r="LI51" s="291"/>
      <c r="LJ51" s="291"/>
      <c r="LK51" s="291"/>
      <c r="LL51" s="291"/>
      <c r="LM51" s="291"/>
      <c r="LN51" s="291"/>
      <c r="LO51" s="291"/>
      <c r="LP51" s="291"/>
      <c r="LQ51" s="291"/>
      <c r="LR51" s="291"/>
      <c r="LS51" s="291"/>
      <c r="LT51" s="291"/>
      <c r="LU51" s="291"/>
      <c r="LV51" s="291"/>
      <c r="LW51" s="291"/>
      <c r="LX51" s="291"/>
      <c r="LY51" s="291"/>
      <c r="LZ51" s="291"/>
      <c r="MA51" s="291"/>
      <c r="MB51" s="291"/>
      <c r="MC51" s="291"/>
      <c r="MD51" s="291"/>
      <c r="ME51" s="291"/>
      <c r="MF51" s="291"/>
      <c r="MG51" s="291"/>
      <c r="MH51" s="291"/>
      <c r="MI51" s="291"/>
      <c r="MJ51" s="291"/>
      <c r="MK51" s="291"/>
      <c r="ML51" s="291"/>
      <c r="MM51" s="291"/>
      <c r="MN51" s="291"/>
      <c r="MO51" s="291"/>
      <c r="MP51" s="291"/>
      <c r="MQ51" s="291"/>
      <c r="MR51" s="291"/>
      <c r="MS51" s="291"/>
      <c r="MT51" s="291"/>
      <c r="MU51" s="291"/>
      <c r="MV51" s="291"/>
      <c r="MW51" s="291"/>
      <c r="MX51" s="291"/>
      <c r="MY51" s="291"/>
      <c r="MZ51" s="291"/>
      <c r="NA51" s="291"/>
      <c r="NB51" s="291"/>
      <c r="NC51" s="291"/>
      <c r="ND51" s="291"/>
      <c r="NE51" s="291"/>
      <c r="NF51" s="291"/>
      <c r="NG51" s="291"/>
      <c r="NH51" s="291"/>
      <c r="NI51" s="291"/>
      <c r="NJ51" s="291"/>
      <c r="NK51" s="291"/>
      <c r="NL51" s="291"/>
      <c r="NM51" s="291"/>
      <c r="NN51" s="291"/>
      <c r="NO51" s="291"/>
      <c r="NP51" s="291"/>
      <c r="NQ51" s="291"/>
      <c r="NR51" s="291"/>
      <c r="NS51" s="291"/>
      <c r="NT51" s="291"/>
      <c r="NU51" s="291"/>
      <c r="NV51" s="291"/>
      <c r="NW51" s="291"/>
      <c r="NX51" s="291"/>
      <c r="NY51" s="291"/>
      <c r="NZ51" s="291"/>
      <c r="OA51" s="291"/>
      <c r="OB51" s="291"/>
      <c r="OC51" s="291"/>
      <c r="OD51" s="291"/>
      <c r="OE51" s="291"/>
      <c r="OF51" s="291"/>
      <c r="OG51" s="291"/>
      <c r="OH51" s="291"/>
      <c r="OI51" s="291"/>
      <c r="OJ51" s="291"/>
      <c r="OK51" s="291"/>
      <c r="OL51" s="291"/>
      <c r="OM51" s="291"/>
      <c r="ON51" s="291"/>
      <c r="OO51" s="291"/>
      <c r="OP51" s="291"/>
      <c r="OQ51" s="291"/>
      <c r="OR51" s="291"/>
      <c r="OS51" s="291"/>
      <c r="OT51" s="291"/>
      <c r="OU51" s="291"/>
      <c r="OV51" s="291"/>
      <c r="OW51" s="291"/>
    </row>
    <row r="52" spans="1:413" s="257" customFormat="1" hidden="1" x14ac:dyDescent="0.2">
      <c r="A52" s="291"/>
      <c r="B52" s="524">
        <f t="shared" si="3"/>
        <v>37</v>
      </c>
      <c r="C52" s="510" t="s">
        <v>38</v>
      </c>
      <c r="D52" s="511">
        <v>30076987</v>
      </c>
      <c r="E52" s="511"/>
      <c r="F52" s="512" t="s">
        <v>1162</v>
      </c>
      <c r="G52" s="513" t="s">
        <v>45</v>
      </c>
      <c r="H52" s="514" t="s">
        <v>1094</v>
      </c>
      <c r="I52" s="515" t="s">
        <v>1163</v>
      </c>
      <c r="J52" s="346" t="s">
        <v>42</v>
      </c>
      <c r="K52" s="526">
        <v>2687921</v>
      </c>
      <c r="L52" s="527">
        <v>2673375</v>
      </c>
      <c r="M52" s="528">
        <v>0</v>
      </c>
      <c r="N52" s="520">
        <v>0</v>
      </c>
      <c r="O52" s="520">
        <v>0</v>
      </c>
      <c r="P52" s="520">
        <v>0</v>
      </c>
      <c r="Q52" s="520">
        <v>0</v>
      </c>
      <c r="R52" s="520">
        <v>0</v>
      </c>
      <c r="S52" s="520">
        <v>0</v>
      </c>
      <c r="T52" s="18"/>
      <c r="U52" s="18"/>
      <c r="V52" s="18"/>
      <c r="W52" s="18"/>
      <c r="X52" s="18"/>
      <c r="Y52" s="18"/>
      <c r="Z52" s="18">
        <f t="shared" si="0"/>
        <v>0</v>
      </c>
      <c r="AA52" s="309">
        <v>14546</v>
      </c>
      <c r="AB52" s="19">
        <v>11</v>
      </c>
      <c r="AC52" s="521">
        <v>44237</v>
      </c>
      <c r="AD52" s="25">
        <v>44251</v>
      </c>
      <c r="AE52" s="309"/>
      <c r="AF52" s="20"/>
      <c r="AG52" s="23"/>
      <c r="AH52" s="25"/>
      <c r="AI52" s="309"/>
      <c r="AJ52" s="19"/>
      <c r="AK52" s="23"/>
      <c r="AL52" s="25"/>
      <c r="AM52" s="309"/>
      <c r="AN52" s="19"/>
      <c r="AO52" s="21"/>
      <c r="AP52" s="25"/>
      <c r="AQ52" s="309"/>
      <c r="AR52" s="19"/>
      <c r="AS52" s="21"/>
      <c r="AT52" s="25"/>
      <c r="AU52" s="522">
        <f t="shared" si="1"/>
        <v>14546</v>
      </c>
      <c r="AV52" s="311">
        <f t="shared" si="2"/>
        <v>14546</v>
      </c>
      <c r="AW52" s="305"/>
      <c r="AX52" s="291"/>
      <c r="AY52" s="291"/>
      <c r="AZ52" s="291"/>
      <c r="BA52" s="291"/>
      <c r="BB52" s="291"/>
      <c r="BC52" s="291"/>
      <c r="BD52" s="291"/>
      <c r="BE52" s="291"/>
      <c r="BF52" s="291"/>
      <c r="BG52" s="291"/>
      <c r="BH52" s="291"/>
      <c r="BI52" s="291"/>
      <c r="BJ52" s="291"/>
      <c r="BK52" s="291"/>
      <c r="BL52" s="291"/>
      <c r="BM52" s="291"/>
      <c r="BN52" s="291"/>
      <c r="BO52" s="291"/>
      <c r="BP52" s="291"/>
      <c r="BQ52" s="291"/>
      <c r="BR52" s="291"/>
      <c r="BS52" s="291"/>
      <c r="BT52" s="291"/>
      <c r="BU52" s="291"/>
      <c r="BV52" s="291"/>
      <c r="BW52" s="291"/>
      <c r="BX52" s="291"/>
      <c r="BY52" s="291"/>
      <c r="BZ52" s="291"/>
      <c r="CA52" s="291"/>
      <c r="CB52" s="291"/>
      <c r="CC52" s="291"/>
      <c r="CD52" s="291"/>
      <c r="CE52" s="291"/>
      <c r="CF52" s="291"/>
      <c r="CG52" s="291"/>
      <c r="CH52" s="291"/>
      <c r="CI52" s="291"/>
      <c r="CJ52" s="291"/>
      <c r="CK52" s="291"/>
      <c r="CL52" s="291"/>
      <c r="CM52" s="291"/>
      <c r="CN52" s="291"/>
      <c r="CO52" s="291"/>
      <c r="CP52" s="291"/>
      <c r="CQ52" s="291"/>
      <c r="CR52" s="291"/>
      <c r="CS52" s="291"/>
      <c r="CT52" s="291"/>
      <c r="CU52" s="291"/>
      <c r="CV52" s="291"/>
      <c r="CW52" s="291"/>
      <c r="CX52" s="291"/>
      <c r="CY52" s="291"/>
      <c r="CZ52" s="291"/>
      <c r="DA52" s="291"/>
      <c r="DB52" s="291"/>
      <c r="DC52" s="291"/>
      <c r="DD52" s="291"/>
      <c r="DE52" s="291"/>
      <c r="DF52" s="291"/>
      <c r="DG52" s="291"/>
      <c r="DH52" s="291"/>
      <c r="DI52" s="291"/>
      <c r="DJ52" s="291"/>
      <c r="DK52" s="291"/>
      <c r="DL52" s="291"/>
      <c r="DM52" s="291"/>
      <c r="DN52" s="291"/>
      <c r="DO52" s="291"/>
      <c r="DP52" s="291"/>
      <c r="DQ52" s="291"/>
      <c r="DR52" s="291"/>
      <c r="DS52" s="291"/>
      <c r="DT52" s="291"/>
      <c r="DU52" s="291"/>
      <c r="DV52" s="291"/>
      <c r="DW52" s="291"/>
      <c r="DX52" s="291"/>
      <c r="DY52" s="291"/>
      <c r="DZ52" s="291"/>
      <c r="EA52" s="291"/>
      <c r="EB52" s="291"/>
      <c r="EC52" s="291"/>
      <c r="ED52" s="291"/>
      <c r="EE52" s="291"/>
      <c r="EF52" s="291"/>
      <c r="EG52" s="291"/>
      <c r="EH52" s="291"/>
      <c r="EI52" s="291"/>
      <c r="EJ52" s="291"/>
      <c r="EK52" s="291"/>
      <c r="EL52" s="291"/>
      <c r="EM52" s="291"/>
      <c r="EN52" s="291"/>
      <c r="EO52" s="291"/>
      <c r="EP52" s="291"/>
      <c r="EQ52" s="291"/>
      <c r="ER52" s="291"/>
      <c r="ES52" s="291"/>
      <c r="ET52" s="291"/>
      <c r="EU52" s="291"/>
      <c r="EV52" s="291"/>
      <c r="EW52" s="291"/>
      <c r="EX52" s="291"/>
      <c r="EY52" s="291"/>
      <c r="EZ52" s="291"/>
      <c r="FA52" s="291"/>
      <c r="FB52" s="291"/>
      <c r="FC52" s="291"/>
      <c r="FD52" s="291"/>
      <c r="FE52" s="291"/>
      <c r="FF52" s="291"/>
      <c r="FG52" s="291"/>
      <c r="FH52" s="291"/>
      <c r="FI52" s="291"/>
      <c r="FJ52" s="291"/>
      <c r="FK52" s="291"/>
      <c r="FL52" s="291"/>
      <c r="FM52" s="291"/>
      <c r="FN52" s="291"/>
      <c r="FO52" s="291"/>
      <c r="FP52" s="291"/>
      <c r="FQ52" s="291"/>
      <c r="FR52" s="291"/>
      <c r="FS52" s="291"/>
      <c r="FT52" s="291"/>
      <c r="FU52" s="291"/>
      <c r="FV52" s="291"/>
      <c r="FW52" s="291"/>
      <c r="FX52" s="291"/>
      <c r="FY52" s="291"/>
      <c r="FZ52" s="291"/>
      <c r="GA52" s="291"/>
      <c r="GB52" s="291"/>
      <c r="GC52" s="291"/>
      <c r="GD52" s="291"/>
      <c r="GE52" s="291"/>
      <c r="GF52" s="291"/>
      <c r="GG52" s="291"/>
      <c r="GH52" s="291"/>
      <c r="GI52" s="291"/>
      <c r="GJ52" s="291"/>
      <c r="GK52" s="291"/>
      <c r="GL52" s="291"/>
      <c r="GM52" s="291"/>
      <c r="GN52" s="291"/>
      <c r="GO52" s="291"/>
      <c r="GP52" s="291"/>
      <c r="GQ52" s="291"/>
      <c r="GR52" s="291"/>
      <c r="GS52" s="291"/>
      <c r="GT52" s="291"/>
      <c r="GU52" s="291"/>
      <c r="GV52" s="291"/>
      <c r="GW52" s="291"/>
      <c r="GX52" s="291"/>
      <c r="GY52" s="291"/>
      <c r="GZ52" s="291"/>
      <c r="HA52" s="291"/>
      <c r="HB52" s="291"/>
      <c r="HC52" s="291"/>
      <c r="HD52" s="291"/>
      <c r="HE52" s="291"/>
      <c r="HF52" s="291"/>
      <c r="HG52" s="291"/>
      <c r="HH52" s="291"/>
      <c r="HI52" s="291"/>
      <c r="HJ52" s="291"/>
      <c r="HK52" s="291"/>
      <c r="HL52" s="291"/>
      <c r="HM52" s="291"/>
      <c r="HN52" s="291"/>
      <c r="HO52" s="291"/>
      <c r="HP52" s="291"/>
      <c r="HQ52" s="291"/>
      <c r="HR52" s="291"/>
      <c r="HS52" s="291"/>
      <c r="HT52" s="291"/>
      <c r="HU52" s="291"/>
      <c r="HV52" s="291"/>
      <c r="HW52" s="291"/>
      <c r="HX52" s="291"/>
      <c r="HY52" s="291"/>
      <c r="HZ52" s="291"/>
      <c r="IA52" s="291"/>
      <c r="IB52" s="291"/>
      <c r="IC52" s="291"/>
      <c r="ID52" s="291"/>
      <c r="IE52" s="291"/>
      <c r="IF52" s="291"/>
      <c r="IG52" s="291"/>
      <c r="IH52" s="291"/>
      <c r="II52" s="291"/>
      <c r="IJ52" s="291"/>
      <c r="IK52" s="291"/>
      <c r="IL52" s="291"/>
      <c r="IM52" s="291"/>
      <c r="IN52" s="291"/>
      <c r="IO52" s="291"/>
      <c r="IP52" s="291"/>
      <c r="IQ52" s="291"/>
      <c r="IR52" s="291"/>
      <c r="IS52" s="291"/>
      <c r="IT52" s="291"/>
      <c r="IU52" s="291"/>
      <c r="IV52" s="291"/>
      <c r="IW52" s="291"/>
      <c r="IX52" s="291"/>
      <c r="IY52" s="291"/>
      <c r="IZ52" s="291"/>
      <c r="JA52" s="291"/>
      <c r="JB52" s="291"/>
      <c r="JC52" s="291"/>
      <c r="JD52" s="291"/>
      <c r="JE52" s="291"/>
      <c r="JF52" s="291"/>
      <c r="JG52" s="291"/>
      <c r="JH52" s="291"/>
      <c r="JI52" s="291"/>
      <c r="JJ52" s="291"/>
      <c r="JK52" s="291"/>
      <c r="JL52" s="291"/>
      <c r="JM52" s="291"/>
      <c r="JN52" s="291"/>
      <c r="JO52" s="291"/>
      <c r="JP52" s="291"/>
      <c r="JQ52" s="291"/>
      <c r="JR52" s="291"/>
      <c r="JS52" s="291"/>
      <c r="JT52" s="291"/>
      <c r="JU52" s="291"/>
      <c r="JV52" s="291"/>
      <c r="JW52" s="291"/>
      <c r="JX52" s="291"/>
      <c r="JY52" s="291"/>
      <c r="JZ52" s="291"/>
      <c r="KA52" s="291"/>
      <c r="KB52" s="291"/>
      <c r="KC52" s="291"/>
      <c r="KD52" s="291"/>
      <c r="KE52" s="291"/>
      <c r="KF52" s="291"/>
      <c r="KG52" s="291"/>
      <c r="KH52" s="291"/>
      <c r="KI52" s="291"/>
      <c r="KJ52" s="291"/>
      <c r="KK52" s="291"/>
      <c r="KL52" s="291"/>
      <c r="KM52" s="291"/>
      <c r="KN52" s="291"/>
      <c r="KO52" s="291"/>
      <c r="KP52" s="291"/>
      <c r="KQ52" s="291"/>
      <c r="KR52" s="291"/>
      <c r="KS52" s="291"/>
      <c r="KT52" s="291"/>
      <c r="KU52" s="291"/>
      <c r="KV52" s="291"/>
      <c r="KW52" s="291"/>
      <c r="KX52" s="291"/>
      <c r="KY52" s="291"/>
      <c r="KZ52" s="291"/>
      <c r="LA52" s="291"/>
      <c r="LB52" s="291"/>
      <c r="LC52" s="291"/>
      <c r="LD52" s="291"/>
      <c r="LE52" s="291"/>
      <c r="LF52" s="291"/>
      <c r="LG52" s="291"/>
      <c r="LH52" s="291"/>
      <c r="LI52" s="291"/>
      <c r="LJ52" s="291"/>
      <c r="LK52" s="291"/>
      <c r="LL52" s="291"/>
      <c r="LM52" s="291"/>
      <c r="LN52" s="291"/>
      <c r="LO52" s="291"/>
      <c r="LP52" s="291"/>
      <c r="LQ52" s="291"/>
      <c r="LR52" s="291"/>
      <c r="LS52" s="291"/>
      <c r="LT52" s="291"/>
      <c r="LU52" s="291"/>
      <c r="LV52" s="291"/>
      <c r="LW52" s="291"/>
      <c r="LX52" s="291"/>
      <c r="LY52" s="291"/>
      <c r="LZ52" s="291"/>
      <c r="MA52" s="291"/>
      <c r="MB52" s="291"/>
      <c r="MC52" s="291"/>
      <c r="MD52" s="291"/>
      <c r="ME52" s="291"/>
      <c r="MF52" s="291"/>
      <c r="MG52" s="291"/>
      <c r="MH52" s="291"/>
      <c r="MI52" s="291"/>
      <c r="MJ52" s="291"/>
      <c r="MK52" s="291"/>
      <c r="ML52" s="291"/>
      <c r="MM52" s="291"/>
      <c r="MN52" s="291"/>
      <c r="MO52" s="291"/>
      <c r="MP52" s="291"/>
      <c r="MQ52" s="291"/>
      <c r="MR52" s="291"/>
      <c r="MS52" s="291"/>
      <c r="MT52" s="291"/>
      <c r="MU52" s="291"/>
      <c r="MV52" s="291"/>
      <c r="MW52" s="291"/>
      <c r="MX52" s="291"/>
      <c r="MY52" s="291"/>
      <c r="MZ52" s="291"/>
      <c r="NA52" s="291"/>
      <c r="NB52" s="291"/>
      <c r="NC52" s="291"/>
      <c r="ND52" s="291"/>
      <c r="NE52" s="291"/>
      <c r="NF52" s="291"/>
      <c r="NG52" s="291"/>
      <c r="NH52" s="291"/>
      <c r="NI52" s="291"/>
      <c r="NJ52" s="291"/>
      <c r="NK52" s="291"/>
      <c r="NL52" s="291"/>
      <c r="NM52" s="291"/>
      <c r="NN52" s="291"/>
      <c r="NO52" s="291"/>
      <c r="NP52" s="291"/>
      <c r="NQ52" s="291"/>
      <c r="NR52" s="291"/>
      <c r="NS52" s="291"/>
      <c r="NT52" s="291"/>
      <c r="NU52" s="291"/>
      <c r="NV52" s="291"/>
      <c r="NW52" s="291"/>
      <c r="NX52" s="291"/>
      <c r="NY52" s="291"/>
      <c r="NZ52" s="291"/>
      <c r="OA52" s="291"/>
      <c r="OB52" s="291"/>
      <c r="OC52" s="291"/>
      <c r="OD52" s="291"/>
      <c r="OE52" s="291"/>
      <c r="OF52" s="291"/>
      <c r="OG52" s="291"/>
      <c r="OH52" s="291"/>
      <c r="OI52" s="291"/>
      <c r="OJ52" s="291"/>
      <c r="OK52" s="291"/>
      <c r="OL52" s="291"/>
      <c r="OM52" s="291"/>
      <c r="ON52" s="291"/>
      <c r="OO52" s="291"/>
      <c r="OP52" s="291"/>
      <c r="OQ52" s="291"/>
      <c r="OR52" s="291"/>
      <c r="OS52" s="291"/>
      <c r="OT52" s="291"/>
      <c r="OU52" s="291"/>
      <c r="OV52" s="291"/>
      <c r="OW52" s="291"/>
    </row>
    <row r="53" spans="1:413" s="257" customFormat="1" hidden="1" x14ac:dyDescent="0.2">
      <c r="A53" s="291"/>
      <c r="B53" s="524">
        <f t="shared" si="3"/>
        <v>38</v>
      </c>
      <c r="C53" s="510" t="s">
        <v>38</v>
      </c>
      <c r="D53" s="511">
        <v>30077682</v>
      </c>
      <c r="E53" s="511"/>
      <c r="F53" s="512" t="s">
        <v>1164</v>
      </c>
      <c r="G53" s="513" t="s">
        <v>45</v>
      </c>
      <c r="H53" s="514" t="s">
        <v>1094</v>
      </c>
      <c r="I53" s="515" t="s">
        <v>1165</v>
      </c>
      <c r="J53" s="346" t="s">
        <v>42</v>
      </c>
      <c r="K53" s="526">
        <v>1018163</v>
      </c>
      <c r="L53" s="527">
        <v>1009456</v>
      </c>
      <c r="M53" s="528">
        <v>0</v>
      </c>
      <c r="N53" s="519">
        <v>0</v>
      </c>
      <c r="O53" s="519">
        <v>0</v>
      </c>
      <c r="P53" s="519">
        <v>0</v>
      </c>
      <c r="Q53" s="519">
        <v>8706</v>
      </c>
      <c r="R53" s="519">
        <v>0</v>
      </c>
      <c r="S53" s="520">
        <v>0</v>
      </c>
      <c r="T53" s="18"/>
      <c r="U53" s="18"/>
      <c r="V53" s="18"/>
      <c r="W53" s="18"/>
      <c r="X53" s="18"/>
      <c r="Y53" s="18"/>
      <c r="Z53" s="18">
        <f t="shared" si="0"/>
        <v>8706</v>
      </c>
      <c r="AA53" s="309">
        <v>8707</v>
      </c>
      <c r="AB53" s="19">
        <v>5</v>
      </c>
      <c r="AC53" s="521">
        <v>44224</v>
      </c>
      <c r="AD53" s="25">
        <v>44251</v>
      </c>
      <c r="AE53" s="309"/>
      <c r="AF53" s="20"/>
      <c r="AG53" s="23"/>
      <c r="AH53" s="25"/>
      <c r="AI53" s="309"/>
      <c r="AJ53" s="19"/>
      <c r="AK53" s="23"/>
      <c r="AL53" s="25"/>
      <c r="AM53" s="309"/>
      <c r="AN53" s="19"/>
      <c r="AO53" s="21"/>
      <c r="AP53" s="25"/>
      <c r="AQ53" s="309"/>
      <c r="AR53" s="19"/>
      <c r="AS53" s="21"/>
      <c r="AT53" s="25"/>
      <c r="AU53" s="522">
        <f t="shared" si="1"/>
        <v>8707</v>
      </c>
      <c r="AV53" s="311">
        <f t="shared" si="2"/>
        <v>1</v>
      </c>
      <c r="AW53" s="305"/>
      <c r="AX53" s="291"/>
      <c r="AY53" s="291"/>
      <c r="AZ53" s="291"/>
      <c r="BA53" s="291"/>
      <c r="BB53" s="291"/>
      <c r="BC53" s="291"/>
      <c r="BD53" s="291"/>
      <c r="BE53" s="291"/>
      <c r="BF53" s="291"/>
      <c r="BG53" s="291"/>
      <c r="BH53" s="291"/>
      <c r="BI53" s="291"/>
      <c r="BJ53" s="291"/>
      <c r="BK53" s="291"/>
      <c r="BL53" s="291"/>
      <c r="BM53" s="291"/>
      <c r="BN53" s="291"/>
      <c r="BO53" s="291"/>
      <c r="BP53" s="291"/>
      <c r="BQ53" s="291"/>
      <c r="BR53" s="291"/>
      <c r="BS53" s="291"/>
      <c r="BT53" s="291"/>
      <c r="BU53" s="291"/>
      <c r="BV53" s="291"/>
      <c r="BW53" s="291"/>
      <c r="BX53" s="291"/>
      <c r="BY53" s="291"/>
      <c r="BZ53" s="291"/>
      <c r="CA53" s="291"/>
      <c r="CB53" s="291"/>
      <c r="CC53" s="291"/>
      <c r="CD53" s="291"/>
      <c r="CE53" s="291"/>
      <c r="CF53" s="291"/>
      <c r="CG53" s="291"/>
      <c r="CH53" s="291"/>
      <c r="CI53" s="291"/>
      <c r="CJ53" s="291"/>
      <c r="CK53" s="291"/>
      <c r="CL53" s="291"/>
      <c r="CM53" s="291"/>
      <c r="CN53" s="291"/>
      <c r="CO53" s="291"/>
      <c r="CP53" s="291"/>
      <c r="CQ53" s="291"/>
      <c r="CR53" s="291"/>
      <c r="CS53" s="291"/>
      <c r="CT53" s="291"/>
      <c r="CU53" s="291"/>
      <c r="CV53" s="291"/>
      <c r="CW53" s="291"/>
      <c r="CX53" s="291"/>
      <c r="CY53" s="291"/>
      <c r="CZ53" s="291"/>
      <c r="DA53" s="291"/>
      <c r="DB53" s="291"/>
      <c r="DC53" s="291"/>
      <c r="DD53" s="291"/>
      <c r="DE53" s="291"/>
      <c r="DF53" s="291"/>
      <c r="DG53" s="291"/>
      <c r="DH53" s="291"/>
      <c r="DI53" s="291"/>
      <c r="DJ53" s="291"/>
      <c r="DK53" s="291"/>
      <c r="DL53" s="291"/>
      <c r="DM53" s="291"/>
      <c r="DN53" s="291"/>
      <c r="DO53" s="291"/>
      <c r="DP53" s="291"/>
      <c r="DQ53" s="291"/>
      <c r="DR53" s="291"/>
      <c r="DS53" s="291"/>
      <c r="DT53" s="291"/>
      <c r="DU53" s="291"/>
      <c r="DV53" s="291"/>
      <c r="DW53" s="291"/>
      <c r="DX53" s="291"/>
      <c r="DY53" s="291"/>
      <c r="DZ53" s="291"/>
      <c r="EA53" s="291"/>
      <c r="EB53" s="291"/>
      <c r="EC53" s="291"/>
      <c r="ED53" s="291"/>
      <c r="EE53" s="291"/>
      <c r="EF53" s="291"/>
      <c r="EG53" s="291"/>
      <c r="EH53" s="291"/>
      <c r="EI53" s="291"/>
      <c r="EJ53" s="291"/>
      <c r="EK53" s="291"/>
      <c r="EL53" s="291"/>
      <c r="EM53" s="291"/>
      <c r="EN53" s="291"/>
      <c r="EO53" s="291"/>
      <c r="EP53" s="291"/>
      <c r="EQ53" s="291"/>
      <c r="ER53" s="291"/>
      <c r="ES53" s="291"/>
      <c r="ET53" s="291"/>
      <c r="EU53" s="291"/>
      <c r="EV53" s="291"/>
      <c r="EW53" s="291"/>
      <c r="EX53" s="291"/>
      <c r="EY53" s="291"/>
      <c r="EZ53" s="291"/>
      <c r="FA53" s="291"/>
      <c r="FB53" s="291"/>
      <c r="FC53" s="291"/>
      <c r="FD53" s="291"/>
      <c r="FE53" s="291"/>
      <c r="FF53" s="291"/>
      <c r="FG53" s="291"/>
      <c r="FH53" s="291"/>
      <c r="FI53" s="291"/>
      <c r="FJ53" s="291"/>
      <c r="FK53" s="291"/>
      <c r="FL53" s="291"/>
      <c r="FM53" s="291"/>
      <c r="FN53" s="291"/>
      <c r="FO53" s="291"/>
      <c r="FP53" s="291"/>
      <c r="FQ53" s="291"/>
      <c r="FR53" s="291"/>
      <c r="FS53" s="291"/>
      <c r="FT53" s="291"/>
      <c r="FU53" s="291"/>
      <c r="FV53" s="291"/>
      <c r="FW53" s="291"/>
      <c r="FX53" s="291"/>
      <c r="FY53" s="291"/>
      <c r="FZ53" s="291"/>
      <c r="GA53" s="291"/>
      <c r="GB53" s="291"/>
      <c r="GC53" s="291"/>
      <c r="GD53" s="291"/>
      <c r="GE53" s="291"/>
      <c r="GF53" s="291"/>
      <c r="GG53" s="291"/>
      <c r="GH53" s="291"/>
      <c r="GI53" s="291"/>
      <c r="GJ53" s="291"/>
      <c r="GK53" s="291"/>
      <c r="GL53" s="291"/>
      <c r="GM53" s="291"/>
      <c r="GN53" s="291"/>
      <c r="GO53" s="291"/>
      <c r="GP53" s="291"/>
      <c r="GQ53" s="291"/>
      <c r="GR53" s="291"/>
      <c r="GS53" s="291"/>
      <c r="GT53" s="291"/>
      <c r="GU53" s="291"/>
      <c r="GV53" s="291"/>
      <c r="GW53" s="291"/>
      <c r="GX53" s="291"/>
      <c r="GY53" s="291"/>
      <c r="GZ53" s="291"/>
      <c r="HA53" s="291"/>
      <c r="HB53" s="291"/>
      <c r="HC53" s="291"/>
      <c r="HD53" s="291"/>
      <c r="HE53" s="291"/>
      <c r="HF53" s="291"/>
      <c r="HG53" s="291"/>
      <c r="HH53" s="291"/>
      <c r="HI53" s="291"/>
      <c r="HJ53" s="291"/>
      <c r="HK53" s="291"/>
      <c r="HL53" s="291"/>
      <c r="HM53" s="291"/>
      <c r="HN53" s="291"/>
      <c r="HO53" s="291"/>
      <c r="HP53" s="291"/>
      <c r="HQ53" s="291"/>
      <c r="HR53" s="291"/>
      <c r="HS53" s="291"/>
      <c r="HT53" s="291"/>
      <c r="HU53" s="291"/>
      <c r="HV53" s="291"/>
      <c r="HW53" s="291"/>
      <c r="HX53" s="291"/>
      <c r="HY53" s="291"/>
      <c r="HZ53" s="291"/>
      <c r="IA53" s="291"/>
      <c r="IB53" s="291"/>
      <c r="IC53" s="291"/>
      <c r="ID53" s="291"/>
      <c r="IE53" s="291"/>
      <c r="IF53" s="291"/>
      <c r="IG53" s="291"/>
      <c r="IH53" s="291"/>
      <c r="II53" s="291"/>
      <c r="IJ53" s="291"/>
      <c r="IK53" s="291"/>
      <c r="IL53" s="291"/>
      <c r="IM53" s="291"/>
      <c r="IN53" s="291"/>
      <c r="IO53" s="291"/>
      <c r="IP53" s="291"/>
      <c r="IQ53" s="291"/>
      <c r="IR53" s="291"/>
      <c r="IS53" s="291"/>
      <c r="IT53" s="291"/>
      <c r="IU53" s="291"/>
      <c r="IV53" s="291"/>
      <c r="IW53" s="291"/>
      <c r="IX53" s="291"/>
      <c r="IY53" s="291"/>
      <c r="IZ53" s="291"/>
      <c r="JA53" s="291"/>
      <c r="JB53" s="291"/>
      <c r="JC53" s="291"/>
      <c r="JD53" s="291"/>
      <c r="JE53" s="291"/>
      <c r="JF53" s="291"/>
      <c r="JG53" s="291"/>
      <c r="JH53" s="291"/>
      <c r="JI53" s="291"/>
      <c r="JJ53" s="291"/>
      <c r="JK53" s="291"/>
      <c r="JL53" s="291"/>
      <c r="JM53" s="291"/>
      <c r="JN53" s="291"/>
      <c r="JO53" s="291"/>
      <c r="JP53" s="291"/>
      <c r="JQ53" s="291"/>
      <c r="JR53" s="291"/>
      <c r="JS53" s="291"/>
      <c r="JT53" s="291"/>
      <c r="JU53" s="291"/>
      <c r="JV53" s="291"/>
      <c r="JW53" s="291"/>
      <c r="JX53" s="291"/>
      <c r="JY53" s="291"/>
      <c r="JZ53" s="291"/>
      <c r="KA53" s="291"/>
      <c r="KB53" s="291"/>
      <c r="KC53" s="291"/>
      <c r="KD53" s="291"/>
      <c r="KE53" s="291"/>
      <c r="KF53" s="291"/>
      <c r="KG53" s="291"/>
      <c r="KH53" s="291"/>
      <c r="KI53" s="291"/>
      <c r="KJ53" s="291"/>
      <c r="KK53" s="291"/>
      <c r="KL53" s="291"/>
      <c r="KM53" s="291"/>
      <c r="KN53" s="291"/>
      <c r="KO53" s="291"/>
      <c r="KP53" s="291"/>
      <c r="KQ53" s="291"/>
      <c r="KR53" s="291"/>
      <c r="KS53" s="291"/>
      <c r="KT53" s="291"/>
      <c r="KU53" s="291"/>
      <c r="KV53" s="291"/>
      <c r="KW53" s="291"/>
      <c r="KX53" s="291"/>
      <c r="KY53" s="291"/>
      <c r="KZ53" s="291"/>
      <c r="LA53" s="291"/>
      <c r="LB53" s="291"/>
      <c r="LC53" s="291"/>
      <c r="LD53" s="291"/>
      <c r="LE53" s="291"/>
      <c r="LF53" s="291"/>
      <c r="LG53" s="291"/>
      <c r="LH53" s="291"/>
      <c r="LI53" s="291"/>
      <c r="LJ53" s="291"/>
      <c r="LK53" s="291"/>
      <c r="LL53" s="291"/>
      <c r="LM53" s="291"/>
      <c r="LN53" s="291"/>
      <c r="LO53" s="291"/>
      <c r="LP53" s="291"/>
      <c r="LQ53" s="291"/>
      <c r="LR53" s="291"/>
      <c r="LS53" s="291"/>
      <c r="LT53" s="291"/>
      <c r="LU53" s="291"/>
      <c r="LV53" s="291"/>
      <c r="LW53" s="291"/>
      <c r="LX53" s="291"/>
      <c r="LY53" s="291"/>
      <c r="LZ53" s="291"/>
      <c r="MA53" s="291"/>
      <c r="MB53" s="291"/>
      <c r="MC53" s="291"/>
      <c r="MD53" s="291"/>
      <c r="ME53" s="291"/>
      <c r="MF53" s="291"/>
      <c r="MG53" s="291"/>
      <c r="MH53" s="291"/>
      <c r="MI53" s="291"/>
      <c r="MJ53" s="291"/>
      <c r="MK53" s="291"/>
      <c r="ML53" s="291"/>
      <c r="MM53" s="291"/>
      <c r="MN53" s="291"/>
      <c r="MO53" s="291"/>
      <c r="MP53" s="291"/>
      <c r="MQ53" s="291"/>
      <c r="MR53" s="291"/>
      <c r="MS53" s="291"/>
      <c r="MT53" s="291"/>
      <c r="MU53" s="291"/>
      <c r="MV53" s="291"/>
      <c r="MW53" s="291"/>
      <c r="MX53" s="291"/>
      <c r="MY53" s="291"/>
      <c r="MZ53" s="291"/>
      <c r="NA53" s="291"/>
      <c r="NB53" s="291"/>
      <c r="NC53" s="291"/>
      <c r="ND53" s="291"/>
      <c r="NE53" s="291"/>
      <c r="NF53" s="291"/>
      <c r="NG53" s="291"/>
      <c r="NH53" s="291"/>
      <c r="NI53" s="291"/>
      <c r="NJ53" s="291"/>
      <c r="NK53" s="291"/>
      <c r="NL53" s="291"/>
      <c r="NM53" s="291"/>
      <c r="NN53" s="291"/>
      <c r="NO53" s="291"/>
      <c r="NP53" s="291"/>
      <c r="NQ53" s="291"/>
      <c r="NR53" s="291"/>
      <c r="NS53" s="291"/>
      <c r="NT53" s="291"/>
      <c r="NU53" s="291"/>
      <c r="NV53" s="291"/>
      <c r="NW53" s="291"/>
      <c r="NX53" s="291"/>
      <c r="NY53" s="291"/>
      <c r="NZ53" s="291"/>
      <c r="OA53" s="291"/>
      <c r="OB53" s="291"/>
      <c r="OC53" s="291"/>
      <c r="OD53" s="291"/>
      <c r="OE53" s="291"/>
      <c r="OF53" s="291"/>
      <c r="OG53" s="291"/>
      <c r="OH53" s="291"/>
      <c r="OI53" s="291"/>
      <c r="OJ53" s="291"/>
      <c r="OK53" s="291"/>
      <c r="OL53" s="291"/>
      <c r="OM53" s="291"/>
      <c r="ON53" s="291"/>
      <c r="OO53" s="291"/>
      <c r="OP53" s="291"/>
      <c r="OQ53" s="291"/>
      <c r="OR53" s="291"/>
      <c r="OS53" s="291"/>
      <c r="OT53" s="291"/>
      <c r="OU53" s="291"/>
      <c r="OV53" s="291"/>
      <c r="OW53" s="291"/>
    </row>
    <row r="54" spans="1:413" s="257" customFormat="1" hidden="1" x14ac:dyDescent="0.2">
      <c r="A54" s="291"/>
      <c r="B54" s="524">
        <f t="shared" si="3"/>
        <v>39</v>
      </c>
      <c r="C54" s="510" t="s">
        <v>38</v>
      </c>
      <c r="D54" s="511">
        <v>30077924</v>
      </c>
      <c r="E54" s="511"/>
      <c r="F54" s="512" t="s">
        <v>1166</v>
      </c>
      <c r="G54" s="513" t="s">
        <v>45</v>
      </c>
      <c r="H54" s="514" t="s">
        <v>1094</v>
      </c>
      <c r="I54" s="515" t="s">
        <v>1167</v>
      </c>
      <c r="J54" s="346" t="s">
        <v>42</v>
      </c>
      <c r="K54" s="526">
        <v>892259</v>
      </c>
      <c r="L54" s="527">
        <v>689639</v>
      </c>
      <c r="M54" s="528">
        <v>0</v>
      </c>
      <c r="N54" s="519">
        <v>0</v>
      </c>
      <c r="O54" s="519">
        <v>122888</v>
      </c>
      <c r="P54" s="519">
        <v>52019</v>
      </c>
      <c r="Q54" s="519">
        <v>21545</v>
      </c>
      <c r="R54" s="519">
        <v>0</v>
      </c>
      <c r="S54" s="520">
        <v>27313</v>
      </c>
      <c r="T54" s="18"/>
      <c r="U54" s="18"/>
      <c r="V54" s="18"/>
      <c r="W54" s="18"/>
      <c r="X54" s="18"/>
      <c r="Y54" s="18"/>
      <c r="Z54" s="18">
        <f t="shared" si="0"/>
        <v>223765</v>
      </c>
      <c r="AA54" s="309">
        <v>202620</v>
      </c>
      <c r="AB54" s="19">
        <v>5</v>
      </c>
      <c r="AC54" s="521">
        <v>44224</v>
      </c>
      <c r="AD54" s="25">
        <v>44251</v>
      </c>
      <c r="AE54" s="309">
        <v>21989</v>
      </c>
      <c r="AF54" s="20">
        <v>39</v>
      </c>
      <c r="AG54" s="23">
        <v>44334</v>
      </c>
      <c r="AH54" s="25">
        <v>44342</v>
      </c>
      <c r="AI54" s="309"/>
      <c r="AJ54" s="19"/>
      <c r="AK54" s="23"/>
      <c r="AL54" s="25"/>
      <c r="AM54" s="309"/>
      <c r="AN54" s="19"/>
      <c r="AO54" s="21"/>
      <c r="AP54" s="25"/>
      <c r="AQ54" s="309"/>
      <c r="AR54" s="19"/>
      <c r="AS54" s="21"/>
      <c r="AT54" s="25"/>
      <c r="AU54" s="522">
        <f t="shared" si="1"/>
        <v>224609</v>
      </c>
      <c r="AV54" s="311">
        <f t="shared" si="2"/>
        <v>844</v>
      </c>
      <c r="AW54" s="305"/>
      <c r="AX54" s="291"/>
      <c r="AY54" s="291"/>
      <c r="AZ54" s="291"/>
      <c r="BA54" s="291"/>
      <c r="BB54" s="291"/>
      <c r="BC54" s="291"/>
      <c r="BD54" s="291"/>
      <c r="BE54" s="291"/>
      <c r="BF54" s="291"/>
      <c r="BG54" s="291"/>
      <c r="BH54" s="291"/>
      <c r="BI54" s="291"/>
      <c r="BJ54" s="291"/>
      <c r="BK54" s="291"/>
      <c r="BL54" s="291"/>
      <c r="BM54" s="291"/>
      <c r="BN54" s="291"/>
      <c r="BO54" s="291"/>
      <c r="BP54" s="291"/>
      <c r="BQ54" s="291"/>
      <c r="BR54" s="291"/>
      <c r="BS54" s="291"/>
      <c r="BT54" s="291"/>
      <c r="BU54" s="291"/>
      <c r="BV54" s="291"/>
      <c r="BW54" s="291"/>
      <c r="BX54" s="291"/>
      <c r="BY54" s="291"/>
      <c r="BZ54" s="291"/>
      <c r="CA54" s="291"/>
      <c r="CB54" s="291"/>
      <c r="CC54" s="291"/>
      <c r="CD54" s="291"/>
      <c r="CE54" s="291"/>
      <c r="CF54" s="291"/>
      <c r="CG54" s="291"/>
      <c r="CH54" s="291"/>
      <c r="CI54" s="291"/>
      <c r="CJ54" s="291"/>
      <c r="CK54" s="291"/>
      <c r="CL54" s="291"/>
      <c r="CM54" s="291"/>
      <c r="CN54" s="291"/>
      <c r="CO54" s="291"/>
      <c r="CP54" s="291"/>
      <c r="CQ54" s="291"/>
      <c r="CR54" s="291"/>
      <c r="CS54" s="291"/>
      <c r="CT54" s="291"/>
      <c r="CU54" s="291"/>
      <c r="CV54" s="291"/>
      <c r="CW54" s="291"/>
      <c r="CX54" s="291"/>
      <c r="CY54" s="291"/>
      <c r="CZ54" s="291"/>
      <c r="DA54" s="291"/>
      <c r="DB54" s="291"/>
      <c r="DC54" s="291"/>
      <c r="DD54" s="291"/>
      <c r="DE54" s="291"/>
      <c r="DF54" s="291"/>
      <c r="DG54" s="291"/>
      <c r="DH54" s="291"/>
      <c r="DI54" s="291"/>
      <c r="DJ54" s="291"/>
      <c r="DK54" s="291"/>
      <c r="DL54" s="291"/>
      <c r="DM54" s="291"/>
      <c r="DN54" s="291"/>
      <c r="DO54" s="291"/>
      <c r="DP54" s="291"/>
      <c r="DQ54" s="291"/>
      <c r="DR54" s="291"/>
      <c r="DS54" s="291"/>
      <c r="DT54" s="291"/>
      <c r="DU54" s="291"/>
      <c r="DV54" s="291"/>
      <c r="DW54" s="291"/>
      <c r="DX54" s="291"/>
      <c r="DY54" s="291"/>
      <c r="DZ54" s="291"/>
      <c r="EA54" s="291"/>
      <c r="EB54" s="291"/>
      <c r="EC54" s="291"/>
      <c r="ED54" s="291"/>
      <c r="EE54" s="291"/>
      <c r="EF54" s="291"/>
      <c r="EG54" s="291"/>
      <c r="EH54" s="291"/>
      <c r="EI54" s="291"/>
      <c r="EJ54" s="291"/>
      <c r="EK54" s="291"/>
      <c r="EL54" s="291"/>
      <c r="EM54" s="291"/>
      <c r="EN54" s="291"/>
      <c r="EO54" s="291"/>
      <c r="EP54" s="291"/>
      <c r="EQ54" s="291"/>
      <c r="ER54" s="291"/>
      <c r="ES54" s="291"/>
      <c r="ET54" s="291"/>
      <c r="EU54" s="291"/>
      <c r="EV54" s="291"/>
      <c r="EW54" s="291"/>
      <c r="EX54" s="291"/>
      <c r="EY54" s="291"/>
      <c r="EZ54" s="291"/>
      <c r="FA54" s="291"/>
      <c r="FB54" s="291"/>
      <c r="FC54" s="291"/>
      <c r="FD54" s="291"/>
      <c r="FE54" s="291"/>
      <c r="FF54" s="291"/>
      <c r="FG54" s="291"/>
      <c r="FH54" s="291"/>
      <c r="FI54" s="291"/>
      <c r="FJ54" s="291"/>
      <c r="FK54" s="291"/>
      <c r="FL54" s="291"/>
      <c r="FM54" s="291"/>
      <c r="FN54" s="291"/>
      <c r="FO54" s="291"/>
      <c r="FP54" s="291"/>
      <c r="FQ54" s="291"/>
      <c r="FR54" s="291"/>
      <c r="FS54" s="291"/>
      <c r="FT54" s="291"/>
      <c r="FU54" s="291"/>
      <c r="FV54" s="291"/>
      <c r="FW54" s="291"/>
      <c r="FX54" s="291"/>
      <c r="FY54" s="291"/>
      <c r="FZ54" s="291"/>
      <c r="GA54" s="291"/>
      <c r="GB54" s="291"/>
      <c r="GC54" s="291"/>
      <c r="GD54" s="291"/>
      <c r="GE54" s="291"/>
      <c r="GF54" s="291"/>
      <c r="GG54" s="291"/>
      <c r="GH54" s="291"/>
      <c r="GI54" s="291"/>
      <c r="GJ54" s="291"/>
      <c r="GK54" s="291"/>
      <c r="GL54" s="291"/>
      <c r="GM54" s="291"/>
      <c r="GN54" s="291"/>
      <c r="GO54" s="291"/>
      <c r="GP54" s="291"/>
      <c r="GQ54" s="291"/>
      <c r="GR54" s="291"/>
      <c r="GS54" s="291"/>
      <c r="GT54" s="291"/>
      <c r="GU54" s="291"/>
      <c r="GV54" s="291"/>
      <c r="GW54" s="291"/>
      <c r="GX54" s="291"/>
      <c r="GY54" s="291"/>
      <c r="GZ54" s="291"/>
      <c r="HA54" s="291"/>
      <c r="HB54" s="291"/>
      <c r="HC54" s="291"/>
      <c r="HD54" s="291"/>
      <c r="HE54" s="291"/>
      <c r="HF54" s="291"/>
      <c r="HG54" s="291"/>
      <c r="HH54" s="291"/>
      <c r="HI54" s="291"/>
      <c r="HJ54" s="291"/>
      <c r="HK54" s="291"/>
      <c r="HL54" s="291"/>
      <c r="HM54" s="291"/>
      <c r="HN54" s="291"/>
      <c r="HO54" s="291"/>
      <c r="HP54" s="291"/>
      <c r="HQ54" s="291"/>
      <c r="HR54" s="291"/>
      <c r="HS54" s="291"/>
      <c r="HT54" s="291"/>
      <c r="HU54" s="291"/>
      <c r="HV54" s="291"/>
      <c r="HW54" s="291"/>
      <c r="HX54" s="291"/>
      <c r="HY54" s="291"/>
      <c r="HZ54" s="291"/>
      <c r="IA54" s="291"/>
      <c r="IB54" s="291"/>
      <c r="IC54" s="291"/>
      <c r="ID54" s="291"/>
      <c r="IE54" s="291"/>
      <c r="IF54" s="291"/>
      <c r="IG54" s="291"/>
      <c r="IH54" s="291"/>
      <c r="II54" s="291"/>
      <c r="IJ54" s="291"/>
      <c r="IK54" s="291"/>
      <c r="IL54" s="291"/>
      <c r="IM54" s="291"/>
      <c r="IN54" s="291"/>
      <c r="IO54" s="291"/>
      <c r="IP54" s="291"/>
      <c r="IQ54" s="291"/>
      <c r="IR54" s="291"/>
      <c r="IS54" s="291"/>
      <c r="IT54" s="291"/>
      <c r="IU54" s="291"/>
      <c r="IV54" s="291"/>
      <c r="IW54" s="291"/>
      <c r="IX54" s="291"/>
      <c r="IY54" s="291"/>
      <c r="IZ54" s="291"/>
      <c r="JA54" s="291"/>
      <c r="JB54" s="291"/>
      <c r="JC54" s="291"/>
      <c r="JD54" s="291"/>
      <c r="JE54" s="291"/>
      <c r="JF54" s="291"/>
      <c r="JG54" s="291"/>
      <c r="JH54" s="291"/>
      <c r="JI54" s="291"/>
      <c r="JJ54" s="291"/>
      <c r="JK54" s="291"/>
      <c r="JL54" s="291"/>
      <c r="JM54" s="291"/>
      <c r="JN54" s="291"/>
      <c r="JO54" s="291"/>
      <c r="JP54" s="291"/>
      <c r="JQ54" s="291"/>
      <c r="JR54" s="291"/>
      <c r="JS54" s="291"/>
      <c r="JT54" s="291"/>
      <c r="JU54" s="291"/>
      <c r="JV54" s="291"/>
      <c r="JW54" s="291"/>
      <c r="JX54" s="291"/>
      <c r="JY54" s="291"/>
      <c r="JZ54" s="291"/>
      <c r="KA54" s="291"/>
      <c r="KB54" s="291"/>
      <c r="KC54" s="291"/>
      <c r="KD54" s="291"/>
      <c r="KE54" s="291"/>
      <c r="KF54" s="291"/>
      <c r="KG54" s="291"/>
      <c r="KH54" s="291"/>
      <c r="KI54" s="291"/>
      <c r="KJ54" s="291"/>
      <c r="KK54" s="291"/>
      <c r="KL54" s="291"/>
      <c r="KM54" s="291"/>
      <c r="KN54" s="291"/>
      <c r="KO54" s="291"/>
      <c r="KP54" s="291"/>
      <c r="KQ54" s="291"/>
      <c r="KR54" s="291"/>
      <c r="KS54" s="291"/>
      <c r="KT54" s="291"/>
      <c r="KU54" s="291"/>
      <c r="KV54" s="291"/>
      <c r="KW54" s="291"/>
      <c r="KX54" s="291"/>
      <c r="KY54" s="291"/>
      <c r="KZ54" s="291"/>
      <c r="LA54" s="291"/>
      <c r="LB54" s="291"/>
      <c r="LC54" s="291"/>
      <c r="LD54" s="291"/>
      <c r="LE54" s="291"/>
      <c r="LF54" s="291"/>
      <c r="LG54" s="291"/>
      <c r="LH54" s="291"/>
      <c r="LI54" s="291"/>
      <c r="LJ54" s="291"/>
      <c r="LK54" s="291"/>
      <c r="LL54" s="291"/>
      <c r="LM54" s="291"/>
      <c r="LN54" s="291"/>
      <c r="LO54" s="291"/>
      <c r="LP54" s="291"/>
      <c r="LQ54" s="291"/>
      <c r="LR54" s="291"/>
      <c r="LS54" s="291"/>
      <c r="LT54" s="291"/>
      <c r="LU54" s="291"/>
      <c r="LV54" s="291"/>
      <c r="LW54" s="291"/>
      <c r="LX54" s="291"/>
      <c r="LY54" s="291"/>
      <c r="LZ54" s="291"/>
      <c r="MA54" s="291"/>
      <c r="MB54" s="291"/>
      <c r="MC54" s="291"/>
      <c r="MD54" s="291"/>
      <c r="ME54" s="291"/>
      <c r="MF54" s="291"/>
      <c r="MG54" s="291"/>
      <c r="MH54" s="291"/>
      <c r="MI54" s="291"/>
      <c r="MJ54" s="291"/>
      <c r="MK54" s="291"/>
      <c r="ML54" s="291"/>
      <c r="MM54" s="291"/>
      <c r="MN54" s="291"/>
      <c r="MO54" s="291"/>
      <c r="MP54" s="291"/>
      <c r="MQ54" s="291"/>
      <c r="MR54" s="291"/>
      <c r="MS54" s="291"/>
      <c r="MT54" s="291"/>
      <c r="MU54" s="291"/>
      <c r="MV54" s="291"/>
      <c r="MW54" s="291"/>
      <c r="MX54" s="291"/>
      <c r="MY54" s="291"/>
      <c r="MZ54" s="291"/>
      <c r="NA54" s="291"/>
      <c r="NB54" s="291"/>
      <c r="NC54" s="291"/>
      <c r="ND54" s="291"/>
      <c r="NE54" s="291"/>
      <c r="NF54" s="291"/>
      <c r="NG54" s="291"/>
      <c r="NH54" s="291"/>
      <c r="NI54" s="291"/>
      <c r="NJ54" s="291"/>
      <c r="NK54" s="291"/>
      <c r="NL54" s="291"/>
      <c r="NM54" s="291"/>
      <c r="NN54" s="291"/>
      <c r="NO54" s="291"/>
      <c r="NP54" s="291"/>
      <c r="NQ54" s="291"/>
      <c r="NR54" s="291"/>
      <c r="NS54" s="291"/>
      <c r="NT54" s="291"/>
      <c r="NU54" s="291"/>
      <c r="NV54" s="291"/>
      <c r="NW54" s="291"/>
      <c r="NX54" s="291"/>
      <c r="NY54" s="291"/>
      <c r="NZ54" s="291"/>
      <c r="OA54" s="291"/>
      <c r="OB54" s="291"/>
      <c r="OC54" s="291"/>
      <c r="OD54" s="291"/>
      <c r="OE54" s="291"/>
      <c r="OF54" s="291"/>
      <c r="OG54" s="291"/>
      <c r="OH54" s="291"/>
      <c r="OI54" s="291"/>
      <c r="OJ54" s="291"/>
      <c r="OK54" s="291"/>
      <c r="OL54" s="291"/>
      <c r="OM54" s="291"/>
      <c r="ON54" s="291"/>
      <c r="OO54" s="291"/>
      <c r="OP54" s="291"/>
      <c r="OQ54" s="291"/>
      <c r="OR54" s="291"/>
      <c r="OS54" s="291"/>
      <c r="OT54" s="291"/>
      <c r="OU54" s="291"/>
      <c r="OV54" s="291"/>
      <c r="OW54" s="291"/>
    </row>
    <row r="55" spans="1:413" s="257" customFormat="1" ht="10.5" hidden="1" customHeight="1" x14ac:dyDescent="0.2">
      <c r="A55" s="291"/>
      <c r="B55" s="524">
        <f t="shared" si="3"/>
        <v>40</v>
      </c>
      <c r="C55" s="510" t="s">
        <v>38</v>
      </c>
      <c r="D55" s="511">
        <v>30079057</v>
      </c>
      <c r="E55" s="511"/>
      <c r="F55" s="512" t="s">
        <v>1168</v>
      </c>
      <c r="G55" s="513" t="s">
        <v>45</v>
      </c>
      <c r="H55" s="514" t="s">
        <v>1094</v>
      </c>
      <c r="I55" s="515" t="s">
        <v>1169</v>
      </c>
      <c r="J55" s="346" t="s">
        <v>42</v>
      </c>
      <c r="K55" s="526">
        <v>1341180</v>
      </c>
      <c r="L55" s="527">
        <v>849185</v>
      </c>
      <c r="M55" s="528">
        <v>2</v>
      </c>
      <c r="N55" s="519">
        <v>0</v>
      </c>
      <c r="O55" s="519">
        <v>188296</v>
      </c>
      <c r="P55" s="519">
        <v>85978</v>
      </c>
      <c r="Q55" s="519">
        <v>70618</v>
      </c>
      <c r="R55" s="519">
        <v>53916</v>
      </c>
      <c r="S55" s="520">
        <v>60407</v>
      </c>
      <c r="T55" s="18"/>
      <c r="U55" s="18"/>
      <c r="V55" s="18"/>
      <c r="W55" s="18"/>
      <c r="X55" s="18"/>
      <c r="Y55" s="18"/>
      <c r="Z55" s="18">
        <f t="shared" si="0"/>
        <v>459215</v>
      </c>
      <c r="AA55" s="309">
        <v>491993</v>
      </c>
      <c r="AB55" s="19">
        <v>5</v>
      </c>
      <c r="AC55" s="521">
        <v>44224</v>
      </c>
      <c r="AD55" s="25">
        <v>44251</v>
      </c>
      <c r="AE55" s="309"/>
      <c r="AF55" s="20"/>
      <c r="AG55" s="23"/>
      <c r="AH55" s="25"/>
      <c r="AI55" s="309"/>
      <c r="AJ55" s="19"/>
      <c r="AK55" s="23"/>
      <c r="AL55" s="25"/>
      <c r="AM55" s="309"/>
      <c r="AN55" s="19"/>
      <c r="AO55" s="21"/>
      <c r="AP55" s="25"/>
      <c r="AQ55" s="309"/>
      <c r="AR55" s="19"/>
      <c r="AS55" s="21"/>
      <c r="AT55" s="25"/>
      <c r="AU55" s="522">
        <f t="shared" si="1"/>
        <v>491993</v>
      </c>
      <c r="AV55" s="311">
        <f t="shared" si="2"/>
        <v>32778</v>
      </c>
      <c r="AW55" s="305"/>
      <c r="AX55" s="291"/>
      <c r="AY55" s="291"/>
      <c r="AZ55" s="291"/>
      <c r="BA55" s="291"/>
      <c r="BB55" s="291"/>
      <c r="BC55" s="291"/>
      <c r="BD55" s="291"/>
      <c r="BE55" s="291"/>
      <c r="BF55" s="291"/>
      <c r="BG55" s="291"/>
      <c r="BH55" s="291"/>
      <c r="BI55" s="291"/>
      <c r="BJ55" s="291"/>
      <c r="BK55" s="291"/>
      <c r="BL55" s="291"/>
      <c r="BM55" s="291"/>
      <c r="BN55" s="291"/>
      <c r="BO55" s="291"/>
      <c r="BP55" s="291"/>
      <c r="BQ55" s="291"/>
      <c r="BR55" s="291"/>
      <c r="BS55" s="291"/>
      <c r="BT55" s="291"/>
      <c r="BU55" s="291"/>
      <c r="BV55" s="291"/>
      <c r="BW55" s="291"/>
      <c r="BX55" s="291"/>
      <c r="BY55" s="291"/>
      <c r="BZ55" s="291"/>
      <c r="CA55" s="291"/>
      <c r="CB55" s="291"/>
      <c r="CC55" s="291"/>
      <c r="CD55" s="291"/>
      <c r="CE55" s="291"/>
      <c r="CF55" s="291"/>
      <c r="CG55" s="291"/>
      <c r="CH55" s="291"/>
      <c r="CI55" s="291"/>
      <c r="CJ55" s="291"/>
      <c r="CK55" s="291"/>
      <c r="CL55" s="291"/>
      <c r="CM55" s="291"/>
      <c r="CN55" s="291"/>
      <c r="CO55" s="291"/>
      <c r="CP55" s="291"/>
      <c r="CQ55" s="291"/>
      <c r="CR55" s="291"/>
      <c r="CS55" s="291"/>
      <c r="CT55" s="291"/>
      <c r="CU55" s="291"/>
      <c r="CV55" s="291"/>
      <c r="CW55" s="291"/>
      <c r="CX55" s="291"/>
      <c r="CY55" s="291"/>
      <c r="CZ55" s="291"/>
      <c r="DA55" s="291"/>
      <c r="DB55" s="291"/>
      <c r="DC55" s="291"/>
      <c r="DD55" s="291"/>
      <c r="DE55" s="291"/>
      <c r="DF55" s="291"/>
      <c r="DG55" s="291"/>
      <c r="DH55" s="291"/>
      <c r="DI55" s="291"/>
      <c r="DJ55" s="291"/>
      <c r="DK55" s="291"/>
      <c r="DL55" s="291"/>
      <c r="DM55" s="291"/>
      <c r="DN55" s="291"/>
      <c r="DO55" s="291"/>
      <c r="DP55" s="291"/>
      <c r="DQ55" s="291"/>
      <c r="DR55" s="291"/>
      <c r="DS55" s="291"/>
      <c r="DT55" s="291"/>
      <c r="DU55" s="291"/>
      <c r="DV55" s="291"/>
      <c r="DW55" s="291"/>
      <c r="DX55" s="291"/>
      <c r="DY55" s="291"/>
      <c r="DZ55" s="291"/>
      <c r="EA55" s="291"/>
      <c r="EB55" s="291"/>
      <c r="EC55" s="291"/>
      <c r="ED55" s="291"/>
      <c r="EE55" s="291"/>
      <c r="EF55" s="291"/>
      <c r="EG55" s="291"/>
      <c r="EH55" s="291"/>
      <c r="EI55" s="291"/>
      <c r="EJ55" s="291"/>
      <c r="EK55" s="291"/>
      <c r="EL55" s="291"/>
      <c r="EM55" s="291"/>
      <c r="EN55" s="291"/>
      <c r="EO55" s="291"/>
      <c r="EP55" s="291"/>
      <c r="EQ55" s="291"/>
      <c r="ER55" s="291"/>
      <c r="ES55" s="291"/>
      <c r="ET55" s="291"/>
      <c r="EU55" s="291"/>
      <c r="EV55" s="291"/>
      <c r="EW55" s="291"/>
      <c r="EX55" s="291"/>
      <c r="EY55" s="291"/>
      <c r="EZ55" s="291"/>
      <c r="FA55" s="291"/>
      <c r="FB55" s="291"/>
      <c r="FC55" s="291"/>
      <c r="FD55" s="291"/>
      <c r="FE55" s="291"/>
      <c r="FF55" s="291"/>
      <c r="FG55" s="291"/>
      <c r="FH55" s="291"/>
      <c r="FI55" s="291"/>
      <c r="FJ55" s="291"/>
      <c r="FK55" s="291"/>
      <c r="FL55" s="291"/>
      <c r="FM55" s="291"/>
      <c r="FN55" s="291"/>
      <c r="FO55" s="291"/>
      <c r="FP55" s="291"/>
      <c r="FQ55" s="291"/>
      <c r="FR55" s="291"/>
      <c r="FS55" s="291"/>
      <c r="FT55" s="291"/>
      <c r="FU55" s="291"/>
      <c r="FV55" s="291"/>
      <c r="FW55" s="291"/>
      <c r="FX55" s="291"/>
      <c r="FY55" s="291"/>
      <c r="FZ55" s="291"/>
      <c r="GA55" s="291"/>
      <c r="GB55" s="291"/>
      <c r="GC55" s="291"/>
      <c r="GD55" s="291"/>
      <c r="GE55" s="291"/>
      <c r="GF55" s="291"/>
      <c r="GG55" s="291"/>
      <c r="GH55" s="291"/>
      <c r="GI55" s="291"/>
      <c r="GJ55" s="291"/>
      <c r="GK55" s="291"/>
      <c r="GL55" s="291"/>
      <c r="GM55" s="291"/>
      <c r="GN55" s="291"/>
      <c r="GO55" s="291"/>
      <c r="GP55" s="291"/>
      <c r="GQ55" s="291"/>
      <c r="GR55" s="291"/>
      <c r="GS55" s="291"/>
      <c r="GT55" s="291"/>
      <c r="GU55" s="291"/>
      <c r="GV55" s="291"/>
      <c r="GW55" s="291"/>
      <c r="GX55" s="291"/>
      <c r="GY55" s="291"/>
      <c r="GZ55" s="291"/>
      <c r="HA55" s="291"/>
      <c r="HB55" s="291"/>
      <c r="HC55" s="291"/>
      <c r="HD55" s="291"/>
      <c r="HE55" s="291"/>
      <c r="HF55" s="291"/>
      <c r="HG55" s="291"/>
      <c r="HH55" s="291"/>
      <c r="HI55" s="291"/>
      <c r="HJ55" s="291"/>
      <c r="HK55" s="291"/>
      <c r="HL55" s="291"/>
      <c r="HM55" s="291"/>
      <c r="HN55" s="291"/>
      <c r="HO55" s="291"/>
      <c r="HP55" s="291"/>
      <c r="HQ55" s="291"/>
      <c r="HR55" s="291"/>
      <c r="HS55" s="291"/>
      <c r="HT55" s="291"/>
      <c r="HU55" s="291"/>
      <c r="HV55" s="291"/>
      <c r="HW55" s="291"/>
      <c r="HX55" s="291"/>
      <c r="HY55" s="291"/>
      <c r="HZ55" s="291"/>
      <c r="IA55" s="291"/>
      <c r="IB55" s="291"/>
      <c r="IC55" s="291"/>
      <c r="ID55" s="291"/>
      <c r="IE55" s="291"/>
      <c r="IF55" s="291"/>
      <c r="IG55" s="291"/>
      <c r="IH55" s="291"/>
      <c r="II55" s="291"/>
      <c r="IJ55" s="291"/>
      <c r="IK55" s="291"/>
      <c r="IL55" s="291"/>
      <c r="IM55" s="291"/>
      <c r="IN55" s="291"/>
      <c r="IO55" s="291"/>
      <c r="IP55" s="291"/>
      <c r="IQ55" s="291"/>
      <c r="IR55" s="291"/>
      <c r="IS55" s="291"/>
      <c r="IT55" s="291"/>
      <c r="IU55" s="291"/>
      <c r="IV55" s="291"/>
      <c r="IW55" s="291"/>
      <c r="IX55" s="291"/>
      <c r="IY55" s="291"/>
      <c r="IZ55" s="291"/>
      <c r="JA55" s="291"/>
      <c r="JB55" s="291"/>
      <c r="JC55" s="291"/>
      <c r="JD55" s="291"/>
      <c r="JE55" s="291"/>
      <c r="JF55" s="291"/>
      <c r="JG55" s="291"/>
      <c r="JH55" s="291"/>
      <c r="JI55" s="291"/>
      <c r="JJ55" s="291"/>
      <c r="JK55" s="291"/>
      <c r="JL55" s="291"/>
      <c r="JM55" s="291"/>
      <c r="JN55" s="291"/>
      <c r="JO55" s="291"/>
      <c r="JP55" s="291"/>
      <c r="JQ55" s="291"/>
      <c r="JR55" s="291"/>
      <c r="JS55" s="291"/>
      <c r="JT55" s="291"/>
      <c r="JU55" s="291"/>
      <c r="JV55" s="291"/>
      <c r="JW55" s="291"/>
      <c r="JX55" s="291"/>
      <c r="JY55" s="291"/>
      <c r="JZ55" s="291"/>
      <c r="KA55" s="291"/>
      <c r="KB55" s="291"/>
      <c r="KC55" s="291"/>
      <c r="KD55" s="291"/>
      <c r="KE55" s="291"/>
      <c r="KF55" s="291"/>
      <c r="KG55" s="291"/>
      <c r="KH55" s="291"/>
      <c r="KI55" s="291"/>
      <c r="KJ55" s="291"/>
      <c r="KK55" s="291"/>
      <c r="KL55" s="291"/>
      <c r="KM55" s="291"/>
      <c r="KN55" s="291"/>
      <c r="KO55" s="291"/>
      <c r="KP55" s="291"/>
      <c r="KQ55" s="291"/>
      <c r="KR55" s="291"/>
      <c r="KS55" s="291"/>
      <c r="KT55" s="291"/>
      <c r="KU55" s="291"/>
      <c r="KV55" s="291"/>
      <c r="KW55" s="291"/>
      <c r="KX55" s="291"/>
      <c r="KY55" s="291"/>
      <c r="KZ55" s="291"/>
      <c r="LA55" s="291"/>
      <c r="LB55" s="291"/>
      <c r="LC55" s="291"/>
      <c r="LD55" s="291"/>
      <c r="LE55" s="291"/>
      <c r="LF55" s="291"/>
      <c r="LG55" s="291"/>
      <c r="LH55" s="291"/>
      <c r="LI55" s="291"/>
      <c r="LJ55" s="291"/>
      <c r="LK55" s="291"/>
      <c r="LL55" s="291"/>
      <c r="LM55" s="291"/>
      <c r="LN55" s="291"/>
      <c r="LO55" s="291"/>
      <c r="LP55" s="291"/>
      <c r="LQ55" s="291"/>
      <c r="LR55" s="291"/>
      <c r="LS55" s="291"/>
      <c r="LT55" s="291"/>
      <c r="LU55" s="291"/>
      <c r="LV55" s="291"/>
      <c r="LW55" s="291"/>
      <c r="LX55" s="291"/>
      <c r="LY55" s="291"/>
      <c r="LZ55" s="291"/>
      <c r="MA55" s="291"/>
      <c r="MB55" s="291"/>
      <c r="MC55" s="291"/>
      <c r="MD55" s="291"/>
      <c r="ME55" s="291"/>
      <c r="MF55" s="291"/>
      <c r="MG55" s="291"/>
      <c r="MH55" s="291"/>
      <c r="MI55" s="291"/>
      <c r="MJ55" s="291"/>
      <c r="MK55" s="291"/>
      <c r="ML55" s="291"/>
      <c r="MM55" s="291"/>
      <c r="MN55" s="291"/>
      <c r="MO55" s="291"/>
      <c r="MP55" s="291"/>
      <c r="MQ55" s="291"/>
      <c r="MR55" s="291"/>
      <c r="MS55" s="291"/>
      <c r="MT55" s="291"/>
      <c r="MU55" s="291"/>
      <c r="MV55" s="291"/>
      <c r="MW55" s="291"/>
      <c r="MX55" s="291"/>
      <c r="MY55" s="291"/>
      <c r="MZ55" s="291"/>
      <c r="NA55" s="291"/>
      <c r="NB55" s="291"/>
      <c r="NC55" s="291"/>
      <c r="ND55" s="291"/>
      <c r="NE55" s="291"/>
      <c r="NF55" s="291"/>
      <c r="NG55" s="291"/>
      <c r="NH55" s="291"/>
      <c r="NI55" s="291"/>
      <c r="NJ55" s="291"/>
      <c r="NK55" s="291"/>
      <c r="NL55" s="291"/>
      <c r="NM55" s="291"/>
      <c r="NN55" s="291"/>
      <c r="NO55" s="291"/>
      <c r="NP55" s="291"/>
      <c r="NQ55" s="291"/>
      <c r="NR55" s="291"/>
      <c r="NS55" s="291"/>
      <c r="NT55" s="291"/>
      <c r="NU55" s="291"/>
      <c r="NV55" s="291"/>
      <c r="NW55" s="291"/>
      <c r="NX55" s="291"/>
      <c r="NY55" s="291"/>
      <c r="NZ55" s="291"/>
      <c r="OA55" s="291"/>
      <c r="OB55" s="291"/>
      <c r="OC55" s="291"/>
      <c r="OD55" s="291"/>
      <c r="OE55" s="291"/>
      <c r="OF55" s="291"/>
      <c r="OG55" s="291"/>
      <c r="OH55" s="291"/>
      <c r="OI55" s="291"/>
      <c r="OJ55" s="291"/>
      <c r="OK55" s="291"/>
      <c r="OL55" s="291"/>
      <c r="OM55" s="291"/>
      <c r="ON55" s="291"/>
      <c r="OO55" s="291"/>
      <c r="OP55" s="291"/>
      <c r="OQ55" s="291"/>
      <c r="OR55" s="291"/>
      <c r="OS55" s="291"/>
      <c r="OT55" s="291"/>
      <c r="OU55" s="291"/>
      <c r="OV55" s="291"/>
      <c r="OW55" s="291"/>
    </row>
    <row r="56" spans="1:413" s="257" customFormat="1" hidden="1" x14ac:dyDescent="0.2">
      <c r="A56" s="291"/>
      <c r="B56" s="524">
        <f t="shared" si="3"/>
        <v>41</v>
      </c>
      <c r="C56" s="510" t="s">
        <v>38</v>
      </c>
      <c r="D56" s="511">
        <v>30080556</v>
      </c>
      <c r="E56" s="511"/>
      <c r="F56" s="512" t="s">
        <v>1170</v>
      </c>
      <c r="G56" s="513" t="s">
        <v>45</v>
      </c>
      <c r="H56" s="514" t="s">
        <v>1094</v>
      </c>
      <c r="I56" s="515" t="s">
        <v>1171</v>
      </c>
      <c r="J56" s="346" t="s">
        <v>43</v>
      </c>
      <c r="K56" s="526">
        <v>3596890</v>
      </c>
      <c r="L56" s="527">
        <v>0</v>
      </c>
      <c r="M56" s="528">
        <v>3285306</v>
      </c>
      <c r="N56" s="520">
        <v>0</v>
      </c>
      <c r="O56" s="520">
        <v>0</v>
      </c>
      <c r="P56" s="520">
        <v>0</v>
      </c>
      <c r="Q56" s="520">
        <v>0</v>
      </c>
      <c r="R56" s="520">
        <v>0</v>
      </c>
      <c r="S56" s="520">
        <v>3000</v>
      </c>
      <c r="T56" s="18"/>
      <c r="U56" s="18"/>
      <c r="V56" s="18"/>
      <c r="W56" s="18"/>
      <c r="X56" s="18"/>
      <c r="Y56" s="18"/>
      <c r="Z56" s="18">
        <f t="shared" si="0"/>
        <v>3000</v>
      </c>
      <c r="AA56" s="309">
        <v>311550</v>
      </c>
      <c r="AB56" s="19">
        <v>3</v>
      </c>
      <c r="AC56" s="521">
        <v>44222</v>
      </c>
      <c r="AD56" s="25">
        <v>44225</v>
      </c>
      <c r="AE56" s="309">
        <v>500000</v>
      </c>
      <c r="AF56" s="20">
        <v>39</v>
      </c>
      <c r="AG56" s="23">
        <v>44334</v>
      </c>
      <c r="AH56" s="25">
        <v>44342</v>
      </c>
      <c r="AI56" s="309"/>
      <c r="AJ56" s="19"/>
      <c r="AK56" s="23"/>
      <c r="AL56" s="25"/>
      <c r="AM56" s="309"/>
      <c r="AN56" s="19"/>
      <c r="AO56" s="21"/>
      <c r="AP56" s="25"/>
      <c r="AQ56" s="309"/>
      <c r="AR56" s="19"/>
      <c r="AS56" s="21"/>
      <c r="AT56" s="25"/>
      <c r="AU56" s="522">
        <f t="shared" si="1"/>
        <v>811550</v>
      </c>
      <c r="AV56" s="311">
        <f t="shared" si="2"/>
        <v>808550</v>
      </c>
      <c r="AW56" s="305"/>
      <c r="AX56" s="291"/>
      <c r="AY56" s="291"/>
      <c r="AZ56" s="291"/>
      <c r="BA56" s="291"/>
      <c r="BB56" s="291"/>
      <c r="BC56" s="291"/>
      <c r="BD56" s="291"/>
      <c r="BE56" s="291"/>
      <c r="BF56" s="291"/>
      <c r="BG56" s="291"/>
      <c r="BH56" s="291"/>
      <c r="BI56" s="291"/>
      <c r="BJ56" s="291"/>
      <c r="BK56" s="291"/>
      <c r="BL56" s="291"/>
      <c r="BM56" s="291"/>
      <c r="BN56" s="291"/>
      <c r="BO56" s="291"/>
      <c r="BP56" s="291"/>
      <c r="BQ56" s="291"/>
      <c r="BR56" s="291"/>
      <c r="BS56" s="291"/>
      <c r="BT56" s="291"/>
      <c r="BU56" s="291"/>
      <c r="BV56" s="291"/>
      <c r="BW56" s="291"/>
      <c r="BX56" s="291"/>
      <c r="BY56" s="291"/>
      <c r="BZ56" s="291"/>
      <c r="CA56" s="291"/>
      <c r="CB56" s="291"/>
      <c r="CC56" s="291"/>
      <c r="CD56" s="291"/>
      <c r="CE56" s="291"/>
      <c r="CF56" s="291"/>
      <c r="CG56" s="291"/>
      <c r="CH56" s="291"/>
      <c r="CI56" s="291"/>
      <c r="CJ56" s="291"/>
      <c r="CK56" s="291"/>
      <c r="CL56" s="291"/>
      <c r="CM56" s="291"/>
      <c r="CN56" s="291"/>
      <c r="CO56" s="291"/>
      <c r="CP56" s="291"/>
      <c r="CQ56" s="291"/>
      <c r="CR56" s="291"/>
      <c r="CS56" s="291"/>
      <c r="CT56" s="291"/>
      <c r="CU56" s="291"/>
      <c r="CV56" s="291"/>
      <c r="CW56" s="291"/>
      <c r="CX56" s="291"/>
      <c r="CY56" s="291"/>
      <c r="CZ56" s="291"/>
      <c r="DA56" s="291"/>
      <c r="DB56" s="291"/>
      <c r="DC56" s="291"/>
      <c r="DD56" s="291"/>
      <c r="DE56" s="291"/>
      <c r="DF56" s="291"/>
      <c r="DG56" s="291"/>
      <c r="DH56" s="291"/>
      <c r="DI56" s="291"/>
      <c r="DJ56" s="291"/>
      <c r="DK56" s="291"/>
      <c r="DL56" s="291"/>
      <c r="DM56" s="291"/>
      <c r="DN56" s="291"/>
      <c r="DO56" s="291"/>
      <c r="DP56" s="291"/>
      <c r="DQ56" s="291"/>
      <c r="DR56" s="291"/>
      <c r="DS56" s="291"/>
      <c r="DT56" s="291"/>
      <c r="DU56" s="291"/>
      <c r="DV56" s="291"/>
      <c r="DW56" s="291"/>
      <c r="DX56" s="291"/>
      <c r="DY56" s="291"/>
      <c r="DZ56" s="291"/>
      <c r="EA56" s="291"/>
      <c r="EB56" s="291"/>
      <c r="EC56" s="291"/>
      <c r="ED56" s="291"/>
      <c r="EE56" s="291"/>
      <c r="EF56" s="291"/>
      <c r="EG56" s="291"/>
      <c r="EH56" s="291"/>
      <c r="EI56" s="291"/>
      <c r="EJ56" s="291"/>
      <c r="EK56" s="291"/>
      <c r="EL56" s="291"/>
      <c r="EM56" s="291"/>
      <c r="EN56" s="291"/>
      <c r="EO56" s="291"/>
      <c r="EP56" s="291"/>
      <c r="EQ56" s="291"/>
      <c r="ER56" s="291"/>
      <c r="ES56" s="291"/>
      <c r="ET56" s="291"/>
      <c r="EU56" s="291"/>
      <c r="EV56" s="291"/>
      <c r="EW56" s="291"/>
      <c r="EX56" s="291"/>
      <c r="EY56" s="291"/>
      <c r="EZ56" s="291"/>
      <c r="FA56" s="291"/>
      <c r="FB56" s="291"/>
      <c r="FC56" s="291"/>
      <c r="FD56" s="291"/>
      <c r="FE56" s="291"/>
      <c r="FF56" s="291"/>
      <c r="FG56" s="291"/>
      <c r="FH56" s="291"/>
      <c r="FI56" s="291"/>
      <c r="FJ56" s="291"/>
      <c r="FK56" s="291"/>
      <c r="FL56" s="291"/>
      <c r="FM56" s="291"/>
      <c r="FN56" s="291"/>
      <c r="FO56" s="291"/>
      <c r="FP56" s="291"/>
      <c r="FQ56" s="291"/>
      <c r="FR56" s="291"/>
      <c r="FS56" s="291"/>
      <c r="FT56" s="291"/>
      <c r="FU56" s="291"/>
      <c r="FV56" s="291"/>
      <c r="FW56" s="291"/>
      <c r="FX56" s="291"/>
      <c r="FY56" s="291"/>
      <c r="FZ56" s="291"/>
      <c r="GA56" s="291"/>
      <c r="GB56" s="291"/>
      <c r="GC56" s="291"/>
      <c r="GD56" s="291"/>
      <c r="GE56" s="291"/>
      <c r="GF56" s="291"/>
      <c r="GG56" s="291"/>
      <c r="GH56" s="291"/>
      <c r="GI56" s="291"/>
      <c r="GJ56" s="291"/>
      <c r="GK56" s="291"/>
      <c r="GL56" s="291"/>
      <c r="GM56" s="291"/>
      <c r="GN56" s="291"/>
      <c r="GO56" s="291"/>
      <c r="GP56" s="291"/>
      <c r="GQ56" s="291"/>
      <c r="GR56" s="291"/>
      <c r="GS56" s="291"/>
      <c r="GT56" s="291"/>
      <c r="GU56" s="291"/>
      <c r="GV56" s="291"/>
      <c r="GW56" s="291"/>
      <c r="GX56" s="291"/>
      <c r="GY56" s="291"/>
      <c r="GZ56" s="291"/>
      <c r="HA56" s="291"/>
      <c r="HB56" s="291"/>
      <c r="HC56" s="291"/>
      <c r="HD56" s="291"/>
      <c r="HE56" s="291"/>
      <c r="HF56" s="291"/>
      <c r="HG56" s="291"/>
      <c r="HH56" s="291"/>
      <c r="HI56" s="291"/>
      <c r="HJ56" s="291"/>
      <c r="HK56" s="291"/>
      <c r="HL56" s="291"/>
      <c r="HM56" s="291"/>
      <c r="HN56" s="291"/>
      <c r="HO56" s="291"/>
      <c r="HP56" s="291"/>
      <c r="HQ56" s="291"/>
      <c r="HR56" s="291"/>
      <c r="HS56" s="291"/>
      <c r="HT56" s="291"/>
      <c r="HU56" s="291"/>
      <c r="HV56" s="291"/>
      <c r="HW56" s="291"/>
      <c r="HX56" s="291"/>
      <c r="HY56" s="291"/>
      <c r="HZ56" s="291"/>
      <c r="IA56" s="291"/>
      <c r="IB56" s="291"/>
      <c r="IC56" s="291"/>
      <c r="ID56" s="291"/>
      <c r="IE56" s="291"/>
      <c r="IF56" s="291"/>
      <c r="IG56" s="291"/>
      <c r="IH56" s="291"/>
      <c r="II56" s="291"/>
      <c r="IJ56" s="291"/>
      <c r="IK56" s="291"/>
      <c r="IL56" s="291"/>
      <c r="IM56" s="291"/>
      <c r="IN56" s="291"/>
      <c r="IO56" s="291"/>
      <c r="IP56" s="291"/>
      <c r="IQ56" s="291"/>
      <c r="IR56" s="291"/>
      <c r="IS56" s="291"/>
      <c r="IT56" s="291"/>
      <c r="IU56" s="291"/>
      <c r="IV56" s="291"/>
      <c r="IW56" s="291"/>
      <c r="IX56" s="291"/>
      <c r="IY56" s="291"/>
      <c r="IZ56" s="291"/>
      <c r="JA56" s="291"/>
      <c r="JB56" s="291"/>
      <c r="JC56" s="291"/>
      <c r="JD56" s="291"/>
      <c r="JE56" s="291"/>
      <c r="JF56" s="291"/>
      <c r="JG56" s="291"/>
      <c r="JH56" s="291"/>
      <c r="JI56" s="291"/>
      <c r="JJ56" s="291"/>
      <c r="JK56" s="291"/>
      <c r="JL56" s="291"/>
      <c r="JM56" s="291"/>
      <c r="JN56" s="291"/>
      <c r="JO56" s="291"/>
      <c r="JP56" s="291"/>
      <c r="JQ56" s="291"/>
      <c r="JR56" s="291"/>
      <c r="JS56" s="291"/>
      <c r="JT56" s="291"/>
      <c r="JU56" s="291"/>
      <c r="JV56" s="291"/>
      <c r="JW56" s="291"/>
      <c r="JX56" s="291"/>
      <c r="JY56" s="291"/>
      <c r="JZ56" s="291"/>
      <c r="KA56" s="291"/>
      <c r="KB56" s="291"/>
      <c r="KC56" s="291"/>
      <c r="KD56" s="291"/>
      <c r="KE56" s="291"/>
      <c r="KF56" s="291"/>
      <c r="KG56" s="291"/>
      <c r="KH56" s="291"/>
      <c r="KI56" s="291"/>
      <c r="KJ56" s="291"/>
      <c r="KK56" s="291"/>
      <c r="KL56" s="291"/>
      <c r="KM56" s="291"/>
      <c r="KN56" s="291"/>
      <c r="KO56" s="291"/>
      <c r="KP56" s="291"/>
      <c r="KQ56" s="291"/>
      <c r="KR56" s="291"/>
      <c r="KS56" s="291"/>
      <c r="KT56" s="291"/>
      <c r="KU56" s="291"/>
      <c r="KV56" s="291"/>
      <c r="KW56" s="291"/>
      <c r="KX56" s="291"/>
      <c r="KY56" s="291"/>
      <c r="KZ56" s="291"/>
      <c r="LA56" s="291"/>
      <c r="LB56" s="291"/>
      <c r="LC56" s="291"/>
      <c r="LD56" s="291"/>
      <c r="LE56" s="291"/>
      <c r="LF56" s="291"/>
      <c r="LG56" s="291"/>
      <c r="LH56" s="291"/>
      <c r="LI56" s="291"/>
      <c r="LJ56" s="291"/>
      <c r="LK56" s="291"/>
      <c r="LL56" s="291"/>
      <c r="LM56" s="291"/>
      <c r="LN56" s="291"/>
      <c r="LO56" s="291"/>
      <c r="LP56" s="291"/>
      <c r="LQ56" s="291"/>
      <c r="LR56" s="291"/>
      <c r="LS56" s="291"/>
      <c r="LT56" s="291"/>
      <c r="LU56" s="291"/>
      <c r="LV56" s="291"/>
      <c r="LW56" s="291"/>
      <c r="LX56" s="291"/>
      <c r="LY56" s="291"/>
      <c r="LZ56" s="291"/>
      <c r="MA56" s="291"/>
      <c r="MB56" s="291"/>
      <c r="MC56" s="291"/>
      <c r="MD56" s="291"/>
      <c r="ME56" s="291"/>
      <c r="MF56" s="291"/>
      <c r="MG56" s="291"/>
      <c r="MH56" s="291"/>
      <c r="MI56" s="291"/>
      <c r="MJ56" s="291"/>
      <c r="MK56" s="291"/>
      <c r="ML56" s="291"/>
      <c r="MM56" s="291"/>
      <c r="MN56" s="291"/>
      <c r="MO56" s="291"/>
      <c r="MP56" s="291"/>
      <c r="MQ56" s="291"/>
      <c r="MR56" s="291"/>
      <c r="MS56" s="291"/>
      <c r="MT56" s="291"/>
      <c r="MU56" s="291"/>
      <c r="MV56" s="291"/>
      <c r="MW56" s="291"/>
      <c r="MX56" s="291"/>
      <c r="MY56" s="291"/>
      <c r="MZ56" s="291"/>
      <c r="NA56" s="291"/>
      <c r="NB56" s="291"/>
      <c r="NC56" s="291"/>
      <c r="ND56" s="291"/>
      <c r="NE56" s="291"/>
      <c r="NF56" s="291"/>
      <c r="NG56" s="291"/>
      <c r="NH56" s="291"/>
      <c r="NI56" s="291"/>
      <c r="NJ56" s="291"/>
      <c r="NK56" s="291"/>
      <c r="NL56" s="291"/>
      <c r="NM56" s="291"/>
      <c r="NN56" s="291"/>
      <c r="NO56" s="291"/>
      <c r="NP56" s="291"/>
      <c r="NQ56" s="291"/>
      <c r="NR56" s="291"/>
      <c r="NS56" s="291"/>
      <c r="NT56" s="291"/>
      <c r="NU56" s="291"/>
      <c r="NV56" s="291"/>
      <c r="NW56" s="291"/>
      <c r="NX56" s="291"/>
      <c r="NY56" s="291"/>
      <c r="NZ56" s="291"/>
      <c r="OA56" s="291"/>
      <c r="OB56" s="291"/>
      <c r="OC56" s="291"/>
      <c r="OD56" s="291"/>
      <c r="OE56" s="291"/>
      <c r="OF56" s="291"/>
      <c r="OG56" s="291"/>
      <c r="OH56" s="291"/>
      <c r="OI56" s="291"/>
      <c r="OJ56" s="291"/>
      <c r="OK56" s="291"/>
      <c r="OL56" s="291"/>
      <c r="OM56" s="291"/>
      <c r="ON56" s="291"/>
      <c r="OO56" s="291"/>
      <c r="OP56" s="291"/>
      <c r="OQ56" s="291"/>
      <c r="OR56" s="291"/>
      <c r="OS56" s="291"/>
      <c r="OT56" s="291"/>
      <c r="OU56" s="291"/>
      <c r="OV56" s="291"/>
      <c r="OW56" s="291"/>
    </row>
    <row r="57" spans="1:413" s="257" customFormat="1" hidden="1" x14ac:dyDescent="0.2">
      <c r="A57" s="291"/>
      <c r="B57" s="524">
        <f t="shared" si="3"/>
        <v>42</v>
      </c>
      <c r="C57" s="510" t="s">
        <v>38</v>
      </c>
      <c r="D57" s="511">
        <v>30080581</v>
      </c>
      <c r="E57" s="511"/>
      <c r="F57" s="512" t="s">
        <v>1172</v>
      </c>
      <c r="G57" s="513" t="s">
        <v>46</v>
      </c>
      <c r="H57" s="514" t="s">
        <v>1094</v>
      </c>
      <c r="I57" s="515" t="s">
        <v>1148</v>
      </c>
      <c r="J57" s="346" t="s">
        <v>42</v>
      </c>
      <c r="K57" s="526">
        <v>55792</v>
      </c>
      <c r="L57" s="527">
        <v>34034</v>
      </c>
      <c r="M57" s="528">
        <v>0</v>
      </c>
      <c r="N57" s="520">
        <v>0</v>
      </c>
      <c r="O57" s="520">
        <v>0</v>
      </c>
      <c r="P57" s="520">
        <v>0</v>
      </c>
      <c r="Q57" s="520">
        <v>0</v>
      </c>
      <c r="R57" s="520">
        <v>0</v>
      </c>
      <c r="S57" s="520">
        <v>0</v>
      </c>
      <c r="T57" s="18"/>
      <c r="U57" s="18"/>
      <c r="V57" s="18"/>
      <c r="W57" s="18"/>
      <c r="X57" s="18"/>
      <c r="Y57" s="18"/>
      <c r="Z57" s="18">
        <f t="shared" si="0"/>
        <v>0</v>
      </c>
      <c r="AA57" s="309">
        <v>21758</v>
      </c>
      <c r="AB57" s="19">
        <v>5</v>
      </c>
      <c r="AC57" s="521">
        <v>44224</v>
      </c>
      <c r="AD57" s="25">
        <v>44251</v>
      </c>
      <c r="AE57" s="309"/>
      <c r="AF57" s="20"/>
      <c r="AG57" s="23"/>
      <c r="AH57" s="25"/>
      <c r="AI57" s="309"/>
      <c r="AJ57" s="19"/>
      <c r="AK57" s="23"/>
      <c r="AL57" s="25"/>
      <c r="AM57" s="309"/>
      <c r="AN57" s="19"/>
      <c r="AO57" s="21"/>
      <c r="AP57" s="25"/>
      <c r="AQ57" s="309"/>
      <c r="AR57" s="19"/>
      <c r="AS57" s="21"/>
      <c r="AT57" s="25"/>
      <c r="AU57" s="522">
        <f t="shared" si="1"/>
        <v>21758</v>
      </c>
      <c r="AV57" s="311">
        <f t="shared" si="2"/>
        <v>21758</v>
      </c>
      <c r="AW57" s="305"/>
      <c r="AX57" s="291"/>
      <c r="AY57" s="291"/>
      <c r="AZ57" s="291"/>
      <c r="BA57" s="291"/>
      <c r="BB57" s="291"/>
      <c r="BC57" s="291"/>
      <c r="BD57" s="291"/>
      <c r="BE57" s="291"/>
      <c r="BF57" s="291"/>
      <c r="BG57" s="291"/>
      <c r="BH57" s="291"/>
      <c r="BI57" s="291"/>
      <c r="BJ57" s="291"/>
      <c r="BK57" s="291"/>
      <c r="BL57" s="291"/>
      <c r="BM57" s="291"/>
      <c r="BN57" s="291"/>
      <c r="BO57" s="291"/>
      <c r="BP57" s="291"/>
      <c r="BQ57" s="291"/>
      <c r="BR57" s="291"/>
      <c r="BS57" s="291"/>
      <c r="BT57" s="291"/>
      <c r="BU57" s="291"/>
      <c r="BV57" s="291"/>
      <c r="BW57" s="291"/>
      <c r="BX57" s="291"/>
      <c r="BY57" s="291"/>
      <c r="BZ57" s="291"/>
      <c r="CA57" s="291"/>
      <c r="CB57" s="291"/>
      <c r="CC57" s="291"/>
      <c r="CD57" s="291"/>
      <c r="CE57" s="291"/>
      <c r="CF57" s="291"/>
      <c r="CG57" s="291"/>
      <c r="CH57" s="291"/>
      <c r="CI57" s="291"/>
      <c r="CJ57" s="291"/>
      <c r="CK57" s="291"/>
      <c r="CL57" s="291"/>
      <c r="CM57" s="291"/>
      <c r="CN57" s="291"/>
      <c r="CO57" s="291"/>
      <c r="CP57" s="291"/>
      <c r="CQ57" s="291"/>
      <c r="CR57" s="291"/>
      <c r="CS57" s="291"/>
      <c r="CT57" s="291"/>
      <c r="CU57" s="291"/>
      <c r="CV57" s="291"/>
      <c r="CW57" s="291"/>
      <c r="CX57" s="291"/>
      <c r="CY57" s="291"/>
      <c r="CZ57" s="291"/>
      <c r="DA57" s="291"/>
      <c r="DB57" s="291"/>
      <c r="DC57" s="291"/>
      <c r="DD57" s="291"/>
      <c r="DE57" s="291"/>
      <c r="DF57" s="291"/>
      <c r="DG57" s="291"/>
      <c r="DH57" s="291"/>
      <c r="DI57" s="291"/>
      <c r="DJ57" s="291"/>
      <c r="DK57" s="291"/>
      <c r="DL57" s="291"/>
      <c r="DM57" s="291"/>
      <c r="DN57" s="291"/>
      <c r="DO57" s="291"/>
      <c r="DP57" s="291"/>
      <c r="DQ57" s="291"/>
      <c r="DR57" s="291"/>
      <c r="DS57" s="291"/>
      <c r="DT57" s="291"/>
      <c r="DU57" s="291"/>
      <c r="DV57" s="291"/>
      <c r="DW57" s="291"/>
      <c r="DX57" s="291"/>
      <c r="DY57" s="291"/>
      <c r="DZ57" s="291"/>
      <c r="EA57" s="291"/>
      <c r="EB57" s="291"/>
      <c r="EC57" s="291"/>
      <c r="ED57" s="291"/>
      <c r="EE57" s="291"/>
      <c r="EF57" s="291"/>
      <c r="EG57" s="291"/>
      <c r="EH57" s="291"/>
      <c r="EI57" s="291"/>
      <c r="EJ57" s="291"/>
      <c r="EK57" s="291"/>
      <c r="EL57" s="291"/>
      <c r="EM57" s="291"/>
      <c r="EN57" s="291"/>
      <c r="EO57" s="291"/>
      <c r="EP57" s="291"/>
      <c r="EQ57" s="291"/>
      <c r="ER57" s="291"/>
      <c r="ES57" s="291"/>
      <c r="ET57" s="291"/>
      <c r="EU57" s="291"/>
      <c r="EV57" s="291"/>
      <c r="EW57" s="291"/>
      <c r="EX57" s="291"/>
      <c r="EY57" s="291"/>
      <c r="EZ57" s="291"/>
      <c r="FA57" s="291"/>
      <c r="FB57" s="291"/>
      <c r="FC57" s="291"/>
      <c r="FD57" s="291"/>
      <c r="FE57" s="291"/>
      <c r="FF57" s="291"/>
      <c r="FG57" s="291"/>
      <c r="FH57" s="291"/>
      <c r="FI57" s="291"/>
      <c r="FJ57" s="291"/>
      <c r="FK57" s="291"/>
      <c r="FL57" s="291"/>
      <c r="FM57" s="291"/>
      <c r="FN57" s="291"/>
      <c r="FO57" s="291"/>
      <c r="FP57" s="291"/>
      <c r="FQ57" s="291"/>
      <c r="FR57" s="291"/>
      <c r="FS57" s="291"/>
      <c r="FT57" s="291"/>
      <c r="FU57" s="291"/>
      <c r="FV57" s="291"/>
      <c r="FW57" s="291"/>
      <c r="FX57" s="291"/>
      <c r="FY57" s="291"/>
      <c r="FZ57" s="291"/>
      <c r="GA57" s="291"/>
      <c r="GB57" s="291"/>
      <c r="GC57" s="291"/>
      <c r="GD57" s="291"/>
      <c r="GE57" s="291"/>
      <c r="GF57" s="291"/>
      <c r="GG57" s="291"/>
      <c r="GH57" s="291"/>
      <c r="GI57" s="291"/>
      <c r="GJ57" s="291"/>
      <c r="GK57" s="291"/>
      <c r="GL57" s="291"/>
      <c r="GM57" s="291"/>
      <c r="GN57" s="291"/>
      <c r="GO57" s="291"/>
      <c r="GP57" s="291"/>
      <c r="GQ57" s="291"/>
      <c r="GR57" s="291"/>
      <c r="GS57" s="291"/>
      <c r="GT57" s="291"/>
      <c r="GU57" s="291"/>
      <c r="GV57" s="291"/>
      <c r="GW57" s="291"/>
      <c r="GX57" s="291"/>
      <c r="GY57" s="291"/>
      <c r="GZ57" s="291"/>
      <c r="HA57" s="291"/>
      <c r="HB57" s="291"/>
      <c r="HC57" s="291"/>
      <c r="HD57" s="291"/>
      <c r="HE57" s="291"/>
      <c r="HF57" s="291"/>
      <c r="HG57" s="291"/>
      <c r="HH57" s="291"/>
      <c r="HI57" s="291"/>
      <c r="HJ57" s="291"/>
      <c r="HK57" s="291"/>
      <c r="HL57" s="291"/>
      <c r="HM57" s="291"/>
      <c r="HN57" s="291"/>
      <c r="HO57" s="291"/>
      <c r="HP57" s="291"/>
      <c r="HQ57" s="291"/>
      <c r="HR57" s="291"/>
      <c r="HS57" s="291"/>
      <c r="HT57" s="291"/>
      <c r="HU57" s="291"/>
      <c r="HV57" s="291"/>
      <c r="HW57" s="291"/>
      <c r="HX57" s="291"/>
      <c r="HY57" s="291"/>
      <c r="HZ57" s="291"/>
      <c r="IA57" s="291"/>
      <c r="IB57" s="291"/>
      <c r="IC57" s="291"/>
      <c r="ID57" s="291"/>
      <c r="IE57" s="291"/>
      <c r="IF57" s="291"/>
      <c r="IG57" s="291"/>
      <c r="IH57" s="291"/>
      <c r="II57" s="291"/>
      <c r="IJ57" s="291"/>
      <c r="IK57" s="291"/>
      <c r="IL57" s="291"/>
      <c r="IM57" s="291"/>
      <c r="IN57" s="291"/>
      <c r="IO57" s="291"/>
      <c r="IP57" s="291"/>
      <c r="IQ57" s="291"/>
      <c r="IR57" s="291"/>
      <c r="IS57" s="291"/>
      <c r="IT57" s="291"/>
      <c r="IU57" s="291"/>
      <c r="IV57" s="291"/>
      <c r="IW57" s="291"/>
      <c r="IX57" s="291"/>
      <c r="IY57" s="291"/>
      <c r="IZ57" s="291"/>
      <c r="JA57" s="291"/>
      <c r="JB57" s="291"/>
      <c r="JC57" s="291"/>
      <c r="JD57" s="291"/>
      <c r="JE57" s="291"/>
      <c r="JF57" s="291"/>
      <c r="JG57" s="291"/>
      <c r="JH57" s="291"/>
      <c r="JI57" s="291"/>
      <c r="JJ57" s="291"/>
      <c r="JK57" s="291"/>
      <c r="JL57" s="291"/>
      <c r="JM57" s="291"/>
      <c r="JN57" s="291"/>
      <c r="JO57" s="291"/>
      <c r="JP57" s="291"/>
      <c r="JQ57" s="291"/>
      <c r="JR57" s="291"/>
      <c r="JS57" s="291"/>
      <c r="JT57" s="291"/>
      <c r="JU57" s="291"/>
      <c r="JV57" s="291"/>
      <c r="JW57" s="291"/>
      <c r="JX57" s="291"/>
      <c r="JY57" s="291"/>
      <c r="JZ57" s="291"/>
      <c r="KA57" s="291"/>
      <c r="KB57" s="291"/>
      <c r="KC57" s="291"/>
      <c r="KD57" s="291"/>
      <c r="KE57" s="291"/>
      <c r="KF57" s="291"/>
      <c r="KG57" s="291"/>
      <c r="KH57" s="291"/>
      <c r="KI57" s="291"/>
      <c r="KJ57" s="291"/>
      <c r="KK57" s="291"/>
      <c r="KL57" s="291"/>
      <c r="KM57" s="291"/>
      <c r="KN57" s="291"/>
      <c r="KO57" s="291"/>
      <c r="KP57" s="291"/>
      <c r="KQ57" s="291"/>
      <c r="KR57" s="291"/>
      <c r="KS57" s="291"/>
      <c r="KT57" s="291"/>
      <c r="KU57" s="291"/>
      <c r="KV57" s="291"/>
      <c r="KW57" s="291"/>
      <c r="KX57" s="291"/>
      <c r="KY57" s="291"/>
      <c r="KZ57" s="291"/>
      <c r="LA57" s="291"/>
      <c r="LB57" s="291"/>
      <c r="LC57" s="291"/>
      <c r="LD57" s="291"/>
      <c r="LE57" s="291"/>
      <c r="LF57" s="291"/>
      <c r="LG57" s="291"/>
      <c r="LH57" s="291"/>
      <c r="LI57" s="291"/>
      <c r="LJ57" s="291"/>
      <c r="LK57" s="291"/>
      <c r="LL57" s="291"/>
      <c r="LM57" s="291"/>
      <c r="LN57" s="291"/>
      <c r="LO57" s="291"/>
      <c r="LP57" s="291"/>
      <c r="LQ57" s="291"/>
      <c r="LR57" s="291"/>
      <c r="LS57" s="291"/>
      <c r="LT57" s="291"/>
      <c r="LU57" s="291"/>
      <c r="LV57" s="291"/>
      <c r="LW57" s="291"/>
      <c r="LX57" s="291"/>
      <c r="LY57" s="291"/>
      <c r="LZ57" s="291"/>
      <c r="MA57" s="291"/>
      <c r="MB57" s="291"/>
      <c r="MC57" s="291"/>
      <c r="MD57" s="291"/>
      <c r="ME57" s="291"/>
      <c r="MF57" s="291"/>
      <c r="MG57" s="291"/>
      <c r="MH57" s="291"/>
      <c r="MI57" s="291"/>
      <c r="MJ57" s="291"/>
      <c r="MK57" s="291"/>
      <c r="ML57" s="291"/>
      <c r="MM57" s="291"/>
      <c r="MN57" s="291"/>
      <c r="MO57" s="291"/>
      <c r="MP57" s="291"/>
      <c r="MQ57" s="291"/>
      <c r="MR57" s="291"/>
      <c r="MS57" s="291"/>
      <c r="MT57" s="291"/>
      <c r="MU57" s="291"/>
      <c r="MV57" s="291"/>
      <c r="MW57" s="291"/>
      <c r="MX57" s="291"/>
      <c r="MY57" s="291"/>
      <c r="MZ57" s="291"/>
      <c r="NA57" s="291"/>
      <c r="NB57" s="291"/>
      <c r="NC57" s="291"/>
      <c r="ND57" s="291"/>
      <c r="NE57" s="291"/>
      <c r="NF57" s="291"/>
      <c r="NG57" s="291"/>
      <c r="NH57" s="291"/>
      <c r="NI57" s="291"/>
      <c r="NJ57" s="291"/>
      <c r="NK57" s="291"/>
      <c r="NL57" s="291"/>
      <c r="NM57" s="291"/>
      <c r="NN57" s="291"/>
      <c r="NO57" s="291"/>
      <c r="NP57" s="291"/>
      <c r="NQ57" s="291"/>
      <c r="NR57" s="291"/>
      <c r="NS57" s="291"/>
      <c r="NT57" s="291"/>
      <c r="NU57" s="291"/>
      <c r="NV57" s="291"/>
      <c r="NW57" s="291"/>
      <c r="NX57" s="291"/>
      <c r="NY57" s="291"/>
      <c r="NZ57" s="291"/>
      <c r="OA57" s="291"/>
      <c r="OB57" s="291"/>
      <c r="OC57" s="291"/>
      <c r="OD57" s="291"/>
      <c r="OE57" s="291"/>
      <c r="OF57" s="291"/>
      <c r="OG57" s="291"/>
      <c r="OH57" s="291"/>
      <c r="OI57" s="291"/>
      <c r="OJ57" s="291"/>
      <c r="OK57" s="291"/>
      <c r="OL57" s="291"/>
      <c r="OM57" s="291"/>
      <c r="ON57" s="291"/>
      <c r="OO57" s="291"/>
      <c r="OP57" s="291"/>
      <c r="OQ57" s="291"/>
      <c r="OR57" s="291"/>
      <c r="OS57" s="291"/>
      <c r="OT57" s="291"/>
      <c r="OU57" s="291"/>
      <c r="OV57" s="291"/>
      <c r="OW57" s="291"/>
    </row>
    <row r="58" spans="1:413" s="257" customFormat="1" hidden="1" x14ac:dyDescent="0.2">
      <c r="A58" s="291"/>
      <c r="B58" s="524">
        <f t="shared" si="3"/>
        <v>43</v>
      </c>
      <c r="C58" s="510" t="s">
        <v>38</v>
      </c>
      <c r="D58" s="511" t="s">
        <v>1173</v>
      </c>
      <c r="E58" s="511"/>
      <c r="F58" s="512" t="s">
        <v>1174</v>
      </c>
      <c r="G58" s="513" t="s">
        <v>45</v>
      </c>
      <c r="H58" s="514" t="s">
        <v>1098</v>
      </c>
      <c r="I58" s="515" t="s">
        <v>1116</v>
      </c>
      <c r="J58" s="346"/>
      <c r="K58" s="526">
        <v>8820259</v>
      </c>
      <c r="L58" s="527">
        <v>8764171</v>
      </c>
      <c r="M58" s="528">
        <v>0</v>
      </c>
      <c r="N58" s="520">
        <v>0</v>
      </c>
      <c r="O58" s="520">
        <v>0</v>
      </c>
      <c r="P58" s="520">
        <v>0</v>
      </c>
      <c r="Q58" s="520">
        <v>0</v>
      </c>
      <c r="R58" s="520">
        <v>0</v>
      </c>
      <c r="S58" s="520">
        <v>0</v>
      </c>
      <c r="T58" s="18"/>
      <c r="U58" s="18"/>
      <c r="V58" s="18"/>
      <c r="W58" s="18"/>
      <c r="X58" s="18"/>
      <c r="Y58" s="18"/>
      <c r="Z58" s="18">
        <f t="shared" si="0"/>
        <v>0</v>
      </c>
      <c r="AA58" s="309">
        <v>144</v>
      </c>
      <c r="AB58" s="19">
        <v>25</v>
      </c>
      <c r="AC58" s="521">
        <v>44314</v>
      </c>
      <c r="AD58" s="25">
        <v>44326</v>
      </c>
      <c r="AE58" s="309"/>
      <c r="AF58" s="20"/>
      <c r="AG58" s="23"/>
      <c r="AH58" s="25"/>
      <c r="AI58" s="309"/>
      <c r="AJ58" s="19"/>
      <c r="AK58" s="23"/>
      <c r="AL58" s="25"/>
      <c r="AM58" s="309"/>
      <c r="AN58" s="19"/>
      <c r="AO58" s="21"/>
      <c r="AP58" s="25"/>
      <c r="AQ58" s="309"/>
      <c r="AR58" s="19"/>
      <c r="AS58" s="21"/>
      <c r="AT58" s="25"/>
      <c r="AU58" s="522">
        <f t="shared" si="1"/>
        <v>144</v>
      </c>
      <c r="AV58" s="311">
        <f t="shared" si="2"/>
        <v>144</v>
      </c>
      <c r="AW58" s="305"/>
      <c r="AX58" s="291"/>
      <c r="AY58" s="291"/>
      <c r="AZ58" s="291"/>
      <c r="BA58" s="291"/>
      <c r="BB58" s="291"/>
      <c r="BC58" s="291"/>
      <c r="BD58" s="291"/>
      <c r="BE58" s="291"/>
      <c r="BF58" s="291"/>
      <c r="BG58" s="291"/>
      <c r="BH58" s="291"/>
      <c r="BI58" s="291"/>
      <c r="BJ58" s="291"/>
      <c r="BK58" s="291"/>
      <c r="BL58" s="291"/>
      <c r="BM58" s="291"/>
      <c r="BN58" s="291"/>
      <c r="BO58" s="291"/>
      <c r="BP58" s="291"/>
      <c r="BQ58" s="291"/>
      <c r="BR58" s="291"/>
      <c r="BS58" s="291"/>
      <c r="BT58" s="291"/>
      <c r="BU58" s="291"/>
      <c r="BV58" s="291"/>
      <c r="BW58" s="291"/>
      <c r="BX58" s="291"/>
      <c r="BY58" s="291"/>
      <c r="BZ58" s="291"/>
      <c r="CA58" s="291"/>
      <c r="CB58" s="291"/>
      <c r="CC58" s="291"/>
      <c r="CD58" s="291"/>
      <c r="CE58" s="291"/>
      <c r="CF58" s="291"/>
      <c r="CG58" s="291"/>
      <c r="CH58" s="291"/>
      <c r="CI58" s="291"/>
      <c r="CJ58" s="291"/>
      <c r="CK58" s="291"/>
      <c r="CL58" s="291"/>
      <c r="CM58" s="291"/>
      <c r="CN58" s="291"/>
      <c r="CO58" s="291"/>
      <c r="CP58" s="291"/>
      <c r="CQ58" s="291"/>
      <c r="CR58" s="291"/>
      <c r="CS58" s="291"/>
      <c r="CT58" s="291"/>
      <c r="CU58" s="291"/>
      <c r="CV58" s="291"/>
      <c r="CW58" s="291"/>
      <c r="CX58" s="291"/>
      <c r="CY58" s="291"/>
      <c r="CZ58" s="291"/>
      <c r="DA58" s="291"/>
      <c r="DB58" s="291"/>
      <c r="DC58" s="291"/>
      <c r="DD58" s="291"/>
      <c r="DE58" s="291"/>
      <c r="DF58" s="291"/>
      <c r="DG58" s="291"/>
      <c r="DH58" s="291"/>
      <c r="DI58" s="291"/>
      <c r="DJ58" s="291"/>
      <c r="DK58" s="291"/>
      <c r="DL58" s="291"/>
      <c r="DM58" s="291"/>
      <c r="DN58" s="291"/>
      <c r="DO58" s="291"/>
      <c r="DP58" s="291"/>
      <c r="DQ58" s="291"/>
      <c r="DR58" s="291"/>
      <c r="DS58" s="291"/>
      <c r="DT58" s="291"/>
      <c r="DU58" s="291"/>
      <c r="DV58" s="291"/>
      <c r="DW58" s="291"/>
      <c r="DX58" s="291"/>
      <c r="DY58" s="291"/>
      <c r="DZ58" s="291"/>
      <c r="EA58" s="291"/>
      <c r="EB58" s="291"/>
      <c r="EC58" s="291"/>
      <c r="ED58" s="291"/>
      <c r="EE58" s="291"/>
      <c r="EF58" s="291"/>
      <c r="EG58" s="291"/>
      <c r="EH58" s="291"/>
      <c r="EI58" s="291"/>
      <c r="EJ58" s="291"/>
      <c r="EK58" s="291"/>
      <c r="EL58" s="291"/>
      <c r="EM58" s="291"/>
      <c r="EN58" s="291"/>
      <c r="EO58" s="291"/>
      <c r="EP58" s="291"/>
      <c r="EQ58" s="291"/>
      <c r="ER58" s="291"/>
      <c r="ES58" s="291"/>
      <c r="ET58" s="291"/>
      <c r="EU58" s="291"/>
      <c r="EV58" s="291"/>
      <c r="EW58" s="291"/>
      <c r="EX58" s="291"/>
      <c r="EY58" s="291"/>
      <c r="EZ58" s="291"/>
      <c r="FA58" s="291"/>
      <c r="FB58" s="291"/>
      <c r="FC58" s="291"/>
      <c r="FD58" s="291"/>
      <c r="FE58" s="291"/>
      <c r="FF58" s="291"/>
      <c r="FG58" s="291"/>
      <c r="FH58" s="291"/>
      <c r="FI58" s="291"/>
      <c r="FJ58" s="291"/>
      <c r="FK58" s="291"/>
      <c r="FL58" s="291"/>
      <c r="FM58" s="291"/>
      <c r="FN58" s="291"/>
      <c r="FO58" s="291"/>
      <c r="FP58" s="291"/>
      <c r="FQ58" s="291"/>
      <c r="FR58" s="291"/>
      <c r="FS58" s="291"/>
      <c r="FT58" s="291"/>
      <c r="FU58" s="291"/>
      <c r="FV58" s="291"/>
      <c r="FW58" s="291"/>
      <c r="FX58" s="291"/>
      <c r="FY58" s="291"/>
      <c r="FZ58" s="291"/>
      <c r="GA58" s="291"/>
      <c r="GB58" s="291"/>
      <c r="GC58" s="291"/>
      <c r="GD58" s="291"/>
      <c r="GE58" s="291"/>
      <c r="GF58" s="291"/>
      <c r="GG58" s="291"/>
      <c r="GH58" s="291"/>
      <c r="GI58" s="291"/>
      <c r="GJ58" s="291"/>
      <c r="GK58" s="291"/>
      <c r="GL58" s="291"/>
      <c r="GM58" s="291"/>
      <c r="GN58" s="291"/>
      <c r="GO58" s="291"/>
      <c r="GP58" s="291"/>
      <c r="GQ58" s="291"/>
      <c r="GR58" s="291"/>
      <c r="GS58" s="291"/>
      <c r="GT58" s="291"/>
      <c r="GU58" s="291"/>
      <c r="GV58" s="291"/>
      <c r="GW58" s="291"/>
      <c r="GX58" s="291"/>
      <c r="GY58" s="291"/>
      <c r="GZ58" s="291"/>
      <c r="HA58" s="291"/>
      <c r="HB58" s="291"/>
      <c r="HC58" s="291"/>
      <c r="HD58" s="291"/>
      <c r="HE58" s="291"/>
      <c r="HF58" s="291"/>
      <c r="HG58" s="291"/>
      <c r="HH58" s="291"/>
      <c r="HI58" s="291"/>
      <c r="HJ58" s="291"/>
      <c r="HK58" s="291"/>
      <c r="HL58" s="291"/>
      <c r="HM58" s="291"/>
      <c r="HN58" s="291"/>
      <c r="HO58" s="291"/>
      <c r="HP58" s="291"/>
      <c r="HQ58" s="291"/>
      <c r="HR58" s="291"/>
      <c r="HS58" s="291"/>
      <c r="HT58" s="291"/>
      <c r="HU58" s="291"/>
      <c r="HV58" s="291"/>
      <c r="HW58" s="291"/>
      <c r="HX58" s="291"/>
      <c r="HY58" s="291"/>
      <c r="HZ58" s="291"/>
      <c r="IA58" s="291"/>
      <c r="IB58" s="291"/>
      <c r="IC58" s="291"/>
      <c r="ID58" s="291"/>
      <c r="IE58" s="291"/>
      <c r="IF58" s="291"/>
      <c r="IG58" s="291"/>
      <c r="IH58" s="291"/>
      <c r="II58" s="291"/>
      <c r="IJ58" s="291"/>
      <c r="IK58" s="291"/>
      <c r="IL58" s="291"/>
      <c r="IM58" s="291"/>
      <c r="IN58" s="291"/>
      <c r="IO58" s="291"/>
      <c r="IP58" s="291"/>
      <c r="IQ58" s="291"/>
      <c r="IR58" s="291"/>
      <c r="IS58" s="291"/>
      <c r="IT58" s="291"/>
      <c r="IU58" s="291"/>
      <c r="IV58" s="291"/>
      <c r="IW58" s="291"/>
      <c r="IX58" s="291"/>
      <c r="IY58" s="291"/>
      <c r="IZ58" s="291"/>
      <c r="JA58" s="291"/>
      <c r="JB58" s="291"/>
      <c r="JC58" s="291"/>
      <c r="JD58" s="291"/>
      <c r="JE58" s="291"/>
      <c r="JF58" s="291"/>
      <c r="JG58" s="291"/>
      <c r="JH58" s="291"/>
      <c r="JI58" s="291"/>
      <c r="JJ58" s="291"/>
      <c r="JK58" s="291"/>
      <c r="JL58" s="291"/>
      <c r="JM58" s="291"/>
      <c r="JN58" s="291"/>
      <c r="JO58" s="291"/>
      <c r="JP58" s="291"/>
      <c r="JQ58" s="291"/>
      <c r="JR58" s="291"/>
      <c r="JS58" s="291"/>
      <c r="JT58" s="291"/>
      <c r="JU58" s="291"/>
      <c r="JV58" s="291"/>
      <c r="JW58" s="291"/>
      <c r="JX58" s="291"/>
      <c r="JY58" s="291"/>
      <c r="JZ58" s="291"/>
      <c r="KA58" s="291"/>
      <c r="KB58" s="291"/>
      <c r="KC58" s="291"/>
      <c r="KD58" s="291"/>
      <c r="KE58" s="291"/>
      <c r="KF58" s="291"/>
      <c r="KG58" s="291"/>
      <c r="KH58" s="291"/>
      <c r="KI58" s="291"/>
      <c r="KJ58" s="291"/>
      <c r="KK58" s="291"/>
      <c r="KL58" s="291"/>
      <c r="KM58" s="291"/>
      <c r="KN58" s="291"/>
      <c r="KO58" s="291"/>
      <c r="KP58" s="291"/>
      <c r="KQ58" s="291"/>
      <c r="KR58" s="291"/>
      <c r="KS58" s="291"/>
      <c r="KT58" s="291"/>
      <c r="KU58" s="291"/>
      <c r="KV58" s="291"/>
      <c r="KW58" s="291"/>
      <c r="KX58" s="291"/>
      <c r="KY58" s="291"/>
      <c r="KZ58" s="291"/>
      <c r="LA58" s="291"/>
      <c r="LB58" s="291"/>
      <c r="LC58" s="291"/>
      <c r="LD58" s="291"/>
      <c r="LE58" s="291"/>
      <c r="LF58" s="291"/>
      <c r="LG58" s="291"/>
      <c r="LH58" s="291"/>
      <c r="LI58" s="291"/>
      <c r="LJ58" s="291"/>
      <c r="LK58" s="291"/>
      <c r="LL58" s="291"/>
      <c r="LM58" s="291"/>
      <c r="LN58" s="291"/>
      <c r="LO58" s="291"/>
      <c r="LP58" s="291"/>
      <c r="LQ58" s="291"/>
      <c r="LR58" s="291"/>
      <c r="LS58" s="291"/>
      <c r="LT58" s="291"/>
      <c r="LU58" s="291"/>
      <c r="LV58" s="291"/>
      <c r="LW58" s="291"/>
      <c r="LX58" s="291"/>
      <c r="LY58" s="291"/>
      <c r="LZ58" s="291"/>
      <c r="MA58" s="291"/>
      <c r="MB58" s="291"/>
      <c r="MC58" s="291"/>
      <c r="MD58" s="291"/>
      <c r="ME58" s="291"/>
      <c r="MF58" s="291"/>
      <c r="MG58" s="291"/>
      <c r="MH58" s="291"/>
      <c r="MI58" s="291"/>
      <c r="MJ58" s="291"/>
      <c r="MK58" s="291"/>
      <c r="ML58" s="291"/>
      <c r="MM58" s="291"/>
      <c r="MN58" s="291"/>
      <c r="MO58" s="291"/>
      <c r="MP58" s="291"/>
      <c r="MQ58" s="291"/>
      <c r="MR58" s="291"/>
      <c r="MS58" s="291"/>
      <c r="MT58" s="291"/>
      <c r="MU58" s="291"/>
      <c r="MV58" s="291"/>
      <c r="MW58" s="291"/>
      <c r="MX58" s="291"/>
      <c r="MY58" s="291"/>
      <c r="MZ58" s="291"/>
      <c r="NA58" s="291"/>
      <c r="NB58" s="291"/>
      <c r="NC58" s="291"/>
      <c r="ND58" s="291"/>
      <c r="NE58" s="291"/>
      <c r="NF58" s="291"/>
      <c r="NG58" s="291"/>
      <c r="NH58" s="291"/>
      <c r="NI58" s="291"/>
      <c r="NJ58" s="291"/>
      <c r="NK58" s="291"/>
      <c r="NL58" s="291"/>
      <c r="NM58" s="291"/>
      <c r="NN58" s="291"/>
      <c r="NO58" s="291"/>
      <c r="NP58" s="291"/>
      <c r="NQ58" s="291"/>
      <c r="NR58" s="291"/>
      <c r="NS58" s="291"/>
      <c r="NT58" s="291"/>
      <c r="NU58" s="291"/>
      <c r="NV58" s="291"/>
      <c r="NW58" s="291"/>
      <c r="NX58" s="291"/>
      <c r="NY58" s="291"/>
      <c r="NZ58" s="291"/>
      <c r="OA58" s="291"/>
      <c r="OB58" s="291"/>
      <c r="OC58" s="291"/>
      <c r="OD58" s="291"/>
      <c r="OE58" s="291"/>
      <c r="OF58" s="291"/>
      <c r="OG58" s="291"/>
      <c r="OH58" s="291"/>
      <c r="OI58" s="291"/>
      <c r="OJ58" s="291"/>
      <c r="OK58" s="291"/>
      <c r="OL58" s="291"/>
      <c r="OM58" s="291"/>
      <c r="ON58" s="291"/>
      <c r="OO58" s="291"/>
      <c r="OP58" s="291"/>
      <c r="OQ58" s="291"/>
      <c r="OR58" s="291"/>
      <c r="OS58" s="291"/>
      <c r="OT58" s="291"/>
      <c r="OU58" s="291"/>
      <c r="OV58" s="291"/>
      <c r="OW58" s="291"/>
    </row>
    <row r="59" spans="1:413" s="257" customFormat="1" hidden="1" x14ac:dyDescent="0.2">
      <c r="A59" s="291"/>
      <c r="B59" s="524">
        <f t="shared" si="3"/>
        <v>44</v>
      </c>
      <c r="C59" s="510" t="s">
        <v>38</v>
      </c>
      <c r="D59" s="511">
        <v>30080997</v>
      </c>
      <c r="E59" s="511"/>
      <c r="F59" s="512" t="s">
        <v>1175</v>
      </c>
      <c r="G59" s="513" t="s">
        <v>45</v>
      </c>
      <c r="H59" s="514" t="s">
        <v>1094</v>
      </c>
      <c r="I59" s="515" t="s">
        <v>1176</v>
      </c>
      <c r="J59" s="346" t="s">
        <v>42</v>
      </c>
      <c r="K59" s="526">
        <v>1097787</v>
      </c>
      <c r="L59" s="527">
        <v>1092453</v>
      </c>
      <c r="M59" s="528">
        <v>0</v>
      </c>
      <c r="N59" s="520">
        <v>0</v>
      </c>
      <c r="O59" s="520">
        <v>0</v>
      </c>
      <c r="P59" s="520">
        <v>0</v>
      </c>
      <c r="Q59" s="520">
        <v>0</v>
      </c>
      <c r="R59" s="520">
        <v>0</v>
      </c>
      <c r="S59" s="520">
        <v>0</v>
      </c>
      <c r="T59" s="18"/>
      <c r="U59" s="18"/>
      <c r="V59" s="18"/>
      <c r="W59" s="18"/>
      <c r="X59" s="18"/>
      <c r="Y59" s="18"/>
      <c r="Z59" s="18">
        <f t="shared" si="0"/>
        <v>0</v>
      </c>
      <c r="AA59" s="309">
        <v>5334</v>
      </c>
      <c r="AB59" s="19">
        <v>9</v>
      </c>
      <c r="AC59" s="521">
        <v>44232</v>
      </c>
      <c r="AD59" s="25">
        <v>44251</v>
      </c>
      <c r="AE59" s="309"/>
      <c r="AF59" s="20"/>
      <c r="AG59" s="23"/>
      <c r="AH59" s="25"/>
      <c r="AI59" s="309"/>
      <c r="AJ59" s="19"/>
      <c r="AK59" s="23"/>
      <c r="AL59" s="25"/>
      <c r="AM59" s="309"/>
      <c r="AN59" s="19"/>
      <c r="AO59" s="21"/>
      <c r="AP59" s="25"/>
      <c r="AQ59" s="309"/>
      <c r="AR59" s="19"/>
      <c r="AS59" s="21"/>
      <c r="AT59" s="25"/>
      <c r="AU59" s="522">
        <f t="shared" si="1"/>
        <v>5334</v>
      </c>
      <c r="AV59" s="311">
        <f t="shared" si="2"/>
        <v>5334</v>
      </c>
      <c r="AW59" s="305"/>
      <c r="AX59" s="291"/>
      <c r="AY59" s="291"/>
      <c r="AZ59" s="291"/>
      <c r="BA59" s="291"/>
      <c r="BB59" s="291"/>
      <c r="BC59" s="291"/>
      <c r="BD59" s="291"/>
      <c r="BE59" s="291"/>
      <c r="BF59" s="291"/>
      <c r="BG59" s="291"/>
      <c r="BH59" s="291"/>
      <c r="BI59" s="291"/>
      <c r="BJ59" s="291"/>
      <c r="BK59" s="291"/>
      <c r="BL59" s="291"/>
      <c r="BM59" s="291"/>
      <c r="BN59" s="291"/>
      <c r="BO59" s="291"/>
      <c r="BP59" s="291"/>
      <c r="BQ59" s="291"/>
      <c r="BR59" s="291"/>
      <c r="BS59" s="291"/>
      <c r="BT59" s="291"/>
      <c r="BU59" s="291"/>
      <c r="BV59" s="291"/>
      <c r="BW59" s="291"/>
      <c r="BX59" s="291"/>
      <c r="BY59" s="291"/>
      <c r="BZ59" s="291"/>
      <c r="CA59" s="291"/>
      <c r="CB59" s="291"/>
      <c r="CC59" s="291"/>
      <c r="CD59" s="291"/>
      <c r="CE59" s="291"/>
      <c r="CF59" s="291"/>
      <c r="CG59" s="291"/>
      <c r="CH59" s="291"/>
      <c r="CI59" s="291"/>
      <c r="CJ59" s="291"/>
      <c r="CK59" s="291"/>
      <c r="CL59" s="291"/>
      <c r="CM59" s="291"/>
      <c r="CN59" s="291"/>
      <c r="CO59" s="291"/>
      <c r="CP59" s="291"/>
      <c r="CQ59" s="291"/>
      <c r="CR59" s="291"/>
      <c r="CS59" s="291"/>
      <c r="CT59" s="291"/>
      <c r="CU59" s="291"/>
      <c r="CV59" s="291"/>
      <c r="CW59" s="291"/>
      <c r="CX59" s="291"/>
      <c r="CY59" s="291"/>
      <c r="CZ59" s="291"/>
      <c r="DA59" s="291"/>
      <c r="DB59" s="291"/>
      <c r="DC59" s="291"/>
      <c r="DD59" s="291"/>
      <c r="DE59" s="291"/>
      <c r="DF59" s="291"/>
      <c r="DG59" s="291"/>
      <c r="DH59" s="291"/>
      <c r="DI59" s="291"/>
      <c r="DJ59" s="291"/>
      <c r="DK59" s="291"/>
      <c r="DL59" s="291"/>
      <c r="DM59" s="291"/>
      <c r="DN59" s="291"/>
      <c r="DO59" s="291"/>
      <c r="DP59" s="291"/>
      <c r="DQ59" s="291"/>
      <c r="DR59" s="291"/>
      <c r="DS59" s="291"/>
      <c r="DT59" s="291"/>
      <c r="DU59" s="291"/>
      <c r="DV59" s="291"/>
      <c r="DW59" s="291"/>
      <c r="DX59" s="291"/>
      <c r="DY59" s="291"/>
      <c r="DZ59" s="291"/>
      <c r="EA59" s="291"/>
      <c r="EB59" s="291"/>
      <c r="EC59" s="291"/>
      <c r="ED59" s="291"/>
      <c r="EE59" s="291"/>
      <c r="EF59" s="291"/>
      <c r="EG59" s="291"/>
      <c r="EH59" s="291"/>
      <c r="EI59" s="291"/>
      <c r="EJ59" s="291"/>
      <c r="EK59" s="291"/>
      <c r="EL59" s="291"/>
      <c r="EM59" s="291"/>
      <c r="EN59" s="291"/>
      <c r="EO59" s="291"/>
      <c r="EP59" s="291"/>
      <c r="EQ59" s="291"/>
      <c r="ER59" s="291"/>
      <c r="ES59" s="291"/>
      <c r="ET59" s="291"/>
      <c r="EU59" s="291"/>
      <c r="EV59" s="291"/>
      <c r="EW59" s="291"/>
      <c r="EX59" s="291"/>
      <c r="EY59" s="291"/>
      <c r="EZ59" s="291"/>
      <c r="FA59" s="291"/>
      <c r="FB59" s="291"/>
      <c r="FC59" s="291"/>
      <c r="FD59" s="291"/>
      <c r="FE59" s="291"/>
      <c r="FF59" s="291"/>
      <c r="FG59" s="291"/>
      <c r="FH59" s="291"/>
      <c r="FI59" s="291"/>
      <c r="FJ59" s="291"/>
      <c r="FK59" s="291"/>
      <c r="FL59" s="291"/>
      <c r="FM59" s="291"/>
      <c r="FN59" s="291"/>
      <c r="FO59" s="291"/>
      <c r="FP59" s="291"/>
      <c r="FQ59" s="291"/>
      <c r="FR59" s="291"/>
      <c r="FS59" s="291"/>
      <c r="FT59" s="291"/>
      <c r="FU59" s="291"/>
      <c r="FV59" s="291"/>
      <c r="FW59" s="291"/>
      <c r="FX59" s="291"/>
      <c r="FY59" s="291"/>
      <c r="FZ59" s="291"/>
      <c r="GA59" s="291"/>
      <c r="GB59" s="291"/>
      <c r="GC59" s="291"/>
      <c r="GD59" s="291"/>
      <c r="GE59" s="291"/>
      <c r="GF59" s="291"/>
      <c r="GG59" s="291"/>
      <c r="GH59" s="291"/>
      <c r="GI59" s="291"/>
      <c r="GJ59" s="291"/>
      <c r="GK59" s="291"/>
      <c r="GL59" s="291"/>
      <c r="GM59" s="291"/>
      <c r="GN59" s="291"/>
      <c r="GO59" s="291"/>
      <c r="GP59" s="291"/>
      <c r="GQ59" s="291"/>
      <c r="GR59" s="291"/>
      <c r="GS59" s="291"/>
      <c r="GT59" s="291"/>
      <c r="GU59" s="291"/>
      <c r="GV59" s="291"/>
      <c r="GW59" s="291"/>
      <c r="GX59" s="291"/>
      <c r="GY59" s="291"/>
      <c r="GZ59" s="291"/>
      <c r="HA59" s="291"/>
      <c r="HB59" s="291"/>
      <c r="HC59" s="291"/>
      <c r="HD59" s="291"/>
      <c r="HE59" s="291"/>
      <c r="HF59" s="291"/>
      <c r="HG59" s="291"/>
      <c r="HH59" s="291"/>
      <c r="HI59" s="291"/>
      <c r="HJ59" s="291"/>
      <c r="HK59" s="291"/>
      <c r="HL59" s="291"/>
      <c r="HM59" s="291"/>
      <c r="HN59" s="291"/>
      <c r="HO59" s="291"/>
      <c r="HP59" s="291"/>
      <c r="HQ59" s="291"/>
      <c r="HR59" s="291"/>
      <c r="HS59" s="291"/>
      <c r="HT59" s="291"/>
      <c r="HU59" s="291"/>
      <c r="HV59" s="291"/>
      <c r="HW59" s="291"/>
      <c r="HX59" s="291"/>
      <c r="HY59" s="291"/>
      <c r="HZ59" s="291"/>
      <c r="IA59" s="291"/>
      <c r="IB59" s="291"/>
      <c r="IC59" s="291"/>
      <c r="ID59" s="291"/>
      <c r="IE59" s="291"/>
      <c r="IF59" s="291"/>
      <c r="IG59" s="291"/>
      <c r="IH59" s="291"/>
      <c r="II59" s="291"/>
      <c r="IJ59" s="291"/>
      <c r="IK59" s="291"/>
      <c r="IL59" s="291"/>
      <c r="IM59" s="291"/>
      <c r="IN59" s="291"/>
      <c r="IO59" s="291"/>
      <c r="IP59" s="291"/>
      <c r="IQ59" s="291"/>
      <c r="IR59" s="291"/>
      <c r="IS59" s="291"/>
      <c r="IT59" s="291"/>
      <c r="IU59" s="291"/>
      <c r="IV59" s="291"/>
      <c r="IW59" s="291"/>
      <c r="IX59" s="291"/>
      <c r="IY59" s="291"/>
      <c r="IZ59" s="291"/>
      <c r="JA59" s="291"/>
      <c r="JB59" s="291"/>
      <c r="JC59" s="291"/>
      <c r="JD59" s="291"/>
      <c r="JE59" s="291"/>
      <c r="JF59" s="291"/>
      <c r="JG59" s="291"/>
      <c r="JH59" s="291"/>
      <c r="JI59" s="291"/>
      <c r="JJ59" s="291"/>
      <c r="JK59" s="291"/>
      <c r="JL59" s="291"/>
      <c r="JM59" s="291"/>
      <c r="JN59" s="291"/>
      <c r="JO59" s="291"/>
      <c r="JP59" s="291"/>
      <c r="JQ59" s="291"/>
      <c r="JR59" s="291"/>
      <c r="JS59" s="291"/>
      <c r="JT59" s="291"/>
      <c r="JU59" s="291"/>
      <c r="JV59" s="291"/>
      <c r="JW59" s="291"/>
      <c r="JX59" s="291"/>
      <c r="JY59" s="291"/>
      <c r="JZ59" s="291"/>
      <c r="KA59" s="291"/>
      <c r="KB59" s="291"/>
      <c r="KC59" s="291"/>
      <c r="KD59" s="291"/>
      <c r="KE59" s="291"/>
      <c r="KF59" s="291"/>
      <c r="KG59" s="291"/>
      <c r="KH59" s="291"/>
      <c r="KI59" s="291"/>
      <c r="KJ59" s="291"/>
      <c r="KK59" s="291"/>
      <c r="KL59" s="291"/>
      <c r="KM59" s="291"/>
      <c r="KN59" s="291"/>
      <c r="KO59" s="291"/>
      <c r="KP59" s="291"/>
      <c r="KQ59" s="291"/>
      <c r="KR59" s="291"/>
      <c r="KS59" s="291"/>
      <c r="KT59" s="291"/>
      <c r="KU59" s="291"/>
      <c r="KV59" s="291"/>
      <c r="KW59" s="291"/>
      <c r="KX59" s="291"/>
      <c r="KY59" s="291"/>
      <c r="KZ59" s="291"/>
      <c r="LA59" s="291"/>
      <c r="LB59" s="291"/>
      <c r="LC59" s="291"/>
      <c r="LD59" s="291"/>
      <c r="LE59" s="291"/>
      <c r="LF59" s="291"/>
      <c r="LG59" s="291"/>
      <c r="LH59" s="291"/>
      <c r="LI59" s="291"/>
      <c r="LJ59" s="291"/>
      <c r="LK59" s="291"/>
      <c r="LL59" s="291"/>
      <c r="LM59" s="291"/>
      <c r="LN59" s="291"/>
      <c r="LO59" s="291"/>
      <c r="LP59" s="291"/>
      <c r="LQ59" s="291"/>
      <c r="LR59" s="291"/>
      <c r="LS59" s="291"/>
      <c r="LT59" s="291"/>
      <c r="LU59" s="291"/>
      <c r="LV59" s="291"/>
      <c r="LW59" s="291"/>
      <c r="LX59" s="291"/>
      <c r="LY59" s="291"/>
      <c r="LZ59" s="291"/>
      <c r="MA59" s="291"/>
      <c r="MB59" s="291"/>
      <c r="MC59" s="291"/>
      <c r="MD59" s="291"/>
      <c r="ME59" s="291"/>
      <c r="MF59" s="291"/>
      <c r="MG59" s="291"/>
      <c r="MH59" s="291"/>
      <c r="MI59" s="291"/>
      <c r="MJ59" s="291"/>
      <c r="MK59" s="291"/>
      <c r="ML59" s="291"/>
      <c r="MM59" s="291"/>
      <c r="MN59" s="291"/>
      <c r="MO59" s="291"/>
      <c r="MP59" s="291"/>
      <c r="MQ59" s="291"/>
      <c r="MR59" s="291"/>
      <c r="MS59" s="291"/>
      <c r="MT59" s="291"/>
      <c r="MU59" s="291"/>
      <c r="MV59" s="291"/>
      <c r="MW59" s="291"/>
      <c r="MX59" s="291"/>
      <c r="MY59" s="291"/>
      <c r="MZ59" s="291"/>
      <c r="NA59" s="291"/>
      <c r="NB59" s="291"/>
      <c r="NC59" s="291"/>
      <c r="ND59" s="291"/>
      <c r="NE59" s="291"/>
      <c r="NF59" s="291"/>
      <c r="NG59" s="291"/>
      <c r="NH59" s="291"/>
      <c r="NI59" s="291"/>
      <c r="NJ59" s="291"/>
      <c r="NK59" s="291"/>
      <c r="NL59" s="291"/>
      <c r="NM59" s="291"/>
      <c r="NN59" s="291"/>
      <c r="NO59" s="291"/>
      <c r="NP59" s="291"/>
      <c r="NQ59" s="291"/>
      <c r="NR59" s="291"/>
      <c r="NS59" s="291"/>
      <c r="NT59" s="291"/>
      <c r="NU59" s="291"/>
      <c r="NV59" s="291"/>
      <c r="NW59" s="291"/>
      <c r="NX59" s="291"/>
      <c r="NY59" s="291"/>
      <c r="NZ59" s="291"/>
      <c r="OA59" s="291"/>
      <c r="OB59" s="291"/>
      <c r="OC59" s="291"/>
      <c r="OD59" s="291"/>
      <c r="OE59" s="291"/>
      <c r="OF59" s="291"/>
      <c r="OG59" s="291"/>
      <c r="OH59" s="291"/>
      <c r="OI59" s="291"/>
      <c r="OJ59" s="291"/>
      <c r="OK59" s="291"/>
      <c r="OL59" s="291"/>
      <c r="OM59" s="291"/>
      <c r="ON59" s="291"/>
      <c r="OO59" s="291"/>
      <c r="OP59" s="291"/>
      <c r="OQ59" s="291"/>
      <c r="OR59" s="291"/>
      <c r="OS59" s="291"/>
      <c r="OT59" s="291"/>
      <c r="OU59" s="291"/>
      <c r="OV59" s="291"/>
      <c r="OW59" s="291"/>
    </row>
    <row r="60" spans="1:413" s="257" customFormat="1" hidden="1" x14ac:dyDescent="0.2">
      <c r="A60" s="291"/>
      <c r="B60" s="524">
        <f t="shared" si="3"/>
        <v>45</v>
      </c>
      <c r="C60" s="510" t="s">
        <v>38</v>
      </c>
      <c r="D60" s="511">
        <v>30081030</v>
      </c>
      <c r="E60" s="511"/>
      <c r="F60" s="512" t="s">
        <v>1177</v>
      </c>
      <c r="G60" s="513" t="s">
        <v>45</v>
      </c>
      <c r="H60" s="514" t="s">
        <v>1094</v>
      </c>
      <c r="I60" s="515" t="s">
        <v>1178</v>
      </c>
      <c r="J60" s="346" t="s">
        <v>42</v>
      </c>
      <c r="K60" s="526">
        <v>5848986</v>
      </c>
      <c r="L60" s="527">
        <v>5617006</v>
      </c>
      <c r="M60" s="528">
        <v>3</v>
      </c>
      <c r="N60" s="520">
        <v>0</v>
      </c>
      <c r="O60" s="520">
        <v>91460</v>
      </c>
      <c r="P60" s="520">
        <v>1750</v>
      </c>
      <c r="Q60" s="520">
        <v>408</v>
      </c>
      <c r="R60" s="520">
        <v>0</v>
      </c>
      <c r="S60" s="520">
        <v>0</v>
      </c>
      <c r="T60" s="18"/>
      <c r="U60" s="18"/>
      <c r="V60" s="18"/>
      <c r="W60" s="18"/>
      <c r="X60" s="18"/>
      <c r="Y60" s="18"/>
      <c r="Z60" s="18">
        <f t="shared" si="0"/>
        <v>93618</v>
      </c>
      <c r="AA60" s="309">
        <v>219142</v>
      </c>
      <c r="AB60" s="19">
        <v>11</v>
      </c>
      <c r="AC60" s="521">
        <v>44237</v>
      </c>
      <c r="AD60" s="25">
        <v>44251</v>
      </c>
      <c r="AE60" s="309"/>
      <c r="AF60" s="20"/>
      <c r="AG60" s="23"/>
      <c r="AH60" s="25"/>
      <c r="AI60" s="309"/>
      <c r="AJ60" s="19"/>
      <c r="AK60" s="23"/>
      <c r="AL60" s="25"/>
      <c r="AM60" s="309"/>
      <c r="AN60" s="19"/>
      <c r="AO60" s="21"/>
      <c r="AP60" s="25"/>
      <c r="AQ60" s="309"/>
      <c r="AR60" s="19"/>
      <c r="AS60" s="21"/>
      <c r="AT60" s="25"/>
      <c r="AU60" s="522">
        <f t="shared" si="1"/>
        <v>219142</v>
      </c>
      <c r="AV60" s="311">
        <f t="shared" si="2"/>
        <v>125524</v>
      </c>
      <c r="AW60" s="305"/>
      <c r="AX60" s="291"/>
      <c r="AY60" s="291"/>
      <c r="AZ60" s="291"/>
      <c r="BA60" s="291"/>
      <c r="BB60" s="291"/>
      <c r="BC60" s="291"/>
      <c r="BD60" s="291"/>
      <c r="BE60" s="291"/>
      <c r="BF60" s="291"/>
      <c r="BG60" s="291"/>
      <c r="BH60" s="291"/>
      <c r="BI60" s="291"/>
      <c r="BJ60" s="291"/>
      <c r="BK60" s="291"/>
      <c r="BL60" s="291"/>
      <c r="BM60" s="291"/>
      <c r="BN60" s="291"/>
      <c r="BO60" s="291"/>
      <c r="BP60" s="291"/>
      <c r="BQ60" s="291"/>
      <c r="BR60" s="291"/>
      <c r="BS60" s="291"/>
      <c r="BT60" s="291"/>
      <c r="BU60" s="291"/>
      <c r="BV60" s="291"/>
      <c r="BW60" s="291"/>
      <c r="BX60" s="291"/>
      <c r="BY60" s="291"/>
      <c r="BZ60" s="291"/>
      <c r="CA60" s="291"/>
      <c r="CB60" s="291"/>
      <c r="CC60" s="291"/>
      <c r="CD60" s="291"/>
      <c r="CE60" s="291"/>
      <c r="CF60" s="291"/>
      <c r="CG60" s="291"/>
      <c r="CH60" s="291"/>
      <c r="CI60" s="291"/>
      <c r="CJ60" s="291"/>
      <c r="CK60" s="291"/>
      <c r="CL60" s="291"/>
      <c r="CM60" s="291"/>
      <c r="CN60" s="291"/>
      <c r="CO60" s="291"/>
      <c r="CP60" s="291"/>
      <c r="CQ60" s="291"/>
      <c r="CR60" s="291"/>
      <c r="CS60" s="291"/>
      <c r="CT60" s="291"/>
      <c r="CU60" s="291"/>
      <c r="CV60" s="291"/>
      <c r="CW60" s="291"/>
      <c r="CX60" s="291"/>
      <c r="CY60" s="291"/>
      <c r="CZ60" s="291"/>
      <c r="DA60" s="291"/>
      <c r="DB60" s="291"/>
      <c r="DC60" s="291"/>
      <c r="DD60" s="291"/>
      <c r="DE60" s="291"/>
      <c r="DF60" s="291"/>
      <c r="DG60" s="291"/>
      <c r="DH60" s="291"/>
      <c r="DI60" s="291"/>
      <c r="DJ60" s="291"/>
      <c r="DK60" s="291"/>
      <c r="DL60" s="291"/>
      <c r="DM60" s="291"/>
      <c r="DN60" s="291"/>
      <c r="DO60" s="291"/>
      <c r="DP60" s="291"/>
      <c r="DQ60" s="291"/>
      <c r="DR60" s="291"/>
      <c r="DS60" s="291"/>
      <c r="DT60" s="291"/>
      <c r="DU60" s="291"/>
      <c r="DV60" s="291"/>
      <c r="DW60" s="291"/>
      <c r="DX60" s="291"/>
      <c r="DY60" s="291"/>
      <c r="DZ60" s="291"/>
      <c r="EA60" s="291"/>
      <c r="EB60" s="291"/>
      <c r="EC60" s="291"/>
      <c r="ED60" s="291"/>
      <c r="EE60" s="291"/>
      <c r="EF60" s="291"/>
      <c r="EG60" s="291"/>
      <c r="EH60" s="291"/>
      <c r="EI60" s="291"/>
      <c r="EJ60" s="291"/>
      <c r="EK60" s="291"/>
      <c r="EL60" s="291"/>
      <c r="EM60" s="291"/>
      <c r="EN60" s="291"/>
      <c r="EO60" s="291"/>
      <c r="EP60" s="291"/>
      <c r="EQ60" s="291"/>
      <c r="ER60" s="291"/>
      <c r="ES60" s="291"/>
      <c r="ET60" s="291"/>
      <c r="EU60" s="291"/>
      <c r="EV60" s="291"/>
      <c r="EW60" s="291"/>
      <c r="EX60" s="291"/>
      <c r="EY60" s="291"/>
      <c r="EZ60" s="291"/>
      <c r="FA60" s="291"/>
      <c r="FB60" s="291"/>
      <c r="FC60" s="291"/>
      <c r="FD60" s="291"/>
      <c r="FE60" s="291"/>
      <c r="FF60" s="291"/>
      <c r="FG60" s="291"/>
      <c r="FH60" s="291"/>
      <c r="FI60" s="291"/>
      <c r="FJ60" s="291"/>
      <c r="FK60" s="291"/>
      <c r="FL60" s="291"/>
      <c r="FM60" s="291"/>
      <c r="FN60" s="291"/>
      <c r="FO60" s="291"/>
      <c r="FP60" s="291"/>
      <c r="FQ60" s="291"/>
      <c r="FR60" s="291"/>
      <c r="FS60" s="291"/>
      <c r="FT60" s="291"/>
      <c r="FU60" s="291"/>
      <c r="FV60" s="291"/>
      <c r="FW60" s="291"/>
      <c r="FX60" s="291"/>
      <c r="FY60" s="291"/>
      <c r="FZ60" s="291"/>
      <c r="GA60" s="291"/>
      <c r="GB60" s="291"/>
      <c r="GC60" s="291"/>
      <c r="GD60" s="291"/>
      <c r="GE60" s="291"/>
      <c r="GF60" s="291"/>
      <c r="GG60" s="291"/>
      <c r="GH60" s="291"/>
      <c r="GI60" s="291"/>
      <c r="GJ60" s="291"/>
      <c r="GK60" s="291"/>
      <c r="GL60" s="291"/>
      <c r="GM60" s="291"/>
      <c r="GN60" s="291"/>
      <c r="GO60" s="291"/>
      <c r="GP60" s="291"/>
      <c r="GQ60" s="291"/>
      <c r="GR60" s="291"/>
      <c r="GS60" s="291"/>
      <c r="GT60" s="291"/>
      <c r="GU60" s="291"/>
      <c r="GV60" s="291"/>
      <c r="GW60" s="291"/>
      <c r="GX60" s="291"/>
      <c r="GY60" s="291"/>
      <c r="GZ60" s="291"/>
      <c r="HA60" s="291"/>
      <c r="HB60" s="291"/>
      <c r="HC60" s="291"/>
      <c r="HD60" s="291"/>
      <c r="HE60" s="291"/>
      <c r="HF60" s="291"/>
      <c r="HG60" s="291"/>
      <c r="HH60" s="291"/>
      <c r="HI60" s="291"/>
      <c r="HJ60" s="291"/>
      <c r="HK60" s="291"/>
      <c r="HL60" s="291"/>
      <c r="HM60" s="291"/>
      <c r="HN60" s="291"/>
      <c r="HO60" s="291"/>
      <c r="HP60" s="291"/>
      <c r="HQ60" s="291"/>
      <c r="HR60" s="291"/>
      <c r="HS60" s="291"/>
      <c r="HT60" s="291"/>
      <c r="HU60" s="291"/>
      <c r="HV60" s="291"/>
      <c r="HW60" s="291"/>
      <c r="HX60" s="291"/>
      <c r="HY60" s="291"/>
      <c r="HZ60" s="291"/>
      <c r="IA60" s="291"/>
      <c r="IB60" s="291"/>
      <c r="IC60" s="291"/>
      <c r="ID60" s="291"/>
      <c r="IE60" s="291"/>
      <c r="IF60" s="291"/>
      <c r="IG60" s="291"/>
      <c r="IH60" s="291"/>
      <c r="II60" s="291"/>
      <c r="IJ60" s="291"/>
      <c r="IK60" s="291"/>
      <c r="IL60" s="291"/>
      <c r="IM60" s="291"/>
      <c r="IN60" s="291"/>
      <c r="IO60" s="291"/>
      <c r="IP60" s="291"/>
      <c r="IQ60" s="291"/>
      <c r="IR60" s="291"/>
      <c r="IS60" s="291"/>
      <c r="IT60" s="291"/>
      <c r="IU60" s="291"/>
      <c r="IV60" s="291"/>
      <c r="IW60" s="291"/>
      <c r="IX60" s="291"/>
      <c r="IY60" s="291"/>
      <c r="IZ60" s="291"/>
      <c r="JA60" s="291"/>
      <c r="JB60" s="291"/>
      <c r="JC60" s="291"/>
      <c r="JD60" s="291"/>
      <c r="JE60" s="291"/>
      <c r="JF60" s="291"/>
      <c r="JG60" s="291"/>
      <c r="JH60" s="291"/>
      <c r="JI60" s="291"/>
      <c r="JJ60" s="291"/>
      <c r="JK60" s="291"/>
      <c r="JL60" s="291"/>
      <c r="JM60" s="291"/>
      <c r="JN60" s="291"/>
      <c r="JO60" s="291"/>
      <c r="JP60" s="291"/>
      <c r="JQ60" s="291"/>
      <c r="JR60" s="291"/>
      <c r="JS60" s="291"/>
      <c r="JT60" s="291"/>
      <c r="JU60" s="291"/>
      <c r="JV60" s="291"/>
      <c r="JW60" s="291"/>
      <c r="JX60" s="291"/>
      <c r="JY60" s="291"/>
      <c r="JZ60" s="291"/>
      <c r="KA60" s="291"/>
      <c r="KB60" s="291"/>
      <c r="KC60" s="291"/>
      <c r="KD60" s="291"/>
      <c r="KE60" s="291"/>
      <c r="KF60" s="291"/>
      <c r="KG60" s="291"/>
      <c r="KH60" s="291"/>
      <c r="KI60" s="291"/>
      <c r="KJ60" s="291"/>
      <c r="KK60" s="291"/>
      <c r="KL60" s="291"/>
      <c r="KM60" s="291"/>
      <c r="KN60" s="291"/>
      <c r="KO60" s="291"/>
      <c r="KP60" s="291"/>
      <c r="KQ60" s="291"/>
      <c r="KR60" s="291"/>
      <c r="KS60" s="291"/>
      <c r="KT60" s="291"/>
      <c r="KU60" s="291"/>
      <c r="KV60" s="291"/>
      <c r="KW60" s="291"/>
      <c r="KX60" s="291"/>
      <c r="KY60" s="291"/>
      <c r="KZ60" s="291"/>
      <c r="LA60" s="291"/>
      <c r="LB60" s="291"/>
      <c r="LC60" s="291"/>
      <c r="LD60" s="291"/>
      <c r="LE60" s="291"/>
      <c r="LF60" s="291"/>
      <c r="LG60" s="291"/>
      <c r="LH60" s="291"/>
      <c r="LI60" s="291"/>
      <c r="LJ60" s="291"/>
      <c r="LK60" s="291"/>
      <c r="LL60" s="291"/>
      <c r="LM60" s="291"/>
      <c r="LN60" s="291"/>
      <c r="LO60" s="291"/>
      <c r="LP60" s="291"/>
      <c r="LQ60" s="291"/>
      <c r="LR60" s="291"/>
      <c r="LS60" s="291"/>
      <c r="LT60" s="291"/>
      <c r="LU60" s="291"/>
      <c r="LV60" s="291"/>
      <c r="LW60" s="291"/>
      <c r="LX60" s="291"/>
      <c r="LY60" s="291"/>
      <c r="LZ60" s="291"/>
      <c r="MA60" s="291"/>
      <c r="MB60" s="291"/>
      <c r="MC60" s="291"/>
      <c r="MD60" s="291"/>
      <c r="ME60" s="291"/>
      <c r="MF60" s="291"/>
      <c r="MG60" s="291"/>
      <c r="MH60" s="291"/>
      <c r="MI60" s="291"/>
      <c r="MJ60" s="291"/>
      <c r="MK60" s="291"/>
      <c r="ML60" s="291"/>
      <c r="MM60" s="291"/>
      <c r="MN60" s="291"/>
      <c r="MO60" s="291"/>
      <c r="MP60" s="291"/>
      <c r="MQ60" s="291"/>
      <c r="MR60" s="291"/>
      <c r="MS60" s="291"/>
      <c r="MT60" s="291"/>
      <c r="MU60" s="291"/>
      <c r="MV60" s="291"/>
      <c r="MW60" s="291"/>
      <c r="MX60" s="291"/>
      <c r="MY60" s="291"/>
      <c r="MZ60" s="291"/>
      <c r="NA60" s="291"/>
      <c r="NB60" s="291"/>
      <c r="NC60" s="291"/>
      <c r="ND60" s="291"/>
      <c r="NE60" s="291"/>
      <c r="NF60" s="291"/>
      <c r="NG60" s="291"/>
      <c r="NH60" s="291"/>
      <c r="NI60" s="291"/>
      <c r="NJ60" s="291"/>
      <c r="NK60" s="291"/>
      <c r="NL60" s="291"/>
      <c r="NM60" s="291"/>
      <c r="NN60" s="291"/>
      <c r="NO60" s="291"/>
      <c r="NP60" s="291"/>
      <c r="NQ60" s="291"/>
      <c r="NR60" s="291"/>
      <c r="NS60" s="291"/>
      <c r="NT60" s="291"/>
      <c r="NU60" s="291"/>
      <c r="NV60" s="291"/>
      <c r="NW60" s="291"/>
      <c r="NX60" s="291"/>
      <c r="NY60" s="291"/>
      <c r="NZ60" s="291"/>
      <c r="OA60" s="291"/>
      <c r="OB60" s="291"/>
      <c r="OC60" s="291"/>
      <c r="OD60" s="291"/>
      <c r="OE60" s="291"/>
      <c r="OF60" s="291"/>
      <c r="OG60" s="291"/>
      <c r="OH60" s="291"/>
      <c r="OI60" s="291"/>
      <c r="OJ60" s="291"/>
      <c r="OK60" s="291"/>
      <c r="OL60" s="291"/>
      <c r="OM60" s="291"/>
      <c r="ON60" s="291"/>
      <c r="OO60" s="291"/>
      <c r="OP60" s="291"/>
      <c r="OQ60" s="291"/>
      <c r="OR60" s="291"/>
      <c r="OS60" s="291"/>
      <c r="OT60" s="291"/>
      <c r="OU60" s="291"/>
      <c r="OV60" s="291"/>
      <c r="OW60" s="291"/>
    </row>
    <row r="61" spans="1:413" s="257" customFormat="1" hidden="1" x14ac:dyDescent="0.2">
      <c r="A61" s="291"/>
      <c r="B61" s="524">
        <f t="shared" si="3"/>
        <v>46</v>
      </c>
      <c r="C61" s="510" t="s">
        <v>38</v>
      </c>
      <c r="D61" s="511">
        <v>30081138</v>
      </c>
      <c r="E61" s="511"/>
      <c r="F61" s="512" t="s">
        <v>1179</v>
      </c>
      <c r="G61" s="513" t="s">
        <v>45</v>
      </c>
      <c r="H61" s="514" t="s">
        <v>1094</v>
      </c>
      <c r="I61" s="515" t="s">
        <v>1180</v>
      </c>
      <c r="J61" s="346" t="s">
        <v>42</v>
      </c>
      <c r="K61" s="526">
        <v>13540448</v>
      </c>
      <c r="L61" s="527">
        <v>11778256</v>
      </c>
      <c r="M61" s="528"/>
      <c r="N61" s="519">
        <v>0</v>
      </c>
      <c r="O61" s="519">
        <v>0</v>
      </c>
      <c r="P61" s="519">
        <v>643325</v>
      </c>
      <c r="Q61" s="519">
        <v>118820</v>
      </c>
      <c r="R61" s="519">
        <v>0</v>
      </c>
      <c r="S61" s="520">
        <v>212339</v>
      </c>
      <c r="T61" s="18"/>
      <c r="U61" s="18"/>
      <c r="V61" s="18"/>
      <c r="W61" s="18"/>
      <c r="X61" s="18"/>
      <c r="Y61" s="18"/>
      <c r="Z61" s="18">
        <f t="shared" si="0"/>
        <v>974484</v>
      </c>
      <c r="AA61" s="309">
        <v>1762192</v>
      </c>
      <c r="AB61" s="19">
        <v>11</v>
      </c>
      <c r="AC61" s="521">
        <v>44237</v>
      </c>
      <c r="AD61" s="25">
        <v>44251</v>
      </c>
      <c r="AE61" s="309">
        <v>100000</v>
      </c>
      <c r="AF61" s="20">
        <v>15</v>
      </c>
      <c r="AG61" s="23">
        <v>44259</v>
      </c>
      <c r="AH61" s="25">
        <v>44274</v>
      </c>
      <c r="AI61" s="309"/>
      <c r="AJ61" s="19"/>
      <c r="AK61" s="23"/>
      <c r="AL61" s="25"/>
      <c r="AM61" s="309"/>
      <c r="AN61" s="19"/>
      <c r="AO61" s="21"/>
      <c r="AP61" s="25"/>
      <c r="AQ61" s="309"/>
      <c r="AR61" s="19"/>
      <c r="AS61" s="21"/>
      <c r="AT61" s="25"/>
      <c r="AU61" s="522">
        <f t="shared" si="1"/>
        <v>1862192</v>
      </c>
      <c r="AV61" s="311">
        <f t="shared" si="2"/>
        <v>887708</v>
      </c>
      <c r="AW61" s="305"/>
      <c r="AX61" s="291"/>
      <c r="AY61" s="291"/>
      <c r="AZ61" s="291"/>
      <c r="BA61" s="291"/>
      <c r="BB61" s="291"/>
      <c r="BC61" s="291"/>
      <c r="BD61" s="291"/>
      <c r="BE61" s="291"/>
      <c r="BF61" s="291"/>
      <c r="BG61" s="291"/>
      <c r="BH61" s="291"/>
      <c r="BI61" s="291"/>
      <c r="BJ61" s="291"/>
      <c r="BK61" s="291"/>
      <c r="BL61" s="291"/>
      <c r="BM61" s="291"/>
      <c r="BN61" s="291"/>
      <c r="BO61" s="291"/>
      <c r="BP61" s="291"/>
      <c r="BQ61" s="291"/>
      <c r="BR61" s="291"/>
      <c r="BS61" s="291"/>
      <c r="BT61" s="291"/>
      <c r="BU61" s="291"/>
      <c r="BV61" s="291"/>
      <c r="BW61" s="291"/>
      <c r="BX61" s="291"/>
      <c r="BY61" s="291"/>
      <c r="BZ61" s="291"/>
      <c r="CA61" s="291"/>
      <c r="CB61" s="291"/>
      <c r="CC61" s="291"/>
      <c r="CD61" s="291"/>
      <c r="CE61" s="291"/>
      <c r="CF61" s="291"/>
      <c r="CG61" s="291"/>
      <c r="CH61" s="291"/>
      <c r="CI61" s="291"/>
      <c r="CJ61" s="291"/>
      <c r="CK61" s="291"/>
      <c r="CL61" s="291"/>
      <c r="CM61" s="291"/>
      <c r="CN61" s="291"/>
      <c r="CO61" s="291"/>
      <c r="CP61" s="291"/>
      <c r="CQ61" s="291"/>
      <c r="CR61" s="291"/>
      <c r="CS61" s="291"/>
      <c r="CT61" s="291"/>
      <c r="CU61" s="291"/>
      <c r="CV61" s="291"/>
      <c r="CW61" s="291"/>
      <c r="CX61" s="291"/>
      <c r="CY61" s="291"/>
      <c r="CZ61" s="291"/>
      <c r="DA61" s="291"/>
      <c r="DB61" s="291"/>
      <c r="DC61" s="291"/>
      <c r="DD61" s="291"/>
      <c r="DE61" s="291"/>
      <c r="DF61" s="291"/>
      <c r="DG61" s="291"/>
      <c r="DH61" s="291"/>
      <c r="DI61" s="291"/>
      <c r="DJ61" s="291"/>
      <c r="DK61" s="291"/>
      <c r="DL61" s="291"/>
      <c r="DM61" s="291"/>
      <c r="DN61" s="291"/>
      <c r="DO61" s="291"/>
      <c r="DP61" s="291"/>
      <c r="DQ61" s="291"/>
      <c r="DR61" s="291"/>
      <c r="DS61" s="291"/>
      <c r="DT61" s="291"/>
      <c r="DU61" s="291"/>
      <c r="DV61" s="291"/>
      <c r="DW61" s="291"/>
      <c r="DX61" s="291"/>
      <c r="DY61" s="291"/>
      <c r="DZ61" s="291"/>
      <c r="EA61" s="291"/>
      <c r="EB61" s="291"/>
      <c r="EC61" s="291"/>
      <c r="ED61" s="291"/>
      <c r="EE61" s="291"/>
      <c r="EF61" s="291"/>
      <c r="EG61" s="291"/>
      <c r="EH61" s="291"/>
      <c r="EI61" s="291"/>
      <c r="EJ61" s="291"/>
      <c r="EK61" s="291"/>
      <c r="EL61" s="291"/>
      <c r="EM61" s="291"/>
      <c r="EN61" s="291"/>
      <c r="EO61" s="291"/>
      <c r="EP61" s="291"/>
      <c r="EQ61" s="291"/>
      <c r="ER61" s="291"/>
      <c r="ES61" s="291"/>
      <c r="ET61" s="291"/>
      <c r="EU61" s="291"/>
      <c r="EV61" s="291"/>
      <c r="EW61" s="291"/>
      <c r="EX61" s="291"/>
      <c r="EY61" s="291"/>
      <c r="EZ61" s="291"/>
      <c r="FA61" s="291"/>
      <c r="FB61" s="291"/>
      <c r="FC61" s="291"/>
      <c r="FD61" s="291"/>
      <c r="FE61" s="291"/>
      <c r="FF61" s="291"/>
      <c r="FG61" s="291"/>
      <c r="FH61" s="291"/>
      <c r="FI61" s="291"/>
      <c r="FJ61" s="291"/>
      <c r="FK61" s="291"/>
      <c r="FL61" s="291"/>
      <c r="FM61" s="291"/>
      <c r="FN61" s="291"/>
      <c r="FO61" s="291"/>
      <c r="FP61" s="291"/>
      <c r="FQ61" s="291"/>
      <c r="FR61" s="291"/>
      <c r="FS61" s="291"/>
      <c r="FT61" s="291"/>
      <c r="FU61" s="291"/>
      <c r="FV61" s="291"/>
      <c r="FW61" s="291"/>
      <c r="FX61" s="291"/>
      <c r="FY61" s="291"/>
      <c r="FZ61" s="291"/>
      <c r="GA61" s="291"/>
      <c r="GB61" s="291"/>
      <c r="GC61" s="291"/>
      <c r="GD61" s="291"/>
      <c r="GE61" s="291"/>
      <c r="GF61" s="291"/>
      <c r="GG61" s="291"/>
      <c r="GH61" s="291"/>
      <c r="GI61" s="291"/>
      <c r="GJ61" s="291"/>
      <c r="GK61" s="291"/>
      <c r="GL61" s="291"/>
      <c r="GM61" s="291"/>
      <c r="GN61" s="291"/>
      <c r="GO61" s="291"/>
      <c r="GP61" s="291"/>
      <c r="GQ61" s="291"/>
      <c r="GR61" s="291"/>
      <c r="GS61" s="291"/>
      <c r="GT61" s="291"/>
      <c r="GU61" s="291"/>
      <c r="GV61" s="291"/>
      <c r="GW61" s="291"/>
      <c r="GX61" s="291"/>
      <c r="GY61" s="291"/>
      <c r="GZ61" s="291"/>
      <c r="HA61" s="291"/>
      <c r="HB61" s="291"/>
      <c r="HC61" s="291"/>
      <c r="HD61" s="291"/>
      <c r="HE61" s="291"/>
      <c r="HF61" s="291"/>
      <c r="HG61" s="291"/>
      <c r="HH61" s="291"/>
      <c r="HI61" s="291"/>
      <c r="HJ61" s="291"/>
      <c r="HK61" s="291"/>
      <c r="HL61" s="291"/>
      <c r="HM61" s="291"/>
      <c r="HN61" s="291"/>
      <c r="HO61" s="291"/>
      <c r="HP61" s="291"/>
      <c r="HQ61" s="291"/>
      <c r="HR61" s="291"/>
      <c r="HS61" s="291"/>
      <c r="HT61" s="291"/>
      <c r="HU61" s="291"/>
      <c r="HV61" s="291"/>
      <c r="HW61" s="291"/>
      <c r="HX61" s="291"/>
      <c r="HY61" s="291"/>
      <c r="HZ61" s="291"/>
      <c r="IA61" s="291"/>
      <c r="IB61" s="291"/>
      <c r="IC61" s="291"/>
      <c r="ID61" s="291"/>
      <c r="IE61" s="291"/>
      <c r="IF61" s="291"/>
      <c r="IG61" s="291"/>
      <c r="IH61" s="291"/>
      <c r="II61" s="291"/>
      <c r="IJ61" s="291"/>
      <c r="IK61" s="291"/>
      <c r="IL61" s="291"/>
      <c r="IM61" s="291"/>
      <c r="IN61" s="291"/>
      <c r="IO61" s="291"/>
      <c r="IP61" s="291"/>
      <c r="IQ61" s="291"/>
      <c r="IR61" s="291"/>
      <c r="IS61" s="291"/>
      <c r="IT61" s="291"/>
      <c r="IU61" s="291"/>
      <c r="IV61" s="291"/>
      <c r="IW61" s="291"/>
      <c r="IX61" s="291"/>
      <c r="IY61" s="291"/>
      <c r="IZ61" s="291"/>
      <c r="JA61" s="291"/>
      <c r="JB61" s="291"/>
      <c r="JC61" s="291"/>
      <c r="JD61" s="291"/>
      <c r="JE61" s="291"/>
      <c r="JF61" s="291"/>
      <c r="JG61" s="291"/>
      <c r="JH61" s="291"/>
      <c r="JI61" s="291"/>
      <c r="JJ61" s="291"/>
      <c r="JK61" s="291"/>
      <c r="JL61" s="291"/>
      <c r="JM61" s="291"/>
      <c r="JN61" s="291"/>
      <c r="JO61" s="291"/>
      <c r="JP61" s="291"/>
      <c r="JQ61" s="291"/>
      <c r="JR61" s="291"/>
      <c r="JS61" s="291"/>
      <c r="JT61" s="291"/>
      <c r="JU61" s="291"/>
      <c r="JV61" s="291"/>
      <c r="JW61" s="291"/>
      <c r="JX61" s="291"/>
      <c r="JY61" s="291"/>
      <c r="JZ61" s="291"/>
      <c r="KA61" s="291"/>
      <c r="KB61" s="291"/>
      <c r="KC61" s="291"/>
      <c r="KD61" s="291"/>
      <c r="KE61" s="291"/>
      <c r="KF61" s="291"/>
      <c r="KG61" s="291"/>
      <c r="KH61" s="291"/>
      <c r="KI61" s="291"/>
      <c r="KJ61" s="291"/>
      <c r="KK61" s="291"/>
      <c r="KL61" s="291"/>
      <c r="KM61" s="291"/>
      <c r="KN61" s="291"/>
      <c r="KO61" s="291"/>
      <c r="KP61" s="291"/>
      <c r="KQ61" s="291"/>
      <c r="KR61" s="291"/>
      <c r="KS61" s="291"/>
      <c r="KT61" s="291"/>
      <c r="KU61" s="291"/>
      <c r="KV61" s="291"/>
      <c r="KW61" s="291"/>
      <c r="KX61" s="291"/>
      <c r="KY61" s="291"/>
      <c r="KZ61" s="291"/>
      <c r="LA61" s="291"/>
      <c r="LB61" s="291"/>
      <c r="LC61" s="291"/>
      <c r="LD61" s="291"/>
      <c r="LE61" s="291"/>
      <c r="LF61" s="291"/>
      <c r="LG61" s="291"/>
      <c r="LH61" s="291"/>
      <c r="LI61" s="291"/>
      <c r="LJ61" s="291"/>
      <c r="LK61" s="291"/>
      <c r="LL61" s="291"/>
      <c r="LM61" s="291"/>
      <c r="LN61" s="291"/>
      <c r="LO61" s="291"/>
      <c r="LP61" s="291"/>
      <c r="LQ61" s="291"/>
      <c r="LR61" s="291"/>
      <c r="LS61" s="291"/>
      <c r="LT61" s="291"/>
      <c r="LU61" s="291"/>
      <c r="LV61" s="291"/>
      <c r="LW61" s="291"/>
      <c r="LX61" s="291"/>
      <c r="LY61" s="291"/>
      <c r="LZ61" s="291"/>
      <c r="MA61" s="291"/>
      <c r="MB61" s="291"/>
      <c r="MC61" s="291"/>
      <c r="MD61" s="291"/>
      <c r="ME61" s="291"/>
      <c r="MF61" s="291"/>
      <c r="MG61" s="291"/>
      <c r="MH61" s="291"/>
      <c r="MI61" s="291"/>
      <c r="MJ61" s="291"/>
      <c r="MK61" s="291"/>
      <c r="ML61" s="291"/>
      <c r="MM61" s="291"/>
      <c r="MN61" s="291"/>
      <c r="MO61" s="291"/>
      <c r="MP61" s="291"/>
      <c r="MQ61" s="291"/>
      <c r="MR61" s="291"/>
      <c r="MS61" s="291"/>
      <c r="MT61" s="291"/>
      <c r="MU61" s="291"/>
      <c r="MV61" s="291"/>
      <c r="MW61" s="291"/>
      <c r="MX61" s="291"/>
      <c r="MY61" s="291"/>
      <c r="MZ61" s="291"/>
      <c r="NA61" s="291"/>
      <c r="NB61" s="291"/>
      <c r="NC61" s="291"/>
      <c r="ND61" s="291"/>
      <c r="NE61" s="291"/>
      <c r="NF61" s="291"/>
      <c r="NG61" s="291"/>
      <c r="NH61" s="291"/>
      <c r="NI61" s="291"/>
      <c r="NJ61" s="291"/>
      <c r="NK61" s="291"/>
      <c r="NL61" s="291"/>
      <c r="NM61" s="291"/>
      <c r="NN61" s="291"/>
      <c r="NO61" s="291"/>
      <c r="NP61" s="291"/>
      <c r="NQ61" s="291"/>
      <c r="NR61" s="291"/>
      <c r="NS61" s="291"/>
      <c r="NT61" s="291"/>
      <c r="NU61" s="291"/>
      <c r="NV61" s="291"/>
      <c r="NW61" s="291"/>
      <c r="NX61" s="291"/>
      <c r="NY61" s="291"/>
      <c r="NZ61" s="291"/>
      <c r="OA61" s="291"/>
      <c r="OB61" s="291"/>
      <c r="OC61" s="291"/>
      <c r="OD61" s="291"/>
      <c r="OE61" s="291"/>
      <c r="OF61" s="291"/>
      <c r="OG61" s="291"/>
      <c r="OH61" s="291"/>
      <c r="OI61" s="291"/>
      <c r="OJ61" s="291"/>
      <c r="OK61" s="291"/>
      <c r="OL61" s="291"/>
      <c r="OM61" s="291"/>
      <c r="ON61" s="291"/>
      <c r="OO61" s="291"/>
      <c r="OP61" s="291"/>
      <c r="OQ61" s="291"/>
      <c r="OR61" s="291"/>
      <c r="OS61" s="291"/>
      <c r="OT61" s="291"/>
      <c r="OU61" s="291"/>
      <c r="OV61" s="291"/>
      <c r="OW61" s="291"/>
    </row>
    <row r="62" spans="1:413" s="276" customFormat="1" hidden="1" x14ac:dyDescent="0.2">
      <c r="A62" s="291"/>
      <c r="B62" s="530"/>
      <c r="C62" s="510"/>
      <c r="D62" s="511">
        <v>30084192</v>
      </c>
      <c r="E62" s="511"/>
      <c r="F62" s="512" t="s">
        <v>1181</v>
      </c>
      <c r="G62" s="513"/>
      <c r="H62" s="514"/>
      <c r="I62" s="515"/>
      <c r="J62" s="346"/>
      <c r="K62" s="526"/>
      <c r="L62" s="527"/>
      <c r="M62" s="528"/>
      <c r="N62" s="519">
        <v>0</v>
      </c>
      <c r="O62" s="519">
        <v>0</v>
      </c>
      <c r="P62" s="519">
        <v>2000</v>
      </c>
      <c r="Q62" s="519">
        <v>0</v>
      </c>
      <c r="R62" s="519">
        <v>0</v>
      </c>
      <c r="S62" s="520">
        <v>0</v>
      </c>
      <c r="T62" s="57"/>
      <c r="U62" s="57"/>
      <c r="V62" s="57"/>
      <c r="W62" s="57"/>
      <c r="X62" s="57"/>
      <c r="Y62" s="57"/>
      <c r="Z62" s="57">
        <f t="shared" si="0"/>
        <v>2000</v>
      </c>
      <c r="AA62" s="309"/>
      <c r="AB62" s="338"/>
      <c r="AC62" s="531"/>
      <c r="AD62" s="316"/>
      <c r="AE62" s="309"/>
      <c r="AF62" s="314"/>
      <c r="AG62" s="315"/>
      <c r="AH62" s="316"/>
      <c r="AI62" s="309"/>
      <c r="AJ62" s="338"/>
      <c r="AK62" s="315"/>
      <c r="AL62" s="316"/>
      <c r="AM62" s="309"/>
      <c r="AN62" s="338"/>
      <c r="AO62" s="362"/>
      <c r="AP62" s="316"/>
      <c r="AQ62" s="309"/>
      <c r="AR62" s="338"/>
      <c r="AS62" s="362"/>
      <c r="AT62" s="316"/>
      <c r="AU62" s="522">
        <f t="shared" si="1"/>
        <v>0</v>
      </c>
      <c r="AV62" s="311"/>
      <c r="AW62" s="305"/>
      <c r="AX62" s="291"/>
      <c r="AY62" s="291"/>
      <c r="AZ62" s="291"/>
      <c r="BA62" s="291"/>
      <c r="BB62" s="291"/>
      <c r="BC62" s="291"/>
      <c r="BD62" s="291"/>
      <c r="BE62" s="291"/>
      <c r="BF62" s="291"/>
      <c r="BG62" s="291"/>
      <c r="BH62" s="291"/>
      <c r="BI62" s="291"/>
      <c r="BJ62" s="291"/>
      <c r="BK62" s="291"/>
      <c r="BL62" s="291"/>
      <c r="BM62" s="291"/>
      <c r="BN62" s="291"/>
      <c r="BO62" s="291"/>
      <c r="BP62" s="291"/>
      <c r="BQ62" s="291"/>
      <c r="BR62" s="291"/>
      <c r="BS62" s="291"/>
      <c r="BT62" s="291"/>
      <c r="BU62" s="291"/>
      <c r="BV62" s="291"/>
      <c r="BW62" s="291"/>
      <c r="BX62" s="291"/>
      <c r="BY62" s="291"/>
      <c r="BZ62" s="291"/>
      <c r="CA62" s="291"/>
      <c r="CB62" s="291"/>
      <c r="CC62" s="291"/>
      <c r="CD62" s="291"/>
      <c r="CE62" s="291"/>
      <c r="CF62" s="291"/>
      <c r="CG62" s="291"/>
      <c r="CH62" s="291"/>
      <c r="CI62" s="291"/>
      <c r="CJ62" s="291"/>
      <c r="CK62" s="291"/>
      <c r="CL62" s="291"/>
      <c r="CM62" s="291"/>
      <c r="CN62" s="291"/>
      <c r="CO62" s="291"/>
      <c r="CP62" s="291"/>
      <c r="CQ62" s="291"/>
      <c r="CR62" s="291"/>
      <c r="CS62" s="291"/>
      <c r="CT62" s="291"/>
      <c r="CU62" s="291"/>
      <c r="CV62" s="291"/>
      <c r="CW62" s="291"/>
      <c r="CX62" s="291"/>
      <c r="CY62" s="291"/>
      <c r="CZ62" s="291"/>
      <c r="DA62" s="291"/>
      <c r="DB62" s="291"/>
      <c r="DC62" s="291"/>
      <c r="DD62" s="291"/>
      <c r="DE62" s="291"/>
      <c r="DF62" s="291"/>
      <c r="DG62" s="291"/>
      <c r="DH62" s="291"/>
      <c r="DI62" s="291"/>
      <c r="DJ62" s="291"/>
      <c r="DK62" s="291"/>
      <c r="DL62" s="291"/>
      <c r="DM62" s="291"/>
      <c r="DN62" s="291"/>
      <c r="DO62" s="291"/>
      <c r="DP62" s="291"/>
      <c r="DQ62" s="291"/>
      <c r="DR62" s="291"/>
      <c r="DS62" s="291"/>
      <c r="DT62" s="291"/>
      <c r="DU62" s="291"/>
      <c r="DV62" s="291"/>
      <c r="DW62" s="291"/>
      <c r="DX62" s="291"/>
      <c r="DY62" s="291"/>
      <c r="DZ62" s="291"/>
      <c r="EA62" s="291"/>
      <c r="EB62" s="291"/>
      <c r="EC62" s="291"/>
      <c r="ED62" s="291"/>
      <c r="EE62" s="291"/>
      <c r="EF62" s="291"/>
      <c r="EG62" s="291"/>
      <c r="EH62" s="291"/>
      <c r="EI62" s="291"/>
      <c r="EJ62" s="291"/>
      <c r="EK62" s="291"/>
      <c r="EL62" s="291"/>
      <c r="EM62" s="291"/>
      <c r="EN62" s="291"/>
      <c r="EO62" s="291"/>
      <c r="EP62" s="291"/>
      <c r="EQ62" s="291"/>
      <c r="ER62" s="291"/>
      <c r="ES62" s="291"/>
      <c r="ET62" s="291"/>
      <c r="EU62" s="291"/>
      <c r="EV62" s="291"/>
      <c r="EW62" s="291"/>
      <c r="EX62" s="291"/>
      <c r="EY62" s="291"/>
      <c r="EZ62" s="291"/>
      <c r="FA62" s="291"/>
      <c r="FB62" s="291"/>
      <c r="FC62" s="291"/>
      <c r="FD62" s="291"/>
      <c r="FE62" s="291"/>
      <c r="FF62" s="291"/>
      <c r="FG62" s="291"/>
      <c r="FH62" s="291"/>
      <c r="FI62" s="291"/>
      <c r="FJ62" s="291"/>
      <c r="FK62" s="291"/>
      <c r="FL62" s="291"/>
      <c r="FM62" s="291"/>
      <c r="FN62" s="291"/>
      <c r="FO62" s="291"/>
      <c r="FP62" s="291"/>
      <c r="FQ62" s="291"/>
      <c r="FR62" s="291"/>
      <c r="FS62" s="291"/>
      <c r="FT62" s="291"/>
      <c r="FU62" s="291"/>
      <c r="FV62" s="291"/>
      <c r="FW62" s="291"/>
      <c r="FX62" s="291"/>
      <c r="FY62" s="291"/>
      <c r="FZ62" s="291"/>
      <c r="GA62" s="291"/>
      <c r="GB62" s="291"/>
      <c r="GC62" s="291"/>
      <c r="GD62" s="291"/>
      <c r="GE62" s="291"/>
      <c r="GF62" s="291"/>
      <c r="GG62" s="291"/>
      <c r="GH62" s="291"/>
      <c r="GI62" s="291"/>
      <c r="GJ62" s="291"/>
      <c r="GK62" s="291"/>
      <c r="GL62" s="291"/>
      <c r="GM62" s="291"/>
      <c r="GN62" s="291"/>
      <c r="GO62" s="291"/>
      <c r="GP62" s="291"/>
      <c r="GQ62" s="291"/>
      <c r="GR62" s="291"/>
      <c r="GS62" s="291"/>
      <c r="GT62" s="291"/>
      <c r="GU62" s="291"/>
      <c r="GV62" s="291"/>
      <c r="GW62" s="291"/>
      <c r="GX62" s="291"/>
      <c r="GY62" s="291"/>
      <c r="GZ62" s="291"/>
      <c r="HA62" s="291"/>
      <c r="HB62" s="291"/>
      <c r="HC62" s="291"/>
      <c r="HD62" s="291"/>
      <c r="HE62" s="291"/>
      <c r="HF62" s="291"/>
      <c r="HG62" s="291"/>
      <c r="HH62" s="291"/>
      <c r="HI62" s="291"/>
      <c r="HJ62" s="291"/>
      <c r="HK62" s="291"/>
      <c r="HL62" s="291"/>
      <c r="HM62" s="291"/>
      <c r="HN62" s="291"/>
      <c r="HO62" s="291"/>
      <c r="HP62" s="291"/>
      <c r="HQ62" s="291"/>
      <c r="HR62" s="291"/>
      <c r="HS62" s="291"/>
      <c r="HT62" s="291"/>
      <c r="HU62" s="291"/>
      <c r="HV62" s="291"/>
      <c r="HW62" s="291"/>
      <c r="HX62" s="291"/>
      <c r="HY62" s="291"/>
      <c r="HZ62" s="291"/>
      <c r="IA62" s="291"/>
      <c r="IB62" s="291"/>
      <c r="IC62" s="291"/>
      <c r="ID62" s="291"/>
      <c r="IE62" s="291"/>
      <c r="IF62" s="291"/>
      <c r="IG62" s="291"/>
      <c r="IH62" s="291"/>
      <c r="II62" s="291"/>
      <c r="IJ62" s="291"/>
      <c r="IK62" s="291"/>
      <c r="IL62" s="291"/>
      <c r="IM62" s="291"/>
      <c r="IN62" s="291"/>
      <c r="IO62" s="291"/>
      <c r="IP62" s="291"/>
      <c r="IQ62" s="291"/>
      <c r="IR62" s="291"/>
      <c r="IS62" s="291"/>
      <c r="IT62" s="291"/>
      <c r="IU62" s="291"/>
      <c r="IV62" s="291"/>
      <c r="IW62" s="291"/>
      <c r="IX62" s="291"/>
      <c r="IY62" s="291"/>
      <c r="IZ62" s="291"/>
      <c r="JA62" s="291"/>
      <c r="JB62" s="291"/>
      <c r="JC62" s="291"/>
      <c r="JD62" s="291"/>
      <c r="JE62" s="291"/>
      <c r="JF62" s="291"/>
      <c r="JG62" s="291"/>
      <c r="JH62" s="291"/>
      <c r="JI62" s="291"/>
      <c r="JJ62" s="291"/>
      <c r="JK62" s="291"/>
      <c r="JL62" s="291"/>
      <c r="JM62" s="291"/>
      <c r="JN62" s="291"/>
      <c r="JO62" s="291"/>
      <c r="JP62" s="291"/>
      <c r="JQ62" s="291"/>
      <c r="JR62" s="291"/>
      <c r="JS62" s="291"/>
      <c r="JT62" s="291"/>
      <c r="JU62" s="291"/>
      <c r="JV62" s="291"/>
      <c r="JW62" s="291"/>
      <c r="JX62" s="291"/>
      <c r="JY62" s="291"/>
      <c r="JZ62" s="291"/>
      <c r="KA62" s="291"/>
      <c r="KB62" s="291"/>
      <c r="KC62" s="291"/>
      <c r="KD62" s="291"/>
      <c r="KE62" s="291"/>
      <c r="KF62" s="291"/>
      <c r="KG62" s="291"/>
      <c r="KH62" s="291"/>
      <c r="KI62" s="291"/>
      <c r="KJ62" s="291"/>
      <c r="KK62" s="291"/>
      <c r="KL62" s="291"/>
      <c r="KM62" s="291"/>
      <c r="KN62" s="291"/>
      <c r="KO62" s="291"/>
      <c r="KP62" s="291"/>
      <c r="KQ62" s="291"/>
      <c r="KR62" s="291"/>
      <c r="KS62" s="291"/>
      <c r="KT62" s="291"/>
      <c r="KU62" s="291"/>
      <c r="KV62" s="291"/>
      <c r="KW62" s="291"/>
      <c r="KX62" s="291"/>
      <c r="KY62" s="291"/>
      <c r="KZ62" s="291"/>
      <c r="LA62" s="291"/>
      <c r="LB62" s="291"/>
      <c r="LC62" s="291"/>
      <c r="LD62" s="291"/>
      <c r="LE62" s="291"/>
      <c r="LF62" s="291"/>
      <c r="LG62" s="291"/>
      <c r="LH62" s="291"/>
      <c r="LI62" s="291"/>
      <c r="LJ62" s="291"/>
      <c r="LK62" s="291"/>
      <c r="LL62" s="291"/>
      <c r="LM62" s="291"/>
      <c r="LN62" s="291"/>
      <c r="LO62" s="291"/>
      <c r="LP62" s="291"/>
      <c r="LQ62" s="291"/>
      <c r="LR62" s="291"/>
      <c r="LS62" s="291"/>
      <c r="LT62" s="291"/>
      <c r="LU62" s="291"/>
      <c r="LV62" s="291"/>
      <c r="LW62" s="291"/>
      <c r="LX62" s="291"/>
      <c r="LY62" s="291"/>
      <c r="LZ62" s="291"/>
      <c r="MA62" s="291"/>
      <c r="MB62" s="291"/>
      <c r="MC62" s="291"/>
      <c r="MD62" s="291"/>
      <c r="ME62" s="291"/>
      <c r="MF62" s="291"/>
      <c r="MG62" s="291"/>
      <c r="MH62" s="291"/>
      <c r="MI62" s="291"/>
      <c r="MJ62" s="291"/>
      <c r="MK62" s="291"/>
      <c r="ML62" s="291"/>
      <c r="MM62" s="291"/>
      <c r="MN62" s="291"/>
      <c r="MO62" s="291"/>
      <c r="MP62" s="291"/>
      <c r="MQ62" s="291"/>
      <c r="MR62" s="291"/>
      <c r="MS62" s="291"/>
      <c r="MT62" s="291"/>
      <c r="MU62" s="291"/>
      <c r="MV62" s="291"/>
      <c r="MW62" s="291"/>
      <c r="MX62" s="291"/>
      <c r="MY62" s="291"/>
      <c r="MZ62" s="291"/>
      <c r="NA62" s="291"/>
      <c r="NB62" s="291"/>
      <c r="NC62" s="291"/>
      <c r="ND62" s="291"/>
      <c r="NE62" s="291"/>
      <c r="NF62" s="291"/>
      <c r="NG62" s="291"/>
      <c r="NH62" s="291"/>
      <c r="NI62" s="291"/>
      <c r="NJ62" s="291"/>
      <c r="NK62" s="291"/>
      <c r="NL62" s="291"/>
      <c r="NM62" s="291"/>
      <c r="NN62" s="291"/>
      <c r="NO62" s="291"/>
      <c r="NP62" s="291"/>
      <c r="NQ62" s="291"/>
      <c r="NR62" s="291"/>
      <c r="NS62" s="291"/>
      <c r="NT62" s="291"/>
      <c r="NU62" s="291"/>
      <c r="NV62" s="291"/>
      <c r="NW62" s="291"/>
      <c r="NX62" s="291"/>
      <c r="NY62" s="291"/>
      <c r="NZ62" s="291"/>
      <c r="OA62" s="291"/>
      <c r="OB62" s="291"/>
      <c r="OC62" s="291"/>
      <c r="OD62" s="291"/>
      <c r="OE62" s="291"/>
      <c r="OF62" s="291"/>
      <c r="OG62" s="291"/>
      <c r="OH62" s="291"/>
      <c r="OI62" s="291"/>
      <c r="OJ62" s="291"/>
      <c r="OK62" s="291"/>
      <c r="OL62" s="291"/>
      <c r="OM62" s="291"/>
      <c r="ON62" s="291"/>
      <c r="OO62" s="291"/>
      <c r="OP62" s="291"/>
      <c r="OQ62" s="291"/>
      <c r="OR62" s="291"/>
      <c r="OS62" s="291"/>
      <c r="OT62" s="291"/>
      <c r="OU62" s="291"/>
      <c r="OV62" s="291"/>
      <c r="OW62" s="291"/>
    </row>
    <row r="63" spans="1:413" s="257" customFormat="1" hidden="1" x14ac:dyDescent="0.2">
      <c r="A63" s="291"/>
      <c r="B63" s="524">
        <f>+B61+1</f>
        <v>47</v>
      </c>
      <c r="C63" s="510" t="s">
        <v>38</v>
      </c>
      <c r="D63" s="511">
        <v>30084193</v>
      </c>
      <c r="E63" s="511"/>
      <c r="F63" s="512" t="s">
        <v>1182</v>
      </c>
      <c r="G63" s="513" t="s">
        <v>45</v>
      </c>
      <c r="H63" s="514" t="s">
        <v>1094</v>
      </c>
      <c r="I63" s="515" t="s">
        <v>1095</v>
      </c>
      <c r="J63" s="346" t="s">
        <v>42</v>
      </c>
      <c r="K63" s="526">
        <v>1276741</v>
      </c>
      <c r="L63" s="527">
        <v>1012275</v>
      </c>
      <c r="M63" s="528">
        <v>0</v>
      </c>
      <c r="N63" s="519">
        <v>0</v>
      </c>
      <c r="O63" s="519">
        <v>92811</v>
      </c>
      <c r="P63" s="519">
        <v>112858</v>
      </c>
      <c r="Q63" s="519">
        <v>0</v>
      </c>
      <c r="R63" s="519">
        <v>0</v>
      </c>
      <c r="S63" s="520">
        <v>0</v>
      </c>
      <c r="T63" s="18"/>
      <c r="U63" s="18"/>
      <c r="V63" s="18"/>
      <c r="W63" s="18"/>
      <c r="X63" s="18"/>
      <c r="Y63" s="18"/>
      <c r="Z63" s="18">
        <f t="shared" si="0"/>
        <v>205669</v>
      </c>
      <c r="AA63" s="309">
        <v>226895</v>
      </c>
      <c r="AB63" s="19">
        <v>5</v>
      </c>
      <c r="AC63" s="521">
        <v>44224</v>
      </c>
      <c r="AD63" s="25">
        <v>44251</v>
      </c>
      <c r="AE63" s="309"/>
      <c r="AF63" s="20"/>
      <c r="AG63" s="23"/>
      <c r="AH63" s="25"/>
      <c r="AI63" s="309"/>
      <c r="AJ63" s="19"/>
      <c r="AK63" s="23"/>
      <c r="AL63" s="25"/>
      <c r="AM63" s="309"/>
      <c r="AN63" s="19"/>
      <c r="AO63" s="21"/>
      <c r="AP63" s="25"/>
      <c r="AQ63" s="309"/>
      <c r="AR63" s="19"/>
      <c r="AS63" s="21"/>
      <c r="AT63" s="25"/>
      <c r="AU63" s="522">
        <f t="shared" si="1"/>
        <v>226895</v>
      </c>
      <c r="AV63" s="311">
        <f t="shared" si="2"/>
        <v>21226</v>
      </c>
      <c r="AW63" s="305"/>
      <c r="AX63" s="291"/>
      <c r="AY63" s="291"/>
      <c r="AZ63" s="291"/>
      <c r="BA63" s="291"/>
      <c r="BB63" s="291"/>
      <c r="BC63" s="291"/>
      <c r="BD63" s="291"/>
      <c r="BE63" s="291"/>
      <c r="BF63" s="291"/>
      <c r="BG63" s="291"/>
      <c r="BH63" s="291"/>
      <c r="BI63" s="291"/>
      <c r="BJ63" s="291"/>
      <c r="BK63" s="291"/>
      <c r="BL63" s="291"/>
      <c r="BM63" s="291"/>
      <c r="BN63" s="291"/>
      <c r="BO63" s="291"/>
      <c r="BP63" s="291"/>
      <c r="BQ63" s="291"/>
      <c r="BR63" s="291"/>
      <c r="BS63" s="291"/>
      <c r="BT63" s="291"/>
      <c r="BU63" s="291"/>
      <c r="BV63" s="291"/>
      <c r="BW63" s="291"/>
      <c r="BX63" s="291"/>
      <c r="BY63" s="291"/>
      <c r="BZ63" s="291"/>
      <c r="CA63" s="291"/>
      <c r="CB63" s="291"/>
      <c r="CC63" s="291"/>
      <c r="CD63" s="291"/>
      <c r="CE63" s="291"/>
      <c r="CF63" s="291"/>
      <c r="CG63" s="291"/>
      <c r="CH63" s="291"/>
      <c r="CI63" s="291"/>
      <c r="CJ63" s="291"/>
      <c r="CK63" s="291"/>
      <c r="CL63" s="291"/>
      <c r="CM63" s="291"/>
      <c r="CN63" s="291"/>
      <c r="CO63" s="291"/>
      <c r="CP63" s="291"/>
      <c r="CQ63" s="291"/>
      <c r="CR63" s="291"/>
      <c r="CS63" s="291"/>
      <c r="CT63" s="291"/>
      <c r="CU63" s="291"/>
      <c r="CV63" s="291"/>
      <c r="CW63" s="291"/>
      <c r="CX63" s="291"/>
      <c r="CY63" s="291"/>
      <c r="CZ63" s="291"/>
      <c r="DA63" s="291"/>
      <c r="DB63" s="291"/>
      <c r="DC63" s="291"/>
      <c r="DD63" s="291"/>
      <c r="DE63" s="291"/>
      <c r="DF63" s="291"/>
      <c r="DG63" s="291"/>
      <c r="DH63" s="291"/>
      <c r="DI63" s="291"/>
      <c r="DJ63" s="291"/>
      <c r="DK63" s="291"/>
      <c r="DL63" s="291"/>
      <c r="DM63" s="291"/>
      <c r="DN63" s="291"/>
      <c r="DO63" s="291"/>
      <c r="DP63" s="291"/>
      <c r="DQ63" s="291"/>
      <c r="DR63" s="291"/>
      <c r="DS63" s="291"/>
      <c r="DT63" s="291"/>
      <c r="DU63" s="291"/>
      <c r="DV63" s="291"/>
      <c r="DW63" s="291"/>
      <c r="DX63" s="291"/>
      <c r="DY63" s="291"/>
      <c r="DZ63" s="291"/>
      <c r="EA63" s="291"/>
      <c r="EB63" s="291"/>
      <c r="EC63" s="291"/>
      <c r="ED63" s="291"/>
      <c r="EE63" s="291"/>
      <c r="EF63" s="291"/>
      <c r="EG63" s="291"/>
      <c r="EH63" s="291"/>
      <c r="EI63" s="291"/>
      <c r="EJ63" s="291"/>
      <c r="EK63" s="291"/>
      <c r="EL63" s="291"/>
      <c r="EM63" s="291"/>
      <c r="EN63" s="291"/>
      <c r="EO63" s="291"/>
      <c r="EP63" s="291"/>
      <c r="EQ63" s="291"/>
      <c r="ER63" s="291"/>
      <c r="ES63" s="291"/>
      <c r="ET63" s="291"/>
      <c r="EU63" s="291"/>
      <c r="EV63" s="291"/>
      <c r="EW63" s="291"/>
      <c r="EX63" s="291"/>
      <c r="EY63" s="291"/>
      <c r="EZ63" s="291"/>
      <c r="FA63" s="291"/>
      <c r="FB63" s="291"/>
      <c r="FC63" s="291"/>
      <c r="FD63" s="291"/>
      <c r="FE63" s="291"/>
      <c r="FF63" s="291"/>
      <c r="FG63" s="291"/>
      <c r="FH63" s="291"/>
      <c r="FI63" s="291"/>
      <c r="FJ63" s="291"/>
      <c r="FK63" s="291"/>
      <c r="FL63" s="291"/>
      <c r="FM63" s="291"/>
      <c r="FN63" s="291"/>
      <c r="FO63" s="291"/>
      <c r="FP63" s="291"/>
      <c r="FQ63" s="291"/>
      <c r="FR63" s="291"/>
      <c r="FS63" s="291"/>
      <c r="FT63" s="291"/>
      <c r="FU63" s="291"/>
      <c r="FV63" s="291"/>
      <c r="FW63" s="291"/>
      <c r="FX63" s="291"/>
      <c r="FY63" s="291"/>
      <c r="FZ63" s="291"/>
      <c r="GA63" s="291"/>
      <c r="GB63" s="291"/>
      <c r="GC63" s="291"/>
      <c r="GD63" s="291"/>
      <c r="GE63" s="291"/>
      <c r="GF63" s="291"/>
      <c r="GG63" s="291"/>
      <c r="GH63" s="291"/>
      <c r="GI63" s="291"/>
      <c r="GJ63" s="291"/>
      <c r="GK63" s="291"/>
      <c r="GL63" s="291"/>
      <c r="GM63" s="291"/>
      <c r="GN63" s="291"/>
      <c r="GO63" s="291"/>
      <c r="GP63" s="291"/>
      <c r="GQ63" s="291"/>
      <c r="GR63" s="291"/>
      <c r="GS63" s="291"/>
      <c r="GT63" s="291"/>
      <c r="GU63" s="291"/>
      <c r="GV63" s="291"/>
      <c r="GW63" s="291"/>
      <c r="GX63" s="291"/>
      <c r="GY63" s="291"/>
      <c r="GZ63" s="291"/>
      <c r="HA63" s="291"/>
      <c r="HB63" s="291"/>
      <c r="HC63" s="291"/>
      <c r="HD63" s="291"/>
      <c r="HE63" s="291"/>
      <c r="HF63" s="291"/>
      <c r="HG63" s="291"/>
      <c r="HH63" s="291"/>
      <c r="HI63" s="291"/>
      <c r="HJ63" s="291"/>
      <c r="HK63" s="291"/>
      <c r="HL63" s="291"/>
      <c r="HM63" s="291"/>
      <c r="HN63" s="291"/>
      <c r="HO63" s="291"/>
      <c r="HP63" s="291"/>
      <c r="HQ63" s="291"/>
      <c r="HR63" s="291"/>
      <c r="HS63" s="291"/>
      <c r="HT63" s="291"/>
      <c r="HU63" s="291"/>
      <c r="HV63" s="291"/>
      <c r="HW63" s="291"/>
      <c r="HX63" s="291"/>
      <c r="HY63" s="291"/>
      <c r="HZ63" s="291"/>
      <c r="IA63" s="291"/>
      <c r="IB63" s="291"/>
      <c r="IC63" s="291"/>
      <c r="ID63" s="291"/>
      <c r="IE63" s="291"/>
      <c r="IF63" s="291"/>
      <c r="IG63" s="291"/>
      <c r="IH63" s="291"/>
      <c r="II63" s="291"/>
      <c r="IJ63" s="291"/>
      <c r="IK63" s="291"/>
      <c r="IL63" s="291"/>
      <c r="IM63" s="291"/>
      <c r="IN63" s="291"/>
      <c r="IO63" s="291"/>
      <c r="IP63" s="291"/>
      <c r="IQ63" s="291"/>
      <c r="IR63" s="291"/>
      <c r="IS63" s="291"/>
      <c r="IT63" s="291"/>
      <c r="IU63" s="291"/>
      <c r="IV63" s="291"/>
      <c r="IW63" s="291"/>
      <c r="IX63" s="291"/>
      <c r="IY63" s="291"/>
      <c r="IZ63" s="291"/>
      <c r="JA63" s="291"/>
      <c r="JB63" s="291"/>
      <c r="JC63" s="291"/>
      <c r="JD63" s="291"/>
      <c r="JE63" s="291"/>
      <c r="JF63" s="291"/>
      <c r="JG63" s="291"/>
      <c r="JH63" s="291"/>
      <c r="JI63" s="291"/>
      <c r="JJ63" s="291"/>
      <c r="JK63" s="291"/>
      <c r="JL63" s="291"/>
      <c r="JM63" s="291"/>
      <c r="JN63" s="291"/>
      <c r="JO63" s="291"/>
      <c r="JP63" s="291"/>
      <c r="JQ63" s="291"/>
      <c r="JR63" s="291"/>
      <c r="JS63" s="291"/>
      <c r="JT63" s="291"/>
      <c r="JU63" s="291"/>
      <c r="JV63" s="291"/>
      <c r="JW63" s="291"/>
      <c r="JX63" s="291"/>
      <c r="JY63" s="291"/>
      <c r="JZ63" s="291"/>
      <c r="KA63" s="291"/>
      <c r="KB63" s="291"/>
      <c r="KC63" s="291"/>
      <c r="KD63" s="291"/>
      <c r="KE63" s="291"/>
      <c r="KF63" s="291"/>
      <c r="KG63" s="291"/>
      <c r="KH63" s="291"/>
      <c r="KI63" s="291"/>
      <c r="KJ63" s="291"/>
      <c r="KK63" s="291"/>
      <c r="KL63" s="291"/>
      <c r="KM63" s="291"/>
      <c r="KN63" s="291"/>
      <c r="KO63" s="291"/>
      <c r="KP63" s="291"/>
      <c r="KQ63" s="291"/>
      <c r="KR63" s="291"/>
      <c r="KS63" s="291"/>
      <c r="KT63" s="291"/>
      <c r="KU63" s="291"/>
      <c r="KV63" s="291"/>
      <c r="KW63" s="291"/>
      <c r="KX63" s="291"/>
      <c r="KY63" s="291"/>
      <c r="KZ63" s="291"/>
      <c r="LA63" s="291"/>
      <c r="LB63" s="291"/>
      <c r="LC63" s="291"/>
      <c r="LD63" s="291"/>
      <c r="LE63" s="291"/>
      <c r="LF63" s="291"/>
      <c r="LG63" s="291"/>
      <c r="LH63" s="291"/>
      <c r="LI63" s="291"/>
      <c r="LJ63" s="291"/>
      <c r="LK63" s="291"/>
      <c r="LL63" s="291"/>
      <c r="LM63" s="291"/>
      <c r="LN63" s="291"/>
      <c r="LO63" s="291"/>
      <c r="LP63" s="291"/>
      <c r="LQ63" s="291"/>
      <c r="LR63" s="291"/>
      <c r="LS63" s="291"/>
      <c r="LT63" s="291"/>
      <c r="LU63" s="291"/>
      <c r="LV63" s="291"/>
      <c r="LW63" s="291"/>
      <c r="LX63" s="291"/>
      <c r="LY63" s="291"/>
      <c r="LZ63" s="291"/>
      <c r="MA63" s="291"/>
      <c r="MB63" s="291"/>
      <c r="MC63" s="291"/>
      <c r="MD63" s="291"/>
      <c r="ME63" s="291"/>
      <c r="MF63" s="291"/>
      <c r="MG63" s="291"/>
      <c r="MH63" s="291"/>
      <c r="MI63" s="291"/>
      <c r="MJ63" s="291"/>
      <c r="MK63" s="291"/>
      <c r="ML63" s="291"/>
      <c r="MM63" s="291"/>
      <c r="MN63" s="291"/>
      <c r="MO63" s="291"/>
      <c r="MP63" s="291"/>
      <c r="MQ63" s="291"/>
      <c r="MR63" s="291"/>
      <c r="MS63" s="291"/>
      <c r="MT63" s="291"/>
      <c r="MU63" s="291"/>
      <c r="MV63" s="291"/>
      <c r="MW63" s="291"/>
      <c r="MX63" s="291"/>
      <c r="MY63" s="291"/>
      <c r="MZ63" s="291"/>
      <c r="NA63" s="291"/>
      <c r="NB63" s="291"/>
      <c r="NC63" s="291"/>
      <c r="ND63" s="291"/>
      <c r="NE63" s="291"/>
      <c r="NF63" s="291"/>
      <c r="NG63" s="291"/>
      <c r="NH63" s="291"/>
      <c r="NI63" s="291"/>
      <c r="NJ63" s="291"/>
      <c r="NK63" s="291"/>
      <c r="NL63" s="291"/>
      <c r="NM63" s="291"/>
      <c r="NN63" s="291"/>
      <c r="NO63" s="291"/>
      <c r="NP63" s="291"/>
      <c r="NQ63" s="291"/>
      <c r="NR63" s="291"/>
      <c r="NS63" s="291"/>
      <c r="NT63" s="291"/>
      <c r="NU63" s="291"/>
      <c r="NV63" s="291"/>
      <c r="NW63" s="291"/>
      <c r="NX63" s="291"/>
      <c r="NY63" s="291"/>
      <c r="NZ63" s="291"/>
      <c r="OA63" s="291"/>
      <c r="OB63" s="291"/>
      <c r="OC63" s="291"/>
      <c r="OD63" s="291"/>
      <c r="OE63" s="291"/>
      <c r="OF63" s="291"/>
      <c r="OG63" s="291"/>
      <c r="OH63" s="291"/>
      <c r="OI63" s="291"/>
      <c r="OJ63" s="291"/>
      <c r="OK63" s="291"/>
      <c r="OL63" s="291"/>
      <c r="OM63" s="291"/>
      <c r="ON63" s="291"/>
      <c r="OO63" s="291"/>
      <c r="OP63" s="291"/>
      <c r="OQ63" s="291"/>
      <c r="OR63" s="291"/>
      <c r="OS63" s="291"/>
      <c r="OT63" s="291"/>
      <c r="OU63" s="291"/>
      <c r="OV63" s="291"/>
      <c r="OW63" s="291"/>
    </row>
    <row r="64" spans="1:413" s="257" customFormat="1" hidden="1" x14ac:dyDescent="0.2">
      <c r="A64" s="291"/>
      <c r="B64" s="524">
        <f t="shared" si="3"/>
        <v>48</v>
      </c>
      <c r="C64" s="510" t="s">
        <v>38</v>
      </c>
      <c r="D64" s="511">
        <v>30084194</v>
      </c>
      <c r="E64" s="511"/>
      <c r="F64" s="512" t="s">
        <v>1183</v>
      </c>
      <c r="G64" s="513" t="s">
        <v>45</v>
      </c>
      <c r="H64" s="514" t="s">
        <v>1094</v>
      </c>
      <c r="I64" s="515" t="s">
        <v>1095</v>
      </c>
      <c r="J64" s="346" t="s">
        <v>42</v>
      </c>
      <c r="K64" s="526">
        <v>907214</v>
      </c>
      <c r="L64" s="527">
        <v>224950</v>
      </c>
      <c r="M64" s="528">
        <v>2</v>
      </c>
      <c r="N64" s="519">
        <v>0</v>
      </c>
      <c r="O64" s="519">
        <v>139351</v>
      </c>
      <c r="P64" s="519">
        <v>219790</v>
      </c>
      <c r="Q64" s="519">
        <v>56551</v>
      </c>
      <c r="R64" s="519">
        <v>89305</v>
      </c>
      <c r="S64" s="520">
        <v>39927</v>
      </c>
      <c r="T64" s="18"/>
      <c r="U64" s="18"/>
      <c r="V64" s="18"/>
      <c r="W64" s="18"/>
      <c r="X64" s="18"/>
      <c r="Y64" s="18"/>
      <c r="Z64" s="18">
        <f t="shared" si="0"/>
        <v>544924</v>
      </c>
      <c r="AA64" s="309">
        <v>682262</v>
      </c>
      <c r="AB64" s="19">
        <v>5</v>
      </c>
      <c r="AC64" s="521">
        <v>44224</v>
      </c>
      <c r="AD64" s="25">
        <v>44251</v>
      </c>
      <c r="AE64" s="309"/>
      <c r="AF64" s="20"/>
      <c r="AG64" s="23"/>
      <c r="AH64" s="25"/>
      <c r="AI64" s="309"/>
      <c r="AJ64" s="19"/>
      <c r="AK64" s="23"/>
      <c r="AL64" s="25"/>
      <c r="AM64" s="309"/>
      <c r="AN64" s="19"/>
      <c r="AO64" s="21"/>
      <c r="AP64" s="25"/>
      <c r="AQ64" s="309"/>
      <c r="AR64" s="19"/>
      <c r="AS64" s="21"/>
      <c r="AT64" s="25"/>
      <c r="AU64" s="522">
        <f t="shared" si="1"/>
        <v>682262</v>
      </c>
      <c r="AV64" s="311">
        <f t="shared" si="2"/>
        <v>137338</v>
      </c>
      <c r="AW64" s="305"/>
      <c r="AX64" s="291"/>
      <c r="AY64" s="291"/>
      <c r="AZ64" s="291"/>
      <c r="BA64" s="291"/>
      <c r="BB64" s="291"/>
      <c r="BC64" s="291"/>
      <c r="BD64" s="291"/>
      <c r="BE64" s="291"/>
      <c r="BF64" s="291"/>
      <c r="BG64" s="291"/>
      <c r="BH64" s="291"/>
      <c r="BI64" s="291"/>
      <c r="BJ64" s="291"/>
      <c r="BK64" s="291"/>
      <c r="BL64" s="291"/>
      <c r="BM64" s="291"/>
      <c r="BN64" s="291"/>
      <c r="BO64" s="291"/>
      <c r="BP64" s="291"/>
      <c r="BQ64" s="291"/>
      <c r="BR64" s="291"/>
      <c r="BS64" s="291"/>
      <c r="BT64" s="291"/>
      <c r="BU64" s="291"/>
      <c r="BV64" s="291"/>
      <c r="BW64" s="291"/>
      <c r="BX64" s="291"/>
      <c r="BY64" s="291"/>
      <c r="BZ64" s="291"/>
      <c r="CA64" s="291"/>
      <c r="CB64" s="291"/>
      <c r="CC64" s="291"/>
      <c r="CD64" s="291"/>
      <c r="CE64" s="291"/>
      <c r="CF64" s="291"/>
      <c r="CG64" s="291"/>
      <c r="CH64" s="291"/>
      <c r="CI64" s="291"/>
      <c r="CJ64" s="291"/>
      <c r="CK64" s="291"/>
      <c r="CL64" s="291"/>
      <c r="CM64" s="291"/>
      <c r="CN64" s="291"/>
      <c r="CO64" s="291"/>
      <c r="CP64" s="291"/>
      <c r="CQ64" s="291"/>
      <c r="CR64" s="291"/>
      <c r="CS64" s="291"/>
      <c r="CT64" s="291"/>
      <c r="CU64" s="291"/>
      <c r="CV64" s="291"/>
      <c r="CW64" s="291"/>
      <c r="CX64" s="291"/>
      <c r="CY64" s="291"/>
      <c r="CZ64" s="291"/>
      <c r="DA64" s="291"/>
      <c r="DB64" s="291"/>
      <c r="DC64" s="291"/>
      <c r="DD64" s="291"/>
      <c r="DE64" s="291"/>
      <c r="DF64" s="291"/>
      <c r="DG64" s="291"/>
      <c r="DH64" s="291"/>
      <c r="DI64" s="291"/>
      <c r="DJ64" s="291"/>
      <c r="DK64" s="291"/>
      <c r="DL64" s="291"/>
      <c r="DM64" s="291"/>
      <c r="DN64" s="291"/>
      <c r="DO64" s="291"/>
      <c r="DP64" s="291"/>
      <c r="DQ64" s="291"/>
      <c r="DR64" s="291"/>
      <c r="DS64" s="291"/>
      <c r="DT64" s="291"/>
      <c r="DU64" s="291"/>
      <c r="DV64" s="291"/>
      <c r="DW64" s="291"/>
      <c r="DX64" s="291"/>
      <c r="DY64" s="291"/>
      <c r="DZ64" s="291"/>
      <c r="EA64" s="291"/>
      <c r="EB64" s="291"/>
      <c r="EC64" s="291"/>
      <c r="ED64" s="291"/>
      <c r="EE64" s="291"/>
      <c r="EF64" s="291"/>
      <c r="EG64" s="291"/>
      <c r="EH64" s="291"/>
      <c r="EI64" s="291"/>
      <c r="EJ64" s="291"/>
      <c r="EK64" s="291"/>
      <c r="EL64" s="291"/>
      <c r="EM64" s="291"/>
      <c r="EN64" s="291"/>
      <c r="EO64" s="291"/>
      <c r="EP64" s="291"/>
      <c r="EQ64" s="291"/>
      <c r="ER64" s="291"/>
      <c r="ES64" s="291"/>
      <c r="ET64" s="291"/>
      <c r="EU64" s="291"/>
      <c r="EV64" s="291"/>
      <c r="EW64" s="291"/>
      <c r="EX64" s="291"/>
      <c r="EY64" s="291"/>
      <c r="EZ64" s="291"/>
      <c r="FA64" s="291"/>
      <c r="FB64" s="291"/>
      <c r="FC64" s="291"/>
      <c r="FD64" s="291"/>
      <c r="FE64" s="291"/>
      <c r="FF64" s="291"/>
      <c r="FG64" s="291"/>
      <c r="FH64" s="291"/>
      <c r="FI64" s="291"/>
      <c r="FJ64" s="291"/>
      <c r="FK64" s="291"/>
      <c r="FL64" s="291"/>
      <c r="FM64" s="291"/>
      <c r="FN64" s="291"/>
      <c r="FO64" s="291"/>
      <c r="FP64" s="291"/>
      <c r="FQ64" s="291"/>
      <c r="FR64" s="291"/>
      <c r="FS64" s="291"/>
      <c r="FT64" s="291"/>
      <c r="FU64" s="291"/>
      <c r="FV64" s="291"/>
      <c r="FW64" s="291"/>
      <c r="FX64" s="291"/>
      <c r="FY64" s="291"/>
      <c r="FZ64" s="291"/>
      <c r="GA64" s="291"/>
      <c r="GB64" s="291"/>
      <c r="GC64" s="291"/>
      <c r="GD64" s="291"/>
      <c r="GE64" s="291"/>
      <c r="GF64" s="291"/>
      <c r="GG64" s="291"/>
      <c r="GH64" s="291"/>
      <c r="GI64" s="291"/>
      <c r="GJ64" s="291"/>
      <c r="GK64" s="291"/>
      <c r="GL64" s="291"/>
      <c r="GM64" s="291"/>
      <c r="GN64" s="291"/>
      <c r="GO64" s="291"/>
      <c r="GP64" s="291"/>
      <c r="GQ64" s="291"/>
      <c r="GR64" s="291"/>
      <c r="GS64" s="291"/>
      <c r="GT64" s="291"/>
      <c r="GU64" s="291"/>
      <c r="GV64" s="291"/>
      <c r="GW64" s="291"/>
      <c r="GX64" s="291"/>
      <c r="GY64" s="291"/>
      <c r="GZ64" s="291"/>
      <c r="HA64" s="291"/>
      <c r="HB64" s="291"/>
      <c r="HC64" s="291"/>
      <c r="HD64" s="291"/>
      <c r="HE64" s="291"/>
      <c r="HF64" s="291"/>
      <c r="HG64" s="291"/>
      <c r="HH64" s="291"/>
      <c r="HI64" s="291"/>
      <c r="HJ64" s="291"/>
      <c r="HK64" s="291"/>
      <c r="HL64" s="291"/>
      <c r="HM64" s="291"/>
      <c r="HN64" s="291"/>
      <c r="HO64" s="291"/>
      <c r="HP64" s="291"/>
      <c r="HQ64" s="291"/>
      <c r="HR64" s="291"/>
      <c r="HS64" s="291"/>
      <c r="HT64" s="291"/>
      <c r="HU64" s="291"/>
      <c r="HV64" s="291"/>
      <c r="HW64" s="291"/>
      <c r="HX64" s="291"/>
      <c r="HY64" s="291"/>
      <c r="HZ64" s="291"/>
      <c r="IA64" s="291"/>
      <c r="IB64" s="291"/>
      <c r="IC64" s="291"/>
      <c r="ID64" s="291"/>
      <c r="IE64" s="291"/>
      <c r="IF64" s="291"/>
      <c r="IG64" s="291"/>
      <c r="IH64" s="291"/>
      <c r="II64" s="291"/>
      <c r="IJ64" s="291"/>
      <c r="IK64" s="291"/>
      <c r="IL64" s="291"/>
      <c r="IM64" s="291"/>
      <c r="IN64" s="291"/>
      <c r="IO64" s="291"/>
      <c r="IP64" s="291"/>
      <c r="IQ64" s="291"/>
      <c r="IR64" s="291"/>
      <c r="IS64" s="291"/>
      <c r="IT64" s="291"/>
      <c r="IU64" s="291"/>
      <c r="IV64" s="291"/>
      <c r="IW64" s="291"/>
      <c r="IX64" s="291"/>
      <c r="IY64" s="291"/>
      <c r="IZ64" s="291"/>
      <c r="JA64" s="291"/>
      <c r="JB64" s="291"/>
      <c r="JC64" s="291"/>
      <c r="JD64" s="291"/>
      <c r="JE64" s="291"/>
      <c r="JF64" s="291"/>
      <c r="JG64" s="291"/>
      <c r="JH64" s="291"/>
      <c r="JI64" s="291"/>
      <c r="JJ64" s="291"/>
      <c r="JK64" s="291"/>
      <c r="JL64" s="291"/>
      <c r="JM64" s="291"/>
      <c r="JN64" s="291"/>
      <c r="JO64" s="291"/>
      <c r="JP64" s="291"/>
      <c r="JQ64" s="291"/>
      <c r="JR64" s="291"/>
      <c r="JS64" s="291"/>
      <c r="JT64" s="291"/>
      <c r="JU64" s="291"/>
      <c r="JV64" s="291"/>
      <c r="JW64" s="291"/>
      <c r="JX64" s="291"/>
      <c r="JY64" s="291"/>
      <c r="JZ64" s="291"/>
      <c r="KA64" s="291"/>
      <c r="KB64" s="291"/>
      <c r="KC64" s="291"/>
      <c r="KD64" s="291"/>
      <c r="KE64" s="291"/>
      <c r="KF64" s="291"/>
      <c r="KG64" s="291"/>
      <c r="KH64" s="291"/>
      <c r="KI64" s="291"/>
      <c r="KJ64" s="291"/>
      <c r="KK64" s="291"/>
      <c r="KL64" s="291"/>
      <c r="KM64" s="291"/>
      <c r="KN64" s="291"/>
      <c r="KO64" s="291"/>
      <c r="KP64" s="291"/>
      <c r="KQ64" s="291"/>
      <c r="KR64" s="291"/>
      <c r="KS64" s="291"/>
      <c r="KT64" s="291"/>
      <c r="KU64" s="291"/>
      <c r="KV64" s="291"/>
      <c r="KW64" s="291"/>
      <c r="KX64" s="291"/>
      <c r="KY64" s="291"/>
      <c r="KZ64" s="291"/>
      <c r="LA64" s="291"/>
      <c r="LB64" s="291"/>
      <c r="LC64" s="291"/>
      <c r="LD64" s="291"/>
      <c r="LE64" s="291"/>
      <c r="LF64" s="291"/>
      <c r="LG64" s="291"/>
      <c r="LH64" s="291"/>
      <c r="LI64" s="291"/>
      <c r="LJ64" s="291"/>
      <c r="LK64" s="291"/>
      <c r="LL64" s="291"/>
      <c r="LM64" s="291"/>
      <c r="LN64" s="291"/>
      <c r="LO64" s="291"/>
      <c r="LP64" s="291"/>
      <c r="LQ64" s="291"/>
      <c r="LR64" s="291"/>
      <c r="LS64" s="291"/>
      <c r="LT64" s="291"/>
      <c r="LU64" s="291"/>
      <c r="LV64" s="291"/>
      <c r="LW64" s="291"/>
      <c r="LX64" s="291"/>
      <c r="LY64" s="291"/>
      <c r="LZ64" s="291"/>
      <c r="MA64" s="291"/>
      <c r="MB64" s="291"/>
      <c r="MC64" s="291"/>
      <c r="MD64" s="291"/>
      <c r="ME64" s="291"/>
      <c r="MF64" s="291"/>
      <c r="MG64" s="291"/>
      <c r="MH64" s="291"/>
      <c r="MI64" s="291"/>
      <c r="MJ64" s="291"/>
      <c r="MK64" s="291"/>
      <c r="ML64" s="291"/>
      <c r="MM64" s="291"/>
      <c r="MN64" s="291"/>
      <c r="MO64" s="291"/>
      <c r="MP64" s="291"/>
      <c r="MQ64" s="291"/>
      <c r="MR64" s="291"/>
      <c r="MS64" s="291"/>
      <c r="MT64" s="291"/>
      <c r="MU64" s="291"/>
      <c r="MV64" s="291"/>
      <c r="MW64" s="291"/>
      <c r="MX64" s="291"/>
      <c r="MY64" s="291"/>
      <c r="MZ64" s="291"/>
      <c r="NA64" s="291"/>
      <c r="NB64" s="291"/>
      <c r="NC64" s="291"/>
      <c r="ND64" s="291"/>
      <c r="NE64" s="291"/>
      <c r="NF64" s="291"/>
      <c r="NG64" s="291"/>
      <c r="NH64" s="291"/>
      <c r="NI64" s="291"/>
      <c r="NJ64" s="291"/>
      <c r="NK64" s="291"/>
      <c r="NL64" s="291"/>
      <c r="NM64" s="291"/>
      <c r="NN64" s="291"/>
      <c r="NO64" s="291"/>
      <c r="NP64" s="291"/>
      <c r="NQ64" s="291"/>
      <c r="NR64" s="291"/>
      <c r="NS64" s="291"/>
      <c r="NT64" s="291"/>
      <c r="NU64" s="291"/>
      <c r="NV64" s="291"/>
      <c r="NW64" s="291"/>
      <c r="NX64" s="291"/>
      <c r="NY64" s="291"/>
      <c r="NZ64" s="291"/>
      <c r="OA64" s="291"/>
      <c r="OB64" s="291"/>
      <c r="OC64" s="291"/>
      <c r="OD64" s="291"/>
      <c r="OE64" s="291"/>
      <c r="OF64" s="291"/>
      <c r="OG64" s="291"/>
      <c r="OH64" s="291"/>
      <c r="OI64" s="291"/>
      <c r="OJ64" s="291"/>
      <c r="OK64" s="291"/>
      <c r="OL64" s="291"/>
      <c r="OM64" s="291"/>
      <c r="ON64" s="291"/>
      <c r="OO64" s="291"/>
      <c r="OP64" s="291"/>
      <c r="OQ64" s="291"/>
      <c r="OR64" s="291"/>
      <c r="OS64" s="291"/>
      <c r="OT64" s="291"/>
      <c r="OU64" s="291"/>
      <c r="OV64" s="291"/>
      <c r="OW64" s="291"/>
    </row>
    <row r="65" spans="1:413" s="257" customFormat="1" hidden="1" x14ac:dyDescent="0.2">
      <c r="A65" s="291"/>
      <c r="B65" s="524">
        <f t="shared" si="3"/>
        <v>49</v>
      </c>
      <c r="C65" s="510" t="s">
        <v>38</v>
      </c>
      <c r="D65" s="511">
        <v>30084212</v>
      </c>
      <c r="E65" s="511"/>
      <c r="F65" s="512" t="s">
        <v>1184</v>
      </c>
      <c r="G65" s="513" t="s">
        <v>45</v>
      </c>
      <c r="H65" s="514" t="s">
        <v>1094</v>
      </c>
      <c r="I65" s="515" t="s">
        <v>1095</v>
      </c>
      <c r="J65" s="346" t="s">
        <v>42</v>
      </c>
      <c r="K65" s="526">
        <v>1516690</v>
      </c>
      <c r="L65" s="527">
        <v>562375</v>
      </c>
      <c r="M65" s="528">
        <v>2</v>
      </c>
      <c r="N65" s="519">
        <v>0</v>
      </c>
      <c r="O65" s="519">
        <v>259005</v>
      </c>
      <c r="P65" s="519">
        <v>98986</v>
      </c>
      <c r="Q65" s="519">
        <v>64152</v>
      </c>
      <c r="R65" s="519">
        <v>56231</v>
      </c>
      <c r="S65" s="520">
        <v>47818</v>
      </c>
      <c r="T65" s="18"/>
      <c r="U65" s="18"/>
      <c r="V65" s="18"/>
      <c r="W65" s="18"/>
      <c r="X65" s="18"/>
      <c r="Y65" s="18"/>
      <c r="Z65" s="18">
        <f t="shared" si="0"/>
        <v>526192</v>
      </c>
      <c r="AA65" s="309">
        <v>954313</v>
      </c>
      <c r="AB65" s="19">
        <v>5</v>
      </c>
      <c r="AC65" s="521">
        <v>44224</v>
      </c>
      <c r="AD65" s="25">
        <v>44251</v>
      </c>
      <c r="AE65" s="309"/>
      <c r="AF65" s="20"/>
      <c r="AG65" s="23"/>
      <c r="AH65" s="25"/>
      <c r="AI65" s="309"/>
      <c r="AJ65" s="19"/>
      <c r="AK65" s="23"/>
      <c r="AL65" s="25"/>
      <c r="AM65" s="309"/>
      <c r="AN65" s="19"/>
      <c r="AO65" s="21"/>
      <c r="AP65" s="25"/>
      <c r="AQ65" s="309"/>
      <c r="AR65" s="19"/>
      <c r="AS65" s="21"/>
      <c r="AT65" s="25"/>
      <c r="AU65" s="522">
        <f t="shared" si="1"/>
        <v>954313</v>
      </c>
      <c r="AV65" s="311">
        <f t="shared" si="2"/>
        <v>428121</v>
      </c>
      <c r="AW65" s="305"/>
      <c r="AX65" s="291"/>
      <c r="AY65" s="291"/>
      <c r="AZ65" s="291"/>
      <c r="BA65" s="291"/>
      <c r="BB65" s="291"/>
      <c r="BC65" s="291"/>
      <c r="BD65" s="291"/>
      <c r="BE65" s="291"/>
      <c r="BF65" s="291"/>
      <c r="BG65" s="291"/>
      <c r="BH65" s="291"/>
      <c r="BI65" s="291"/>
      <c r="BJ65" s="291"/>
      <c r="BK65" s="291"/>
      <c r="BL65" s="291"/>
      <c r="BM65" s="291"/>
      <c r="BN65" s="291"/>
      <c r="BO65" s="291"/>
      <c r="BP65" s="291"/>
      <c r="BQ65" s="291"/>
      <c r="BR65" s="291"/>
      <c r="BS65" s="291"/>
      <c r="BT65" s="291"/>
      <c r="BU65" s="291"/>
      <c r="BV65" s="291"/>
      <c r="BW65" s="291"/>
      <c r="BX65" s="291"/>
      <c r="BY65" s="291"/>
      <c r="BZ65" s="291"/>
      <c r="CA65" s="291"/>
      <c r="CB65" s="291"/>
      <c r="CC65" s="291"/>
      <c r="CD65" s="291"/>
      <c r="CE65" s="291"/>
      <c r="CF65" s="291"/>
      <c r="CG65" s="291"/>
      <c r="CH65" s="291"/>
      <c r="CI65" s="291"/>
      <c r="CJ65" s="291"/>
      <c r="CK65" s="291"/>
      <c r="CL65" s="291"/>
      <c r="CM65" s="291"/>
      <c r="CN65" s="291"/>
      <c r="CO65" s="291"/>
      <c r="CP65" s="291"/>
      <c r="CQ65" s="291"/>
      <c r="CR65" s="291"/>
      <c r="CS65" s="291"/>
      <c r="CT65" s="291"/>
      <c r="CU65" s="291"/>
      <c r="CV65" s="291"/>
      <c r="CW65" s="291"/>
      <c r="CX65" s="291"/>
      <c r="CY65" s="291"/>
      <c r="CZ65" s="291"/>
      <c r="DA65" s="291"/>
      <c r="DB65" s="291"/>
      <c r="DC65" s="291"/>
      <c r="DD65" s="291"/>
      <c r="DE65" s="291"/>
      <c r="DF65" s="291"/>
      <c r="DG65" s="291"/>
      <c r="DH65" s="291"/>
      <c r="DI65" s="291"/>
      <c r="DJ65" s="291"/>
      <c r="DK65" s="291"/>
      <c r="DL65" s="291"/>
      <c r="DM65" s="291"/>
      <c r="DN65" s="291"/>
      <c r="DO65" s="291"/>
      <c r="DP65" s="291"/>
      <c r="DQ65" s="291"/>
      <c r="DR65" s="291"/>
      <c r="DS65" s="291"/>
      <c r="DT65" s="291"/>
      <c r="DU65" s="291"/>
      <c r="DV65" s="291"/>
      <c r="DW65" s="291"/>
      <c r="DX65" s="291"/>
      <c r="DY65" s="291"/>
      <c r="DZ65" s="291"/>
      <c r="EA65" s="291"/>
      <c r="EB65" s="291"/>
      <c r="EC65" s="291"/>
      <c r="ED65" s="291"/>
      <c r="EE65" s="291"/>
      <c r="EF65" s="291"/>
      <c r="EG65" s="291"/>
      <c r="EH65" s="291"/>
      <c r="EI65" s="291"/>
      <c r="EJ65" s="291"/>
      <c r="EK65" s="291"/>
      <c r="EL65" s="291"/>
      <c r="EM65" s="291"/>
      <c r="EN65" s="291"/>
      <c r="EO65" s="291"/>
      <c r="EP65" s="291"/>
      <c r="EQ65" s="291"/>
      <c r="ER65" s="291"/>
      <c r="ES65" s="291"/>
      <c r="ET65" s="291"/>
      <c r="EU65" s="291"/>
      <c r="EV65" s="291"/>
      <c r="EW65" s="291"/>
      <c r="EX65" s="291"/>
      <c r="EY65" s="291"/>
      <c r="EZ65" s="291"/>
      <c r="FA65" s="291"/>
      <c r="FB65" s="291"/>
      <c r="FC65" s="291"/>
      <c r="FD65" s="291"/>
      <c r="FE65" s="291"/>
      <c r="FF65" s="291"/>
      <c r="FG65" s="291"/>
      <c r="FH65" s="291"/>
      <c r="FI65" s="291"/>
      <c r="FJ65" s="291"/>
      <c r="FK65" s="291"/>
      <c r="FL65" s="291"/>
      <c r="FM65" s="291"/>
      <c r="FN65" s="291"/>
      <c r="FO65" s="291"/>
      <c r="FP65" s="291"/>
      <c r="FQ65" s="291"/>
      <c r="FR65" s="291"/>
      <c r="FS65" s="291"/>
      <c r="FT65" s="291"/>
      <c r="FU65" s="291"/>
      <c r="FV65" s="291"/>
      <c r="FW65" s="291"/>
      <c r="FX65" s="291"/>
      <c r="FY65" s="291"/>
      <c r="FZ65" s="291"/>
      <c r="GA65" s="291"/>
      <c r="GB65" s="291"/>
      <c r="GC65" s="291"/>
      <c r="GD65" s="291"/>
      <c r="GE65" s="291"/>
      <c r="GF65" s="291"/>
      <c r="GG65" s="291"/>
      <c r="GH65" s="291"/>
      <c r="GI65" s="291"/>
      <c r="GJ65" s="291"/>
      <c r="GK65" s="291"/>
      <c r="GL65" s="291"/>
      <c r="GM65" s="291"/>
      <c r="GN65" s="291"/>
      <c r="GO65" s="291"/>
      <c r="GP65" s="291"/>
      <c r="GQ65" s="291"/>
      <c r="GR65" s="291"/>
      <c r="GS65" s="291"/>
      <c r="GT65" s="291"/>
      <c r="GU65" s="291"/>
      <c r="GV65" s="291"/>
      <c r="GW65" s="291"/>
      <c r="GX65" s="291"/>
      <c r="GY65" s="291"/>
      <c r="GZ65" s="291"/>
      <c r="HA65" s="291"/>
      <c r="HB65" s="291"/>
      <c r="HC65" s="291"/>
      <c r="HD65" s="291"/>
      <c r="HE65" s="291"/>
      <c r="HF65" s="291"/>
      <c r="HG65" s="291"/>
      <c r="HH65" s="291"/>
      <c r="HI65" s="291"/>
      <c r="HJ65" s="291"/>
      <c r="HK65" s="291"/>
      <c r="HL65" s="291"/>
      <c r="HM65" s="291"/>
      <c r="HN65" s="291"/>
      <c r="HO65" s="291"/>
      <c r="HP65" s="291"/>
      <c r="HQ65" s="291"/>
      <c r="HR65" s="291"/>
      <c r="HS65" s="291"/>
      <c r="HT65" s="291"/>
      <c r="HU65" s="291"/>
      <c r="HV65" s="291"/>
      <c r="HW65" s="291"/>
      <c r="HX65" s="291"/>
      <c r="HY65" s="291"/>
      <c r="HZ65" s="291"/>
      <c r="IA65" s="291"/>
      <c r="IB65" s="291"/>
      <c r="IC65" s="291"/>
      <c r="ID65" s="291"/>
      <c r="IE65" s="291"/>
      <c r="IF65" s="291"/>
      <c r="IG65" s="291"/>
      <c r="IH65" s="291"/>
      <c r="II65" s="291"/>
      <c r="IJ65" s="291"/>
      <c r="IK65" s="291"/>
      <c r="IL65" s="291"/>
      <c r="IM65" s="291"/>
      <c r="IN65" s="291"/>
      <c r="IO65" s="291"/>
      <c r="IP65" s="291"/>
      <c r="IQ65" s="291"/>
      <c r="IR65" s="291"/>
      <c r="IS65" s="291"/>
      <c r="IT65" s="291"/>
      <c r="IU65" s="291"/>
      <c r="IV65" s="291"/>
      <c r="IW65" s="291"/>
      <c r="IX65" s="291"/>
      <c r="IY65" s="291"/>
      <c r="IZ65" s="291"/>
      <c r="JA65" s="291"/>
      <c r="JB65" s="291"/>
      <c r="JC65" s="291"/>
      <c r="JD65" s="291"/>
      <c r="JE65" s="291"/>
      <c r="JF65" s="291"/>
      <c r="JG65" s="291"/>
      <c r="JH65" s="291"/>
      <c r="JI65" s="291"/>
      <c r="JJ65" s="291"/>
      <c r="JK65" s="291"/>
      <c r="JL65" s="291"/>
      <c r="JM65" s="291"/>
      <c r="JN65" s="291"/>
      <c r="JO65" s="291"/>
      <c r="JP65" s="291"/>
      <c r="JQ65" s="291"/>
      <c r="JR65" s="291"/>
      <c r="JS65" s="291"/>
      <c r="JT65" s="291"/>
      <c r="JU65" s="291"/>
      <c r="JV65" s="291"/>
      <c r="JW65" s="291"/>
      <c r="JX65" s="291"/>
      <c r="JY65" s="291"/>
      <c r="JZ65" s="291"/>
      <c r="KA65" s="291"/>
      <c r="KB65" s="291"/>
      <c r="KC65" s="291"/>
      <c r="KD65" s="291"/>
      <c r="KE65" s="291"/>
      <c r="KF65" s="291"/>
      <c r="KG65" s="291"/>
      <c r="KH65" s="291"/>
      <c r="KI65" s="291"/>
      <c r="KJ65" s="291"/>
      <c r="KK65" s="291"/>
      <c r="KL65" s="291"/>
      <c r="KM65" s="291"/>
      <c r="KN65" s="291"/>
      <c r="KO65" s="291"/>
      <c r="KP65" s="291"/>
      <c r="KQ65" s="291"/>
      <c r="KR65" s="291"/>
      <c r="KS65" s="291"/>
      <c r="KT65" s="291"/>
      <c r="KU65" s="291"/>
      <c r="KV65" s="291"/>
      <c r="KW65" s="291"/>
      <c r="KX65" s="291"/>
      <c r="KY65" s="291"/>
      <c r="KZ65" s="291"/>
      <c r="LA65" s="291"/>
      <c r="LB65" s="291"/>
      <c r="LC65" s="291"/>
      <c r="LD65" s="291"/>
      <c r="LE65" s="291"/>
      <c r="LF65" s="291"/>
      <c r="LG65" s="291"/>
      <c r="LH65" s="291"/>
      <c r="LI65" s="291"/>
      <c r="LJ65" s="291"/>
      <c r="LK65" s="291"/>
      <c r="LL65" s="291"/>
      <c r="LM65" s="291"/>
      <c r="LN65" s="291"/>
      <c r="LO65" s="291"/>
      <c r="LP65" s="291"/>
      <c r="LQ65" s="291"/>
      <c r="LR65" s="291"/>
      <c r="LS65" s="291"/>
      <c r="LT65" s="291"/>
      <c r="LU65" s="291"/>
      <c r="LV65" s="291"/>
      <c r="LW65" s="291"/>
      <c r="LX65" s="291"/>
      <c r="LY65" s="291"/>
      <c r="LZ65" s="291"/>
      <c r="MA65" s="291"/>
      <c r="MB65" s="291"/>
      <c r="MC65" s="291"/>
      <c r="MD65" s="291"/>
      <c r="ME65" s="291"/>
      <c r="MF65" s="291"/>
      <c r="MG65" s="291"/>
      <c r="MH65" s="291"/>
      <c r="MI65" s="291"/>
      <c r="MJ65" s="291"/>
      <c r="MK65" s="291"/>
      <c r="ML65" s="291"/>
      <c r="MM65" s="291"/>
      <c r="MN65" s="291"/>
      <c r="MO65" s="291"/>
      <c r="MP65" s="291"/>
      <c r="MQ65" s="291"/>
      <c r="MR65" s="291"/>
      <c r="MS65" s="291"/>
      <c r="MT65" s="291"/>
      <c r="MU65" s="291"/>
      <c r="MV65" s="291"/>
      <c r="MW65" s="291"/>
      <c r="MX65" s="291"/>
      <c r="MY65" s="291"/>
      <c r="MZ65" s="291"/>
      <c r="NA65" s="291"/>
      <c r="NB65" s="291"/>
      <c r="NC65" s="291"/>
      <c r="ND65" s="291"/>
      <c r="NE65" s="291"/>
      <c r="NF65" s="291"/>
      <c r="NG65" s="291"/>
      <c r="NH65" s="291"/>
      <c r="NI65" s="291"/>
      <c r="NJ65" s="291"/>
      <c r="NK65" s="291"/>
      <c r="NL65" s="291"/>
      <c r="NM65" s="291"/>
      <c r="NN65" s="291"/>
      <c r="NO65" s="291"/>
      <c r="NP65" s="291"/>
      <c r="NQ65" s="291"/>
      <c r="NR65" s="291"/>
      <c r="NS65" s="291"/>
      <c r="NT65" s="291"/>
      <c r="NU65" s="291"/>
      <c r="NV65" s="291"/>
      <c r="NW65" s="291"/>
      <c r="NX65" s="291"/>
      <c r="NY65" s="291"/>
      <c r="NZ65" s="291"/>
      <c r="OA65" s="291"/>
      <c r="OB65" s="291"/>
      <c r="OC65" s="291"/>
      <c r="OD65" s="291"/>
      <c r="OE65" s="291"/>
      <c r="OF65" s="291"/>
      <c r="OG65" s="291"/>
      <c r="OH65" s="291"/>
      <c r="OI65" s="291"/>
      <c r="OJ65" s="291"/>
      <c r="OK65" s="291"/>
      <c r="OL65" s="291"/>
      <c r="OM65" s="291"/>
      <c r="ON65" s="291"/>
      <c r="OO65" s="291"/>
      <c r="OP65" s="291"/>
      <c r="OQ65" s="291"/>
      <c r="OR65" s="291"/>
      <c r="OS65" s="291"/>
      <c r="OT65" s="291"/>
      <c r="OU65" s="291"/>
      <c r="OV65" s="291"/>
      <c r="OW65" s="291"/>
    </row>
    <row r="66" spans="1:413" s="257" customFormat="1" hidden="1" x14ac:dyDescent="0.2">
      <c r="A66" s="291"/>
      <c r="B66" s="524">
        <f t="shared" si="3"/>
        <v>50</v>
      </c>
      <c r="C66" s="510" t="s">
        <v>38</v>
      </c>
      <c r="D66" s="511">
        <v>30084551</v>
      </c>
      <c r="E66" s="511"/>
      <c r="F66" s="512" t="s">
        <v>1185</v>
      </c>
      <c r="G66" s="513" t="s">
        <v>45</v>
      </c>
      <c r="H66" s="514" t="s">
        <v>1094</v>
      </c>
      <c r="I66" s="515" t="s">
        <v>1099</v>
      </c>
      <c r="J66" s="346" t="s">
        <v>42</v>
      </c>
      <c r="K66" s="526">
        <v>5188085</v>
      </c>
      <c r="L66" s="527">
        <v>497530</v>
      </c>
      <c r="M66" s="528">
        <v>2967669</v>
      </c>
      <c r="N66" s="519">
        <v>0</v>
      </c>
      <c r="O66" s="519">
        <v>107216</v>
      </c>
      <c r="P66" s="519">
        <v>29128</v>
      </c>
      <c r="Q66" s="519">
        <v>349900</v>
      </c>
      <c r="R66" s="519">
        <v>178827</v>
      </c>
      <c r="S66" s="520">
        <v>230377</v>
      </c>
      <c r="T66" s="18"/>
      <c r="U66" s="18"/>
      <c r="V66" s="18"/>
      <c r="W66" s="18"/>
      <c r="X66" s="18"/>
      <c r="Y66" s="18"/>
      <c r="Z66" s="18">
        <f t="shared" si="0"/>
        <v>895448</v>
      </c>
      <c r="AA66" s="309">
        <v>1722802</v>
      </c>
      <c r="AB66" s="19">
        <v>11</v>
      </c>
      <c r="AC66" s="521">
        <v>44237</v>
      </c>
      <c r="AD66" s="25">
        <v>44251</v>
      </c>
      <c r="AE66" s="309"/>
      <c r="AF66" s="20"/>
      <c r="AG66" s="23"/>
      <c r="AH66" s="25"/>
      <c r="AI66" s="309"/>
      <c r="AJ66" s="19"/>
      <c r="AK66" s="23"/>
      <c r="AL66" s="25"/>
      <c r="AM66" s="309"/>
      <c r="AN66" s="19"/>
      <c r="AO66" s="21"/>
      <c r="AP66" s="25"/>
      <c r="AQ66" s="309"/>
      <c r="AR66" s="19"/>
      <c r="AS66" s="21"/>
      <c r="AT66" s="25"/>
      <c r="AU66" s="522">
        <f t="shared" si="1"/>
        <v>1722802</v>
      </c>
      <c r="AV66" s="311">
        <f t="shared" si="2"/>
        <v>827354</v>
      </c>
      <c r="AW66" s="305"/>
      <c r="AX66" s="291"/>
      <c r="AY66" s="291"/>
      <c r="AZ66" s="291"/>
      <c r="BA66" s="291"/>
      <c r="BB66" s="291"/>
      <c r="BC66" s="291"/>
      <c r="BD66" s="291"/>
      <c r="BE66" s="291"/>
      <c r="BF66" s="291"/>
      <c r="BG66" s="291"/>
      <c r="BH66" s="291"/>
      <c r="BI66" s="291"/>
      <c r="BJ66" s="291"/>
      <c r="BK66" s="291"/>
      <c r="BL66" s="291"/>
      <c r="BM66" s="291"/>
      <c r="BN66" s="291"/>
      <c r="BO66" s="291"/>
      <c r="BP66" s="291"/>
      <c r="BQ66" s="291"/>
      <c r="BR66" s="291"/>
      <c r="BS66" s="291"/>
      <c r="BT66" s="291"/>
      <c r="BU66" s="291"/>
      <c r="BV66" s="291"/>
      <c r="BW66" s="291"/>
      <c r="BX66" s="291"/>
      <c r="BY66" s="291"/>
      <c r="BZ66" s="291"/>
      <c r="CA66" s="291"/>
      <c r="CB66" s="291"/>
      <c r="CC66" s="291"/>
      <c r="CD66" s="291"/>
      <c r="CE66" s="291"/>
      <c r="CF66" s="291"/>
      <c r="CG66" s="291"/>
      <c r="CH66" s="291"/>
      <c r="CI66" s="291"/>
      <c r="CJ66" s="291"/>
      <c r="CK66" s="291"/>
      <c r="CL66" s="291"/>
      <c r="CM66" s="291"/>
      <c r="CN66" s="291"/>
      <c r="CO66" s="291"/>
      <c r="CP66" s="291"/>
      <c r="CQ66" s="291"/>
      <c r="CR66" s="291"/>
      <c r="CS66" s="291"/>
      <c r="CT66" s="291"/>
      <c r="CU66" s="291"/>
      <c r="CV66" s="291"/>
      <c r="CW66" s="291"/>
      <c r="CX66" s="291"/>
      <c r="CY66" s="291"/>
      <c r="CZ66" s="291"/>
      <c r="DA66" s="291"/>
      <c r="DB66" s="291"/>
      <c r="DC66" s="291"/>
      <c r="DD66" s="291"/>
      <c r="DE66" s="291"/>
      <c r="DF66" s="291"/>
      <c r="DG66" s="291"/>
      <c r="DH66" s="291"/>
      <c r="DI66" s="291"/>
      <c r="DJ66" s="291"/>
      <c r="DK66" s="291"/>
      <c r="DL66" s="291"/>
      <c r="DM66" s="291"/>
      <c r="DN66" s="291"/>
      <c r="DO66" s="291"/>
      <c r="DP66" s="291"/>
      <c r="DQ66" s="291"/>
      <c r="DR66" s="291"/>
      <c r="DS66" s="291"/>
      <c r="DT66" s="291"/>
      <c r="DU66" s="291"/>
      <c r="DV66" s="291"/>
      <c r="DW66" s="291"/>
      <c r="DX66" s="291"/>
      <c r="DY66" s="291"/>
      <c r="DZ66" s="291"/>
      <c r="EA66" s="291"/>
      <c r="EB66" s="291"/>
      <c r="EC66" s="291"/>
      <c r="ED66" s="291"/>
      <c r="EE66" s="291"/>
      <c r="EF66" s="291"/>
      <c r="EG66" s="291"/>
      <c r="EH66" s="291"/>
      <c r="EI66" s="291"/>
      <c r="EJ66" s="291"/>
      <c r="EK66" s="291"/>
      <c r="EL66" s="291"/>
      <c r="EM66" s="291"/>
      <c r="EN66" s="291"/>
      <c r="EO66" s="291"/>
      <c r="EP66" s="291"/>
      <c r="EQ66" s="291"/>
      <c r="ER66" s="291"/>
      <c r="ES66" s="291"/>
      <c r="ET66" s="291"/>
      <c r="EU66" s="291"/>
      <c r="EV66" s="291"/>
      <c r="EW66" s="291"/>
      <c r="EX66" s="291"/>
      <c r="EY66" s="291"/>
      <c r="EZ66" s="291"/>
      <c r="FA66" s="291"/>
      <c r="FB66" s="291"/>
      <c r="FC66" s="291"/>
      <c r="FD66" s="291"/>
      <c r="FE66" s="291"/>
      <c r="FF66" s="291"/>
      <c r="FG66" s="291"/>
      <c r="FH66" s="291"/>
      <c r="FI66" s="291"/>
      <c r="FJ66" s="291"/>
      <c r="FK66" s="291"/>
      <c r="FL66" s="291"/>
      <c r="FM66" s="291"/>
      <c r="FN66" s="291"/>
      <c r="FO66" s="291"/>
      <c r="FP66" s="291"/>
      <c r="FQ66" s="291"/>
      <c r="FR66" s="291"/>
      <c r="FS66" s="291"/>
      <c r="FT66" s="291"/>
      <c r="FU66" s="291"/>
      <c r="FV66" s="291"/>
      <c r="FW66" s="291"/>
      <c r="FX66" s="291"/>
      <c r="FY66" s="291"/>
      <c r="FZ66" s="291"/>
      <c r="GA66" s="291"/>
      <c r="GB66" s="291"/>
      <c r="GC66" s="291"/>
      <c r="GD66" s="291"/>
      <c r="GE66" s="291"/>
      <c r="GF66" s="291"/>
      <c r="GG66" s="291"/>
      <c r="GH66" s="291"/>
      <c r="GI66" s="291"/>
      <c r="GJ66" s="291"/>
      <c r="GK66" s="291"/>
      <c r="GL66" s="291"/>
      <c r="GM66" s="291"/>
      <c r="GN66" s="291"/>
      <c r="GO66" s="291"/>
      <c r="GP66" s="291"/>
      <c r="GQ66" s="291"/>
      <c r="GR66" s="291"/>
      <c r="GS66" s="291"/>
      <c r="GT66" s="291"/>
      <c r="GU66" s="291"/>
      <c r="GV66" s="291"/>
      <c r="GW66" s="291"/>
      <c r="GX66" s="291"/>
      <c r="GY66" s="291"/>
      <c r="GZ66" s="291"/>
      <c r="HA66" s="291"/>
      <c r="HB66" s="291"/>
      <c r="HC66" s="291"/>
      <c r="HD66" s="291"/>
      <c r="HE66" s="291"/>
      <c r="HF66" s="291"/>
      <c r="HG66" s="291"/>
      <c r="HH66" s="291"/>
      <c r="HI66" s="291"/>
      <c r="HJ66" s="291"/>
      <c r="HK66" s="291"/>
      <c r="HL66" s="291"/>
      <c r="HM66" s="291"/>
      <c r="HN66" s="291"/>
      <c r="HO66" s="291"/>
      <c r="HP66" s="291"/>
      <c r="HQ66" s="291"/>
      <c r="HR66" s="291"/>
      <c r="HS66" s="291"/>
      <c r="HT66" s="291"/>
      <c r="HU66" s="291"/>
      <c r="HV66" s="291"/>
      <c r="HW66" s="291"/>
      <c r="HX66" s="291"/>
      <c r="HY66" s="291"/>
      <c r="HZ66" s="291"/>
      <c r="IA66" s="291"/>
      <c r="IB66" s="291"/>
      <c r="IC66" s="291"/>
      <c r="ID66" s="291"/>
      <c r="IE66" s="291"/>
      <c r="IF66" s="291"/>
      <c r="IG66" s="291"/>
      <c r="IH66" s="291"/>
      <c r="II66" s="291"/>
      <c r="IJ66" s="291"/>
      <c r="IK66" s="291"/>
      <c r="IL66" s="291"/>
      <c r="IM66" s="291"/>
      <c r="IN66" s="291"/>
      <c r="IO66" s="291"/>
      <c r="IP66" s="291"/>
      <c r="IQ66" s="291"/>
      <c r="IR66" s="291"/>
      <c r="IS66" s="291"/>
      <c r="IT66" s="291"/>
      <c r="IU66" s="291"/>
      <c r="IV66" s="291"/>
      <c r="IW66" s="291"/>
      <c r="IX66" s="291"/>
      <c r="IY66" s="291"/>
      <c r="IZ66" s="291"/>
      <c r="JA66" s="291"/>
      <c r="JB66" s="291"/>
      <c r="JC66" s="291"/>
      <c r="JD66" s="291"/>
      <c r="JE66" s="291"/>
      <c r="JF66" s="291"/>
      <c r="JG66" s="291"/>
      <c r="JH66" s="291"/>
      <c r="JI66" s="291"/>
      <c r="JJ66" s="291"/>
      <c r="JK66" s="291"/>
      <c r="JL66" s="291"/>
      <c r="JM66" s="291"/>
      <c r="JN66" s="291"/>
      <c r="JO66" s="291"/>
      <c r="JP66" s="291"/>
      <c r="JQ66" s="291"/>
      <c r="JR66" s="291"/>
      <c r="JS66" s="291"/>
      <c r="JT66" s="291"/>
      <c r="JU66" s="291"/>
      <c r="JV66" s="291"/>
      <c r="JW66" s="291"/>
      <c r="JX66" s="291"/>
      <c r="JY66" s="291"/>
      <c r="JZ66" s="291"/>
      <c r="KA66" s="291"/>
      <c r="KB66" s="291"/>
      <c r="KC66" s="291"/>
      <c r="KD66" s="291"/>
      <c r="KE66" s="291"/>
      <c r="KF66" s="291"/>
      <c r="KG66" s="291"/>
      <c r="KH66" s="291"/>
      <c r="KI66" s="291"/>
      <c r="KJ66" s="291"/>
      <c r="KK66" s="291"/>
      <c r="KL66" s="291"/>
      <c r="KM66" s="291"/>
      <c r="KN66" s="291"/>
      <c r="KO66" s="291"/>
      <c r="KP66" s="291"/>
      <c r="KQ66" s="291"/>
      <c r="KR66" s="291"/>
      <c r="KS66" s="291"/>
      <c r="KT66" s="291"/>
      <c r="KU66" s="291"/>
      <c r="KV66" s="291"/>
      <c r="KW66" s="291"/>
      <c r="KX66" s="291"/>
      <c r="KY66" s="291"/>
      <c r="KZ66" s="291"/>
      <c r="LA66" s="291"/>
      <c r="LB66" s="291"/>
      <c r="LC66" s="291"/>
      <c r="LD66" s="291"/>
      <c r="LE66" s="291"/>
      <c r="LF66" s="291"/>
      <c r="LG66" s="291"/>
      <c r="LH66" s="291"/>
      <c r="LI66" s="291"/>
      <c r="LJ66" s="291"/>
      <c r="LK66" s="291"/>
      <c r="LL66" s="291"/>
      <c r="LM66" s="291"/>
      <c r="LN66" s="291"/>
      <c r="LO66" s="291"/>
      <c r="LP66" s="291"/>
      <c r="LQ66" s="291"/>
      <c r="LR66" s="291"/>
      <c r="LS66" s="291"/>
      <c r="LT66" s="291"/>
      <c r="LU66" s="291"/>
      <c r="LV66" s="291"/>
      <c r="LW66" s="291"/>
      <c r="LX66" s="291"/>
      <c r="LY66" s="291"/>
      <c r="LZ66" s="291"/>
      <c r="MA66" s="291"/>
      <c r="MB66" s="291"/>
      <c r="MC66" s="291"/>
      <c r="MD66" s="291"/>
      <c r="ME66" s="291"/>
      <c r="MF66" s="291"/>
      <c r="MG66" s="291"/>
      <c r="MH66" s="291"/>
      <c r="MI66" s="291"/>
      <c r="MJ66" s="291"/>
      <c r="MK66" s="291"/>
      <c r="ML66" s="291"/>
      <c r="MM66" s="291"/>
      <c r="MN66" s="291"/>
      <c r="MO66" s="291"/>
      <c r="MP66" s="291"/>
      <c r="MQ66" s="291"/>
      <c r="MR66" s="291"/>
      <c r="MS66" s="291"/>
      <c r="MT66" s="291"/>
      <c r="MU66" s="291"/>
      <c r="MV66" s="291"/>
      <c r="MW66" s="291"/>
      <c r="MX66" s="291"/>
      <c r="MY66" s="291"/>
      <c r="MZ66" s="291"/>
      <c r="NA66" s="291"/>
      <c r="NB66" s="291"/>
      <c r="NC66" s="291"/>
      <c r="ND66" s="291"/>
      <c r="NE66" s="291"/>
      <c r="NF66" s="291"/>
      <c r="NG66" s="291"/>
      <c r="NH66" s="291"/>
      <c r="NI66" s="291"/>
      <c r="NJ66" s="291"/>
      <c r="NK66" s="291"/>
      <c r="NL66" s="291"/>
      <c r="NM66" s="291"/>
      <c r="NN66" s="291"/>
      <c r="NO66" s="291"/>
      <c r="NP66" s="291"/>
      <c r="NQ66" s="291"/>
      <c r="NR66" s="291"/>
      <c r="NS66" s="291"/>
      <c r="NT66" s="291"/>
      <c r="NU66" s="291"/>
      <c r="NV66" s="291"/>
      <c r="NW66" s="291"/>
      <c r="NX66" s="291"/>
      <c r="NY66" s="291"/>
      <c r="NZ66" s="291"/>
      <c r="OA66" s="291"/>
      <c r="OB66" s="291"/>
      <c r="OC66" s="291"/>
      <c r="OD66" s="291"/>
      <c r="OE66" s="291"/>
      <c r="OF66" s="291"/>
      <c r="OG66" s="291"/>
      <c r="OH66" s="291"/>
      <c r="OI66" s="291"/>
      <c r="OJ66" s="291"/>
      <c r="OK66" s="291"/>
      <c r="OL66" s="291"/>
      <c r="OM66" s="291"/>
      <c r="ON66" s="291"/>
      <c r="OO66" s="291"/>
      <c r="OP66" s="291"/>
      <c r="OQ66" s="291"/>
      <c r="OR66" s="291"/>
      <c r="OS66" s="291"/>
      <c r="OT66" s="291"/>
      <c r="OU66" s="291"/>
      <c r="OV66" s="291"/>
      <c r="OW66" s="291"/>
    </row>
    <row r="67" spans="1:413" s="257" customFormat="1" hidden="1" x14ac:dyDescent="0.2">
      <c r="A67" s="291"/>
      <c r="B67" s="524">
        <f t="shared" si="3"/>
        <v>51</v>
      </c>
      <c r="C67" s="510" t="s">
        <v>38</v>
      </c>
      <c r="D67" s="511" t="s">
        <v>1186</v>
      </c>
      <c r="E67" s="511"/>
      <c r="F67" s="512" t="s">
        <v>1187</v>
      </c>
      <c r="G67" s="513" t="s">
        <v>897</v>
      </c>
      <c r="H67" s="514" t="s">
        <v>1098</v>
      </c>
      <c r="I67" s="515" t="s">
        <v>1171</v>
      </c>
      <c r="J67" s="346"/>
      <c r="K67" s="526">
        <v>1487944</v>
      </c>
      <c r="L67" s="527">
        <v>0</v>
      </c>
      <c r="M67" s="528">
        <v>1267944</v>
      </c>
      <c r="N67" s="519">
        <v>0</v>
      </c>
      <c r="O67" s="519">
        <v>0</v>
      </c>
      <c r="P67" s="519">
        <v>0</v>
      </c>
      <c r="Q67" s="519">
        <v>0</v>
      </c>
      <c r="R67" s="519">
        <v>0</v>
      </c>
      <c r="S67" s="520">
        <v>0</v>
      </c>
      <c r="T67" s="18"/>
      <c r="U67" s="18"/>
      <c r="V67" s="18"/>
      <c r="W67" s="18"/>
      <c r="X67" s="18"/>
      <c r="Y67" s="18"/>
      <c r="Z67" s="18">
        <f t="shared" si="0"/>
        <v>0</v>
      </c>
      <c r="AA67" s="309">
        <v>220000</v>
      </c>
      <c r="AB67" s="19">
        <v>50</v>
      </c>
      <c r="AC67" s="521">
        <v>44356</v>
      </c>
      <c r="AD67" s="25">
        <v>44377</v>
      </c>
      <c r="AE67" s="309"/>
      <c r="AF67" s="20"/>
      <c r="AG67" s="23"/>
      <c r="AH67" s="25"/>
      <c r="AI67" s="309"/>
      <c r="AJ67" s="19"/>
      <c r="AK67" s="23"/>
      <c r="AL67" s="25"/>
      <c r="AM67" s="309"/>
      <c r="AN67" s="19"/>
      <c r="AO67" s="21"/>
      <c r="AP67" s="25"/>
      <c r="AQ67" s="309"/>
      <c r="AR67" s="19"/>
      <c r="AS67" s="21"/>
      <c r="AT67" s="25"/>
      <c r="AU67" s="522">
        <f t="shared" si="1"/>
        <v>220000</v>
      </c>
      <c r="AV67" s="311">
        <f t="shared" si="2"/>
        <v>220000</v>
      </c>
      <c r="AW67" s="305"/>
      <c r="AX67" s="291"/>
      <c r="AY67" s="291"/>
      <c r="AZ67" s="291"/>
      <c r="BA67" s="291"/>
      <c r="BB67" s="291"/>
      <c r="BC67" s="291"/>
      <c r="BD67" s="291"/>
      <c r="BE67" s="291"/>
      <c r="BF67" s="291"/>
      <c r="BG67" s="291"/>
      <c r="BH67" s="291"/>
      <c r="BI67" s="291"/>
      <c r="BJ67" s="291"/>
      <c r="BK67" s="291"/>
      <c r="BL67" s="291"/>
      <c r="BM67" s="291"/>
      <c r="BN67" s="291"/>
      <c r="BO67" s="291"/>
      <c r="BP67" s="291"/>
      <c r="BQ67" s="291"/>
      <c r="BR67" s="291"/>
      <c r="BS67" s="291"/>
      <c r="BT67" s="291"/>
      <c r="BU67" s="291"/>
      <c r="BV67" s="291"/>
      <c r="BW67" s="291"/>
      <c r="BX67" s="291"/>
      <c r="BY67" s="291"/>
      <c r="BZ67" s="291"/>
      <c r="CA67" s="291"/>
      <c r="CB67" s="291"/>
      <c r="CC67" s="291"/>
      <c r="CD67" s="291"/>
      <c r="CE67" s="291"/>
      <c r="CF67" s="291"/>
      <c r="CG67" s="291"/>
      <c r="CH67" s="291"/>
      <c r="CI67" s="291"/>
      <c r="CJ67" s="291"/>
      <c r="CK67" s="291"/>
      <c r="CL67" s="291"/>
      <c r="CM67" s="291"/>
      <c r="CN67" s="291"/>
      <c r="CO67" s="291"/>
      <c r="CP67" s="291"/>
      <c r="CQ67" s="291"/>
      <c r="CR67" s="291"/>
      <c r="CS67" s="291"/>
      <c r="CT67" s="291"/>
      <c r="CU67" s="291"/>
      <c r="CV67" s="291"/>
      <c r="CW67" s="291"/>
      <c r="CX67" s="291"/>
      <c r="CY67" s="291"/>
      <c r="CZ67" s="291"/>
      <c r="DA67" s="291"/>
      <c r="DB67" s="291"/>
      <c r="DC67" s="291"/>
      <c r="DD67" s="291"/>
      <c r="DE67" s="291"/>
      <c r="DF67" s="291"/>
      <c r="DG67" s="291"/>
      <c r="DH67" s="291"/>
      <c r="DI67" s="291"/>
      <c r="DJ67" s="291"/>
      <c r="DK67" s="291"/>
      <c r="DL67" s="291"/>
      <c r="DM67" s="291"/>
      <c r="DN67" s="291"/>
      <c r="DO67" s="291"/>
      <c r="DP67" s="291"/>
      <c r="DQ67" s="291"/>
      <c r="DR67" s="291"/>
      <c r="DS67" s="291"/>
      <c r="DT67" s="291"/>
      <c r="DU67" s="291"/>
      <c r="DV67" s="291"/>
      <c r="DW67" s="291"/>
      <c r="DX67" s="291"/>
      <c r="DY67" s="291"/>
      <c r="DZ67" s="291"/>
      <c r="EA67" s="291"/>
      <c r="EB67" s="291"/>
      <c r="EC67" s="291"/>
      <c r="ED67" s="291"/>
      <c r="EE67" s="291"/>
      <c r="EF67" s="291"/>
      <c r="EG67" s="291"/>
      <c r="EH67" s="291"/>
      <c r="EI67" s="291"/>
      <c r="EJ67" s="291"/>
      <c r="EK67" s="291"/>
      <c r="EL67" s="291"/>
      <c r="EM67" s="291"/>
      <c r="EN67" s="291"/>
      <c r="EO67" s="291"/>
      <c r="EP67" s="291"/>
      <c r="EQ67" s="291"/>
      <c r="ER67" s="291"/>
      <c r="ES67" s="291"/>
      <c r="ET67" s="291"/>
      <c r="EU67" s="291"/>
      <c r="EV67" s="291"/>
      <c r="EW67" s="291"/>
      <c r="EX67" s="291"/>
      <c r="EY67" s="291"/>
      <c r="EZ67" s="291"/>
      <c r="FA67" s="291"/>
      <c r="FB67" s="291"/>
      <c r="FC67" s="291"/>
      <c r="FD67" s="291"/>
      <c r="FE67" s="291"/>
      <c r="FF67" s="291"/>
      <c r="FG67" s="291"/>
      <c r="FH67" s="291"/>
      <c r="FI67" s="291"/>
      <c r="FJ67" s="291"/>
      <c r="FK67" s="291"/>
      <c r="FL67" s="291"/>
      <c r="FM67" s="291"/>
      <c r="FN67" s="291"/>
      <c r="FO67" s="291"/>
      <c r="FP67" s="291"/>
      <c r="FQ67" s="291"/>
      <c r="FR67" s="291"/>
      <c r="FS67" s="291"/>
      <c r="FT67" s="291"/>
      <c r="FU67" s="291"/>
      <c r="FV67" s="291"/>
      <c r="FW67" s="291"/>
      <c r="FX67" s="291"/>
      <c r="FY67" s="291"/>
      <c r="FZ67" s="291"/>
      <c r="GA67" s="291"/>
      <c r="GB67" s="291"/>
      <c r="GC67" s="291"/>
      <c r="GD67" s="291"/>
      <c r="GE67" s="291"/>
      <c r="GF67" s="291"/>
      <c r="GG67" s="291"/>
      <c r="GH67" s="291"/>
      <c r="GI67" s="291"/>
      <c r="GJ67" s="291"/>
      <c r="GK67" s="291"/>
      <c r="GL67" s="291"/>
      <c r="GM67" s="291"/>
      <c r="GN67" s="291"/>
      <c r="GO67" s="291"/>
      <c r="GP67" s="291"/>
      <c r="GQ67" s="291"/>
      <c r="GR67" s="291"/>
      <c r="GS67" s="291"/>
      <c r="GT67" s="291"/>
      <c r="GU67" s="291"/>
      <c r="GV67" s="291"/>
      <c r="GW67" s="291"/>
      <c r="GX67" s="291"/>
      <c r="GY67" s="291"/>
      <c r="GZ67" s="291"/>
      <c r="HA67" s="291"/>
      <c r="HB67" s="291"/>
      <c r="HC67" s="291"/>
      <c r="HD67" s="291"/>
      <c r="HE67" s="291"/>
      <c r="HF67" s="291"/>
      <c r="HG67" s="291"/>
      <c r="HH67" s="291"/>
      <c r="HI67" s="291"/>
      <c r="HJ67" s="291"/>
      <c r="HK67" s="291"/>
      <c r="HL67" s="291"/>
      <c r="HM67" s="291"/>
      <c r="HN67" s="291"/>
      <c r="HO67" s="291"/>
      <c r="HP67" s="291"/>
      <c r="HQ67" s="291"/>
      <c r="HR67" s="291"/>
      <c r="HS67" s="291"/>
      <c r="HT67" s="291"/>
      <c r="HU67" s="291"/>
      <c r="HV67" s="291"/>
      <c r="HW67" s="291"/>
      <c r="HX67" s="291"/>
      <c r="HY67" s="291"/>
      <c r="HZ67" s="291"/>
      <c r="IA67" s="291"/>
      <c r="IB67" s="291"/>
      <c r="IC67" s="291"/>
      <c r="ID67" s="291"/>
      <c r="IE67" s="291"/>
      <c r="IF67" s="291"/>
      <c r="IG67" s="291"/>
      <c r="IH67" s="291"/>
      <c r="II67" s="291"/>
      <c r="IJ67" s="291"/>
      <c r="IK67" s="291"/>
      <c r="IL67" s="291"/>
      <c r="IM67" s="291"/>
      <c r="IN67" s="291"/>
      <c r="IO67" s="291"/>
      <c r="IP67" s="291"/>
      <c r="IQ67" s="291"/>
      <c r="IR67" s="291"/>
      <c r="IS67" s="291"/>
      <c r="IT67" s="291"/>
      <c r="IU67" s="291"/>
      <c r="IV67" s="291"/>
      <c r="IW67" s="291"/>
      <c r="IX67" s="291"/>
      <c r="IY67" s="291"/>
      <c r="IZ67" s="291"/>
      <c r="JA67" s="291"/>
      <c r="JB67" s="291"/>
      <c r="JC67" s="291"/>
      <c r="JD67" s="291"/>
      <c r="JE67" s="291"/>
      <c r="JF67" s="291"/>
      <c r="JG67" s="291"/>
      <c r="JH67" s="291"/>
      <c r="JI67" s="291"/>
      <c r="JJ67" s="291"/>
      <c r="JK67" s="291"/>
      <c r="JL67" s="291"/>
      <c r="JM67" s="291"/>
      <c r="JN67" s="291"/>
      <c r="JO67" s="291"/>
      <c r="JP67" s="291"/>
      <c r="JQ67" s="291"/>
      <c r="JR67" s="291"/>
      <c r="JS67" s="291"/>
      <c r="JT67" s="291"/>
      <c r="JU67" s="291"/>
      <c r="JV67" s="291"/>
      <c r="JW67" s="291"/>
      <c r="JX67" s="291"/>
      <c r="JY67" s="291"/>
      <c r="JZ67" s="291"/>
      <c r="KA67" s="291"/>
      <c r="KB67" s="291"/>
      <c r="KC67" s="291"/>
      <c r="KD67" s="291"/>
      <c r="KE67" s="291"/>
      <c r="KF67" s="291"/>
      <c r="KG67" s="291"/>
      <c r="KH67" s="291"/>
      <c r="KI67" s="291"/>
      <c r="KJ67" s="291"/>
      <c r="KK67" s="291"/>
      <c r="KL67" s="291"/>
      <c r="KM67" s="291"/>
      <c r="KN67" s="291"/>
      <c r="KO67" s="291"/>
      <c r="KP67" s="291"/>
      <c r="KQ67" s="291"/>
      <c r="KR67" s="291"/>
      <c r="KS67" s="291"/>
      <c r="KT67" s="291"/>
      <c r="KU67" s="291"/>
      <c r="KV67" s="291"/>
      <c r="KW67" s="291"/>
      <c r="KX67" s="291"/>
      <c r="KY67" s="291"/>
      <c r="KZ67" s="291"/>
      <c r="LA67" s="291"/>
      <c r="LB67" s="291"/>
      <c r="LC67" s="291"/>
      <c r="LD67" s="291"/>
      <c r="LE67" s="291"/>
      <c r="LF67" s="291"/>
      <c r="LG67" s="291"/>
      <c r="LH67" s="291"/>
      <c r="LI67" s="291"/>
      <c r="LJ67" s="291"/>
      <c r="LK67" s="291"/>
      <c r="LL67" s="291"/>
      <c r="LM67" s="291"/>
      <c r="LN67" s="291"/>
      <c r="LO67" s="291"/>
      <c r="LP67" s="291"/>
      <c r="LQ67" s="291"/>
      <c r="LR67" s="291"/>
      <c r="LS67" s="291"/>
      <c r="LT67" s="291"/>
      <c r="LU67" s="291"/>
      <c r="LV67" s="291"/>
      <c r="LW67" s="291"/>
      <c r="LX67" s="291"/>
      <c r="LY67" s="291"/>
      <c r="LZ67" s="291"/>
      <c r="MA67" s="291"/>
      <c r="MB67" s="291"/>
      <c r="MC67" s="291"/>
      <c r="MD67" s="291"/>
      <c r="ME67" s="291"/>
      <c r="MF67" s="291"/>
      <c r="MG67" s="291"/>
      <c r="MH67" s="291"/>
      <c r="MI67" s="291"/>
      <c r="MJ67" s="291"/>
      <c r="MK67" s="291"/>
      <c r="ML67" s="291"/>
      <c r="MM67" s="291"/>
      <c r="MN67" s="291"/>
      <c r="MO67" s="291"/>
      <c r="MP67" s="291"/>
      <c r="MQ67" s="291"/>
      <c r="MR67" s="291"/>
      <c r="MS67" s="291"/>
      <c r="MT67" s="291"/>
      <c r="MU67" s="291"/>
      <c r="MV67" s="291"/>
      <c r="MW67" s="291"/>
      <c r="MX67" s="291"/>
      <c r="MY67" s="291"/>
      <c r="MZ67" s="291"/>
      <c r="NA67" s="291"/>
      <c r="NB67" s="291"/>
      <c r="NC67" s="291"/>
      <c r="ND67" s="291"/>
      <c r="NE67" s="291"/>
      <c r="NF67" s="291"/>
      <c r="NG67" s="291"/>
      <c r="NH67" s="291"/>
      <c r="NI67" s="291"/>
      <c r="NJ67" s="291"/>
      <c r="NK67" s="291"/>
      <c r="NL67" s="291"/>
      <c r="NM67" s="291"/>
      <c r="NN67" s="291"/>
      <c r="NO67" s="291"/>
      <c r="NP67" s="291"/>
      <c r="NQ67" s="291"/>
      <c r="NR67" s="291"/>
      <c r="NS67" s="291"/>
      <c r="NT67" s="291"/>
      <c r="NU67" s="291"/>
      <c r="NV67" s="291"/>
      <c r="NW67" s="291"/>
      <c r="NX67" s="291"/>
      <c r="NY67" s="291"/>
      <c r="NZ67" s="291"/>
      <c r="OA67" s="291"/>
      <c r="OB67" s="291"/>
      <c r="OC67" s="291"/>
      <c r="OD67" s="291"/>
      <c r="OE67" s="291"/>
      <c r="OF67" s="291"/>
      <c r="OG67" s="291"/>
      <c r="OH67" s="291"/>
      <c r="OI67" s="291"/>
      <c r="OJ67" s="291"/>
      <c r="OK67" s="291"/>
      <c r="OL67" s="291"/>
      <c r="OM67" s="291"/>
      <c r="ON67" s="291"/>
      <c r="OO67" s="291"/>
      <c r="OP67" s="291"/>
      <c r="OQ67" s="291"/>
      <c r="OR67" s="291"/>
      <c r="OS67" s="291"/>
      <c r="OT67" s="291"/>
      <c r="OU67" s="291"/>
      <c r="OV67" s="291"/>
      <c r="OW67" s="291"/>
    </row>
    <row r="68" spans="1:413" s="257" customFormat="1" hidden="1" x14ac:dyDescent="0.2">
      <c r="A68" s="291"/>
      <c r="B68" s="524">
        <f t="shared" si="3"/>
        <v>52</v>
      </c>
      <c r="C68" s="510" t="s">
        <v>38</v>
      </c>
      <c r="D68" s="511">
        <v>30085715</v>
      </c>
      <c r="E68" s="511"/>
      <c r="F68" s="512" t="s">
        <v>1188</v>
      </c>
      <c r="G68" s="513" t="s">
        <v>45</v>
      </c>
      <c r="H68" s="514" t="s">
        <v>1094</v>
      </c>
      <c r="I68" s="515" t="s">
        <v>1189</v>
      </c>
      <c r="J68" s="346" t="s">
        <v>43</v>
      </c>
      <c r="K68" s="526">
        <v>3120132</v>
      </c>
      <c r="L68" s="527">
        <v>9723</v>
      </c>
      <c r="M68" s="528">
        <v>2896197</v>
      </c>
      <c r="N68" s="519">
        <v>0</v>
      </c>
      <c r="O68" s="519">
        <v>0</v>
      </c>
      <c r="P68" s="519">
        <v>3165</v>
      </c>
      <c r="Q68" s="519">
        <v>0</v>
      </c>
      <c r="R68" s="519">
        <v>0</v>
      </c>
      <c r="S68" s="520">
        <v>0</v>
      </c>
      <c r="T68" s="18"/>
      <c r="U68" s="18"/>
      <c r="V68" s="18"/>
      <c r="W68" s="18"/>
      <c r="X68" s="18"/>
      <c r="Y68" s="18"/>
      <c r="Z68" s="18">
        <f t="shared" si="0"/>
        <v>3165</v>
      </c>
      <c r="AA68" s="309">
        <v>213168</v>
      </c>
      <c r="AB68" s="19">
        <v>3</v>
      </c>
      <c r="AC68" s="521">
        <v>44222</v>
      </c>
      <c r="AD68" s="25">
        <v>44225</v>
      </c>
      <c r="AE68" s="309"/>
      <c r="AF68" s="20"/>
      <c r="AG68" s="23"/>
      <c r="AH68" s="25"/>
      <c r="AI68" s="309"/>
      <c r="AJ68" s="19"/>
      <c r="AK68" s="23"/>
      <c r="AL68" s="25"/>
      <c r="AM68" s="309"/>
      <c r="AN68" s="19"/>
      <c r="AO68" s="21"/>
      <c r="AP68" s="25"/>
      <c r="AQ68" s="309"/>
      <c r="AR68" s="19"/>
      <c r="AS68" s="21"/>
      <c r="AT68" s="25"/>
      <c r="AU68" s="522">
        <f t="shared" si="1"/>
        <v>213168</v>
      </c>
      <c r="AV68" s="311">
        <f t="shared" si="2"/>
        <v>210003</v>
      </c>
      <c r="AW68" s="305"/>
      <c r="AX68" s="291"/>
      <c r="AY68" s="291"/>
      <c r="AZ68" s="291"/>
      <c r="BA68" s="291"/>
      <c r="BB68" s="291"/>
      <c r="BC68" s="291"/>
      <c r="BD68" s="291"/>
      <c r="BE68" s="291"/>
      <c r="BF68" s="291"/>
      <c r="BG68" s="291"/>
      <c r="BH68" s="291"/>
      <c r="BI68" s="291"/>
      <c r="BJ68" s="291"/>
      <c r="BK68" s="291"/>
      <c r="BL68" s="291"/>
      <c r="BM68" s="291"/>
      <c r="BN68" s="291"/>
      <c r="BO68" s="291"/>
      <c r="BP68" s="291"/>
      <c r="BQ68" s="291"/>
      <c r="BR68" s="291"/>
      <c r="BS68" s="291"/>
      <c r="BT68" s="291"/>
      <c r="BU68" s="291"/>
      <c r="BV68" s="291"/>
      <c r="BW68" s="291"/>
      <c r="BX68" s="291"/>
      <c r="BY68" s="291"/>
      <c r="BZ68" s="291"/>
      <c r="CA68" s="291"/>
      <c r="CB68" s="291"/>
      <c r="CC68" s="291"/>
      <c r="CD68" s="291"/>
      <c r="CE68" s="291"/>
      <c r="CF68" s="291"/>
      <c r="CG68" s="291"/>
      <c r="CH68" s="291"/>
      <c r="CI68" s="291"/>
      <c r="CJ68" s="291"/>
      <c r="CK68" s="291"/>
      <c r="CL68" s="291"/>
      <c r="CM68" s="291"/>
      <c r="CN68" s="291"/>
      <c r="CO68" s="291"/>
      <c r="CP68" s="291"/>
      <c r="CQ68" s="291"/>
      <c r="CR68" s="291"/>
      <c r="CS68" s="291"/>
      <c r="CT68" s="291"/>
      <c r="CU68" s="291"/>
      <c r="CV68" s="291"/>
      <c r="CW68" s="291"/>
      <c r="CX68" s="291"/>
      <c r="CY68" s="291"/>
      <c r="CZ68" s="291"/>
      <c r="DA68" s="291"/>
      <c r="DB68" s="291"/>
      <c r="DC68" s="291"/>
      <c r="DD68" s="291"/>
      <c r="DE68" s="291"/>
      <c r="DF68" s="291"/>
      <c r="DG68" s="291"/>
      <c r="DH68" s="291"/>
      <c r="DI68" s="291"/>
      <c r="DJ68" s="291"/>
      <c r="DK68" s="291"/>
      <c r="DL68" s="291"/>
      <c r="DM68" s="291"/>
      <c r="DN68" s="291"/>
      <c r="DO68" s="291"/>
      <c r="DP68" s="291"/>
      <c r="DQ68" s="291"/>
      <c r="DR68" s="291"/>
      <c r="DS68" s="291"/>
      <c r="DT68" s="291"/>
      <c r="DU68" s="291"/>
      <c r="DV68" s="291"/>
      <c r="DW68" s="291"/>
      <c r="DX68" s="291"/>
      <c r="DY68" s="291"/>
      <c r="DZ68" s="291"/>
      <c r="EA68" s="291"/>
      <c r="EB68" s="291"/>
      <c r="EC68" s="291"/>
      <c r="ED68" s="291"/>
      <c r="EE68" s="291"/>
      <c r="EF68" s="291"/>
      <c r="EG68" s="291"/>
      <c r="EH68" s="291"/>
      <c r="EI68" s="291"/>
      <c r="EJ68" s="291"/>
      <c r="EK68" s="291"/>
      <c r="EL68" s="291"/>
      <c r="EM68" s="291"/>
      <c r="EN68" s="291"/>
      <c r="EO68" s="291"/>
      <c r="EP68" s="291"/>
      <c r="EQ68" s="291"/>
      <c r="ER68" s="291"/>
      <c r="ES68" s="291"/>
      <c r="ET68" s="291"/>
      <c r="EU68" s="291"/>
      <c r="EV68" s="291"/>
      <c r="EW68" s="291"/>
      <c r="EX68" s="291"/>
      <c r="EY68" s="291"/>
      <c r="EZ68" s="291"/>
      <c r="FA68" s="291"/>
      <c r="FB68" s="291"/>
      <c r="FC68" s="291"/>
      <c r="FD68" s="291"/>
      <c r="FE68" s="291"/>
      <c r="FF68" s="291"/>
      <c r="FG68" s="291"/>
      <c r="FH68" s="291"/>
      <c r="FI68" s="291"/>
      <c r="FJ68" s="291"/>
      <c r="FK68" s="291"/>
      <c r="FL68" s="291"/>
      <c r="FM68" s="291"/>
      <c r="FN68" s="291"/>
      <c r="FO68" s="291"/>
      <c r="FP68" s="291"/>
      <c r="FQ68" s="291"/>
      <c r="FR68" s="291"/>
      <c r="FS68" s="291"/>
      <c r="FT68" s="291"/>
      <c r="FU68" s="291"/>
      <c r="FV68" s="291"/>
      <c r="FW68" s="291"/>
      <c r="FX68" s="291"/>
      <c r="FY68" s="291"/>
      <c r="FZ68" s="291"/>
      <c r="GA68" s="291"/>
      <c r="GB68" s="291"/>
      <c r="GC68" s="291"/>
      <c r="GD68" s="291"/>
      <c r="GE68" s="291"/>
      <c r="GF68" s="291"/>
      <c r="GG68" s="291"/>
      <c r="GH68" s="291"/>
      <c r="GI68" s="291"/>
      <c r="GJ68" s="291"/>
      <c r="GK68" s="291"/>
      <c r="GL68" s="291"/>
      <c r="GM68" s="291"/>
      <c r="GN68" s="291"/>
      <c r="GO68" s="291"/>
      <c r="GP68" s="291"/>
      <c r="GQ68" s="291"/>
      <c r="GR68" s="291"/>
      <c r="GS68" s="291"/>
      <c r="GT68" s="291"/>
      <c r="GU68" s="291"/>
      <c r="GV68" s="291"/>
      <c r="GW68" s="291"/>
      <c r="GX68" s="291"/>
      <c r="GY68" s="291"/>
      <c r="GZ68" s="291"/>
      <c r="HA68" s="291"/>
      <c r="HB68" s="291"/>
      <c r="HC68" s="291"/>
      <c r="HD68" s="291"/>
      <c r="HE68" s="291"/>
      <c r="HF68" s="291"/>
      <c r="HG68" s="291"/>
      <c r="HH68" s="291"/>
      <c r="HI68" s="291"/>
      <c r="HJ68" s="291"/>
      <c r="HK68" s="291"/>
      <c r="HL68" s="291"/>
      <c r="HM68" s="291"/>
      <c r="HN68" s="291"/>
      <c r="HO68" s="291"/>
      <c r="HP68" s="291"/>
      <c r="HQ68" s="291"/>
      <c r="HR68" s="291"/>
      <c r="HS68" s="291"/>
      <c r="HT68" s="291"/>
      <c r="HU68" s="291"/>
      <c r="HV68" s="291"/>
      <c r="HW68" s="291"/>
      <c r="HX68" s="291"/>
      <c r="HY68" s="291"/>
      <c r="HZ68" s="291"/>
      <c r="IA68" s="291"/>
      <c r="IB68" s="291"/>
      <c r="IC68" s="291"/>
      <c r="ID68" s="291"/>
      <c r="IE68" s="291"/>
      <c r="IF68" s="291"/>
      <c r="IG68" s="291"/>
      <c r="IH68" s="291"/>
      <c r="II68" s="291"/>
      <c r="IJ68" s="291"/>
      <c r="IK68" s="291"/>
      <c r="IL68" s="291"/>
      <c r="IM68" s="291"/>
      <c r="IN68" s="291"/>
      <c r="IO68" s="291"/>
      <c r="IP68" s="291"/>
      <c r="IQ68" s="291"/>
      <c r="IR68" s="291"/>
      <c r="IS68" s="291"/>
      <c r="IT68" s="291"/>
      <c r="IU68" s="291"/>
      <c r="IV68" s="291"/>
      <c r="IW68" s="291"/>
      <c r="IX68" s="291"/>
      <c r="IY68" s="291"/>
      <c r="IZ68" s="291"/>
      <c r="JA68" s="291"/>
      <c r="JB68" s="291"/>
      <c r="JC68" s="291"/>
      <c r="JD68" s="291"/>
      <c r="JE68" s="291"/>
      <c r="JF68" s="291"/>
      <c r="JG68" s="291"/>
      <c r="JH68" s="291"/>
      <c r="JI68" s="291"/>
      <c r="JJ68" s="291"/>
      <c r="JK68" s="291"/>
      <c r="JL68" s="291"/>
      <c r="JM68" s="291"/>
      <c r="JN68" s="291"/>
      <c r="JO68" s="291"/>
      <c r="JP68" s="291"/>
      <c r="JQ68" s="291"/>
      <c r="JR68" s="291"/>
      <c r="JS68" s="291"/>
      <c r="JT68" s="291"/>
      <c r="JU68" s="291"/>
      <c r="JV68" s="291"/>
      <c r="JW68" s="291"/>
      <c r="JX68" s="291"/>
      <c r="JY68" s="291"/>
      <c r="JZ68" s="291"/>
      <c r="KA68" s="291"/>
      <c r="KB68" s="291"/>
      <c r="KC68" s="291"/>
      <c r="KD68" s="291"/>
      <c r="KE68" s="291"/>
      <c r="KF68" s="291"/>
      <c r="KG68" s="291"/>
      <c r="KH68" s="291"/>
      <c r="KI68" s="291"/>
      <c r="KJ68" s="291"/>
      <c r="KK68" s="291"/>
      <c r="KL68" s="291"/>
      <c r="KM68" s="291"/>
      <c r="KN68" s="291"/>
      <c r="KO68" s="291"/>
      <c r="KP68" s="291"/>
      <c r="KQ68" s="291"/>
      <c r="KR68" s="291"/>
      <c r="KS68" s="291"/>
      <c r="KT68" s="291"/>
      <c r="KU68" s="291"/>
      <c r="KV68" s="291"/>
      <c r="KW68" s="291"/>
      <c r="KX68" s="291"/>
      <c r="KY68" s="291"/>
      <c r="KZ68" s="291"/>
      <c r="LA68" s="291"/>
      <c r="LB68" s="291"/>
      <c r="LC68" s="291"/>
      <c r="LD68" s="291"/>
      <c r="LE68" s="291"/>
      <c r="LF68" s="291"/>
      <c r="LG68" s="291"/>
      <c r="LH68" s="291"/>
      <c r="LI68" s="291"/>
      <c r="LJ68" s="291"/>
      <c r="LK68" s="291"/>
      <c r="LL68" s="291"/>
      <c r="LM68" s="291"/>
      <c r="LN68" s="291"/>
      <c r="LO68" s="291"/>
      <c r="LP68" s="291"/>
      <c r="LQ68" s="291"/>
      <c r="LR68" s="291"/>
      <c r="LS68" s="291"/>
      <c r="LT68" s="291"/>
      <c r="LU68" s="291"/>
      <c r="LV68" s="291"/>
      <c r="LW68" s="291"/>
      <c r="LX68" s="291"/>
      <c r="LY68" s="291"/>
      <c r="LZ68" s="291"/>
      <c r="MA68" s="291"/>
      <c r="MB68" s="291"/>
      <c r="MC68" s="291"/>
      <c r="MD68" s="291"/>
      <c r="ME68" s="291"/>
      <c r="MF68" s="291"/>
      <c r="MG68" s="291"/>
      <c r="MH68" s="291"/>
      <c r="MI68" s="291"/>
      <c r="MJ68" s="291"/>
      <c r="MK68" s="291"/>
      <c r="ML68" s="291"/>
      <c r="MM68" s="291"/>
      <c r="MN68" s="291"/>
      <c r="MO68" s="291"/>
      <c r="MP68" s="291"/>
      <c r="MQ68" s="291"/>
      <c r="MR68" s="291"/>
      <c r="MS68" s="291"/>
      <c r="MT68" s="291"/>
      <c r="MU68" s="291"/>
      <c r="MV68" s="291"/>
      <c r="MW68" s="291"/>
      <c r="MX68" s="291"/>
      <c r="MY68" s="291"/>
      <c r="MZ68" s="291"/>
      <c r="NA68" s="291"/>
      <c r="NB68" s="291"/>
      <c r="NC68" s="291"/>
      <c r="ND68" s="291"/>
      <c r="NE68" s="291"/>
      <c r="NF68" s="291"/>
      <c r="NG68" s="291"/>
      <c r="NH68" s="291"/>
      <c r="NI68" s="291"/>
      <c r="NJ68" s="291"/>
      <c r="NK68" s="291"/>
      <c r="NL68" s="291"/>
      <c r="NM68" s="291"/>
      <c r="NN68" s="291"/>
      <c r="NO68" s="291"/>
      <c r="NP68" s="291"/>
      <c r="NQ68" s="291"/>
      <c r="NR68" s="291"/>
      <c r="NS68" s="291"/>
      <c r="NT68" s="291"/>
      <c r="NU68" s="291"/>
      <c r="NV68" s="291"/>
      <c r="NW68" s="291"/>
      <c r="NX68" s="291"/>
      <c r="NY68" s="291"/>
      <c r="NZ68" s="291"/>
      <c r="OA68" s="291"/>
      <c r="OB68" s="291"/>
      <c r="OC68" s="291"/>
      <c r="OD68" s="291"/>
      <c r="OE68" s="291"/>
      <c r="OF68" s="291"/>
      <c r="OG68" s="291"/>
      <c r="OH68" s="291"/>
      <c r="OI68" s="291"/>
      <c r="OJ68" s="291"/>
      <c r="OK68" s="291"/>
      <c r="OL68" s="291"/>
      <c r="OM68" s="291"/>
      <c r="ON68" s="291"/>
      <c r="OO68" s="291"/>
      <c r="OP68" s="291"/>
      <c r="OQ68" s="291"/>
      <c r="OR68" s="291"/>
      <c r="OS68" s="291"/>
      <c r="OT68" s="291"/>
      <c r="OU68" s="291"/>
      <c r="OV68" s="291"/>
      <c r="OW68" s="291"/>
    </row>
    <row r="69" spans="1:413" s="257" customFormat="1" ht="22.5" hidden="1" x14ac:dyDescent="0.2">
      <c r="A69" s="291"/>
      <c r="B69" s="524">
        <f t="shared" si="3"/>
        <v>53</v>
      </c>
      <c r="C69" s="510" t="s">
        <v>38</v>
      </c>
      <c r="D69" s="511">
        <v>30086068</v>
      </c>
      <c r="E69" s="511"/>
      <c r="F69" s="512" t="s">
        <v>1190</v>
      </c>
      <c r="G69" s="513" t="s">
        <v>45</v>
      </c>
      <c r="H69" s="514" t="s">
        <v>1094</v>
      </c>
      <c r="I69" s="515" t="s">
        <v>1107</v>
      </c>
      <c r="J69" s="346" t="s">
        <v>42</v>
      </c>
      <c r="K69" s="526">
        <v>3847756</v>
      </c>
      <c r="L69" s="527">
        <v>3823426</v>
      </c>
      <c r="M69" s="528">
        <v>0</v>
      </c>
      <c r="N69" s="520">
        <v>0</v>
      </c>
      <c r="O69" s="520">
        <v>0</v>
      </c>
      <c r="P69" s="520">
        <v>0</v>
      </c>
      <c r="Q69" s="520">
        <v>0</v>
      </c>
      <c r="R69" s="520">
        <v>0</v>
      </c>
      <c r="S69" s="520">
        <v>22118</v>
      </c>
      <c r="T69" s="18"/>
      <c r="U69" s="18"/>
      <c r="V69" s="18"/>
      <c r="W69" s="18"/>
      <c r="X69" s="18"/>
      <c r="Y69" s="18"/>
      <c r="Z69" s="18">
        <f t="shared" si="0"/>
        <v>22118</v>
      </c>
      <c r="AA69" s="309">
        <v>24330</v>
      </c>
      <c r="AB69" s="19">
        <v>5</v>
      </c>
      <c r="AC69" s="521">
        <v>44224</v>
      </c>
      <c r="AD69" s="25">
        <v>44251</v>
      </c>
      <c r="AE69" s="309"/>
      <c r="AF69" s="20"/>
      <c r="AG69" s="23"/>
      <c r="AH69" s="25"/>
      <c r="AI69" s="309"/>
      <c r="AJ69" s="19"/>
      <c r="AK69" s="23"/>
      <c r="AL69" s="25"/>
      <c r="AM69" s="309"/>
      <c r="AN69" s="19"/>
      <c r="AO69" s="21"/>
      <c r="AP69" s="25"/>
      <c r="AQ69" s="309"/>
      <c r="AR69" s="19"/>
      <c r="AS69" s="21"/>
      <c r="AT69" s="25"/>
      <c r="AU69" s="522">
        <f t="shared" si="1"/>
        <v>24330</v>
      </c>
      <c r="AV69" s="311">
        <f t="shared" si="2"/>
        <v>2212</v>
      </c>
      <c r="AW69" s="305"/>
      <c r="AX69" s="291"/>
      <c r="AY69" s="291"/>
      <c r="AZ69" s="291"/>
      <c r="BA69" s="291"/>
      <c r="BB69" s="291"/>
      <c r="BC69" s="291"/>
      <c r="BD69" s="291"/>
      <c r="BE69" s="291"/>
      <c r="BF69" s="291"/>
      <c r="BG69" s="291"/>
      <c r="BH69" s="291"/>
      <c r="BI69" s="291"/>
      <c r="BJ69" s="291"/>
      <c r="BK69" s="291"/>
      <c r="BL69" s="291"/>
      <c r="BM69" s="291"/>
      <c r="BN69" s="291"/>
      <c r="BO69" s="291"/>
      <c r="BP69" s="291"/>
      <c r="BQ69" s="291"/>
      <c r="BR69" s="291"/>
      <c r="BS69" s="291"/>
      <c r="BT69" s="291"/>
      <c r="BU69" s="291"/>
      <c r="BV69" s="291"/>
      <c r="BW69" s="291"/>
      <c r="BX69" s="291"/>
      <c r="BY69" s="291"/>
      <c r="BZ69" s="291"/>
      <c r="CA69" s="291"/>
      <c r="CB69" s="291"/>
      <c r="CC69" s="291"/>
      <c r="CD69" s="291"/>
      <c r="CE69" s="291"/>
      <c r="CF69" s="291"/>
      <c r="CG69" s="291"/>
      <c r="CH69" s="291"/>
      <c r="CI69" s="291"/>
      <c r="CJ69" s="291"/>
      <c r="CK69" s="291"/>
      <c r="CL69" s="291"/>
      <c r="CM69" s="291"/>
      <c r="CN69" s="291"/>
      <c r="CO69" s="291"/>
      <c r="CP69" s="291"/>
      <c r="CQ69" s="291"/>
      <c r="CR69" s="291"/>
      <c r="CS69" s="291"/>
      <c r="CT69" s="291"/>
      <c r="CU69" s="291"/>
      <c r="CV69" s="291"/>
      <c r="CW69" s="291"/>
      <c r="CX69" s="291"/>
      <c r="CY69" s="291"/>
      <c r="CZ69" s="291"/>
      <c r="DA69" s="291"/>
      <c r="DB69" s="291"/>
      <c r="DC69" s="291"/>
      <c r="DD69" s="291"/>
      <c r="DE69" s="291"/>
      <c r="DF69" s="291"/>
      <c r="DG69" s="291"/>
      <c r="DH69" s="291"/>
      <c r="DI69" s="291"/>
      <c r="DJ69" s="291"/>
      <c r="DK69" s="291"/>
      <c r="DL69" s="291"/>
      <c r="DM69" s="291"/>
      <c r="DN69" s="291"/>
      <c r="DO69" s="291"/>
      <c r="DP69" s="291"/>
      <c r="DQ69" s="291"/>
      <c r="DR69" s="291"/>
      <c r="DS69" s="291"/>
      <c r="DT69" s="291"/>
      <c r="DU69" s="291"/>
      <c r="DV69" s="291"/>
      <c r="DW69" s="291"/>
      <c r="DX69" s="291"/>
      <c r="DY69" s="291"/>
      <c r="DZ69" s="291"/>
      <c r="EA69" s="291"/>
      <c r="EB69" s="291"/>
      <c r="EC69" s="291"/>
      <c r="ED69" s="291"/>
      <c r="EE69" s="291"/>
      <c r="EF69" s="291"/>
      <c r="EG69" s="291"/>
      <c r="EH69" s="291"/>
      <c r="EI69" s="291"/>
      <c r="EJ69" s="291"/>
      <c r="EK69" s="291"/>
      <c r="EL69" s="291"/>
      <c r="EM69" s="291"/>
      <c r="EN69" s="291"/>
      <c r="EO69" s="291"/>
      <c r="EP69" s="291"/>
      <c r="EQ69" s="291"/>
      <c r="ER69" s="291"/>
      <c r="ES69" s="291"/>
      <c r="ET69" s="291"/>
      <c r="EU69" s="291"/>
      <c r="EV69" s="291"/>
      <c r="EW69" s="291"/>
      <c r="EX69" s="291"/>
      <c r="EY69" s="291"/>
      <c r="EZ69" s="291"/>
      <c r="FA69" s="291"/>
      <c r="FB69" s="291"/>
      <c r="FC69" s="291"/>
      <c r="FD69" s="291"/>
      <c r="FE69" s="291"/>
      <c r="FF69" s="291"/>
      <c r="FG69" s="291"/>
      <c r="FH69" s="291"/>
      <c r="FI69" s="291"/>
      <c r="FJ69" s="291"/>
      <c r="FK69" s="291"/>
      <c r="FL69" s="291"/>
      <c r="FM69" s="291"/>
      <c r="FN69" s="291"/>
      <c r="FO69" s="291"/>
      <c r="FP69" s="291"/>
      <c r="FQ69" s="291"/>
      <c r="FR69" s="291"/>
      <c r="FS69" s="291"/>
      <c r="FT69" s="291"/>
      <c r="FU69" s="291"/>
      <c r="FV69" s="291"/>
      <c r="FW69" s="291"/>
      <c r="FX69" s="291"/>
      <c r="FY69" s="291"/>
      <c r="FZ69" s="291"/>
      <c r="GA69" s="291"/>
      <c r="GB69" s="291"/>
      <c r="GC69" s="291"/>
      <c r="GD69" s="291"/>
      <c r="GE69" s="291"/>
      <c r="GF69" s="291"/>
      <c r="GG69" s="291"/>
      <c r="GH69" s="291"/>
      <c r="GI69" s="291"/>
      <c r="GJ69" s="291"/>
      <c r="GK69" s="291"/>
      <c r="GL69" s="291"/>
      <c r="GM69" s="291"/>
      <c r="GN69" s="291"/>
      <c r="GO69" s="291"/>
      <c r="GP69" s="291"/>
      <c r="GQ69" s="291"/>
      <c r="GR69" s="291"/>
      <c r="GS69" s="291"/>
      <c r="GT69" s="291"/>
      <c r="GU69" s="291"/>
      <c r="GV69" s="291"/>
      <c r="GW69" s="291"/>
      <c r="GX69" s="291"/>
      <c r="GY69" s="291"/>
      <c r="GZ69" s="291"/>
      <c r="HA69" s="291"/>
      <c r="HB69" s="291"/>
      <c r="HC69" s="291"/>
      <c r="HD69" s="291"/>
      <c r="HE69" s="291"/>
      <c r="HF69" s="291"/>
      <c r="HG69" s="291"/>
      <c r="HH69" s="291"/>
      <c r="HI69" s="291"/>
      <c r="HJ69" s="291"/>
      <c r="HK69" s="291"/>
      <c r="HL69" s="291"/>
      <c r="HM69" s="291"/>
      <c r="HN69" s="291"/>
      <c r="HO69" s="291"/>
      <c r="HP69" s="291"/>
      <c r="HQ69" s="291"/>
      <c r="HR69" s="291"/>
      <c r="HS69" s="291"/>
      <c r="HT69" s="291"/>
      <c r="HU69" s="291"/>
      <c r="HV69" s="291"/>
      <c r="HW69" s="291"/>
      <c r="HX69" s="291"/>
      <c r="HY69" s="291"/>
      <c r="HZ69" s="291"/>
      <c r="IA69" s="291"/>
      <c r="IB69" s="291"/>
      <c r="IC69" s="291"/>
      <c r="ID69" s="291"/>
      <c r="IE69" s="291"/>
      <c r="IF69" s="291"/>
      <c r="IG69" s="291"/>
      <c r="IH69" s="291"/>
      <c r="II69" s="291"/>
      <c r="IJ69" s="291"/>
      <c r="IK69" s="291"/>
      <c r="IL69" s="291"/>
      <c r="IM69" s="291"/>
      <c r="IN69" s="291"/>
      <c r="IO69" s="291"/>
      <c r="IP69" s="291"/>
      <c r="IQ69" s="291"/>
      <c r="IR69" s="291"/>
      <c r="IS69" s="291"/>
      <c r="IT69" s="291"/>
      <c r="IU69" s="291"/>
      <c r="IV69" s="291"/>
      <c r="IW69" s="291"/>
      <c r="IX69" s="291"/>
      <c r="IY69" s="291"/>
      <c r="IZ69" s="291"/>
      <c r="JA69" s="291"/>
      <c r="JB69" s="291"/>
      <c r="JC69" s="291"/>
      <c r="JD69" s="291"/>
      <c r="JE69" s="291"/>
      <c r="JF69" s="291"/>
      <c r="JG69" s="291"/>
      <c r="JH69" s="291"/>
      <c r="JI69" s="291"/>
      <c r="JJ69" s="291"/>
      <c r="JK69" s="291"/>
      <c r="JL69" s="291"/>
      <c r="JM69" s="291"/>
      <c r="JN69" s="291"/>
      <c r="JO69" s="291"/>
      <c r="JP69" s="291"/>
      <c r="JQ69" s="291"/>
      <c r="JR69" s="291"/>
      <c r="JS69" s="291"/>
      <c r="JT69" s="291"/>
      <c r="JU69" s="291"/>
      <c r="JV69" s="291"/>
      <c r="JW69" s="291"/>
      <c r="JX69" s="291"/>
      <c r="JY69" s="291"/>
      <c r="JZ69" s="291"/>
      <c r="KA69" s="291"/>
      <c r="KB69" s="291"/>
      <c r="KC69" s="291"/>
      <c r="KD69" s="291"/>
      <c r="KE69" s="291"/>
      <c r="KF69" s="291"/>
      <c r="KG69" s="291"/>
      <c r="KH69" s="291"/>
      <c r="KI69" s="291"/>
      <c r="KJ69" s="291"/>
      <c r="KK69" s="291"/>
      <c r="KL69" s="291"/>
      <c r="KM69" s="291"/>
      <c r="KN69" s="291"/>
      <c r="KO69" s="291"/>
      <c r="KP69" s="291"/>
      <c r="KQ69" s="291"/>
      <c r="KR69" s="291"/>
      <c r="KS69" s="291"/>
      <c r="KT69" s="291"/>
      <c r="KU69" s="291"/>
      <c r="KV69" s="291"/>
      <c r="KW69" s="291"/>
      <c r="KX69" s="291"/>
      <c r="KY69" s="291"/>
      <c r="KZ69" s="291"/>
      <c r="LA69" s="291"/>
      <c r="LB69" s="291"/>
      <c r="LC69" s="291"/>
      <c r="LD69" s="291"/>
      <c r="LE69" s="291"/>
      <c r="LF69" s="291"/>
      <c r="LG69" s="291"/>
      <c r="LH69" s="291"/>
      <c r="LI69" s="291"/>
      <c r="LJ69" s="291"/>
      <c r="LK69" s="291"/>
      <c r="LL69" s="291"/>
      <c r="LM69" s="291"/>
      <c r="LN69" s="291"/>
      <c r="LO69" s="291"/>
      <c r="LP69" s="291"/>
      <c r="LQ69" s="291"/>
      <c r="LR69" s="291"/>
      <c r="LS69" s="291"/>
      <c r="LT69" s="291"/>
      <c r="LU69" s="291"/>
      <c r="LV69" s="291"/>
      <c r="LW69" s="291"/>
      <c r="LX69" s="291"/>
      <c r="LY69" s="291"/>
      <c r="LZ69" s="291"/>
      <c r="MA69" s="291"/>
      <c r="MB69" s="291"/>
      <c r="MC69" s="291"/>
      <c r="MD69" s="291"/>
      <c r="ME69" s="291"/>
      <c r="MF69" s="291"/>
      <c r="MG69" s="291"/>
      <c r="MH69" s="291"/>
      <c r="MI69" s="291"/>
      <c r="MJ69" s="291"/>
      <c r="MK69" s="291"/>
      <c r="ML69" s="291"/>
      <c r="MM69" s="291"/>
      <c r="MN69" s="291"/>
      <c r="MO69" s="291"/>
      <c r="MP69" s="291"/>
      <c r="MQ69" s="291"/>
      <c r="MR69" s="291"/>
      <c r="MS69" s="291"/>
      <c r="MT69" s="291"/>
      <c r="MU69" s="291"/>
      <c r="MV69" s="291"/>
      <c r="MW69" s="291"/>
      <c r="MX69" s="291"/>
      <c r="MY69" s="291"/>
      <c r="MZ69" s="291"/>
      <c r="NA69" s="291"/>
      <c r="NB69" s="291"/>
      <c r="NC69" s="291"/>
      <c r="ND69" s="291"/>
      <c r="NE69" s="291"/>
      <c r="NF69" s="291"/>
      <c r="NG69" s="291"/>
      <c r="NH69" s="291"/>
      <c r="NI69" s="291"/>
      <c r="NJ69" s="291"/>
      <c r="NK69" s="291"/>
      <c r="NL69" s="291"/>
      <c r="NM69" s="291"/>
      <c r="NN69" s="291"/>
      <c r="NO69" s="291"/>
      <c r="NP69" s="291"/>
      <c r="NQ69" s="291"/>
      <c r="NR69" s="291"/>
      <c r="NS69" s="291"/>
      <c r="NT69" s="291"/>
      <c r="NU69" s="291"/>
      <c r="NV69" s="291"/>
      <c r="NW69" s="291"/>
      <c r="NX69" s="291"/>
      <c r="NY69" s="291"/>
      <c r="NZ69" s="291"/>
      <c r="OA69" s="291"/>
      <c r="OB69" s="291"/>
      <c r="OC69" s="291"/>
      <c r="OD69" s="291"/>
      <c r="OE69" s="291"/>
      <c r="OF69" s="291"/>
      <c r="OG69" s="291"/>
      <c r="OH69" s="291"/>
      <c r="OI69" s="291"/>
      <c r="OJ69" s="291"/>
      <c r="OK69" s="291"/>
      <c r="OL69" s="291"/>
      <c r="OM69" s="291"/>
      <c r="ON69" s="291"/>
      <c r="OO69" s="291"/>
      <c r="OP69" s="291"/>
      <c r="OQ69" s="291"/>
      <c r="OR69" s="291"/>
      <c r="OS69" s="291"/>
      <c r="OT69" s="291"/>
      <c r="OU69" s="291"/>
      <c r="OV69" s="291"/>
      <c r="OW69" s="291"/>
    </row>
    <row r="70" spans="1:413" s="257" customFormat="1" hidden="1" x14ac:dyDescent="0.2">
      <c r="A70" s="291"/>
      <c r="B70" s="524">
        <f t="shared" si="3"/>
        <v>54</v>
      </c>
      <c r="C70" s="510" t="s">
        <v>38</v>
      </c>
      <c r="D70" s="511">
        <v>30087927</v>
      </c>
      <c r="E70" s="511"/>
      <c r="F70" s="512" t="s">
        <v>1191</v>
      </c>
      <c r="G70" s="513" t="s">
        <v>45</v>
      </c>
      <c r="H70" s="514" t="s">
        <v>1094</v>
      </c>
      <c r="I70" s="515" t="s">
        <v>1171</v>
      </c>
      <c r="J70" s="346" t="s">
        <v>42</v>
      </c>
      <c r="K70" s="526">
        <v>1406372</v>
      </c>
      <c r="L70" s="527">
        <v>1336666</v>
      </c>
      <c r="M70" s="528">
        <v>0</v>
      </c>
      <c r="N70" s="519">
        <v>0</v>
      </c>
      <c r="O70" s="519">
        <v>797</v>
      </c>
      <c r="P70" s="519">
        <v>4440</v>
      </c>
      <c r="Q70" s="519">
        <v>7946</v>
      </c>
      <c r="R70" s="519">
        <v>0</v>
      </c>
      <c r="S70" s="520">
        <v>0</v>
      </c>
      <c r="T70" s="18"/>
      <c r="U70" s="18"/>
      <c r="V70" s="18"/>
      <c r="W70" s="18"/>
      <c r="X70" s="18"/>
      <c r="Y70" s="18"/>
      <c r="Z70" s="18">
        <f t="shared" si="0"/>
        <v>13183</v>
      </c>
      <c r="AA70" s="309">
        <v>69706</v>
      </c>
      <c r="AB70" s="19">
        <v>11</v>
      </c>
      <c r="AC70" s="521">
        <v>44237</v>
      </c>
      <c r="AD70" s="25">
        <v>44251</v>
      </c>
      <c r="AE70" s="309"/>
      <c r="AF70" s="20"/>
      <c r="AG70" s="23"/>
      <c r="AH70" s="25"/>
      <c r="AI70" s="309"/>
      <c r="AJ70" s="19"/>
      <c r="AK70" s="23"/>
      <c r="AL70" s="25"/>
      <c r="AM70" s="309"/>
      <c r="AN70" s="19"/>
      <c r="AO70" s="21"/>
      <c r="AP70" s="25"/>
      <c r="AQ70" s="309"/>
      <c r="AR70" s="19"/>
      <c r="AS70" s="21"/>
      <c r="AT70" s="25"/>
      <c r="AU70" s="522">
        <f t="shared" si="1"/>
        <v>69706</v>
      </c>
      <c r="AV70" s="311">
        <f t="shared" si="2"/>
        <v>56523</v>
      </c>
      <c r="AW70" s="305"/>
      <c r="AX70" s="291"/>
      <c r="AY70" s="291"/>
      <c r="AZ70" s="291"/>
      <c r="BA70" s="291"/>
      <c r="BB70" s="291"/>
      <c r="BC70" s="291"/>
      <c r="BD70" s="291"/>
      <c r="BE70" s="291"/>
      <c r="BF70" s="291"/>
      <c r="BG70" s="291"/>
      <c r="BH70" s="291"/>
      <c r="BI70" s="291"/>
      <c r="BJ70" s="291"/>
      <c r="BK70" s="291"/>
      <c r="BL70" s="291"/>
      <c r="BM70" s="291"/>
      <c r="BN70" s="291"/>
      <c r="BO70" s="291"/>
      <c r="BP70" s="291"/>
      <c r="BQ70" s="291"/>
      <c r="BR70" s="291"/>
      <c r="BS70" s="291"/>
      <c r="BT70" s="291"/>
      <c r="BU70" s="291"/>
      <c r="BV70" s="291"/>
      <c r="BW70" s="291"/>
      <c r="BX70" s="291"/>
      <c r="BY70" s="291"/>
      <c r="BZ70" s="291"/>
      <c r="CA70" s="291"/>
      <c r="CB70" s="291"/>
      <c r="CC70" s="291"/>
      <c r="CD70" s="291"/>
      <c r="CE70" s="291"/>
      <c r="CF70" s="291"/>
      <c r="CG70" s="291"/>
      <c r="CH70" s="291"/>
      <c r="CI70" s="291"/>
      <c r="CJ70" s="291"/>
      <c r="CK70" s="291"/>
      <c r="CL70" s="291"/>
      <c r="CM70" s="291"/>
      <c r="CN70" s="291"/>
      <c r="CO70" s="291"/>
      <c r="CP70" s="291"/>
      <c r="CQ70" s="291"/>
      <c r="CR70" s="291"/>
      <c r="CS70" s="291"/>
      <c r="CT70" s="291"/>
      <c r="CU70" s="291"/>
      <c r="CV70" s="291"/>
      <c r="CW70" s="291"/>
      <c r="CX70" s="291"/>
      <c r="CY70" s="291"/>
      <c r="CZ70" s="291"/>
      <c r="DA70" s="291"/>
      <c r="DB70" s="291"/>
      <c r="DC70" s="291"/>
      <c r="DD70" s="291"/>
      <c r="DE70" s="291"/>
      <c r="DF70" s="291"/>
      <c r="DG70" s="291"/>
      <c r="DH70" s="291"/>
      <c r="DI70" s="291"/>
      <c r="DJ70" s="291"/>
      <c r="DK70" s="291"/>
      <c r="DL70" s="291"/>
      <c r="DM70" s="291"/>
      <c r="DN70" s="291"/>
      <c r="DO70" s="291"/>
      <c r="DP70" s="291"/>
      <c r="DQ70" s="291"/>
      <c r="DR70" s="291"/>
      <c r="DS70" s="291"/>
      <c r="DT70" s="291"/>
      <c r="DU70" s="291"/>
      <c r="DV70" s="291"/>
      <c r="DW70" s="291"/>
      <c r="DX70" s="291"/>
      <c r="DY70" s="291"/>
      <c r="DZ70" s="291"/>
      <c r="EA70" s="291"/>
      <c r="EB70" s="291"/>
      <c r="EC70" s="291"/>
      <c r="ED70" s="291"/>
      <c r="EE70" s="291"/>
      <c r="EF70" s="291"/>
      <c r="EG70" s="291"/>
      <c r="EH70" s="291"/>
      <c r="EI70" s="291"/>
      <c r="EJ70" s="291"/>
      <c r="EK70" s="291"/>
      <c r="EL70" s="291"/>
      <c r="EM70" s="291"/>
      <c r="EN70" s="291"/>
      <c r="EO70" s="291"/>
      <c r="EP70" s="291"/>
      <c r="EQ70" s="291"/>
      <c r="ER70" s="291"/>
      <c r="ES70" s="291"/>
      <c r="ET70" s="291"/>
      <c r="EU70" s="291"/>
      <c r="EV70" s="291"/>
      <c r="EW70" s="291"/>
      <c r="EX70" s="291"/>
      <c r="EY70" s="291"/>
      <c r="EZ70" s="291"/>
      <c r="FA70" s="291"/>
      <c r="FB70" s="291"/>
      <c r="FC70" s="291"/>
      <c r="FD70" s="291"/>
      <c r="FE70" s="291"/>
      <c r="FF70" s="291"/>
      <c r="FG70" s="291"/>
      <c r="FH70" s="291"/>
      <c r="FI70" s="291"/>
      <c r="FJ70" s="291"/>
      <c r="FK70" s="291"/>
      <c r="FL70" s="291"/>
      <c r="FM70" s="291"/>
      <c r="FN70" s="291"/>
      <c r="FO70" s="291"/>
      <c r="FP70" s="291"/>
      <c r="FQ70" s="291"/>
      <c r="FR70" s="291"/>
      <c r="FS70" s="291"/>
      <c r="FT70" s="291"/>
      <c r="FU70" s="291"/>
      <c r="FV70" s="291"/>
      <c r="FW70" s="291"/>
      <c r="FX70" s="291"/>
      <c r="FY70" s="291"/>
      <c r="FZ70" s="291"/>
      <c r="GA70" s="291"/>
      <c r="GB70" s="291"/>
      <c r="GC70" s="291"/>
      <c r="GD70" s="291"/>
      <c r="GE70" s="291"/>
      <c r="GF70" s="291"/>
      <c r="GG70" s="291"/>
      <c r="GH70" s="291"/>
      <c r="GI70" s="291"/>
      <c r="GJ70" s="291"/>
      <c r="GK70" s="291"/>
      <c r="GL70" s="291"/>
      <c r="GM70" s="291"/>
      <c r="GN70" s="291"/>
      <c r="GO70" s="291"/>
      <c r="GP70" s="291"/>
      <c r="GQ70" s="291"/>
      <c r="GR70" s="291"/>
      <c r="GS70" s="291"/>
      <c r="GT70" s="291"/>
      <c r="GU70" s="291"/>
      <c r="GV70" s="291"/>
      <c r="GW70" s="291"/>
      <c r="GX70" s="291"/>
      <c r="GY70" s="291"/>
      <c r="GZ70" s="291"/>
      <c r="HA70" s="291"/>
      <c r="HB70" s="291"/>
      <c r="HC70" s="291"/>
      <c r="HD70" s="291"/>
      <c r="HE70" s="291"/>
      <c r="HF70" s="291"/>
      <c r="HG70" s="291"/>
      <c r="HH70" s="291"/>
      <c r="HI70" s="291"/>
      <c r="HJ70" s="291"/>
      <c r="HK70" s="291"/>
      <c r="HL70" s="291"/>
      <c r="HM70" s="291"/>
      <c r="HN70" s="291"/>
      <c r="HO70" s="291"/>
      <c r="HP70" s="291"/>
      <c r="HQ70" s="291"/>
      <c r="HR70" s="291"/>
      <c r="HS70" s="291"/>
      <c r="HT70" s="291"/>
      <c r="HU70" s="291"/>
      <c r="HV70" s="291"/>
      <c r="HW70" s="291"/>
      <c r="HX70" s="291"/>
      <c r="HY70" s="291"/>
      <c r="HZ70" s="291"/>
      <c r="IA70" s="291"/>
      <c r="IB70" s="291"/>
      <c r="IC70" s="291"/>
      <c r="ID70" s="291"/>
      <c r="IE70" s="291"/>
      <c r="IF70" s="291"/>
      <c r="IG70" s="291"/>
      <c r="IH70" s="291"/>
      <c r="II70" s="291"/>
      <c r="IJ70" s="291"/>
      <c r="IK70" s="291"/>
      <c r="IL70" s="291"/>
      <c r="IM70" s="291"/>
      <c r="IN70" s="291"/>
      <c r="IO70" s="291"/>
      <c r="IP70" s="291"/>
      <c r="IQ70" s="291"/>
      <c r="IR70" s="291"/>
      <c r="IS70" s="291"/>
      <c r="IT70" s="291"/>
      <c r="IU70" s="291"/>
      <c r="IV70" s="291"/>
      <c r="IW70" s="291"/>
      <c r="IX70" s="291"/>
      <c r="IY70" s="291"/>
      <c r="IZ70" s="291"/>
      <c r="JA70" s="291"/>
      <c r="JB70" s="291"/>
      <c r="JC70" s="291"/>
      <c r="JD70" s="291"/>
      <c r="JE70" s="291"/>
      <c r="JF70" s="291"/>
      <c r="JG70" s="291"/>
      <c r="JH70" s="291"/>
      <c r="JI70" s="291"/>
      <c r="JJ70" s="291"/>
      <c r="JK70" s="291"/>
      <c r="JL70" s="291"/>
      <c r="JM70" s="291"/>
      <c r="JN70" s="291"/>
      <c r="JO70" s="291"/>
      <c r="JP70" s="291"/>
      <c r="JQ70" s="291"/>
      <c r="JR70" s="291"/>
      <c r="JS70" s="291"/>
      <c r="JT70" s="291"/>
      <c r="JU70" s="291"/>
      <c r="JV70" s="291"/>
      <c r="JW70" s="291"/>
      <c r="JX70" s="291"/>
      <c r="JY70" s="291"/>
      <c r="JZ70" s="291"/>
      <c r="KA70" s="291"/>
      <c r="KB70" s="291"/>
      <c r="KC70" s="291"/>
      <c r="KD70" s="291"/>
      <c r="KE70" s="291"/>
      <c r="KF70" s="291"/>
      <c r="KG70" s="291"/>
      <c r="KH70" s="291"/>
      <c r="KI70" s="291"/>
      <c r="KJ70" s="291"/>
      <c r="KK70" s="291"/>
      <c r="KL70" s="291"/>
      <c r="KM70" s="291"/>
      <c r="KN70" s="291"/>
      <c r="KO70" s="291"/>
      <c r="KP70" s="291"/>
      <c r="KQ70" s="291"/>
      <c r="KR70" s="291"/>
      <c r="KS70" s="291"/>
      <c r="KT70" s="291"/>
      <c r="KU70" s="291"/>
      <c r="KV70" s="291"/>
      <c r="KW70" s="291"/>
      <c r="KX70" s="291"/>
      <c r="KY70" s="291"/>
      <c r="KZ70" s="291"/>
      <c r="LA70" s="291"/>
      <c r="LB70" s="291"/>
      <c r="LC70" s="291"/>
      <c r="LD70" s="291"/>
      <c r="LE70" s="291"/>
      <c r="LF70" s="291"/>
      <c r="LG70" s="291"/>
      <c r="LH70" s="291"/>
      <c r="LI70" s="291"/>
      <c r="LJ70" s="291"/>
      <c r="LK70" s="291"/>
      <c r="LL70" s="291"/>
      <c r="LM70" s="291"/>
      <c r="LN70" s="291"/>
      <c r="LO70" s="291"/>
      <c r="LP70" s="291"/>
      <c r="LQ70" s="291"/>
      <c r="LR70" s="291"/>
      <c r="LS70" s="291"/>
      <c r="LT70" s="291"/>
      <c r="LU70" s="291"/>
      <c r="LV70" s="291"/>
      <c r="LW70" s="291"/>
      <c r="LX70" s="291"/>
      <c r="LY70" s="291"/>
      <c r="LZ70" s="291"/>
      <c r="MA70" s="291"/>
      <c r="MB70" s="291"/>
      <c r="MC70" s="291"/>
      <c r="MD70" s="291"/>
      <c r="ME70" s="291"/>
      <c r="MF70" s="291"/>
      <c r="MG70" s="291"/>
      <c r="MH70" s="291"/>
      <c r="MI70" s="291"/>
      <c r="MJ70" s="291"/>
      <c r="MK70" s="291"/>
      <c r="ML70" s="291"/>
      <c r="MM70" s="291"/>
      <c r="MN70" s="291"/>
      <c r="MO70" s="291"/>
      <c r="MP70" s="291"/>
      <c r="MQ70" s="291"/>
      <c r="MR70" s="291"/>
      <c r="MS70" s="291"/>
      <c r="MT70" s="291"/>
      <c r="MU70" s="291"/>
      <c r="MV70" s="291"/>
      <c r="MW70" s="291"/>
      <c r="MX70" s="291"/>
      <c r="MY70" s="291"/>
      <c r="MZ70" s="291"/>
      <c r="NA70" s="291"/>
      <c r="NB70" s="291"/>
      <c r="NC70" s="291"/>
      <c r="ND70" s="291"/>
      <c r="NE70" s="291"/>
      <c r="NF70" s="291"/>
      <c r="NG70" s="291"/>
      <c r="NH70" s="291"/>
      <c r="NI70" s="291"/>
      <c r="NJ70" s="291"/>
      <c r="NK70" s="291"/>
      <c r="NL70" s="291"/>
      <c r="NM70" s="291"/>
      <c r="NN70" s="291"/>
      <c r="NO70" s="291"/>
      <c r="NP70" s="291"/>
      <c r="NQ70" s="291"/>
      <c r="NR70" s="291"/>
      <c r="NS70" s="291"/>
      <c r="NT70" s="291"/>
      <c r="NU70" s="291"/>
      <c r="NV70" s="291"/>
      <c r="NW70" s="291"/>
      <c r="NX70" s="291"/>
      <c r="NY70" s="291"/>
      <c r="NZ70" s="291"/>
      <c r="OA70" s="291"/>
      <c r="OB70" s="291"/>
      <c r="OC70" s="291"/>
      <c r="OD70" s="291"/>
      <c r="OE70" s="291"/>
      <c r="OF70" s="291"/>
      <c r="OG70" s="291"/>
      <c r="OH70" s="291"/>
      <c r="OI70" s="291"/>
      <c r="OJ70" s="291"/>
      <c r="OK70" s="291"/>
      <c r="OL70" s="291"/>
      <c r="OM70" s="291"/>
      <c r="ON70" s="291"/>
      <c r="OO70" s="291"/>
      <c r="OP70" s="291"/>
      <c r="OQ70" s="291"/>
      <c r="OR70" s="291"/>
      <c r="OS70" s="291"/>
      <c r="OT70" s="291"/>
      <c r="OU70" s="291"/>
      <c r="OV70" s="291"/>
      <c r="OW70" s="291"/>
    </row>
    <row r="71" spans="1:413" s="257" customFormat="1" hidden="1" x14ac:dyDescent="0.2">
      <c r="A71" s="291"/>
      <c r="B71" s="524">
        <f t="shared" si="3"/>
        <v>55</v>
      </c>
      <c r="C71" s="510" t="s">
        <v>38</v>
      </c>
      <c r="D71" s="511">
        <v>30091981</v>
      </c>
      <c r="E71" s="511"/>
      <c r="F71" s="512" t="s">
        <v>1192</v>
      </c>
      <c r="G71" s="513" t="s">
        <v>45</v>
      </c>
      <c r="H71" s="514" t="s">
        <v>1094</v>
      </c>
      <c r="I71" s="515" t="s">
        <v>1138</v>
      </c>
      <c r="J71" s="346" t="s">
        <v>43</v>
      </c>
      <c r="K71" s="526">
        <v>5790497</v>
      </c>
      <c r="L71" s="527">
        <v>0</v>
      </c>
      <c r="M71" s="528">
        <v>3590497</v>
      </c>
      <c r="N71" s="520">
        <v>0</v>
      </c>
      <c r="O71" s="520">
        <v>0</v>
      </c>
      <c r="P71" s="520">
        <v>0</v>
      </c>
      <c r="Q71" s="520">
        <v>0</v>
      </c>
      <c r="R71" s="520">
        <v>0</v>
      </c>
      <c r="S71" s="520">
        <v>0</v>
      </c>
      <c r="T71" s="18"/>
      <c r="U71" s="18"/>
      <c r="V71" s="18"/>
      <c r="W71" s="18"/>
      <c r="X71" s="18"/>
      <c r="Y71" s="18"/>
      <c r="Z71" s="18">
        <f t="shared" si="0"/>
        <v>0</v>
      </c>
      <c r="AA71" s="309">
        <v>2218008</v>
      </c>
      <c r="AB71" s="19">
        <v>5</v>
      </c>
      <c r="AC71" s="521">
        <v>44224</v>
      </c>
      <c r="AD71" s="25">
        <v>44251</v>
      </c>
      <c r="AE71" s="309">
        <v>-1214617</v>
      </c>
      <c r="AF71" s="20">
        <v>22</v>
      </c>
      <c r="AG71" s="23">
        <v>44301</v>
      </c>
      <c r="AH71" s="25">
        <v>44313</v>
      </c>
      <c r="AI71" s="309">
        <v>-267381</v>
      </c>
      <c r="AJ71" s="19">
        <v>50</v>
      </c>
      <c r="AK71" s="23">
        <v>44356</v>
      </c>
      <c r="AL71" s="25">
        <v>44377</v>
      </c>
      <c r="AM71" s="309"/>
      <c r="AN71" s="19"/>
      <c r="AO71" s="21"/>
      <c r="AP71" s="25"/>
      <c r="AQ71" s="309"/>
      <c r="AR71" s="19"/>
      <c r="AS71" s="21"/>
      <c r="AT71" s="25"/>
      <c r="AU71" s="522">
        <f t="shared" si="1"/>
        <v>736010</v>
      </c>
      <c r="AV71" s="311">
        <f t="shared" si="2"/>
        <v>736010</v>
      </c>
      <c r="AW71" s="305"/>
      <c r="AX71" s="291"/>
      <c r="AY71" s="291"/>
      <c r="AZ71" s="291"/>
      <c r="BA71" s="291"/>
      <c r="BB71" s="291"/>
      <c r="BC71" s="291"/>
      <c r="BD71" s="291"/>
      <c r="BE71" s="291"/>
      <c r="BF71" s="291"/>
      <c r="BG71" s="291"/>
      <c r="BH71" s="291"/>
      <c r="BI71" s="291"/>
      <c r="BJ71" s="291"/>
      <c r="BK71" s="291"/>
      <c r="BL71" s="291"/>
      <c r="BM71" s="291"/>
      <c r="BN71" s="291"/>
      <c r="BO71" s="291"/>
      <c r="BP71" s="291"/>
      <c r="BQ71" s="291"/>
      <c r="BR71" s="291"/>
      <c r="BS71" s="291"/>
      <c r="BT71" s="291"/>
      <c r="BU71" s="291"/>
      <c r="BV71" s="291"/>
      <c r="BW71" s="291"/>
      <c r="BX71" s="291"/>
      <c r="BY71" s="291"/>
      <c r="BZ71" s="291"/>
      <c r="CA71" s="291"/>
      <c r="CB71" s="291"/>
      <c r="CC71" s="291"/>
      <c r="CD71" s="291"/>
      <c r="CE71" s="291"/>
      <c r="CF71" s="291"/>
      <c r="CG71" s="291"/>
      <c r="CH71" s="291"/>
      <c r="CI71" s="291"/>
      <c r="CJ71" s="291"/>
      <c r="CK71" s="291"/>
      <c r="CL71" s="291"/>
      <c r="CM71" s="291"/>
      <c r="CN71" s="291"/>
      <c r="CO71" s="291"/>
      <c r="CP71" s="291"/>
      <c r="CQ71" s="291"/>
      <c r="CR71" s="291"/>
      <c r="CS71" s="291"/>
      <c r="CT71" s="291"/>
      <c r="CU71" s="291"/>
      <c r="CV71" s="291"/>
      <c r="CW71" s="291"/>
      <c r="CX71" s="291"/>
      <c r="CY71" s="291"/>
      <c r="CZ71" s="291"/>
      <c r="DA71" s="291"/>
      <c r="DB71" s="291"/>
      <c r="DC71" s="291"/>
      <c r="DD71" s="291"/>
      <c r="DE71" s="291"/>
      <c r="DF71" s="291"/>
      <c r="DG71" s="291"/>
      <c r="DH71" s="291"/>
      <c r="DI71" s="291"/>
      <c r="DJ71" s="291"/>
      <c r="DK71" s="291"/>
      <c r="DL71" s="291"/>
      <c r="DM71" s="291"/>
      <c r="DN71" s="291"/>
      <c r="DO71" s="291"/>
      <c r="DP71" s="291"/>
      <c r="DQ71" s="291"/>
      <c r="DR71" s="291"/>
      <c r="DS71" s="291"/>
      <c r="DT71" s="291"/>
      <c r="DU71" s="291"/>
      <c r="DV71" s="291"/>
      <c r="DW71" s="291"/>
      <c r="DX71" s="291"/>
      <c r="DY71" s="291"/>
      <c r="DZ71" s="291"/>
      <c r="EA71" s="291"/>
      <c r="EB71" s="291"/>
      <c r="EC71" s="291"/>
      <c r="ED71" s="291"/>
      <c r="EE71" s="291"/>
      <c r="EF71" s="291"/>
      <c r="EG71" s="291"/>
      <c r="EH71" s="291"/>
      <c r="EI71" s="291"/>
      <c r="EJ71" s="291"/>
      <c r="EK71" s="291"/>
      <c r="EL71" s="291"/>
      <c r="EM71" s="291"/>
      <c r="EN71" s="291"/>
      <c r="EO71" s="291"/>
      <c r="EP71" s="291"/>
      <c r="EQ71" s="291"/>
      <c r="ER71" s="291"/>
      <c r="ES71" s="291"/>
      <c r="ET71" s="291"/>
      <c r="EU71" s="291"/>
      <c r="EV71" s="291"/>
      <c r="EW71" s="291"/>
      <c r="EX71" s="291"/>
      <c r="EY71" s="291"/>
      <c r="EZ71" s="291"/>
      <c r="FA71" s="291"/>
      <c r="FB71" s="291"/>
      <c r="FC71" s="291"/>
      <c r="FD71" s="291"/>
      <c r="FE71" s="291"/>
      <c r="FF71" s="291"/>
      <c r="FG71" s="291"/>
      <c r="FH71" s="291"/>
      <c r="FI71" s="291"/>
      <c r="FJ71" s="291"/>
      <c r="FK71" s="291"/>
      <c r="FL71" s="291"/>
      <c r="FM71" s="291"/>
      <c r="FN71" s="291"/>
      <c r="FO71" s="291"/>
      <c r="FP71" s="291"/>
      <c r="FQ71" s="291"/>
      <c r="FR71" s="291"/>
      <c r="FS71" s="291"/>
      <c r="FT71" s="291"/>
      <c r="FU71" s="291"/>
      <c r="FV71" s="291"/>
      <c r="FW71" s="291"/>
      <c r="FX71" s="291"/>
      <c r="FY71" s="291"/>
      <c r="FZ71" s="291"/>
      <c r="GA71" s="291"/>
      <c r="GB71" s="291"/>
      <c r="GC71" s="291"/>
      <c r="GD71" s="291"/>
      <c r="GE71" s="291"/>
      <c r="GF71" s="291"/>
      <c r="GG71" s="291"/>
      <c r="GH71" s="291"/>
      <c r="GI71" s="291"/>
      <c r="GJ71" s="291"/>
      <c r="GK71" s="291"/>
      <c r="GL71" s="291"/>
      <c r="GM71" s="291"/>
      <c r="GN71" s="291"/>
      <c r="GO71" s="291"/>
      <c r="GP71" s="291"/>
      <c r="GQ71" s="291"/>
      <c r="GR71" s="291"/>
      <c r="GS71" s="291"/>
      <c r="GT71" s="291"/>
      <c r="GU71" s="291"/>
      <c r="GV71" s="291"/>
      <c r="GW71" s="291"/>
      <c r="GX71" s="291"/>
      <c r="GY71" s="291"/>
      <c r="GZ71" s="291"/>
      <c r="HA71" s="291"/>
      <c r="HB71" s="291"/>
      <c r="HC71" s="291"/>
      <c r="HD71" s="291"/>
      <c r="HE71" s="291"/>
      <c r="HF71" s="291"/>
      <c r="HG71" s="291"/>
      <c r="HH71" s="291"/>
      <c r="HI71" s="291"/>
      <c r="HJ71" s="291"/>
      <c r="HK71" s="291"/>
      <c r="HL71" s="291"/>
      <c r="HM71" s="291"/>
      <c r="HN71" s="291"/>
      <c r="HO71" s="291"/>
      <c r="HP71" s="291"/>
      <c r="HQ71" s="291"/>
      <c r="HR71" s="291"/>
      <c r="HS71" s="291"/>
      <c r="HT71" s="291"/>
      <c r="HU71" s="291"/>
      <c r="HV71" s="291"/>
      <c r="HW71" s="291"/>
      <c r="HX71" s="291"/>
      <c r="HY71" s="291"/>
      <c r="HZ71" s="291"/>
      <c r="IA71" s="291"/>
      <c r="IB71" s="291"/>
      <c r="IC71" s="291"/>
      <c r="ID71" s="291"/>
      <c r="IE71" s="291"/>
      <c r="IF71" s="291"/>
      <c r="IG71" s="291"/>
      <c r="IH71" s="291"/>
      <c r="II71" s="291"/>
      <c r="IJ71" s="291"/>
      <c r="IK71" s="291"/>
      <c r="IL71" s="291"/>
      <c r="IM71" s="291"/>
      <c r="IN71" s="291"/>
      <c r="IO71" s="291"/>
      <c r="IP71" s="291"/>
      <c r="IQ71" s="291"/>
      <c r="IR71" s="291"/>
      <c r="IS71" s="291"/>
      <c r="IT71" s="291"/>
      <c r="IU71" s="291"/>
      <c r="IV71" s="291"/>
      <c r="IW71" s="291"/>
      <c r="IX71" s="291"/>
      <c r="IY71" s="291"/>
      <c r="IZ71" s="291"/>
      <c r="JA71" s="291"/>
      <c r="JB71" s="291"/>
      <c r="JC71" s="291"/>
      <c r="JD71" s="291"/>
      <c r="JE71" s="291"/>
      <c r="JF71" s="291"/>
      <c r="JG71" s="291"/>
      <c r="JH71" s="291"/>
      <c r="JI71" s="291"/>
      <c r="JJ71" s="291"/>
      <c r="JK71" s="291"/>
      <c r="JL71" s="291"/>
      <c r="JM71" s="291"/>
      <c r="JN71" s="291"/>
      <c r="JO71" s="291"/>
      <c r="JP71" s="291"/>
      <c r="JQ71" s="291"/>
      <c r="JR71" s="291"/>
      <c r="JS71" s="291"/>
      <c r="JT71" s="291"/>
      <c r="JU71" s="291"/>
      <c r="JV71" s="291"/>
      <c r="JW71" s="291"/>
      <c r="JX71" s="291"/>
      <c r="JY71" s="291"/>
      <c r="JZ71" s="291"/>
      <c r="KA71" s="291"/>
      <c r="KB71" s="291"/>
      <c r="KC71" s="291"/>
      <c r="KD71" s="291"/>
      <c r="KE71" s="291"/>
      <c r="KF71" s="291"/>
      <c r="KG71" s="291"/>
      <c r="KH71" s="291"/>
      <c r="KI71" s="291"/>
      <c r="KJ71" s="291"/>
      <c r="KK71" s="291"/>
      <c r="KL71" s="291"/>
      <c r="KM71" s="291"/>
      <c r="KN71" s="291"/>
      <c r="KO71" s="291"/>
      <c r="KP71" s="291"/>
      <c r="KQ71" s="291"/>
      <c r="KR71" s="291"/>
      <c r="KS71" s="291"/>
      <c r="KT71" s="291"/>
      <c r="KU71" s="291"/>
      <c r="KV71" s="291"/>
      <c r="KW71" s="291"/>
      <c r="KX71" s="291"/>
      <c r="KY71" s="291"/>
      <c r="KZ71" s="291"/>
      <c r="LA71" s="291"/>
      <c r="LB71" s="291"/>
      <c r="LC71" s="291"/>
      <c r="LD71" s="291"/>
      <c r="LE71" s="291"/>
      <c r="LF71" s="291"/>
      <c r="LG71" s="291"/>
      <c r="LH71" s="291"/>
      <c r="LI71" s="291"/>
      <c r="LJ71" s="291"/>
      <c r="LK71" s="291"/>
      <c r="LL71" s="291"/>
      <c r="LM71" s="291"/>
      <c r="LN71" s="291"/>
      <c r="LO71" s="291"/>
      <c r="LP71" s="291"/>
      <c r="LQ71" s="291"/>
      <c r="LR71" s="291"/>
      <c r="LS71" s="291"/>
      <c r="LT71" s="291"/>
      <c r="LU71" s="291"/>
      <c r="LV71" s="291"/>
      <c r="LW71" s="291"/>
      <c r="LX71" s="291"/>
      <c r="LY71" s="291"/>
      <c r="LZ71" s="291"/>
      <c r="MA71" s="291"/>
      <c r="MB71" s="291"/>
      <c r="MC71" s="291"/>
      <c r="MD71" s="291"/>
      <c r="ME71" s="291"/>
      <c r="MF71" s="291"/>
      <c r="MG71" s="291"/>
      <c r="MH71" s="291"/>
      <c r="MI71" s="291"/>
      <c r="MJ71" s="291"/>
      <c r="MK71" s="291"/>
      <c r="ML71" s="291"/>
      <c r="MM71" s="291"/>
      <c r="MN71" s="291"/>
      <c r="MO71" s="291"/>
      <c r="MP71" s="291"/>
      <c r="MQ71" s="291"/>
      <c r="MR71" s="291"/>
      <c r="MS71" s="291"/>
      <c r="MT71" s="291"/>
      <c r="MU71" s="291"/>
      <c r="MV71" s="291"/>
      <c r="MW71" s="291"/>
      <c r="MX71" s="291"/>
      <c r="MY71" s="291"/>
      <c r="MZ71" s="291"/>
      <c r="NA71" s="291"/>
      <c r="NB71" s="291"/>
      <c r="NC71" s="291"/>
      <c r="ND71" s="291"/>
      <c r="NE71" s="291"/>
      <c r="NF71" s="291"/>
      <c r="NG71" s="291"/>
      <c r="NH71" s="291"/>
      <c r="NI71" s="291"/>
      <c r="NJ71" s="291"/>
      <c r="NK71" s="291"/>
      <c r="NL71" s="291"/>
      <c r="NM71" s="291"/>
      <c r="NN71" s="291"/>
      <c r="NO71" s="291"/>
      <c r="NP71" s="291"/>
      <c r="NQ71" s="291"/>
      <c r="NR71" s="291"/>
      <c r="NS71" s="291"/>
      <c r="NT71" s="291"/>
      <c r="NU71" s="291"/>
      <c r="NV71" s="291"/>
      <c r="NW71" s="291"/>
      <c r="NX71" s="291"/>
      <c r="NY71" s="291"/>
      <c r="NZ71" s="291"/>
      <c r="OA71" s="291"/>
      <c r="OB71" s="291"/>
      <c r="OC71" s="291"/>
      <c r="OD71" s="291"/>
      <c r="OE71" s="291"/>
      <c r="OF71" s="291"/>
      <c r="OG71" s="291"/>
      <c r="OH71" s="291"/>
      <c r="OI71" s="291"/>
      <c r="OJ71" s="291"/>
      <c r="OK71" s="291"/>
      <c r="OL71" s="291"/>
      <c r="OM71" s="291"/>
      <c r="ON71" s="291"/>
      <c r="OO71" s="291"/>
      <c r="OP71" s="291"/>
      <c r="OQ71" s="291"/>
      <c r="OR71" s="291"/>
      <c r="OS71" s="291"/>
      <c r="OT71" s="291"/>
      <c r="OU71" s="291"/>
      <c r="OV71" s="291"/>
      <c r="OW71" s="291"/>
    </row>
    <row r="72" spans="1:413" s="257" customFormat="1" hidden="1" x14ac:dyDescent="0.2">
      <c r="A72" s="291"/>
      <c r="B72" s="524">
        <f t="shared" si="3"/>
        <v>56</v>
      </c>
      <c r="C72" s="510" t="s">
        <v>38</v>
      </c>
      <c r="D72" s="511">
        <v>30092176</v>
      </c>
      <c r="E72" s="511"/>
      <c r="F72" s="512" t="s">
        <v>1193</v>
      </c>
      <c r="G72" s="513" t="s">
        <v>45</v>
      </c>
      <c r="H72" s="514" t="s">
        <v>1094</v>
      </c>
      <c r="I72" s="515" t="s">
        <v>1194</v>
      </c>
      <c r="J72" s="346" t="s">
        <v>42</v>
      </c>
      <c r="K72" s="526">
        <v>3822417</v>
      </c>
      <c r="L72" s="527">
        <v>3815877</v>
      </c>
      <c r="M72" s="528">
        <v>0</v>
      </c>
      <c r="N72" s="520">
        <v>0</v>
      </c>
      <c r="O72" s="520">
        <v>0</v>
      </c>
      <c r="P72" s="520">
        <v>0</v>
      </c>
      <c r="Q72" s="520">
        <v>0</v>
      </c>
      <c r="R72" s="520">
        <v>0</v>
      </c>
      <c r="S72" s="520">
        <v>0</v>
      </c>
      <c r="T72" s="18"/>
      <c r="U72" s="18"/>
      <c r="V72" s="18"/>
      <c r="W72" s="18"/>
      <c r="X72" s="18"/>
      <c r="Y72" s="18"/>
      <c r="Z72" s="18">
        <f t="shared" si="0"/>
        <v>0</v>
      </c>
      <c r="AA72" s="309">
        <v>6540</v>
      </c>
      <c r="AB72" s="19">
        <v>11</v>
      </c>
      <c r="AC72" s="521">
        <v>44237</v>
      </c>
      <c r="AD72" s="25">
        <v>44251</v>
      </c>
      <c r="AE72" s="309"/>
      <c r="AF72" s="20"/>
      <c r="AG72" s="23"/>
      <c r="AH72" s="25"/>
      <c r="AI72" s="309"/>
      <c r="AJ72" s="19"/>
      <c r="AK72" s="23"/>
      <c r="AL72" s="25"/>
      <c r="AM72" s="309"/>
      <c r="AN72" s="19"/>
      <c r="AO72" s="21"/>
      <c r="AP72" s="25"/>
      <c r="AQ72" s="309"/>
      <c r="AR72" s="19"/>
      <c r="AS72" s="21"/>
      <c r="AT72" s="25"/>
      <c r="AU72" s="522">
        <f t="shared" si="1"/>
        <v>6540</v>
      </c>
      <c r="AV72" s="311">
        <f t="shared" si="2"/>
        <v>6540</v>
      </c>
      <c r="AW72" s="305"/>
      <c r="AX72" s="291"/>
      <c r="AY72" s="291"/>
      <c r="AZ72" s="291"/>
      <c r="BA72" s="291"/>
      <c r="BB72" s="291"/>
      <c r="BC72" s="291"/>
      <c r="BD72" s="291"/>
      <c r="BE72" s="291"/>
      <c r="BF72" s="291"/>
      <c r="BG72" s="291"/>
      <c r="BH72" s="291"/>
      <c r="BI72" s="291"/>
      <c r="BJ72" s="291"/>
      <c r="BK72" s="291"/>
      <c r="BL72" s="291"/>
      <c r="BM72" s="291"/>
      <c r="BN72" s="291"/>
      <c r="BO72" s="291"/>
      <c r="BP72" s="291"/>
      <c r="BQ72" s="291"/>
      <c r="BR72" s="291"/>
      <c r="BS72" s="291"/>
      <c r="BT72" s="291"/>
      <c r="BU72" s="291"/>
      <c r="BV72" s="291"/>
      <c r="BW72" s="291"/>
      <c r="BX72" s="291"/>
      <c r="BY72" s="291"/>
      <c r="BZ72" s="291"/>
      <c r="CA72" s="291"/>
      <c r="CB72" s="291"/>
      <c r="CC72" s="291"/>
      <c r="CD72" s="291"/>
      <c r="CE72" s="291"/>
      <c r="CF72" s="291"/>
      <c r="CG72" s="291"/>
      <c r="CH72" s="291"/>
      <c r="CI72" s="291"/>
      <c r="CJ72" s="291"/>
      <c r="CK72" s="291"/>
      <c r="CL72" s="291"/>
      <c r="CM72" s="291"/>
      <c r="CN72" s="291"/>
      <c r="CO72" s="291"/>
      <c r="CP72" s="291"/>
      <c r="CQ72" s="291"/>
      <c r="CR72" s="291"/>
      <c r="CS72" s="291"/>
      <c r="CT72" s="291"/>
      <c r="CU72" s="291"/>
      <c r="CV72" s="291"/>
      <c r="CW72" s="291"/>
      <c r="CX72" s="291"/>
      <c r="CY72" s="291"/>
      <c r="CZ72" s="291"/>
      <c r="DA72" s="291"/>
      <c r="DB72" s="291"/>
      <c r="DC72" s="291"/>
      <c r="DD72" s="291"/>
      <c r="DE72" s="291"/>
      <c r="DF72" s="291"/>
      <c r="DG72" s="291"/>
      <c r="DH72" s="291"/>
      <c r="DI72" s="291"/>
      <c r="DJ72" s="291"/>
      <c r="DK72" s="291"/>
      <c r="DL72" s="291"/>
      <c r="DM72" s="291"/>
      <c r="DN72" s="291"/>
      <c r="DO72" s="291"/>
      <c r="DP72" s="291"/>
      <c r="DQ72" s="291"/>
      <c r="DR72" s="291"/>
      <c r="DS72" s="291"/>
      <c r="DT72" s="291"/>
      <c r="DU72" s="291"/>
      <c r="DV72" s="291"/>
      <c r="DW72" s="291"/>
      <c r="DX72" s="291"/>
      <c r="DY72" s="291"/>
      <c r="DZ72" s="291"/>
      <c r="EA72" s="291"/>
      <c r="EB72" s="291"/>
      <c r="EC72" s="291"/>
      <c r="ED72" s="291"/>
      <c r="EE72" s="291"/>
      <c r="EF72" s="291"/>
      <c r="EG72" s="291"/>
      <c r="EH72" s="291"/>
      <c r="EI72" s="291"/>
      <c r="EJ72" s="291"/>
      <c r="EK72" s="291"/>
      <c r="EL72" s="291"/>
      <c r="EM72" s="291"/>
      <c r="EN72" s="291"/>
      <c r="EO72" s="291"/>
      <c r="EP72" s="291"/>
      <c r="EQ72" s="291"/>
      <c r="ER72" s="291"/>
      <c r="ES72" s="291"/>
      <c r="ET72" s="291"/>
      <c r="EU72" s="291"/>
      <c r="EV72" s="291"/>
      <c r="EW72" s="291"/>
      <c r="EX72" s="291"/>
      <c r="EY72" s="291"/>
      <c r="EZ72" s="291"/>
      <c r="FA72" s="291"/>
      <c r="FB72" s="291"/>
      <c r="FC72" s="291"/>
      <c r="FD72" s="291"/>
      <c r="FE72" s="291"/>
      <c r="FF72" s="291"/>
      <c r="FG72" s="291"/>
      <c r="FH72" s="291"/>
      <c r="FI72" s="291"/>
      <c r="FJ72" s="291"/>
      <c r="FK72" s="291"/>
      <c r="FL72" s="291"/>
      <c r="FM72" s="291"/>
      <c r="FN72" s="291"/>
      <c r="FO72" s="291"/>
      <c r="FP72" s="291"/>
      <c r="FQ72" s="291"/>
      <c r="FR72" s="291"/>
      <c r="FS72" s="291"/>
      <c r="FT72" s="291"/>
      <c r="FU72" s="291"/>
      <c r="FV72" s="291"/>
      <c r="FW72" s="291"/>
      <c r="FX72" s="291"/>
      <c r="FY72" s="291"/>
      <c r="FZ72" s="291"/>
      <c r="GA72" s="291"/>
      <c r="GB72" s="291"/>
      <c r="GC72" s="291"/>
      <c r="GD72" s="291"/>
      <c r="GE72" s="291"/>
      <c r="GF72" s="291"/>
      <c r="GG72" s="291"/>
      <c r="GH72" s="291"/>
      <c r="GI72" s="291"/>
      <c r="GJ72" s="291"/>
      <c r="GK72" s="291"/>
      <c r="GL72" s="291"/>
      <c r="GM72" s="291"/>
      <c r="GN72" s="291"/>
      <c r="GO72" s="291"/>
      <c r="GP72" s="291"/>
      <c r="GQ72" s="291"/>
      <c r="GR72" s="291"/>
      <c r="GS72" s="291"/>
      <c r="GT72" s="291"/>
      <c r="GU72" s="291"/>
      <c r="GV72" s="291"/>
      <c r="GW72" s="291"/>
      <c r="GX72" s="291"/>
      <c r="GY72" s="291"/>
      <c r="GZ72" s="291"/>
      <c r="HA72" s="291"/>
      <c r="HB72" s="291"/>
      <c r="HC72" s="291"/>
      <c r="HD72" s="291"/>
      <c r="HE72" s="291"/>
      <c r="HF72" s="291"/>
      <c r="HG72" s="291"/>
      <c r="HH72" s="291"/>
      <c r="HI72" s="291"/>
      <c r="HJ72" s="291"/>
      <c r="HK72" s="291"/>
      <c r="HL72" s="291"/>
      <c r="HM72" s="291"/>
      <c r="HN72" s="291"/>
      <c r="HO72" s="291"/>
      <c r="HP72" s="291"/>
      <c r="HQ72" s="291"/>
      <c r="HR72" s="291"/>
      <c r="HS72" s="291"/>
      <c r="HT72" s="291"/>
      <c r="HU72" s="291"/>
      <c r="HV72" s="291"/>
      <c r="HW72" s="291"/>
      <c r="HX72" s="291"/>
      <c r="HY72" s="291"/>
      <c r="HZ72" s="291"/>
      <c r="IA72" s="291"/>
      <c r="IB72" s="291"/>
      <c r="IC72" s="291"/>
      <c r="ID72" s="291"/>
      <c r="IE72" s="291"/>
      <c r="IF72" s="291"/>
      <c r="IG72" s="291"/>
      <c r="IH72" s="291"/>
      <c r="II72" s="291"/>
      <c r="IJ72" s="291"/>
      <c r="IK72" s="291"/>
      <c r="IL72" s="291"/>
      <c r="IM72" s="291"/>
      <c r="IN72" s="291"/>
      <c r="IO72" s="291"/>
      <c r="IP72" s="291"/>
      <c r="IQ72" s="291"/>
      <c r="IR72" s="291"/>
      <c r="IS72" s="291"/>
      <c r="IT72" s="291"/>
      <c r="IU72" s="291"/>
      <c r="IV72" s="291"/>
      <c r="IW72" s="291"/>
      <c r="IX72" s="291"/>
      <c r="IY72" s="291"/>
      <c r="IZ72" s="291"/>
      <c r="JA72" s="291"/>
      <c r="JB72" s="291"/>
      <c r="JC72" s="291"/>
      <c r="JD72" s="291"/>
      <c r="JE72" s="291"/>
      <c r="JF72" s="291"/>
      <c r="JG72" s="291"/>
      <c r="JH72" s="291"/>
      <c r="JI72" s="291"/>
      <c r="JJ72" s="291"/>
      <c r="JK72" s="291"/>
      <c r="JL72" s="291"/>
      <c r="JM72" s="291"/>
      <c r="JN72" s="291"/>
      <c r="JO72" s="291"/>
      <c r="JP72" s="291"/>
      <c r="JQ72" s="291"/>
      <c r="JR72" s="291"/>
      <c r="JS72" s="291"/>
      <c r="JT72" s="291"/>
      <c r="JU72" s="291"/>
      <c r="JV72" s="291"/>
      <c r="JW72" s="291"/>
      <c r="JX72" s="291"/>
      <c r="JY72" s="291"/>
      <c r="JZ72" s="291"/>
      <c r="KA72" s="291"/>
      <c r="KB72" s="291"/>
      <c r="KC72" s="291"/>
      <c r="KD72" s="291"/>
      <c r="KE72" s="291"/>
      <c r="KF72" s="291"/>
      <c r="KG72" s="291"/>
      <c r="KH72" s="291"/>
      <c r="KI72" s="291"/>
      <c r="KJ72" s="291"/>
      <c r="KK72" s="291"/>
      <c r="KL72" s="291"/>
      <c r="KM72" s="291"/>
      <c r="KN72" s="291"/>
      <c r="KO72" s="291"/>
      <c r="KP72" s="291"/>
      <c r="KQ72" s="291"/>
      <c r="KR72" s="291"/>
      <c r="KS72" s="291"/>
      <c r="KT72" s="291"/>
      <c r="KU72" s="291"/>
      <c r="KV72" s="291"/>
      <c r="KW72" s="291"/>
      <c r="KX72" s="291"/>
      <c r="KY72" s="291"/>
      <c r="KZ72" s="291"/>
      <c r="LA72" s="291"/>
      <c r="LB72" s="291"/>
      <c r="LC72" s="291"/>
      <c r="LD72" s="291"/>
      <c r="LE72" s="291"/>
      <c r="LF72" s="291"/>
      <c r="LG72" s="291"/>
      <c r="LH72" s="291"/>
      <c r="LI72" s="291"/>
      <c r="LJ72" s="291"/>
      <c r="LK72" s="291"/>
      <c r="LL72" s="291"/>
      <c r="LM72" s="291"/>
      <c r="LN72" s="291"/>
      <c r="LO72" s="291"/>
      <c r="LP72" s="291"/>
      <c r="LQ72" s="291"/>
      <c r="LR72" s="291"/>
      <c r="LS72" s="291"/>
      <c r="LT72" s="291"/>
      <c r="LU72" s="291"/>
      <c r="LV72" s="291"/>
      <c r="LW72" s="291"/>
      <c r="LX72" s="291"/>
      <c r="LY72" s="291"/>
      <c r="LZ72" s="291"/>
      <c r="MA72" s="291"/>
      <c r="MB72" s="291"/>
      <c r="MC72" s="291"/>
      <c r="MD72" s="291"/>
      <c r="ME72" s="291"/>
      <c r="MF72" s="291"/>
      <c r="MG72" s="291"/>
      <c r="MH72" s="291"/>
      <c r="MI72" s="291"/>
      <c r="MJ72" s="291"/>
      <c r="MK72" s="291"/>
      <c r="ML72" s="291"/>
      <c r="MM72" s="291"/>
      <c r="MN72" s="291"/>
      <c r="MO72" s="291"/>
      <c r="MP72" s="291"/>
      <c r="MQ72" s="291"/>
      <c r="MR72" s="291"/>
      <c r="MS72" s="291"/>
      <c r="MT72" s="291"/>
      <c r="MU72" s="291"/>
      <c r="MV72" s="291"/>
      <c r="MW72" s="291"/>
      <c r="MX72" s="291"/>
      <c r="MY72" s="291"/>
      <c r="MZ72" s="291"/>
      <c r="NA72" s="291"/>
      <c r="NB72" s="291"/>
      <c r="NC72" s="291"/>
      <c r="ND72" s="291"/>
      <c r="NE72" s="291"/>
      <c r="NF72" s="291"/>
      <c r="NG72" s="291"/>
      <c r="NH72" s="291"/>
      <c r="NI72" s="291"/>
      <c r="NJ72" s="291"/>
      <c r="NK72" s="291"/>
      <c r="NL72" s="291"/>
      <c r="NM72" s="291"/>
      <c r="NN72" s="291"/>
      <c r="NO72" s="291"/>
      <c r="NP72" s="291"/>
      <c r="NQ72" s="291"/>
      <c r="NR72" s="291"/>
      <c r="NS72" s="291"/>
      <c r="NT72" s="291"/>
      <c r="NU72" s="291"/>
      <c r="NV72" s="291"/>
      <c r="NW72" s="291"/>
      <c r="NX72" s="291"/>
      <c r="NY72" s="291"/>
      <c r="NZ72" s="291"/>
      <c r="OA72" s="291"/>
      <c r="OB72" s="291"/>
      <c r="OC72" s="291"/>
      <c r="OD72" s="291"/>
      <c r="OE72" s="291"/>
      <c r="OF72" s="291"/>
      <c r="OG72" s="291"/>
      <c r="OH72" s="291"/>
      <c r="OI72" s="291"/>
      <c r="OJ72" s="291"/>
      <c r="OK72" s="291"/>
      <c r="OL72" s="291"/>
      <c r="OM72" s="291"/>
      <c r="ON72" s="291"/>
      <c r="OO72" s="291"/>
      <c r="OP72" s="291"/>
      <c r="OQ72" s="291"/>
      <c r="OR72" s="291"/>
      <c r="OS72" s="291"/>
      <c r="OT72" s="291"/>
      <c r="OU72" s="291"/>
      <c r="OV72" s="291"/>
      <c r="OW72" s="291"/>
    </row>
    <row r="73" spans="1:413" s="257" customFormat="1" hidden="1" x14ac:dyDescent="0.2">
      <c r="A73" s="291"/>
      <c r="B73" s="524">
        <f t="shared" si="3"/>
        <v>57</v>
      </c>
      <c r="C73" s="510" t="s">
        <v>38</v>
      </c>
      <c r="D73" s="511">
        <v>30093247</v>
      </c>
      <c r="E73" s="511"/>
      <c r="F73" s="512" t="s">
        <v>1195</v>
      </c>
      <c r="G73" s="513" t="s">
        <v>45</v>
      </c>
      <c r="H73" s="514" t="s">
        <v>1094</v>
      </c>
      <c r="I73" s="515" t="s">
        <v>1163</v>
      </c>
      <c r="J73" s="346" t="s">
        <v>42</v>
      </c>
      <c r="K73" s="526">
        <v>1263979</v>
      </c>
      <c r="L73" s="527">
        <v>1254912</v>
      </c>
      <c r="M73" s="528">
        <v>0</v>
      </c>
      <c r="N73" s="520">
        <v>0</v>
      </c>
      <c r="O73" s="520">
        <v>0</v>
      </c>
      <c r="P73" s="520">
        <v>0</v>
      </c>
      <c r="Q73" s="520">
        <v>0</v>
      </c>
      <c r="R73" s="520">
        <v>0</v>
      </c>
      <c r="S73" s="520">
        <v>0</v>
      </c>
      <c r="T73" s="18"/>
      <c r="U73" s="18"/>
      <c r="V73" s="18"/>
      <c r="W73" s="18"/>
      <c r="X73" s="18"/>
      <c r="Y73" s="18"/>
      <c r="Z73" s="18">
        <f t="shared" si="0"/>
        <v>0</v>
      </c>
      <c r="AA73" s="309">
        <v>9067</v>
      </c>
      <c r="AB73" s="19">
        <v>11</v>
      </c>
      <c r="AC73" s="521">
        <v>44237</v>
      </c>
      <c r="AD73" s="25">
        <v>44251</v>
      </c>
      <c r="AE73" s="309"/>
      <c r="AF73" s="20"/>
      <c r="AG73" s="23"/>
      <c r="AH73" s="25"/>
      <c r="AI73" s="309"/>
      <c r="AJ73" s="19"/>
      <c r="AK73" s="23"/>
      <c r="AL73" s="25"/>
      <c r="AM73" s="309"/>
      <c r="AN73" s="19"/>
      <c r="AO73" s="21"/>
      <c r="AP73" s="25"/>
      <c r="AQ73" s="309"/>
      <c r="AR73" s="19"/>
      <c r="AS73" s="21"/>
      <c r="AT73" s="25"/>
      <c r="AU73" s="522">
        <f t="shared" si="1"/>
        <v>9067</v>
      </c>
      <c r="AV73" s="311">
        <f t="shared" si="2"/>
        <v>9067</v>
      </c>
      <c r="AW73" s="305"/>
      <c r="AX73" s="291"/>
      <c r="AY73" s="291"/>
      <c r="AZ73" s="291"/>
      <c r="BA73" s="291"/>
      <c r="BB73" s="291"/>
      <c r="BC73" s="291"/>
      <c r="BD73" s="291"/>
      <c r="BE73" s="291"/>
      <c r="BF73" s="291"/>
      <c r="BG73" s="291"/>
      <c r="BH73" s="291"/>
      <c r="BI73" s="291"/>
      <c r="BJ73" s="291"/>
      <c r="BK73" s="291"/>
      <c r="BL73" s="291"/>
      <c r="BM73" s="291"/>
      <c r="BN73" s="291"/>
      <c r="BO73" s="291"/>
      <c r="BP73" s="291"/>
      <c r="BQ73" s="291"/>
      <c r="BR73" s="291"/>
      <c r="BS73" s="291"/>
      <c r="BT73" s="291"/>
      <c r="BU73" s="291"/>
      <c r="BV73" s="291"/>
      <c r="BW73" s="291"/>
      <c r="BX73" s="291"/>
      <c r="BY73" s="291"/>
      <c r="BZ73" s="291"/>
      <c r="CA73" s="291"/>
      <c r="CB73" s="291"/>
      <c r="CC73" s="291"/>
      <c r="CD73" s="291"/>
      <c r="CE73" s="291"/>
      <c r="CF73" s="291"/>
      <c r="CG73" s="291"/>
      <c r="CH73" s="291"/>
      <c r="CI73" s="291"/>
      <c r="CJ73" s="291"/>
      <c r="CK73" s="291"/>
      <c r="CL73" s="291"/>
      <c r="CM73" s="291"/>
      <c r="CN73" s="291"/>
      <c r="CO73" s="291"/>
      <c r="CP73" s="291"/>
      <c r="CQ73" s="291"/>
      <c r="CR73" s="291"/>
      <c r="CS73" s="291"/>
      <c r="CT73" s="291"/>
      <c r="CU73" s="291"/>
      <c r="CV73" s="291"/>
      <c r="CW73" s="291"/>
      <c r="CX73" s="291"/>
      <c r="CY73" s="291"/>
      <c r="CZ73" s="291"/>
      <c r="DA73" s="291"/>
      <c r="DB73" s="291"/>
      <c r="DC73" s="291"/>
      <c r="DD73" s="291"/>
      <c r="DE73" s="291"/>
      <c r="DF73" s="291"/>
      <c r="DG73" s="291"/>
      <c r="DH73" s="291"/>
      <c r="DI73" s="291"/>
      <c r="DJ73" s="291"/>
      <c r="DK73" s="291"/>
      <c r="DL73" s="291"/>
      <c r="DM73" s="291"/>
      <c r="DN73" s="291"/>
      <c r="DO73" s="291"/>
      <c r="DP73" s="291"/>
      <c r="DQ73" s="291"/>
      <c r="DR73" s="291"/>
      <c r="DS73" s="291"/>
      <c r="DT73" s="291"/>
      <c r="DU73" s="291"/>
      <c r="DV73" s="291"/>
      <c r="DW73" s="291"/>
      <c r="DX73" s="291"/>
      <c r="DY73" s="291"/>
      <c r="DZ73" s="291"/>
      <c r="EA73" s="291"/>
      <c r="EB73" s="291"/>
      <c r="EC73" s="291"/>
      <c r="ED73" s="291"/>
      <c r="EE73" s="291"/>
      <c r="EF73" s="291"/>
      <c r="EG73" s="291"/>
      <c r="EH73" s="291"/>
      <c r="EI73" s="291"/>
      <c r="EJ73" s="291"/>
      <c r="EK73" s="291"/>
      <c r="EL73" s="291"/>
      <c r="EM73" s="291"/>
      <c r="EN73" s="291"/>
      <c r="EO73" s="291"/>
      <c r="EP73" s="291"/>
      <c r="EQ73" s="291"/>
      <c r="ER73" s="291"/>
      <c r="ES73" s="291"/>
      <c r="ET73" s="291"/>
      <c r="EU73" s="291"/>
      <c r="EV73" s="291"/>
      <c r="EW73" s="291"/>
      <c r="EX73" s="291"/>
      <c r="EY73" s="291"/>
      <c r="EZ73" s="291"/>
      <c r="FA73" s="291"/>
      <c r="FB73" s="291"/>
      <c r="FC73" s="291"/>
      <c r="FD73" s="291"/>
      <c r="FE73" s="291"/>
      <c r="FF73" s="291"/>
      <c r="FG73" s="291"/>
      <c r="FH73" s="291"/>
      <c r="FI73" s="291"/>
      <c r="FJ73" s="291"/>
      <c r="FK73" s="291"/>
      <c r="FL73" s="291"/>
      <c r="FM73" s="291"/>
      <c r="FN73" s="291"/>
      <c r="FO73" s="291"/>
      <c r="FP73" s="291"/>
      <c r="FQ73" s="291"/>
      <c r="FR73" s="291"/>
      <c r="FS73" s="291"/>
      <c r="FT73" s="291"/>
      <c r="FU73" s="291"/>
      <c r="FV73" s="291"/>
      <c r="FW73" s="291"/>
      <c r="FX73" s="291"/>
      <c r="FY73" s="291"/>
      <c r="FZ73" s="291"/>
      <c r="GA73" s="291"/>
      <c r="GB73" s="291"/>
      <c r="GC73" s="291"/>
      <c r="GD73" s="291"/>
      <c r="GE73" s="291"/>
      <c r="GF73" s="291"/>
      <c r="GG73" s="291"/>
      <c r="GH73" s="291"/>
      <c r="GI73" s="291"/>
      <c r="GJ73" s="291"/>
      <c r="GK73" s="291"/>
      <c r="GL73" s="291"/>
      <c r="GM73" s="291"/>
      <c r="GN73" s="291"/>
      <c r="GO73" s="291"/>
      <c r="GP73" s="291"/>
      <c r="GQ73" s="291"/>
      <c r="GR73" s="291"/>
      <c r="GS73" s="291"/>
      <c r="GT73" s="291"/>
      <c r="GU73" s="291"/>
      <c r="GV73" s="291"/>
      <c r="GW73" s="291"/>
      <c r="GX73" s="291"/>
      <c r="GY73" s="291"/>
      <c r="GZ73" s="291"/>
      <c r="HA73" s="291"/>
      <c r="HB73" s="291"/>
      <c r="HC73" s="291"/>
      <c r="HD73" s="291"/>
      <c r="HE73" s="291"/>
      <c r="HF73" s="291"/>
      <c r="HG73" s="291"/>
      <c r="HH73" s="291"/>
      <c r="HI73" s="291"/>
      <c r="HJ73" s="291"/>
      <c r="HK73" s="291"/>
      <c r="HL73" s="291"/>
      <c r="HM73" s="291"/>
      <c r="HN73" s="291"/>
      <c r="HO73" s="291"/>
      <c r="HP73" s="291"/>
      <c r="HQ73" s="291"/>
      <c r="HR73" s="291"/>
      <c r="HS73" s="291"/>
      <c r="HT73" s="291"/>
      <c r="HU73" s="291"/>
      <c r="HV73" s="291"/>
      <c r="HW73" s="291"/>
      <c r="HX73" s="291"/>
      <c r="HY73" s="291"/>
      <c r="HZ73" s="291"/>
      <c r="IA73" s="291"/>
      <c r="IB73" s="291"/>
      <c r="IC73" s="291"/>
      <c r="ID73" s="291"/>
      <c r="IE73" s="291"/>
      <c r="IF73" s="291"/>
      <c r="IG73" s="291"/>
      <c r="IH73" s="291"/>
      <c r="II73" s="291"/>
      <c r="IJ73" s="291"/>
      <c r="IK73" s="291"/>
      <c r="IL73" s="291"/>
      <c r="IM73" s="291"/>
      <c r="IN73" s="291"/>
      <c r="IO73" s="291"/>
      <c r="IP73" s="291"/>
      <c r="IQ73" s="291"/>
      <c r="IR73" s="291"/>
      <c r="IS73" s="291"/>
      <c r="IT73" s="291"/>
      <c r="IU73" s="291"/>
      <c r="IV73" s="291"/>
      <c r="IW73" s="291"/>
      <c r="IX73" s="291"/>
      <c r="IY73" s="291"/>
      <c r="IZ73" s="291"/>
      <c r="JA73" s="291"/>
      <c r="JB73" s="291"/>
      <c r="JC73" s="291"/>
      <c r="JD73" s="291"/>
      <c r="JE73" s="291"/>
      <c r="JF73" s="291"/>
      <c r="JG73" s="291"/>
      <c r="JH73" s="291"/>
      <c r="JI73" s="291"/>
      <c r="JJ73" s="291"/>
      <c r="JK73" s="291"/>
      <c r="JL73" s="291"/>
      <c r="JM73" s="291"/>
      <c r="JN73" s="291"/>
      <c r="JO73" s="291"/>
      <c r="JP73" s="291"/>
      <c r="JQ73" s="291"/>
      <c r="JR73" s="291"/>
      <c r="JS73" s="291"/>
      <c r="JT73" s="291"/>
      <c r="JU73" s="291"/>
      <c r="JV73" s="291"/>
      <c r="JW73" s="291"/>
      <c r="JX73" s="291"/>
      <c r="JY73" s="291"/>
      <c r="JZ73" s="291"/>
      <c r="KA73" s="291"/>
      <c r="KB73" s="291"/>
      <c r="KC73" s="291"/>
      <c r="KD73" s="291"/>
      <c r="KE73" s="291"/>
      <c r="KF73" s="291"/>
      <c r="KG73" s="291"/>
      <c r="KH73" s="291"/>
      <c r="KI73" s="291"/>
      <c r="KJ73" s="291"/>
      <c r="KK73" s="291"/>
      <c r="KL73" s="291"/>
      <c r="KM73" s="291"/>
      <c r="KN73" s="291"/>
      <c r="KO73" s="291"/>
      <c r="KP73" s="291"/>
      <c r="KQ73" s="291"/>
      <c r="KR73" s="291"/>
      <c r="KS73" s="291"/>
      <c r="KT73" s="291"/>
      <c r="KU73" s="291"/>
      <c r="KV73" s="291"/>
      <c r="KW73" s="291"/>
      <c r="KX73" s="291"/>
      <c r="KY73" s="291"/>
      <c r="KZ73" s="291"/>
      <c r="LA73" s="291"/>
      <c r="LB73" s="291"/>
      <c r="LC73" s="291"/>
      <c r="LD73" s="291"/>
      <c r="LE73" s="291"/>
      <c r="LF73" s="291"/>
      <c r="LG73" s="291"/>
      <c r="LH73" s="291"/>
      <c r="LI73" s="291"/>
      <c r="LJ73" s="291"/>
      <c r="LK73" s="291"/>
      <c r="LL73" s="291"/>
      <c r="LM73" s="291"/>
      <c r="LN73" s="291"/>
      <c r="LO73" s="291"/>
      <c r="LP73" s="291"/>
      <c r="LQ73" s="291"/>
      <c r="LR73" s="291"/>
      <c r="LS73" s="291"/>
      <c r="LT73" s="291"/>
      <c r="LU73" s="291"/>
      <c r="LV73" s="291"/>
      <c r="LW73" s="291"/>
      <c r="LX73" s="291"/>
      <c r="LY73" s="291"/>
      <c r="LZ73" s="291"/>
      <c r="MA73" s="291"/>
      <c r="MB73" s="291"/>
      <c r="MC73" s="291"/>
      <c r="MD73" s="291"/>
      <c r="ME73" s="291"/>
      <c r="MF73" s="291"/>
      <c r="MG73" s="291"/>
      <c r="MH73" s="291"/>
      <c r="MI73" s="291"/>
      <c r="MJ73" s="291"/>
      <c r="MK73" s="291"/>
      <c r="ML73" s="291"/>
      <c r="MM73" s="291"/>
      <c r="MN73" s="291"/>
      <c r="MO73" s="291"/>
      <c r="MP73" s="291"/>
      <c r="MQ73" s="291"/>
      <c r="MR73" s="291"/>
      <c r="MS73" s="291"/>
      <c r="MT73" s="291"/>
      <c r="MU73" s="291"/>
      <c r="MV73" s="291"/>
      <c r="MW73" s="291"/>
      <c r="MX73" s="291"/>
      <c r="MY73" s="291"/>
      <c r="MZ73" s="291"/>
      <c r="NA73" s="291"/>
      <c r="NB73" s="291"/>
      <c r="NC73" s="291"/>
      <c r="ND73" s="291"/>
      <c r="NE73" s="291"/>
      <c r="NF73" s="291"/>
      <c r="NG73" s="291"/>
      <c r="NH73" s="291"/>
      <c r="NI73" s="291"/>
      <c r="NJ73" s="291"/>
      <c r="NK73" s="291"/>
      <c r="NL73" s="291"/>
      <c r="NM73" s="291"/>
      <c r="NN73" s="291"/>
      <c r="NO73" s="291"/>
      <c r="NP73" s="291"/>
      <c r="NQ73" s="291"/>
      <c r="NR73" s="291"/>
      <c r="NS73" s="291"/>
      <c r="NT73" s="291"/>
      <c r="NU73" s="291"/>
      <c r="NV73" s="291"/>
      <c r="NW73" s="291"/>
      <c r="NX73" s="291"/>
      <c r="NY73" s="291"/>
      <c r="NZ73" s="291"/>
      <c r="OA73" s="291"/>
      <c r="OB73" s="291"/>
      <c r="OC73" s="291"/>
      <c r="OD73" s="291"/>
      <c r="OE73" s="291"/>
      <c r="OF73" s="291"/>
      <c r="OG73" s="291"/>
      <c r="OH73" s="291"/>
      <c r="OI73" s="291"/>
      <c r="OJ73" s="291"/>
      <c r="OK73" s="291"/>
      <c r="OL73" s="291"/>
      <c r="OM73" s="291"/>
      <c r="ON73" s="291"/>
      <c r="OO73" s="291"/>
      <c r="OP73" s="291"/>
      <c r="OQ73" s="291"/>
      <c r="OR73" s="291"/>
      <c r="OS73" s="291"/>
      <c r="OT73" s="291"/>
      <c r="OU73" s="291"/>
      <c r="OV73" s="291"/>
      <c r="OW73" s="291"/>
    </row>
    <row r="74" spans="1:413" s="257" customFormat="1" hidden="1" x14ac:dyDescent="0.2">
      <c r="A74" s="291"/>
      <c r="B74" s="524">
        <f t="shared" si="3"/>
        <v>58</v>
      </c>
      <c r="C74" s="510" t="s">
        <v>38</v>
      </c>
      <c r="D74" s="511">
        <v>30094632</v>
      </c>
      <c r="E74" s="511"/>
      <c r="F74" s="512" t="s">
        <v>1196</v>
      </c>
      <c r="G74" s="513" t="s">
        <v>45</v>
      </c>
      <c r="H74" s="514" t="s">
        <v>1094</v>
      </c>
      <c r="I74" s="515" t="s">
        <v>1197</v>
      </c>
      <c r="J74" s="346" t="s">
        <v>42</v>
      </c>
      <c r="K74" s="526">
        <v>1184615</v>
      </c>
      <c r="L74" s="527">
        <v>697345</v>
      </c>
      <c r="M74" s="528">
        <v>0</v>
      </c>
      <c r="N74" s="519">
        <v>0</v>
      </c>
      <c r="O74" s="519">
        <v>102827</v>
      </c>
      <c r="P74" s="519">
        <v>38485</v>
      </c>
      <c r="Q74" s="519">
        <v>39994</v>
      </c>
      <c r="R74" s="519">
        <v>0</v>
      </c>
      <c r="S74" s="520">
        <v>1837</v>
      </c>
      <c r="T74" s="18"/>
      <c r="U74" s="18"/>
      <c r="V74" s="18"/>
      <c r="W74" s="18"/>
      <c r="X74" s="18"/>
      <c r="Y74" s="18"/>
      <c r="Z74" s="18">
        <f t="shared" si="0"/>
        <v>183143</v>
      </c>
      <c r="AA74" s="309">
        <v>481109</v>
      </c>
      <c r="AB74" s="19">
        <v>5</v>
      </c>
      <c r="AC74" s="521">
        <v>44224</v>
      </c>
      <c r="AD74" s="25">
        <v>44251</v>
      </c>
      <c r="AE74" s="309"/>
      <c r="AF74" s="20"/>
      <c r="AG74" s="23"/>
      <c r="AH74" s="25"/>
      <c r="AI74" s="309"/>
      <c r="AJ74" s="19"/>
      <c r="AK74" s="23"/>
      <c r="AL74" s="25"/>
      <c r="AM74" s="309"/>
      <c r="AN74" s="19"/>
      <c r="AO74" s="21"/>
      <c r="AP74" s="25"/>
      <c r="AQ74" s="309"/>
      <c r="AR74" s="19"/>
      <c r="AS74" s="21"/>
      <c r="AT74" s="25"/>
      <c r="AU74" s="522">
        <f t="shared" si="1"/>
        <v>481109</v>
      </c>
      <c r="AV74" s="311">
        <f t="shared" si="2"/>
        <v>297966</v>
      </c>
      <c r="AW74" s="305"/>
      <c r="AX74" s="291"/>
      <c r="AY74" s="291"/>
      <c r="AZ74" s="291"/>
      <c r="BA74" s="291"/>
      <c r="BB74" s="291"/>
      <c r="BC74" s="291"/>
      <c r="BD74" s="291"/>
      <c r="BE74" s="291"/>
      <c r="BF74" s="291"/>
      <c r="BG74" s="291"/>
      <c r="BH74" s="291"/>
      <c r="BI74" s="291"/>
      <c r="BJ74" s="291"/>
      <c r="BK74" s="291"/>
      <c r="BL74" s="291"/>
      <c r="BM74" s="291"/>
      <c r="BN74" s="291"/>
      <c r="BO74" s="291"/>
      <c r="BP74" s="291"/>
      <c r="BQ74" s="291"/>
      <c r="BR74" s="291"/>
      <c r="BS74" s="291"/>
      <c r="BT74" s="291"/>
      <c r="BU74" s="291"/>
      <c r="BV74" s="291"/>
      <c r="BW74" s="291"/>
      <c r="BX74" s="291"/>
      <c r="BY74" s="291"/>
      <c r="BZ74" s="291"/>
      <c r="CA74" s="291"/>
      <c r="CB74" s="291"/>
      <c r="CC74" s="291"/>
      <c r="CD74" s="291"/>
      <c r="CE74" s="291"/>
      <c r="CF74" s="291"/>
      <c r="CG74" s="291"/>
      <c r="CH74" s="291"/>
      <c r="CI74" s="291"/>
      <c r="CJ74" s="291"/>
      <c r="CK74" s="291"/>
      <c r="CL74" s="291"/>
      <c r="CM74" s="291"/>
      <c r="CN74" s="291"/>
      <c r="CO74" s="291"/>
      <c r="CP74" s="291"/>
      <c r="CQ74" s="291"/>
      <c r="CR74" s="291"/>
      <c r="CS74" s="291"/>
      <c r="CT74" s="291"/>
      <c r="CU74" s="291"/>
      <c r="CV74" s="291"/>
      <c r="CW74" s="291"/>
      <c r="CX74" s="291"/>
      <c r="CY74" s="291"/>
      <c r="CZ74" s="291"/>
      <c r="DA74" s="291"/>
      <c r="DB74" s="291"/>
      <c r="DC74" s="291"/>
      <c r="DD74" s="291"/>
      <c r="DE74" s="291"/>
      <c r="DF74" s="291"/>
      <c r="DG74" s="291"/>
      <c r="DH74" s="291"/>
      <c r="DI74" s="291"/>
      <c r="DJ74" s="291"/>
      <c r="DK74" s="291"/>
      <c r="DL74" s="291"/>
      <c r="DM74" s="291"/>
      <c r="DN74" s="291"/>
      <c r="DO74" s="291"/>
      <c r="DP74" s="291"/>
      <c r="DQ74" s="291"/>
      <c r="DR74" s="291"/>
      <c r="DS74" s="291"/>
      <c r="DT74" s="291"/>
      <c r="DU74" s="291"/>
      <c r="DV74" s="291"/>
      <c r="DW74" s="291"/>
      <c r="DX74" s="291"/>
      <c r="DY74" s="291"/>
      <c r="DZ74" s="291"/>
      <c r="EA74" s="291"/>
      <c r="EB74" s="291"/>
      <c r="EC74" s="291"/>
      <c r="ED74" s="291"/>
      <c r="EE74" s="291"/>
      <c r="EF74" s="291"/>
      <c r="EG74" s="291"/>
      <c r="EH74" s="291"/>
      <c r="EI74" s="291"/>
      <c r="EJ74" s="291"/>
      <c r="EK74" s="291"/>
      <c r="EL74" s="291"/>
      <c r="EM74" s="291"/>
      <c r="EN74" s="291"/>
      <c r="EO74" s="291"/>
      <c r="EP74" s="291"/>
      <c r="EQ74" s="291"/>
      <c r="ER74" s="291"/>
      <c r="ES74" s="291"/>
      <c r="ET74" s="291"/>
      <c r="EU74" s="291"/>
      <c r="EV74" s="291"/>
      <c r="EW74" s="291"/>
      <c r="EX74" s="291"/>
      <c r="EY74" s="291"/>
      <c r="EZ74" s="291"/>
      <c r="FA74" s="291"/>
      <c r="FB74" s="291"/>
      <c r="FC74" s="291"/>
      <c r="FD74" s="291"/>
      <c r="FE74" s="291"/>
      <c r="FF74" s="291"/>
      <c r="FG74" s="291"/>
      <c r="FH74" s="291"/>
      <c r="FI74" s="291"/>
      <c r="FJ74" s="291"/>
      <c r="FK74" s="291"/>
      <c r="FL74" s="291"/>
      <c r="FM74" s="291"/>
      <c r="FN74" s="291"/>
      <c r="FO74" s="291"/>
      <c r="FP74" s="291"/>
      <c r="FQ74" s="291"/>
      <c r="FR74" s="291"/>
      <c r="FS74" s="291"/>
      <c r="FT74" s="291"/>
      <c r="FU74" s="291"/>
      <c r="FV74" s="291"/>
      <c r="FW74" s="291"/>
      <c r="FX74" s="291"/>
      <c r="FY74" s="291"/>
      <c r="FZ74" s="291"/>
      <c r="GA74" s="291"/>
      <c r="GB74" s="291"/>
      <c r="GC74" s="291"/>
      <c r="GD74" s="291"/>
      <c r="GE74" s="291"/>
      <c r="GF74" s="291"/>
      <c r="GG74" s="291"/>
      <c r="GH74" s="291"/>
      <c r="GI74" s="291"/>
      <c r="GJ74" s="291"/>
      <c r="GK74" s="291"/>
      <c r="GL74" s="291"/>
      <c r="GM74" s="291"/>
      <c r="GN74" s="291"/>
      <c r="GO74" s="291"/>
      <c r="GP74" s="291"/>
      <c r="GQ74" s="291"/>
      <c r="GR74" s="291"/>
      <c r="GS74" s="291"/>
      <c r="GT74" s="291"/>
      <c r="GU74" s="291"/>
      <c r="GV74" s="291"/>
      <c r="GW74" s="291"/>
      <c r="GX74" s="291"/>
      <c r="GY74" s="291"/>
      <c r="GZ74" s="291"/>
      <c r="HA74" s="291"/>
      <c r="HB74" s="291"/>
      <c r="HC74" s="291"/>
      <c r="HD74" s="291"/>
      <c r="HE74" s="291"/>
      <c r="HF74" s="291"/>
      <c r="HG74" s="291"/>
      <c r="HH74" s="291"/>
      <c r="HI74" s="291"/>
      <c r="HJ74" s="291"/>
      <c r="HK74" s="291"/>
      <c r="HL74" s="291"/>
      <c r="HM74" s="291"/>
      <c r="HN74" s="291"/>
      <c r="HO74" s="291"/>
      <c r="HP74" s="291"/>
      <c r="HQ74" s="291"/>
      <c r="HR74" s="291"/>
      <c r="HS74" s="291"/>
      <c r="HT74" s="291"/>
      <c r="HU74" s="291"/>
      <c r="HV74" s="291"/>
      <c r="HW74" s="291"/>
      <c r="HX74" s="291"/>
      <c r="HY74" s="291"/>
      <c r="HZ74" s="291"/>
      <c r="IA74" s="291"/>
      <c r="IB74" s="291"/>
      <c r="IC74" s="291"/>
      <c r="ID74" s="291"/>
      <c r="IE74" s="291"/>
      <c r="IF74" s="291"/>
      <c r="IG74" s="291"/>
      <c r="IH74" s="291"/>
      <c r="II74" s="291"/>
      <c r="IJ74" s="291"/>
      <c r="IK74" s="291"/>
      <c r="IL74" s="291"/>
      <c r="IM74" s="291"/>
      <c r="IN74" s="291"/>
      <c r="IO74" s="291"/>
      <c r="IP74" s="291"/>
      <c r="IQ74" s="291"/>
      <c r="IR74" s="291"/>
      <c r="IS74" s="291"/>
      <c r="IT74" s="291"/>
      <c r="IU74" s="291"/>
      <c r="IV74" s="291"/>
      <c r="IW74" s="291"/>
      <c r="IX74" s="291"/>
      <c r="IY74" s="291"/>
      <c r="IZ74" s="291"/>
      <c r="JA74" s="291"/>
      <c r="JB74" s="291"/>
      <c r="JC74" s="291"/>
      <c r="JD74" s="291"/>
      <c r="JE74" s="291"/>
      <c r="JF74" s="291"/>
      <c r="JG74" s="291"/>
      <c r="JH74" s="291"/>
      <c r="JI74" s="291"/>
      <c r="JJ74" s="291"/>
      <c r="JK74" s="291"/>
      <c r="JL74" s="291"/>
      <c r="JM74" s="291"/>
      <c r="JN74" s="291"/>
      <c r="JO74" s="291"/>
      <c r="JP74" s="291"/>
      <c r="JQ74" s="291"/>
      <c r="JR74" s="291"/>
      <c r="JS74" s="291"/>
      <c r="JT74" s="291"/>
      <c r="JU74" s="291"/>
      <c r="JV74" s="291"/>
      <c r="JW74" s="291"/>
      <c r="JX74" s="291"/>
      <c r="JY74" s="291"/>
      <c r="JZ74" s="291"/>
      <c r="KA74" s="291"/>
      <c r="KB74" s="291"/>
      <c r="KC74" s="291"/>
      <c r="KD74" s="291"/>
      <c r="KE74" s="291"/>
      <c r="KF74" s="291"/>
      <c r="KG74" s="291"/>
      <c r="KH74" s="291"/>
      <c r="KI74" s="291"/>
      <c r="KJ74" s="291"/>
      <c r="KK74" s="291"/>
      <c r="KL74" s="291"/>
      <c r="KM74" s="291"/>
      <c r="KN74" s="291"/>
      <c r="KO74" s="291"/>
      <c r="KP74" s="291"/>
      <c r="KQ74" s="291"/>
      <c r="KR74" s="291"/>
      <c r="KS74" s="291"/>
      <c r="KT74" s="291"/>
      <c r="KU74" s="291"/>
      <c r="KV74" s="291"/>
      <c r="KW74" s="291"/>
      <c r="KX74" s="291"/>
      <c r="KY74" s="291"/>
      <c r="KZ74" s="291"/>
      <c r="LA74" s="291"/>
      <c r="LB74" s="291"/>
      <c r="LC74" s="291"/>
      <c r="LD74" s="291"/>
      <c r="LE74" s="291"/>
      <c r="LF74" s="291"/>
      <c r="LG74" s="291"/>
      <c r="LH74" s="291"/>
      <c r="LI74" s="291"/>
      <c r="LJ74" s="291"/>
      <c r="LK74" s="291"/>
      <c r="LL74" s="291"/>
      <c r="LM74" s="291"/>
      <c r="LN74" s="291"/>
      <c r="LO74" s="291"/>
      <c r="LP74" s="291"/>
      <c r="LQ74" s="291"/>
      <c r="LR74" s="291"/>
      <c r="LS74" s="291"/>
      <c r="LT74" s="291"/>
      <c r="LU74" s="291"/>
      <c r="LV74" s="291"/>
      <c r="LW74" s="291"/>
      <c r="LX74" s="291"/>
      <c r="LY74" s="291"/>
      <c r="LZ74" s="291"/>
      <c r="MA74" s="291"/>
      <c r="MB74" s="291"/>
      <c r="MC74" s="291"/>
      <c r="MD74" s="291"/>
      <c r="ME74" s="291"/>
      <c r="MF74" s="291"/>
      <c r="MG74" s="291"/>
      <c r="MH74" s="291"/>
      <c r="MI74" s="291"/>
      <c r="MJ74" s="291"/>
      <c r="MK74" s="291"/>
      <c r="ML74" s="291"/>
      <c r="MM74" s="291"/>
      <c r="MN74" s="291"/>
      <c r="MO74" s="291"/>
      <c r="MP74" s="291"/>
      <c r="MQ74" s="291"/>
      <c r="MR74" s="291"/>
      <c r="MS74" s="291"/>
      <c r="MT74" s="291"/>
      <c r="MU74" s="291"/>
      <c r="MV74" s="291"/>
      <c r="MW74" s="291"/>
      <c r="MX74" s="291"/>
      <c r="MY74" s="291"/>
      <c r="MZ74" s="291"/>
      <c r="NA74" s="291"/>
      <c r="NB74" s="291"/>
      <c r="NC74" s="291"/>
      <c r="ND74" s="291"/>
      <c r="NE74" s="291"/>
      <c r="NF74" s="291"/>
      <c r="NG74" s="291"/>
      <c r="NH74" s="291"/>
      <c r="NI74" s="291"/>
      <c r="NJ74" s="291"/>
      <c r="NK74" s="291"/>
      <c r="NL74" s="291"/>
      <c r="NM74" s="291"/>
      <c r="NN74" s="291"/>
      <c r="NO74" s="291"/>
      <c r="NP74" s="291"/>
      <c r="NQ74" s="291"/>
      <c r="NR74" s="291"/>
      <c r="NS74" s="291"/>
      <c r="NT74" s="291"/>
      <c r="NU74" s="291"/>
      <c r="NV74" s="291"/>
      <c r="NW74" s="291"/>
      <c r="NX74" s="291"/>
      <c r="NY74" s="291"/>
      <c r="NZ74" s="291"/>
      <c r="OA74" s="291"/>
      <c r="OB74" s="291"/>
      <c r="OC74" s="291"/>
      <c r="OD74" s="291"/>
      <c r="OE74" s="291"/>
      <c r="OF74" s="291"/>
      <c r="OG74" s="291"/>
      <c r="OH74" s="291"/>
      <c r="OI74" s="291"/>
      <c r="OJ74" s="291"/>
      <c r="OK74" s="291"/>
      <c r="OL74" s="291"/>
      <c r="OM74" s="291"/>
      <c r="ON74" s="291"/>
      <c r="OO74" s="291"/>
      <c r="OP74" s="291"/>
      <c r="OQ74" s="291"/>
      <c r="OR74" s="291"/>
      <c r="OS74" s="291"/>
      <c r="OT74" s="291"/>
      <c r="OU74" s="291"/>
      <c r="OV74" s="291"/>
      <c r="OW74" s="291"/>
    </row>
    <row r="75" spans="1:413" s="257" customFormat="1" hidden="1" x14ac:dyDescent="0.2">
      <c r="A75" s="291"/>
      <c r="B75" s="524">
        <f t="shared" si="3"/>
        <v>59</v>
      </c>
      <c r="C75" s="510" t="s">
        <v>38</v>
      </c>
      <c r="D75" s="511">
        <v>30095197</v>
      </c>
      <c r="E75" s="511"/>
      <c r="F75" s="512" t="s">
        <v>1198</v>
      </c>
      <c r="G75" s="513" t="s">
        <v>45</v>
      </c>
      <c r="H75" s="514" t="s">
        <v>1094</v>
      </c>
      <c r="I75" s="515" t="s">
        <v>1142</v>
      </c>
      <c r="J75" s="346" t="s">
        <v>42</v>
      </c>
      <c r="K75" s="526">
        <v>56956382</v>
      </c>
      <c r="L75" s="527">
        <v>40969229</v>
      </c>
      <c r="M75" s="528">
        <v>0</v>
      </c>
      <c r="N75" s="519">
        <v>0</v>
      </c>
      <c r="O75" s="519">
        <v>0</v>
      </c>
      <c r="P75" s="519">
        <v>0</v>
      </c>
      <c r="Q75" s="519">
        <v>306638</v>
      </c>
      <c r="R75" s="519">
        <v>1023351</v>
      </c>
      <c r="S75" s="520">
        <v>1064178</v>
      </c>
      <c r="T75" s="18"/>
      <c r="U75" s="18"/>
      <c r="V75" s="18"/>
      <c r="W75" s="18"/>
      <c r="X75" s="18"/>
      <c r="Y75" s="18"/>
      <c r="Z75" s="18">
        <f t="shared" si="0"/>
        <v>2394167</v>
      </c>
      <c r="AA75" s="309">
        <v>3100000</v>
      </c>
      <c r="AB75" s="19">
        <v>9</v>
      </c>
      <c r="AC75" s="521">
        <v>44232</v>
      </c>
      <c r="AD75" s="25">
        <v>44251</v>
      </c>
      <c r="AE75" s="309"/>
      <c r="AF75" s="20"/>
      <c r="AG75" s="23"/>
      <c r="AH75" s="25"/>
      <c r="AI75" s="309"/>
      <c r="AJ75" s="19"/>
      <c r="AK75" s="23"/>
      <c r="AL75" s="25"/>
      <c r="AM75" s="309"/>
      <c r="AN75" s="19"/>
      <c r="AO75" s="21"/>
      <c r="AP75" s="25"/>
      <c r="AQ75" s="309"/>
      <c r="AR75" s="19"/>
      <c r="AS75" s="21"/>
      <c r="AT75" s="25"/>
      <c r="AU75" s="522">
        <f t="shared" si="1"/>
        <v>3100000</v>
      </c>
      <c r="AV75" s="311">
        <f t="shared" si="2"/>
        <v>705833</v>
      </c>
      <c r="AW75" s="305"/>
      <c r="AX75" s="291"/>
      <c r="AY75" s="291"/>
      <c r="AZ75" s="291"/>
      <c r="BA75" s="291"/>
      <c r="BB75" s="291"/>
      <c r="BC75" s="291"/>
      <c r="BD75" s="291"/>
      <c r="BE75" s="291"/>
      <c r="BF75" s="291"/>
      <c r="BG75" s="291"/>
      <c r="BH75" s="291"/>
      <c r="BI75" s="291"/>
      <c r="BJ75" s="291"/>
      <c r="BK75" s="291"/>
      <c r="BL75" s="291"/>
      <c r="BM75" s="291"/>
      <c r="BN75" s="291"/>
      <c r="BO75" s="291"/>
      <c r="BP75" s="291"/>
      <c r="BQ75" s="291"/>
      <c r="BR75" s="291"/>
      <c r="BS75" s="291"/>
      <c r="BT75" s="291"/>
      <c r="BU75" s="291"/>
      <c r="BV75" s="291"/>
      <c r="BW75" s="291"/>
      <c r="BX75" s="291"/>
      <c r="BY75" s="291"/>
      <c r="BZ75" s="291"/>
      <c r="CA75" s="291"/>
      <c r="CB75" s="291"/>
      <c r="CC75" s="291"/>
      <c r="CD75" s="291"/>
      <c r="CE75" s="291"/>
      <c r="CF75" s="291"/>
      <c r="CG75" s="291"/>
      <c r="CH75" s="291"/>
      <c r="CI75" s="291"/>
      <c r="CJ75" s="291"/>
      <c r="CK75" s="291"/>
      <c r="CL75" s="291"/>
      <c r="CM75" s="291"/>
      <c r="CN75" s="291"/>
      <c r="CO75" s="291"/>
      <c r="CP75" s="291"/>
      <c r="CQ75" s="291"/>
      <c r="CR75" s="291"/>
      <c r="CS75" s="291"/>
      <c r="CT75" s="291"/>
      <c r="CU75" s="291"/>
      <c r="CV75" s="291"/>
      <c r="CW75" s="291"/>
      <c r="CX75" s="291"/>
      <c r="CY75" s="291"/>
      <c r="CZ75" s="291"/>
      <c r="DA75" s="291"/>
      <c r="DB75" s="291"/>
      <c r="DC75" s="291"/>
      <c r="DD75" s="291"/>
      <c r="DE75" s="291"/>
      <c r="DF75" s="291"/>
      <c r="DG75" s="291"/>
      <c r="DH75" s="291"/>
      <c r="DI75" s="291"/>
      <c r="DJ75" s="291"/>
      <c r="DK75" s="291"/>
      <c r="DL75" s="291"/>
      <c r="DM75" s="291"/>
      <c r="DN75" s="291"/>
      <c r="DO75" s="291"/>
      <c r="DP75" s="291"/>
      <c r="DQ75" s="291"/>
      <c r="DR75" s="291"/>
      <c r="DS75" s="291"/>
      <c r="DT75" s="291"/>
      <c r="DU75" s="291"/>
      <c r="DV75" s="291"/>
      <c r="DW75" s="291"/>
      <c r="DX75" s="291"/>
      <c r="DY75" s="291"/>
      <c r="DZ75" s="291"/>
      <c r="EA75" s="291"/>
      <c r="EB75" s="291"/>
      <c r="EC75" s="291"/>
      <c r="ED75" s="291"/>
      <c r="EE75" s="291"/>
      <c r="EF75" s="291"/>
      <c r="EG75" s="291"/>
      <c r="EH75" s="291"/>
      <c r="EI75" s="291"/>
      <c r="EJ75" s="291"/>
      <c r="EK75" s="291"/>
      <c r="EL75" s="291"/>
      <c r="EM75" s="291"/>
      <c r="EN75" s="291"/>
      <c r="EO75" s="291"/>
      <c r="EP75" s="291"/>
      <c r="EQ75" s="291"/>
      <c r="ER75" s="291"/>
      <c r="ES75" s="291"/>
      <c r="ET75" s="291"/>
      <c r="EU75" s="291"/>
      <c r="EV75" s="291"/>
      <c r="EW75" s="291"/>
      <c r="EX75" s="291"/>
      <c r="EY75" s="291"/>
      <c r="EZ75" s="291"/>
      <c r="FA75" s="291"/>
      <c r="FB75" s="291"/>
      <c r="FC75" s="291"/>
      <c r="FD75" s="291"/>
      <c r="FE75" s="291"/>
      <c r="FF75" s="291"/>
      <c r="FG75" s="291"/>
      <c r="FH75" s="291"/>
      <c r="FI75" s="291"/>
      <c r="FJ75" s="291"/>
      <c r="FK75" s="291"/>
      <c r="FL75" s="291"/>
      <c r="FM75" s="291"/>
      <c r="FN75" s="291"/>
      <c r="FO75" s="291"/>
      <c r="FP75" s="291"/>
      <c r="FQ75" s="291"/>
      <c r="FR75" s="291"/>
      <c r="FS75" s="291"/>
      <c r="FT75" s="291"/>
      <c r="FU75" s="291"/>
      <c r="FV75" s="291"/>
      <c r="FW75" s="291"/>
      <c r="FX75" s="291"/>
      <c r="FY75" s="291"/>
      <c r="FZ75" s="291"/>
      <c r="GA75" s="291"/>
      <c r="GB75" s="291"/>
      <c r="GC75" s="291"/>
      <c r="GD75" s="291"/>
      <c r="GE75" s="291"/>
      <c r="GF75" s="291"/>
      <c r="GG75" s="291"/>
      <c r="GH75" s="291"/>
      <c r="GI75" s="291"/>
      <c r="GJ75" s="291"/>
      <c r="GK75" s="291"/>
      <c r="GL75" s="291"/>
      <c r="GM75" s="291"/>
      <c r="GN75" s="291"/>
      <c r="GO75" s="291"/>
      <c r="GP75" s="291"/>
      <c r="GQ75" s="291"/>
      <c r="GR75" s="291"/>
      <c r="GS75" s="291"/>
      <c r="GT75" s="291"/>
      <c r="GU75" s="291"/>
      <c r="GV75" s="291"/>
      <c r="GW75" s="291"/>
      <c r="GX75" s="291"/>
      <c r="GY75" s="291"/>
      <c r="GZ75" s="291"/>
      <c r="HA75" s="291"/>
      <c r="HB75" s="291"/>
      <c r="HC75" s="291"/>
      <c r="HD75" s="291"/>
      <c r="HE75" s="291"/>
      <c r="HF75" s="291"/>
      <c r="HG75" s="291"/>
      <c r="HH75" s="291"/>
      <c r="HI75" s="291"/>
      <c r="HJ75" s="291"/>
      <c r="HK75" s="291"/>
      <c r="HL75" s="291"/>
      <c r="HM75" s="291"/>
      <c r="HN75" s="291"/>
      <c r="HO75" s="291"/>
      <c r="HP75" s="291"/>
      <c r="HQ75" s="291"/>
      <c r="HR75" s="291"/>
      <c r="HS75" s="291"/>
      <c r="HT75" s="291"/>
      <c r="HU75" s="291"/>
      <c r="HV75" s="291"/>
      <c r="HW75" s="291"/>
      <c r="HX75" s="291"/>
      <c r="HY75" s="291"/>
      <c r="HZ75" s="291"/>
      <c r="IA75" s="291"/>
      <c r="IB75" s="291"/>
      <c r="IC75" s="291"/>
      <c r="ID75" s="291"/>
      <c r="IE75" s="291"/>
      <c r="IF75" s="291"/>
      <c r="IG75" s="291"/>
      <c r="IH75" s="291"/>
      <c r="II75" s="291"/>
      <c r="IJ75" s="291"/>
      <c r="IK75" s="291"/>
      <c r="IL75" s="291"/>
      <c r="IM75" s="291"/>
      <c r="IN75" s="291"/>
      <c r="IO75" s="291"/>
      <c r="IP75" s="291"/>
      <c r="IQ75" s="291"/>
      <c r="IR75" s="291"/>
      <c r="IS75" s="291"/>
      <c r="IT75" s="291"/>
      <c r="IU75" s="291"/>
      <c r="IV75" s="291"/>
      <c r="IW75" s="291"/>
      <c r="IX75" s="291"/>
      <c r="IY75" s="291"/>
      <c r="IZ75" s="291"/>
      <c r="JA75" s="291"/>
      <c r="JB75" s="291"/>
      <c r="JC75" s="291"/>
      <c r="JD75" s="291"/>
      <c r="JE75" s="291"/>
      <c r="JF75" s="291"/>
      <c r="JG75" s="291"/>
      <c r="JH75" s="291"/>
      <c r="JI75" s="291"/>
      <c r="JJ75" s="291"/>
      <c r="JK75" s="291"/>
      <c r="JL75" s="291"/>
      <c r="JM75" s="291"/>
      <c r="JN75" s="291"/>
      <c r="JO75" s="291"/>
      <c r="JP75" s="291"/>
      <c r="JQ75" s="291"/>
      <c r="JR75" s="291"/>
      <c r="JS75" s="291"/>
      <c r="JT75" s="291"/>
      <c r="JU75" s="291"/>
      <c r="JV75" s="291"/>
      <c r="JW75" s="291"/>
      <c r="JX75" s="291"/>
      <c r="JY75" s="291"/>
      <c r="JZ75" s="291"/>
      <c r="KA75" s="291"/>
      <c r="KB75" s="291"/>
      <c r="KC75" s="291"/>
      <c r="KD75" s="291"/>
      <c r="KE75" s="291"/>
      <c r="KF75" s="291"/>
      <c r="KG75" s="291"/>
      <c r="KH75" s="291"/>
      <c r="KI75" s="291"/>
      <c r="KJ75" s="291"/>
      <c r="KK75" s="291"/>
      <c r="KL75" s="291"/>
      <c r="KM75" s="291"/>
      <c r="KN75" s="291"/>
      <c r="KO75" s="291"/>
      <c r="KP75" s="291"/>
      <c r="KQ75" s="291"/>
      <c r="KR75" s="291"/>
      <c r="KS75" s="291"/>
      <c r="KT75" s="291"/>
      <c r="KU75" s="291"/>
      <c r="KV75" s="291"/>
      <c r="KW75" s="291"/>
      <c r="KX75" s="291"/>
      <c r="KY75" s="291"/>
      <c r="KZ75" s="291"/>
      <c r="LA75" s="291"/>
      <c r="LB75" s="291"/>
      <c r="LC75" s="291"/>
      <c r="LD75" s="291"/>
      <c r="LE75" s="291"/>
      <c r="LF75" s="291"/>
      <c r="LG75" s="291"/>
      <c r="LH75" s="291"/>
      <c r="LI75" s="291"/>
      <c r="LJ75" s="291"/>
      <c r="LK75" s="291"/>
      <c r="LL75" s="291"/>
      <c r="LM75" s="291"/>
      <c r="LN75" s="291"/>
      <c r="LO75" s="291"/>
      <c r="LP75" s="291"/>
      <c r="LQ75" s="291"/>
      <c r="LR75" s="291"/>
      <c r="LS75" s="291"/>
      <c r="LT75" s="291"/>
      <c r="LU75" s="291"/>
      <c r="LV75" s="291"/>
      <c r="LW75" s="291"/>
      <c r="LX75" s="291"/>
      <c r="LY75" s="291"/>
      <c r="LZ75" s="291"/>
      <c r="MA75" s="291"/>
      <c r="MB75" s="291"/>
      <c r="MC75" s="291"/>
      <c r="MD75" s="291"/>
      <c r="ME75" s="291"/>
      <c r="MF75" s="291"/>
      <c r="MG75" s="291"/>
      <c r="MH75" s="291"/>
      <c r="MI75" s="291"/>
      <c r="MJ75" s="291"/>
      <c r="MK75" s="291"/>
      <c r="ML75" s="291"/>
      <c r="MM75" s="291"/>
      <c r="MN75" s="291"/>
      <c r="MO75" s="291"/>
      <c r="MP75" s="291"/>
      <c r="MQ75" s="291"/>
      <c r="MR75" s="291"/>
      <c r="MS75" s="291"/>
      <c r="MT75" s="291"/>
      <c r="MU75" s="291"/>
      <c r="MV75" s="291"/>
      <c r="MW75" s="291"/>
      <c r="MX75" s="291"/>
      <c r="MY75" s="291"/>
      <c r="MZ75" s="291"/>
      <c r="NA75" s="291"/>
      <c r="NB75" s="291"/>
      <c r="NC75" s="291"/>
      <c r="ND75" s="291"/>
      <c r="NE75" s="291"/>
      <c r="NF75" s="291"/>
      <c r="NG75" s="291"/>
      <c r="NH75" s="291"/>
      <c r="NI75" s="291"/>
      <c r="NJ75" s="291"/>
      <c r="NK75" s="291"/>
      <c r="NL75" s="291"/>
      <c r="NM75" s="291"/>
      <c r="NN75" s="291"/>
      <c r="NO75" s="291"/>
      <c r="NP75" s="291"/>
      <c r="NQ75" s="291"/>
      <c r="NR75" s="291"/>
      <c r="NS75" s="291"/>
      <c r="NT75" s="291"/>
      <c r="NU75" s="291"/>
      <c r="NV75" s="291"/>
      <c r="NW75" s="291"/>
      <c r="NX75" s="291"/>
      <c r="NY75" s="291"/>
      <c r="NZ75" s="291"/>
      <c r="OA75" s="291"/>
      <c r="OB75" s="291"/>
      <c r="OC75" s="291"/>
      <c r="OD75" s="291"/>
      <c r="OE75" s="291"/>
      <c r="OF75" s="291"/>
      <c r="OG75" s="291"/>
      <c r="OH75" s="291"/>
      <c r="OI75" s="291"/>
      <c r="OJ75" s="291"/>
      <c r="OK75" s="291"/>
      <c r="OL75" s="291"/>
      <c r="OM75" s="291"/>
      <c r="ON75" s="291"/>
      <c r="OO75" s="291"/>
      <c r="OP75" s="291"/>
      <c r="OQ75" s="291"/>
      <c r="OR75" s="291"/>
      <c r="OS75" s="291"/>
      <c r="OT75" s="291"/>
      <c r="OU75" s="291"/>
      <c r="OV75" s="291"/>
      <c r="OW75" s="291"/>
    </row>
    <row r="76" spans="1:413" s="257" customFormat="1" x14ac:dyDescent="0.2">
      <c r="A76" s="291"/>
      <c r="B76" s="524">
        <f t="shared" si="3"/>
        <v>60</v>
      </c>
      <c r="C76" s="510" t="s">
        <v>38</v>
      </c>
      <c r="D76" s="511" t="s">
        <v>1199</v>
      </c>
      <c r="E76" s="511"/>
      <c r="F76" s="512" t="s">
        <v>1200</v>
      </c>
      <c r="G76" s="513" t="s">
        <v>45</v>
      </c>
      <c r="H76" s="514" t="s">
        <v>1098</v>
      </c>
      <c r="I76" s="515" t="s">
        <v>1120</v>
      </c>
      <c r="J76" s="346"/>
      <c r="K76" s="526">
        <v>1365471</v>
      </c>
      <c r="L76" s="527">
        <v>926941</v>
      </c>
      <c r="M76" s="528">
        <v>0</v>
      </c>
      <c r="N76" s="519">
        <v>0</v>
      </c>
      <c r="O76" s="519">
        <v>0</v>
      </c>
      <c r="P76" s="519">
        <v>0</v>
      </c>
      <c r="Q76" s="519">
        <v>0</v>
      </c>
      <c r="R76" s="519">
        <v>75660</v>
      </c>
      <c r="S76" s="520">
        <v>56642</v>
      </c>
      <c r="T76" s="18"/>
      <c r="U76" s="18"/>
      <c r="V76" s="18"/>
      <c r="W76" s="18"/>
      <c r="X76" s="18"/>
      <c r="Y76" s="18"/>
      <c r="Z76" s="18">
        <f t="shared" si="0"/>
        <v>132302</v>
      </c>
      <c r="AA76" s="309">
        <v>448516</v>
      </c>
      <c r="AB76" s="19">
        <v>22</v>
      </c>
      <c r="AC76" s="521">
        <v>44301</v>
      </c>
      <c r="AD76" s="25">
        <v>44313</v>
      </c>
      <c r="AE76" s="309">
        <v>17051</v>
      </c>
      <c r="AF76" s="20">
        <v>39</v>
      </c>
      <c r="AG76" s="23">
        <v>44334</v>
      </c>
      <c r="AH76" s="25">
        <v>44342</v>
      </c>
      <c r="AI76" s="309"/>
      <c r="AJ76" s="19"/>
      <c r="AK76" s="23"/>
      <c r="AL76" s="25"/>
      <c r="AM76" s="309"/>
      <c r="AN76" s="19"/>
      <c r="AO76" s="21"/>
      <c r="AP76" s="25"/>
      <c r="AQ76" s="309"/>
      <c r="AR76" s="19"/>
      <c r="AS76" s="21"/>
      <c r="AT76" s="25"/>
      <c r="AU76" s="522">
        <f t="shared" si="1"/>
        <v>465567</v>
      </c>
      <c r="AV76" s="311">
        <f t="shared" si="2"/>
        <v>333265</v>
      </c>
      <c r="AW76" s="305"/>
      <c r="AX76" s="291"/>
      <c r="AY76" s="291"/>
      <c r="AZ76" s="291"/>
      <c r="BA76" s="291"/>
      <c r="BB76" s="291"/>
      <c r="BC76" s="291"/>
      <c r="BD76" s="291"/>
      <c r="BE76" s="291"/>
      <c r="BF76" s="291"/>
      <c r="BG76" s="291"/>
      <c r="BH76" s="291"/>
      <c r="BI76" s="291"/>
      <c r="BJ76" s="291"/>
      <c r="BK76" s="291"/>
      <c r="BL76" s="291"/>
      <c r="BM76" s="291"/>
      <c r="BN76" s="291"/>
      <c r="BO76" s="291"/>
      <c r="BP76" s="291"/>
      <c r="BQ76" s="291"/>
      <c r="BR76" s="291"/>
      <c r="BS76" s="291"/>
      <c r="BT76" s="291"/>
      <c r="BU76" s="291"/>
      <c r="BV76" s="291"/>
      <c r="BW76" s="291"/>
      <c r="BX76" s="291"/>
      <c r="BY76" s="291"/>
      <c r="BZ76" s="291"/>
      <c r="CA76" s="291"/>
      <c r="CB76" s="291"/>
      <c r="CC76" s="291"/>
      <c r="CD76" s="291"/>
      <c r="CE76" s="291"/>
      <c r="CF76" s="291"/>
      <c r="CG76" s="291"/>
      <c r="CH76" s="291"/>
      <c r="CI76" s="291"/>
      <c r="CJ76" s="291"/>
      <c r="CK76" s="291"/>
      <c r="CL76" s="291"/>
      <c r="CM76" s="291"/>
      <c r="CN76" s="291"/>
      <c r="CO76" s="291"/>
      <c r="CP76" s="291"/>
      <c r="CQ76" s="291"/>
      <c r="CR76" s="291"/>
      <c r="CS76" s="291"/>
      <c r="CT76" s="291"/>
      <c r="CU76" s="291"/>
      <c r="CV76" s="291"/>
      <c r="CW76" s="291"/>
      <c r="CX76" s="291"/>
      <c r="CY76" s="291"/>
      <c r="CZ76" s="291"/>
      <c r="DA76" s="291"/>
      <c r="DB76" s="291"/>
      <c r="DC76" s="291"/>
      <c r="DD76" s="291"/>
      <c r="DE76" s="291"/>
      <c r="DF76" s="291"/>
      <c r="DG76" s="291"/>
      <c r="DH76" s="291"/>
      <c r="DI76" s="291"/>
      <c r="DJ76" s="291"/>
      <c r="DK76" s="291"/>
      <c r="DL76" s="291"/>
      <c r="DM76" s="291"/>
      <c r="DN76" s="291"/>
      <c r="DO76" s="291"/>
      <c r="DP76" s="291"/>
      <c r="DQ76" s="291"/>
      <c r="DR76" s="291"/>
      <c r="DS76" s="291"/>
      <c r="DT76" s="291"/>
      <c r="DU76" s="291"/>
      <c r="DV76" s="291"/>
      <c r="DW76" s="291"/>
      <c r="DX76" s="291"/>
      <c r="DY76" s="291"/>
      <c r="DZ76" s="291"/>
      <c r="EA76" s="291"/>
      <c r="EB76" s="291"/>
      <c r="EC76" s="291"/>
      <c r="ED76" s="291"/>
      <c r="EE76" s="291"/>
      <c r="EF76" s="291"/>
      <c r="EG76" s="291"/>
      <c r="EH76" s="291"/>
      <c r="EI76" s="291"/>
      <c r="EJ76" s="291"/>
      <c r="EK76" s="291"/>
      <c r="EL76" s="291"/>
      <c r="EM76" s="291"/>
      <c r="EN76" s="291"/>
      <c r="EO76" s="291"/>
      <c r="EP76" s="291"/>
      <c r="EQ76" s="291"/>
      <c r="ER76" s="291"/>
      <c r="ES76" s="291"/>
      <c r="ET76" s="291"/>
      <c r="EU76" s="291"/>
      <c r="EV76" s="291"/>
      <c r="EW76" s="291"/>
      <c r="EX76" s="291"/>
      <c r="EY76" s="291"/>
      <c r="EZ76" s="291"/>
      <c r="FA76" s="291"/>
      <c r="FB76" s="291"/>
      <c r="FC76" s="291"/>
      <c r="FD76" s="291"/>
      <c r="FE76" s="291"/>
      <c r="FF76" s="291"/>
      <c r="FG76" s="291"/>
      <c r="FH76" s="291"/>
      <c r="FI76" s="291"/>
      <c r="FJ76" s="291"/>
      <c r="FK76" s="291"/>
      <c r="FL76" s="291"/>
      <c r="FM76" s="291"/>
      <c r="FN76" s="291"/>
      <c r="FO76" s="291"/>
      <c r="FP76" s="291"/>
      <c r="FQ76" s="291"/>
      <c r="FR76" s="291"/>
      <c r="FS76" s="291"/>
      <c r="FT76" s="291"/>
      <c r="FU76" s="291"/>
      <c r="FV76" s="291"/>
      <c r="FW76" s="291"/>
      <c r="FX76" s="291"/>
      <c r="FY76" s="291"/>
      <c r="FZ76" s="291"/>
      <c r="GA76" s="291"/>
      <c r="GB76" s="291"/>
      <c r="GC76" s="291"/>
      <c r="GD76" s="291"/>
      <c r="GE76" s="291"/>
      <c r="GF76" s="291"/>
      <c r="GG76" s="291"/>
      <c r="GH76" s="291"/>
      <c r="GI76" s="291"/>
      <c r="GJ76" s="291"/>
      <c r="GK76" s="291"/>
      <c r="GL76" s="291"/>
      <c r="GM76" s="291"/>
      <c r="GN76" s="291"/>
      <c r="GO76" s="291"/>
      <c r="GP76" s="291"/>
      <c r="GQ76" s="291"/>
      <c r="GR76" s="291"/>
      <c r="GS76" s="291"/>
      <c r="GT76" s="291"/>
      <c r="GU76" s="291"/>
      <c r="GV76" s="291"/>
      <c r="GW76" s="291"/>
      <c r="GX76" s="291"/>
      <c r="GY76" s="291"/>
      <c r="GZ76" s="291"/>
      <c r="HA76" s="291"/>
      <c r="HB76" s="291"/>
      <c r="HC76" s="291"/>
      <c r="HD76" s="291"/>
      <c r="HE76" s="291"/>
      <c r="HF76" s="291"/>
      <c r="HG76" s="291"/>
      <c r="HH76" s="291"/>
      <c r="HI76" s="291"/>
      <c r="HJ76" s="291"/>
      <c r="HK76" s="291"/>
      <c r="HL76" s="291"/>
      <c r="HM76" s="291"/>
      <c r="HN76" s="291"/>
      <c r="HO76" s="291"/>
      <c r="HP76" s="291"/>
      <c r="HQ76" s="291"/>
      <c r="HR76" s="291"/>
      <c r="HS76" s="291"/>
      <c r="HT76" s="291"/>
      <c r="HU76" s="291"/>
      <c r="HV76" s="291"/>
      <c r="HW76" s="291"/>
      <c r="HX76" s="291"/>
      <c r="HY76" s="291"/>
      <c r="HZ76" s="291"/>
      <c r="IA76" s="291"/>
      <c r="IB76" s="291"/>
      <c r="IC76" s="291"/>
      <c r="ID76" s="291"/>
      <c r="IE76" s="291"/>
      <c r="IF76" s="291"/>
      <c r="IG76" s="291"/>
      <c r="IH76" s="291"/>
      <c r="II76" s="291"/>
      <c r="IJ76" s="291"/>
      <c r="IK76" s="291"/>
      <c r="IL76" s="291"/>
      <c r="IM76" s="291"/>
      <c r="IN76" s="291"/>
      <c r="IO76" s="291"/>
      <c r="IP76" s="291"/>
      <c r="IQ76" s="291"/>
      <c r="IR76" s="291"/>
      <c r="IS76" s="291"/>
      <c r="IT76" s="291"/>
      <c r="IU76" s="291"/>
      <c r="IV76" s="291"/>
      <c r="IW76" s="291"/>
      <c r="IX76" s="291"/>
      <c r="IY76" s="291"/>
      <c r="IZ76" s="291"/>
      <c r="JA76" s="291"/>
      <c r="JB76" s="291"/>
      <c r="JC76" s="291"/>
      <c r="JD76" s="291"/>
      <c r="JE76" s="291"/>
      <c r="JF76" s="291"/>
      <c r="JG76" s="291"/>
      <c r="JH76" s="291"/>
      <c r="JI76" s="291"/>
      <c r="JJ76" s="291"/>
      <c r="JK76" s="291"/>
      <c r="JL76" s="291"/>
      <c r="JM76" s="291"/>
      <c r="JN76" s="291"/>
      <c r="JO76" s="291"/>
      <c r="JP76" s="291"/>
      <c r="JQ76" s="291"/>
      <c r="JR76" s="291"/>
      <c r="JS76" s="291"/>
      <c r="JT76" s="291"/>
      <c r="JU76" s="291"/>
      <c r="JV76" s="291"/>
      <c r="JW76" s="291"/>
      <c r="JX76" s="291"/>
      <c r="JY76" s="291"/>
      <c r="JZ76" s="291"/>
      <c r="KA76" s="291"/>
      <c r="KB76" s="291"/>
      <c r="KC76" s="291"/>
      <c r="KD76" s="291"/>
      <c r="KE76" s="291"/>
      <c r="KF76" s="291"/>
      <c r="KG76" s="291"/>
      <c r="KH76" s="291"/>
      <c r="KI76" s="291"/>
      <c r="KJ76" s="291"/>
      <c r="KK76" s="291"/>
      <c r="KL76" s="291"/>
      <c r="KM76" s="291"/>
      <c r="KN76" s="291"/>
      <c r="KO76" s="291"/>
      <c r="KP76" s="291"/>
      <c r="KQ76" s="291"/>
      <c r="KR76" s="291"/>
      <c r="KS76" s="291"/>
      <c r="KT76" s="291"/>
      <c r="KU76" s="291"/>
      <c r="KV76" s="291"/>
      <c r="KW76" s="291"/>
      <c r="KX76" s="291"/>
      <c r="KY76" s="291"/>
      <c r="KZ76" s="291"/>
      <c r="LA76" s="291"/>
      <c r="LB76" s="291"/>
      <c r="LC76" s="291"/>
      <c r="LD76" s="291"/>
      <c r="LE76" s="291"/>
      <c r="LF76" s="291"/>
      <c r="LG76" s="291"/>
      <c r="LH76" s="291"/>
      <c r="LI76" s="291"/>
      <c r="LJ76" s="291"/>
      <c r="LK76" s="291"/>
      <c r="LL76" s="291"/>
      <c r="LM76" s="291"/>
      <c r="LN76" s="291"/>
      <c r="LO76" s="291"/>
      <c r="LP76" s="291"/>
      <c r="LQ76" s="291"/>
      <c r="LR76" s="291"/>
      <c r="LS76" s="291"/>
      <c r="LT76" s="291"/>
      <c r="LU76" s="291"/>
      <c r="LV76" s="291"/>
      <c r="LW76" s="291"/>
      <c r="LX76" s="291"/>
      <c r="LY76" s="291"/>
      <c r="LZ76" s="291"/>
      <c r="MA76" s="291"/>
      <c r="MB76" s="291"/>
      <c r="MC76" s="291"/>
      <c r="MD76" s="291"/>
      <c r="ME76" s="291"/>
      <c r="MF76" s="291"/>
      <c r="MG76" s="291"/>
      <c r="MH76" s="291"/>
      <c r="MI76" s="291"/>
      <c r="MJ76" s="291"/>
      <c r="MK76" s="291"/>
      <c r="ML76" s="291"/>
      <c r="MM76" s="291"/>
      <c r="MN76" s="291"/>
      <c r="MO76" s="291"/>
      <c r="MP76" s="291"/>
      <c r="MQ76" s="291"/>
      <c r="MR76" s="291"/>
      <c r="MS76" s="291"/>
      <c r="MT76" s="291"/>
      <c r="MU76" s="291"/>
      <c r="MV76" s="291"/>
      <c r="MW76" s="291"/>
      <c r="MX76" s="291"/>
      <c r="MY76" s="291"/>
      <c r="MZ76" s="291"/>
      <c r="NA76" s="291"/>
      <c r="NB76" s="291"/>
      <c r="NC76" s="291"/>
      <c r="ND76" s="291"/>
      <c r="NE76" s="291"/>
      <c r="NF76" s="291"/>
      <c r="NG76" s="291"/>
      <c r="NH76" s="291"/>
      <c r="NI76" s="291"/>
      <c r="NJ76" s="291"/>
      <c r="NK76" s="291"/>
      <c r="NL76" s="291"/>
      <c r="NM76" s="291"/>
      <c r="NN76" s="291"/>
      <c r="NO76" s="291"/>
      <c r="NP76" s="291"/>
      <c r="NQ76" s="291"/>
      <c r="NR76" s="291"/>
      <c r="NS76" s="291"/>
      <c r="NT76" s="291"/>
      <c r="NU76" s="291"/>
      <c r="NV76" s="291"/>
      <c r="NW76" s="291"/>
      <c r="NX76" s="291"/>
      <c r="NY76" s="291"/>
      <c r="NZ76" s="291"/>
      <c r="OA76" s="291"/>
      <c r="OB76" s="291"/>
      <c r="OC76" s="291"/>
      <c r="OD76" s="291"/>
      <c r="OE76" s="291"/>
      <c r="OF76" s="291"/>
      <c r="OG76" s="291"/>
      <c r="OH76" s="291"/>
      <c r="OI76" s="291"/>
      <c r="OJ76" s="291"/>
      <c r="OK76" s="291"/>
      <c r="OL76" s="291"/>
      <c r="OM76" s="291"/>
      <c r="ON76" s="291"/>
      <c r="OO76" s="291"/>
      <c r="OP76" s="291"/>
      <c r="OQ76" s="291"/>
      <c r="OR76" s="291"/>
      <c r="OS76" s="291"/>
      <c r="OT76" s="291"/>
      <c r="OU76" s="291"/>
      <c r="OV76" s="291"/>
      <c r="OW76" s="291"/>
    </row>
    <row r="77" spans="1:413" s="257" customFormat="1" hidden="1" x14ac:dyDescent="0.2">
      <c r="A77" s="291"/>
      <c r="B77" s="524">
        <f t="shared" si="3"/>
        <v>61</v>
      </c>
      <c r="C77" s="510" t="s">
        <v>38</v>
      </c>
      <c r="D77" s="511" t="s">
        <v>1201</v>
      </c>
      <c r="E77" s="511"/>
      <c r="F77" s="512" t="s">
        <v>1202</v>
      </c>
      <c r="G77" s="513" t="s">
        <v>45</v>
      </c>
      <c r="H77" s="514" t="s">
        <v>1098</v>
      </c>
      <c r="I77" s="515" t="s">
        <v>1203</v>
      </c>
      <c r="J77" s="346"/>
      <c r="K77" s="526">
        <v>3190996</v>
      </c>
      <c r="L77" s="527">
        <v>3157596</v>
      </c>
      <c r="M77" s="528">
        <v>0</v>
      </c>
      <c r="N77" s="520">
        <v>0</v>
      </c>
      <c r="O77" s="520">
        <v>0</v>
      </c>
      <c r="P77" s="520">
        <v>0</v>
      </c>
      <c r="Q77" s="520">
        <v>0</v>
      </c>
      <c r="R77" s="520">
        <v>0</v>
      </c>
      <c r="S77" s="520">
        <v>0</v>
      </c>
      <c r="T77" s="18"/>
      <c r="U77" s="18"/>
      <c r="V77" s="18"/>
      <c r="W77" s="18"/>
      <c r="X77" s="18"/>
      <c r="Y77" s="18"/>
      <c r="Z77" s="18">
        <f t="shared" si="0"/>
        <v>0</v>
      </c>
      <c r="AA77" s="309">
        <v>5101</v>
      </c>
      <c r="AB77" s="19">
        <v>25</v>
      </c>
      <c r="AC77" s="521">
        <v>44314</v>
      </c>
      <c r="AD77" s="25">
        <v>44326</v>
      </c>
      <c r="AE77" s="309"/>
      <c r="AF77" s="20"/>
      <c r="AG77" s="23"/>
      <c r="AH77" s="25"/>
      <c r="AI77" s="309"/>
      <c r="AJ77" s="19"/>
      <c r="AK77" s="23"/>
      <c r="AL77" s="25"/>
      <c r="AM77" s="309"/>
      <c r="AN77" s="19"/>
      <c r="AO77" s="21"/>
      <c r="AP77" s="25"/>
      <c r="AQ77" s="309"/>
      <c r="AR77" s="19"/>
      <c r="AS77" s="21"/>
      <c r="AT77" s="25"/>
      <c r="AU77" s="522">
        <f t="shared" si="1"/>
        <v>5101</v>
      </c>
      <c r="AV77" s="311">
        <f t="shared" si="2"/>
        <v>5101</v>
      </c>
      <c r="AW77" s="305"/>
      <c r="AX77" s="291"/>
      <c r="AY77" s="291"/>
      <c r="AZ77" s="291"/>
      <c r="BA77" s="291"/>
      <c r="BB77" s="291"/>
      <c r="BC77" s="291"/>
      <c r="BD77" s="291"/>
      <c r="BE77" s="291"/>
      <c r="BF77" s="291"/>
      <c r="BG77" s="291"/>
      <c r="BH77" s="291"/>
      <c r="BI77" s="291"/>
      <c r="BJ77" s="291"/>
      <c r="BK77" s="291"/>
      <c r="BL77" s="291"/>
      <c r="BM77" s="291"/>
      <c r="BN77" s="291"/>
      <c r="BO77" s="291"/>
      <c r="BP77" s="291"/>
      <c r="BQ77" s="291"/>
      <c r="BR77" s="291"/>
      <c r="BS77" s="291"/>
      <c r="BT77" s="291"/>
      <c r="BU77" s="291"/>
      <c r="BV77" s="291"/>
      <c r="BW77" s="291"/>
      <c r="BX77" s="291"/>
      <c r="BY77" s="291"/>
      <c r="BZ77" s="291"/>
      <c r="CA77" s="291"/>
      <c r="CB77" s="291"/>
      <c r="CC77" s="291"/>
      <c r="CD77" s="291"/>
      <c r="CE77" s="291"/>
      <c r="CF77" s="291"/>
      <c r="CG77" s="291"/>
      <c r="CH77" s="291"/>
      <c r="CI77" s="291"/>
      <c r="CJ77" s="291"/>
      <c r="CK77" s="291"/>
      <c r="CL77" s="291"/>
      <c r="CM77" s="291"/>
      <c r="CN77" s="291"/>
      <c r="CO77" s="291"/>
      <c r="CP77" s="291"/>
      <c r="CQ77" s="291"/>
      <c r="CR77" s="291"/>
      <c r="CS77" s="291"/>
      <c r="CT77" s="291"/>
      <c r="CU77" s="291"/>
      <c r="CV77" s="291"/>
      <c r="CW77" s="291"/>
      <c r="CX77" s="291"/>
      <c r="CY77" s="291"/>
      <c r="CZ77" s="291"/>
      <c r="DA77" s="291"/>
      <c r="DB77" s="291"/>
      <c r="DC77" s="291"/>
      <c r="DD77" s="291"/>
      <c r="DE77" s="291"/>
      <c r="DF77" s="291"/>
      <c r="DG77" s="291"/>
      <c r="DH77" s="291"/>
      <c r="DI77" s="291"/>
      <c r="DJ77" s="291"/>
      <c r="DK77" s="291"/>
      <c r="DL77" s="291"/>
      <c r="DM77" s="291"/>
      <c r="DN77" s="291"/>
      <c r="DO77" s="291"/>
      <c r="DP77" s="291"/>
      <c r="DQ77" s="291"/>
      <c r="DR77" s="291"/>
      <c r="DS77" s="291"/>
      <c r="DT77" s="291"/>
      <c r="DU77" s="291"/>
      <c r="DV77" s="291"/>
      <c r="DW77" s="291"/>
      <c r="DX77" s="291"/>
      <c r="DY77" s="291"/>
      <c r="DZ77" s="291"/>
      <c r="EA77" s="291"/>
      <c r="EB77" s="291"/>
      <c r="EC77" s="291"/>
      <c r="ED77" s="291"/>
      <c r="EE77" s="291"/>
      <c r="EF77" s="291"/>
      <c r="EG77" s="291"/>
      <c r="EH77" s="291"/>
      <c r="EI77" s="291"/>
      <c r="EJ77" s="291"/>
      <c r="EK77" s="291"/>
      <c r="EL77" s="291"/>
      <c r="EM77" s="291"/>
      <c r="EN77" s="291"/>
      <c r="EO77" s="291"/>
      <c r="EP77" s="291"/>
      <c r="EQ77" s="291"/>
      <c r="ER77" s="291"/>
      <c r="ES77" s="291"/>
      <c r="ET77" s="291"/>
      <c r="EU77" s="291"/>
      <c r="EV77" s="291"/>
      <c r="EW77" s="291"/>
      <c r="EX77" s="291"/>
      <c r="EY77" s="291"/>
      <c r="EZ77" s="291"/>
      <c r="FA77" s="291"/>
      <c r="FB77" s="291"/>
      <c r="FC77" s="291"/>
      <c r="FD77" s="291"/>
      <c r="FE77" s="291"/>
      <c r="FF77" s="291"/>
      <c r="FG77" s="291"/>
      <c r="FH77" s="291"/>
      <c r="FI77" s="291"/>
      <c r="FJ77" s="291"/>
      <c r="FK77" s="291"/>
      <c r="FL77" s="291"/>
      <c r="FM77" s="291"/>
      <c r="FN77" s="291"/>
      <c r="FO77" s="291"/>
      <c r="FP77" s="291"/>
      <c r="FQ77" s="291"/>
      <c r="FR77" s="291"/>
      <c r="FS77" s="291"/>
      <c r="FT77" s="291"/>
      <c r="FU77" s="291"/>
      <c r="FV77" s="291"/>
      <c r="FW77" s="291"/>
      <c r="FX77" s="291"/>
      <c r="FY77" s="291"/>
      <c r="FZ77" s="291"/>
      <c r="GA77" s="291"/>
      <c r="GB77" s="291"/>
      <c r="GC77" s="291"/>
      <c r="GD77" s="291"/>
      <c r="GE77" s="291"/>
      <c r="GF77" s="291"/>
      <c r="GG77" s="291"/>
      <c r="GH77" s="291"/>
      <c r="GI77" s="291"/>
      <c r="GJ77" s="291"/>
      <c r="GK77" s="291"/>
      <c r="GL77" s="291"/>
      <c r="GM77" s="291"/>
      <c r="GN77" s="291"/>
      <c r="GO77" s="291"/>
      <c r="GP77" s="291"/>
      <c r="GQ77" s="291"/>
      <c r="GR77" s="291"/>
      <c r="GS77" s="291"/>
      <c r="GT77" s="291"/>
      <c r="GU77" s="291"/>
      <c r="GV77" s="291"/>
      <c r="GW77" s="291"/>
      <c r="GX77" s="291"/>
      <c r="GY77" s="291"/>
      <c r="GZ77" s="291"/>
      <c r="HA77" s="291"/>
      <c r="HB77" s="291"/>
      <c r="HC77" s="291"/>
      <c r="HD77" s="291"/>
      <c r="HE77" s="291"/>
      <c r="HF77" s="291"/>
      <c r="HG77" s="291"/>
      <c r="HH77" s="291"/>
      <c r="HI77" s="291"/>
      <c r="HJ77" s="291"/>
      <c r="HK77" s="291"/>
      <c r="HL77" s="291"/>
      <c r="HM77" s="291"/>
      <c r="HN77" s="291"/>
      <c r="HO77" s="291"/>
      <c r="HP77" s="291"/>
      <c r="HQ77" s="291"/>
      <c r="HR77" s="291"/>
      <c r="HS77" s="291"/>
      <c r="HT77" s="291"/>
      <c r="HU77" s="291"/>
      <c r="HV77" s="291"/>
      <c r="HW77" s="291"/>
      <c r="HX77" s="291"/>
      <c r="HY77" s="291"/>
      <c r="HZ77" s="291"/>
      <c r="IA77" s="291"/>
      <c r="IB77" s="291"/>
      <c r="IC77" s="291"/>
      <c r="ID77" s="291"/>
      <c r="IE77" s="291"/>
      <c r="IF77" s="291"/>
      <c r="IG77" s="291"/>
      <c r="IH77" s="291"/>
      <c r="II77" s="291"/>
      <c r="IJ77" s="291"/>
      <c r="IK77" s="291"/>
      <c r="IL77" s="291"/>
      <c r="IM77" s="291"/>
      <c r="IN77" s="291"/>
      <c r="IO77" s="291"/>
      <c r="IP77" s="291"/>
      <c r="IQ77" s="291"/>
      <c r="IR77" s="291"/>
      <c r="IS77" s="291"/>
      <c r="IT77" s="291"/>
      <c r="IU77" s="291"/>
      <c r="IV77" s="291"/>
      <c r="IW77" s="291"/>
      <c r="IX77" s="291"/>
      <c r="IY77" s="291"/>
      <c r="IZ77" s="291"/>
      <c r="JA77" s="291"/>
      <c r="JB77" s="291"/>
      <c r="JC77" s="291"/>
      <c r="JD77" s="291"/>
      <c r="JE77" s="291"/>
      <c r="JF77" s="291"/>
      <c r="JG77" s="291"/>
      <c r="JH77" s="291"/>
      <c r="JI77" s="291"/>
      <c r="JJ77" s="291"/>
      <c r="JK77" s="291"/>
      <c r="JL77" s="291"/>
      <c r="JM77" s="291"/>
      <c r="JN77" s="291"/>
      <c r="JO77" s="291"/>
      <c r="JP77" s="291"/>
      <c r="JQ77" s="291"/>
      <c r="JR77" s="291"/>
      <c r="JS77" s="291"/>
      <c r="JT77" s="291"/>
      <c r="JU77" s="291"/>
      <c r="JV77" s="291"/>
      <c r="JW77" s="291"/>
      <c r="JX77" s="291"/>
      <c r="JY77" s="291"/>
      <c r="JZ77" s="291"/>
      <c r="KA77" s="291"/>
      <c r="KB77" s="291"/>
      <c r="KC77" s="291"/>
      <c r="KD77" s="291"/>
      <c r="KE77" s="291"/>
      <c r="KF77" s="291"/>
      <c r="KG77" s="291"/>
      <c r="KH77" s="291"/>
      <c r="KI77" s="291"/>
      <c r="KJ77" s="291"/>
      <c r="KK77" s="291"/>
      <c r="KL77" s="291"/>
      <c r="KM77" s="291"/>
      <c r="KN77" s="291"/>
      <c r="KO77" s="291"/>
      <c r="KP77" s="291"/>
      <c r="KQ77" s="291"/>
      <c r="KR77" s="291"/>
      <c r="KS77" s="291"/>
      <c r="KT77" s="291"/>
      <c r="KU77" s="291"/>
      <c r="KV77" s="291"/>
      <c r="KW77" s="291"/>
      <c r="KX77" s="291"/>
      <c r="KY77" s="291"/>
      <c r="KZ77" s="291"/>
      <c r="LA77" s="291"/>
      <c r="LB77" s="291"/>
      <c r="LC77" s="291"/>
      <c r="LD77" s="291"/>
      <c r="LE77" s="291"/>
      <c r="LF77" s="291"/>
      <c r="LG77" s="291"/>
      <c r="LH77" s="291"/>
      <c r="LI77" s="291"/>
      <c r="LJ77" s="291"/>
      <c r="LK77" s="291"/>
      <c r="LL77" s="291"/>
      <c r="LM77" s="291"/>
      <c r="LN77" s="291"/>
      <c r="LO77" s="291"/>
      <c r="LP77" s="291"/>
      <c r="LQ77" s="291"/>
      <c r="LR77" s="291"/>
      <c r="LS77" s="291"/>
      <c r="LT77" s="291"/>
      <c r="LU77" s="291"/>
      <c r="LV77" s="291"/>
      <c r="LW77" s="291"/>
      <c r="LX77" s="291"/>
      <c r="LY77" s="291"/>
      <c r="LZ77" s="291"/>
      <c r="MA77" s="291"/>
      <c r="MB77" s="291"/>
      <c r="MC77" s="291"/>
      <c r="MD77" s="291"/>
      <c r="ME77" s="291"/>
      <c r="MF77" s="291"/>
      <c r="MG77" s="291"/>
      <c r="MH77" s="291"/>
      <c r="MI77" s="291"/>
      <c r="MJ77" s="291"/>
      <c r="MK77" s="291"/>
      <c r="ML77" s="291"/>
      <c r="MM77" s="291"/>
      <c r="MN77" s="291"/>
      <c r="MO77" s="291"/>
      <c r="MP77" s="291"/>
      <c r="MQ77" s="291"/>
      <c r="MR77" s="291"/>
      <c r="MS77" s="291"/>
      <c r="MT77" s="291"/>
      <c r="MU77" s="291"/>
      <c r="MV77" s="291"/>
      <c r="MW77" s="291"/>
      <c r="MX77" s="291"/>
      <c r="MY77" s="291"/>
      <c r="MZ77" s="291"/>
      <c r="NA77" s="291"/>
      <c r="NB77" s="291"/>
      <c r="NC77" s="291"/>
      <c r="ND77" s="291"/>
      <c r="NE77" s="291"/>
      <c r="NF77" s="291"/>
      <c r="NG77" s="291"/>
      <c r="NH77" s="291"/>
      <c r="NI77" s="291"/>
      <c r="NJ77" s="291"/>
      <c r="NK77" s="291"/>
      <c r="NL77" s="291"/>
      <c r="NM77" s="291"/>
      <c r="NN77" s="291"/>
      <c r="NO77" s="291"/>
      <c r="NP77" s="291"/>
      <c r="NQ77" s="291"/>
      <c r="NR77" s="291"/>
      <c r="NS77" s="291"/>
      <c r="NT77" s="291"/>
      <c r="NU77" s="291"/>
      <c r="NV77" s="291"/>
      <c r="NW77" s="291"/>
      <c r="NX77" s="291"/>
      <c r="NY77" s="291"/>
      <c r="NZ77" s="291"/>
      <c r="OA77" s="291"/>
      <c r="OB77" s="291"/>
      <c r="OC77" s="291"/>
      <c r="OD77" s="291"/>
      <c r="OE77" s="291"/>
      <c r="OF77" s="291"/>
      <c r="OG77" s="291"/>
      <c r="OH77" s="291"/>
      <c r="OI77" s="291"/>
      <c r="OJ77" s="291"/>
      <c r="OK77" s="291"/>
      <c r="OL77" s="291"/>
      <c r="OM77" s="291"/>
      <c r="ON77" s="291"/>
      <c r="OO77" s="291"/>
      <c r="OP77" s="291"/>
      <c r="OQ77" s="291"/>
      <c r="OR77" s="291"/>
      <c r="OS77" s="291"/>
      <c r="OT77" s="291"/>
      <c r="OU77" s="291"/>
      <c r="OV77" s="291"/>
      <c r="OW77" s="291"/>
    </row>
    <row r="78" spans="1:413" s="257" customFormat="1" hidden="1" x14ac:dyDescent="0.2">
      <c r="A78" s="291"/>
      <c r="B78" s="524">
        <f t="shared" si="3"/>
        <v>62</v>
      </c>
      <c r="C78" s="510" t="s">
        <v>38</v>
      </c>
      <c r="D78" s="511">
        <v>30096155</v>
      </c>
      <c r="E78" s="511"/>
      <c r="F78" s="512" t="s">
        <v>1204</v>
      </c>
      <c r="G78" s="513" t="s">
        <v>45</v>
      </c>
      <c r="H78" s="514" t="s">
        <v>1094</v>
      </c>
      <c r="I78" s="515" t="s">
        <v>1148</v>
      </c>
      <c r="J78" s="346" t="s">
        <v>42</v>
      </c>
      <c r="K78" s="526">
        <v>1317559</v>
      </c>
      <c r="L78" s="527">
        <v>1012275</v>
      </c>
      <c r="M78" s="528">
        <v>0</v>
      </c>
      <c r="N78" s="519">
        <v>0</v>
      </c>
      <c r="O78" s="519">
        <v>111092</v>
      </c>
      <c r="P78" s="519">
        <v>81079</v>
      </c>
      <c r="Q78" s="519">
        <v>49366</v>
      </c>
      <c r="R78" s="519">
        <v>34165</v>
      </c>
      <c r="S78" s="520">
        <v>8130</v>
      </c>
      <c r="T78" s="18"/>
      <c r="U78" s="18"/>
      <c r="V78" s="18"/>
      <c r="W78" s="18"/>
      <c r="X78" s="18"/>
      <c r="Y78" s="18"/>
      <c r="Z78" s="18">
        <f t="shared" si="0"/>
        <v>283832</v>
      </c>
      <c r="AA78" s="309">
        <v>298566</v>
      </c>
      <c r="AB78" s="19">
        <v>5</v>
      </c>
      <c r="AC78" s="521">
        <v>44224</v>
      </c>
      <c r="AD78" s="25">
        <v>44251</v>
      </c>
      <c r="AE78" s="309"/>
      <c r="AF78" s="20"/>
      <c r="AG78" s="23"/>
      <c r="AH78" s="25"/>
      <c r="AI78" s="309"/>
      <c r="AJ78" s="19"/>
      <c r="AK78" s="23"/>
      <c r="AL78" s="25"/>
      <c r="AM78" s="309"/>
      <c r="AN78" s="19"/>
      <c r="AO78" s="21"/>
      <c r="AP78" s="25"/>
      <c r="AQ78" s="309"/>
      <c r="AR78" s="19"/>
      <c r="AS78" s="21"/>
      <c r="AT78" s="25"/>
      <c r="AU78" s="522">
        <f t="shared" si="1"/>
        <v>298566</v>
      </c>
      <c r="AV78" s="311">
        <f t="shared" si="2"/>
        <v>14734</v>
      </c>
      <c r="AW78" s="305"/>
      <c r="AX78" s="291"/>
      <c r="AY78" s="291"/>
      <c r="AZ78" s="291"/>
      <c r="BA78" s="291"/>
      <c r="BB78" s="291"/>
      <c r="BC78" s="291"/>
      <c r="BD78" s="291"/>
      <c r="BE78" s="291"/>
      <c r="BF78" s="291"/>
      <c r="BG78" s="291"/>
      <c r="BH78" s="291"/>
      <c r="BI78" s="291"/>
      <c r="BJ78" s="291"/>
      <c r="BK78" s="291"/>
      <c r="BL78" s="291"/>
      <c r="BM78" s="291"/>
      <c r="BN78" s="291"/>
      <c r="BO78" s="291"/>
      <c r="BP78" s="291"/>
      <c r="BQ78" s="291"/>
      <c r="BR78" s="291"/>
      <c r="BS78" s="291"/>
      <c r="BT78" s="291"/>
      <c r="BU78" s="291"/>
      <c r="BV78" s="291"/>
      <c r="BW78" s="291"/>
      <c r="BX78" s="291"/>
      <c r="BY78" s="291"/>
      <c r="BZ78" s="291"/>
      <c r="CA78" s="291"/>
      <c r="CB78" s="291"/>
      <c r="CC78" s="291"/>
      <c r="CD78" s="291"/>
      <c r="CE78" s="291"/>
      <c r="CF78" s="291"/>
      <c r="CG78" s="291"/>
      <c r="CH78" s="291"/>
      <c r="CI78" s="291"/>
      <c r="CJ78" s="291"/>
      <c r="CK78" s="291"/>
      <c r="CL78" s="291"/>
      <c r="CM78" s="291"/>
      <c r="CN78" s="291"/>
      <c r="CO78" s="291"/>
      <c r="CP78" s="291"/>
      <c r="CQ78" s="291"/>
      <c r="CR78" s="291"/>
      <c r="CS78" s="291"/>
      <c r="CT78" s="291"/>
      <c r="CU78" s="291"/>
      <c r="CV78" s="291"/>
      <c r="CW78" s="291"/>
      <c r="CX78" s="291"/>
      <c r="CY78" s="291"/>
      <c r="CZ78" s="291"/>
      <c r="DA78" s="291"/>
      <c r="DB78" s="291"/>
      <c r="DC78" s="291"/>
      <c r="DD78" s="291"/>
      <c r="DE78" s="291"/>
      <c r="DF78" s="291"/>
      <c r="DG78" s="291"/>
      <c r="DH78" s="291"/>
      <c r="DI78" s="291"/>
      <c r="DJ78" s="291"/>
      <c r="DK78" s="291"/>
      <c r="DL78" s="291"/>
      <c r="DM78" s="291"/>
      <c r="DN78" s="291"/>
      <c r="DO78" s="291"/>
      <c r="DP78" s="291"/>
      <c r="DQ78" s="291"/>
      <c r="DR78" s="291"/>
      <c r="DS78" s="291"/>
      <c r="DT78" s="291"/>
      <c r="DU78" s="291"/>
      <c r="DV78" s="291"/>
      <c r="DW78" s="291"/>
      <c r="DX78" s="291"/>
      <c r="DY78" s="291"/>
      <c r="DZ78" s="291"/>
      <c r="EA78" s="291"/>
      <c r="EB78" s="291"/>
      <c r="EC78" s="291"/>
      <c r="ED78" s="291"/>
      <c r="EE78" s="291"/>
      <c r="EF78" s="291"/>
      <c r="EG78" s="291"/>
      <c r="EH78" s="291"/>
      <c r="EI78" s="291"/>
      <c r="EJ78" s="291"/>
      <c r="EK78" s="291"/>
      <c r="EL78" s="291"/>
      <c r="EM78" s="291"/>
      <c r="EN78" s="291"/>
      <c r="EO78" s="291"/>
      <c r="EP78" s="291"/>
      <c r="EQ78" s="291"/>
      <c r="ER78" s="291"/>
      <c r="ES78" s="291"/>
      <c r="ET78" s="291"/>
      <c r="EU78" s="291"/>
      <c r="EV78" s="291"/>
      <c r="EW78" s="291"/>
      <c r="EX78" s="291"/>
      <c r="EY78" s="291"/>
      <c r="EZ78" s="291"/>
      <c r="FA78" s="291"/>
      <c r="FB78" s="291"/>
      <c r="FC78" s="291"/>
      <c r="FD78" s="291"/>
      <c r="FE78" s="291"/>
      <c r="FF78" s="291"/>
      <c r="FG78" s="291"/>
      <c r="FH78" s="291"/>
      <c r="FI78" s="291"/>
      <c r="FJ78" s="291"/>
      <c r="FK78" s="291"/>
      <c r="FL78" s="291"/>
      <c r="FM78" s="291"/>
      <c r="FN78" s="291"/>
      <c r="FO78" s="291"/>
      <c r="FP78" s="291"/>
      <c r="FQ78" s="291"/>
      <c r="FR78" s="291"/>
      <c r="FS78" s="291"/>
      <c r="FT78" s="291"/>
      <c r="FU78" s="291"/>
      <c r="FV78" s="291"/>
      <c r="FW78" s="291"/>
      <c r="FX78" s="291"/>
      <c r="FY78" s="291"/>
      <c r="FZ78" s="291"/>
      <c r="GA78" s="291"/>
      <c r="GB78" s="291"/>
      <c r="GC78" s="291"/>
      <c r="GD78" s="291"/>
      <c r="GE78" s="291"/>
      <c r="GF78" s="291"/>
      <c r="GG78" s="291"/>
      <c r="GH78" s="291"/>
      <c r="GI78" s="291"/>
      <c r="GJ78" s="291"/>
      <c r="GK78" s="291"/>
      <c r="GL78" s="291"/>
      <c r="GM78" s="291"/>
      <c r="GN78" s="291"/>
      <c r="GO78" s="291"/>
      <c r="GP78" s="291"/>
      <c r="GQ78" s="291"/>
      <c r="GR78" s="291"/>
      <c r="GS78" s="291"/>
      <c r="GT78" s="291"/>
      <c r="GU78" s="291"/>
      <c r="GV78" s="291"/>
      <c r="GW78" s="291"/>
      <c r="GX78" s="291"/>
      <c r="GY78" s="291"/>
      <c r="GZ78" s="291"/>
      <c r="HA78" s="291"/>
      <c r="HB78" s="291"/>
      <c r="HC78" s="291"/>
      <c r="HD78" s="291"/>
      <c r="HE78" s="291"/>
      <c r="HF78" s="291"/>
      <c r="HG78" s="291"/>
      <c r="HH78" s="291"/>
      <c r="HI78" s="291"/>
      <c r="HJ78" s="291"/>
      <c r="HK78" s="291"/>
      <c r="HL78" s="291"/>
      <c r="HM78" s="291"/>
      <c r="HN78" s="291"/>
      <c r="HO78" s="291"/>
      <c r="HP78" s="291"/>
      <c r="HQ78" s="291"/>
      <c r="HR78" s="291"/>
      <c r="HS78" s="291"/>
      <c r="HT78" s="291"/>
      <c r="HU78" s="291"/>
      <c r="HV78" s="291"/>
      <c r="HW78" s="291"/>
      <c r="HX78" s="291"/>
      <c r="HY78" s="291"/>
      <c r="HZ78" s="291"/>
      <c r="IA78" s="291"/>
      <c r="IB78" s="291"/>
      <c r="IC78" s="291"/>
      <c r="ID78" s="291"/>
      <c r="IE78" s="291"/>
      <c r="IF78" s="291"/>
      <c r="IG78" s="291"/>
      <c r="IH78" s="291"/>
      <c r="II78" s="291"/>
      <c r="IJ78" s="291"/>
      <c r="IK78" s="291"/>
      <c r="IL78" s="291"/>
      <c r="IM78" s="291"/>
      <c r="IN78" s="291"/>
      <c r="IO78" s="291"/>
      <c r="IP78" s="291"/>
      <c r="IQ78" s="291"/>
      <c r="IR78" s="291"/>
      <c r="IS78" s="291"/>
      <c r="IT78" s="291"/>
      <c r="IU78" s="291"/>
      <c r="IV78" s="291"/>
      <c r="IW78" s="291"/>
      <c r="IX78" s="291"/>
      <c r="IY78" s="291"/>
      <c r="IZ78" s="291"/>
      <c r="JA78" s="291"/>
      <c r="JB78" s="291"/>
      <c r="JC78" s="291"/>
      <c r="JD78" s="291"/>
      <c r="JE78" s="291"/>
      <c r="JF78" s="291"/>
      <c r="JG78" s="291"/>
      <c r="JH78" s="291"/>
      <c r="JI78" s="291"/>
      <c r="JJ78" s="291"/>
      <c r="JK78" s="291"/>
      <c r="JL78" s="291"/>
      <c r="JM78" s="291"/>
      <c r="JN78" s="291"/>
      <c r="JO78" s="291"/>
      <c r="JP78" s="291"/>
      <c r="JQ78" s="291"/>
      <c r="JR78" s="291"/>
      <c r="JS78" s="291"/>
      <c r="JT78" s="291"/>
      <c r="JU78" s="291"/>
      <c r="JV78" s="291"/>
      <c r="JW78" s="291"/>
      <c r="JX78" s="291"/>
      <c r="JY78" s="291"/>
      <c r="JZ78" s="291"/>
      <c r="KA78" s="291"/>
      <c r="KB78" s="291"/>
      <c r="KC78" s="291"/>
      <c r="KD78" s="291"/>
      <c r="KE78" s="291"/>
      <c r="KF78" s="291"/>
      <c r="KG78" s="291"/>
      <c r="KH78" s="291"/>
      <c r="KI78" s="291"/>
      <c r="KJ78" s="291"/>
      <c r="KK78" s="291"/>
      <c r="KL78" s="291"/>
      <c r="KM78" s="291"/>
      <c r="KN78" s="291"/>
      <c r="KO78" s="291"/>
      <c r="KP78" s="291"/>
      <c r="KQ78" s="291"/>
      <c r="KR78" s="291"/>
      <c r="KS78" s="291"/>
      <c r="KT78" s="291"/>
      <c r="KU78" s="291"/>
      <c r="KV78" s="291"/>
      <c r="KW78" s="291"/>
      <c r="KX78" s="291"/>
      <c r="KY78" s="291"/>
      <c r="KZ78" s="291"/>
      <c r="LA78" s="291"/>
      <c r="LB78" s="291"/>
      <c r="LC78" s="291"/>
      <c r="LD78" s="291"/>
      <c r="LE78" s="291"/>
      <c r="LF78" s="291"/>
      <c r="LG78" s="291"/>
      <c r="LH78" s="291"/>
      <c r="LI78" s="291"/>
      <c r="LJ78" s="291"/>
      <c r="LK78" s="291"/>
      <c r="LL78" s="291"/>
      <c r="LM78" s="291"/>
      <c r="LN78" s="291"/>
      <c r="LO78" s="291"/>
      <c r="LP78" s="291"/>
      <c r="LQ78" s="291"/>
      <c r="LR78" s="291"/>
      <c r="LS78" s="291"/>
      <c r="LT78" s="291"/>
      <c r="LU78" s="291"/>
      <c r="LV78" s="291"/>
      <c r="LW78" s="291"/>
      <c r="LX78" s="291"/>
      <c r="LY78" s="291"/>
      <c r="LZ78" s="291"/>
      <c r="MA78" s="291"/>
      <c r="MB78" s="291"/>
      <c r="MC78" s="291"/>
      <c r="MD78" s="291"/>
      <c r="ME78" s="291"/>
      <c r="MF78" s="291"/>
      <c r="MG78" s="291"/>
      <c r="MH78" s="291"/>
      <c r="MI78" s="291"/>
      <c r="MJ78" s="291"/>
      <c r="MK78" s="291"/>
      <c r="ML78" s="291"/>
      <c r="MM78" s="291"/>
      <c r="MN78" s="291"/>
      <c r="MO78" s="291"/>
      <c r="MP78" s="291"/>
      <c r="MQ78" s="291"/>
      <c r="MR78" s="291"/>
      <c r="MS78" s="291"/>
      <c r="MT78" s="291"/>
      <c r="MU78" s="291"/>
      <c r="MV78" s="291"/>
      <c r="MW78" s="291"/>
      <c r="MX78" s="291"/>
      <c r="MY78" s="291"/>
      <c r="MZ78" s="291"/>
      <c r="NA78" s="291"/>
      <c r="NB78" s="291"/>
      <c r="NC78" s="291"/>
      <c r="ND78" s="291"/>
      <c r="NE78" s="291"/>
      <c r="NF78" s="291"/>
      <c r="NG78" s="291"/>
      <c r="NH78" s="291"/>
      <c r="NI78" s="291"/>
      <c r="NJ78" s="291"/>
      <c r="NK78" s="291"/>
      <c r="NL78" s="291"/>
      <c r="NM78" s="291"/>
      <c r="NN78" s="291"/>
      <c r="NO78" s="291"/>
      <c r="NP78" s="291"/>
      <c r="NQ78" s="291"/>
      <c r="NR78" s="291"/>
      <c r="NS78" s="291"/>
      <c r="NT78" s="291"/>
      <c r="NU78" s="291"/>
      <c r="NV78" s="291"/>
      <c r="NW78" s="291"/>
      <c r="NX78" s="291"/>
      <c r="NY78" s="291"/>
      <c r="NZ78" s="291"/>
      <c r="OA78" s="291"/>
      <c r="OB78" s="291"/>
      <c r="OC78" s="291"/>
      <c r="OD78" s="291"/>
      <c r="OE78" s="291"/>
      <c r="OF78" s="291"/>
      <c r="OG78" s="291"/>
      <c r="OH78" s="291"/>
      <c r="OI78" s="291"/>
      <c r="OJ78" s="291"/>
      <c r="OK78" s="291"/>
      <c r="OL78" s="291"/>
      <c r="OM78" s="291"/>
      <c r="ON78" s="291"/>
      <c r="OO78" s="291"/>
      <c r="OP78" s="291"/>
      <c r="OQ78" s="291"/>
      <c r="OR78" s="291"/>
      <c r="OS78" s="291"/>
      <c r="OT78" s="291"/>
      <c r="OU78" s="291"/>
      <c r="OV78" s="291"/>
      <c r="OW78" s="291"/>
    </row>
    <row r="79" spans="1:413" s="257" customFormat="1" hidden="1" x14ac:dyDescent="0.2">
      <c r="A79" s="291"/>
      <c r="B79" s="524">
        <f t="shared" si="3"/>
        <v>63</v>
      </c>
      <c r="C79" s="510" t="s">
        <v>38</v>
      </c>
      <c r="D79" s="511">
        <v>30096275</v>
      </c>
      <c r="E79" s="511"/>
      <c r="F79" s="512" t="s">
        <v>1205</v>
      </c>
      <c r="G79" s="513" t="s">
        <v>45</v>
      </c>
      <c r="H79" s="514" t="s">
        <v>1094</v>
      </c>
      <c r="I79" s="515" t="s">
        <v>1155</v>
      </c>
      <c r="J79" s="346" t="s">
        <v>42</v>
      </c>
      <c r="K79" s="526">
        <v>362900</v>
      </c>
      <c r="L79" s="527">
        <v>314285</v>
      </c>
      <c r="M79" s="528">
        <v>0</v>
      </c>
      <c r="N79" s="520">
        <v>0</v>
      </c>
      <c r="O79" s="520">
        <v>0</v>
      </c>
      <c r="P79" s="520">
        <v>0</v>
      </c>
      <c r="Q79" s="520">
        <v>0</v>
      </c>
      <c r="R79" s="520">
        <v>0</v>
      </c>
      <c r="S79" s="520">
        <v>0</v>
      </c>
      <c r="T79" s="18"/>
      <c r="U79" s="18"/>
      <c r="V79" s="18"/>
      <c r="W79" s="18"/>
      <c r="X79" s="18"/>
      <c r="Y79" s="18"/>
      <c r="Z79" s="18">
        <f t="shared" si="0"/>
        <v>0</v>
      </c>
      <c r="AA79" s="309">
        <v>1</v>
      </c>
      <c r="AB79" s="19">
        <v>9</v>
      </c>
      <c r="AC79" s="521">
        <v>44232</v>
      </c>
      <c r="AD79" s="25">
        <v>44251</v>
      </c>
      <c r="AE79" s="309"/>
      <c r="AF79" s="20"/>
      <c r="AG79" s="23"/>
      <c r="AH79" s="25"/>
      <c r="AI79" s="309"/>
      <c r="AJ79" s="19"/>
      <c r="AK79" s="23"/>
      <c r="AL79" s="25"/>
      <c r="AM79" s="309"/>
      <c r="AN79" s="19"/>
      <c r="AO79" s="21"/>
      <c r="AP79" s="25"/>
      <c r="AQ79" s="309"/>
      <c r="AR79" s="19"/>
      <c r="AS79" s="21"/>
      <c r="AT79" s="25"/>
      <c r="AU79" s="522">
        <f t="shared" si="1"/>
        <v>1</v>
      </c>
      <c r="AV79" s="311">
        <f t="shared" si="2"/>
        <v>1</v>
      </c>
      <c r="AW79" s="305"/>
      <c r="AX79" s="291"/>
      <c r="AY79" s="291"/>
      <c r="AZ79" s="291"/>
      <c r="BA79" s="291"/>
      <c r="BB79" s="291"/>
      <c r="BC79" s="291"/>
      <c r="BD79" s="291"/>
      <c r="BE79" s="291"/>
      <c r="BF79" s="291"/>
      <c r="BG79" s="291"/>
      <c r="BH79" s="291"/>
      <c r="BI79" s="291"/>
      <c r="BJ79" s="291"/>
      <c r="BK79" s="291"/>
      <c r="BL79" s="291"/>
      <c r="BM79" s="291"/>
      <c r="BN79" s="291"/>
      <c r="BO79" s="291"/>
      <c r="BP79" s="291"/>
      <c r="BQ79" s="291"/>
      <c r="BR79" s="291"/>
      <c r="BS79" s="291"/>
      <c r="BT79" s="291"/>
      <c r="BU79" s="291"/>
      <c r="BV79" s="291"/>
      <c r="BW79" s="291"/>
      <c r="BX79" s="291"/>
      <c r="BY79" s="291"/>
      <c r="BZ79" s="291"/>
      <c r="CA79" s="291"/>
      <c r="CB79" s="291"/>
      <c r="CC79" s="291"/>
      <c r="CD79" s="291"/>
      <c r="CE79" s="291"/>
      <c r="CF79" s="291"/>
      <c r="CG79" s="291"/>
      <c r="CH79" s="291"/>
      <c r="CI79" s="291"/>
      <c r="CJ79" s="291"/>
      <c r="CK79" s="291"/>
      <c r="CL79" s="291"/>
      <c r="CM79" s="291"/>
      <c r="CN79" s="291"/>
      <c r="CO79" s="291"/>
      <c r="CP79" s="291"/>
      <c r="CQ79" s="291"/>
      <c r="CR79" s="291"/>
      <c r="CS79" s="291"/>
      <c r="CT79" s="291"/>
      <c r="CU79" s="291"/>
      <c r="CV79" s="291"/>
      <c r="CW79" s="291"/>
      <c r="CX79" s="291"/>
      <c r="CY79" s="291"/>
      <c r="CZ79" s="291"/>
      <c r="DA79" s="291"/>
      <c r="DB79" s="291"/>
      <c r="DC79" s="291"/>
      <c r="DD79" s="291"/>
      <c r="DE79" s="291"/>
      <c r="DF79" s="291"/>
      <c r="DG79" s="291"/>
      <c r="DH79" s="291"/>
      <c r="DI79" s="291"/>
      <c r="DJ79" s="291"/>
      <c r="DK79" s="291"/>
      <c r="DL79" s="291"/>
      <c r="DM79" s="291"/>
      <c r="DN79" s="291"/>
      <c r="DO79" s="291"/>
      <c r="DP79" s="291"/>
      <c r="DQ79" s="291"/>
      <c r="DR79" s="291"/>
      <c r="DS79" s="291"/>
      <c r="DT79" s="291"/>
      <c r="DU79" s="291"/>
      <c r="DV79" s="291"/>
      <c r="DW79" s="291"/>
      <c r="DX79" s="291"/>
      <c r="DY79" s="291"/>
      <c r="DZ79" s="291"/>
      <c r="EA79" s="291"/>
      <c r="EB79" s="291"/>
      <c r="EC79" s="291"/>
      <c r="ED79" s="291"/>
      <c r="EE79" s="291"/>
      <c r="EF79" s="291"/>
      <c r="EG79" s="291"/>
      <c r="EH79" s="291"/>
      <c r="EI79" s="291"/>
      <c r="EJ79" s="291"/>
      <c r="EK79" s="291"/>
      <c r="EL79" s="291"/>
      <c r="EM79" s="291"/>
      <c r="EN79" s="291"/>
      <c r="EO79" s="291"/>
      <c r="EP79" s="291"/>
      <c r="EQ79" s="291"/>
      <c r="ER79" s="291"/>
      <c r="ES79" s="291"/>
      <c r="ET79" s="291"/>
      <c r="EU79" s="291"/>
      <c r="EV79" s="291"/>
      <c r="EW79" s="291"/>
      <c r="EX79" s="291"/>
      <c r="EY79" s="291"/>
      <c r="EZ79" s="291"/>
      <c r="FA79" s="291"/>
      <c r="FB79" s="291"/>
      <c r="FC79" s="291"/>
      <c r="FD79" s="291"/>
      <c r="FE79" s="291"/>
      <c r="FF79" s="291"/>
      <c r="FG79" s="291"/>
      <c r="FH79" s="291"/>
      <c r="FI79" s="291"/>
      <c r="FJ79" s="291"/>
      <c r="FK79" s="291"/>
      <c r="FL79" s="291"/>
      <c r="FM79" s="291"/>
      <c r="FN79" s="291"/>
      <c r="FO79" s="291"/>
      <c r="FP79" s="291"/>
      <c r="FQ79" s="291"/>
      <c r="FR79" s="291"/>
      <c r="FS79" s="291"/>
      <c r="FT79" s="291"/>
      <c r="FU79" s="291"/>
      <c r="FV79" s="291"/>
      <c r="FW79" s="291"/>
      <c r="FX79" s="291"/>
      <c r="FY79" s="291"/>
      <c r="FZ79" s="291"/>
      <c r="GA79" s="291"/>
      <c r="GB79" s="291"/>
      <c r="GC79" s="291"/>
      <c r="GD79" s="291"/>
      <c r="GE79" s="291"/>
      <c r="GF79" s="291"/>
      <c r="GG79" s="291"/>
      <c r="GH79" s="291"/>
      <c r="GI79" s="291"/>
      <c r="GJ79" s="291"/>
      <c r="GK79" s="291"/>
      <c r="GL79" s="291"/>
      <c r="GM79" s="291"/>
      <c r="GN79" s="291"/>
      <c r="GO79" s="291"/>
      <c r="GP79" s="291"/>
      <c r="GQ79" s="291"/>
      <c r="GR79" s="291"/>
      <c r="GS79" s="291"/>
      <c r="GT79" s="291"/>
      <c r="GU79" s="291"/>
      <c r="GV79" s="291"/>
      <c r="GW79" s="291"/>
      <c r="GX79" s="291"/>
      <c r="GY79" s="291"/>
      <c r="GZ79" s="291"/>
      <c r="HA79" s="291"/>
      <c r="HB79" s="291"/>
      <c r="HC79" s="291"/>
      <c r="HD79" s="291"/>
      <c r="HE79" s="291"/>
      <c r="HF79" s="291"/>
      <c r="HG79" s="291"/>
      <c r="HH79" s="291"/>
      <c r="HI79" s="291"/>
      <c r="HJ79" s="291"/>
      <c r="HK79" s="291"/>
      <c r="HL79" s="291"/>
      <c r="HM79" s="291"/>
      <c r="HN79" s="291"/>
      <c r="HO79" s="291"/>
      <c r="HP79" s="291"/>
      <c r="HQ79" s="291"/>
      <c r="HR79" s="291"/>
      <c r="HS79" s="291"/>
      <c r="HT79" s="291"/>
      <c r="HU79" s="291"/>
      <c r="HV79" s="291"/>
      <c r="HW79" s="291"/>
      <c r="HX79" s="291"/>
      <c r="HY79" s="291"/>
      <c r="HZ79" s="291"/>
      <c r="IA79" s="291"/>
      <c r="IB79" s="291"/>
      <c r="IC79" s="291"/>
      <c r="ID79" s="291"/>
      <c r="IE79" s="291"/>
      <c r="IF79" s="291"/>
      <c r="IG79" s="291"/>
      <c r="IH79" s="291"/>
      <c r="II79" s="291"/>
      <c r="IJ79" s="291"/>
      <c r="IK79" s="291"/>
      <c r="IL79" s="291"/>
      <c r="IM79" s="291"/>
      <c r="IN79" s="291"/>
      <c r="IO79" s="291"/>
      <c r="IP79" s="291"/>
      <c r="IQ79" s="291"/>
      <c r="IR79" s="291"/>
      <c r="IS79" s="291"/>
      <c r="IT79" s="291"/>
      <c r="IU79" s="291"/>
      <c r="IV79" s="291"/>
      <c r="IW79" s="291"/>
      <c r="IX79" s="291"/>
      <c r="IY79" s="291"/>
      <c r="IZ79" s="291"/>
      <c r="JA79" s="291"/>
      <c r="JB79" s="291"/>
      <c r="JC79" s="291"/>
      <c r="JD79" s="291"/>
      <c r="JE79" s="291"/>
      <c r="JF79" s="291"/>
      <c r="JG79" s="291"/>
      <c r="JH79" s="291"/>
      <c r="JI79" s="291"/>
      <c r="JJ79" s="291"/>
      <c r="JK79" s="291"/>
      <c r="JL79" s="291"/>
      <c r="JM79" s="291"/>
      <c r="JN79" s="291"/>
      <c r="JO79" s="291"/>
      <c r="JP79" s="291"/>
      <c r="JQ79" s="291"/>
      <c r="JR79" s="291"/>
      <c r="JS79" s="291"/>
      <c r="JT79" s="291"/>
      <c r="JU79" s="291"/>
      <c r="JV79" s="291"/>
      <c r="JW79" s="291"/>
      <c r="JX79" s="291"/>
      <c r="JY79" s="291"/>
      <c r="JZ79" s="291"/>
      <c r="KA79" s="291"/>
      <c r="KB79" s="291"/>
      <c r="KC79" s="291"/>
      <c r="KD79" s="291"/>
      <c r="KE79" s="291"/>
      <c r="KF79" s="291"/>
      <c r="KG79" s="291"/>
      <c r="KH79" s="291"/>
      <c r="KI79" s="291"/>
      <c r="KJ79" s="291"/>
      <c r="KK79" s="291"/>
      <c r="KL79" s="291"/>
      <c r="KM79" s="291"/>
      <c r="KN79" s="291"/>
      <c r="KO79" s="291"/>
      <c r="KP79" s="291"/>
      <c r="KQ79" s="291"/>
      <c r="KR79" s="291"/>
      <c r="KS79" s="291"/>
      <c r="KT79" s="291"/>
      <c r="KU79" s="291"/>
      <c r="KV79" s="291"/>
      <c r="KW79" s="291"/>
      <c r="KX79" s="291"/>
      <c r="KY79" s="291"/>
      <c r="KZ79" s="291"/>
      <c r="LA79" s="291"/>
      <c r="LB79" s="291"/>
      <c r="LC79" s="291"/>
      <c r="LD79" s="291"/>
      <c r="LE79" s="291"/>
      <c r="LF79" s="291"/>
      <c r="LG79" s="291"/>
      <c r="LH79" s="291"/>
      <c r="LI79" s="291"/>
      <c r="LJ79" s="291"/>
      <c r="LK79" s="291"/>
      <c r="LL79" s="291"/>
      <c r="LM79" s="291"/>
      <c r="LN79" s="291"/>
      <c r="LO79" s="291"/>
      <c r="LP79" s="291"/>
      <c r="LQ79" s="291"/>
      <c r="LR79" s="291"/>
      <c r="LS79" s="291"/>
      <c r="LT79" s="291"/>
      <c r="LU79" s="291"/>
      <c r="LV79" s="291"/>
      <c r="LW79" s="291"/>
      <c r="LX79" s="291"/>
      <c r="LY79" s="291"/>
      <c r="LZ79" s="291"/>
      <c r="MA79" s="291"/>
      <c r="MB79" s="291"/>
      <c r="MC79" s="291"/>
      <c r="MD79" s="291"/>
      <c r="ME79" s="291"/>
      <c r="MF79" s="291"/>
      <c r="MG79" s="291"/>
      <c r="MH79" s="291"/>
      <c r="MI79" s="291"/>
      <c r="MJ79" s="291"/>
      <c r="MK79" s="291"/>
      <c r="ML79" s="291"/>
      <c r="MM79" s="291"/>
      <c r="MN79" s="291"/>
      <c r="MO79" s="291"/>
      <c r="MP79" s="291"/>
      <c r="MQ79" s="291"/>
      <c r="MR79" s="291"/>
      <c r="MS79" s="291"/>
      <c r="MT79" s="291"/>
      <c r="MU79" s="291"/>
      <c r="MV79" s="291"/>
      <c r="MW79" s="291"/>
      <c r="MX79" s="291"/>
      <c r="MY79" s="291"/>
      <c r="MZ79" s="291"/>
      <c r="NA79" s="291"/>
      <c r="NB79" s="291"/>
      <c r="NC79" s="291"/>
      <c r="ND79" s="291"/>
      <c r="NE79" s="291"/>
      <c r="NF79" s="291"/>
      <c r="NG79" s="291"/>
      <c r="NH79" s="291"/>
      <c r="NI79" s="291"/>
      <c r="NJ79" s="291"/>
      <c r="NK79" s="291"/>
      <c r="NL79" s="291"/>
      <c r="NM79" s="291"/>
      <c r="NN79" s="291"/>
      <c r="NO79" s="291"/>
      <c r="NP79" s="291"/>
      <c r="NQ79" s="291"/>
      <c r="NR79" s="291"/>
      <c r="NS79" s="291"/>
      <c r="NT79" s="291"/>
      <c r="NU79" s="291"/>
      <c r="NV79" s="291"/>
      <c r="NW79" s="291"/>
      <c r="NX79" s="291"/>
      <c r="NY79" s="291"/>
      <c r="NZ79" s="291"/>
      <c r="OA79" s="291"/>
      <c r="OB79" s="291"/>
      <c r="OC79" s="291"/>
      <c r="OD79" s="291"/>
      <c r="OE79" s="291"/>
      <c r="OF79" s="291"/>
      <c r="OG79" s="291"/>
      <c r="OH79" s="291"/>
      <c r="OI79" s="291"/>
      <c r="OJ79" s="291"/>
      <c r="OK79" s="291"/>
      <c r="OL79" s="291"/>
      <c r="OM79" s="291"/>
      <c r="ON79" s="291"/>
      <c r="OO79" s="291"/>
      <c r="OP79" s="291"/>
      <c r="OQ79" s="291"/>
      <c r="OR79" s="291"/>
      <c r="OS79" s="291"/>
      <c r="OT79" s="291"/>
      <c r="OU79" s="291"/>
      <c r="OV79" s="291"/>
      <c r="OW79" s="291"/>
    </row>
    <row r="80" spans="1:413" s="257" customFormat="1" hidden="1" x14ac:dyDescent="0.2">
      <c r="A80" s="291"/>
      <c r="B80" s="524">
        <f t="shared" si="3"/>
        <v>64</v>
      </c>
      <c r="C80" s="510" t="s">
        <v>38</v>
      </c>
      <c r="D80" s="511">
        <v>30096407</v>
      </c>
      <c r="E80" s="511"/>
      <c r="F80" s="512" t="s">
        <v>1206</v>
      </c>
      <c r="G80" s="513" t="s">
        <v>45</v>
      </c>
      <c r="H80" s="514" t="s">
        <v>1094</v>
      </c>
      <c r="I80" s="515" t="s">
        <v>1207</v>
      </c>
      <c r="J80" s="346" t="s">
        <v>43</v>
      </c>
      <c r="K80" s="526">
        <v>571678</v>
      </c>
      <c r="L80" s="527">
        <v>0</v>
      </c>
      <c r="M80" s="528">
        <v>404816</v>
      </c>
      <c r="N80" s="520">
        <v>0</v>
      </c>
      <c r="O80" s="520">
        <v>0</v>
      </c>
      <c r="P80" s="520">
        <v>0</v>
      </c>
      <c r="Q80" s="520">
        <v>0</v>
      </c>
      <c r="R80" s="520">
        <v>0</v>
      </c>
      <c r="S80" s="520">
        <v>0</v>
      </c>
      <c r="T80" s="18"/>
      <c r="U80" s="18"/>
      <c r="V80" s="18"/>
      <c r="W80" s="18"/>
      <c r="X80" s="18"/>
      <c r="Y80" s="18"/>
      <c r="Z80" s="18">
        <f t="shared" si="0"/>
        <v>0</v>
      </c>
      <c r="AA80" s="309">
        <v>111002</v>
      </c>
      <c r="AB80" s="19">
        <v>15</v>
      </c>
      <c r="AC80" s="521">
        <v>44259</v>
      </c>
      <c r="AD80" s="25">
        <v>44274</v>
      </c>
      <c r="AE80" s="309">
        <v>5148</v>
      </c>
      <c r="AF80" s="20">
        <v>50</v>
      </c>
      <c r="AG80" s="23">
        <v>44356</v>
      </c>
      <c r="AH80" s="25">
        <v>44377</v>
      </c>
      <c r="AI80" s="309"/>
      <c r="AJ80" s="19"/>
      <c r="AK80" s="23"/>
      <c r="AL80" s="25"/>
      <c r="AM80" s="309"/>
      <c r="AN80" s="19"/>
      <c r="AO80" s="21"/>
      <c r="AP80" s="25"/>
      <c r="AQ80" s="309"/>
      <c r="AR80" s="19"/>
      <c r="AS80" s="21"/>
      <c r="AT80" s="25"/>
      <c r="AU80" s="522">
        <f t="shared" si="1"/>
        <v>116150</v>
      </c>
      <c r="AV80" s="311">
        <f t="shared" si="2"/>
        <v>116150</v>
      </c>
      <c r="AW80" s="305"/>
      <c r="AX80" s="291"/>
      <c r="AY80" s="291"/>
      <c r="AZ80" s="291"/>
      <c r="BA80" s="291"/>
      <c r="BB80" s="291"/>
      <c r="BC80" s="291"/>
      <c r="BD80" s="291"/>
      <c r="BE80" s="291"/>
      <c r="BF80" s="291"/>
      <c r="BG80" s="291"/>
      <c r="BH80" s="291"/>
      <c r="BI80" s="291"/>
      <c r="BJ80" s="291"/>
      <c r="BK80" s="291"/>
      <c r="BL80" s="291"/>
      <c r="BM80" s="291"/>
      <c r="BN80" s="291"/>
      <c r="BO80" s="291"/>
      <c r="BP80" s="291"/>
      <c r="BQ80" s="291"/>
      <c r="BR80" s="291"/>
      <c r="BS80" s="291"/>
      <c r="BT80" s="291"/>
      <c r="BU80" s="291"/>
      <c r="BV80" s="291"/>
      <c r="BW80" s="291"/>
      <c r="BX80" s="291"/>
      <c r="BY80" s="291"/>
      <c r="BZ80" s="291"/>
      <c r="CA80" s="291"/>
      <c r="CB80" s="291"/>
      <c r="CC80" s="291"/>
      <c r="CD80" s="291"/>
      <c r="CE80" s="291"/>
      <c r="CF80" s="291"/>
      <c r="CG80" s="291"/>
      <c r="CH80" s="291"/>
      <c r="CI80" s="291"/>
      <c r="CJ80" s="291"/>
      <c r="CK80" s="291"/>
      <c r="CL80" s="291"/>
      <c r="CM80" s="291"/>
      <c r="CN80" s="291"/>
      <c r="CO80" s="291"/>
      <c r="CP80" s="291"/>
      <c r="CQ80" s="291"/>
      <c r="CR80" s="291"/>
      <c r="CS80" s="291"/>
      <c r="CT80" s="291"/>
      <c r="CU80" s="291"/>
      <c r="CV80" s="291"/>
      <c r="CW80" s="291"/>
      <c r="CX80" s="291"/>
      <c r="CY80" s="291"/>
      <c r="CZ80" s="291"/>
      <c r="DA80" s="291"/>
      <c r="DB80" s="291"/>
      <c r="DC80" s="291"/>
      <c r="DD80" s="291"/>
      <c r="DE80" s="291"/>
      <c r="DF80" s="291"/>
      <c r="DG80" s="291"/>
      <c r="DH80" s="291"/>
      <c r="DI80" s="291"/>
      <c r="DJ80" s="291"/>
      <c r="DK80" s="291"/>
      <c r="DL80" s="291"/>
      <c r="DM80" s="291"/>
      <c r="DN80" s="291"/>
      <c r="DO80" s="291"/>
      <c r="DP80" s="291"/>
      <c r="DQ80" s="291"/>
      <c r="DR80" s="291"/>
      <c r="DS80" s="291"/>
      <c r="DT80" s="291"/>
      <c r="DU80" s="291"/>
      <c r="DV80" s="291"/>
      <c r="DW80" s="291"/>
      <c r="DX80" s="291"/>
      <c r="DY80" s="291"/>
      <c r="DZ80" s="291"/>
      <c r="EA80" s="291"/>
      <c r="EB80" s="291"/>
      <c r="EC80" s="291"/>
      <c r="ED80" s="291"/>
      <c r="EE80" s="291"/>
      <c r="EF80" s="291"/>
      <c r="EG80" s="291"/>
      <c r="EH80" s="291"/>
      <c r="EI80" s="291"/>
      <c r="EJ80" s="291"/>
      <c r="EK80" s="291"/>
      <c r="EL80" s="291"/>
      <c r="EM80" s="291"/>
      <c r="EN80" s="291"/>
      <c r="EO80" s="291"/>
      <c r="EP80" s="291"/>
      <c r="EQ80" s="291"/>
      <c r="ER80" s="291"/>
      <c r="ES80" s="291"/>
      <c r="ET80" s="291"/>
      <c r="EU80" s="291"/>
      <c r="EV80" s="291"/>
      <c r="EW80" s="291"/>
      <c r="EX80" s="291"/>
      <c r="EY80" s="291"/>
      <c r="EZ80" s="291"/>
      <c r="FA80" s="291"/>
      <c r="FB80" s="291"/>
      <c r="FC80" s="291"/>
      <c r="FD80" s="291"/>
      <c r="FE80" s="291"/>
      <c r="FF80" s="291"/>
      <c r="FG80" s="291"/>
      <c r="FH80" s="291"/>
      <c r="FI80" s="291"/>
      <c r="FJ80" s="291"/>
      <c r="FK80" s="291"/>
      <c r="FL80" s="291"/>
      <c r="FM80" s="291"/>
      <c r="FN80" s="291"/>
      <c r="FO80" s="291"/>
      <c r="FP80" s="291"/>
      <c r="FQ80" s="291"/>
      <c r="FR80" s="291"/>
      <c r="FS80" s="291"/>
      <c r="FT80" s="291"/>
      <c r="FU80" s="291"/>
      <c r="FV80" s="291"/>
      <c r="FW80" s="291"/>
      <c r="FX80" s="291"/>
      <c r="FY80" s="291"/>
      <c r="FZ80" s="291"/>
      <c r="GA80" s="291"/>
      <c r="GB80" s="291"/>
      <c r="GC80" s="291"/>
      <c r="GD80" s="291"/>
      <c r="GE80" s="291"/>
      <c r="GF80" s="291"/>
      <c r="GG80" s="291"/>
      <c r="GH80" s="291"/>
      <c r="GI80" s="291"/>
      <c r="GJ80" s="291"/>
      <c r="GK80" s="291"/>
      <c r="GL80" s="291"/>
      <c r="GM80" s="291"/>
      <c r="GN80" s="291"/>
      <c r="GO80" s="291"/>
      <c r="GP80" s="291"/>
      <c r="GQ80" s="291"/>
      <c r="GR80" s="291"/>
      <c r="GS80" s="291"/>
      <c r="GT80" s="291"/>
      <c r="GU80" s="291"/>
      <c r="GV80" s="291"/>
      <c r="GW80" s="291"/>
      <c r="GX80" s="291"/>
      <c r="GY80" s="291"/>
      <c r="GZ80" s="291"/>
      <c r="HA80" s="291"/>
      <c r="HB80" s="291"/>
      <c r="HC80" s="291"/>
      <c r="HD80" s="291"/>
      <c r="HE80" s="291"/>
      <c r="HF80" s="291"/>
      <c r="HG80" s="291"/>
      <c r="HH80" s="291"/>
      <c r="HI80" s="291"/>
      <c r="HJ80" s="291"/>
      <c r="HK80" s="291"/>
      <c r="HL80" s="291"/>
      <c r="HM80" s="291"/>
      <c r="HN80" s="291"/>
      <c r="HO80" s="291"/>
      <c r="HP80" s="291"/>
      <c r="HQ80" s="291"/>
      <c r="HR80" s="291"/>
      <c r="HS80" s="291"/>
      <c r="HT80" s="291"/>
      <c r="HU80" s="291"/>
      <c r="HV80" s="291"/>
      <c r="HW80" s="291"/>
      <c r="HX80" s="291"/>
      <c r="HY80" s="291"/>
      <c r="HZ80" s="291"/>
      <c r="IA80" s="291"/>
      <c r="IB80" s="291"/>
      <c r="IC80" s="291"/>
      <c r="ID80" s="291"/>
      <c r="IE80" s="291"/>
      <c r="IF80" s="291"/>
      <c r="IG80" s="291"/>
      <c r="IH80" s="291"/>
      <c r="II80" s="291"/>
      <c r="IJ80" s="291"/>
      <c r="IK80" s="291"/>
      <c r="IL80" s="291"/>
      <c r="IM80" s="291"/>
      <c r="IN80" s="291"/>
      <c r="IO80" s="291"/>
      <c r="IP80" s="291"/>
      <c r="IQ80" s="291"/>
      <c r="IR80" s="291"/>
      <c r="IS80" s="291"/>
      <c r="IT80" s="291"/>
      <c r="IU80" s="291"/>
      <c r="IV80" s="291"/>
      <c r="IW80" s="291"/>
      <c r="IX80" s="291"/>
      <c r="IY80" s="291"/>
      <c r="IZ80" s="291"/>
      <c r="JA80" s="291"/>
      <c r="JB80" s="291"/>
      <c r="JC80" s="291"/>
      <c r="JD80" s="291"/>
      <c r="JE80" s="291"/>
      <c r="JF80" s="291"/>
      <c r="JG80" s="291"/>
      <c r="JH80" s="291"/>
      <c r="JI80" s="291"/>
      <c r="JJ80" s="291"/>
      <c r="JK80" s="291"/>
      <c r="JL80" s="291"/>
      <c r="JM80" s="291"/>
      <c r="JN80" s="291"/>
      <c r="JO80" s="291"/>
      <c r="JP80" s="291"/>
      <c r="JQ80" s="291"/>
      <c r="JR80" s="291"/>
      <c r="JS80" s="291"/>
      <c r="JT80" s="291"/>
      <c r="JU80" s="291"/>
      <c r="JV80" s="291"/>
      <c r="JW80" s="291"/>
      <c r="JX80" s="291"/>
      <c r="JY80" s="291"/>
      <c r="JZ80" s="291"/>
      <c r="KA80" s="291"/>
      <c r="KB80" s="291"/>
      <c r="KC80" s="291"/>
      <c r="KD80" s="291"/>
      <c r="KE80" s="291"/>
      <c r="KF80" s="291"/>
      <c r="KG80" s="291"/>
      <c r="KH80" s="291"/>
      <c r="KI80" s="291"/>
      <c r="KJ80" s="291"/>
      <c r="KK80" s="291"/>
      <c r="KL80" s="291"/>
      <c r="KM80" s="291"/>
      <c r="KN80" s="291"/>
      <c r="KO80" s="291"/>
      <c r="KP80" s="291"/>
      <c r="KQ80" s="291"/>
      <c r="KR80" s="291"/>
      <c r="KS80" s="291"/>
      <c r="KT80" s="291"/>
      <c r="KU80" s="291"/>
      <c r="KV80" s="291"/>
      <c r="KW80" s="291"/>
      <c r="KX80" s="291"/>
      <c r="KY80" s="291"/>
      <c r="KZ80" s="291"/>
      <c r="LA80" s="291"/>
      <c r="LB80" s="291"/>
      <c r="LC80" s="291"/>
      <c r="LD80" s="291"/>
      <c r="LE80" s="291"/>
      <c r="LF80" s="291"/>
      <c r="LG80" s="291"/>
      <c r="LH80" s="291"/>
      <c r="LI80" s="291"/>
      <c r="LJ80" s="291"/>
      <c r="LK80" s="291"/>
      <c r="LL80" s="291"/>
      <c r="LM80" s="291"/>
      <c r="LN80" s="291"/>
      <c r="LO80" s="291"/>
      <c r="LP80" s="291"/>
      <c r="LQ80" s="291"/>
      <c r="LR80" s="291"/>
      <c r="LS80" s="291"/>
      <c r="LT80" s="291"/>
      <c r="LU80" s="291"/>
      <c r="LV80" s="291"/>
      <c r="LW80" s="291"/>
      <c r="LX80" s="291"/>
      <c r="LY80" s="291"/>
      <c r="LZ80" s="291"/>
      <c r="MA80" s="291"/>
      <c r="MB80" s="291"/>
      <c r="MC80" s="291"/>
      <c r="MD80" s="291"/>
      <c r="ME80" s="291"/>
      <c r="MF80" s="291"/>
      <c r="MG80" s="291"/>
      <c r="MH80" s="291"/>
      <c r="MI80" s="291"/>
      <c r="MJ80" s="291"/>
      <c r="MK80" s="291"/>
      <c r="ML80" s="291"/>
      <c r="MM80" s="291"/>
      <c r="MN80" s="291"/>
      <c r="MO80" s="291"/>
      <c r="MP80" s="291"/>
      <c r="MQ80" s="291"/>
      <c r="MR80" s="291"/>
      <c r="MS80" s="291"/>
      <c r="MT80" s="291"/>
      <c r="MU80" s="291"/>
      <c r="MV80" s="291"/>
      <c r="MW80" s="291"/>
      <c r="MX80" s="291"/>
      <c r="MY80" s="291"/>
      <c r="MZ80" s="291"/>
      <c r="NA80" s="291"/>
      <c r="NB80" s="291"/>
      <c r="NC80" s="291"/>
      <c r="ND80" s="291"/>
      <c r="NE80" s="291"/>
      <c r="NF80" s="291"/>
      <c r="NG80" s="291"/>
      <c r="NH80" s="291"/>
      <c r="NI80" s="291"/>
      <c r="NJ80" s="291"/>
      <c r="NK80" s="291"/>
      <c r="NL80" s="291"/>
      <c r="NM80" s="291"/>
      <c r="NN80" s="291"/>
      <c r="NO80" s="291"/>
      <c r="NP80" s="291"/>
      <c r="NQ80" s="291"/>
      <c r="NR80" s="291"/>
      <c r="NS80" s="291"/>
      <c r="NT80" s="291"/>
      <c r="NU80" s="291"/>
      <c r="NV80" s="291"/>
      <c r="NW80" s="291"/>
      <c r="NX80" s="291"/>
      <c r="NY80" s="291"/>
      <c r="NZ80" s="291"/>
      <c r="OA80" s="291"/>
      <c r="OB80" s="291"/>
      <c r="OC80" s="291"/>
      <c r="OD80" s="291"/>
      <c r="OE80" s="291"/>
      <c r="OF80" s="291"/>
      <c r="OG80" s="291"/>
      <c r="OH80" s="291"/>
      <c r="OI80" s="291"/>
      <c r="OJ80" s="291"/>
      <c r="OK80" s="291"/>
      <c r="OL80" s="291"/>
      <c r="OM80" s="291"/>
      <c r="ON80" s="291"/>
      <c r="OO80" s="291"/>
      <c r="OP80" s="291"/>
      <c r="OQ80" s="291"/>
      <c r="OR80" s="291"/>
      <c r="OS80" s="291"/>
      <c r="OT80" s="291"/>
      <c r="OU80" s="291"/>
      <c r="OV80" s="291"/>
      <c r="OW80" s="291"/>
    </row>
    <row r="81" spans="1:413" s="257" customFormat="1" hidden="1" x14ac:dyDescent="0.2">
      <c r="A81" s="291"/>
      <c r="B81" s="524">
        <f t="shared" si="3"/>
        <v>65</v>
      </c>
      <c r="C81" s="510" t="s">
        <v>38</v>
      </c>
      <c r="D81" s="511">
        <v>30096781</v>
      </c>
      <c r="E81" s="511"/>
      <c r="F81" s="512" t="s">
        <v>1208</v>
      </c>
      <c r="G81" s="513" t="s">
        <v>46</v>
      </c>
      <c r="H81" s="514" t="s">
        <v>1094</v>
      </c>
      <c r="I81" s="515" t="s">
        <v>1209</v>
      </c>
      <c r="J81" s="346" t="s">
        <v>42</v>
      </c>
      <c r="K81" s="526">
        <v>50403</v>
      </c>
      <c r="L81" s="527">
        <v>23681</v>
      </c>
      <c r="M81" s="528">
        <v>0</v>
      </c>
      <c r="N81" s="520">
        <v>0</v>
      </c>
      <c r="O81" s="520">
        <v>0</v>
      </c>
      <c r="P81" s="520">
        <v>0</v>
      </c>
      <c r="Q81" s="520">
        <v>9475</v>
      </c>
      <c r="R81" s="520">
        <v>0</v>
      </c>
      <c r="S81" s="520">
        <v>0</v>
      </c>
      <c r="T81" s="18"/>
      <c r="U81" s="18"/>
      <c r="V81" s="18"/>
      <c r="W81" s="18"/>
      <c r="X81" s="18"/>
      <c r="Y81" s="18"/>
      <c r="Z81" s="18">
        <f t="shared" ref="Z81:Z144" si="4">SUM(N81:Y81)</f>
        <v>9475</v>
      </c>
      <c r="AA81" s="309">
        <v>18950</v>
      </c>
      <c r="AB81" s="19">
        <v>5</v>
      </c>
      <c r="AC81" s="521">
        <v>44224</v>
      </c>
      <c r="AD81" s="25">
        <v>44251</v>
      </c>
      <c r="AE81" s="309"/>
      <c r="AF81" s="20"/>
      <c r="AG81" s="23"/>
      <c r="AH81" s="25"/>
      <c r="AI81" s="309"/>
      <c r="AJ81" s="19"/>
      <c r="AK81" s="23"/>
      <c r="AL81" s="25"/>
      <c r="AM81" s="309"/>
      <c r="AN81" s="19"/>
      <c r="AO81" s="21"/>
      <c r="AP81" s="25"/>
      <c r="AQ81" s="309"/>
      <c r="AR81" s="19"/>
      <c r="AS81" s="21"/>
      <c r="AT81" s="25"/>
      <c r="AU81" s="522">
        <f t="shared" ref="AU81:AU144" si="5">(AA81+AE81+AI81+AM81+AQ81)</f>
        <v>18950</v>
      </c>
      <c r="AV81" s="311">
        <f t="shared" ref="AV81:AV144" si="6">AU81-Z81</f>
        <v>9475</v>
      </c>
      <c r="AW81" s="305"/>
      <c r="AX81" s="291"/>
      <c r="AY81" s="291"/>
      <c r="AZ81" s="291"/>
      <c r="BA81" s="291"/>
      <c r="BB81" s="291"/>
      <c r="BC81" s="291"/>
      <c r="BD81" s="291"/>
      <c r="BE81" s="291"/>
      <c r="BF81" s="291"/>
      <c r="BG81" s="291"/>
      <c r="BH81" s="291"/>
      <c r="BI81" s="291"/>
      <c r="BJ81" s="291"/>
      <c r="BK81" s="291"/>
      <c r="BL81" s="291"/>
      <c r="BM81" s="291"/>
      <c r="BN81" s="291"/>
      <c r="BO81" s="291"/>
      <c r="BP81" s="291"/>
      <c r="BQ81" s="291"/>
      <c r="BR81" s="291"/>
      <c r="BS81" s="291"/>
      <c r="BT81" s="291"/>
      <c r="BU81" s="291"/>
      <c r="BV81" s="291"/>
      <c r="BW81" s="291"/>
      <c r="BX81" s="291"/>
      <c r="BY81" s="291"/>
      <c r="BZ81" s="291"/>
      <c r="CA81" s="291"/>
      <c r="CB81" s="291"/>
      <c r="CC81" s="291"/>
      <c r="CD81" s="291"/>
      <c r="CE81" s="291"/>
      <c r="CF81" s="291"/>
      <c r="CG81" s="291"/>
      <c r="CH81" s="291"/>
      <c r="CI81" s="291"/>
      <c r="CJ81" s="291"/>
      <c r="CK81" s="291"/>
      <c r="CL81" s="291"/>
      <c r="CM81" s="291"/>
      <c r="CN81" s="291"/>
      <c r="CO81" s="291"/>
      <c r="CP81" s="291"/>
      <c r="CQ81" s="291"/>
      <c r="CR81" s="291"/>
      <c r="CS81" s="291"/>
      <c r="CT81" s="291"/>
      <c r="CU81" s="291"/>
      <c r="CV81" s="291"/>
      <c r="CW81" s="291"/>
      <c r="CX81" s="291"/>
      <c r="CY81" s="291"/>
      <c r="CZ81" s="291"/>
      <c r="DA81" s="291"/>
      <c r="DB81" s="291"/>
      <c r="DC81" s="291"/>
      <c r="DD81" s="291"/>
      <c r="DE81" s="291"/>
      <c r="DF81" s="291"/>
      <c r="DG81" s="291"/>
      <c r="DH81" s="291"/>
      <c r="DI81" s="291"/>
      <c r="DJ81" s="291"/>
      <c r="DK81" s="291"/>
      <c r="DL81" s="291"/>
      <c r="DM81" s="291"/>
      <c r="DN81" s="291"/>
      <c r="DO81" s="291"/>
      <c r="DP81" s="291"/>
      <c r="DQ81" s="291"/>
      <c r="DR81" s="291"/>
      <c r="DS81" s="291"/>
      <c r="DT81" s="291"/>
      <c r="DU81" s="291"/>
      <c r="DV81" s="291"/>
      <c r="DW81" s="291"/>
      <c r="DX81" s="291"/>
      <c r="DY81" s="291"/>
      <c r="DZ81" s="291"/>
      <c r="EA81" s="291"/>
      <c r="EB81" s="291"/>
      <c r="EC81" s="291"/>
      <c r="ED81" s="291"/>
      <c r="EE81" s="291"/>
      <c r="EF81" s="291"/>
      <c r="EG81" s="291"/>
      <c r="EH81" s="291"/>
      <c r="EI81" s="291"/>
      <c r="EJ81" s="291"/>
      <c r="EK81" s="291"/>
      <c r="EL81" s="291"/>
      <c r="EM81" s="291"/>
      <c r="EN81" s="291"/>
      <c r="EO81" s="291"/>
      <c r="EP81" s="291"/>
      <c r="EQ81" s="291"/>
      <c r="ER81" s="291"/>
      <c r="ES81" s="291"/>
      <c r="ET81" s="291"/>
      <c r="EU81" s="291"/>
      <c r="EV81" s="291"/>
      <c r="EW81" s="291"/>
      <c r="EX81" s="291"/>
      <c r="EY81" s="291"/>
      <c r="EZ81" s="291"/>
      <c r="FA81" s="291"/>
      <c r="FB81" s="291"/>
      <c r="FC81" s="291"/>
      <c r="FD81" s="291"/>
      <c r="FE81" s="291"/>
      <c r="FF81" s="291"/>
      <c r="FG81" s="291"/>
      <c r="FH81" s="291"/>
      <c r="FI81" s="291"/>
      <c r="FJ81" s="291"/>
      <c r="FK81" s="291"/>
      <c r="FL81" s="291"/>
      <c r="FM81" s="291"/>
      <c r="FN81" s="291"/>
      <c r="FO81" s="291"/>
      <c r="FP81" s="291"/>
      <c r="FQ81" s="291"/>
      <c r="FR81" s="291"/>
      <c r="FS81" s="291"/>
      <c r="FT81" s="291"/>
      <c r="FU81" s="291"/>
      <c r="FV81" s="291"/>
      <c r="FW81" s="291"/>
      <c r="FX81" s="291"/>
      <c r="FY81" s="291"/>
      <c r="FZ81" s="291"/>
      <c r="GA81" s="291"/>
      <c r="GB81" s="291"/>
      <c r="GC81" s="291"/>
      <c r="GD81" s="291"/>
      <c r="GE81" s="291"/>
      <c r="GF81" s="291"/>
      <c r="GG81" s="291"/>
      <c r="GH81" s="291"/>
      <c r="GI81" s="291"/>
      <c r="GJ81" s="291"/>
      <c r="GK81" s="291"/>
      <c r="GL81" s="291"/>
      <c r="GM81" s="291"/>
      <c r="GN81" s="291"/>
      <c r="GO81" s="291"/>
      <c r="GP81" s="291"/>
      <c r="GQ81" s="291"/>
      <c r="GR81" s="291"/>
      <c r="GS81" s="291"/>
      <c r="GT81" s="291"/>
      <c r="GU81" s="291"/>
      <c r="GV81" s="291"/>
      <c r="GW81" s="291"/>
      <c r="GX81" s="291"/>
      <c r="GY81" s="291"/>
      <c r="GZ81" s="291"/>
      <c r="HA81" s="291"/>
      <c r="HB81" s="291"/>
      <c r="HC81" s="291"/>
      <c r="HD81" s="291"/>
      <c r="HE81" s="291"/>
      <c r="HF81" s="291"/>
      <c r="HG81" s="291"/>
      <c r="HH81" s="291"/>
      <c r="HI81" s="291"/>
      <c r="HJ81" s="291"/>
      <c r="HK81" s="291"/>
      <c r="HL81" s="291"/>
      <c r="HM81" s="291"/>
      <c r="HN81" s="291"/>
      <c r="HO81" s="291"/>
      <c r="HP81" s="291"/>
      <c r="HQ81" s="291"/>
      <c r="HR81" s="291"/>
      <c r="HS81" s="291"/>
      <c r="HT81" s="291"/>
      <c r="HU81" s="291"/>
      <c r="HV81" s="291"/>
      <c r="HW81" s="291"/>
      <c r="HX81" s="291"/>
      <c r="HY81" s="291"/>
      <c r="HZ81" s="291"/>
      <c r="IA81" s="291"/>
      <c r="IB81" s="291"/>
      <c r="IC81" s="291"/>
      <c r="ID81" s="291"/>
      <c r="IE81" s="291"/>
      <c r="IF81" s="291"/>
      <c r="IG81" s="291"/>
      <c r="IH81" s="291"/>
      <c r="II81" s="291"/>
      <c r="IJ81" s="291"/>
      <c r="IK81" s="291"/>
      <c r="IL81" s="291"/>
      <c r="IM81" s="291"/>
      <c r="IN81" s="291"/>
      <c r="IO81" s="291"/>
      <c r="IP81" s="291"/>
      <c r="IQ81" s="291"/>
      <c r="IR81" s="291"/>
      <c r="IS81" s="291"/>
      <c r="IT81" s="291"/>
      <c r="IU81" s="291"/>
      <c r="IV81" s="291"/>
      <c r="IW81" s="291"/>
      <c r="IX81" s="291"/>
      <c r="IY81" s="291"/>
      <c r="IZ81" s="291"/>
      <c r="JA81" s="291"/>
      <c r="JB81" s="291"/>
      <c r="JC81" s="291"/>
      <c r="JD81" s="291"/>
      <c r="JE81" s="291"/>
      <c r="JF81" s="291"/>
      <c r="JG81" s="291"/>
      <c r="JH81" s="291"/>
      <c r="JI81" s="291"/>
      <c r="JJ81" s="291"/>
      <c r="JK81" s="291"/>
      <c r="JL81" s="291"/>
      <c r="JM81" s="291"/>
      <c r="JN81" s="291"/>
      <c r="JO81" s="291"/>
      <c r="JP81" s="291"/>
      <c r="JQ81" s="291"/>
      <c r="JR81" s="291"/>
      <c r="JS81" s="291"/>
      <c r="JT81" s="291"/>
      <c r="JU81" s="291"/>
      <c r="JV81" s="291"/>
      <c r="JW81" s="291"/>
      <c r="JX81" s="291"/>
      <c r="JY81" s="291"/>
      <c r="JZ81" s="291"/>
      <c r="KA81" s="291"/>
      <c r="KB81" s="291"/>
      <c r="KC81" s="291"/>
      <c r="KD81" s="291"/>
      <c r="KE81" s="291"/>
      <c r="KF81" s="291"/>
      <c r="KG81" s="291"/>
      <c r="KH81" s="291"/>
      <c r="KI81" s="291"/>
      <c r="KJ81" s="291"/>
      <c r="KK81" s="291"/>
      <c r="KL81" s="291"/>
      <c r="KM81" s="291"/>
      <c r="KN81" s="291"/>
      <c r="KO81" s="291"/>
      <c r="KP81" s="291"/>
      <c r="KQ81" s="291"/>
      <c r="KR81" s="291"/>
      <c r="KS81" s="291"/>
      <c r="KT81" s="291"/>
      <c r="KU81" s="291"/>
      <c r="KV81" s="291"/>
      <c r="KW81" s="291"/>
      <c r="KX81" s="291"/>
      <c r="KY81" s="291"/>
      <c r="KZ81" s="291"/>
      <c r="LA81" s="291"/>
      <c r="LB81" s="291"/>
      <c r="LC81" s="291"/>
      <c r="LD81" s="291"/>
      <c r="LE81" s="291"/>
      <c r="LF81" s="291"/>
      <c r="LG81" s="291"/>
      <c r="LH81" s="291"/>
      <c r="LI81" s="291"/>
      <c r="LJ81" s="291"/>
      <c r="LK81" s="291"/>
      <c r="LL81" s="291"/>
      <c r="LM81" s="291"/>
      <c r="LN81" s="291"/>
      <c r="LO81" s="291"/>
      <c r="LP81" s="291"/>
      <c r="LQ81" s="291"/>
      <c r="LR81" s="291"/>
      <c r="LS81" s="291"/>
      <c r="LT81" s="291"/>
      <c r="LU81" s="291"/>
      <c r="LV81" s="291"/>
      <c r="LW81" s="291"/>
      <c r="LX81" s="291"/>
      <c r="LY81" s="291"/>
      <c r="LZ81" s="291"/>
      <c r="MA81" s="291"/>
      <c r="MB81" s="291"/>
      <c r="MC81" s="291"/>
      <c r="MD81" s="291"/>
      <c r="ME81" s="291"/>
      <c r="MF81" s="291"/>
      <c r="MG81" s="291"/>
      <c r="MH81" s="291"/>
      <c r="MI81" s="291"/>
      <c r="MJ81" s="291"/>
      <c r="MK81" s="291"/>
      <c r="ML81" s="291"/>
      <c r="MM81" s="291"/>
      <c r="MN81" s="291"/>
      <c r="MO81" s="291"/>
      <c r="MP81" s="291"/>
      <c r="MQ81" s="291"/>
      <c r="MR81" s="291"/>
      <c r="MS81" s="291"/>
      <c r="MT81" s="291"/>
      <c r="MU81" s="291"/>
      <c r="MV81" s="291"/>
      <c r="MW81" s="291"/>
      <c r="MX81" s="291"/>
      <c r="MY81" s="291"/>
      <c r="MZ81" s="291"/>
      <c r="NA81" s="291"/>
      <c r="NB81" s="291"/>
      <c r="NC81" s="291"/>
      <c r="ND81" s="291"/>
      <c r="NE81" s="291"/>
      <c r="NF81" s="291"/>
      <c r="NG81" s="291"/>
      <c r="NH81" s="291"/>
      <c r="NI81" s="291"/>
      <c r="NJ81" s="291"/>
      <c r="NK81" s="291"/>
      <c r="NL81" s="291"/>
      <c r="NM81" s="291"/>
      <c r="NN81" s="291"/>
      <c r="NO81" s="291"/>
      <c r="NP81" s="291"/>
      <c r="NQ81" s="291"/>
      <c r="NR81" s="291"/>
      <c r="NS81" s="291"/>
      <c r="NT81" s="291"/>
      <c r="NU81" s="291"/>
      <c r="NV81" s="291"/>
      <c r="NW81" s="291"/>
      <c r="NX81" s="291"/>
      <c r="NY81" s="291"/>
      <c r="NZ81" s="291"/>
      <c r="OA81" s="291"/>
      <c r="OB81" s="291"/>
      <c r="OC81" s="291"/>
      <c r="OD81" s="291"/>
      <c r="OE81" s="291"/>
      <c r="OF81" s="291"/>
      <c r="OG81" s="291"/>
      <c r="OH81" s="291"/>
      <c r="OI81" s="291"/>
      <c r="OJ81" s="291"/>
      <c r="OK81" s="291"/>
      <c r="OL81" s="291"/>
      <c r="OM81" s="291"/>
      <c r="ON81" s="291"/>
      <c r="OO81" s="291"/>
      <c r="OP81" s="291"/>
      <c r="OQ81" s="291"/>
      <c r="OR81" s="291"/>
      <c r="OS81" s="291"/>
      <c r="OT81" s="291"/>
      <c r="OU81" s="291"/>
      <c r="OV81" s="291"/>
      <c r="OW81" s="291"/>
    </row>
    <row r="82" spans="1:413" s="257" customFormat="1" hidden="1" x14ac:dyDescent="0.2">
      <c r="A82" s="291"/>
      <c r="B82" s="524">
        <f t="shared" ref="B82:B145" si="7">+B81+1</f>
        <v>66</v>
      </c>
      <c r="C82" s="510" t="s">
        <v>38</v>
      </c>
      <c r="D82" s="511" t="s">
        <v>1210</v>
      </c>
      <c r="E82" s="511"/>
      <c r="F82" s="512" t="s">
        <v>1211</v>
      </c>
      <c r="G82" s="513" t="s">
        <v>45</v>
      </c>
      <c r="H82" s="514" t="s">
        <v>1098</v>
      </c>
      <c r="I82" s="515" t="s">
        <v>1127</v>
      </c>
      <c r="J82" s="346"/>
      <c r="K82" s="526">
        <v>6022451</v>
      </c>
      <c r="L82" s="527">
        <v>6009332</v>
      </c>
      <c r="M82" s="528">
        <v>0</v>
      </c>
      <c r="N82" s="520">
        <v>0</v>
      </c>
      <c r="O82" s="520">
        <v>0</v>
      </c>
      <c r="P82" s="520">
        <v>0</v>
      </c>
      <c r="Q82" s="520">
        <v>0</v>
      </c>
      <c r="R82" s="520">
        <v>0</v>
      </c>
      <c r="S82" s="520">
        <v>0</v>
      </c>
      <c r="T82" s="18"/>
      <c r="U82" s="18"/>
      <c r="V82" s="18"/>
      <c r="W82" s="18"/>
      <c r="X82" s="18"/>
      <c r="Y82" s="18"/>
      <c r="Z82" s="18">
        <f t="shared" si="4"/>
        <v>0</v>
      </c>
      <c r="AA82" s="309">
        <v>13119</v>
      </c>
      <c r="AB82" s="19">
        <v>25</v>
      </c>
      <c r="AC82" s="521">
        <v>44314</v>
      </c>
      <c r="AD82" s="25">
        <v>44326</v>
      </c>
      <c r="AE82" s="309"/>
      <c r="AF82" s="20"/>
      <c r="AG82" s="23"/>
      <c r="AH82" s="25"/>
      <c r="AI82" s="309"/>
      <c r="AJ82" s="19"/>
      <c r="AK82" s="23"/>
      <c r="AL82" s="25"/>
      <c r="AM82" s="309"/>
      <c r="AN82" s="19"/>
      <c r="AO82" s="21"/>
      <c r="AP82" s="25"/>
      <c r="AQ82" s="309"/>
      <c r="AR82" s="19"/>
      <c r="AS82" s="21"/>
      <c r="AT82" s="25"/>
      <c r="AU82" s="522">
        <f t="shared" si="5"/>
        <v>13119</v>
      </c>
      <c r="AV82" s="311">
        <f t="shared" si="6"/>
        <v>13119</v>
      </c>
      <c r="AW82" s="305"/>
      <c r="AX82" s="291"/>
      <c r="AY82" s="291"/>
      <c r="AZ82" s="291"/>
      <c r="BA82" s="291"/>
      <c r="BB82" s="291"/>
      <c r="BC82" s="291"/>
      <c r="BD82" s="291"/>
      <c r="BE82" s="291"/>
      <c r="BF82" s="291"/>
      <c r="BG82" s="291"/>
      <c r="BH82" s="291"/>
      <c r="BI82" s="291"/>
      <c r="BJ82" s="291"/>
      <c r="BK82" s="291"/>
      <c r="BL82" s="291"/>
      <c r="BM82" s="291"/>
      <c r="BN82" s="291"/>
      <c r="BO82" s="291"/>
      <c r="BP82" s="291"/>
      <c r="BQ82" s="291"/>
      <c r="BR82" s="291"/>
      <c r="BS82" s="291"/>
      <c r="BT82" s="291"/>
      <c r="BU82" s="291"/>
      <c r="BV82" s="291"/>
      <c r="BW82" s="291"/>
      <c r="BX82" s="291"/>
      <c r="BY82" s="291"/>
      <c r="BZ82" s="291"/>
      <c r="CA82" s="291"/>
      <c r="CB82" s="291"/>
      <c r="CC82" s="291"/>
      <c r="CD82" s="291"/>
      <c r="CE82" s="291"/>
      <c r="CF82" s="291"/>
      <c r="CG82" s="291"/>
      <c r="CH82" s="291"/>
      <c r="CI82" s="291"/>
      <c r="CJ82" s="291"/>
      <c r="CK82" s="291"/>
      <c r="CL82" s="291"/>
      <c r="CM82" s="291"/>
      <c r="CN82" s="291"/>
      <c r="CO82" s="291"/>
      <c r="CP82" s="291"/>
      <c r="CQ82" s="291"/>
      <c r="CR82" s="291"/>
      <c r="CS82" s="291"/>
      <c r="CT82" s="291"/>
      <c r="CU82" s="291"/>
      <c r="CV82" s="291"/>
      <c r="CW82" s="291"/>
      <c r="CX82" s="291"/>
      <c r="CY82" s="291"/>
      <c r="CZ82" s="291"/>
      <c r="DA82" s="291"/>
      <c r="DB82" s="291"/>
      <c r="DC82" s="291"/>
      <c r="DD82" s="291"/>
      <c r="DE82" s="291"/>
      <c r="DF82" s="291"/>
      <c r="DG82" s="291"/>
      <c r="DH82" s="291"/>
      <c r="DI82" s="291"/>
      <c r="DJ82" s="291"/>
      <c r="DK82" s="291"/>
      <c r="DL82" s="291"/>
      <c r="DM82" s="291"/>
      <c r="DN82" s="291"/>
      <c r="DO82" s="291"/>
      <c r="DP82" s="291"/>
      <c r="DQ82" s="291"/>
      <c r="DR82" s="291"/>
      <c r="DS82" s="291"/>
      <c r="DT82" s="291"/>
      <c r="DU82" s="291"/>
      <c r="DV82" s="291"/>
      <c r="DW82" s="291"/>
      <c r="DX82" s="291"/>
      <c r="DY82" s="291"/>
      <c r="DZ82" s="291"/>
      <c r="EA82" s="291"/>
      <c r="EB82" s="291"/>
      <c r="EC82" s="291"/>
      <c r="ED82" s="291"/>
      <c r="EE82" s="291"/>
      <c r="EF82" s="291"/>
      <c r="EG82" s="291"/>
      <c r="EH82" s="291"/>
      <c r="EI82" s="291"/>
      <c r="EJ82" s="291"/>
      <c r="EK82" s="291"/>
      <c r="EL82" s="291"/>
      <c r="EM82" s="291"/>
      <c r="EN82" s="291"/>
      <c r="EO82" s="291"/>
      <c r="EP82" s="291"/>
      <c r="EQ82" s="291"/>
      <c r="ER82" s="291"/>
      <c r="ES82" s="291"/>
      <c r="ET82" s="291"/>
      <c r="EU82" s="291"/>
      <c r="EV82" s="291"/>
      <c r="EW82" s="291"/>
      <c r="EX82" s="291"/>
      <c r="EY82" s="291"/>
      <c r="EZ82" s="291"/>
      <c r="FA82" s="291"/>
      <c r="FB82" s="291"/>
      <c r="FC82" s="291"/>
      <c r="FD82" s="291"/>
      <c r="FE82" s="291"/>
      <c r="FF82" s="291"/>
      <c r="FG82" s="291"/>
      <c r="FH82" s="291"/>
      <c r="FI82" s="291"/>
      <c r="FJ82" s="291"/>
      <c r="FK82" s="291"/>
      <c r="FL82" s="291"/>
      <c r="FM82" s="291"/>
      <c r="FN82" s="291"/>
      <c r="FO82" s="291"/>
      <c r="FP82" s="291"/>
      <c r="FQ82" s="291"/>
      <c r="FR82" s="291"/>
      <c r="FS82" s="291"/>
      <c r="FT82" s="291"/>
      <c r="FU82" s="291"/>
      <c r="FV82" s="291"/>
      <c r="FW82" s="291"/>
      <c r="FX82" s="291"/>
      <c r="FY82" s="291"/>
      <c r="FZ82" s="291"/>
      <c r="GA82" s="291"/>
      <c r="GB82" s="291"/>
      <c r="GC82" s="291"/>
      <c r="GD82" s="291"/>
      <c r="GE82" s="291"/>
      <c r="GF82" s="291"/>
      <c r="GG82" s="291"/>
      <c r="GH82" s="291"/>
      <c r="GI82" s="291"/>
      <c r="GJ82" s="291"/>
      <c r="GK82" s="291"/>
      <c r="GL82" s="291"/>
      <c r="GM82" s="291"/>
      <c r="GN82" s="291"/>
      <c r="GO82" s="291"/>
      <c r="GP82" s="291"/>
      <c r="GQ82" s="291"/>
      <c r="GR82" s="291"/>
      <c r="GS82" s="291"/>
      <c r="GT82" s="291"/>
      <c r="GU82" s="291"/>
      <c r="GV82" s="291"/>
      <c r="GW82" s="291"/>
      <c r="GX82" s="291"/>
      <c r="GY82" s="291"/>
      <c r="GZ82" s="291"/>
      <c r="HA82" s="291"/>
      <c r="HB82" s="291"/>
      <c r="HC82" s="291"/>
      <c r="HD82" s="291"/>
      <c r="HE82" s="291"/>
      <c r="HF82" s="291"/>
      <c r="HG82" s="291"/>
      <c r="HH82" s="291"/>
      <c r="HI82" s="291"/>
      <c r="HJ82" s="291"/>
      <c r="HK82" s="291"/>
      <c r="HL82" s="291"/>
      <c r="HM82" s="291"/>
      <c r="HN82" s="291"/>
      <c r="HO82" s="291"/>
      <c r="HP82" s="291"/>
      <c r="HQ82" s="291"/>
      <c r="HR82" s="291"/>
      <c r="HS82" s="291"/>
      <c r="HT82" s="291"/>
      <c r="HU82" s="291"/>
      <c r="HV82" s="291"/>
      <c r="HW82" s="291"/>
      <c r="HX82" s="291"/>
      <c r="HY82" s="291"/>
      <c r="HZ82" s="291"/>
      <c r="IA82" s="291"/>
      <c r="IB82" s="291"/>
      <c r="IC82" s="291"/>
      <c r="ID82" s="291"/>
      <c r="IE82" s="291"/>
      <c r="IF82" s="291"/>
      <c r="IG82" s="291"/>
      <c r="IH82" s="291"/>
      <c r="II82" s="291"/>
      <c r="IJ82" s="291"/>
      <c r="IK82" s="291"/>
      <c r="IL82" s="291"/>
      <c r="IM82" s="291"/>
      <c r="IN82" s="291"/>
      <c r="IO82" s="291"/>
      <c r="IP82" s="291"/>
      <c r="IQ82" s="291"/>
      <c r="IR82" s="291"/>
      <c r="IS82" s="291"/>
      <c r="IT82" s="291"/>
      <c r="IU82" s="291"/>
      <c r="IV82" s="291"/>
      <c r="IW82" s="291"/>
      <c r="IX82" s="291"/>
      <c r="IY82" s="291"/>
      <c r="IZ82" s="291"/>
      <c r="JA82" s="291"/>
      <c r="JB82" s="291"/>
      <c r="JC82" s="291"/>
      <c r="JD82" s="291"/>
      <c r="JE82" s="291"/>
      <c r="JF82" s="291"/>
      <c r="JG82" s="291"/>
      <c r="JH82" s="291"/>
      <c r="JI82" s="291"/>
      <c r="JJ82" s="291"/>
      <c r="JK82" s="291"/>
      <c r="JL82" s="291"/>
      <c r="JM82" s="291"/>
      <c r="JN82" s="291"/>
      <c r="JO82" s="291"/>
      <c r="JP82" s="291"/>
      <c r="JQ82" s="291"/>
      <c r="JR82" s="291"/>
      <c r="JS82" s="291"/>
      <c r="JT82" s="291"/>
      <c r="JU82" s="291"/>
      <c r="JV82" s="291"/>
      <c r="JW82" s="291"/>
      <c r="JX82" s="291"/>
      <c r="JY82" s="291"/>
      <c r="JZ82" s="291"/>
      <c r="KA82" s="291"/>
      <c r="KB82" s="291"/>
      <c r="KC82" s="291"/>
      <c r="KD82" s="291"/>
      <c r="KE82" s="291"/>
      <c r="KF82" s="291"/>
      <c r="KG82" s="291"/>
      <c r="KH82" s="291"/>
      <c r="KI82" s="291"/>
      <c r="KJ82" s="291"/>
      <c r="KK82" s="291"/>
      <c r="KL82" s="291"/>
      <c r="KM82" s="291"/>
      <c r="KN82" s="291"/>
      <c r="KO82" s="291"/>
      <c r="KP82" s="291"/>
      <c r="KQ82" s="291"/>
      <c r="KR82" s="291"/>
      <c r="KS82" s="291"/>
      <c r="KT82" s="291"/>
      <c r="KU82" s="291"/>
      <c r="KV82" s="291"/>
      <c r="KW82" s="291"/>
      <c r="KX82" s="291"/>
      <c r="KY82" s="291"/>
      <c r="KZ82" s="291"/>
      <c r="LA82" s="291"/>
      <c r="LB82" s="291"/>
      <c r="LC82" s="291"/>
      <c r="LD82" s="291"/>
      <c r="LE82" s="291"/>
      <c r="LF82" s="291"/>
      <c r="LG82" s="291"/>
      <c r="LH82" s="291"/>
      <c r="LI82" s="291"/>
      <c r="LJ82" s="291"/>
      <c r="LK82" s="291"/>
      <c r="LL82" s="291"/>
      <c r="LM82" s="291"/>
      <c r="LN82" s="291"/>
      <c r="LO82" s="291"/>
      <c r="LP82" s="291"/>
      <c r="LQ82" s="291"/>
      <c r="LR82" s="291"/>
      <c r="LS82" s="291"/>
      <c r="LT82" s="291"/>
      <c r="LU82" s="291"/>
      <c r="LV82" s="291"/>
      <c r="LW82" s="291"/>
      <c r="LX82" s="291"/>
      <c r="LY82" s="291"/>
      <c r="LZ82" s="291"/>
      <c r="MA82" s="291"/>
      <c r="MB82" s="291"/>
      <c r="MC82" s="291"/>
      <c r="MD82" s="291"/>
      <c r="ME82" s="291"/>
      <c r="MF82" s="291"/>
      <c r="MG82" s="291"/>
      <c r="MH82" s="291"/>
      <c r="MI82" s="291"/>
      <c r="MJ82" s="291"/>
      <c r="MK82" s="291"/>
      <c r="ML82" s="291"/>
      <c r="MM82" s="291"/>
      <c r="MN82" s="291"/>
      <c r="MO82" s="291"/>
      <c r="MP82" s="291"/>
      <c r="MQ82" s="291"/>
      <c r="MR82" s="291"/>
      <c r="MS82" s="291"/>
      <c r="MT82" s="291"/>
      <c r="MU82" s="291"/>
      <c r="MV82" s="291"/>
      <c r="MW82" s="291"/>
      <c r="MX82" s="291"/>
      <c r="MY82" s="291"/>
      <c r="MZ82" s="291"/>
      <c r="NA82" s="291"/>
      <c r="NB82" s="291"/>
      <c r="NC82" s="291"/>
      <c r="ND82" s="291"/>
      <c r="NE82" s="291"/>
      <c r="NF82" s="291"/>
      <c r="NG82" s="291"/>
      <c r="NH82" s="291"/>
      <c r="NI82" s="291"/>
      <c r="NJ82" s="291"/>
      <c r="NK82" s="291"/>
      <c r="NL82" s="291"/>
      <c r="NM82" s="291"/>
      <c r="NN82" s="291"/>
      <c r="NO82" s="291"/>
      <c r="NP82" s="291"/>
      <c r="NQ82" s="291"/>
      <c r="NR82" s="291"/>
      <c r="NS82" s="291"/>
      <c r="NT82" s="291"/>
      <c r="NU82" s="291"/>
      <c r="NV82" s="291"/>
      <c r="NW82" s="291"/>
      <c r="NX82" s="291"/>
      <c r="NY82" s="291"/>
      <c r="NZ82" s="291"/>
      <c r="OA82" s="291"/>
      <c r="OB82" s="291"/>
      <c r="OC82" s="291"/>
      <c r="OD82" s="291"/>
      <c r="OE82" s="291"/>
      <c r="OF82" s="291"/>
      <c r="OG82" s="291"/>
      <c r="OH82" s="291"/>
      <c r="OI82" s="291"/>
      <c r="OJ82" s="291"/>
      <c r="OK82" s="291"/>
      <c r="OL82" s="291"/>
      <c r="OM82" s="291"/>
      <c r="ON82" s="291"/>
      <c r="OO82" s="291"/>
      <c r="OP82" s="291"/>
      <c r="OQ82" s="291"/>
      <c r="OR82" s="291"/>
      <c r="OS82" s="291"/>
      <c r="OT82" s="291"/>
      <c r="OU82" s="291"/>
      <c r="OV82" s="291"/>
      <c r="OW82" s="291"/>
    </row>
    <row r="83" spans="1:413" s="257" customFormat="1" hidden="1" x14ac:dyDescent="0.2">
      <c r="A83" s="291"/>
      <c r="B83" s="524">
        <f t="shared" si="7"/>
        <v>67</v>
      </c>
      <c r="C83" s="510" t="s">
        <v>38</v>
      </c>
      <c r="D83" s="511">
        <v>30100340</v>
      </c>
      <c r="E83" s="511"/>
      <c r="F83" s="512" t="s">
        <v>1212</v>
      </c>
      <c r="G83" s="513" t="s">
        <v>46</v>
      </c>
      <c r="H83" s="514" t="s">
        <v>1094</v>
      </c>
      <c r="I83" s="515" t="s">
        <v>1095</v>
      </c>
      <c r="J83" s="346" t="s">
        <v>42</v>
      </c>
      <c r="K83" s="526">
        <v>37675</v>
      </c>
      <c r="L83" s="527">
        <v>13377</v>
      </c>
      <c r="M83" s="528">
        <v>1</v>
      </c>
      <c r="N83" s="520">
        <v>0</v>
      </c>
      <c r="O83" s="520">
        <v>0</v>
      </c>
      <c r="P83" s="520">
        <v>0</v>
      </c>
      <c r="Q83" s="520">
        <v>0</v>
      </c>
      <c r="R83" s="520">
        <v>7476</v>
      </c>
      <c r="S83" s="520">
        <v>0</v>
      </c>
      <c r="T83" s="18"/>
      <c r="U83" s="18"/>
      <c r="V83" s="18"/>
      <c r="W83" s="18"/>
      <c r="X83" s="18"/>
      <c r="Y83" s="18"/>
      <c r="Z83" s="18">
        <f t="shared" si="4"/>
        <v>7476</v>
      </c>
      <c r="AA83" s="309">
        <v>24297</v>
      </c>
      <c r="AB83" s="19">
        <v>5</v>
      </c>
      <c r="AC83" s="521">
        <v>44224</v>
      </c>
      <c r="AD83" s="25">
        <v>44251</v>
      </c>
      <c r="AE83" s="309">
        <v>-8409</v>
      </c>
      <c r="AF83" s="20">
        <v>50</v>
      </c>
      <c r="AG83" s="23">
        <v>44356</v>
      </c>
      <c r="AH83" s="25">
        <v>44377</v>
      </c>
      <c r="AI83" s="309"/>
      <c r="AJ83" s="19"/>
      <c r="AK83" s="23"/>
      <c r="AL83" s="25"/>
      <c r="AM83" s="309"/>
      <c r="AN83" s="19"/>
      <c r="AO83" s="21"/>
      <c r="AP83" s="25"/>
      <c r="AQ83" s="309"/>
      <c r="AR83" s="19"/>
      <c r="AS83" s="21"/>
      <c r="AT83" s="25"/>
      <c r="AU83" s="522">
        <f t="shared" si="5"/>
        <v>15888</v>
      </c>
      <c r="AV83" s="311">
        <f t="shared" si="6"/>
        <v>8412</v>
      </c>
      <c r="AW83" s="305"/>
      <c r="AX83" s="291"/>
      <c r="AY83" s="291"/>
      <c r="AZ83" s="291"/>
      <c r="BA83" s="291"/>
      <c r="BB83" s="291"/>
      <c r="BC83" s="291"/>
      <c r="BD83" s="291"/>
      <c r="BE83" s="291"/>
      <c r="BF83" s="291"/>
      <c r="BG83" s="291"/>
      <c r="BH83" s="291"/>
      <c r="BI83" s="291"/>
      <c r="BJ83" s="291"/>
      <c r="BK83" s="291"/>
      <c r="BL83" s="291"/>
      <c r="BM83" s="291"/>
      <c r="BN83" s="291"/>
      <c r="BO83" s="291"/>
      <c r="BP83" s="291"/>
      <c r="BQ83" s="291"/>
      <c r="BR83" s="291"/>
      <c r="BS83" s="291"/>
      <c r="BT83" s="291"/>
      <c r="BU83" s="291"/>
      <c r="BV83" s="291"/>
      <c r="BW83" s="291"/>
      <c r="BX83" s="291"/>
      <c r="BY83" s="291"/>
      <c r="BZ83" s="291"/>
      <c r="CA83" s="291"/>
      <c r="CB83" s="291"/>
      <c r="CC83" s="291"/>
      <c r="CD83" s="291"/>
      <c r="CE83" s="291"/>
      <c r="CF83" s="291"/>
      <c r="CG83" s="291"/>
      <c r="CH83" s="291"/>
      <c r="CI83" s="291"/>
      <c r="CJ83" s="291"/>
      <c r="CK83" s="291"/>
      <c r="CL83" s="291"/>
      <c r="CM83" s="291"/>
      <c r="CN83" s="291"/>
      <c r="CO83" s="291"/>
      <c r="CP83" s="291"/>
      <c r="CQ83" s="291"/>
      <c r="CR83" s="291"/>
      <c r="CS83" s="291"/>
      <c r="CT83" s="291"/>
      <c r="CU83" s="291"/>
      <c r="CV83" s="291"/>
      <c r="CW83" s="291"/>
      <c r="CX83" s="291"/>
      <c r="CY83" s="291"/>
      <c r="CZ83" s="291"/>
      <c r="DA83" s="291"/>
      <c r="DB83" s="291"/>
      <c r="DC83" s="291"/>
      <c r="DD83" s="291"/>
      <c r="DE83" s="291"/>
      <c r="DF83" s="291"/>
      <c r="DG83" s="291"/>
      <c r="DH83" s="291"/>
      <c r="DI83" s="291"/>
      <c r="DJ83" s="291"/>
      <c r="DK83" s="291"/>
      <c r="DL83" s="291"/>
      <c r="DM83" s="291"/>
      <c r="DN83" s="291"/>
      <c r="DO83" s="291"/>
      <c r="DP83" s="291"/>
      <c r="DQ83" s="291"/>
      <c r="DR83" s="291"/>
      <c r="DS83" s="291"/>
      <c r="DT83" s="291"/>
      <c r="DU83" s="291"/>
      <c r="DV83" s="291"/>
      <c r="DW83" s="291"/>
      <c r="DX83" s="291"/>
      <c r="DY83" s="291"/>
      <c r="DZ83" s="291"/>
      <c r="EA83" s="291"/>
      <c r="EB83" s="291"/>
      <c r="EC83" s="291"/>
      <c r="ED83" s="291"/>
      <c r="EE83" s="291"/>
      <c r="EF83" s="291"/>
      <c r="EG83" s="291"/>
      <c r="EH83" s="291"/>
      <c r="EI83" s="291"/>
      <c r="EJ83" s="291"/>
      <c r="EK83" s="291"/>
      <c r="EL83" s="291"/>
      <c r="EM83" s="291"/>
      <c r="EN83" s="291"/>
      <c r="EO83" s="291"/>
      <c r="EP83" s="291"/>
      <c r="EQ83" s="291"/>
      <c r="ER83" s="291"/>
      <c r="ES83" s="291"/>
      <c r="ET83" s="291"/>
      <c r="EU83" s="291"/>
      <c r="EV83" s="291"/>
      <c r="EW83" s="291"/>
      <c r="EX83" s="291"/>
      <c r="EY83" s="291"/>
      <c r="EZ83" s="291"/>
      <c r="FA83" s="291"/>
      <c r="FB83" s="291"/>
      <c r="FC83" s="291"/>
      <c r="FD83" s="291"/>
      <c r="FE83" s="291"/>
      <c r="FF83" s="291"/>
      <c r="FG83" s="291"/>
      <c r="FH83" s="291"/>
      <c r="FI83" s="291"/>
      <c r="FJ83" s="291"/>
      <c r="FK83" s="291"/>
      <c r="FL83" s="291"/>
      <c r="FM83" s="291"/>
      <c r="FN83" s="291"/>
      <c r="FO83" s="291"/>
      <c r="FP83" s="291"/>
      <c r="FQ83" s="291"/>
      <c r="FR83" s="291"/>
      <c r="FS83" s="291"/>
      <c r="FT83" s="291"/>
      <c r="FU83" s="291"/>
      <c r="FV83" s="291"/>
      <c r="FW83" s="291"/>
      <c r="FX83" s="291"/>
      <c r="FY83" s="291"/>
      <c r="FZ83" s="291"/>
      <c r="GA83" s="291"/>
      <c r="GB83" s="291"/>
      <c r="GC83" s="291"/>
      <c r="GD83" s="291"/>
      <c r="GE83" s="291"/>
      <c r="GF83" s="291"/>
      <c r="GG83" s="291"/>
      <c r="GH83" s="291"/>
      <c r="GI83" s="291"/>
      <c r="GJ83" s="291"/>
      <c r="GK83" s="291"/>
      <c r="GL83" s="291"/>
      <c r="GM83" s="291"/>
      <c r="GN83" s="291"/>
      <c r="GO83" s="291"/>
      <c r="GP83" s="291"/>
      <c r="GQ83" s="291"/>
      <c r="GR83" s="291"/>
      <c r="GS83" s="291"/>
      <c r="GT83" s="291"/>
      <c r="GU83" s="291"/>
      <c r="GV83" s="291"/>
      <c r="GW83" s="291"/>
      <c r="GX83" s="291"/>
      <c r="GY83" s="291"/>
      <c r="GZ83" s="291"/>
      <c r="HA83" s="291"/>
      <c r="HB83" s="291"/>
      <c r="HC83" s="291"/>
      <c r="HD83" s="291"/>
      <c r="HE83" s="291"/>
      <c r="HF83" s="291"/>
      <c r="HG83" s="291"/>
      <c r="HH83" s="291"/>
      <c r="HI83" s="291"/>
      <c r="HJ83" s="291"/>
      <c r="HK83" s="291"/>
      <c r="HL83" s="291"/>
      <c r="HM83" s="291"/>
      <c r="HN83" s="291"/>
      <c r="HO83" s="291"/>
      <c r="HP83" s="291"/>
      <c r="HQ83" s="291"/>
      <c r="HR83" s="291"/>
      <c r="HS83" s="291"/>
      <c r="HT83" s="291"/>
      <c r="HU83" s="291"/>
      <c r="HV83" s="291"/>
      <c r="HW83" s="291"/>
      <c r="HX83" s="291"/>
      <c r="HY83" s="291"/>
      <c r="HZ83" s="291"/>
      <c r="IA83" s="291"/>
      <c r="IB83" s="291"/>
      <c r="IC83" s="291"/>
      <c r="ID83" s="291"/>
      <c r="IE83" s="291"/>
      <c r="IF83" s="291"/>
      <c r="IG83" s="291"/>
      <c r="IH83" s="291"/>
      <c r="II83" s="291"/>
      <c r="IJ83" s="291"/>
      <c r="IK83" s="291"/>
      <c r="IL83" s="291"/>
      <c r="IM83" s="291"/>
      <c r="IN83" s="291"/>
      <c r="IO83" s="291"/>
      <c r="IP83" s="291"/>
      <c r="IQ83" s="291"/>
      <c r="IR83" s="291"/>
      <c r="IS83" s="291"/>
      <c r="IT83" s="291"/>
      <c r="IU83" s="291"/>
      <c r="IV83" s="291"/>
      <c r="IW83" s="291"/>
      <c r="IX83" s="291"/>
      <c r="IY83" s="291"/>
      <c r="IZ83" s="291"/>
      <c r="JA83" s="291"/>
      <c r="JB83" s="291"/>
      <c r="JC83" s="291"/>
      <c r="JD83" s="291"/>
      <c r="JE83" s="291"/>
      <c r="JF83" s="291"/>
      <c r="JG83" s="291"/>
      <c r="JH83" s="291"/>
      <c r="JI83" s="291"/>
      <c r="JJ83" s="291"/>
      <c r="JK83" s="291"/>
      <c r="JL83" s="291"/>
      <c r="JM83" s="291"/>
      <c r="JN83" s="291"/>
      <c r="JO83" s="291"/>
      <c r="JP83" s="291"/>
      <c r="JQ83" s="291"/>
      <c r="JR83" s="291"/>
      <c r="JS83" s="291"/>
      <c r="JT83" s="291"/>
      <c r="JU83" s="291"/>
      <c r="JV83" s="291"/>
      <c r="JW83" s="291"/>
      <c r="JX83" s="291"/>
      <c r="JY83" s="291"/>
      <c r="JZ83" s="291"/>
      <c r="KA83" s="291"/>
      <c r="KB83" s="291"/>
      <c r="KC83" s="291"/>
      <c r="KD83" s="291"/>
      <c r="KE83" s="291"/>
      <c r="KF83" s="291"/>
      <c r="KG83" s="291"/>
      <c r="KH83" s="291"/>
      <c r="KI83" s="291"/>
      <c r="KJ83" s="291"/>
      <c r="KK83" s="291"/>
      <c r="KL83" s="291"/>
      <c r="KM83" s="291"/>
      <c r="KN83" s="291"/>
      <c r="KO83" s="291"/>
      <c r="KP83" s="291"/>
      <c r="KQ83" s="291"/>
      <c r="KR83" s="291"/>
      <c r="KS83" s="291"/>
      <c r="KT83" s="291"/>
      <c r="KU83" s="291"/>
      <c r="KV83" s="291"/>
      <c r="KW83" s="291"/>
      <c r="KX83" s="291"/>
      <c r="KY83" s="291"/>
      <c r="KZ83" s="291"/>
      <c r="LA83" s="291"/>
      <c r="LB83" s="291"/>
      <c r="LC83" s="291"/>
      <c r="LD83" s="291"/>
      <c r="LE83" s="291"/>
      <c r="LF83" s="291"/>
      <c r="LG83" s="291"/>
      <c r="LH83" s="291"/>
      <c r="LI83" s="291"/>
      <c r="LJ83" s="291"/>
      <c r="LK83" s="291"/>
      <c r="LL83" s="291"/>
      <c r="LM83" s="291"/>
      <c r="LN83" s="291"/>
      <c r="LO83" s="291"/>
      <c r="LP83" s="291"/>
      <c r="LQ83" s="291"/>
      <c r="LR83" s="291"/>
      <c r="LS83" s="291"/>
      <c r="LT83" s="291"/>
      <c r="LU83" s="291"/>
      <c r="LV83" s="291"/>
      <c r="LW83" s="291"/>
      <c r="LX83" s="291"/>
      <c r="LY83" s="291"/>
      <c r="LZ83" s="291"/>
      <c r="MA83" s="291"/>
      <c r="MB83" s="291"/>
      <c r="MC83" s="291"/>
      <c r="MD83" s="291"/>
      <c r="ME83" s="291"/>
      <c r="MF83" s="291"/>
      <c r="MG83" s="291"/>
      <c r="MH83" s="291"/>
      <c r="MI83" s="291"/>
      <c r="MJ83" s="291"/>
      <c r="MK83" s="291"/>
      <c r="ML83" s="291"/>
      <c r="MM83" s="291"/>
      <c r="MN83" s="291"/>
      <c r="MO83" s="291"/>
      <c r="MP83" s="291"/>
      <c r="MQ83" s="291"/>
      <c r="MR83" s="291"/>
      <c r="MS83" s="291"/>
      <c r="MT83" s="291"/>
      <c r="MU83" s="291"/>
      <c r="MV83" s="291"/>
      <c r="MW83" s="291"/>
      <c r="MX83" s="291"/>
      <c r="MY83" s="291"/>
      <c r="MZ83" s="291"/>
      <c r="NA83" s="291"/>
      <c r="NB83" s="291"/>
      <c r="NC83" s="291"/>
      <c r="ND83" s="291"/>
      <c r="NE83" s="291"/>
      <c r="NF83" s="291"/>
      <c r="NG83" s="291"/>
      <c r="NH83" s="291"/>
      <c r="NI83" s="291"/>
      <c r="NJ83" s="291"/>
      <c r="NK83" s="291"/>
      <c r="NL83" s="291"/>
      <c r="NM83" s="291"/>
      <c r="NN83" s="291"/>
      <c r="NO83" s="291"/>
      <c r="NP83" s="291"/>
      <c r="NQ83" s="291"/>
      <c r="NR83" s="291"/>
      <c r="NS83" s="291"/>
      <c r="NT83" s="291"/>
      <c r="NU83" s="291"/>
      <c r="NV83" s="291"/>
      <c r="NW83" s="291"/>
      <c r="NX83" s="291"/>
      <c r="NY83" s="291"/>
      <c r="NZ83" s="291"/>
      <c r="OA83" s="291"/>
      <c r="OB83" s="291"/>
      <c r="OC83" s="291"/>
      <c r="OD83" s="291"/>
      <c r="OE83" s="291"/>
      <c r="OF83" s="291"/>
      <c r="OG83" s="291"/>
      <c r="OH83" s="291"/>
      <c r="OI83" s="291"/>
      <c r="OJ83" s="291"/>
      <c r="OK83" s="291"/>
      <c r="OL83" s="291"/>
      <c r="OM83" s="291"/>
      <c r="ON83" s="291"/>
      <c r="OO83" s="291"/>
      <c r="OP83" s="291"/>
      <c r="OQ83" s="291"/>
      <c r="OR83" s="291"/>
      <c r="OS83" s="291"/>
      <c r="OT83" s="291"/>
      <c r="OU83" s="291"/>
      <c r="OV83" s="291"/>
      <c r="OW83" s="291"/>
    </row>
    <row r="84" spans="1:413" s="257" customFormat="1" hidden="1" x14ac:dyDescent="0.2">
      <c r="A84" s="291"/>
      <c r="B84" s="524">
        <f t="shared" si="7"/>
        <v>68</v>
      </c>
      <c r="C84" s="510" t="s">
        <v>38</v>
      </c>
      <c r="D84" s="511">
        <v>30100364</v>
      </c>
      <c r="E84" s="511"/>
      <c r="F84" s="512" t="s">
        <v>1213</v>
      </c>
      <c r="G84" s="513" t="s">
        <v>45</v>
      </c>
      <c r="H84" s="514" t="s">
        <v>1094</v>
      </c>
      <c r="I84" s="515" t="s">
        <v>1095</v>
      </c>
      <c r="J84" s="346" t="s">
        <v>42</v>
      </c>
      <c r="K84" s="526">
        <v>1102742</v>
      </c>
      <c r="L84" s="527">
        <v>763705</v>
      </c>
      <c r="M84" s="528">
        <v>0</v>
      </c>
      <c r="N84" s="519">
        <v>0</v>
      </c>
      <c r="O84" s="519">
        <v>70155</v>
      </c>
      <c r="P84" s="519">
        <v>162216</v>
      </c>
      <c r="Q84" s="519">
        <v>0</v>
      </c>
      <c r="R84" s="519">
        <v>0</v>
      </c>
      <c r="S84" s="520">
        <v>94584</v>
      </c>
      <c r="T84" s="18"/>
      <c r="U84" s="18"/>
      <c r="V84" s="18"/>
      <c r="W84" s="18"/>
      <c r="X84" s="18"/>
      <c r="Y84" s="18"/>
      <c r="Z84" s="18">
        <f t="shared" si="4"/>
        <v>326955</v>
      </c>
      <c r="AA84" s="309">
        <v>233736</v>
      </c>
      <c r="AB84" s="19">
        <v>5</v>
      </c>
      <c r="AC84" s="521">
        <v>44224</v>
      </c>
      <c r="AD84" s="25">
        <v>44251</v>
      </c>
      <c r="AE84" s="309">
        <v>97841</v>
      </c>
      <c r="AF84" s="20">
        <v>39</v>
      </c>
      <c r="AG84" s="23">
        <v>44334</v>
      </c>
      <c r="AH84" s="25">
        <v>44342</v>
      </c>
      <c r="AI84" s="309"/>
      <c r="AJ84" s="19"/>
      <c r="AK84" s="23"/>
      <c r="AL84" s="25"/>
      <c r="AM84" s="309"/>
      <c r="AN84" s="19"/>
      <c r="AO84" s="21"/>
      <c r="AP84" s="25"/>
      <c r="AQ84" s="309"/>
      <c r="AR84" s="19"/>
      <c r="AS84" s="21"/>
      <c r="AT84" s="25"/>
      <c r="AU84" s="522">
        <f t="shared" si="5"/>
        <v>331577</v>
      </c>
      <c r="AV84" s="311">
        <f t="shared" si="6"/>
        <v>4622</v>
      </c>
      <c r="AW84" s="305"/>
      <c r="AX84" s="291"/>
      <c r="AY84" s="291"/>
      <c r="AZ84" s="291"/>
      <c r="BA84" s="291"/>
      <c r="BB84" s="291"/>
      <c r="BC84" s="291"/>
      <c r="BD84" s="291"/>
      <c r="BE84" s="291"/>
      <c r="BF84" s="291"/>
      <c r="BG84" s="291"/>
      <c r="BH84" s="291"/>
      <c r="BI84" s="291"/>
      <c r="BJ84" s="291"/>
      <c r="BK84" s="291"/>
      <c r="BL84" s="291"/>
      <c r="BM84" s="291"/>
      <c r="BN84" s="291"/>
      <c r="BO84" s="291"/>
      <c r="BP84" s="291"/>
      <c r="BQ84" s="291"/>
      <c r="BR84" s="291"/>
      <c r="BS84" s="291"/>
      <c r="BT84" s="291"/>
      <c r="BU84" s="291"/>
      <c r="BV84" s="291"/>
      <c r="BW84" s="291"/>
      <c r="BX84" s="291"/>
      <c r="BY84" s="291"/>
      <c r="BZ84" s="291"/>
      <c r="CA84" s="291"/>
      <c r="CB84" s="291"/>
      <c r="CC84" s="291"/>
      <c r="CD84" s="291"/>
      <c r="CE84" s="291"/>
      <c r="CF84" s="291"/>
      <c r="CG84" s="291"/>
      <c r="CH84" s="291"/>
      <c r="CI84" s="291"/>
      <c r="CJ84" s="291"/>
      <c r="CK84" s="291"/>
      <c r="CL84" s="291"/>
      <c r="CM84" s="291"/>
      <c r="CN84" s="291"/>
      <c r="CO84" s="291"/>
      <c r="CP84" s="291"/>
      <c r="CQ84" s="291"/>
      <c r="CR84" s="291"/>
      <c r="CS84" s="291"/>
      <c r="CT84" s="291"/>
      <c r="CU84" s="291"/>
      <c r="CV84" s="291"/>
      <c r="CW84" s="291"/>
      <c r="CX84" s="291"/>
      <c r="CY84" s="291"/>
      <c r="CZ84" s="291"/>
      <c r="DA84" s="291"/>
      <c r="DB84" s="291"/>
      <c r="DC84" s="291"/>
      <c r="DD84" s="291"/>
      <c r="DE84" s="291"/>
      <c r="DF84" s="291"/>
      <c r="DG84" s="291"/>
      <c r="DH84" s="291"/>
      <c r="DI84" s="291"/>
      <c r="DJ84" s="291"/>
      <c r="DK84" s="291"/>
      <c r="DL84" s="291"/>
      <c r="DM84" s="291"/>
      <c r="DN84" s="291"/>
      <c r="DO84" s="291"/>
      <c r="DP84" s="291"/>
      <c r="DQ84" s="291"/>
      <c r="DR84" s="291"/>
      <c r="DS84" s="291"/>
      <c r="DT84" s="291"/>
      <c r="DU84" s="291"/>
      <c r="DV84" s="291"/>
      <c r="DW84" s="291"/>
      <c r="DX84" s="291"/>
      <c r="DY84" s="291"/>
      <c r="DZ84" s="291"/>
      <c r="EA84" s="291"/>
      <c r="EB84" s="291"/>
      <c r="EC84" s="291"/>
      <c r="ED84" s="291"/>
      <c r="EE84" s="291"/>
      <c r="EF84" s="291"/>
      <c r="EG84" s="291"/>
      <c r="EH84" s="291"/>
      <c r="EI84" s="291"/>
      <c r="EJ84" s="291"/>
      <c r="EK84" s="291"/>
      <c r="EL84" s="291"/>
      <c r="EM84" s="291"/>
      <c r="EN84" s="291"/>
      <c r="EO84" s="291"/>
      <c r="EP84" s="291"/>
      <c r="EQ84" s="291"/>
      <c r="ER84" s="291"/>
      <c r="ES84" s="291"/>
      <c r="ET84" s="291"/>
      <c r="EU84" s="291"/>
      <c r="EV84" s="291"/>
      <c r="EW84" s="291"/>
      <c r="EX84" s="291"/>
      <c r="EY84" s="291"/>
      <c r="EZ84" s="291"/>
      <c r="FA84" s="291"/>
      <c r="FB84" s="291"/>
      <c r="FC84" s="291"/>
      <c r="FD84" s="291"/>
      <c r="FE84" s="291"/>
      <c r="FF84" s="291"/>
      <c r="FG84" s="291"/>
      <c r="FH84" s="291"/>
      <c r="FI84" s="291"/>
      <c r="FJ84" s="291"/>
      <c r="FK84" s="291"/>
      <c r="FL84" s="291"/>
      <c r="FM84" s="291"/>
      <c r="FN84" s="291"/>
      <c r="FO84" s="291"/>
      <c r="FP84" s="291"/>
      <c r="FQ84" s="291"/>
      <c r="FR84" s="291"/>
      <c r="FS84" s="291"/>
      <c r="FT84" s="291"/>
      <c r="FU84" s="291"/>
      <c r="FV84" s="291"/>
      <c r="FW84" s="291"/>
      <c r="FX84" s="291"/>
      <c r="FY84" s="291"/>
      <c r="FZ84" s="291"/>
      <c r="GA84" s="291"/>
      <c r="GB84" s="291"/>
      <c r="GC84" s="291"/>
      <c r="GD84" s="291"/>
      <c r="GE84" s="291"/>
      <c r="GF84" s="291"/>
      <c r="GG84" s="291"/>
      <c r="GH84" s="291"/>
      <c r="GI84" s="291"/>
      <c r="GJ84" s="291"/>
      <c r="GK84" s="291"/>
      <c r="GL84" s="291"/>
      <c r="GM84" s="291"/>
      <c r="GN84" s="291"/>
      <c r="GO84" s="291"/>
      <c r="GP84" s="291"/>
      <c r="GQ84" s="291"/>
      <c r="GR84" s="291"/>
      <c r="GS84" s="291"/>
      <c r="GT84" s="291"/>
      <c r="GU84" s="291"/>
      <c r="GV84" s="291"/>
      <c r="GW84" s="291"/>
      <c r="GX84" s="291"/>
      <c r="GY84" s="291"/>
      <c r="GZ84" s="291"/>
      <c r="HA84" s="291"/>
      <c r="HB84" s="291"/>
      <c r="HC84" s="291"/>
      <c r="HD84" s="291"/>
      <c r="HE84" s="291"/>
      <c r="HF84" s="291"/>
      <c r="HG84" s="291"/>
      <c r="HH84" s="291"/>
      <c r="HI84" s="291"/>
      <c r="HJ84" s="291"/>
      <c r="HK84" s="291"/>
      <c r="HL84" s="291"/>
      <c r="HM84" s="291"/>
      <c r="HN84" s="291"/>
      <c r="HO84" s="291"/>
      <c r="HP84" s="291"/>
      <c r="HQ84" s="291"/>
      <c r="HR84" s="291"/>
      <c r="HS84" s="291"/>
      <c r="HT84" s="291"/>
      <c r="HU84" s="291"/>
      <c r="HV84" s="291"/>
      <c r="HW84" s="291"/>
      <c r="HX84" s="291"/>
      <c r="HY84" s="291"/>
      <c r="HZ84" s="291"/>
      <c r="IA84" s="291"/>
      <c r="IB84" s="291"/>
      <c r="IC84" s="291"/>
      <c r="ID84" s="291"/>
      <c r="IE84" s="291"/>
      <c r="IF84" s="291"/>
      <c r="IG84" s="291"/>
      <c r="IH84" s="291"/>
      <c r="II84" s="291"/>
      <c r="IJ84" s="291"/>
      <c r="IK84" s="291"/>
      <c r="IL84" s="291"/>
      <c r="IM84" s="291"/>
      <c r="IN84" s="291"/>
      <c r="IO84" s="291"/>
      <c r="IP84" s="291"/>
      <c r="IQ84" s="291"/>
      <c r="IR84" s="291"/>
      <c r="IS84" s="291"/>
      <c r="IT84" s="291"/>
      <c r="IU84" s="291"/>
      <c r="IV84" s="291"/>
      <c r="IW84" s="291"/>
      <c r="IX84" s="291"/>
      <c r="IY84" s="291"/>
      <c r="IZ84" s="291"/>
      <c r="JA84" s="291"/>
      <c r="JB84" s="291"/>
      <c r="JC84" s="291"/>
      <c r="JD84" s="291"/>
      <c r="JE84" s="291"/>
      <c r="JF84" s="291"/>
      <c r="JG84" s="291"/>
      <c r="JH84" s="291"/>
      <c r="JI84" s="291"/>
      <c r="JJ84" s="291"/>
      <c r="JK84" s="291"/>
      <c r="JL84" s="291"/>
      <c r="JM84" s="291"/>
      <c r="JN84" s="291"/>
      <c r="JO84" s="291"/>
      <c r="JP84" s="291"/>
      <c r="JQ84" s="291"/>
      <c r="JR84" s="291"/>
      <c r="JS84" s="291"/>
      <c r="JT84" s="291"/>
      <c r="JU84" s="291"/>
      <c r="JV84" s="291"/>
      <c r="JW84" s="291"/>
      <c r="JX84" s="291"/>
      <c r="JY84" s="291"/>
      <c r="JZ84" s="291"/>
      <c r="KA84" s="291"/>
      <c r="KB84" s="291"/>
      <c r="KC84" s="291"/>
      <c r="KD84" s="291"/>
      <c r="KE84" s="291"/>
      <c r="KF84" s="291"/>
      <c r="KG84" s="291"/>
      <c r="KH84" s="291"/>
      <c r="KI84" s="291"/>
      <c r="KJ84" s="291"/>
      <c r="KK84" s="291"/>
      <c r="KL84" s="291"/>
      <c r="KM84" s="291"/>
      <c r="KN84" s="291"/>
      <c r="KO84" s="291"/>
      <c r="KP84" s="291"/>
      <c r="KQ84" s="291"/>
      <c r="KR84" s="291"/>
      <c r="KS84" s="291"/>
      <c r="KT84" s="291"/>
      <c r="KU84" s="291"/>
      <c r="KV84" s="291"/>
      <c r="KW84" s="291"/>
      <c r="KX84" s="291"/>
      <c r="KY84" s="291"/>
      <c r="KZ84" s="291"/>
      <c r="LA84" s="291"/>
      <c r="LB84" s="291"/>
      <c r="LC84" s="291"/>
      <c r="LD84" s="291"/>
      <c r="LE84" s="291"/>
      <c r="LF84" s="291"/>
      <c r="LG84" s="291"/>
      <c r="LH84" s="291"/>
      <c r="LI84" s="291"/>
      <c r="LJ84" s="291"/>
      <c r="LK84" s="291"/>
      <c r="LL84" s="291"/>
      <c r="LM84" s="291"/>
      <c r="LN84" s="291"/>
      <c r="LO84" s="291"/>
      <c r="LP84" s="291"/>
      <c r="LQ84" s="291"/>
      <c r="LR84" s="291"/>
      <c r="LS84" s="291"/>
      <c r="LT84" s="291"/>
      <c r="LU84" s="291"/>
      <c r="LV84" s="291"/>
      <c r="LW84" s="291"/>
      <c r="LX84" s="291"/>
      <c r="LY84" s="291"/>
      <c r="LZ84" s="291"/>
      <c r="MA84" s="291"/>
      <c r="MB84" s="291"/>
      <c r="MC84" s="291"/>
      <c r="MD84" s="291"/>
      <c r="ME84" s="291"/>
      <c r="MF84" s="291"/>
      <c r="MG84" s="291"/>
      <c r="MH84" s="291"/>
      <c r="MI84" s="291"/>
      <c r="MJ84" s="291"/>
      <c r="MK84" s="291"/>
      <c r="ML84" s="291"/>
      <c r="MM84" s="291"/>
      <c r="MN84" s="291"/>
      <c r="MO84" s="291"/>
      <c r="MP84" s="291"/>
      <c r="MQ84" s="291"/>
      <c r="MR84" s="291"/>
      <c r="MS84" s="291"/>
      <c r="MT84" s="291"/>
      <c r="MU84" s="291"/>
      <c r="MV84" s="291"/>
      <c r="MW84" s="291"/>
      <c r="MX84" s="291"/>
      <c r="MY84" s="291"/>
      <c r="MZ84" s="291"/>
      <c r="NA84" s="291"/>
      <c r="NB84" s="291"/>
      <c r="NC84" s="291"/>
      <c r="ND84" s="291"/>
      <c r="NE84" s="291"/>
      <c r="NF84" s="291"/>
      <c r="NG84" s="291"/>
      <c r="NH84" s="291"/>
      <c r="NI84" s="291"/>
      <c r="NJ84" s="291"/>
      <c r="NK84" s="291"/>
      <c r="NL84" s="291"/>
      <c r="NM84" s="291"/>
      <c r="NN84" s="291"/>
      <c r="NO84" s="291"/>
      <c r="NP84" s="291"/>
      <c r="NQ84" s="291"/>
      <c r="NR84" s="291"/>
      <c r="NS84" s="291"/>
      <c r="NT84" s="291"/>
      <c r="NU84" s="291"/>
      <c r="NV84" s="291"/>
      <c r="NW84" s="291"/>
      <c r="NX84" s="291"/>
      <c r="NY84" s="291"/>
      <c r="NZ84" s="291"/>
      <c r="OA84" s="291"/>
      <c r="OB84" s="291"/>
      <c r="OC84" s="291"/>
      <c r="OD84" s="291"/>
      <c r="OE84" s="291"/>
      <c r="OF84" s="291"/>
      <c r="OG84" s="291"/>
      <c r="OH84" s="291"/>
      <c r="OI84" s="291"/>
      <c r="OJ84" s="291"/>
      <c r="OK84" s="291"/>
      <c r="OL84" s="291"/>
      <c r="OM84" s="291"/>
      <c r="ON84" s="291"/>
      <c r="OO84" s="291"/>
      <c r="OP84" s="291"/>
      <c r="OQ84" s="291"/>
      <c r="OR84" s="291"/>
      <c r="OS84" s="291"/>
      <c r="OT84" s="291"/>
      <c r="OU84" s="291"/>
      <c r="OV84" s="291"/>
      <c r="OW84" s="291"/>
    </row>
    <row r="85" spans="1:413" s="257" customFormat="1" hidden="1" x14ac:dyDescent="0.2">
      <c r="A85" s="291"/>
      <c r="B85" s="524">
        <f t="shared" si="7"/>
        <v>69</v>
      </c>
      <c r="C85" s="510" t="s">
        <v>38</v>
      </c>
      <c r="D85" s="511">
        <v>30102680</v>
      </c>
      <c r="E85" s="511"/>
      <c r="F85" s="512" t="s">
        <v>1214</v>
      </c>
      <c r="G85" s="513" t="s">
        <v>45</v>
      </c>
      <c r="H85" s="514" t="s">
        <v>1094</v>
      </c>
      <c r="I85" s="515" t="s">
        <v>1146</v>
      </c>
      <c r="J85" s="346" t="s">
        <v>43</v>
      </c>
      <c r="K85" s="526">
        <v>1124198</v>
      </c>
      <c r="L85" s="527">
        <v>0</v>
      </c>
      <c r="M85" s="528">
        <v>93194</v>
      </c>
      <c r="N85" s="519">
        <v>0</v>
      </c>
      <c r="O85" s="519">
        <v>0</v>
      </c>
      <c r="P85" s="519">
        <v>300041</v>
      </c>
      <c r="Q85" s="519">
        <v>134229</v>
      </c>
      <c r="R85" s="519">
        <v>120171</v>
      </c>
      <c r="S85" s="520">
        <v>98169</v>
      </c>
      <c r="T85" s="18"/>
      <c r="U85" s="18"/>
      <c r="V85" s="18"/>
      <c r="W85" s="18"/>
      <c r="X85" s="18"/>
      <c r="Y85" s="18"/>
      <c r="Z85" s="18">
        <f t="shared" si="4"/>
        <v>652610</v>
      </c>
      <c r="AA85" s="309">
        <v>1031004</v>
      </c>
      <c r="AB85" s="19">
        <v>5</v>
      </c>
      <c r="AC85" s="521">
        <v>44224</v>
      </c>
      <c r="AD85" s="25">
        <v>44251</v>
      </c>
      <c r="AE85" s="309"/>
      <c r="AF85" s="20"/>
      <c r="AG85" s="23"/>
      <c r="AH85" s="25"/>
      <c r="AI85" s="309"/>
      <c r="AJ85" s="19"/>
      <c r="AK85" s="23"/>
      <c r="AL85" s="25"/>
      <c r="AM85" s="309"/>
      <c r="AN85" s="19"/>
      <c r="AO85" s="21"/>
      <c r="AP85" s="25"/>
      <c r="AQ85" s="309"/>
      <c r="AR85" s="19"/>
      <c r="AS85" s="21"/>
      <c r="AT85" s="25"/>
      <c r="AU85" s="522">
        <f t="shared" si="5"/>
        <v>1031004</v>
      </c>
      <c r="AV85" s="311">
        <f t="shared" si="6"/>
        <v>378394</v>
      </c>
      <c r="AW85" s="305"/>
      <c r="AX85" s="291"/>
      <c r="AY85" s="291"/>
      <c r="AZ85" s="291"/>
      <c r="BA85" s="291"/>
      <c r="BB85" s="291"/>
      <c r="BC85" s="291"/>
      <c r="BD85" s="291"/>
      <c r="BE85" s="291"/>
      <c r="BF85" s="291"/>
      <c r="BG85" s="291"/>
      <c r="BH85" s="291"/>
      <c r="BI85" s="291"/>
      <c r="BJ85" s="291"/>
      <c r="BK85" s="291"/>
      <c r="BL85" s="291"/>
      <c r="BM85" s="291"/>
      <c r="BN85" s="291"/>
      <c r="BO85" s="291"/>
      <c r="BP85" s="291"/>
      <c r="BQ85" s="291"/>
      <c r="BR85" s="291"/>
      <c r="BS85" s="291"/>
      <c r="BT85" s="291"/>
      <c r="BU85" s="291"/>
      <c r="BV85" s="291"/>
      <c r="BW85" s="291"/>
      <c r="BX85" s="291"/>
      <c r="BY85" s="291"/>
      <c r="BZ85" s="291"/>
      <c r="CA85" s="291"/>
      <c r="CB85" s="291"/>
      <c r="CC85" s="291"/>
      <c r="CD85" s="291"/>
      <c r="CE85" s="291"/>
      <c r="CF85" s="291"/>
      <c r="CG85" s="291"/>
      <c r="CH85" s="291"/>
      <c r="CI85" s="291"/>
      <c r="CJ85" s="291"/>
      <c r="CK85" s="291"/>
      <c r="CL85" s="291"/>
      <c r="CM85" s="291"/>
      <c r="CN85" s="291"/>
      <c r="CO85" s="291"/>
      <c r="CP85" s="291"/>
      <c r="CQ85" s="291"/>
      <c r="CR85" s="291"/>
      <c r="CS85" s="291"/>
      <c r="CT85" s="291"/>
      <c r="CU85" s="291"/>
      <c r="CV85" s="291"/>
      <c r="CW85" s="291"/>
      <c r="CX85" s="291"/>
      <c r="CY85" s="291"/>
      <c r="CZ85" s="291"/>
      <c r="DA85" s="291"/>
      <c r="DB85" s="291"/>
      <c r="DC85" s="291"/>
      <c r="DD85" s="291"/>
      <c r="DE85" s="291"/>
      <c r="DF85" s="291"/>
      <c r="DG85" s="291"/>
      <c r="DH85" s="291"/>
      <c r="DI85" s="291"/>
      <c r="DJ85" s="291"/>
      <c r="DK85" s="291"/>
      <c r="DL85" s="291"/>
      <c r="DM85" s="291"/>
      <c r="DN85" s="291"/>
      <c r="DO85" s="291"/>
      <c r="DP85" s="291"/>
      <c r="DQ85" s="291"/>
      <c r="DR85" s="291"/>
      <c r="DS85" s="291"/>
      <c r="DT85" s="291"/>
      <c r="DU85" s="291"/>
      <c r="DV85" s="291"/>
      <c r="DW85" s="291"/>
      <c r="DX85" s="291"/>
      <c r="DY85" s="291"/>
      <c r="DZ85" s="291"/>
      <c r="EA85" s="291"/>
      <c r="EB85" s="291"/>
      <c r="EC85" s="291"/>
      <c r="ED85" s="291"/>
      <c r="EE85" s="291"/>
      <c r="EF85" s="291"/>
      <c r="EG85" s="291"/>
      <c r="EH85" s="291"/>
      <c r="EI85" s="291"/>
      <c r="EJ85" s="291"/>
      <c r="EK85" s="291"/>
      <c r="EL85" s="291"/>
      <c r="EM85" s="291"/>
      <c r="EN85" s="291"/>
      <c r="EO85" s="291"/>
      <c r="EP85" s="291"/>
      <c r="EQ85" s="291"/>
      <c r="ER85" s="291"/>
      <c r="ES85" s="291"/>
      <c r="ET85" s="291"/>
      <c r="EU85" s="291"/>
      <c r="EV85" s="291"/>
      <c r="EW85" s="291"/>
      <c r="EX85" s="291"/>
      <c r="EY85" s="291"/>
      <c r="EZ85" s="291"/>
      <c r="FA85" s="291"/>
      <c r="FB85" s="291"/>
      <c r="FC85" s="291"/>
      <c r="FD85" s="291"/>
      <c r="FE85" s="291"/>
      <c r="FF85" s="291"/>
      <c r="FG85" s="291"/>
      <c r="FH85" s="291"/>
      <c r="FI85" s="291"/>
      <c r="FJ85" s="291"/>
      <c r="FK85" s="291"/>
      <c r="FL85" s="291"/>
      <c r="FM85" s="291"/>
      <c r="FN85" s="291"/>
      <c r="FO85" s="291"/>
      <c r="FP85" s="291"/>
      <c r="FQ85" s="291"/>
      <c r="FR85" s="291"/>
      <c r="FS85" s="291"/>
      <c r="FT85" s="291"/>
      <c r="FU85" s="291"/>
      <c r="FV85" s="291"/>
      <c r="FW85" s="291"/>
      <c r="FX85" s="291"/>
      <c r="FY85" s="291"/>
      <c r="FZ85" s="291"/>
      <c r="GA85" s="291"/>
      <c r="GB85" s="291"/>
      <c r="GC85" s="291"/>
      <c r="GD85" s="291"/>
      <c r="GE85" s="291"/>
      <c r="GF85" s="291"/>
      <c r="GG85" s="291"/>
      <c r="GH85" s="291"/>
      <c r="GI85" s="291"/>
      <c r="GJ85" s="291"/>
      <c r="GK85" s="291"/>
      <c r="GL85" s="291"/>
      <c r="GM85" s="291"/>
      <c r="GN85" s="291"/>
      <c r="GO85" s="291"/>
      <c r="GP85" s="291"/>
      <c r="GQ85" s="291"/>
      <c r="GR85" s="291"/>
      <c r="GS85" s="291"/>
      <c r="GT85" s="291"/>
      <c r="GU85" s="291"/>
      <c r="GV85" s="291"/>
      <c r="GW85" s="291"/>
      <c r="GX85" s="291"/>
      <c r="GY85" s="291"/>
      <c r="GZ85" s="291"/>
      <c r="HA85" s="291"/>
      <c r="HB85" s="291"/>
      <c r="HC85" s="291"/>
      <c r="HD85" s="291"/>
      <c r="HE85" s="291"/>
      <c r="HF85" s="291"/>
      <c r="HG85" s="291"/>
      <c r="HH85" s="291"/>
      <c r="HI85" s="291"/>
      <c r="HJ85" s="291"/>
      <c r="HK85" s="291"/>
      <c r="HL85" s="291"/>
      <c r="HM85" s="291"/>
      <c r="HN85" s="291"/>
      <c r="HO85" s="291"/>
      <c r="HP85" s="291"/>
      <c r="HQ85" s="291"/>
      <c r="HR85" s="291"/>
      <c r="HS85" s="291"/>
      <c r="HT85" s="291"/>
      <c r="HU85" s="291"/>
      <c r="HV85" s="291"/>
      <c r="HW85" s="291"/>
      <c r="HX85" s="291"/>
      <c r="HY85" s="291"/>
      <c r="HZ85" s="291"/>
      <c r="IA85" s="291"/>
      <c r="IB85" s="291"/>
      <c r="IC85" s="291"/>
      <c r="ID85" s="291"/>
      <c r="IE85" s="291"/>
      <c r="IF85" s="291"/>
      <c r="IG85" s="291"/>
      <c r="IH85" s="291"/>
      <c r="II85" s="291"/>
      <c r="IJ85" s="291"/>
      <c r="IK85" s="291"/>
      <c r="IL85" s="291"/>
      <c r="IM85" s="291"/>
      <c r="IN85" s="291"/>
      <c r="IO85" s="291"/>
      <c r="IP85" s="291"/>
      <c r="IQ85" s="291"/>
      <c r="IR85" s="291"/>
      <c r="IS85" s="291"/>
      <c r="IT85" s="291"/>
      <c r="IU85" s="291"/>
      <c r="IV85" s="291"/>
      <c r="IW85" s="291"/>
      <c r="IX85" s="291"/>
      <c r="IY85" s="291"/>
      <c r="IZ85" s="291"/>
      <c r="JA85" s="291"/>
      <c r="JB85" s="291"/>
      <c r="JC85" s="291"/>
      <c r="JD85" s="291"/>
      <c r="JE85" s="291"/>
      <c r="JF85" s="291"/>
      <c r="JG85" s="291"/>
      <c r="JH85" s="291"/>
      <c r="JI85" s="291"/>
      <c r="JJ85" s="291"/>
      <c r="JK85" s="291"/>
      <c r="JL85" s="291"/>
      <c r="JM85" s="291"/>
      <c r="JN85" s="291"/>
      <c r="JO85" s="291"/>
      <c r="JP85" s="291"/>
      <c r="JQ85" s="291"/>
      <c r="JR85" s="291"/>
      <c r="JS85" s="291"/>
      <c r="JT85" s="291"/>
      <c r="JU85" s="291"/>
      <c r="JV85" s="291"/>
      <c r="JW85" s="291"/>
      <c r="JX85" s="291"/>
      <c r="JY85" s="291"/>
      <c r="JZ85" s="291"/>
      <c r="KA85" s="291"/>
      <c r="KB85" s="291"/>
      <c r="KC85" s="291"/>
      <c r="KD85" s="291"/>
      <c r="KE85" s="291"/>
      <c r="KF85" s="291"/>
      <c r="KG85" s="291"/>
      <c r="KH85" s="291"/>
      <c r="KI85" s="291"/>
      <c r="KJ85" s="291"/>
      <c r="KK85" s="291"/>
      <c r="KL85" s="291"/>
      <c r="KM85" s="291"/>
      <c r="KN85" s="291"/>
      <c r="KO85" s="291"/>
      <c r="KP85" s="291"/>
      <c r="KQ85" s="291"/>
      <c r="KR85" s="291"/>
      <c r="KS85" s="291"/>
      <c r="KT85" s="291"/>
      <c r="KU85" s="291"/>
      <c r="KV85" s="291"/>
      <c r="KW85" s="291"/>
      <c r="KX85" s="291"/>
      <c r="KY85" s="291"/>
      <c r="KZ85" s="291"/>
      <c r="LA85" s="291"/>
      <c r="LB85" s="291"/>
      <c r="LC85" s="291"/>
      <c r="LD85" s="291"/>
      <c r="LE85" s="291"/>
      <c r="LF85" s="291"/>
      <c r="LG85" s="291"/>
      <c r="LH85" s="291"/>
      <c r="LI85" s="291"/>
      <c r="LJ85" s="291"/>
      <c r="LK85" s="291"/>
      <c r="LL85" s="291"/>
      <c r="LM85" s="291"/>
      <c r="LN85" s="291"/>
      <c r="LO85" s="291"/>
      <c r="LP85" s="291"/>
      <c r="LQ85" s="291"/>
      <c r="LR85" s="291"/>
      <c r="LS85" s="291"/>
      <c r="LT85" s="291"/>
      <c r="LU85" s="291"/>
      <c r="LV85" s="291"/>
      <c r="LW85" s="291"/>
      <c r="LX85" s="291"/>
      <c r="LY85" s="291"/>
      <c r="LZ85" s="291"/>
      <c r="MA85" s="291"/>
      <c r="MB85" s="291"/>
      <c r="MC85" s="291"/>
      <c r="MD85" s="291"/>
      <c r="ME85" s="291"/>
      <c r="MF85" s="291"/>
      <c r="MG85" s="291"/>
      <c r="MH85" s="291"/>
      <c r="MI85" s="291"/>
      <c r="MJ85" s="291"/>
      <c r="MK85" s="291"/>
      <c r="ML85" s="291"/>
      <c r="MM85" s="291"/>
      <c r="MN85" s="291"/>
      <c r="MO85" s="291"/>
      <c r="MP85" s="291"/>
      <c r="MQ85" s="291"/>
      <c r="MR85" s="291"/>
      <c r="MS85" s="291"/>
      <c r="MT85" s="291"/>
      <c r="MU85" s="291"/>
      <c r="MV85" s="291"/>
      <c r="MW85" s="291"/>
      <c r="MX85" s="291"/>
      <c r="MY85" s="291"/>
      <c r="MZ85" s="291"/>
      <c r="NA85" s="291"/>
      <c r="NB85" s="291"/>
      <c r="NC85" s="291"/>
      <c r="ND85" s="291"/>
      <c r="NE85" s="291"/>
      <c r="NF85" s="291"/>
      <c r="NG85" s="291"/>
      <c r="NH85" s="291"/>
      <c r="NI85" s="291"/>
      <c r="NJ85" s="291"/>
      <c r="NK85" s="291"/>
      <c r="NL85" s="291"/>
      <c r="NM85" s="291"/>
      <c r="NN85" s="291"/>
      <c r="NO85" s="291"/>
      <c r="NP85" s="291"/>
      <c r="NQ85" s="291"/>
      <c r="NR85" s="291"/>
      <c r="NS85" s="291"/>
      <c r="NT85" s="291"/>
      <c r="NU85" s="291"/>
      <c r="NV85" s="291"/>
      <c r="NW85" s="291"/>
      <c r="NX85" s="291"/>
      <c r="NY85" s="291"/>
      <c r="NZ85" s="291"/>
      <c r="OA85" s="291"/>
      <c r="OB85" s="291"/>
      <c r="OC85" s="291"/>
      <c r="OD85" s="291"/>
      <c r="OE85" s="291"/>
      <c r="OF85" s="291"/>
      <c r="OG85" s="291"/>
      <c r="OH85" s="291"/>
      <c r="OI85" s="291"/>
      <c r="OJ85" s="291"/>
      <c r="OK85" s="291"/>
      <c r="OL85" s="291"/>
      <c r="OM85" s="291"/>
      <c r="ON85" s="291"/>
      <c r="OO85" s="291"/>
      <c r="OP85" s="291"/>
      <c r="OQ85" s="291"/>
      <c r="OR85" s="291"/>
      <c r="OS85" s="291"/>
      <c r="OT85" s="291"/>
      <c r="OU85" s="291"/>
      <c r="OV85" s="291"/>
      <c r="OW85" s="291"/>
    </row>
    <row r="86" spans="1:413" s="257" customFormat="1" hidden="1" x14ac:dyDescent="0.2">
      <c r="A86" s="291"/>
      <c r="B86" s="524">
        <f t="shared" si="7"/>
        <v>70</v>
      </c>
      <c r="C86" s="510" t="s">
        <v>38</v>
      </c>
      <c r="D86" s="511" t="s">
        <v>1215</v>
      </c>
      <c r="E86" s="511"/>
      <c r="F86" s="512" t="s">
        <v>1216</v>
      </c>
      <c r="G86" s="513" t="s">
        <v>45</v>
      </c>
      <c r="H86" s="514" t="s">
        <v>1098</v>
      </c>
      <c r="I86" s="515" t="s">
        <v>1217</v>
      </c>
      <c r="J86" s="346"/>
      <c r="K86" s="526">
        <v>1663412</v>
      </c>
      <c r="L86" s="527">
        <v>0</v>
      </c>
      <c r="M86" s="528">
        <v>1498412</v>
      </c>
      <c r="N86" s="519">
        <v>0</v>
      </c>
      <c r="O86" s="519">
        <v>0</v>
      </c>
      <c r="P86" s="519">
        <v>0</v>
      </c>
      <c r="Q86" s="519">
        <v>0</v>
      </c>
      <c r="R86" s="519">
        <v>0</v>
      </c>
      <c r="S86" s="520">
        <v>0</v>
      </c>
      <c r="T86" s="18"/>
      <c r="U86" s="18"/>
      <c r="V86" s="18"/>
      <c r="W86" s="18"/>
      <c r="X86" s="18"/>
      <c r="Y86" s="18"/>
      <c r="Z86" s="18">
        <f t="shared" si="4"/>
        <v>0</v>
      </c>
      <c r="AA86" s="309">
        <v>165000</v>
      </c>
      <c r="AB86" s="19">
        <v>39</v>
      </c>
      <c r="AC86" s="521">
        <v>44334</v>
      </c>
      <c r="AD86" s="25">
        <v>44342</v>
      </c>
      <c r="AE86" s="309">
        <v>55000</v>
      </c>
      <c r="AF86" s="20">
        <v>50</v>
      </c>
      <c r="AG86" s="23">
        <v>44356</v>
      </c>
      <c r="AH86" s="25">
        <v>44377</v>
      </c>
      <c r="AI86" s="309"/>
      <c r="AJ86" s="19"/>
      <c r="AK86" s="23"/>
      <c r="AL86" s="25"/>
      <c r="AM86" s="309"/>
      <c r="AN86" s="19"/>
      <c r="AO86" s="21"/>
      <c r="AP86" s="25"/>
      <c r="AQ86" s="309"/>
      <c r="AR86" s="19"/>
      <c r="AS86" s="21"/>
      <c r="AT86" s="25"/>
      <c r="AU86" s="522">
        <f t="shared" si="5"/>
        <v>220000</v>
      </c>
      <c r="AV86" s="311">
        <f t="shared" si="6"/>
        <v>220000</v>
      </c>
      <c r="AW86" s="305"/>
      <c r="AX86" s="291"/>
      <c r="AY86" s="291"/>
      <c r="AZ86" s="291"/>
      <c r="BA86" s="291"/>
      <c r="BB86" s="291"/>
      <c r="BC86" s="291"/>
      <c r="BD86" s="291"/>
      <c r="BE86" s="291"/>
      <c r="BF86" s="291"/>
      <c r="BG86" s="291"/>
      <c r="BH86" s="291"/>
      <c r="BI86" s="291"/>
      <c r="BJ86" s="291"/>
      <c r="BK86" s="291"/>
      <c r="BL86" s="291"/>
      <c r="BM86" s="291"/>
      <c r="BN86" s="291"/>
      <c r="BO86" s="291"/>
      <c r="BP86" s="291"/>
      <c r="BQ86" s="291"/>
      <c r="BR86" s="291"/>
      <c r="BS86" s="291"/>
      <c r="BT86" s="291"/>
      <c r="BU86" s="291"/>
      <c r="BV86" s="291"/>
      <c r="BW86" s="291"/>
      <c r="BX86" s="291"/>
      <c r="BY86" s="291"/>
      <c r="BZ86" s="291"/>
      <c r="CA86" s="291"/>
      <c r="CB86" s="291"/>
      <c r="CC86" s="291"/>
      <c r="CD86" s="291"/>
      <c r="CE86" s="291"/>
      <c r="CF86" s="291"/>
      <c r="CG86" s="291"/>
      <c r="CH86" s="291"/>
      <c r="CI86" s="291"/>
      <c r="CJ86" s="291"/>
      <c r="CK86" s="291"/>
      <c r="CL86" s="291"/>
      <c r="CM86" s="291"/>
      <c r="CN86" s="291"/>
      <c r="CO86" s="291"/>
      <c r="CP86" s="291"/>
      <c r="CQ86" s="291"/>
      <c r="CR86" s="291"/>
      <c r="CS86" s="291"/>
      <c r="CT86" s="291"/>
      <c r="CU86" s="291"/>
      <c r="CV86" s="291"/>
      <c r="CW86" s="291"/>
      <c r="CX86" s="291"/>
      <c r="CY86" s="291"/>
      <c r="CZ86" s="291"/>
      <c r="DA86" s="291"/>
      <c r="DB86" s="291"/>
      <c r="DC86" s="291"/>
      <c r="DD86" s="291"/>
      <c r="DE86" s="291"/>
      <c r="DF86" s="291"/>
      <c r="DG86" s="291"/>
      <c r="DH86" s="291"/>
      <c r="DI86" s="291"/>
      <c r="DJ86" s="291"/>
      <c r="DK86" s="291"/>
      <c r="DL86" s="291"/>
      <c r="DM86" s="291"/>
      <c r="DN86" s="291"/>
      <c r="DO86" s="291"/>
      <c r="DP86" s="291"/>
      <c r="DQ86" s="291"/>
      <c r="DR86" s="291"/>
      <c r="DS86" s="291"/>
      <c r="DT86" s="291"/>
      <c r="DU86" s="291"/>
      <c r="DV86" s="291"/>
      <c r="DW86" s="291"/>
      <c r="DX86" s="291"/>
      <c r="DY86" s="291"/>
      <c r="DZ86" s="291"/>
      <c r="EA86" s="291"/>
      <c r="EB86" s="291"/>
      <c r="EC86" s="291"/>
      <c r="ED86" s="291"/>
      <c r="EE86" s="291"/>
      <c r="EF86" s="291"/>
      <c r="EG86" s="291"/>
      <c r="EH86" s="291"/>
      <c r="EI86" s="291"/>
      <c r="EJ86" s="291"/>
      <c r="EK86" s="291"/>
      <c r="EL86" s="291"/>
      <c r="EM86" s="291"/>
      <c r="EN86" s="291"/>
      <c r="EO86" s="291"/>
      <c r="EP86" s="291"/>
      <c r="EQ86" s="291"/>
      <c r="ER86" s="291"/>
      <c r="ES86" s="291"/>
      <c r="ET86" s="291"/>
      <c r="EU86" s="291"/>
      <c r="EV86" s="291"/>
      <c r="EW86" s="291"/>
      <c r="EX86" s="291"/>
      <c r="EY86" s="291"/>
      <c r="EZ86" s="291"/>
      <c r="FA86" s="291"/>
      <c r="FB86" s="291"/>
      <c r="FC86" s="291"/>
      <c r="FD86" s="291"/>
      <c r="FE86" s="291"/>
      <c r="FF86" s="291"/>
      <c r="FG86" s="291"/>
      <c r="FH86" s="291"/>
      <c r="FI86" s="291"/>
      <c r="FJ86" s="291"/>
      <c r="FK86" s="291"/>
      <c r="FL86" s="291"/>
      <c r="FM86" s="291"/>
      <c r="FN86" s="291"/>
      <c r="FO86" s="291"/>
      <c r="FP86" s="291"/>
      <c r="FQ86" s="291"/>
      <c r="FR86" s="291"/>
      <c r="FS86" s="291"/>
      <c r="FT86" s="291"/>
      <c r="FU86" s="291"/>
      <c r="FV86" s="291"/>
      <c r="FW86" s="291"/>
      <c r="FX86" s="291"/>
      <c r="FY86" s="291"/>
      <c r="FZ86" s="291"/>
      <c r="GA86" s="291"/>
      <c r="GB86" s="291"/>
      <c r="GC86" s="291"/>
      <c r="GD86" s="291"/>
      <c r="GE86" s="291"/>
      <c r="GF86" s="291"/>
      <c r="GG86" s="291"/>
      <c r="GH86" s="291"/>
      <c r="GI86" s="291"/>
      <c r="GJ86" s="291"/>
      <c r="GK86" s="291"/>
      <c r="GL86" s="291"/>
      <c r="GM86" s="291"/>
      <c r="GN86" s="291"/>
      <c r="GO86" s="291"/>
      <c r="GP86" s="291"/>
      <c r="GQ86" s="291"/>
      <c r="GR86" s="291"/>
      <c r="GS86" s="291"/>
      <c r="GT86" s="291"/>
      <c r="GU86" s="291"/>
      <c r="GV86" s="291"/>
      <c r="GW86" s="291"/>
      <c r="GX86" s="291"/>
      <c r="GY86" s="291"/>
      <c r="GZ86" s="291"/>
      <c r="HA86" s="291"/>
      <c r="HB86" s="291"/>
      <c r="HC86" s="291"/>
      <c r="HD86" s="291"/>
      <c r="HE86" s="291"/>
      <c r="HF86" s="291"/>
      <c r="HG86" s="291"/>
      <c r="HH86" s="291"/>
      <c r="HI86" s="291"/>
      <c r="HJ86" s="291"/>
      <c r="HK86" s="291"/>
      <c r="HL86" s="291"/>
      <c r="HM86" s="291"/>
      <c r="HN86" s="291"/>
      <c r="HO86" s="291"/>
      <c r="HP86" s="291"/>
      <c r="HQ86" s="291"/>
      <c r="HR86" s="291"/>
      <c r="HS86" s="291"/>
      <c r="HT86" s="291"/>
      <c r="HU86" s="291"/>
      <c r="HV86" s="291"/>
      <c r="HW86" s="291"/>
      <c r="HX86" s="291"/>
      <c r="HY86" s="291"/>
      <c r="HZ86" s="291"/>
      <c r="IA86" s="291"/>
      <c r="IB86" s="291"/>
      <c r="IC86" s="291"/>
      <c r="ID86" s="291"/>
      <c r="IE86" s="291"/>
      <c r="IF86" s="291"/>
      <c r="IG86" s="291"/>
      <c r="IH86" s="291"/>
      <c r="II86" s="291"/>
      <c r="IJ86" s="291"/>
      <c r="IK86" s="291"/>
      <c r="IL86" s="291"/>
      <c r="IM86" s="291"/>
      <c r="IN86" s="291"/>
      <c r="IO86" s="291"/>
      <c r="IP86" s="291"/>
      <c r="IQ86" s="291"/>
      <c r="IR86" s="291"/>
      <c r="IS86" s="291"/>
      <c r="IT86" s="291"/>
      <c r="IU86" s="291"/>
      <c r="IV86" s="291"/>
      <c r="IW86" s="291"/>
      <c r="IX86" s="291"/>
      <c r="IY86" s="291"/>
      <c r="IZ86" s="291"/>
      <c r="JA86" s="291"/>
      <c r="JB86" s="291"/>
      <c r="JC86" s="291"/>
      <c r="JD86" s="291"/>
      <c r="JE86" s="291"/>
      <c r="JF86" s="291"/>
      <c r="JG86" s="291"/>
      <c r="JH86" s="291"/>
      <c r="JI86" s="291"/>
      <c r="JJ86" s="291"/>
      <c r="JK86" s="291"/>
      <c r="JL86" s="291"/>
      <c r="JM86" s="291"/>
      <c r="JN86" s="291"/>
      <c r="JO86" s="291"/>
      <c r="JP86" s="291"/>
      <c r="JQ86" s="291"/>
      <c r="JR86" s="291"/>
      <c r="JS86" s="291"/>
      <c r="JT86" s="291"/>
      <c r="JU86" s="291"/>
      <c r="JV86" s="291"/>
      <c r="JW86" s="291"/>
      <c r="JX86" s="291"/>
      <c r="JY86" s="291"/>
      <c r="JZ86" s="291"/>
      <c r="KA86" s="291"/>
      <c r="KB86" s="291"/>
      <c r="KC86" s="291"/>
      <c r="KD86" s="291"/>
      <c r="KE86" s="291"/>
      <c r="KF86" s="291"/>
      <c r="KG86" s="291"/>
      <c r="KH86" s="291"/>
      <c r="KI86" s="291"/>
      <c r="KJ86" s="291"/>
      <c r="KK86" s="291"/>
      <c r="KL86" s="291"/>
      <c r="KM86" s="291"/>
      <c r="KN86" s="291"/>
      <c r="KO86" s="291"/>
      <c r="KP86" s="291"/>
      <c r="KQ86" s="291"/>
      <c r="KR86" s="291"/>
      <c r="KS86" s="291"/>
      <c r="KT86" s="291"/>
      <c r="KU86" s="291"/>
      <c r="KV86" s="291"/>
      <c r="KW86" s="291"/>
      <c r="KX86" s="291"/>
      <c r="KY86" s="291"/>
      <c r="KZ86" s="291"/>
      <c r="LA86" s="291"/>
      <c r="LB86" s="291"/>
      <c r="LC86" s="291"/>
      <c r="LD86" s="291"/>
      <c r="LE86" s="291"/>
      <c r="LF86" s="291"/>
      <c r="LG86" s="291"/>
      <c r="LH86" s="291"/>
      <c r="LI86" s="291"/>
      <c r="LJ86" s="291"/>
      <c r="LK86" s="291"/>
      <c r="LL86" s="291"/>
      <c r="LM86" s="291"/>
      <c r="LN86" s="291"/>
      <c r="LO86" s="291"/>
      <c r="LP86" s="291"/>
      <c r="LQ86" s="291"/>
      <c r="LR86" s="291"/>
      <c r="LS86" s="291"/>
      <c r="LT86" s="291"/>
      <c r="LU86" s="291"/>
      <c r="LV86" s="291"/>
      <c r="LW86" s="291"/>
      <c r="LX86" s="291"/>
      <c r="LY86" s="291"/>
      <c r="LZ86" s="291"/>
      <c r="MA86" s="291"/>
      <c r="MB86" s="291"/>
      <c r="MC86" s="291"/>
      <c r="MD86" s="291"/>
      <c r="ME86" s="291"/>
      <c r="MF86" s="291"/>
      <c r="MG86" s="291"/>
      <c r="MH86" s="291"/>
      <c r="MI86" s="291"/>
      <c r="MJ86" s="291"/>
      <c r="MK86" s="291"/>
      <c r="ML86" s="291"/>
      <c r="MM86" s="291"/>
      <c r="MN86" s="291"/>
      <c r="MO86" s="291"/>
      <c r="MP86" s="291"/>
      <c r="MQ86" s="291"/>
      <c r="MR86" s="291"/>
      <c r="MS86" s="291"/>
      <c r="MT86" s="291"/>
      <c r="MU86" s="291"/>
      <c r="MV86" s="291"/>
      <c r="MW86" s="291"/>
      <c r="MX86" s="291"/>
      <c r="MY86" s="291"/>
      <c r="MZ86" s="291"/>
      <c r="NA86" s="291"/>
      <c r="NB86" s="291"/>
      <c r="NC86" s="291"/>
      <c r="ND86" s="291"/>
      <c r="NE86" s="291"/>
      <c r="NF86" s="291"/>
      <c r="NG86" s="291"/>
      <c r="NH86" s="291"/>
      <c r="NI86" s="291"/>
      <c r="NJ86" s="291"/>
      <c r="NK86" s="291"/>
      <c r="NL86" s="291"/>
      <c r="NM86" s="291"/>
      <c r="NN86" s="291"/>
      <c r="NO86" s="291"/>
      <c r="NP86" s="291"/>
      <c r="NQ86" s="291"/>
      <c r="NR86" s="291"/>
      <c r="NS86" s="291"/>
      <c r="NT86" s="291"/>
      <c r="NU86" s="291"/>
      <c r="NV86" s="291"/>
      <c r="NW86" s="291"/>
      <c r="NX86" s="291"/>
      <c r="NY86" s="291"/>
      <c r="NZ86" s="291"/>
      <c r="OA86" s="291"/>
      <c r="OB86" s="291"/>
      <c r="OC86" s="291"/>
      <c r="OD86" s="291"/>
      <c r="OE86" s="291"/>
      <c r="OF86" s="291"/>
      <c r="OG86" s="291"/>
      <c r="OH86" s="291"/>
      <c r="OI86" s="291"/>
      <c r="OJ86" s="291"/>
      <c r="OK86" s="291"/>
      <c r="OL86" s="291"/>
      <c r="OM86" s="291"/>
      <c r="ON86" s="291"/>
      <c r="OO86" s="291"/>
      <c r="OP86" s="291"/>
      <c r="OQ86" s="291"/>
      <c r="OR86" s="291"/>
      <c r="OS86" s="291"/>
      <c r="OT86" s="291"/>
      <c r="OU86" s="291"/>
      <c r="OV86" s="291"/>
      <c r="OW86" s="291"/>
    </row>
    <row r="87" spans="1:413" s="257" customFormat="1" hidden="1" x14ac:dyDescent="0.2">
      <c r="A87" s="291"/>
      <c r="B87" s="524">
        <f t="shared" si="7"/>
        <v>71</v>
      </c>
      <c r="C87" s="510" t="s">
        <v>38</v>
      </c>
      <c r="D87" s="511">
        <v>30103883</v>
      </c>
      <c r="E87" s="511"/>
      <c r="F87" s="512" t="s">
        <v>1218</v>
      </c>
      <c r="G87" s="513" t="s">
        <v>45</v>
      </c>
      <c r="H87" s="514" t="s">
        <v>1094</v>
      </c>
      <c r="I87" s="515" t="s">
        <v>1176</v>
      </c>
      <c r="J87" s="346" t="s">
        <v>42</v>
      </c>
      <c r="K87" s="526">
        <v>4094343</v>
      </c>
      <c r="L87" s="527">
        <v>25466</v>
      </c>
      <c r="M87" s="528">
        <v>3788454</v>
      </c>
      <c r="N87" s="520">
        <v>0</v>
      </c>
      <c r="O87" s="520">
        <v>0</v>
      </c>
      <c r="P87" s="520">
        <v>0</v>
      </c>
      <c r="Q87" s="520">
        <v>0</v>
      </c>
      <c r="R87" s="520">
        <v>0</v>
      </c>
      <c r="S87" s="520">
        <v>0</v>
      </c>
      <c r="T87" s="18"/>
      <c r="U87" s="18"/>
      <c r="V87" s="18"/>
      <c r="W87" s="18"/>
      <c r="X87" s="18"/>
      <c r="Y87" s="18"/>
      <c r="Z87" s="18">
        <f t="shared" si="4"/>
        <v>0</v>
      </c>
      <c r="AA87" s="309">
        <v>260002</v>
      </c>
      <c r="AB87" s="19">
        <v>3</v>
      </c>
      <c r="AC87" s="521">
        <v>44222</v>
      </c>
      <c r="AD87" s="25">
        <v>44225</v>
      </c>
      <c r="AE87" s="309"/>
      <c r="AF87" s="20"/>
      <c r="AG87" s="23"/>
      <c r="AH87" s="25"/>
      <c r="AI87" s="309"/>
      <c r="AJ87" s="19"/>
      <c r="AK87" s="23"/>
      <c r="AL87" s="25"/>
      <c r="AM87" s="309"/>
      <c r="AN87" s="19"/>
      <c r="AO87" s="21"/>
      <c r="AP87" s="25"/>
      <c r="AQ87" s="309"/>
      <c r="AR87" s="19"/>
      <c r="AS87" s="21"/>
      <c r="AT87" s="25"/>
      <c r="AU87" s="522">
        <f t="shared" si="5"/>
        <v>260002</v>
      </c>
      <c r="AV87" s="311">
        <f t="shared" si="6"/>
        <v>260002</v>
      </c>
      <c r="AW87" s="305"/>
      <c r="AX87" s="291"/>
      <c r="AY87" s="291"/>
      <c r="AZ87" s="291"/>
      <c r="BA87" s="291"/>
      <c r="BB87" s="291"/>
      <c r="BC87" s="291"/>
      <c r="BD87" s="291"/>
      <c r="BE87" s="291"/>
      <c r="BF87" s="291"/>
      <c r="BG87" s="291"/>
      <c r="BH87" s="291"/>
      <c r="BI87" s="291"/>
      <c r="BJ87" s="291"/>
      <c r="BK87" s="291"/>
      <c r="BL87" s="291"/>
      <c r="BM87" s="291"/>
      <c r="BN87" s="291"/>
      <c r="BO87" s="291"/>
      <c r="BP87" s="291"/>
      <c r="BQ87" s="291"/>
      <c r="BR87" s="291"/>
      <c r="BS87" s="291"/>
      <c r="BT87" s="291"/>
      <c r="BU87" s="291"/>
      <c r="BV87" s="291"/>
      <c r="BW87" s="291"/>
      <c r="BX87" s="291"/>
      <c r="BY87" s="291"/>
      <c r="BZ87" s="291"/>
      <c r="CA87" s="291"/>
      <c r="CB87" s="291"/>
      <c r="CC87" s="291"/>
      <c r="CD87" s="291"/>
      <c r="CE87" s="291"/>
      <c r="CF87" s="291"/>
      <c r="CG87" s="291"/>
      <c r="CH87" s="291"/>
      <c r="CI87" s="291"/>
      <c r="CJ87" s="291"/>
      <c r="CK87" s="291"/>
      <c r="CL87" s="291"/>
      <c r="CM87" s="291"/>
      <c r="CN87" s="291"/>
      <c r="CO87" s="291"/>
      <c r="CP87" s="291"/>
      <c r="CQ87" s="291"/>
      <c r="CR87" s="291"/>
      <c r="CS87" s="291"/>
      <c r="CT87" s="291"/>
      <c r="CU87" s="291"/>
      <c r="CV87" s="291"/>
      <c r="CW87" s="291"/>
      <c r="CX87" s="291"/>
      <c r="CY87" s="291"/>
      <c r="CZ87" s="291"/>
      <c r="DA87" s="291"/>
      <c r="DB87" s="291"/>
      <c r="DC87" s="291"/>
      <c r="DD87" s="291"/>
      <c r="DE87" s="291"/>
      <c r="DF87" s="291"/>
      <c r="DG87" s="291"/>
      <c r="DH87" s="291"/>
      <c r="DI87" s="291"/>
      <c r="DJ87" s="291"/>
      <c r="DK87" s="291"/>
      <c r="DL87" s="291"/>
      <c r="DM87" s="291"/>
      <c r="DN87" s="291"/>
      <c r="DO87" s="291"/>
      <c r="DP87" s="291"/>
      <c r="DQ87" s="291"/>
      <c r="DR87" s="291"/>
      <c r="DS87" s="291"/>
      <c r="DT87" s="291"/>
      <c r="DU87" s="291"/>
      <c r="DV87" s="291"/>
      <c r="DW87" s="291"/>
      <c r="DX87" s="291"/>
      <c r="DY87" s="291"/>
      <c r="DZ87" s="291"/>
      <c r="EA87" s="291"/>
      <c r="EB87" s="291"/>
      <c r="EC87" s="291"/>
      <c r="ED87" s="291"/>
      <c r="EE87" s="291"/>
      <c r="EF87" s="291"/>
      <c r="EG87" s="291"/>
      <c r="EH87" s="291"/>
      <c r="EI87" s="291"/>
      <c r="EJ87" s="291"/>
      <c r="EK87" s="291"/>
      <c r="EL87" s="291"/>
      <c r="EM87" s="291"/>
      <c r="EN87" s="291"/>
      <c r="EO87" s="291"/>
      <c r="EP87" s="291"/>
      <c r="EQ87" s="291"/>
      <c r="ER87" s="291"/>
      <c r="ES87" s="291"/>
      <c r="ET87" s="291"/>
      <c r="EU87" s="291"/>
      <c r="EV87" s="291"/>
      <c r="EW87" s="291"/>
      <c r="EX87" s="291"/>
      <c r="EY87" s="291"/>
      <c r="EZ87" s="291"/>
      <c r="FA87" s="291"/>
      <c r="FB87" s="291"/>
      <c r="FC87" s="291"/>
      <c r="FD87" s="291"/>
      <c r="FE87" s="291"/>
      <c r="FF87" s="291"/>
      <c r="FG87" s="291"/>
      <c r="FH87" s="291"/>
      <c r="FI87" s="291"/>
      <c r="FJ87" s="291"/>
      <c r="FK87" s="291"/>
      <c r="FL87" s="291"/>
      <c r="FM87" s="291"/>
      <c r="FN87" s="291"/>
      <c r="FO87" s="291"/>
      <c r="FP87" s="291"/>
      <c r="FQ87" s="291"/>
      <c r="FR87" s="291"/>
      <c r="FS87" s="291"/>
      <c r="FT87" s="291"/>
      <c r="FU87" s="291"/>
      <c r="FV87" s="291"/>
      <c r="FW87" s="291"/>
      <c r="FX87" s="291"/>
      <c r="FY87" s="291"/>
      <c r="FZ87" s="291"/>
      <c r="GA87" s="291"/>
      <c r="GB87" s="291"/>
      <c r="GC87" s="291"/>
      <c r="GD87" s="291"/>
      <c r="GE87" s="291"/>
      <c r="GF87" s="291"/>
      <c r="GG87" s="291"/>
      <c r="GH87" s="291"/>
      <c r="GI87" s="291"/>
      <c r="GJ87" s="291"/>
      <c r="GK87" s="291"/>
      <c r="GL87" s="291"/>
      <c r="GM87" s="291"/>
      <c r="GN87" s="291"/>
      <c r="GO87" s="291"/>
      <c r="GP87" s="291"/>
      <c r="GQ87" s="291"/>
      <c r="GR87" s="291"/>
      <c r="GS87" s="291"/>
      <c r="GT87" s="291"/>
      <c r="GU87" s="291"/>
      <c r="GV87" s="291"/>
      <c r="GW87" s="291"/>
      <c r="GX87" s="291"/>
      <c r="GY87" s="291"/>
      <c r="GZ87" s="291"/>
      <c r="HA87" s="291"/>
      <c r="HB87" s="291"/>
      <c r="HC87" s="291"/>
      <c r="HD87" s="291"/>
      <c r="HE87" s="291"/>
      <c r="HF87" s="291"/>
      <c r="HG87" s="291"/>
      <c r="HH87" s="291"/>
      <c r="HI87" s="291"/>
      <c r="HJ87" s="291"/>
      <c r="HK87" s="291"/>
      <c r="HL87" s="291"/>
      <c r="HM87" s="291"/>
      <c r="HN87" s="291"/>
      <c r="HO87" s="291"/>
      <c r="HP87" s="291"/>
      <c r="HQ87" s="291"/>
      <c r="HR87" s="291"/>
      <c r="HS87" s="291"/>
      <c r="HT87" s="291"/>
      <c r="HU87" s="291"/>
      <c r="HV87" s="291"/>
      <c r="HW87" s="291"/>
      <c r="HX87" s="291"/>
      <c r="HY87" s="291"/>
      <c r="HZ87" s="291"/>
      <c r="IA87" s="291"/>
      <c r="IB87" s="291"/>
      <c r="IC87" s="291"/>
      <c r="ID87" s="291"/>
      <c r="IE87" s="291"/>
      <c r="IF87" s="291"/>
      <c r="IG87" s="291"/>
      <c r="IH87" s="291"/>
      <c r="II87" s="291"/>
      <c r="IJ87" s="291"/>
      <c r="IK87" s="291"/>
      <c r="IL87" s="291"/>
      <c r="IM87" s="291"/>
      <c r="IN87" s="291"/>
      <c r="IO87" s="291"/>
      <c r="IP87" s="291"/>
      <c r="IQ87" s="291"/>
      <c r="IR87" s="291"/>
      <c r="IS87" s="291"/>
      <c r="IT87" s="291"/>
      <c r="IU87" s="291"/>
      <c r="IV87" s="291"/>
      <c r="IW87" s="291"/>
      <c r="IX87" s="291"/>
      <c r="IY87" s="291"/>
      <c r="IZ87" s="291"/>
      <c r="JA87" s="291"/>
      <c r="JB87" s="291"/>
      <c r="JC87" s="291"/>
      <c r="JD87" s="291"/>
      <c r="JE87" s="291"/>
      <c r="JF87" s="291"/>
      <c r="JG87" s="291"/>
      <c r="JH87" s="291"/>
      <c r="JI87" s="291"/>
      <c r="JJ87" s="291"/>
      <c r="JK87" s="291"/>
      <c r="JL87" s="291"/>
      <c r="JM87" s="291"/>
      <c r="JN87" s="291"/>
      <c r="JO87" s="291"/>
      <c r="JP87" s="291"/>
      <c r="JQ87" s="291"/>
      <c r="JR87" s="291"/>
      <c r="JS87" s="291"/>
      <c r="JT87" s="291"/>
      <c r="JU87" s="291"/>
      <c r="JV87" s="291"/>
      <c r="JW87" s="291"/>
      <c r="JX87" s="291"/>
      <c r="JY87" s="291"/>
      <c r="JZ87" s="291"/>
      <c r="KA87" s="291"/>
      <c r="KB87" s="291"/>
      <c r="KC87" s="291"/>
      <c r="KD87" s="291"/>
      <c r="KE87" s="291"/>
      <c r="KF87" s="291"/>
      <c r="KG87" s="291"/>
      <c r="KH87" s="291"/>
      <c r="KI87" s="291"/>
      <c r="KJ87" s="291"/>
      <c r="KK87" s="291"/>
      <c r="KL87" s="291"/>
      <c r="KM87" s="291"/>
      <c r="KN87" s="291"/>
      <c r="KO87" s="291"/>
      <c r="KP87" s="291"/>
      <c r="KQ87" s="291"/>
      <c r="KR87" s="291"/>
      <c r="KS87" s="291"/>
      <c r="KT87" s="291"/>
      <c r="KU87" s="291"/>
      <c r="KV87" s="291"/>
      <c r="KW87" s="291"/>
      <c r="KX87" s="291"/>
      <c r="KY87" s="291"/>
      <c r="KZ87" s="291"/>
      <c r="LA87" s="291"/>
      <c r="LB87" s="291"/>
      <c r="LC87" s="291"/>
      <c r="LD87" s="291"/>
      <c r="LE87" s="291"/>
      <c r="LF87" s="291"/>
      <c r="LG87" s="291"/>
      <c r="LH87" s="291"/>
      <c r="LI87" s="291"/>
      <c r="LJ87" s="291"/>
      <c r="LK87" s="291"/>
      <c r="LL87" s="291"/>
      <c r="LM87" s="291"/>
      <c r="LN87" s="291"/>
      <c r="LO87" s="291"/>
      <c r="LP87" s="291"/>
      <c r="LQ87" s="291"/>
      <c r="LR87" s="291"/>
      <c r="LS87" s="291"/>
      <c r="LT87" s="291"/>
      <c r="LU87" s="291"/>
      <c r="LV87" s="291"/>
      <c r="LW87" s="291"/>
      <c r="LX87" s="291"/>
      <c r="LY87" s="291"/>
      <c r="LZ87" s="291"/>
      <c r="MA87" s="291"/>
      <c r="MB87" s="291"/>
      <c r="MC87" s="291"/>
      <c r="MD87" s="291"/>
      <c r="ME87" s="291"/>
      <c r="MF87" s="291"/>
      <c r="MG87" s="291"/>
      <c r="MH87" s="291"/>
      <c r="MI87" s="291"/>
      <c r="MJ87" s="291"/>
      <c r="MK87" s="291"/>
      <c r="ML87" s="291"/>
      <c r="MM87" s="291"/>
      <c r="MN87" s="291"/>
      <c r="MO87" s="291"/>
      <c r="MP87" s="291"/>
      <c r="MQ87" s="291"/>
      <c r="MR87" s="291"/>
      <c r="MS87" s="291"/>
      <c r="MT87" s="291"/>
      <c r="MU87" s="291"/>
      <c r="MV87" s="291"/>
      <c r="MW87" s="291"/>
      <c r="MX87" s="291"/>
      <c r="MY87" s="291"/>
      <c r="MZ87" s="291"/>
      <c r="NA87" s="291"/>
      <c r="NB87" s="291"/>
      <c r="NC87" s="291"/>
      <c r="ND87" s="291"/>
      <c r="NE87" s="291"/>
      <c r="NF87" s="291"/>
      <c r="NG87" s="291"/>
      <c r="NH87" s="291"/>
      <c r="NI87" s="291"/>
      <c r="NJ87" s="291"/>
      <c r="NK87" s="291"/>
      <c r="NL87" s="291"/>
      <c r="NM87" s="291"/>
      <c r="NN87" s="291"/>
      <c r="NO87" s="291"/>
      <c r="NP87" s="291"/>
      <c r="NQ87" s="291"/>
      <c r="NR87" s="291"/>
      <c r="NS87" s="291"/>
      <c r="NT87" s="291"/>
      <c r="NU87" s="291"/>
      <c r="NV87" s="291"/>
      <c r="NW87" s="291"/>
      <c r="NX87" s="291"/>
      <c r="NY87" s="291"/>
      <c r="NZ87" s="291"/>
      <c r="OA87" s="291"/>
      <c r="OB87" s="291"/>
      <c r="OC87" s="291"/>
      <c r="OD87" s="291"/>
      <c r="OE87" s="291"/>
      <c r="OF87" s="291"/>
      <c r="OG87" s="291"/>
      <c r="OH87" s="291"/>
      <c r="OI87" s="291"/>
      <c r="OJ87" s="291"/>
      <c r="OK87" s="291"/>
      <c r="OL87" s="291"/>
      <c r="OM87" s="291"/>
      <c r="ON87" s="291"/>
      <c r="OO87" s="291"/>
      <c r="OP87" s="291"/>
      <c r="OQ87" s="291"/>
      <c r="OR87" s="291"/>
      <c r="OS87" s="291"/>
      <c r="OT87" s="291"/>
      <c r="OU87" s="291"/>
      <c r="OV87" s="291"/>
      <c r="OW87" s="291"/>
    </row>
    <row r="88" spans="1:413" s="257" customFormat="1" hidden="1" x14ac:dyDescent="0.2">
      <c r="A88" s="291"/>
      <c r="B88" s="524">
        <f t="shared" si="7"/>
        <v>72</v>
      </c>
      <c r="C88" s="510" t="s">
        <v>38</v>
      </c>
      <c r="D88" s="511">
        <v>30103935</v>
      </c>
      <c r="E88" s="511"/>
      <c r="F88" s="512" t="s">
        <v>1219</v>
      </c>
      <c r="G88" s="513" t="s">
        <v>46</v>
      </c>
      <c r="H88" s="514" t="s">
        <v>1094</v>
      </c>
      <c r="I88" s="515" t="s">
        <v>1146</v>
      </c>
      <c r="J88" s="346" t="s">
        <v>42</v>
      </c>
      <c r="K88" s="526">
        <v>39516</v>
      </c>
      <c r="L88" s="527">
        <v>30834</v>
      </c>
      <c r="M88" s="528">
        <v>0</v>
      </c>
      <c r="N88" s="520">
        <v>0</v>
      </c>
      <c r="O88" s="520">
        <v>0</v>
      </c>
      <c r="P88" s="520">
        <v>0</v>
      </c>
      <c r="Q88" s="520">
        <v>0</v>
      </c>
      <c r="R88" s="520">
        <v>0</v>
      </c>
      <c r="S88" s="520">
        <v>0</v>
      </c>
      <c r="T88" s="18"/>
      <c r="U88" s="18"/>
      <c r="V88" s="18"/>
      <c r="W88" s="18"/>
      <c r="X88" s="18"/>
      <c r="Y88" s="18"/>
      <c r="Z88" s="18">
        <f t="shared" si="4"/>
        <v>0</v>
      </c>
      <c r="AA88" s="309">
        <v>8682</v>
      </c>
      <c r="AB88" s="19">
        <v>5</v>
      </c>
      <c r="AC88" s="521">
        <v>44224</v>
      </c>
      <c r="AD88" s="25">
        <v>44251</v>
      </c>
      <c r="AE88" s="309"/>
      <c r="AF88" s="20"/>
      <c r="AG88" s="23"/>
      <c r="AH88" s="25"/>
      <c r="AI88" s="309"/>
      <c r="AJ88" s="19"/>
      <c r="AK88" s="23"/>
      <c r="AL88" s="25"/>
      <c r="AM88" s="309"/>
      <c r="AN88" s="19"/>
      <c r="AO88" s="21"/>
      <c r="AP88" s="25"/>
      <c r="AQ88" s="309"/>
      <c r="AR88" s="19"/>
      <c r="AS88" s="21"/>
      <c r="AT88" s="25"/>
      <c r="AU88" s="522">
        <f t="shared" si="5"/>
        <v>8682</v>
      </c>
      <c r="AV88" s="311">
        <f t="shared" si="6"/>
        <v>8682</v>
      </c>
      <c r="AW88" s="305"/>
      <c r="AX88" s="291"/>
      <c r="AY88" s="291"/>
      <c r="AZ88" s="291"/>
      <c r="BA88" s="291"/>
      <c r="BB88" s="291"/>
      <c r="BC88" s="291"/>
      <c r="BD88" s="291"/>
      <c r="BE88" s="291"/>
      <c r="BF88" s="291"/>
      <c r="BG88" s="291"/>
      <c r="BH88" s="291"/>
      <c r="BI88" s="291"/>
      <c r="BJ88" s="291"/>
      <c r="BK88" s="291"/>
      <c r="BL88" s="291"/>
      <c r="BM88" s="291"/>
      <c r="BN88" s="291"/>
      <c r="BO88" s="291"/>
      <c r="BP88" s="291"/>
      <c r="BQ88" s="291"/>
      <c r="BR88" s="291"/>
      <c r="BS88" s="291"/>
      <c r="BT88" s="291"/>
      <c r="BU88" s="291"/>
      <c r="BV88" s="291"/>
      <c r="BW88" s="291"/>
      <c r="BX88" s="291"/>
      <c r="BY88" s="291"/>
      <c r="BZ88" s="291"/>
      <c r="CA88" s="291"/>
      <c r="CB88" s="291"/>
      <c r="CC88" s="291"/>
      <c r="CD88" s="291"/>
      <c r="CE88" s="291"/>
      <c r="CF88" s="291"/>
      <c r="CG88" s="291"/>
      <c r="CH88" s="291"/>
      <c r="CI88" s="291"/>
      <c r="CJ88" s="291"/>
      <c r="CK88" s="291"/>
      <c r="CL88" s="291"/>
      <c r="CM88" s="291"/>
      <c r="CN88" s="291"/>
      <c r="CO88" s="291"/>
      <c r="CP88" s="291"/>
      <c r="CQ88" s="291"/>
      <c r="CR88" s="291"/>
      <c r="CS88" s="291"/>
      <c r="CT88" s="291"/>
      <c r="CU88" s="291"/>
      <c r="CV88" s="291"/>
      <c r="CW88" s="291"/>
      <c r="CX88" s="291"/>
      <c r="CY88" s="291"/>
      <c r="CZ88" s="291"/>
      <c r="DA88" s="291"/>
      <c r="DB88" s="291"/>
      <c r="DC88" s="291"/>
      <c r="DD88" s="291"/>
      <c r="DE88" s="291"/>
      <c r="DF88" s="291"/>
      <c r="DG88" s="291"/>
      <c r="DH88" s="291"/>
      <c r="DI88" s="291"/>
      <c r="DJ88" s="291"/>
      <c r="DK88" s="291"/>
      <c r="DL88" s="291"/>
      <c r="DM88" s="291"/>
      <c r="DN88" s="291"/>
      <c r="DO88" s="291"/>
      <c r="DP88" s="291"/>
      <c r="DQ88" s="291"/>
      <c r="DR88" s="291"/>
      <c r="DS88" s="291"/>
      <c r="DT88" s="291"/>
      <c r="DU88" s="291"/>
      <c r="DV88" s="291"/>
      <c r="DW88" s="291"/>
      <c r="DX88" s="291"/>
      <c r="DY88" s="291"/>
      <c r="DZ88" s="291"/>
      <c r="EA88" s="291"/>
      <c r="EB88" s="291"/>
      <c r="EC88" s="291"/>
      <c r="ED88" s="291"/>
      <c r="EE88" s="291"/>
      <c r="EF88" s="291"/>
      <c r="EG88" s="291"/>
      <c r="EH88" s="291"/>
      <c r="EI88" s="291"/>
      <c r="EJ88" s="291"/>
      <c r="EK88" s="291"/>
      <c r="EL88" s="291"/>
      <c r="EM88" s="291"/>
      <c r="EN88" s="291"/>
      <c r="EO88" s="291"/>
      <c r="EP88" s="291"/>
      <c r="EQ88" s="291"/>
      <c r="ER88" s="291"/>
      <c r="ES88" s="291"/>
      <c r="ET88" s="291"/>
      <c r="EU88" s="291"/>
      <c r="EV88" s="291"/>
      <c r="EW88" s="291"/>
      <c r="EX88" s="291"/>
      <c r="EY88" s="291"/>
      <c r="EZ88" s="291"/>
      <c r="FA88" s="291"/>
      <c r="FB88" s="291"/>
      <c r="FC88" s="291"/>
      <c r="FD88" s="291"/>
      <c r="FE88" s="291"/>
      <c r="FF88" s="291"/>
      <c r="FG88" s="291"/>
      <c r="FH88" s="291"/>
      <c r="FI88" s="291"/>
      <c r="FJ88" s="291"/>
      <c r="FK88" s="291"/>
      <c r="FL88" s="291"/>
      <c r="FM88" s="291"/>
      <c r="FN88" s="291"/>
      <c r="FO88" s="291"/>
      <c r="FP88" s="291"/>
      <c r="FQ88" s="291"/>
      <c r="FR88" s="291"/>
      <c r="FS88" s="291"/>
      <c r="FT88" s="291"/>
      <c r="FU88" s="291"/>
      <c r="FV88" s="291"/>
      <c r="FW88" s="291"/>
      <c r="FX88" s="291"/>
      <c r="FY88" s="291"/>
      <c r="FZ88" s="291"/>
      <c r="GA88" s="291"/>
      <c r="GB88" s="291"/>
      <c r="GC88" s="291"/>
      <c r="GD88" s="291"/>
      <c r="GE88" s="291"/>
      <c r="GF88" s="291"/>
      <c r="GG88" s="291"/>
      <c r="GH88" s="291"/>
      <c r="GI88" s="291"/>
      <c r="GJ88" s="291"/>
      <c r="GK88" s="291"/>
      <c r="GL88" s="291"/>
      <c r="GM88" s="291"/>
      <c r="GN88" s="291"/>
      <c r="GO88" s="291"/>
      <c r="GP88" s="291"/>
      <c r="GQ88" s="291"/>
      <c r="GR88" s="291"/>
      <c r="GS88" s="291"/>
      <c r="GT88" s="291"/>
      <c r="GU88" s="291"/>
      <c r="GV88" s="291"/>
      <c r="GW88" s="291"/>
      <c r="GX88" s="291"/>
      <c r="GY88" s="291"/>
      <c r="GZ88" s="291"/>
      <c r="HA88" s="291"/>
      <c r="HB88" s="291"/>
      <c r="HC88" s="291"/>
      <c r="HD88" s="291"/>
      <c r="HE88" s="291"/>
      <c r="HF88" s="291"/>
      <c r="HG88" s="291"/>
      <c r="HH88" s="291"/>
      <c r="HI88" s="291"/>
      <c r="HJ88" s="291"/>
      <c r="HK88" s="291"/>
      <c r="HL88" s="291"/>
      <c r="HM88" s="291"/>
      <c r="HN88" s="291"/>
      <c r="HO88" s="291"/>
      <c r="HP88" s="291"/>
      <c r="HQ88" s="291"/>
      <c r="HR88" s="291"/>
      <c r="HS88" s="291"/>
      <c r="HT88" s="291"/>
      <c r="HU88" s="291"/>
      <c r="HV88" s="291"/>
      <c r="HW88" s="291"/>
      <c r="HX88" s="291"/>
      <c r="HY88" s="291"/>
      <c r="HZ88" s="291"/>
      <c r="IA88" s="291"/>
      <c r="IB88" s="291"/>
      <c r="IC88" s="291"/>
      <c r="ID88" s="291"/>
      <c r="IE88" s="291"/>
      <c r="IF88" s="291"/>
      <c r="IG88" s="291"/>
      <c r="IH88" s="291"/>
      <c r="II88" s="291"/>
      <c r="IJ88" s="291"/>
      <c r="IK88" s="291"/>
      <c r="IL88" s="291"/>
      <c r="IM88" s="291"/>
      <c r="IN88" s="291"/>
      <c r="IO88" s="291"/>
      <c r="IP88" s="291"/>
      <c r="IQ88" s="291"/>
      <c r="IR88" s="291"/>
      <c r="IS88" s="291"/>
      <c r="IT88" s="291"/>
      <c r="IU88" s="291"/>
      <c r="IV88" s="291"/>
      <c r="IW88" s="291"/>
      <c r="IX88" s="291"/>
      <c r="IY88" s="291"/>
      <c r="IZ88" s="291"/>
      <c r="JA88" s="291"/>
      <c r="JB88" s="291"/>
      <c r="JC88" s="291"/>
      <c r="JD88" s="291"/>
      <c r="JE88" s="291"/>
      <c r="JF88" s="291"/>
      <c r="JG88" s="291"/>
      <c r="JH88" s="291"/>
      <c r="JI88" s="291"/>
      <c r="JJ88" s="291"/>
      <c r="JK88" s="291"/>
      <c r="JL88" s="291"/>
      <c r="JM88" s="291"/>
      <c r="JN88" s="291"/>
      <c r="JO88" s="291"/>
      <c r="JP88" s="291"/>
      <c r="JQ88" s="291"/>
      <c r="JR88" s="291"/>
      <c r="JS88" s="291"/>
      <c r="JT88" s="291"/>
      <c r="JU88" s="291"/>
      <c r="JV88" s="291"/>
      <c r="JW88" s="291"/>
      <c r="JX88" s="291"/>
      <c r="JY88" s="291"/>
      <c r="JZ88" s="291"/>
      <c r="KA88" s="291"/>
      <c r="KB88" s="291"/>
      <c r="KC88" s="291"/>
      <c r="KD88" s="291"/>
      <c r="KE88" s="291"/>
      <c r="KF88" s="291"/>
      <c r="KG88" s="291"/>
      <c r="KH88" s="291"/>
      <c r="KI88" s="291"/>
      <c r="KJ88" s="291"/>
      <c r="KK88" s="291"/>
      <c r="KL88" s="291"/>
      <c r="KM88" s="291"/>
      <c r="KN88" s="291"/>
      <c r="KO88" s="291"/>
      <c r="KP88" s="291"/>
      <c r="KQ88" s="291"/>
      <c r="KR88" s="291"/>
      <c r="KS88" s="291"/>
      <c r="KT88" s="291"/>
      <c r="KU88" s="291"/>
      <c r="KV88" s="291"/>
      <c r="KW88" s="291"/>
      <c r="KX88" s="291"/>
      <c r="KY88" s="291"/>
      <c r="KZ88" s="291"/>
      <c r="LA88" s="291"/>
      <c r="LB88" s="291"/>
      <c r="LC88" s="291"/>
      <c r="LD88" s="291"/>
      <c r="LE88" s="291"/>
      <c r="LF88" s="291"/>
      <c r="LG88" s="291"/>
      <c r="LH88" s="291"/>
      <c r="LI88" s="291"/>
      <c r="LJ88" s="291"/>
      <c r="LK88" s="291"/>
      <c r="LL88" s="291"/>
      <c r="LM88" s="291"/>
      <c r="LN88" s="291"/>
      <c r="LO88" s="291"/>
      <c r="LP88" s="291"/>
      <c r="LQ88" s="291"/>
      <c r="LR88" s="291"/>
      <c r="LS88" s="291"/>
      <c r="LT88" s="291"/>
      <c r="LU88" s="291"/>
      <c r="LV88" s="291"/>
      <c r="LW88" s="291"/>
      <c r="LX88" s="291"/>
      <c r="LY88" s="291"/>
      <c r="LZ88" s="291"/>
      <c r="MA88" s="291"/>
      <c r="MB88" s="291"/>
      <c r="MC88" s="291"/>
      <c r="MD88" s="291"/>
      <c r="ME88" s="291"/>
      <c r="MF88" s="291"/>
      <c r="MG88" s="291"/>
      <c r="MH88" s="291"/>
      <c r="MI88" s="291"/>
      <c r="MJ88" s="291"/>
      <c r="MK88" s="291"/>
      <c r="ML88" s="291"/>
      <c r="MM88" s="291"/>
      <c r="MN88" s="291"/>
      <c r="MO88" s="291"/>
      <c r="MP88" s="291"/>
      <c r="MQ88" s="291"/>
      <c r="MR88" s="291"/>
      <c r="MS88" s="291"/>
      <c r="MT88" s="291"/>
      <c r="MU88" s="291"/>
      <c r="MV88" s="291"/>
      <c r="MW88" s="291"/>
      <c r="MX88" s="291"/>
      <c r="MY88" s="291"/>
      <c r="MZ88" s="291"/>
      <c r="NA88" s="291"/>
      <c r="NB88" s="291"/>
      <c r="NC88" s="291"/>
      <c r="ND88" s="291"/>
      <c r="NE88" s="291"/>
      <c r="NF88" s="291"/>
      <c r="NG88" s="291"/>
      <c r="NH88" s="291"/>
      <c r="NI88" s="291"/>
      <c r="NJ88" s="291"/>
      <c r="NK88" s="291"/>
      <c r="NL88" s="291"/>
      <c r="NM88" s="291"/>
      <c r="NN88" s="291"/>
      <c r="NO88" s="291"/>
      <c r="NP88" s="291"/>
      <c r="NQ88" s="291"/>
      <c r="NR88" s="291"/>
      <c r="NS88" s="291"/>
      <c r="NT88" s="291"/>
      <c r="NU88" s="291"/>
      <c r="NV88" s="291"/>
      <c r="NW88" s="291"/>
      <c r="NX88" s="291"/>
      <c r="NY88" s="291"/>
      <c r="NZ88" s="291"/>
      <c r="OA88" s="291"/>
      <c r="OB88" s="291"/>
      <c r="OC88" s="291"/>
      <c r="OD88" s="291"/>
      <c r="OE88" s="291"/>
      <c r="OF88" s="291"/>
      <c r="OG88" s="291"/>
      <c r="OH88" s="291"/>
      <c r="OI88" s="291"/>
      <c r="OJ88" s="291"/>
      <c r="OK88" s="291"/>
      <c r="OL88" s="291"/>
      <c r="OM88" s="291"/>
      <c r="ON88" s="291"/>
      <c r="OO88" s="291"/>
      <c r="OP88" s="291"/>
      <c r="OQ88" s="291"/>
      <c r="OR88" s="291"/>
      <c r="OS88" s="291"/>
      <c r="OT88" s="291"/>
      <c r="OU88" s="291"/>
      <c r="OV88" s="291"/>
      <c r="OW88" s="291"/>
    </row>
    <row r="89" spans="1:413" s="257" customFormat="1" hidden="1" x14ac:dyDescent="0.2">
      <c r="A89" s="291"/>
      <c r="B89" s="524">
        <f t="shared" si="7"/>
        <v>73</v>
      </c>
      <c r="C89" s="510" t="s">
        <v>41</v>
      </c>
      <c r="D89" s="511">
        <v>30104157</v>
      </c>
      <c r="E89" s="511"/>
      <c r="F89" s="512" t="s">
        <v>1220</v>
      </c>
      <c r="G89" s="513" t="s">
        <v>45</v>
      </c>
      <c r="H89" s="514" t="s">
        <v>1094</v>
      </c>
      <c r="I89" s="515" t="s">
        <v>1146</v>
      </c>
      <c r="J89" s="346"/>
      <c r="K89" s="526">
        <v>469687</v>
      </c>
      <c r="L89" s="527">
        <v>19533</v>
      </c>
      <c r="M89" s="528">
        <v>394838</v>
      </c>
      <c r="N89" s="520">
        <v>0</v>
      </c>
      <c r="O89" s="520">
        <v>0</v>
      </c>
      <c r="P89" s="520">
        <v>0</v>
      </c>
      <c r="Q89" s="520">
        <v>0</v>
      </c>
      <c r="R89" s="520">
        <v>0</v>
      </c>
      <c r="S89" s="520">
        <v>0</v>
      </c>
      <c r="T89" s="18"/>
      <c r="U89" s="18"/>
      <c r="V89" s="18"/>
      <c r="W89" s="18"/>
      <c r="X89" s="18"/>
      <c r="Y89" s="18"/>
      <c r="Z89" s="18">
        <f t="shared" si="4"/>
        <v>0</v>
      </c>
      <c r="AA89" s="309">
        <v>42818</v>
      </c>
      <c r="AB89" s="19">
        <v>11</v>
      </c>
      <c r="AC89" s="521">
        <v>44237</v>
      </c>
      <c r="AD89" s="25">
        <v>44251</v>
      </c>
      <c r="AE89" s="309"/>
      <c r="AF89" s="20"/>
      <c r="AG89" s="23"/>
      <c r="AH89" s="25"/>
      <c r="AI89" s="309"/>
      <c r="AJ89" s="19"/>
      <c r="AK89" s="23"/>
      <c r="AL89" s="25"/>
      <c r="AM89" s="309"/>
      <c r="AN89" s="19"/>
      <c r="AO89" s="21"/>
      <c r="AP89" s="25"/>
      <c r="AQ89" s="309"/>
      <c r="AR89" s="19"/>
      <c r="AS89" s="21"/>
      <c r="AT89" s="25"/>
      <c r="AU89" s="522">
        <f t="shared" si="5"/>
        <v>42818</v>
      </c>
      <c r="AV89" s="311">
        <f t="shared" si="6"/>
        <v>42818</v>
      </c>
      <c r="AW89" s="305"/>
      <c r="AX89" s="291"/>
      <c r="AY89" s="291"/>
      <c r="AZ89" s="291"/>
      <c r="BA89" s="291"/>
      <c r="BB89" s="291"/>
      <c r="BC89" s="291"/>
      <c r="BD89" s="291"/>
      <c r="BE89" s="291"/>
      <c r="BF89" s="291"/>
      <c r="BG89" s="291"/>
      <c r="BH89" s="291"/>
      <c r="BI89" s="291"/>
      <c r="BJ89" s="291"/>
      <c r="BK89" s="291"/>
      <c r="BL89" s="291"/>
      <c r="BM89" s="291"/>
      <c r="BN89" s="291"/>
      <c r="BO89" s="291"/>
      <c r="BP89" s="291"/>
      <c r="BQ89" s="291"/>
      <c r="BR89" s="291"/>
      <c r="BS89" s="291"/>
      <c r="BT89" s="291"/>
      <c r="BU89" s="291"/>
      <c r="BV89" s="291"/>
      <c r="BW89" s="291"/>
      <c r="BX89" s="291"/>
      <c r="BY89" s="291"/>
      <c r="BZ89" s="291"/>
      <c r="CA89" s="291"/>
      <c r="CB89" s="291"/>
      <c r="CC89" s="291"/>
      <c r="CD89" s="291"/>
      <c r="CE89" s="291"/>
      <c r="CF89" s="291"/>
      <c r="CG89" s="291"/>
      <c r="CH89" s="291"/>
      <c r="CI89" s="291"/>
      <c r="CJ89" s="291"/>
      <c r="CK89" s="291"/>
      <c r="CL89" s="291"/>
      <c r="CM89" s="291"/>
      <c r="CN89" s="291"/>
      <c r="CO89" s="291"/>
      <c r="CP89" s="291"/>
      <c r="CQ89" s="291"/>
      <c r="CR89" s="291"/>
      <c r="CS89" s="291"/>
      <c r="CT89" s="291"/>
      <c r="CU89" s="291"/>
      <c r="CV89" s="291"/>
      <c r="CW89" s="291"/>
      <c r="CX89" s="291"/>
      <c r="CY89" s="291"/>
      <c r="CZ89" s="291"/>
      <c r="DA89" s="291"/>
      <c r="DB89" s="291"/>
      <c r="DC89" s="291"/>
      <c r="DD89" s="291"/>
      <c r="DE89" s="291"/>
      <c r="DF89" s="291"/>
      <c r="DG89" s="291"/>
      <c r="DH89" s="291"/>
      <c r="DI89" s="291"/>
      <c r="DJ89" s="291"/>
      <c r="DK89" s="291"/>
      <c r="DL89" s="291"/>
      <c r="DM89" s="291"/>
      <c r="DN89" s="291"/>
      <c r="DO89" s="291"/>
      <c r="DP89" s="291"/>
      <c r="DQ89" s="291"/>
      <c r="DR89" s="291"/>
      <c r="DS89" s="291"/>
      <c r="DT89" s="291"/>
      <c r="DU89" s="291"/>
      <c r="DV89" s="291"/>
      <c r="DW89" s="291"/>
      <c r="DX89" s="291"/>
      <c r="DY89" s="291"/>
      <c r="DZ89" s="291"/>
      <c r="EA89" s="291"/>
      <c r="EB89" s="291"/>
      <c r="EC89" s="291"/>
      <c r="ED89" s="291"/>
      <c r="EE89" s="291"/>
      <c r="EF89" s="291"/>
      <c r="EG89" s="291"/>
      <c r="EH89" s="291"/>
      <c r="EI89" s="291"/>
      <c r="EJ89" s="291"/>
      <c r="EK89" s="291"/>
      <c r="EL89" s="291"/>
      <c r="EM89" s="291"/>
      <c r="EN89" s="291"/>
      <c r="EO89" s="291"/>
      <c r="EP89" s="291"/>
      <c r="EQ89" s="291"/>
      <c r="ER89" s="291"/>
      <c r="ES89" s="291"/>
      <c r="ET89" s="291"/>
      <c r="EU89" s="291"/>
      <c r="EV89" s="291"/>
      <c r="EW89" s="291"/>
      <c r="EX89" s="291"/>
      <c r="EY89" s="291"/>
      <c r="EZ89" s="291"/>
      <c r="FA89" s="291"/>
      <c r="FB89" s="291"/>
      <c r="FC89" s="291"/>
      <c r="FD89" s="291"/>
      <c r="FE89" s="291"/>
      <c r="FF89" s="291"/>
      <c r="FG89" s="291"/>
      <c r="FH89" s="291"/>
      <c r="FI89" s="291"/>
      <c r="FJ89" s="291"/>
      <c r="FK89" s="291"/>
      <c r="FL89" s="291"/>
      <c r="FM89" s="291"/>
      <c r="FN89" s="291"/>
      <c r="FO89" s="291"/>
      <c r="FP89" s="291"/>
      <c r="FQ89" s="291"/>
      <c r="FR89" s="291"/>
      <c r="FS89" s="291"/>
      <c r="FT89" s="291"/>
      <c r="FU89" s="291"/>
      <c r="FV89" s="291"/>
      <c r="FW89" s="291"/>
      <c r="FX89" s="291"/>
      <c r="FY89" s="291"/>
      <c r="FZ89" s="291"/>
      <c r="GA89" s="291"/>
      <c r="GB89" s="291"/>
      <c r="GC89" s="291"/>
      <c r="GD89" s="291"/>
      <c r="GE89" s="291"/>
      <c r="GF89" s="291"/>
      <c r="GG89" s="291"/>
      <c r="GH89" s="291"/>
      <c r="GI89" s="291"/>
      <c r="GJ89" s="291"/>
      <c r="GK89" s="291"/>
      <c r="GL89" s="291"/>
      <c r="GM89" s="291"/>
      <c r="GN89" s="291"/>
      <c r="GO89" s="291"/>
      <c r="GP89" s="291"/>
      <c r="GQ89" s="291"/>
      <c r="GR89" s="291"/>
      <c r="GS89" s="291"/>
      <c r="GT89" s="291"/>
      <c r="GU89" s="291"/>
      <c r="GV89" s="291"/>
      <c r="GW89" s="291"/>
      <c r="GX89" s="291"/>
      <c r="GY89" s="291"/>
      <c r="GZ89" s="291"/>
      <c r="HA89" s="291"/>
      <c r="HB89" s="291"/>
      <c r="HC89" s="291"/>
      <c r="HD89" s="291"/>
      <c r="HE89" s="291"/>
      <c r="HF89" s="291"/>
      <c r="HG89" s="291"/>
      <c r="HH89" s="291"/>
      <c r="HI89" s="291"/>
      <c r="HJ89" s="291"/>
      <c r="HK89" s="291"/>
      <c r="HL89" s="291"/>
      <c r="HM89" s="291"/>
      <c r="HN89" s="291"/>
      <c r="HO89" s="291"/>
      <c r="HP89" s="291"/>
      <c r="HQ89" s="291"/>
      <c r="HR89" s="291"/>
      <c r="HS89" s="291"/>
      <c r="HT89" s="291"/>
      <c r="HU89" s="291"/>
      <c r="HV89" s="291"/>
      <c r="HW89" s="291"/>
      <c r="HX89" s="291"/>
      <c r="HY89" s="291"/>
      <c r="HZ89" s="291"/>
      <c r="IA89" s="291"/>
      <c r="IB89" s="291"/>
      <c r="IC89" s="291"/>
      <c r="ID89" s="291"/>
      <c r="IE89" s="291"/>
      <c r="IF89" s="291"/>
      <c r="IG89" s="291"/>
      <c r="IH89" s="291"/>
      <c r="II89" s="291"/>
      <c r="IJ89" s="291"/>
      <c r="IK89" s="291"/>
      <c r="IL89" s="291"/>
      <c r="IM89" s="291"/>
      <c r="IN89" s="291"/>
      <c r="IO89" s="291"/>
      <c r="IP89" s="291"/>
      <c r="IQ89" s="291"/>
      <c r="IR89" s="291"/>
      <c r="IS89" s="291"/>
      <c r="IT89" s="291"/>
      <c r="IU89" s="291"/>
      <c r="IV89" s="291"/>
      <c r="IW89" s="291"/>
      <c r="IX89" s="291"/>
      <c r="IY89" s="291"/>
      <c r="IZ89" s="291"/>
      <c r="JA89" s="291"/>
      <c r="JB89" s="291"/>
      <c r="JC89" s="291"/>
      <c r="JD89" s="291"/>
      <c r="JE89" s="291"/>
      <c r="JF89" s="291"/>
      <c r="JG89" s="291"/>
      <c r="JH89" s="291"/>
      <c r="JI89" s="291"/>
      <c r="JJ89" s="291"/>
      <c r="JK89" s="291"/>
      <c r="JL89" s="291"/>
      <c r="JM89" s="291"/>
      <c r="JN89" s="291"/>
      <c r="JO89" s="291"/>
      <c r="JP89" s="291"/>
      <c r="JQ89" s="291"/>
      <c r="JR89" s="291"/>
      <c r="JS89" s="291"/>
      <c r="JT89" s="291"/>
      <c r="JU89" s="291"/>
      <c r="JV89" s="291"/>
      <c r="JW89" s="291"/>
      <c r="JX89" s="291"/>
      <c r="JY89" s="291"/>
      <c r="JZ89" s="291"/>
      <c r="KA89" s="291"/>
      <c r="KB89" s="291"/>
      <c r="KC89" s="291"/>
      <c r="KD89" s="291"/>
      <c r="KE89" s="291"/>
      <c r="KF89" s="291"/>
      <c r="KG89" s="291"/>
      <c r="KH89" s="291"/>
      <c r="KI89" s="291"/>
      <c r="KJ89" s="291"/>
      <c r="KK89" s="291"/>
      <c r="KL89" s="291"/>
      <c r="KM89" s="291"/>
      <c r="KN89" s="291"/>
      <c r="KO89" s="291"/>
      <c r="KP89" s="291"/>
      <c r="KQ89" s="291"/>
      <c r="KR89" s="291"/>
      <c r="KS89" s="291"/>
      <c r="KT89" s="291"/>
      <c r="KU89" s="291"/>
      <c r="KV89" s="291"/>
      <c r="KW89" s="291"/>
      <c r="KX89" s="291"/>
      <c r="KY89" s="291"/>
      <c r="KZ89" s="291"/>
      <c r="LA89" s="291"/>
      <c r="LB89" s="291"/>
      <c r="LC89" s="291"/>
      <c r="LD89" s="291"/>
      <c r="LE89" s="291"/>
      <c r="LF89" s="291"/>
      <c r="LG89" s="291"/>
      <c r="LH89" s="291"/>
      <c r="LI89" s="291"/>
      <c r="LJ89" s="291"/>
      <c r="LK89" s="291"/>
      <c r="LL89" s="291"/>
      <c r="LM89" s="291"/>
      <c r="LN89" s="291"/>
      <c r="LO89" s="291"/>
      <c r="LP89" s="291"/>
      <c r="LQ89" s="291"/>
      <c r="LR89" s="291"/>
      <c r="LS89" s="291"/>
      <c r="LT89" s="291"/>
      <c r="LU89" s="291"/>
      <c r="LV89" s="291"/>
      <c r="LW89" s="291"/>
      <c r="LX89" s="291"/>
      <c r="LY89" s="291"/>
      <c r="LZ89" s="291"/>
      <c r="MA89" s="291"/>
      <c r="MB89" s="291"/>
      <c r="MC89" s="291"/>
      <c r="MD89" s="291"/>
      <c r="ME89" s="291"/>
      <c r="MF89" s="291"/>
      <c r="MG89" s="291"/>
      <c r="MH89" s="291"/>
      <c r="MI89" s="291"/>
      <c r="MJ89" s="291"/>
      <c r="MK89" s="291"/>
      <c r="ML89" s="291"/>
      <c r="MM89" s="291"/>
      <c r="MN89" s="291"/>
      <c r="MO89" s="291"/>
      <c r="MP89" s="291"/>
      <c r="MQ89" s="291"/>
      <c r="MR89" s="291"/>
      <c r="MS89" s="291"/>
      <c r="MT89" s="291"/>
      <c r="MU89" s="291"/>
      <c r="MV89" s="291"/>
      <c r="MW89" s="291"/>
      <c r="MX89" s="291"/>
      <c r="MY89" s="291"/>
      <c r="MZ89" s="291"/>
      <c r="NA89" s="291"/>
      <c r="NB89" s="291"/>
      <c r="NC89" s="291"/>
      <c r="ND89" s="291"/>
      <c r="NE89" s="291"/>
      <c r="NF89" s="291"/>
      <c r="NG89" s="291"/>
      <c r="NH89" s="291"/>
      <c r="NI89" s="291"/>
      <c r="NJ89" s="291"/>
      <c r="NK89" s="291"/>
      <c r="NL89" s="291"/>
      <c r="NM89" s="291"/>
      <c r="NN89" s="291"/>
      <c r="NO89" s="291"/>
      <c r="NP89" s="291"/>
      <c r="NQ89" s="291"/>
      <c r="NR89" s="291"/>
      <c r="NS89" s="291"/>
      <c r="NT89" s="291"/>
      <c r="NU89" s="291"/>
      <c r="NV89" s="291"/>
      <c r="NW89" s="291"/>
      <c r="NX89" s="291"/>
      <c r="NY89" s="291"/>
      <c r="NZ89" s="291"/>
      <c r="OA89" s="291"/>
      <c r="OB89" s="291"/>
      <c r="OC89" s="291"/>
      <c r="OD89" s="291"/>
      <c r="OE89" s="291"/>
      <c r="OF89" s="291"/>
      <c r="OG89" s="291"/>
      <c r="OH89" s="291"/>
      <c r="OI89" s="291"/>
      <c r="OJ89" s="291"/>
      <c r="OK89" s="291"/>
      <c r="OL89" s="291"/>
      <c r="OM89" s="291"/>
      <c r="ON89" s="291"/>
      <c r="OO89" s="291"/>
      <c r="OP89" s="291"/>
      <c r="OQ89" s="291"/>
      <c r="OR89" s="291"/>
      <c r="OS89" s="291"/>
      <c r="OT89" s="291"/>
      <c r="OU89" s="291"/>
      <c r="OV89" s="291"/>
      <c r="OW89" s="291"/>
    </row>
    <row r="90" spans="1:413" s="257" customFormat="1" hidden="1" x14ac:dyDescent="0.2">
      <c r="A90" s="291"/>
      <c r="B90" s="524">
        <f t="shared" si="7"/>
        <v>74</v>
      </c>
      <c r="C90" s="510" t="s">
        <v>38</v>
      </c>
      <c r="D90" s="511">
        <v>30104202</v>
      </c>
      <c r="E90" s="511"/>
      <c r="F90" s="512" t="s">
        <v>1221</v>
      </c>
      <c r="G90" s="513" t="s">
        <v>45</v>
      </c>
      <c r="H90" s="514" t="s">
        <v>1094</v>
      </c>
      <c r="I90" s="515" t="s">
        <v>1159</v>
      </c>
      <c r="J90" s="346" t="s">
        <v>42</v>
      </c>
      <c r="K90" s="526">
        <v>885222</v>
      </c>
      <c r="L90" s="527">
        <v>734011</v>
      </c>
      <c r="M90" s="528">
        <v>0</v>
      </c>
      <c r="N90" s="519">
        <v>0</v>
      </c>
      <c r="O90" s="519">
        <v>0</v>
      </c>
      <c r="P90" s="519">
        <v>0</v>
      </c>
      <c r="Q90" s="519">
        <v>0</v>
      </c>
      <c r="R90" s="519">
        <v>0</v>
      </c>
      <c r="S90" s="520">
        <v>127309</v>
      </c>
      <c r="T90" s="18"/>
      <c r="U90" s="18"/>
      <c r="V90" s="18"/>
      <c r="W90" s="18"/>
      <c r="X90" s="18"/>
      <c r="Y90" s="18"/>
      <c r="Z90" s="18">
        <f t="shared" si="4"/>
        <v>127309</v>
      </c>
      <c r="AA90" s="309">
        <v>151211</v>
      </c>
      <c r="AB90" s="19">
        <v>5</v>
      </c>
      <c r="AC90" s="521">
        <v>44224</v>
      </c>
      <c r="AD90" s="25">
        <v>44251</v>
      </c>
      <c r="AE90" s="309">
        <v>10718</v>
      </c>
      <c r="AF90" s="20">
        <v>22</v>
      </c>
      <c r="AG90" s="23">
        <v>44301</v>
      </c>
      <c r="AH90" s="25">
        <v>44313</v>
      </c>
      <c r="AI90" s="309"/>
      <c r="AJ90" s="19"/>
      <c r="AK90" s="23"/>
      <c r="AL90" s="25"/>
      <c r="AM90" s="309"/>
      <c r="AN90" s="19"/>
      <c r="AO90" s="21"/>
      <c r="AP90" s="25"/>
      <c r="AQ90" s="309"/>
      <c r="AR90" s="19"/>
      <c r="AS90" s="21"/>
      <c r="AT90" s="25"/>
      <c r="AU90" s="522">
        <f t="shared" si="5"/>
        <v>161929</v>
      </c>
      <c r="AV90" s="311">
        <f t="shared" si="6"/>
        <v>34620</v>
      </c>
      <c r="AW90" s="305"/>
      <c r="AX90" s="291"/>
      <c r="AY90" s="291"/>
      <c r="AZ90" s="291"/>
      <c r="BA90" s="291"/>
      <c r="BB90" s="291"/>
      <c r="BC90" s="291"/>
      <c r="BD90" s="291"/>
      <c r="BE90" s="291"/>
      <c r="BF90" s="291"/>
      <c r="BG90" s="291"/>
      <c r="BH90" s="291"/>
      <c r="BI90" s="291"/>
      <c r="BJ90" s="291"/>
      <c r="BK90" s="291"/>
      <c r="BL90" s="291"/>
      <c r="BM90" s="291"/>
      <c r="BN90" s="291"/>
      <c r="BO90" s="291"/>
      <c r="BP90" s="291"/>
      <c r="BQ90" s="291"/>
      <c r="BR90" s="291"/>
      <c r="BS90" s="291"/>
      <c r="BT90" s="291"/>
      <c r="BU90" s="291"/>
      <c r="BV90" s="291"/>
      <c r="BW90" s="291"/>
      <c r="BX90" s="291"/>
      <c r="BY90" s="291"/>
      <c r="BZ90" s="291"/>
      <c r="CA90" s="291"/>
      <c r="CB90" s="291"/>
      <c r="CC90" s="291"/>
      <c r="CD90" s="291"/>
      <c r="CE90" s="291"/>
      <c r="CF90" s="291"/>
      <c r="CG90" s="291"/>
      <c r="CH90" s="291"/>
      <c r="CI90" s="291"/>
      <c r="CJ90" s="291"/>
      <c r="CK90" s="291"/>
      <c r="CL90" s="291"/>
      <c r="CM90" s="291"/>
      <c r="CN90" s="291"/>
      <c r="CO90" s="291"/>
      <c r="CP90" s="291"/>
      <c r="CQ90" s="291"/>
      <c r="CR90" s="291"/>
      <c r="CS90" s="291"/>
      <c r="CT90" s="291"/>
      <c r="CU90" s="291"/>
      <c r="CV90" s="291"/>
      <c r="CW90" s="291"/>
      <c r="CX90" s="291"/>
      <c r="CY90" s="291"/>
      <c r="CZ90" s="291"/>
      <c r="DA90" s="291"/>
      <c r="DB90" s="291"/>
      <c r="DC90" s="291"/>
      <c r="DD90" s="291"/>
      <c r="DE90" s="291"/>
      <c r="DF90" s="291"/>
      <c r="DG90" s="291"/>
      <c r="DH90" s="291"/>
      <c r="DI90" s="291"/>
      <c r="DJ90" s="291"/>
      <c r="DK90" s="291"/>
      <c r="DL90" s="291"/>
      <c r="DM90" s="291"/>
      <c r="DN90" s="291"/>
      <c r="DO90" s="291"/>
      <c r="DP90" s="291"/>
      <c r="DQ90" s="291"/>
      <c r="DR90" s="291"/>
      <c r="DS90" s="291"/>
      <c r="DT90" s="291"/>
      <c r="DU90" s="291"/>
      <c r="DV90" s="291"/>
      <c r="DW90" s="291"/>
      <c r="DX90" s="291"/>
      <c r="DY90" s="291"/>
      <c r="DZ90" s="291"/>
      <c r="EA90" s="291"/>
      <c r="EB90" s="291"/>
      <c r="EC90" s="291"/>
      <c r="ED90" s="291"/>
      <c r="EE90" s="291"/>
      <c r="EF90" s="291"/>
      <c r="EG90" s="291"/>
      <c r="EH90" s="291"/>
      <c r="EI90" s="291"/>
      <c r="EJ90" s="291"/>
      <c r="EK90" s="291"/>
      <c r="EL90" s="291"/>
      <c r="EM90" s="291"/>
      <c r="EN90" s="291"/>
      <c r="EO90" s="291"/>
      <c r="EP90" s="291"/>
      <c r="EQ90" s="291"/>
      <c r="ER90" s="291"/>
      <c r="ES90" s="291"/>
      <c r="ET90" s="291"/>
      <c r="EU90" s="291"/>
      <c r="EV90" s="291"/>
      <c r="EW90" s="291"/>
      <c r="EX90" s="291"/>
      <c r="EY90" s="291"/>
      <c r="EZ90" s="291"/>
      <c r="FA90" s="291"/>
      <c r="FB90" s="291"/>
      <c r="FC90" s="291"/>
      <c r="FD90" s="291"/>
      <c r="FE90" s="291"/>
      <c r="FF90" s="291"/>
      <c r="FG90" s="291"/>
      <c r="FH90" s="291"/>
      <c r="FI90" s="291"/>
      <c r="FJ90" s="291"/>
      <c r="FK90" s="291"/>
      <c r="FL90" s="291"/>
      <c r="FM90" s="291"/>
      <c r="FN90" s="291"/>
      <c r="FO90" s="291"/>
      <c r="FP90" s="291"/>
      <c r="FQ90" s="291"/>
      <c r="FR90" s="291"/>
      <c r="FS90" s="291"/>
      <c r="FT90" s="291"/>
      <c r="FU90" s="291"/>
      <c r="FV90" s="291"/>
      <c r="FW90" s="291"/>
      <c r="FX90" s="291"/>
      <c r="FY90" s="291"/>
      <c r="FZ90" s="291"/>
      <c r="GA90" s="291"/>
      <c r="GB90" s="291"/>
      <c r="GC90" s="291"/>
      <c r="GD90" s="291"/>
      <c r="GE90" s="291"/>
      <c r="GF90" s="291"/>
      <c r="GG90" s="291"/>
      <c r="GH90" s="291"/>
      <c r="GI90" s="291"/>
      <c r="GJ90" s="291"/>
      <c r="GK90" s="291"/>
      <c r="GL90" s="291"/>
      <c r="GM90" s="291"/>
      <c r="GN90" s="291"/>
      <c r="GO90" s="291"/>
      <c r="GP90" s="291"/>
      <c r="GQ90" s="291"/>
      <c r="GR90" s="291"/>
      <c r="GS90" s="291"/>
      <c r="GT90" s="291"/>
      <c r="GU90" s="291"/>
      <c r="GV90" s="291"/>
      <c r="GW90" s="291"/>
      <c r="GX90" s="291"/>
      <c r="GY90" s="291"/>
      <c r="GZ90" s="291"/>
      <c r="HA90" s="291"/>
      <c r="HB90" s="291"/>
      <c r="HC90" s="291"/>
      <c r="HD90" s="291"/>
      <c r="HE90" s="291"/>
      <c r="HF90" s="291"/>
      <c r="HG90" s="291"/>
      <c r="HH90" s="291"/>
      <c r="HI90" s="291"/>
      <c r="HJ90" s="291"/>
      <c r="HK90" s="291"/>
      <c r="HL90" s="291"/>
      <c r="HM90" s="291"/>
      <c r="HN90" s="291"/>
      <c r="HO90" s="291"/>
      <c r="HP90" s="291"/>
      <c r="HQ90" s="291"/>
      <c r="HR90" s="291"/>
      <c r="HS90" s="291"/>
      <c r="HT90" s="291"/>
      <c r="HU90" s="291"/>
      <c r="HV90" s="291"/>
      <c r="HW90" s="291"/>
      <c r="HX90" s="291"/>
      <c r="HY90" s="291"/>
      <c r="HZ90" s="291"/>
      <c r="IA90" s="291"/>
      <c r="IB90" s="291"/>
      <c r="IC90" s="291"/>
      <c r="ID90" s="291"/>
      <c r="IE90" s="291"/>
      <c r="IF90" s="291"/>
      <c r="IG90" s="291"/>
      <c r="IH90" s="291"/>
      <c r="II90" s="291"/>
      <c r="IJ90" s="291"/>
      <c r="IK90" s="291"/>
      <c r="IL90" s="291"/>
      <c r="IM90" s="291"/>
      <c r="IN90" s="291"/>
      <c r="IO90" s="291"/>
      <c r="IP90" s="291"/>
      <c r="IQ90" s="291"/>
      <c r="IR90" s="291"/>
      <c r="IS90" s="291"/>
      <c r="IT90" s="291"/>
      <c r="IU90" s="291"/>
      <c r="IV90" s="291"/>
      <c r="IW90" s="291"/>
      <c r="IX90" s="291"/>
      <c r="IY90" s="291"/>
      <c r="IZ90" s="291"/>
      <c r="JA90" s="291"/>
      <c r="JB90" s="291"/>
      <c r="JC90" s="291"/>
      <c r="JD90" s="291"/>
      <c r="JE90" s="291"/>
      <c r="JF90" s="291"/>
      <c r="JG90" s="291"/>
      <c r="JH90" s="291"/>
      <c r="JI90" s="291"/>
      <c r="JJ90" s="291"/>
      <c r="JK90" s="291"/>
      <c r="JL90" s="291"/>
      <c r="JM90" s="291"/>
      <c r="JN90" s="291"/>
      <c r="JO90" s="291"/>
      <c r="JP90" s="291"/>
      <c r="JQ90" s="291"/>
      <c r="JR90" s="291"/>
      <c r="JS90" s="291"/>
      <c r="JT90" s="291"/>
      <c r="JU90" s="291"/>
      <c r="JV90" s="291"/>
      <c r="JW90" s="291"/>
      <c r="JX90" s="291"/>
      <c r="JY90" s="291"/>
      <c r="JZ90" s="291"/>
      <c r="KA90" s="291"/>
      <c r="KB90" s="291"/>
      <c r="KC90" s="291"/>
      <c r="KD90" s="291"/>
      <c r="KE90" s="291"/>
      <c r="KF90" s="291"/>
      <c r="KG90" s="291"/>
      <c r="KH90" s="291"/>
      <c r="KI90" s="291"/>
      <c r="KJ90" s="291"/>
      <c r="KK90" s="291"/>
      <c r="KL90" s="291"/>
      <c r="KM90" s="291"/>
      <c r="KN90" s="291"/>
      <c r="KO90" s="291"/>
      <c r="KP90" s="291"/>
      <c r="KQ90" s="291"/>
      <c r="KR90" s="291"/>
      <c r="KS90" s="291"/>
      <c r="KT90" s="291"/>
      <c r="KU90" s="291"/>
      <c r="KV90" s="291"/>
      <c r="KW90" s="291"/>
      <c r="KX90" s="291"/>
      <c r="KY90" s="291"/>
      <c r="KZ90" s="291"/>
      <c r="LA90" s="291"/>
      <c r="LB90" s="291"/>
      <c r="LC90" s="291"/>
      <c r="LD90" s="291"/>
      <c r="LE90" s="291"/>
      <c r="LF90" s="291"/>
      <c r="LG90" s="291"/>
      <c r="LH90" s="291"/>
      <c r="LI90" s="291"/>
      <c r="LJ90" s="291"/>
      <c r="LK90" s="291"/>
      <c r="LL90" s="291"/>
      <c r="LM90" s="291"/>
      <c r="LN90" s="291"/>
      <c r="LO90" s="291"/>
      <c r="LP90" s="291"/>
      <c r="LQ90" s="291"/>
      <c r="LR90" s="291"/>
      <c r="LS90" s="291"/>
      <c r="LT90" s="291"/>
      <c r="LU90" s="291"/>
      <c r="LV90" s="291"/>
      <c r="LW90" s="291"/>
      <c r="LX90" s="291"/>
      <c r="LY90" s="291"/>
      <c r="LZ90" s="291"/>
      <c r="MA90" s="291"/>
      <c r="MB90" s="291"/>
      <c r="MC90" s="291"/>
      <c r="MD90" s="291"/>
      <c r="ME90" s="291"/>
      <c r="MF90" s="291"/>
      <c r="MG90" s="291"/>
      <c r="MH90" s="291"/>
      <c r="MI90" s="291"/>
      <c r="MJ90" s="291"/>
      <c r="MK90" s="291"/>
      <c r="ML90" s="291"/>
      <c r="MM90" s="291"/>
      <c r="MN90" s="291"/>
      <c r="MO90" s="291"/>
      <c r="MP90" s="291"/>
      <c r="MQ90" s="291"/>
      <c r="MR90" s="291"/>
      <c r="MS90" s="291"/>
      <c r="MT90" s="291"/>
      <c r="MU90" s="291"/>
      <c r="MV90" s="291"/>
      <c r="MW90" s="291"/>
      <c r="MX90" s="291"/>
      <c r="MY90" s="291"/>
      <c r="MZ90" s="291"/>
      <c r="NA90" s="291"/>
      <c r="NB90" s="291"/>
      <c r="NC90" s="291"/>
      <c r="ND90" s="291"/>
      <c r="NE90" s="291"/>
      <c r="NF90" s="291"/>
      <c r="NG90" s="291"/>
      <c r="NH90" s="291"/>
      <c r="NI90" s="291"/>
      <c r="NJ90" s="291"/>
      <c r="NK90" s="291"/>
      <c r="NL90" s="291"/>
      <c r="NM90" s="291"/>
      <c r="NN90" s="291"/>
      <c r="NO90" s="291"/>
      <c r="NP90" s="291"/>
      <c r="NQ90" s="291"/>
      <c r="NR90" s="291"/>
      <c r="NS90" s="291"/>
      <c r="NT90" s="291"/>
      <c r="NU90" s="291"/>
      <c r="NV90" s="291"/>
      <c r="NW90" s="291"/>
      <c r="NX90" s="291"/>
      <c r="NY90" s="291"/>
      <c r="NZ90" s="291"/>
      <c r="OA90" s="291"/>
      <c r="OB90" s="291"/>
      <c r="OC90" s="291"/>
      <c r="OD90" s="291"/>
      <c r="OE90" s="291"/>
      <c r="OF90" s="291"/>
      <c r="OG90" s="291"/>
      <c r="OH90" s="291"/>
      <c r="OI90" s="291"/>
      <c r="OJ90" s="291"/>
      <c r="OK90" s="291"/>
      <c r="OL90" s="291"/>
      <c r="OM90" s="291"/>
      <c r="ON90" s="291"/>
      <c r="OO90" s="291"/>
      <c r="OP90" s="291"/>
      <c r="OQ90" s="291"/>
      <c r="OR90" s="291"/>
      <c r="OS90" s="291"/>
      <c r="OT90" s="291"/>
      <c r="OU90" s="291"/>
      <c r="OV90" s="291"/>
      <c r="OW90" s="291"/>
    </row>
    <row r="91" spans="1:413" s="257" customFormat="1" hidden="1" x14ac:dyDescent="0.2">
      <c r="A91" s="291"/>
      <c r="B91" s="524">
        <f t="shared" si="7"/>
        <v>75</v>
      </c>
      <c r="C91" s="510" t="s">
        <v>38</v>
      </c>
      <c r="D91" s="511">
        <v>30104260</v>
      </c>
      <c r="E91" s="511"/>
      <c r="F91" s="512" t="s">
        <v>1222</v>
      </c>
      <c r="G91" s="513" t="s">
        <v>45</v>
      </c>
      <c r="H91" s="514" t="s">
        <v>1094</v>
      </c>
      <c r="I91" s="515" t="s">
        <v>1176</v>
      </c>
      <c r="J91" s="346" t="s">
        <v>42</v>
      </c>
      <c r="K91" s="526">
        <v>782416</v>
      </c>
      <c r="L91" s="527">
        <v>407969</v>
      </c>
      <c r="M91" s="528">
        <v>0</v>
      </c>
      <c r="N91" s="519">
        <v>0</v>
      </c>
      <c r="O91" s="519">
        <v>24744</v>
      </c>
      <c r="P91" s="519">
        <v>21458</v>
      </c>
      <c r="Q91" s="519">
        <v>303</v>
      </c>
      <c r="R91" s="519">
        <v>36566</v>
      </c>
      <c r="S91" s="520">
        <v>34665</v>
      </c>
      <c r="T91" s="18"/>
      <c r="U91" s="18"/>
      <c r="V91" s="18"/>
      <c r="W91" s="18"/>
      <c r="X91" s="18"/>
      <c r="Y91" s="18"/>
      <c r="Z91" s="18">
        <f t="shared" si="4"/>
        <v>117736</v>
      </c>
      <c r="AA91" s="309">
        <v>374447</v>
      </c>
      <c r="AB91" s="19">
        <v>11</v>
      </c>
      <c r="AC91" s="521">
        <v>44237</v>
      </c>
      <c r="AD91" s="25">
        <v>44251</v>
      </c>
      <c r="AE91" s="309">
        <v>6802</v>
      </c>
      <c r="AF91" s="20">
        <v>22</v>
      </c>
      <c r="AG91" s="23">
        <v>44301</v>
      </c>
      <c r="AH91" s="25">
        <v>44313</v>
      </c>
      <c r="AI91" s="309"/>
      <c r="AJ91" s="19"/>
      <c r="AK91" s="23"/>
      <c r="AL91" s="25"/>
      <c r="AM91" s="309"/>
      <c r="AN91" s="19"/>
      <c r="AO91" s="21"/>
      <c r="AP91" s="25"/>
      <c r="AQ91" s="309"/>
      <c r="AR91" s="19"/>
      <c r="AS91" s="21"/>
      <c r="AT91" s="25"/>
      <c r="AU91" s="522">
        <f t="shared" si="5"/>
        <v>381249</v>
      </c>
      <c r="AV91" s="311">
        <f t="shared" si="6"/>
        <v>263513</v>
      </c>
      <c r="AW91" s="305"/>
      <c r="AX91" s="291"/>
      <c r="AY91" s="291"/>
      <c r="AZ91" s="291"/>
      <c r="BA91" s="291"/>
      <c r="BB91" s="291"/>
      <c r="BC91" s="291"/>
      <c r="BD91" s="291"/>
      <c r="BE91" s="291"/>
      <c r="BF91" s="291"/>
      <c r="BG91" s="291"/>
      <c r="BH91" s="291"/>
      <c r="BI91" s="291"/>
      <c r="BJ91" s="291"/>
      <c r="BK91" s="291"/>
      <c r="BL91" s="291"/>
      <c r="BM91" s="291"/>
      <c r="BN91" s="291"/>
      <c r="BO91" s="291"/>
      <c r="BP91" s="291"/>
      <c r="BQ91" s="291"/>
      <c r="BR91" s="291"/>
      <c r="BS91" s="291"/>
      <c r="BT91" s="291"/>
      <c r="BU91" s="291"/>
      <c r="BV91" s="291"/>
      <c r="BW91" s="291"/>
      <c r="BX91" s="291"/>
      <c r="BY91" s="291"/>
      <c r="BZ91" s="291"/>
      <c r="CA91" s="291"/>
      <c r="CB91" s="291"/>
      <c r="CC91" s="291"/>
      <c r="CD91" s="291"/>
      <c r="CE91" s="291"/>
      <c r="CF91" s="291"/>
      <c r="CG91" s="291"/>
      <c r="CH91" s="291"/>
      <c r="CI91" s="291"/>
      <c r="CJ91" s="291"/>
      <c r="CK91" s="291"/>
      <c r="CL91" s="291"/>
      <c r="CM91" s="291"/>
      <c r="CN91" s="291"/>
      <c r="CO91" s="291"/>
      <c r="CP91" s="291"/>
      <c r="CQ91" s="291"/>
      <c r="CR91" s="291"/>
      <c r="CS91" s="291"/>
      <c r="CT91" s="291"/>
      <c r="CU91" s="291"/>
      <c r="CV91" s="291"/>
      <c r="CW91" s="291"/>
      <c r="CX91" s="291"/>
      <c r="CY91" s="291"/>
      <c r="CZ91" s="291"/>
      <c r="DA91" s="291"/>
      <c r="DB91" s="291"/>
      <c r="DC91" s="291"/>
      <c r="DD91" s="291"/>
      <c r="DE91" s="291"/>
      <c r="DF91" s="291"/>
      <c r="DG91" s="291"/>
      <c r="DH91" s="291"/>
      <c r="DI91" s="291"/>
      <c r="DJ91" s="291"/>
      <c r="DK91" s="291"/>
      <c r="DL91" s="291"/>
      <c r="DM91" s="291"/>
      <c r="DN91" s="291"/>
      <c r="DO91" s="291"/>
      <c r="DP91" s="291"/>
      <c r="DQ91" s="291"/>
      <c r="DR91" s="291"/>
      <c r="DS91" s="291"/>
      <c r="DT91" s="291"/>
      <c r="DU91" s="291"/>
      <c r="DV91" s="291"/>
      <c r="DW91" s="291"/>
      <c r="DX91" s="291"/>
      <c r="DY91" s="291"/>
      <c r="DZ91" s="291"/>
      <c r="EA91" s="291"/>
      <c r="EB91" s="291"/>
      <c r="EC91" s="291"/>
      <c r="ED91" s="291"/>
      <c r="EE91" s="291"/>
      <c r="EF91" s="291"/>
      <c r="EG91" s="291"/>
      <c r="EH91" s="291"/>
      <c r="EI91" s="291"/>
      <c r="EJ91" s="291"/>
      <c r="EK91" s="291"/>
      <c r="EL91" s="291"/>
      <c r="EM91" s="291"/>
      <c r="EN91" s="291"/>
      <c r="EO91" s="291"/>
      <c r="EP91" s="291"/>
      <c r="EQ91" s="291"/>
      <c r="ER91" s="291"/>
      <c r="ES91" s="291"/>
      <c r="ET91" s="291"/>
      <c r="EU91" s="291"/>
      <c r="EV91" s="291"/>
      <c r="EW91" s="291"/>
      <c r="EX91" s="291"/>
      <c r="EY91" s="291"/>
      <c r="EZ91" s="291"/>
      <c r="FA91" s="291"/>
      <c r="FB91" s="291"/>
      <c r="FC91" s="291"/>
      <c r="FD91" s="291"/>
      <c r="FE91" s="291"/>
      <c r="FF91" s="291"/>
      <c r="FG91" s="291"/>
      <c r="FH91" s="291"/>
      <c r="FI91" s="291"/>
      <c r="FJ91" s="291"/>
      <c r="FK91" s="291"/>
      <c r="FL91" s="291"/>
      <c r="FM91" s="291"/>
      <c r="FN91" s="291"/>
      <c r="FO91" s="291"/>
      <c r="FP91" s="291"/>
      <c r="FQ91" s="291"/>
      <c r="FR91" s="291"/>
      <c r="FS91" s="291"/>
      <c r="FT91" s="291"/>
      <c r="FU91" s="291"/>
      <c r="FV91" s="291"/>
      <c r="FW91" s="291"/>
      <c r="FX91" s="291"/>
      <c r="FY91" s="291"/>
      <c r="FZ91" s="291"/>
      <c r="GA91" s="291"/>
      <c r="GB91" s="291"/>
      <c r="GC91" s="291"/>
      <c r="GD91" s="291"/>
      <c r="GE91" s="291"/>
      <c r="GF91" s="291"/>
      <c r="GG91" s="291"/>
      <c r="GH91" s="291"/>
      <c r="GI91" s="291"/>
      <c r="GJ91" s="291"/>
      <c r="GK91" s="291"/>
      <c r="GL91" s="291"/>
      <c r="GM91" s="291"/>
      <c r="GN91" s="291"/>
      <c r="GO91" s="291"/>
      <c r="GP91" s="291"/>
      <c r="GQ91" s="291"/>
      <c r="GR91" s="291"/>
      <c r="GS91" s="291"/>
      <c r="GT91" s="291"/>
      <c r="GU91" s="291"/>
      <c r="GV91" s="291"/>
      <c r="GW91" s="291"/>
      <c r="GX91" s="291"/>
      <c r="GY91" s="291"/>
      <c r="GZ91" s="291"/>
      <c r="HA91" s="291"/>
      <c r="HB91" s="291"/>
      <c r="HC91" s="291"/>
      <c r="HD91" s="291"/>
      <c r="HE91" s="291"/>
      <c r="HF91" s="291"/>
      <c r="HG91" s="291"/>
      <c r="HH91" s="291"/>
      <c r="HI91" s="291"/>
      <c r="HJ91" s="291"/>
      <c r="HK91" s="291"/>
      <c r="HL91" s="291"/>
      <c r="HM91" s="291"/>
      <c r="HN91" s="291"/>
      <c r="HO91" s="291"/>
      <c r="HP91" s="291"/>
      <c r="HQ91" s="291"/>
      <c r="HR91" s="291"/>
      <c r="HS91" s="291"/>
      <c r="HT91" s="291"/>
      <c r="HU91" s="291"/>
      <c r="HV91" s="291"/>
      <c r="HW91" s="291"/>
      <c r="HX91" s="291"/>
      <c r="HY91" s="291"/>
      <c r="HZ91" s="291"/>
      <c r="IA91" s="291"/>
      <c r="IB91" s="291"/>
      <c r="IC91" s="291"/>
      <c r="ID91" s="291"/>
      <c r="IE91" s="291"/>
      <c r="IF91" s="291"/>
      <c r="IG91" s="291"/>
      <c r="IH91" s="291"/>
      <c r="II91" s="291"/>
      <c r="IJ91" s="291"/>
      <c r="IK91" s="291"/>
      <c r="IL91" s="291"/>
      <c r="IM91" s="291"/>
      <c r="IN91" s="291"/>
      <c r="IO91" s="291"/>
      <c r="IP91" s="291"/>
      <c r="IQ91" s="291"/>
      <c r="IR91" s="291"/>
      <c r="IS91" s="291"/>
      <c r="IT91" s="291"/>
      <c r="IU91" s="291"/>
      <c r="IV91" s="291"/>
      <c r="IW91" s="291"/>
      <c r="IX91" s="291"/>
      <c r="IY91" s="291"/>
      <c r="IZ91" s="291"/>
      <c r="JA91" s="291"/>
      <c r="JB91" s="291"/>
      <c r="JC91" s="291"/>
      <c r="JD91" s="291"/>
      <c r="JE91" s="291"/>
      <c r="JF91" s="291"/>
      <c r="JG91" s="291"/>
      <c r="JH91" s="291"/>
      <c r="JI91" s="291"/>
      <c r="JJ91" s="291"/>
      <c r="JK91" s="291"/>
      <c r="JL91" s="291"/>
      <c r="JM91" s="291"/>
      <c r="JN91" s="291"/>
      <c r="JO91" s="291"/>
      <c r="JP91" s="291"/>
      <c r="JQ91" s="291"/>
      <c r="JR91" s="291"/>
      <c r="JS91" s="291"/>
      <c r="JT91" s="291"/>
      <c r="JU91" s="291"/>
      <c r="JV91" s="291"/>
      <c r="JW91" s="291"/>
      <c r="JX91" s="291"/>
      <c r="JY91" s="291"/>
      <c r="JZ91" s="291"/>
      <c r="KA91" s="291"/>
      <c r="KB91" s="291"/>
      <c r="KC91" s="291"/>
      <c r="KD91" s="291"/>
      <c r="KE91" s="291"/>
      <c r="KF91" s="291"/>
      <c r="KG91" s="291"/>
      <c r="KH91" s="291"/>
      <c r="KI91" s="291"/>
      <c r="KJ91" s="291"/>
      <c r="KK91" s="291"/>
      <c r="KL91" s="291"/>
      <c r="KM91" s="291"/>
      <c r="KN91" s="291"/>
      <c r="KO91" s="291"/>
      <c r="KP91" s="291"/>
      <c r="KQ91" s="291"/>
      <c r="KR91" s="291"/>
      <c r="KS91" s="291"/>
      <c r="KT91" s="291"/>
      <c r="KU91" s="291"/>
      <c r="KV91" s="291"/>
      <c r="KW91" s="291"/>
      <c r="KX91" s="291"/>
      <c r="KY91" s="291"/>
      <c r="KZ91" s="291"/>
      <c r="LA91" s="291"/>
      <c r="LB91" s="291"/>
      <c r="LC91" s="291"/>
      <c r="LD91" s="291"/>
      <c r="LE91" s="291"/>
      <c r="LF91" s="291"/>
      <c r="LG91" s="291"/>
      <c r="LH91" s="291"/>
      <c r="LI91" s="291"/>
      <c r="LJ91" s="291"/>
      <c r="LK91" s="291"/>
      <c r="LL91" s="291"/>
      <c r="LM91" s="291"/>
      <c r="LN91" s="291"/>
      <c r="LO91" s="291"/>
      <c r="LP91" s="291"/>
      <c r="LQ91" s="291"/>
      <c r="LR91" s="291"/>
      <c r="LS91" s="291"/>
      <c r="LT91" s="291"/>
      <c r="LU91" s="291"/>
      <c r="LV91" s="291"/>
      <c r="LW91" s="291"/>
      <c r="LX91" s="291"/>
      <c r="LY91" s="291"/>
      <c r="LZ91" s="291"/>
      <c r="MA91" s="291"/>
      <c r="MB91" s="291"/>
      <c r="MC91" s="291"/>
      <c r="MD91" s="291"/>
      <c r="ME91" s="291"/>
      <c r="MF91" s="291"/>
      <c r="MG91" s="291"/>
      <c r="MH91" s="291"/>
      <c r="MI91" s="291"/>
      <c r="MJ91" s="291"/>
      <c r="MK91" s="291"/>
      <c r="ML91" s="291"/>
      <c r="MM91" s="291"/>
      <c r="MN91" s="291"/>
      <c r="MO91" s="291"/>
      <c r="MP91" s="291"/>
      <c r="MQ91" s="291"/>
      <c r="MR91" s="291"/>
      <c r="MS91" s="291"/>
      <c r="MT91" s="291"/>
      <c r="MU91" s="291"/>
      <c r="MV91" s="291"/>
      <c r="MW91" s="291"/>
      <c r="MX91" s="291"/>
      <c r="MY91" s="291"/>
      <c r="MZ91" s="291"/>
      <c r="NA91" s="291"/>
      <c r="NB91" s="291"/>
      <c r="NC91" s="291"/>
      <c r="ND91" s="291"/>
      <c r="NE91" s="291"/>
      <c r="NF91" s="291"/>
      <c r="NG91" s="291"/>
      <c r="NH91" s="291"/>
      <c r="NI91" s="291"/>
      <c r="NJ91" s="291"/>
      <c r="NK91" s="291"/>
      <c r="NL91" s="291"/>
      <c r="NM91" s="291"/>
      <c r="NN91" s="291"/>
      <c r="NO91" s="291"/>
      <c r="NP91" s="291"/>
      <c r="NQ91" s="291"/>
      <c r="NR91" s="291"/>
      <c r="NS91" s="291"/>
      <c r="NT91" s="291"/>
      <c r="NU91" s="291"/>
      <c r="NV91" s="291"/>
      <c r="NW91" s="291"/>
      <c r="NX91" s="291"/>
      <c r="NY91" s="291"/>
      <c r="NZ91" s="291"/>
      <c r="OA91" s="291"/>
      <c r="OB91" s="291"/>
      <c r="OC91" s="291"/>
      <c r="OD91" s="291"/>
      <c r="OE91" s="291"/>
      <c r="OF91" s="291"/>
      <c r="OG91" s="291"/>
      <c r="OH91" s="291"/>
      <c r="OI91" s="291"/>
      <c r="OJ91" s="291"/>
      <c r="OK91" s="291"/>
      <c r="OL91" s="291"/>
      <c r="OM91" s="291"/>
      <c r="ON91" s="291"/>
      <c r="OO91" s="291"/>
      <c r="OP91" s="291"/>
      <c r="OQ91" s="291"/>
      <c r="OR91" s="291"/>
      <c r="OS91" s="291"/>
      <c r="OT91" s="291"/>
      <c r="OU91" s="291"/>
      <c r="OV91" s="291"/>
      <c r="OW91" s="291"/>
    </row>
    <row r="92" spans="1:413" s="257" customFormat="1" hidden="1" x14ac:dyDescent="0.2">
      <c r="A92" s="291"/>
      <c r="B92" s="524">
        <f t="shared" si="7"/>
        <v>76</v>
      </c>
      <c r="C92" s="510" t="s">
        <v>38</v>
      </c>
      <c r="D92" s="511">
        <v>30104313</v>
      </c>
      <c r="E92" s="511"/>
      <c r="F92" s="512" t="s">
        <v>1223</v>
      </c>
      <c r="G92" s="513" t="s">
        <v>45</v>
      </c>
      <c r="H92" s="514" t="s">
        <v>1094</v>
      </c>
      <c r="I92" s="515" t="s">
        <v>1099</v>
      </c>
      <c r="J92" s="346" t="s">
        <v>42</v>
      </c>
      <c r="K92" s="526">
        <v>2037656</v>
      </c>
      <c r="L92" s="527">
        <v>2009573</v>
      </c>
      <c r="M92" s="528">
        <v>1174</v>
      </c>
      <c r="N92" s="519">
        <v>0</v>
      </c>
      <c r="O92" s="519">
        <v>0</v>
      </c>
      <c r="P92" s="519">
        <v>0</v>
      </c>
      <c r="Q92" s="519">
        <v>0</v>
      </c>
      <c r="R92" s="519">
        <v>0</v>
      </c>
      <c r="S92" s="520">
        <v>0</v>
      </c>
      <c r="T92" s="18"/>
      <c r="U92" s="18"/>
      <c r="V92" s="18"/>
      <c r="W92" s="18"/>
      <c r="X92" s="18"/>
      <c r="Y92" s="18"/>
      <c r="Z92" s="18">
        <f t="shared" si="4"/>
        <v>0</v>
      </c>
      <c r="AA92" s="309">
        <v>26908</v>
      </c>
      <c r="AB92" s="19">
        <v>11</v>
      </c>
      <c r="AC92" s="521">
        <v>44237</v>
      </c>
      <c r="AD92" s="25">
        <v>44251</v>
      </c>
      <c r="AE92" s="309"/>
      <c r="AF92" s="20"/>
      <c r="AG92" s="23"/>
      <c r="AH92" s="25"/>
      <c r="AI92" s="309"/>
      <c r="AJ92" s="19"/>
      <c r="AK92" s="23"/>
      <c r="AL92" s="25"/>
      <c r="AM92" s="309"/>
      <c r="AN92" s="19"/>
      <c r="AO92" s="21"/>
      <c r="AP92" s="25"/>
      <c r="AQ92" s="309"/>
      <c r="AR92" s="19"/>
      <c r="AS92" s="21"/>
      <c r="AT92" s="25"/>
      <c r="AU92" s="522">
        <f t="shared" si="5"/>
        <v>26908</v>
      </c>
      <c r="AV92" s="311">
        <f t="shared" si="6"/>
        <v>26908</v>
      </c>
      <c r="AW92" s="305"/>
      <c r="AX92" s="291"/>
      <c r="AY92" s="291"/>
      <c r="AZ92" s="291"/>
      <c r="BA92" s="291"/>
      <c r="BB92" s="291"/>
      <c r="BC92" s="291"/>
      <c r="BD92" s="291"/>
      <c r="BE92" s="291"/>
      <c r="BF92" s="291"/>
      <c r="BG92" s="291"/>
      <c r="BH92" s="291"/>
      <c r="BI92" s="291"/>
      <c r="BJ92" s="291"/>
      <c r="BK92" s="291"/>
      <c r="BL92" s="291"/>
      <c r="BM92" s="291"/>
      <c r="BN92" s="291"/>
      <c r="BO92" s="291"/>
      <c r="BP92" s="291"/>
      <c r="BQ92" s="291"/>
      <c r="BR92" s="291"/>
      <c r="BS92" s="291"/>
      <c r="BT92" s="291"/>
      <c r="BU92" s="291"/>
      <c r="BV92" s="291"/>
      <c r="BW92" s="291"/>
      <c r="BX92" s="291"/>
      <c r="BY92" s="291"/>
      <c r="BZ92" s="291"/>
      <c r="CA92" s="291"/>
      <c r="CB92" s="291"/>
      <c r="CC92" s="291"/>
      <c r="CD92" s="291"/>
      <c r="CE92" s="291"/>
      <c r="CF92" s="291"/>
      <c r="CG92" s="291"/>
      <c r="CH92" s="291"/>
      <c r="CI92" s="291"/>
      <c r="CJ92" s="291"/>
      <c r="CK92" s="291"/>
      <c r="CL92" s="291"/>
      <c r="CM92" s="291"/>
      <c r="CN92" s="291"/>
      <c r="CO92" s="291"/>
      <c r="CP92" s="291"/>
      <c r="CQ92" s="291"/>
      <c r="CR92" s="291"/>
      <c r="CS92" s="291"/>
      <c r="CT92" s="291"/>
      <c r="CU92" s="291"/>
      <c r="CV92" s="291"/>
      <c r="CW92" s="291"/>
      <c r="CX92" s="291"/>
      <c r="CY92" s="291"/>
      <c r="CZ92" s="291"/>
      <c r="DA92" s="291"/>
      <c r="DB92" s="291"/>
      <c r="DC92" s="291"/>
      <c r="DD92" s="291"/>
      <c r="DE92" s="291"/>
      <c r="DF92" s="291"/>
      <c r="DG92" s="291"/>
      <c r="DH92" s="291"/>
      <c r="DI92" s="291"/>
      <c r="DJ92" s="291"/>
      <c r="DK92" s="291"/>
      <c r="DL92" s="291"/>
      <c r="DM92" s="291"/>
      <c r="DN92" s="291"/>
      <c r="DO92" s="291"/>
      <c r="DP92" s="291"/>
      <c r="DQ92" s="291"/>
      <c r="DR92" s="291"/>
      <c r="DS92" s="291"/>
      <c r="DT92" s="291"/>
      <c r="DU92" s="291"/>
      <c r="DV92" s="291"/>
      <c r="DW92" s="291"/>
      <c r="DX92" s="291"/>
      <c r="DY92" s="291"/>
      <c r="DZ92" s="291"/>
      <c r="EA92" s="291"/>
      <c r="EB92" s="291"/>
      <c r="EC92" s="291"/>
      <c r="ED92" s="291"/>
      <c r="EE92" s="291"/>
      <c r="EF92" s="291"/>
      <c r="EG92" s="291"/>
      <c r="EH92" s="291"/>
      <c r="EI92" s="291"/>
      <c r="EJ92" s="291"/>
      <c r="EK92" s="291"/>
      <c r="EL92" s="291"/>
      <c r="EM92" s="291"/>
      <c r="EN92" s="291"/>
      <c r="EO92" s="291"/>
      <c r="EP92" s="291"/>
      <c r="EQ92" s="291"/>
      <c r="ER92" s="291"/>
      <c r="ES92" s="291"/>
      <c r="ET92" s="291"/>
      <c r="EU92" s="291"/>
      <c r="EV92" s="291"/>
      <c r="EW92" s="291"/>
      <c r="EX92" s="291"/>
      <c r="EY92" s="291"/>
      <c r="EZ92" s="291"/>
      <c r="FA92" s="291"/>
      <c r="FB92" s="291"/>
      <c r="FC92" s="291"/>
      <c r="FD92" s="291"/>
      <c r="FE92" s="291"/>
      <c r="FF92" s="291"/>
      <c r="FG92" s="291"/>
      <c r="FH92" s="291"/>
      <c r="FI92" s="291"/>
      <c r="FJ92" s="291"/>
      <c r="FK92" s="291"/>
      <c r="FL92" s="291"/>
      <c r="FM92" s="291"/>
      <c r="FN92" s="291"/>
      <c r="FO92" s="291"/>
      <c r="FP92" s="291"/>
      <c r="FQ92" s="291"/>
      <c r="FR92" s="291"/>
      <c r="FS92" s="291"/>
      <c r="FT92" s="291"/>
      <c r="FU92" s="291"/>
      <c r="FV92" s="291"/>
      <c r="FW92" s="291"/>
      <c r="FX92" s="291"/>
      <c r="FY92" s="291"/>
      <c r="FZ92" s="291"/>
      <c r="GA92" s="291"/>
      <c r="GB92" s="291"/>
      <c r="GC92" s="291"/>
      <c r="GD92" s="291"/>
      <c r="GE92" s="291"/>
      <c r="GF92" s="291"/>
      <c r="GG92" s="291"/>
      <c r="GH92" s="291"/>
      <c r="GI92" s="291"/>
      <c r="GJ92" s="291"/>
      <c r="GK92" s="291"/>
      <c r="GL92" s="291"/>
      <c r="GM92" s="291"/>
      <c r="GN92" s="291"/>
      <c r="GO92" s="291"/>
      <c r="GP92" s="291"/>
      <c r="GQ92" s="291"/>
      <c r="GR92" s="291"/>
      <c r="GS92" s="291"/>
      <c r="GT92" s="291"/>
      <c r="GU92" s="291"/>
      <c r="GV92" s="291"/>
      <c r="GW92" s="291"/>
      <c r="GX92" s="291"/>
      <c r="GY92" s="291"/>
      <c r="GZ92" s="291"/>
      <c r="HA92" s="291"/>
      <c r="HB92" s="291"/>
      <c r="HC92" s="291"/>
      <c r="HD92" s="291"/>
      <c r="HE92" s="291"/>
      <c r="HF92" s="291"/>
      <c r="HG92" s="291"/>
      <c r="HH92" s="291"/>
      <c r="HI92" s="291"/>
      <c r="HJ92" s="291"/>
      <c r="HK92" s="291"/>
      <c r="HL92" s="291"/>
      <c r="HM92" s="291"/>
      <c r="HN92" s="291"/>
      <c r="HO92" s="291"/>
      <c r="HP92" s="291"/>
      <c r="HQ92" s="291"/>
      <c r="HR92" s="291"/>
      <c r="HS92" s="291"/>
      <c r="HT92" s="291"/>
      <c r="HU92" s="291"/>
      <c r="HV92" s="291"/>
      <c r="HW92" s="291"/>
      <c r="HX92" s="291"/>
      <c r="HY92" s="291"/>
      <c r="HZ92" s="291"/>
      <c r="IA92" s="291"/>
      <c r="IB92" s="291"/>
      <c r="IC92" s="291"/>
      <c r="ID92" s="291"/>
      <c r="IE92" s="291"/>
      <c r="IF92" s="291"/>
      <c r="IG92" s="291"/>
      <c r="IH92" s="291"/>
      <c r="II92" s="291"/>
      <c r="IJ92" s="291"/>
      <c r="IK92" s="291"/>
      <c r="IL92" s="291"/>
      <c r="IM92" s="291"/>
      <c r="IN92" s="291"/>
      <c r="IO92" s="291"/>
      <c r="IP92" s="291"/>
      <c r="IQ92" s="291"/>
      <c r="IR92" s="291"/>
      <c r="IS92" s="291"/>
      <c r="IT92" s="291"/>
      <c r="IU92" s="291"/>
      <c r="IV92" s="291"/>
      <c r="IW92" s="291"/>
      <c r="IX92" s="291"/>
      <c r="IY92" s="291"/>
      <c r="IZ92" s="291"/>
      <c r="JA92" s="291"/>
      <c r="JB92" s="291"/>
      <c r="JC92" s="291"/>
      <c r="JD92" s="291"/>
      <c r="JE92" s="291"/>
      <c r="JF92" s="291"/>
      <c r="JG92" s="291"/>
      <c r="JH92" s="291"/>
      <c r="JI92" s="291"/>
      <c r="JJ92" s="291"/>
      <c r="JK92" s="291"/>
      <c r="JL92" s="291"/>
      <c r="JM92" s="291"/>
      <c r="JN92" s="291"/>
      <c r="JO92" s="291"/>
      <c r="JP92" s="291"/>
      <c r="JQ92" s="291"/>
      <c r="JR92" s="291"/>
      <c r="JS92" s="291"/>
      <c r="JT92" s="291"/>
      <c r="JU92" s="291"/>
      <c r="JV92" s="291"/>
      <c r="JW92" s="291"/>
      <c r="JX92" s="291"/>
      <c r="JY92" s="291"/>
      <c r="JZ92" s="291"/>
      <c r="KA92" s="291"/>
      <c r="KB92" s="291"/>
      <c r="KC92" s="291"/>
      <c r="KD92" s="291"/>
      <c r="KE92" s="291"/>
      <c r="KF92" s="291"/>
      <c r="KG92" s="291"/>
      <c r="KH92" s="291"/>
      <c r="KI92" s="291"/>
      <c r="KJ92" s="291"/>
      <c r="KK92" s="291"/>
      <c r="KL92" s="291"/>
      <c r="KM92" s="291"/>
      <c r="KN92" s="291"/>
      <c r="KO92" s="291"/>
      <c r="KP92" s="291"/>
      <c r="KQ92" s="291"/>
      <c r="KR92" s="291"/>
      <c r="KS92" s="291"/>
      <c r="KT92" s="291"/>
      <c r="KU92" s="291"/>
      <c r="KV92" s="291"/>
      <c r="KW92" s="291"/>
      <c r="KX92" s="291"/>
      <c r="KY92" s="291"/>
      <c r="KZ92" s="291"/>
      <c r="LA92" s="291"/>
      <c r="LB92" s="291"/>
      <c r="LC92" s="291"/>
      <c r="LD92" s="291"/>
      <c r="LE92" s="291"/>
      <c r="LF92" s="291"/>
      <c r="LG92" s="291"/>
      <c r="LH92" s="291"/>
      <c r="LI92" s="291"/>
      <c r="LJ92" s="291"/>
      <c r="LK92" s="291"/>
      <c r="LL92" s="291"/>
      <c r="LM92" s="291"/>
      <c r="LN92" s="291"/>
      <c r="LO92" s="291"/>
      <c r="LP92" s="291"/>
      <c r="LQ92" s="291"/>
      <c r="LR92" s="291"/>
      <c r="LS92" s="291"/>
      <c r="LT92" s="291"/>
      <c r="LU92" s="291"/>
      <c r="LV92" s="291"/>
      <c r="LW92" s="291"/>
      <c r="LX92" s="291"/>
      <c r="LY92" s="291"/>
      <c r="LZ92" s="291"/>
      <c r="MA92" s="291"/>
      <c r="MB92" s="291"/>
      <c r="MC92" s="291"/>
      <c r="MD92" s="291"/>
      <c r="ME92" s="291"/>
      <c r="MF92" s="291"/>
      <c r="MG92" s="291"/>
      <c r="MH92" s="291"/>
      <c r="MI92" s="291"/>
      <c r="MJ92" s="291"/>
      <c r="MK92" s="291"/>
      <c r="ML92" s="291"/>
      <c r="MM92" s="291"/>
      <c r="MN92" s="291"/>
      <c r="MO92" s="291"/>
      <c r="MP92" s="291"/>
      <c r="MQ92" s="291"/>
      <c r="MR92" s="291"/>
      <c r="MS92" s="291"/>
      <c r="MT92" s="291"/>
      <c r="MU92" s="291"/>
      <c r="MV92" s="291"/>
      <c r="MW92" s="291"/>
      <c r="MX92" s="291"/>
      <c r="MY92" s="291"/>
      <c r="MZ92" s="291"/>
      <c r="NA92" s="291"/>
      <c r="NB92" s="291"/>
      <c r="NC92" s="291"/>
      <c r="ND92" s="291"/>
      <c r="NE92" s="291"/>
      <c r="NF92" s="291"/>
      <c r="NG92" s="291"/>
      <c r="NH92" s="291"/>
      <c r="NI92" s="291"/>
      <c r="NJ92" s="291"/>
      <c r="NK92" s="291"/>
      <c r="NL92" s="291"/>
      <c r="NM92" s="291"/>
      <c r="NN92" s="291"/>
      <c r="NO92" s="291"/>
      <c r="NP92" s="291"/>
      <c r="NQ92" s="291"/>
      <c r="NR92" s="291"/>
      <c r="NS92" s="291"/>
      <c r="NT92" s="291"/>
      <c r="NU92" s="291"/>
      <c r="NV92" s="291"/>
      <c r="NW92" s="291"/>
      <c r="NX92" s="291"/>
      <c r="NY92" s="291"/>
      <c r="NZ92" s="291"/>
      <c r="OA92" s="291"/>
      <c r="OB92" s="291"/>
      <c r="OC92" s="291"/>
      <c r="OD92" s="291"/>
      <c r="OE92" s="291"/>
      <c r="OF92" s="291"/>
      <c r="OG92" s="291"/>
      <c r="OH92" s="291"/>
      <c r="OI92" s="291"/>
      <c r="OJ92" s="291"/>
      <c r="OK92" s="291"/>
      <c r="OL92" s="291"/>
      <c r="OM92" s="291"/>
      <c r="ON92" s="291"/>
      <c r="OO92" s="291"/>
      <c r="OP92" s="291"/>
      <c r="OQ92" s="291"/>
      <c r="OR92" s="291"/>
      <c r="OS92" s="291"/>
      <c r="OT92" s="291"/>
      <c r="OU92" s="291"/>
      <c r="OV92" s="291"/>
      <c r="OW92" s="291"/>
    </row>
    <row r="93" spans="1:413" s="257" customFormat="1" hidden="1" x14ac:dyDescent="0.2">
      <c r="A93" s="291"/>
      <c r="B93" s="524">
        <f t="shared" si="7"/>
        <v>77</v>
      </c>
      <c r="C93" s="510" t="s">
        <v>38</v>
      </c>
      <c r="D93" s="511">
        <v>30104322</v>
      </c>
      <c r="E93" s="511"/>
      <c r="F93" s="512" t="s">
        <v>1224</v>
      </c>
      <c r="G93" s="513" t="s">
        <v>45</v>
      </c>
      <c r="H93" s="514" t="s">
        <v>1094</v>
      </c>
      <c r="I93" s="515" t="s">
        <v>1225</v>
      </c>
      <c r="J93" s="346" t="s">
        <v>42</v>
      </c>
      <c r="K93" s="526">
        <v>759578</v>
      </c>
      <c r="L93" s="527">
        <v>96461</v>
      </c>
      <c r="M93" s="528">
        <v>0</v>
      </c>
      <c r="N93" s="519">
        <v>0</v>
      </c>
      <c r="O93" s="519">
        <v>0</v>
      </c>
      <c r="P93" s="519">
        <v>234</v>
      </c>
      <c r="Q93" s="519">
        <v>570</v>
      </c>
      <c r="R93" s="519">
        <v>136</v>
      </c>
      <c r="S93" s="520">
        <v>31280</v>
      </c>
      <c r="T93" s="18"/>
      <c r="U93" s="18"/>
      <c r="V93" s="18"/>
      <c r="W93" s="18"/>
      <c r="X93" s="18"/>
      <c r="Y93" s="18"/>
      <c r="Z93" s="18">
        <f t="shared" si="4"/>
        <v>32220</v>
      </c>
      <c r="AA93" s="309">
        <v>339038</v>
      </c>
      <c r="AB93" s="19">
        <v>11</v>
      </c>
      <c r="AC93" s="521">
        <v>44237</v>
      </c>
      <c r="AD93" s="25">
        <v>44251</v>
      </c>
      <c r="AE93" s="309"/>
      <c r="AF93" s="20"/>
      <c r="AG93" s="23"/>
      <c r="AH93" s="25"/>
      <c r="AI93" s="309"/>
      <c r="AJ93" s="19"/>
      <c r="AK93" s="23"/>
      <c r="AL93" s="25"/>
      <c r="AM93" s="309"/>
      <c r="AN93" s="19"/>
      <c r="AO93" s="21"/>
      <c r="AP93" s="25"/>
      <c r="AQ93" s="309"/>
      <c r="AR93" s="19"/>
      <c r="AS93" s="21"/>
      <c r="AT93" s="25"/>
      <c r="AU93" s="522">
        <f t="shared" si="5"/>
        <v>339038</v>
      </c>
      <c r="AV93" s="311">
        <f t="shared" si="6"/>
        <v>306818</v>
      </c>
      <c r="AW93" s="305"/>
      <c r="AX93" s="291"/>
      <c r="AY93" s="291"/>
      <c r="AZ93" s="291"/>
      <c r="BA93" s="291"/>
      <c r="BB93" s="291"/>
      <c r="BC93" s="291"/>
      <c r="BD93" s="291"/>
      <c r="BE93" s="291"/>
      <c r="BF93" s="291"/>
      <c r="BG93" s="291"/>
      <c r="BH93" s="291"/>
      <c r="BI93" s="291"/>
      <c r="BJ93" s="291"/>
      <c r="BK93" s="291"/>
      <c r="BL93" s="291"/>
      <c r="BM93" s="291"/>
      <c r="BN93" s="291"/>
      <c r="BO93" s="291"/>
      <c r="BP93" s="291"/>
      <c r="BQ93" s="291"/>
      <c r="BR93" s="291"/>
      <c r="BS93" s="291"/>
      <c r="BT93" s="291"/>
      <c r="BU93" s="291"/>
      <c r="BV93" s="291"/>
      <c r="BW93" s="291"/>
      <c r="BX93" s="291"/>
      <c r="BY93" s="291"/>
      <c r="BZ93" s="291"/>
      <c r="CA93" s="291"/>
      <c r="CB93" s="291"/>
      <c r="CC93" s="291"/>
      <c r="CD93" s="291"/>
      <c r="CE93" s="291"/>
      <c r="CF93" s="291"/>
      <c r="CG93" s="291"/>
      <c r="CH93" s="291"/>
      <c r="CI93" s="291"/>
      <c r="CJ93" s="291"/>
      <c r="CK93" s="291"/>
      <c r="CL93" s="291"/>
      <c r="CM93" s="291"/>
      <c r="CN93" s="291"/>
      <c r="CO93" s="291"/>
      <c r="CP93" s="291"/>
      <c r="CQ93" s="291"/>
      <c r="CR93" s="291"/>
      <c r="CS93" s="291"/>
      <c r="CT93" s="291"/>
      <c r="CU93" s="291"/>
      <c r="CV93" s="291"/>
      <c r="CW93" s="291"/>
      <c r="CX93" s="291"/>
      <c r="CY93" s="291"/>
      <c r="CZ93" s="291"/>
      <c r="DA93" s="291"/>
      <c r="DB93" s="291"/>
      <c r="DC93" s="291"/>
      <c r="DD93" s="291"/>
      <c r="DE93" s="291"/>
      <c r="DF93" s="291"/>
      <c r="DG93" s="291"/>
      <c r="DH93" s="291"/>
      <c r="DI93" s="291"/>
      <c r="DJ93" s="291"/>
      <c r="DK93" s="291"/>
      <c r="DL93" s="291"/>
      <c r="DM93" s="291"/>
      <c r="DN93" s="291"/>
      <c r="DO93" s="291"/>
      <c r="DP93" s="291"/>
      <c r="DQ93" s="291"/>
      <c r="DR93" s="291"/>
      <c r="DS93" s="291"/>
      <c r="DT93" s="291"/>
      <c r="DU93" s="291"/>
      <c r="DV93" s="291"/>
      <c r="DW93" s="291"/>
      <c r="DX93" s="291"/>
      <c r="DY93" s="291"/>
      <c r="DZ93" s="291"/>
      <c r="EA93" s="291"/>
      <c r="EB93" s="291"/>
      <c r="EC93" s="291"/>
      <c r="ED93" s="291"/>
      <c r="EE93" s="291"/>
      <c r="EF93" s="291"/>
      <c r="EG93" s="291"/>
      <c r="EH93" s="291"/>
      <c r="EI93" s="291"/>
      <c r="EJ93" s="291"/>
      <c r="EK93" s="291"/>
      <c r="EL93" s="291"/>
      <c r="EM93" s="291"/>
      <c r="EN93" s="291"/>
      <c r="EO93" s="291"/>
      <c r="EP93" s="291"/>
      <c r="EQ93" s="291"/>
      <c r="ER93" s="291"/>
      <c r="ES93" s="291"/>
      <c r="ET93" s="291"/>
      <c r="EU93" s="291"/>
      <c r="EV93" s="291"/>
      <c r="EW93" s="291"/>
      <c r="EX93" s="291"/>
      <c r="EY93" s="291"/>
      <c r="EZ93" s="291"/>
      <c r="FA93" s="291"/>
      <c r="FB93" s="291"/>
      <c r="FC93" s="291"/>
      <c r="FD93" s="291"/>
      <c r="FE93" s="291"/>
      <c r="FF93" s="291"/>
      <c r="FG93" s="291"/>
      <c r="FH93" s="291"/>
      <c r="FI93" s="291"/>
      <c r="FJ93" s="291"/>
      <c r="FK93" s="291"/>
      <c r="FL93" s="291"/>
      <c r="FM93" s="291"/>
      <c r="FN93" s="291"/>
      <c r="FO93" s="291"/>
      <c r="FP93" s="291"/>
      <c r="FQ93" s="291"/>
      <c r="FR93" s="291"/>
      <c r="FS93" s="291"/>
      <c r="FT93" s="291"/>
      <c r="FU93" s="291"/>
      <c r="FV93" s="291"/>
      <c r="FW93" s="291"/>
      <c r="FX93" s="291"/>
      <c r="FY93" s="291"/>
      <c r="FZ93" s="291"/>
      <c r="GA93" s="291"/>
      <c r="GB93" s="291"/>
      <c r="GC93" s="291"/>
      <c r="GD93" s="291"/>
      <c r="GE93" s="291"/>
      <c r="GF93" s="291"/>
      <c r="GG93" s="291"/>
      <c r="GH93" s="291"/>
      <c r="GI93" s="291"/>
      <c r="GJ93" s="291"/>
      <c r="GK93" s="291"/>
      <c r="GL93" s="291"/>
      <c r="GM93" s="291"/>
      <c r="GN93" s="291"/>
      <c r="GO93" s="291"/>
      <c r="GP93" s="291"/>
      <c r="GQ93" s="291"/>
      <c r="GR93" s="291"/>
      <c r="GS93" s="291"/>
      <c r="GT93" s="291"/>
      <c r="GU93" s="291"/>
      <c r="GV93" s="291"/>
      <c r="GW93" s="291"/>
      <c r="GX93" s="291"/>
      <c r="GY93" s="291"/>
      <c r="GZ93" s="291"/>
      <c r="HA93" s="291"/>
      <c r="HB93" s="291"/>
      <c r="HC93" s="291"/>
      <c r="HD93" s="291"/>
      <c r="HE93" s="291"/>
      <c r="HF93" s="291"/>
      <c r="HG93" s="291"/>
      <c r="HH93" s="291"/>
      <c r="HI93" s="291"/>
      <c r="HJ93" s="291"/>
      <c r="HK93" s="291"/>
      <c r="HL93" s="291"/>
      <c r="HM93" s="291"/>
      <c r="HN93" s="291"/>
      <c r="HO93" s="291"/>
      <c r="HP93" s="291"/>
      <c r="HQ93" s="291"/>
      <c r="HR93" s="291"/>
      <c r="HS93" s="291"/>
      <c r="HT93" s="291"/>
      <c r="HU93" s="291"/>
      <c r="HV93" s="291"/>
      <c r="HW93" s="291"/>
      <c r="HX93" s="291"/>
      <c r="HY93" s="291"/>
      <c r="HZ93" s="291"/>
      <c r="IA93" s="291"/>
      <c r="IB93" s="291"/>
      <c r="IC93" s="291"/>
      <c r="ID93" s="291"/>
      <c r="IE93" s="291"/>
      <c r="IF93" s="291"/>
      <c r="IG93" s="291"/>
      <c r="IH93" s="291"/>
      <c r="II93" s="291"/>
      <c r="IJ93" s="291"/>
      <c r="IK93" s="291"/>
      <c r="IL93" s="291"/>
      <c r="IM93" s="291"/>
      <c r="IN93" s="291"/>
      <c r="IO93" s="291"/>
      <c r="IP93" s="291"/>
      <c r="IQ93" s="291"/>
      <c r="IR93" s="291"/>
      <c r="IS93" s="291"/>
      <c r="IT93" s="291"/>
      <c r="IU93" s="291"/>
      <c r="IV93" s="291"/>
      <c r="IW93" s="291"/>
      <c r="IX93" s="291"/>
      <c r="IY93" s="291"/>
      <c r="IZ93" s="291"/>
      <c r="JA93" s="291"/>
      <c r="JB93" s="291"/>
      <c r="JC93" s="291"/>
      <c r="JD93" s="291"/>
      <c r="JE93" s="291"/>
      <c r="JF93" s="291"/>
      <c r="JG93" s="291"/>
      <c r="JH93" s="291"/>
      <c r="JI93" s="291"/>
      <c r="JJ93" s="291"/>
      <c r="JK93" s="291"/>
      <c r="JL93" s="291"/>
      <c r="JM93" s="291"/>
      <c r="JN93" s="291"/>
      <c r="JO93" s="291"/>
      <c r="JP93" s="291"/>
      <c r="JQ93" s="291"/>
      <c r="JR93" s="291"/>
      <c r="JS93" s="291"/>
      <c r="JT93" s="291"/>
      <c r="JU93" s="291"/>
      <c r="JV93" s="291"/>
      <c r="JW93" s="291"/>
      <c r="JX93" s="291"/>
      <c r="JY93" s="291"/>
      <c r="JZ93" s="291"/>
      <c r="KA93" s="291"/>
      <c r="KB93" s="291"/>
      <c r="KC93" s="291"/>
      <c r="KD93" s="291"/>
      <c r="KE93" s="291"/>
      <c r="KF93" s="291"/>
      <c r="KG93" s="291"/>
      <c r="KH93" s="291"/>
      <c r="KI93" s="291"/>
      <c r="KJ93" s="291"/>
      <c r="KK93" s="291"/>
      <c r="KL93" s="291"/>
      <c r="KM93" s="291"/>
      <c r="KN93" s="291"/>
      <c r="KO93" s="291"/>
      <c r="KP93" s="291"/>
      <c r="KQ93" s="291"/>
      <c r="KR93" s="291"/>
      <c r="KS93" s="291"/>
      <c r="KT93" s="291"/>
      <c r="KU93" s="291"/>
      <c r="KV93" s="291"/>
      <c r="KW93" s="291"/>
      <c r="KX93" s="291"/>
      <c r="KY93" s="291"/>
      <c r="KZ93" s="291"/>
      <c r="LA93" s="291"/>
      <c r="LB93" s="291"/>
      <c r="LC93" s="291"/>
      <c r="LD93" s="291"/>
      <c r="LE93" s="291"/>
      <c r="LF93" s="291"/>
      <c r="LG93" s="291"/>
      <c r="LH93" s="291"/>
      <c r="LI93" s="291"/>
      <c r="LJ93" s="291"/>
      <c r="LK93" s="291"/>
      <c r="LL93" s="291"/>
      <c r="LM93" s="291"/>
      <c r="LN93" s="291"/>
      <c r="LO93" s="291"/>
      <c r="LP93" s="291"/>
      <c r="LQ93" s="291"/>
      <c r="LR93" s="291"/>
      <c r="LS93" s="291"/>
      <c r="LT93" s="291"/>
      <c r="LU93" s="291"/>
      <c r="LV93" s="291"/>
      <c r="LW93" s="291"/>
      <c r="LX93" s="291"/>
      <c r="LY93" s="291"/>
      <c r="LZ93" s="291"/>
      <c r="MA93" s="291"/>
      <c r="MB93" s="291"/>
      <c r="MC93" s="291"/>
      <c r="MD93" s="291"/>
      <c r="ME93" s="291"/>
      <c r="MF93" s="291"/>
      <c r="MG93" s="291"/>
      <c r="MH93" s="291"/>
      <c r="MI93" s="291"/>
      <c r="MJ93" s="291"/>
      <c r="MK93" s="291"/>
      <c r="ML93" s="291"/>
      <c r="MM93" s="291"/>
      <c r="MN93" s="291"/>
      <c r="MO93" s="291"/>
      <c r="MP93" s="291"/>
      <c r="MQ93" s="291"/>
      <c r="MR93" s="291"/>
      <c r="MS93" s="291"/>
      <c r="MT93" s="291"/>
      <c r="MU93" s="291"/>
      <c r="MV93" s="291"/>
      <c r="MW93" s="291"/>
      <c r="MX93" s="291"/>
      <c r="MY93" s="291"/>
      <c r="MZ93" s="291"/>
      <c r="NA93" s="291"/>
      <c r="NB93" s="291"/>
      <c r="NC93" s="291"/>
      <c r="ND93" s="291"/>
      <c r="NE93" s="291"/>
      <c r="NF93" s="291"/>
      <c r="NG93" s="291"/>
      <c r="NH93" s="291"/>
      <c r="NI93" s="291"/>
      <c r="NJ93" s="291"/>
      <c r="NK93" s="291"/>
      <c r="NL93" s="291"/>
      <c r="NM93" s="291"/>
      <c r="NN93" s="291"/>
      <c r="NO93" s="291"/>
      <c r="NP93" s="291"/>
      <c r="NQ93" s="291"/>
      <c r="NR93" s="291"/>
      <c r="NS93" s="291"/>
      <c r="NT93" s="291"/>
      <c r="NU93" s="291"/>
      <c r="NV93" s="291"/>
      <c r="NW93" s="291"/>
      <c r="NX93" s="291"/>
      <c r="NY93" s="291"/>
      <c r="NZ93" s="291"/>
      <c r="OA93" s="291"/>
      <c r="OB93" s="291"/>
      <c r="OC93" s="291"/>
      <c r="OD93" s="291"/>
      <c r="OE93" s="291"/>
      <c r="OF93" s="291"/>
      <c r="OG93" s="291"/>
      <c r="OH93" s="291"/>
      <c r="OI93" s="291"/>
      <c r="OJ93" s="291"/>
      <c r="OK93" s="291"/>
      <c r="OL93" s="291"/>
      <c r="OM93" s="291"/>
      <c r="ON93" s="291"/>
      <c r="OO93" s="291"/>
      <c r="OP93" s="291"/>
      <c r="OQ93" s="291"/>
      <c r="OR93" s="291"/>
      <c r="OS93" s="291"/>
      <c r="OT93" s="291"/>
      <c r="OU93" s="291"/>
      <c r="OV93" s="291"/>
      <c r="OW93" s="291"/>
    </row>
    <row r="94" spans="1:413" s="257" customFormat="1" hidden="1" x14ac:dyDescent="0.2">
      <c r="A94" s="291"/>
      <c r="B94" s="524">
        <f t="shared" si="7"/>
        <v>78</v>
      </c>
      <c r="C94" s="510" t="s">
        <v>38</v>
      </c>
      <c r="D94" s="511">
        <v>30104336</v>
      </c>
      <c r="E94" s="511"/>
      <c r="F94" s="512" t="s">
        <v>1226</v>
      </c>
      <c r="G94" s="513" t="s">
        <v>45</v>
      </c>
      <c r="H94" s="514" t="s">
        <v>1094</v>
      </c>
      <c r="I94" s="515" t="s">
        <v>1153</v>
      </c>
      <c r="J94" s="346" t="s">
        <v>42</v>
      </c>
      <c r="K94" s="526">
        <v>620781</v>
      </c>
      <c r="L94" s="527">
        <v>614549</v>
      </c>
      <c r="M94" s="528">
        <v>0</v>
      </c>
      <c r="N94" s="520">
        <v>0</v>
      </c>
      <c r="O94" s="520">
        <v>0</v>
      </c>
      <c r="P94" s="520">
        <v>0</v>
      </c>
      <c r="Q94" s="520">
        <v>0</v>
      </c>
      <c r="R94" s="520">
        <v>0</v>
      </c>
      <c r="S94" s="520">
        <v>0</v>
      </c>
      <c r="T94" s="18"/>
      <c r="U94" s="18"/>
      <c r="V94" s="18"/>
      <c r="W94" s="18"/>
      <c r="X94" s="18"/>
      <c r="Y94" s="18"/>
      <c r="Z94" s="18">
        <f t="shared" si="4"/>
        <v>0</v>
      </c>
      <c r="AA94" s="309">
        <v>6232</v>
      </c>
      <c r="AB94" s="19">
        <v>11</v>
      </c>
      <c r="AC94" s="521">
        <v>44237</v>
      </c>
      <c r="AD94" s="25">
        <v>44251</v>
      </c>
      <c r="AE94" s="309"/>
      <c r="AF94" s="20"/>
      <c r="AG94" s="23"/>
      <c r="AH94" s="25"/>
      <c r="AI94" s="309"/>
      <c r="AJ94" s="19"/>
      <c r="AK94" s="23"/>
      <c r="AL94" s="25"/>
      <c r="AM94" s="309"/>
      <c r="AN94" s="19"/>
      <c r="AO94" s="21"/>
      <c r="AP94" s="25"/>
      <c r="AQ94" s="309"/>
      <c r="AR94" s="19"/>
      <c r="AS94" s="21"/>
      <c r="AT94" s="25"/>
      <c r="AU94" s="522">
        <f t="shared" si="5"/>
        <v>6232</v>
      </c>
      <c r="AV94" s="311">
        <f t="shared" si="6"/>
        <v>6232</v>
      </c>
      <c r="AW94" s="305"/>
      <c r="AX94" s="291"/>
      <c r="AY94" s="291"/>
      <c r="AZ94" s="291"/>
      <c r="BA94" s="291"/>
      <c r="BB94" s="291"/>
      <c r="BC94" s="291"/>
      <c r="BD94" s="291"/>
      <c r="BE94" s="291"/>
      <c r="BF94" s="291"/>
      <c r="BG94" s="291"/>
      <c r="BH94" s="291"/>
      <c r="BI94" s="291"/>
      <c r="BJ94" s="291"/>
      <c r="BK94" s="291"/>
      <c r="BL94" s="291"/>
      <c r="BM94" s="291"/>
      <c r="BN94" s="291"/>
      <c r="BO94" s="291"/>
      <c r="BP94" s="291"/>
      <c r="BQ94" s="291"/>
      <c r="BR94" s="291"/>
      <c r="BS94" s="291"/>
      <c r="BT94" s="291"/>
      <c r="BU94" s="291"/>
      <c r="BV94" s="291"/>
      <c r="BW94" s="291"/>
      <c r="BX94" s="291"/>
      <c r="BY94" s="291"/>
      <c r="BZ94" s="291"/>
      <c r="CA94" s="291"/>
      <c r="CB94" s="291"/>
      <c r="CC94" s="291"/>
      <c r="CD94" s="291"/>
      <c r="CE94" s="291"/>
      <c r="CF94" s="291"/>
      <c r="CG94" s="291"/>
      <c r="CH94" s="291"/>
      <c r="CI94" s="291"/>
      <c r="CJ94" s="291"/>
      <c r="CK94" s="291"/>
      <c r="CL94" s="291"/>
      <c r="CM94" s="291"/>
      <c r="CN94" s="291"/>
      <c r="CO94" s="291"/>
      <c r="CP94" s="291"/>
      <c r="CQ94" s="291"/>
      <c r="CR94" s="291"/>
      <c r="CS94" s="291"/>
      <c r="CT94" s="291"/>
      <c r="CU94" s="291"/>
      <c r="CV94" s="291"/>
      <c r="CW94" s="291"/>
      <c r="CX94" s="291"/>
      <c r="CY94" s="291"/>
      <c r="CZ94" s="291"/>
      <c r="DA94" s="291"/>
      <c r="DB94" s="291"/>
      <c r="DC94" s="291"/>
      <c r="DD94" s="291"/>
      <c r="DE94" s="291"/>
      <c r="DF94" s="291"/>
      <c r="DG94" s="291"/>
      <c r="DH94" s="291"/>
      <c r="DI94" s="291"/>
      <c r="DJ94" s="291"/>
      <c r="DK94" s="291"/>
      <c r="DL94" s="291"/>
      <c r="DM94" s="291"/>
      <c r="DN94" s="291"/>
      <c r="DO94" s="291"/>
      <c r="DP94" s="291"/>
      <c r="DQ94" s="291"/>
      <c r="DR94" s="291"/>
      <c r="DS94" s="291"/>
      <c r="DT94" s="291"/>
      <c r="DU94" s="291"/>
      <c r="DV94" s="291"/>
      <c r="DW94" s="291"/>
      <c r="DX94" s="291"/>
      <c r="DY94" s="291"/>
      <c r="DZ94" s="291"/>
      <c r="EA94" s="291"/>
      <c r="EB94" s="291"/>
      <c r="EC94" s="291"/>
      <c r="ED94" s="291"/>
      <c r="EE94" s="291"/>
      <c r="EF94" s="291"/>
      <c r="EG94" s="291"/>
      <c r="EH94" s="291"/>
      <c r="EI94" s="291"/>
      <c r="EJ94" s="291"/>
      <c r="EK94" s="291"/>
      <c r="EL94" s="291"/>
      <c r="EM94" s="291"/>
      <c r="EN94" s="291"/>
      <c r="EO94" s="291"/>
      <c r="EP94" s="291"/>
      <c r="EQ94" s="291"/>
      <c r="ER94" s="291"/>
      <c r="ES94" s="291"/>
      <c r="ET94" s="291"/>
      <c r="EU94" s="291"/>
      <c r="EV94" s="291"/>
      <c r="EW94" s="291"/>
      <c r="EX94" s="291"/>
      <c r="EY94" s="291"/>
      <c r="EZ94" s="291"/>
      <c r="FA94" s="291"/>
      <c r="FB94" s="291"/>
      <c r="FC94" s="291"/>
      <c r="FD94" s="291"/>
      <c r="FE94" s="291"/>
      <c r="FF94" s="291"/>
      <c r="FG94" s="291"/>
      <c r="FH94" s="291"/>
      <c r="FI94" s="291"/>
      <c r="FJ94" s="291"/>
      <c r="FK94" s="291"/>
      <c r="FL94" s="291"/>
      <c r="FM94" s="291"/>
      <c r="FN94" s="291"/>
      <c r="FO94" s="291"/>
      <c r="FP94" s="291"/>
      <c r="FQ94" s="291"/>
      <c r="FR94" s="291"/>
      <c r="FS94" s="291"/>
      <c r="FT94" s="291"/>
      <c r="FU94" s="291"/>
      <c r="FV94" s="291"/>
      <c r="FW94" s="291"/>
      <c r="FX94" s="291"/>
      <c r="FY94" s="291"/>
      <c r="FZ94" s="291"/>
      <c r="GA94" s="291"/>
      <c r="GB94" s="291"/>
      <c r="GC94" s="291"/>
      <c r="GD94" s="291"/>
      <c r="GE94" s="291"/>
      <c r="GF94" s="291"/>
      <c r="GG94" s="291"/>
      <c r="GH94" s="291"/>
      <c r="GI94" s="291"/>
      <c r="GJ94" s="291"/>
      <c r="GK94" s="291"/>
      <c r="GL94" s="291"/>
      <c r="GM94" s="291"/>
      <c r="GN94" s="291"/>
      <c r="GO94" s="291"/>
      <c r="GP94" s="291"/>
      <c r="GQ94" s="291"/>
      <c r="GR94" s="291"/>
      <c r="GS94" s="291"/>
      <c r="GT94" s="291"/>
      <c r="GU94" s="291"/>
      <c r="GV94" s="291"/>
      <c r="GW94" s="291"/>
      <c r="GX94" s="291"/>
      <c r="GY94" s="291"/>
      <c r="GZ94" s="291"/>
      <c r="HA94" s="291"/>
      <c r="HB94" s="291"/>
      <c r="HC94" s="291"/>
      <c r="HD94" s="291"/>
      <c r="HE94" s="291"/>
      <c r="HF94" s="291"/>
      <c r="HG94" s="291"/>
      <c r="HH94" s="291"/>
      <c r="HI94" s="291"/>
      <c r="HJ94" s="291"/>
      <c r="HK94" s="291"/>
      <c r="HL94" s="291"/>
      <c r="HM94" s="291"/>
      <c r="HN94" s="291"/>
      <c r="HO94" s="291"/>
      <c r="HP94" s="291"/>
      <c r="HQ94" s="291"/>
      <c r="HR94" s="291"/>
      <c r="HS94" s="291"/>
      <c r="HT94" s="291"/>
      <c r="HU94" s="291"/>
      <c r="HV94" s="291"/>
      <c r="HW94" s="291"/>
      <c r="HX94" s="291"/>
      <c r="HY94" s="291"/>
      <c r="HZ94" s="291"/>
      <c r="IA94" s="291"/>
      <c r="IB94" s="291"/>
      <c r="IC94" s="291"/>
      <c r="ID94" s="291"/>
      <c r="IE94" s="291"/>
      <c r="IF94" s="291"/>
      <c r="IG94" s="291"/>
      <c r="IH94" s="291"/>
      <c r="II94" s="291"/>
      <c r="IJ94" s="291"/>
      <c r="IK94" s="291"/>
      <c r="IL94" s="291"/>
      <c r="IM94" s="291"/>
      <c r="IN94" s="291"/>
      <c r="IO94" s="291"/>
      <c r="IP94" s="291"/>
      <c r="IQ94" s="291"/>
      <c r="IR94" s="291"/>
      <c r="IS94" s="291"/>
      <c r="IT94" s="291"/>
      <c r="IU94" s="291"/>
      <c r="IV94" s="291"/>
      <c r="IW94" s="291"/>
      <c r="IX94" s="291"/>
      <c r="IY94" s="291"/>
      <c r="IZ94" s="291"/>
      <c r="JA94" s="291"/>
      <c r="JB94" s="291"/>
      <c r="JC94" s="291"/>
      <c r="JD94" s="291"/>
      <c r="JE94" s="291"/>
      <c r="JF94" s="291"/>
      <c r="JG94" s="291"/>
      <c r="JH94" s="291"/>
      <c r="JI94" s="291"/>
      <c r="JJ94" s="291"/>
      <c r="JK94" s="291"/>
      <c r="JL94" s="291"/>
      <c r="JM94" s="291"/>
      <c r="JN94" s="291"/>
      <c r="JO94" s="291"/>
      <c r="JP94" s="291"/>
      <c r="JQ94" s="291"/>
      <c r="JR94" s="291"/>
      <c r="JS94" s="291"/>
      <c r="JT94" s="291"/>
      <c r="JU94" s="291"/>
      <c r="JV94" s="291"/>
      <c r="JW94" s="291"/>
      <c r="JX94" s="291"/>
      <c r="JY94" s="291"/>
      <c r="JZ94" s="291"/>
      <c r="KA94" s="291"/>
      <c r="KB94" s="291"/>
      <c r="KC94" s="291"/>
      <c r="KD94" s="291"/>
      <c r="KE94" s="291"/>
      <c r="KF94" s="291"/>
      <c r="KG94" s="291"/>
      <c r="KH94" s="291"/>
      <c r="KI94" s="291"/>
      <c r="KJ94" s="291"/>
      <c r="KK94" s="291"/>
      <c r="KL94" s="291"/>
      <c r="KM94" s="291"/>
      <c r="KN94" s="291"/>
      <c r="KO94" s="291"/>
      <c r="KP94" s="291"/>
      <c r="KQ94" s="291"/>
      <c r="KR94" s="291"/>
      <c r="KS94" s="291"/>
      <c r="KT94" s="291"/>
      <c r="KU94" s="291"/>
      <c r="KV94" s="291"/>
      <c r="KW94" s="291"/>
      <c r="KX94" s="291"/>
      <c r="KY94" s="291"/>
      <c r="KZ94" s="291"/>
      <c r="LA94" s="291"/>
      <c r="LB94" s="291"/>
      <c r="LC94" s="291"/>
      <c r="LD94" s="291"/>
      <c r="LE94" s="291"/>
      <c r="LF94" s="291"/>
      <c r="LG94" s="291"/>
      <c r="LH94" s="291"/>
      <c r="LI94" s="291"/>
      <c r="LJ94" s="291"/>
      <c r="LK94" s="291"/>
      <c r="LL94" s="291"/>
      <c r="LM94" s="291"/>
      <c r="LN94" s="291"/>
      <c r="LO94" s="291"/>
      <c r="LP94" s="291"/>
      <c r="LQ94" s="291"/>
      <c r="LR94" s="291"/>
      <c r="LS94" s="291"/>
      <c r="LT94" s="291"/>
      <c r="LU94" s="291"/>
      <c r="LV94" s="291"/>
      <c r="LW94" s="291"/>
      <c r="LX94" s="291"/>
      <c r="LY94" s="291"/>
      <c r="LZ94" s="291"/>
      <c r="MA94" s="291"/>
      <c r="MB94" s="291"/>
      <c r="MC94" s="291"/>
      <c r="MD94" s="291"/>
      <c r="ME94" s="291"/>
      <c r="MF94" s="291"/>
      <c r="MG94" s="291"/>
      <c r="MH94" s="291"/>
      <c r="MI94" s="291"/>
      <c r="MJ94" s="291"/>
      <c r="MK94" s="291"/>
      <c r="ML94" s="291"/>
      <c r="MM94" s="291"/>
      <c r="MN94" s="291"/>
      <c r="MO94" s="291"/>
      <c r="MP94" s="291"/>
      <c r="MQ94" s="291"/>
      <c r="MR94" s="291"/>
      <c r="MS94" s="291"/>
      <c r="MT94" s="291"/>
      <c r="MU94" s="291"/>
      <c r="MV94" s="291"/>
      <c r="MW94" s="291"/>
      <c r="MX94" s="291"/>
      <c r="MY94" s="291"/>
      <c r="MZ94" s="291"/>
      <c r="NA94" s="291"/>
      <c r="NB94" s="291"/>
      <c r="NC94" s="291"/>
      <c r="ND94" s="291"/>
      <c r="NE94" s="291"/>
      <c r="NF94" s="291"/>
      <c r="NG94" s="291"/>
      <c r="NH94" s="291"/>
      <c r="NI94" s="291"/>
      <c r="NJ94" s="291"/>
      <c r="NK94" s="291"/>
      <c r="NL94" s="291"/>
      <c r="NM94" s="291"/>
      <c r="NN94" s="291"/>
      <c r="NO94" s="291"/>
      <c r="NP94" s="291"/>
      <c r="NQ94" s="291"/>
      <c r="NR94" s="291"/>
      <c r="NS94" s="291"/>
      <c r="NT94" s="291"/>
      <c r="NU94" s="291"/>
      <c r="NV94" s="291"/>
      <c r="NW94" s="291"/>
      <c r="NX94" s="291"/>
      <c r="NY94" s="291"/>
      <c r="NZ94" s="291"/>
      <c r="OA94" s="291"/>
      <c r="OB94" s="291"/>
      <c r="OC94" s="291"/>
      <c r="OD94" s="291"/>
      <c r="OE94" s="291"/>
      <c r="OF94" s="291"/>
      <c r="OG94" s="291"/>
      <c r="OH94" s="291"/>
      <c r="OI94" s="291"/>
      <c r="OJ94" s="291"/>
      <c r="OK94" s="291"/>
      <c r="OL94" s="291"/>
      <c r="OM94" s="291"/>
      <c r="ON94" s="291"/>
      <c r="OO94" s="291"/>
      <c r="OP94" s="291"/>
      <c r="OQ94" s="291"/>
      <c r="OR94" s="291"/>
      <c r="OS94" s="291"/>
      <c r="OT94" s="291"/>
      <c r="OU94" s="291"/>
      <c r="OV94" s="291"/>
      <c r="OW94" s="291"/>
    </row>
    <row r="95" spans="1:413" s="257" customFormat="1" hidden="1" x14ac:dyDescent="0.2">
      <c r="A95" s="291"/>
      <c r="B95" s="524">
        <f t="shared" si="7"/>
        <v>79</v>
      </c>
      <c r="C95" s="510" t="s">
        <v>38</v>
      </c>
      <c r="D95" s="511">
        <v>30104345</v>
      </c>
      <c r="E95" s="511"/>
      <c r="F95" s="512" t="s">
        <v>1227</v>
      </c>
      <c r="G95" s="513" t="s">
        <v>45</v>
      </c>
      <c r="H95" s="514" t="s">
        <v>1094</v>
      </c>
      <c r="I95" s="515" t="s">
        <v>1138</v>
      </c>
      <c r="J95" s="346" t="s">
        <v>43</v>
      </c>
      <c r="K95" s="526">
        <v>789521</v>
      </c>
      <c r="L95" s="527">
        <v>0</v>
      </c>
      <c r="M95" s="528">
        <v>2</v>
      </c>
      <c r="N95" s="519">
        <v>0</v>
      </c>
      <c r="O95" s="519">
        <v>0</v>
      </c>
      <c r="P95" s="519">
        <v>0</v>
      </c>
      <c r="Q95" s="519">
        <v>0</v>
      </c>
      <c r="R95" s="519">
        <v>1938</v>
      </c>
      <c r="S95" s="520">
        <v>65740</v>
      </c>
      <c r="T95" s="18"/>
      <c r="U95" s="18"/>
      <c r="V95" s="18"/>
      <c r="W95" s="18"/>
      <c r="X95" s="18"/>
      <c r="Y95" s="18"/>
      <c r="Z95" s="18">
        <f t="shared" si="4"/>
        <v>67678</v>
      </c>
      <c r="AA95" s="309">
        <v>827635</v>
      </c>
      <c r="AB95" s="19">
        <v>5</v>
      </c>
      <c r="AC95" s="521">
        <v>44224</v>
      </c>
      <c r="AD95" s="25">
        <v>44251</v>
      </c>
      <c r="AE95" s="309">
        <v>-82807</v>
      </c>
      <c r="AF95" s="20">
        <v>22</v>
      </c>
      <c r="AG95" s="23">
        <v>44301</v>
      </c>
      <c r="AH95" s="25">
        <v>44313</v>
      </c>
      <c r="AI95" s="309"/>
      <c r="AJ95" s="19"/>
      <c r="AK95" s="23"/>
      <c r="AL95" s="25"/>
      <c r="AM95" s="309"/>
      <c r="AN95" s="19"/>
      <c r="AO95" s="21"/>
      <c r="AP95" s="25"/>
      <c r="AQ95" s="309"/>
      <c r="AR95" s="19"/>
      <c r="AS95" s="21"/>
      <c r="AT95" s="25"/>
      <c r="AU95" s="522">
        <f t="shared" si="5"/>
        <v>744828</v>
      </c>
      <c r="AV95" s="311">
        <f t="shared" si="6"/>
        <v>677150</v>
      </c>
      <c r="AW95" s="305"/>
      <c r="AX95" s="291"/>
      <c r="AY95" s="291"/>
      <c r="AZ95" s="291"/>
      <c r="BA95" s="291"/>
      <c r="BB95" s="291"/>
      <c r="BC95" s="291"/>
      <c r="BD95" s="291"/>
      <c r="BE95" s="291"/>
      <c r="BF95" s="291"/>
      <c r="BG95" s="291"/>
      <c r="BH95" s="291"/>
      <c r="BI95" s="291"/>
      <c r="BJ95" s="291"/>
      <c r="BK95" s="291"/>
      <c r="BL95" s="291"/>
      <c r="BM95" s="291"/>
      <c r="BN95" s="291"/>
      <c r="BO95" s="291"/>
      <c r="BP95" s="291"/>
      <c r="BQ95" s="291"/>
      <c r="BR95" s="291"/>
      <c r="BS95" s="291"/>
      <c r="BT95" s="291"/>
      <c r="BU95" s="291"/>
      <c r="BV95" s="291"/>
      <c r="BW95" s="291"/>
      <c r="BX95" s="291"/>
      <c r="BY95" s="291"/>
      <c r="BZ95" s="291"/>
      <c r="CA95" s="291"/>
      <c r="CB95" s="291"/>
      <c r="CC95" s="291"/>
      <c r="CD95" s="291"/>
      <c r="CE95" s="291"/>
      <c r="CF95" s="291"/>
      <c r="CG95" s="291"/>
      <c r="CH95" s="291"/>
      <c r="CI95" s="291"/>
      <c r="CJ95" s="291"/>
      <c r="CK95" s="291"/>
      <c r="CL95" s="291"/>
      <c r="CM95" s="291"/>
      <c r="CN95" s="291"/>
      <c r="CO95" s="291"/>
      <c r="CP95" s="291"/>
      <c r="CQ95" s="291"/>
      <c r="CR95" s="291"/>
      <c r="CS95" s="291"/>
      <c r="CT95" s="291"/>
      <c r="CU95" s="291"/>
      <c r="CV95" s="291"/>
      <c r="CW95" s="291"/>
      <c r="CX95" s="291"/>
      <c r="CY95" s="291"/>
      <c r="CZ95" s="291"/>
      <c r="DA95" s="291"/>
      <c r="DB95" s="291"/>
      <c r="DC95" s="291"/>
      <c r="DD95" s="291"/>
      <c r="DE95" s="291"/>
      <c r="DF95" s="291"/>
      <c r="DG95" s="291"/>
      <c r="DH95" s="291"/>
      <c r="DI95" s="291"/>
      <c r="DJ95" s="291"/>
      <c r="DK95" s="291"/>
      <c r="DL95" s="291"/>
      <c r="DM95" s="291"/>
      <c r="DN95" s="291"/>
      <c r="DO95" s="291"/>
      <c r="DP95" s="291"/>
      <c r="DQ95" s="291"/>
      <c r="DR95" s="291"/>
      <c r="DS95" s="291"/>
      <c r="DT95" s="291"/>
      <c r="DU95" s="291"/>
      <c r="DV95" s="291"/>
      <c r="DW95" s="291"/>
      <c r="DX95" s="291"/>
      <c r="DY95" s="291"/>
      <c r="DZ95" s="291"/>
      <c r="EA95" s="291"/>
      <c r="EB95" s="291"/>
      <c r="EC95" s="291"/>
      <c r="ED95" s="291"/>
      <c r="EE95" s="291"/>
      <c r="EF95" s="291"/>
      <c r="EG95" s="291"/>
      <c r="EH95" s="291"/>
      <c r="EI95" s="291"/>
      <c r="EJ95" s="291"/>
      <c r="EK95" s="291"/>
      <c r="EL95" s="291"/>
      <c r="EM95" s="291"/>
      <c r="EN95" s="291"/>
      <c r="EO95" s="291"/>
      <c r="EP95" s="291"/>
      <c r="EQ95" s="291"/>
      <c r="ER95" s="291"/>
      <c r="ES95" s="291"/>
      <c r="ET95" s="291"/>
      <c r="EU95" s="291"/>
      <c r="EV95" s="291"/>
      <c r="EW95" s="291"/>
      <c r="EX95" s="291"/>
      <c r="EY95" s="291"/>
      <c r="EZ95" s="291"/>
      <c r="FA95" s="291"/>
      <c r="FB95" s="291"/>
      <c r="FC95" s="291"/>
      <c r="FD95" s="291"/>
      <c r="FE95" s="291"/>
      <c r="FF95" s="291"/>
      <c r="FG95" s="291"/>
      <c r="FH95" s="291"/>
      <c r="FI95" s="291"/>
      <c r="FJ95" s="291"/>
      <c r="FK95" s="291"/>
      <c r="FL95" s="291"/>
      <c r="FM95" s="291"/>
      <c r="FN95" s="291"/>
      <c r="FO95" s="291"/>
      <c r="FP95" s="291"/>
      <c r="FQ95" s="291"/>
      <c r="FR95" s="291"/>
      <c r="FS95" s="291"/>
      <c r="FT95" s="291"/>
      <c r="FU95" s="291"/>
      <c r="FV95" s="291"/>
      <c r="FW95" s="291"/>
      <c r="FX95" s="291"/>
      <c r="FY95" s="291"/>
      <c r="FZ95" s="291"/>
      <c r="GA95" s="291"/>
      <c r="GB95" s="291"/>
      <c r="GC95" s="291"/>
      <c r="GD95" s="291"/>
      <c r="GE95" s="291"/>
      <c r="GF95" s="291"/>
      <c r="GG95" s="291"/>
      <c r="GH95" s="291"/>
      <c r="GI95" s="291"/>
      <c r="GJ95" s="291"/>
      <c r="GK95" s="291"/>
      <c r="GL95" s="291"/>
      <c r="GM95" s="291"/>
      <c r="GN95" s="291"/>
      <c r="GO95" s="291"/>
      <c r="GP95" s="291"/>
      <c r="GQ95" s="291"/>
      <c r="GR95" s="291"/>
      <c r="GS95" s="291"/>
      <c r="GT95" s="291"/>
      <c r="GU95" s="291"/>
      <c r="GV95" s="291"/>
      <c r="GW95" s="291"/>
      <c r="GX95" s="291"/>
      <c r="GY95" s="291"/>
      <c r="GZ95" s="291"/>
      <c r="HA95" s="291"/>
      <c r="HB95" s="291"/>
      <c r="HC95" s="291"/>
      <c r="HD95" s="291"/>
      <c r="HE95" s="291"/>
      <c r="HF95" s="291"/>
      <c r="HG95" s="291"/>
      <c r="HH95" s="291"/>
      <c r="HI95" s="291"/>
      <c r="HJ95" s="291"/>
      <c r="HK95" s="291"/>
      <c r="HL95" s="291"/>
      <c r="HM95" s="291"/>
      <c r="HN95" s="291"/>
      <c r="HO95" s="291"/>
      <c r="HP95" s="291"/>
      <c r="HQ95" s="291"/>
      <c r="HR95" s="291"/>
      <c r="HS95" s="291"/>
      <c r="HT95" s="291"/>
      <c r="HU95" s="291"/>
      <c r="HV95" s="291"/>
      <c r="HW95" s="291"/>
      <c r="HX95" s="291"/>
      <c r="HY95" s="291"/>
      <c r="HZ95" s="291"/>
      <c r="IA95" s="291"/>
      <c r="IB95" s="291"/>
      <c r="IC95" s="291"/>
      <c r="ID95" s="291"/>
      <c r="IE95" s="291"/>
      <c r="IF95" s="291"/>
      <c r="IG95" s="291"/>
      <c r="IH95" s="291"/>
      <c r="II95" s="291"/>
      <c r="IJ95" s="291"/>
      <c r="IK95" s="291"/>
      <c r="IL95" s="291"/>
      <c r="IM95" s="291"/>
      <c r="IN95" s="291"/>
      <c r="IO95" s="291"/>
      <c r="IP95" s="291"/>
      <c r="IQ95" s="291"/>
      <c r="IR95" s="291"/>
      <c r="IS95" s="291"/>
      <c r="IT95" s="291"/>
      <c r="IU95" s="291"/>
      <c r="IV95" s="291"/>
      <c r="IW95" s="291"/>
      <c r="IX95" s="291"/>
      <c r="IY95" s="291"/>
      <c r="IZ95" s="291"/>
      <c r="JA95" s="291"/>
      <c r="JB95" s="291"/>
      <c r="JC95" s="291"/>
      <c r="JD95" s="291"/>
      <c r="JE95" s="291"/>
      <c r="JF95" s="291"/>
      <c r="JG95" s="291"/>
      <c r="JH95" s="291"/>
      <c r="JI95" s="291"/>
      <c r="JJ95" s="291"/>
      <c r="JK95" s="291"/>
      <c r="JL95" s="291"/>
      <c r="JM95" s="291"/>
      <c r="JN95" s="291"/>
      <c r="JO95" s="291"/>
      <c r="JP95" s="291"/>
      <c r="JQ95" s="291"/>
      <c r="JR95" s="291"/>
      <c r="JS95" s="291"/>
      <c r="JT95" s="291"/>
      <c r="JU95" s="291"/>
      <c r="JV95" s="291"/>
      <c r="JW95" s="291"/>
      <c r="JX95" s="291"/>
      <c r="JY95" s="291"/>
      <c r="JZ95" s="291"/>
      <c r="KA95" s="291"/>
      <c r="KB95" s="291"/>
      <c r="KC95" s="291"/>
      <c r="KD95" s="291"/>
      <c r="KE95" s="291"/>
      <c r="KF95" s="291"/>
      <c r="KG95" s="291"/>
      <c r="KH95" s="291"/>
      <c r="KI95" s="291"/>
      <c r="KJ95" s="291"/>
      <c r="KK95" s="291"/>
      <c r="KL95" s="291"/>
      <c r="KM95" s="291"/>
      <c r="KN95" s="291"/>
      <c r="KO95" s="291"/>
      <c r="KP95" s="291"/>
      <c r="KQ95" s="291"/>
      <c r="KR95" s="291"/>
      <c r="KS95" s="291"/>
      <c r="KT95" s="291"/>
      <c r="KU95" s="291"/>
      <c r="KV95" s="291"/>
      <c r="KW95" s="291"/>
      <c r="KX95" s="291"/>
      <c r="KY95" s="291"/>
      <c r="KZ95" s="291"/>
      <c r="LA95" s="291"/>
      <c r="LB95" s="291"/>
      <c r="LC95" s="291"/>
      <c r="LD95" s="291"/>
      <c r="LE95" s="291"/>
      <c r="LF95" s="291"/>
      <c r="LG95" s="291"/>
      <c r="LH95" s="291"/>
      <c r="LI95" s="291"/>
      <c r="LJ95" s="291"/>
      <c r="LK95" s="291"/>
      <c r="LL95" s="291"/>
      <c r="LM95" s="291"/>
      <c r="LN95" s="291"/>
      <c r="LO95" s="291"/>
      <c r="LP95" s="291"/>
      <c r="LQ95" s="291"/>
      <c r="LR95" s="291"/>
      <c r="LS95" s="291"/>
      <c r="LT95" s="291"/>
      <c r="LU95" s="291"/>
      <c r="LV95" s="291"/>
      <c r="LW95" s="291"/>
      <c r="LX95" s="291"/>
      <c r="LY95" s="291"/>
      <c r="LZ95" s="291"/>
      <c r="MA95" s="291"/>
      <c r="MB95" s="291"/>
      <c r="MC95" s="291"/>
      <c r="MD95" s="291"/>
      <c r="ME95" s="291"/>
      <c r="MF95" s="291"/>
      <c r="MG95" s="291"/>
      <c r="MH95" s="291"/>
      <c r="MI95" s="291"/>
      <c r="MJ95" s="291"/>
      <c r="MK95" s="291"/>
      <c r="ML95" s="291"/>
      <c r="MM95" s="291"/>
      <c r="MN95" s="291"/>
      <c r="MO95" s="291"/>
      <c r="MP95" s="291"/>
      <c r="MQ95" s="291"/>
      <c r="MR95" s="291"/>
      <c r="MS95" s="291"/>
      <c r="MT95" s="291"/>
      <c r="MU95" s="291"/>
      <c r="MV95" s="291"/>
      <c r="MW95" s="291"/>
      <c r="MX95" s="291"/>
      <c r="MY95" s="291"/>
      <c r="MZ95" s="291"/>
      <c r="NA95" s="291"/>
      <c r="NB95" s="291"/>
      <c r="NC95" s="291"/>
      <c r="ND95" s="291"/>
      <c r="NE95" s="291"/>
      <c r="NF95" s="291"/>
      <c r="NG95" s="291"/>
      <c r="NH95" s="291"/>
      <c r="NI95" s="291"/>
      <c r="NJ95" s="291"/>
      <c r="NK95" s="291"/>
      <c r="NL95" s="291"/>
      <c r="NM95" s="291"/>
      <c r="NN95" s="291"/>
      <c r="NO95" s="291"/>
      <c r="NP95" s="291"/>
      <c r="NQ95" s="291"/>
      <c r="NR95" s="291"/>
      <c r="NS95" s="291"/>
      <c r="NT95" s="291"/>
      <c r="NU95" s="291"/>
      <c r="NV95" s="291"/>
      <c r="NW95" s="291"/>
      <c r="NX95" s="291"/>
      <c r="NY95" s="291"/>
      <c r="NZ95" s="291"/>
      <c r="OA95" s="291"/>
      <c r="OB95" s="291"/>
      <c r="OC95" s="291"/>
      <c r="OD95" s="291"/>
      <c r="OE95" s="291"/>
      <c r="OF95" s="291"/>
      <c r="OG95" s="291"/>
      <c r="OH95" s="291"/>
      <c r="OI95" s="291"/>
      <c r="OJ95" s="291"/>
      <c r="OK95" s="291"/>
      <c r="OL95" s="291"/>
      <c r="OM95" s="291"/>
      <c r="ON95" s="291"/>
      <c r="OO95" s="291"/>
      <c r="OP95" s="291"/>
      <c r="OQ95" s="291"/>
      <c r="OR95" s="291"/>
      <c r="OS95" s="291"/>
      <c r="OT95" s="291"/>
      <c r="OU95" s="291"/>
      <c r="OV95" s="291"/>
      <c r="OW95" s="291"/>
    </row>
    <row r="96" spans="1:413" s="257" customFormat="1" hidden="1" x14ac:dyDescent="0.2">
      <c r="A96" s="291"/>
      <c r="B96" s="524">
        <f t="shared" si="7"/>
        <v>80</v>
      </c>
      <c r="C96" s="510" t="s">
        <v>38</v>
      </c>
      <c r="D96" s="511">
        <v>30105840</v>
      </c>
      <c r="E96" s="511"/>
      <c r="F96" s="512" t="s">
        <v>1228</v>
      </c>
      <c r="G96" s="513" t="s">
        <v>46</v>
      </c>
      <c r="H96" s="514" t="s">
        <v>1094</v>
      </c>
      <c r="I96" s="515" t="s">
        <v>1203</v>
      </c>
      <c r="J96" s="346" t="s">
        <v>43</v>
      </c>
      <c r="K96" s="526">
        <v>87413</v>
      </c>
      <c r="L96" s="527">
        <v>0</v>
      </c>
      <c r="M96" s="528">
        <v>74136</v>
      </c>
      <c r="N96" s="519">
        <v>0</v>
      </c>
      <c r="O96" s="519">
        <v>0</v>
      </c>
      <c r="P96" s="519">
        <v>0</v>
      </c>
      <c r="Q96" s="519">
        <v>0</v>
      </c>
      <c r="R96" s="519">
        <v>0</v>
      </c>
      <c r="S96" s="520">
        <v>0</v>
      </c>
      <c r="T96" s="18"/>
      <c r="U96" s="18"/>
      <c r="V96" s="18"/>
      <c r="W96" s="18"/>
      <c r="X96" s="18"/>
      <c r="Y96" s="18"/>
      <c r="Z96" s="18">
        <f t="shared" si="4"/>
        <v>0</v>
      </c>
      <c r="AA96" s="309">
        <v>10000</v>
      </c>
      <c r="AB96" s="19">
        <v>3</v>
      </c>
      <c r="AC96" s="521">
        <v>44222</v>
      </c>
      <c r="AD96" s="25">
        <v>44225</v>
      </c>
      <c r="AE96" s="309"/>
      <c r="AF96" s="20"/>
      <c r="AG96" s="23"/>
      <c r="AH96" s="25"/>
      <c r="AI96" s="309"/>
      <c r="AJ96" s="19"/>
      <c r="AK96" s="23"/>
      <c r="AL96" s="25"/>
      <c r="AM96" s="309"/>
      <c r="AN96" s="19"/>
      <c r="AO96" s="21"/>
      <c r="AP96" s="25"/>
      <c r="AQ96" s="309"/>
      <c r="AR96" s="19"/>
      <c r="AS96" s="21"/>
      <c r="AT96" s="25"/>
      <c r="AU96" s="522">
        <f t="shared" si="5"/>
        <v>10000</v>
      </c>
      <c r="AV96" s="311">
        <f t="shared" si="6"/>
        <v>10000</v>
      </c>
      <c r="AW96" s="305"/>
      <c r="AX96" s="291"/>
      <c r="AY96" s="291"/>
      <c r="AZ96" s="291"/>
      <c r="BA96" s="291"/>
      <c r="BB96" s="291"/>
      <c r="BC96" s="291"/>
      <c r="BD96" s="291"/>
      <c r="BE96" s="291"/>
      <c r="BF96" s="291"/>
      <c r="BG96" s="291"/>
      <c r="BH96" s="291"/>
      <c r="BI96" s="291"/>
      <c r="BJ96" s="291"/>
      <c r="BK96" s="291"/>
      <c r="BL96" s="291"/>
      <c r="BM96" s="291"/>
      <c r="BN96" s="291"/>
      <c r="BO96" s="291"/>
      <c r="BP96" s="291"/>
      <c r="BQ96" s="291"/>
      <c r="BR96" s="291"/>
      <c r="BS96" s="291"/>
      <c r="BT96" s="291"/>
      <c r="BU96" s="291"/>
      <c r="BV96" s="291"/>
      <c r="BW96" s="291"/>
      <c r="BX96" s="291"/>
      <c r="BY96" s="291"/>
      <c r="BZ96" s="291"/>
      <c r="CA96" s="291"/>
      <c r="CB96" s="291"/>
      <c r="CC96" s="291"/>
      <c r="CD96" s="291"/>
      <c r="CE96" s="291"/>
      <c r="CF96" s="291"/>
      <c r="CG96" s="291"/>
      <c r="CH96" s="291"/>
      <c r="CI96" s="291"/>
      <c r="CJ96" s="291"/>
      <c r="CK96" s="291"/>
      <c r="CL96" s="291"/>
      <c r="CM96" s="291"/>
      <c r="CN96" s="291"/>
      <c r="CO96" s="291"/>
      <c r="CP96" s="291"/>
      <c r="CQ96" s="291"/>
      <c r="CR96" s="291"/>
      <c r="CS96" s="291"/>
      <c r="CT96" s="291"/>
      <c r="CU96" s="291"/>
      <c r="CV96" s="291"/>
      <c r="CW96" s="291"/>
      <c r="CX96" s="291"/>
      <c r="CY96" s="291"/>
      <c r="CZ96" s="291"/>
      <c r="DA96" s="291"/>
      <c r="DB96" s="291"/>
      <c r="DC96" s="291"/>
      <c r="DD96" s="291"/>
      <c r="DE96" s="291"/>
      <c r="DF96" s="291"/>
      <c r="DG96" s="291"/>
      <c r="DH96" s="291"/>
      <c r="DI96" s="291"/>
      <c r="DJ96" s="291"/>
      <c r="DK96" s="291"/>
      <c r="DL96" s="291"/>
      <c r="DM96" s="291"/>
      <c r="DN96" s="291"/>
      <c r="DO96" s="291"/>
      <c r="DP96" s="291"/>
      <c r="DQ96" s="291"/>
      <c r="DR96" s="291"/>
      <c r="DS96" s="291"/>
      <c r="DT96" s="291"/>
      <c r="DU96" s="291"/>
      <c r="DV96" s="291"/>
      <c r="DW96" s="291"/>
      <c r="DX96" s="291"/>
      <c r="DY96" s="291"/>
      <c r="DZ96" s="291"/>
      <c r="EA96" s="291"/>
      <c r="EB96" s="291"/>
      <c r="EC96" s="291"/>
      <c r="ED96" s="291"/>
      <c r="EE96" s="291"/>
      <c r="EF96" s="291"/>
      <c r="EG96" s="291"/>
      <c r="EH96" s="291"/>
      <c r="EI96" s="291"/>
      <c r="EJ96" s="291"/>
      <c r="EK96" s="291"/>
      <c r="EL96" s="291"/>
      <c r="EM96" s="291"/>
      <c r="EN96" s="291"/>
      <c r="EO96" s="291"/>
      <c r="EP96" s="291"/>
      <c r="EQ96" s="291"/>
      <c r="ER96" s="291"/>
      <c r="ES96" s="291"/>
      <c r="ET96" s="291"/>
      <c r="EU96" s="291"/>
      <c r="EV96" s="291"/>
      <c r="EW96" s="291"/>
      <c r="EX96" s="291"/>
      <c r="EY96" s="291"/>
      <c r="EZ96" s="291"/>
      <c r="FA96" s="291"/>
      <c r="FB96" s="291"/>
      <c r="FC96" s="291"/>
      <c r="FD96" s="291"/>
      <c r="FE96" s="291"/>
      <c r="FF96" s="291"/>
      <c r="FG96" s="291"/>
      <c r="FH96" s="291"/>
      <c r="FI96" s="291"/>
      <c r="FJ96" s="291"/>
      <c r="FK96" s="291"/>
      <c r="FL96" s="291"/>
      <c r="FM96" s="291"/>
      <c r="FN96" s="291"/>
      <c r="FO96" s="291"/>
      <c r="FP96" s="291"/>
      <c r="FQ96" s="291"/>
      <c r="FR96" s="291"/>
      <c r="FS96" s="291"/>
      <c r="FT96" s="291"/>
      <c r="FU96" s="291"/>
      <c r="FV96" s="291"/>
      <c r="FW96" s="291"/>
      <c r="FX96" s="291"/>
      <c r="FY96" s="291"/>
      <c r="FZ96" s="291"/>
      <c r="GA96" s="291"/>
      <c r="GB96" s="291"/>
      <c r="GC96" s="291"/>
      <c r="GD96" s="291"/>
      <c r="GE96" s="291"/>
      <c r="GF96" s="291"/>
      <c r="GG96" s="291"/>
      <c r="GH96" s="291"/>
      <c r="GI96" s="291"/>
      <c r="GJ96" s="291"/>
      <c r="GK96" s="291"/>
      <c r="GL96" s="291"/>
      <c r="GM96" s="291"/>
      <c r="GN96" s="291"/>
      <c r="GO96" s="291"/>
      <c r="GP96" s="291"/>
      <c r="GQ96" s="291"/>
      <c r="GR96" s="291"/>
      <c r="GS96" s="291"/>
      <c r="GT96" s="291"/>
      <c r="GU96" s="291"/>
      <c r="GV96" s="291"/>
      <c r="GW96" s="291"/>
      <c r="GX96" s="291"/>
      <c r="GY96" s="291"/>
      <c r="GZ96" s="291"/>
      <c r="HA96" s="291"/>
      <c r="HB96" s="291"/>
      <c r="HC96" s="291"/>
      <c r="HD96" s="291"/>
      <c r="HE96" s="291"/>
      <c r="HF96" s="291"/>
      <c r="HG96" s="291"/>
      <c r="HH96" s="291"/>
      <c r="HI96" s="291"/>
      <c r="HJ96" s="291"/>
      <c r="HK96" s="291"/>
      <c r="HL96" s="291"/>
      <c r="HM96" s="291"/>
      <c r="HN96" s="291"/>
      <c r="HO96" s="291"/>
      <c r="HP96" s="291"/>
      <c r="HQ96" s="291"/>
      <c r="HR96" s="291"/>
      <c r="HS96" s="291"/>
      <c r="HT96" s="291"/>
      <c r="HU96" s="291"/>
      <c r="HV96" s="291"/>
      <c r="HW96" s="291"/>
      <c r="HX96" s="291"/>
      <c r="HY96" s="291"/>
      <c r="HZ96" s="291"/>
      <c r="IA96" s="291"/>
      <c r="IB96" s="291"/>
      <c r="IC96" s="291"/>
      <c r="ID96" s="291"/>
      <c r="IE96" s="291"/>
      <c r="IF96" s="291"/>
      <c r="IG96" s="291"/>
      <c r="IH96" s="291"/>
      <c r="II96" s="291"/>
      <c r="IJ96" s="291"/>
      <c r="IK96" s="291"/>
      <c r="IL96" s="291"/>
      <c r="IM96" s="291"/>
      <c r="IN96" s="291"/>
      <c r="IO96" s="291"/>
      <c r="IP96" s="291"/>
      <c r="IQ96" s="291"/>
      <c r="IR96" s="291"/>
      <c r="IS96" s="291"/>
      <c r="IT96" s="291"/>
      <c r="IU96" s="291"/>
      <c r="IV96" s="291"/>
      <c r="IW96" s="291"/>
      <c r="IX96" s="291"/>
      <c r="IY96" s="291"/>
      <c r="IZ96" s="291"/>
      <c r="JA96" s="291"/>
      <c r="JB96" s="291"/>
      <c r="JC96" s="291"/>
      <c r="JD96" s="291"/>
      <c r="JE96" s="291"/>
      <c r="JF96" s="291"/>
      <c r="JG96" s="291"/>
      <c r="JH96" s="291"/>
      <c r="JI96" s="291"/>
      <c r="JJ96" s="291"/>
      <c r="JK96" s="291"/>
      <c r="JL96" s="291"/>
      <c r="JM96" s="291"/>
      <c r="JN96" s="291"/>
      <c r="JO96" s="291"/>
      <c r="JP96" s="291"/>
      <c r="JQ96" s="291"/>
      <c r="JR96" s="291"/>
      <c r="JS96" s="291"/>
      <c r="JT96" s="291"/>
      <c r="JU96" s="291"/>
      <c r="JV96" s="291"/>
      <c r="JW96" s="291"/>
      <c r="JX96" s="291"/>
      <c r="JY96" s="291"/>
      <c r="JZ96" s="291"/>
      <c r="KA96" s="291"/>
      <c r="KB96" s="291"/>
      <c r="KC96" s="291"/>
      <c r="KD96" s="291"/>
      <c r="KE96" s="291"/>
      <c r="KF96" s="291"/>
      <c r="KG96" s="291"/>
      <c r="KH96" s="291"/>
      <c r="KI96" s="291"/>
      <c r="KJ96" s="291"/>
      <c r="KK96" s="291"/>
      <c r="KL96" s="291"/>
      <c r="KM96" s="291"/>
      <c r="KN96" s="291"/>
      <c r="KO96" s="291"/>
      <c r="KP96" s="291"/>
      <c r="KQ96" s="291"/>
      <c r="KR96" s="291"/>
      <c r="KS96" s="291"/>
      <c r="KT96" s="291"/>
      <c r="KU96" s="291"/>
      <c r="KV96" s="291"/>
      <c r="KW96" s="291"/>
      <c r="KX96" s="291"/>
      <c r="KY96" s="291"/>
      <c r="KZ96" s="291"/>
      <c r="LA96" s="291"/>
      <c r="LB96" s="291"/>
      <c r="LC96" s="291"/>
      <c r="LD96" s="291"/>
      <c r="LE96" s="291"/>
      <c r="LF96" s="291"/>
      <c r="LG96" s="291"/>
      <c r="LH96" s="291"/>
      <c r="LI96" s="291"/>
      <c r="LJ96" s="291"/>
      <c r="LK96" s="291"/>
      <c r="LL96" s="291"/>
      <c r="LM96" s="291"/>
      <c r="LN96" s="291"/>
      <c r="LO96" s="291"/>
      <c r="LP96" s="291"/>
      <c r="LQ96" s="291"/>
      <c r="LR96" s="291"/>
      <c r="LS96" s="291"/>
      <c r="LT96" s="291"/>
      <c r="LU96" s="291"/>
      <c r="LV96" s="291"/>
      <c r="LW96" s="291"/>
      <c r="LX96" s="291"/>
      <c r="LY96" s="291"/>
      <c r="LZ96" s="291"/>
      <c r="MA96" s="291"/>
      <c r="MB96" s="291"/>
      <c r="MC96" s="291"/>
      <c r="MD96" s="291"/>
      <c r="ME96" s="291"/>
      <c r="MF96" s="291"/>
      <c r="MG96" s="291"/>
      <c r="MH96" s="291"/>
      <c r="MI96" s="291"/>
      <c r="MJ96" s="291"/>
      <c r="MK96" s="291"/>
      <c r="ML96" s="291"/>
      <c r="MM96" s="291"/>
      <c r="MN96" s="291"/>
      <c r="MO96" s="291"/>
      <c r="MP96" s="291"/>
      <c r="MQ96" s="291"/>
      <c r="MR96" s="291"/>
      <c r="MS96" s="291"/>
      <c r="MT96" s="291"/>
      <c r="MU96" s="291"/>
      <c r="MV96" s="291"/>
      <c r="MW96" s="291"/>
      <c r="MX96" s="291"/>
      <c r="MY96" s="291"/>
      <c r="MZ96" s="291"/>
      <c r="NA96" s="291"/>
      <c r="NB96" s="291"/>
      <c r="NC96" s="291"/>
      <c r="ND96" s="291"/>
      <c r="NE96" s="291"/>
      <c r="NF96" s="291"/>
      <c r="NG96" s="291"/>
      <c r="NH96" s="291"/>
      <c r="NI96" s="291"/>
      <c r="NJ96" s="291"/>
      <c r="NK96" s="291"/>
      <c r="NL96" s="291"/>
      <c r="NM96" s="291"/>
      <c r="NN96" s="291"/>
      <c r="NO96" s="291"/>
      <c r="NP96" s="291"/>
      <c r="NQ96" s="291"/>
      <c r="NR96" s="291"/>
      <c r="NS96" s="291"/>
      <c r="NT96" s="291"/>
      <c r="NU96" s="291"/>
      <c r="NV96" s="291"/>
      <c r="NW96" s="291"/>
      <c r="NX96" s="291"/>
      <c r="NY96" s="291"/>
      <c r="NZ96" s="291"/>
      <c r="OA96" s="291"/>
      <c r="OB96" s="291"/>
      <c r="OC96" s="291"/>
      <c r="OD96" s="291"/>
      <c r="OE96" s="291"/>
      <c r="OF96" s="291"/>
      <c r="OG96" s="291"/>
      <c r="OH96" s="291"/>
      <c r="OI96" s="291"/>
      <c r="OJ96" s="291"/>
      <c r="OK96" s="291"/>
      <c r="OL96" s="291"/>
      <c r="OM96" s="291"/>
      <c r="ON96" s="291"/>
      <c r="OO96" s="291"/>
      <c r="OP96" s="291"/>
      <c r="OQ96" s="291"/>
      <c r="OR96" s="291"/>
      <c r="OS96" s="291"/>
      <c r="OT96" s="291"/>
      <c r="OU96" s="291"/>
      <c r="OV96" s="291"/>
      <c r="OW96" s="291"/>
    </row>
    <row r="97" spans="1:413" s="257" customFormat="1" x14ac:dyDescent="0.2">
      <c r="A97" s="291"/>
      <c r="B97" s="524">
        <f t="shared" si="7"/>
        <v>81</v>
      </c>
      <c r="C97" s="510" t="s">
        <v>38</v>
      </c>
      <c r="D97" s="511" t="s">
        <v>1229</v>
      </c>
      <c r="E97" s="511"/>
      <c r="F97" s="512" t="s">
        <v>1230</v>
      </c>
      <c r="G97" s="513" t="s">
        <v>45</v>
      </c>
      <c r="H97" s="514" t="s">
        <v>1098</v>
      </c>
      <c r="I97" s="515" t="s">
        <v>1142</v>
      </c>
      <c r="J97" s="346"/>
      <c r="K97" s="526">
        <v>568602</v>
      </c>
      <c r="L97" s="527">
        <v>0</v>
      </c>
      <c r="M97" s="528">
        <v>0</v>
      </c>
      <c r="N97" s="519">
        <v>0</v>
      </c>
      <c r="O97" s="519">
        <v>0</v>
      </c>
      <c r="P97" s="519">
        <v>0</v>
      </c>
      <c r="Q97" s="519">
        <v>0</v>
      </c>
      <c r="R97" s="519">
        <v>0</v>
      </c>
      <c r="S97" s="520">
        <v>0</v>
      </c>
      <c r="T97" s="18"/>
      <c r="U97" s="18"/>
      <c r="V97" s="18"/>
      <c r="W97" s="18"/>
      <c r="X97" s="18"/>
      <c r="Y97" s="18"/>
      <c r="Z97" s="18">
        <f t="shared" si="4"/>
        <v>0</v>
      </c>
      <c r="AA97" s="309">
        <v>158300</v>
      </c>
      <c r="AB97" s="19">
        <v>22</v>
      </c>
      <c r="AC97" s="521">
        <v>44301</v>
      </c>
      <c r="AD97" s="25">
        <v>44313</v>
      </c>
      <c r="AE97" s="309"/>
      <c r="AF97" s="20"/>
      <c r="AG97" s="23"/>
      <c r="AH97" s="25"/>
      <c r="AI97" s="309"/>
      <c r="AJ97" s="19"/>
      <c r="AK97" s="23"/>
      <c r="AL97" s="25"/>
      <c r="AM97" s="309"/>
      <c r="AN97" s="19"/>
      <c r="AO97" s="21"/>
      <c r="AP97" s="25"/>
      <c r="AQ97" s="309"/>
      <c r="AR97" s="19"/>
      <c r="AS97" s="21"/>
      <c r="AT97" s="25"/>
      <c r="AU97" s="522">
        <f t="shared" si="5"/>
        <v>158300</v>
      </c>
      <c r="AV97" s="311">
        <f t="shared" si="6"/>
        <v>158300</v>
      </c>
      <c r="AW97" s="305"/>
      <c r="AX97" s="291"/>
      <c r="AY97" s="291"/>
      <c r="AZ97" s="291"/>
      <c r="BA97" s="291"/>
      <c r="BB97" s="291"/>
      <c r="BC97" s="291"/>
      <c r="BD97" s="291"/>
      <c r="BE97" s="291"/>
      <c r="BF97" s="291"/>
      <c r="BG97" s="291"/>
      <c r="BH97" s="291"/>
      <c r="BI97" s="291"/>
      <c r="BJ97" s="291"/>
      <c r="BK97" s="291"/>
      <c r="BL97" s="291"/>
      <c r="BM97" s="291"/>
      <c r="BN97" s="291"/>
      <c r="BO97" s="291"/>
      <c r="BP97" s="291"/>
      <c r="BQ97" s="291"/>
      <c r="BR97" s="291"/>
      <c r="BS97" s="291"/>
      <c r="BT97" s="291"/>
      <c r="BU97" s="291"/>
      <c r="BV97" s="291"/>
      <c r="BW97" s="291"/>
      <c r="BX97" s="291"/>
      <c r="BY97" s="291"/>
      <c r="BZ97" s="291"/>
      <c r="CA97" s="291"/>
      <c r="CB97" s="291"/>
      <c r="CC97" s="291"/>
      <c r="CD97" s="291"/>
      <c r="CE97" s="291"/>
      <c r="CF97" s="291"/>
      <c r="CG97" s="291"/>
      <c r="CH97" s="291"/>
      <c r="CI97" s="291"/>
      <c r="CJ97" s="291"/>
      <c r="CK97" s="291"/>
      <c r="CL97" s="291"/>
      <c r="CM97" s="291"/>
      <c r="CN97" s="291"/>
      <c r="CO97" s="291"/>
      <c r="CP97" s="291"/>
      <c r="CQ97" s="291"/>
      <c r="CR97" s="291"/>
      <c r="CS97" s="291"/>
      <c r="CT97" s="291"/>
      <c r="CU97" s="291"/>
      <c r="CV97" s="291"/>
      <c r="CW97" s="291"/>
      <c r="CX97" s="291"/>
      <c r="CY97" s="291"/>
      <c r="CZ97" s="291"/>
      <c r="DA97" s="291"/>
      <c r="DB97" s="291"/>
      <c r="DC97" s="291"/>
      <c r="DD97" s="291"/>
      <c r="DE97" s="291"/>
      <c r="DF97" s="291"/>
      <c r="DG97" s="291"/>
      <c r="DH97" s="291"/>
      <c r="DI97" s="291"/>
      <c r="DJ97" s="291"/>
      <c r="DK97" s="291"/>
      <c r="DL97" s="291"/>
      <c r="DM97" s="291"/>
      <c r="DN97" s="291"/>
      <c r="DO97" s="291"/>
      <c r="DP97" s="291"/>
      <c r="DQ97" s="291"/>
      <c r="DR97" s="291"/>
      <c r="DS97" s="291"/>
      <c r="DT97" s="291"/>
      <c r="DU97" s="291"/>
      <c r="DV97" s="291"/>
      <c r="DW97" s="291"/>
      <c r="DX97" s="291"/>
      <c r="DY97" s="291"/>
      <c r="DZ97" s="291"/>
      <c r="EA97" s="291"/>
      <c r="EB97" s="291"/>
      <c r="EC97" s="291"/>
      <c r="ED97" s="291"/>
      <c r="EE97" s="291"/>
      <c r="EF97" s="291"/>
      <c r="EG97" s="291"/>
      <c r="EH97" s="291"/>
      <c r="EI97" s="291"/>
      <c r="EJ97" s="291"/>
      <c r="EK97" s="291"/>
      <c r="EL97" s="291"/>
      <c r="EM97" s="291"/>
      <c r="EN97" s="291"/>
      <c r="EO97" s="291"/>
      <c r="EP97" s="291"/>
      <c r="EQ97" s="291"/>
      <c r="ER97" s="291"/>
      <c r="ES97" s="291"/>
      <c r="ET97" s="291"/>
      <c r="EU97" s="291"/>
      <c r="EV97" s="291"/>
      <c r="EW97" s="291"/>
      <c r="EX97" s="291"/>
      <c r="EY97" s="291"/>
      <c r="EZ97" s="291"/>
      <c r="FA97" s="291"/>
      <c r="FB97" s="291"/>
      <c r="FC97" s="291"/>
      <c r="FD97" s="291"/>
      <c r="FE97" s="291"/>
      <c r="FF97" s="291"/>
      <c r="FG97" s="291"/>
      <c r="FH97" s="291"/>
      <c r="FI97" s="291"/>
      <c r="FJ97" s="291"/>
      <c r="FK97" s="291"/>
      <c r="FL97" s="291"/>
      <c r="FM97" s="291"/>
      <c r="FN97" s="291"/>
      <c r="FO97" s="291"/>
      <c r="FP97" s="291"/>
      <c r="FQ97" s="291"/>
      <c r="FR97" s="291"/>
      <c r="FS97" s="291"/>
      <c r="FT97" s="291"/>
      <c r="FU97" s="291"/>
      <c r="FV97" s="291"/>
      <c r="FW97" s="291"/>
      <c r="FX97" s="291"/>
      <c r="FY97" s="291"/>
      <c r="FZ97" s="291"/>
      <c r="GA97" s="291"/>
      <c r="GB97" s="291"/>
      <c r="GC97" s="291"/>
      <c r="GD97" s="291"/>
      <c r="GE97" s="291"/>
      <c r="GF97" s="291"/>
      <c r="GG97" s="291"/>
      <c r="GH97" s="291"/>
      <c r="GI97" s="291"/>
      <c r="GJ97" s="291"/>
      <c r="GK97" s="291"/>
      <c r="GL97" s="291"/>
      <c r="GM97" s="291"/>
      <c r="GN97" s="291"/>
      <c r="GO97" s="291"/>
      <c r="GP97" s="291"/>
      <c r="GQ97" s="291"/>
      <c r="GR97" s="291"/>
      <c r="GS97" s="291"/>
      <c r="GT97" s="291"/>
      <c r="GU97" s="291"/>
      <c r="GV97" s="291"/>
      <c r="GW97" s="291"/>
      <c r="GX97" s="291"/>
      <c r="GY97" s="291"/>
      <c r="GZ97" s="291"/>
      <c r="HA97" s="291"/>
      <c r="HB97" s="291"/>
      <c r="HC97" s="291"/>
      <c r="HD97" s="291"/>
      <c r="HE97" s="291"/>
      <c r="HF97" s="291"/>
      <c r="HG97" s="291"/>
      <c r="HH97" s="291"/>
      <c r="HI97" s="291"/>
      <c r="HJ97" s="291"/>
      <c r="HK97" s="291"/>
      <c r="HL97" s="291"/>
      <c r="HM97" s="291"/>
      <c r="HN97" s="291"/>
      <c r="HO97" s="291"/>
      <c r="HP97" s="291"/>
      <c r="HQ97" s="291"/>
      <c r="HR97" s="291"/>
      <c r="HS97" s="291"/>
      <c r="HT97" s="291"/>
      <c r="HU97" s="291"/>
      <c r="HV97" s="291"/>
      <c r="HW97" s="291"/>
      <c r="HX97" s="291"/>
      <c r="HY97" s="291"/>
      <c r="HZ97" s="291"/>
      <c r="IA97" s="291"/>
      <c r="IB97" s="291"/>
      <c r="IC97" s="291"/>
      <c r="ID97" s="291"/>
      <c r="IE97" s="291"/>
      <c r="IF97" s="291"/>
      <c r="IG97" s="291"/>
      <c r="IH97" s="291"/>
      <c r="II97" s="291"/>
      <c r="IJ97" s="291"/>
      <c r="IK97" s="291"/>
      <c r="IL97" s="291"/>
      <c r="IM97" s="291"/>
      <c r="IN97" s="291"/>
      <c r="IO97" s="291"/>
      <c r="IP97" s="291"/>
      <c r="IQ97" s="291"/>
      <c r="IR97" s="291"/>
      <c r="IS97" s="291"/>
      <c r="IT97" s="291"/>
      <c r="IU97" s="291"/>
      <c r="IV97" s="291"/>
      <c r="IW97" s="291"/>
      <c r="IX97" s="291"/>
      <c r="IY97" s="291"/>
      <c r="IZ97" s="291"/>
      <c r="JA97" s="291"/>
      <c r="JB97" s="291"/>
      <c r="JC97" s="291"/>
      <c r="JD97" s="291"/>
      <c r="JE97" s="291"/>
      <c r="JF97" s="291"/>
      <c r="JG97" s="291"/>
      <c r="JH97" s="291"/>
      <c r="JI97" s="291"/>
      <c r="JJ97" s="291"/>
      <c r="JK97" s="291"/>
      <c r="JL97" s="291"/>
      <c r="JM97" s="291"/>
      <c r="JN97" s="291"/>
      <c r="JO97" s="291"/>
      <c r="JP97" s="291"/>
      <c r="JQ97" s="291"/>
      <c r="JR97" s="291"/>
      <c r="JS97" s="291"/>
      <c r="JT97" s="291"/>
      <c r="JU97" s="291"/>
      <c r="JV97" s="291"/>
      <c r="JW97" s="291"/>
      <c r="JX97" s="291"/>
      <c r="JY97" s="291"/>
      <c r="JZ97" s="291"/>
      <c r="KA97" s="291"/>
      <c r="KB97" s="291"/>
      <c r="KC97" s="291"/>
      <c r="KD97" s="291"/>
      <c r="KE97" s="291"/>
      <c r="KF97" s="291"/>
      <c r="KG97" s="291"/>
      <c r="KH97" s="291"/>
      <c r="KI97" s="291"/>
      <c r="KJ97" s="291"/>
      <c r="KK97" s="291"/>
      <c r="KL97" s="291"/>
      <c r="KM97" s="291"/>
      <c r="KN97" s="291"/>
      <c r="KO97" s="291"/>
      <c r="KP97" s="291"/>
      <c r="KQ97" s="291"/>
      <c r="KR97" s="291"/>
      <c r="KS97" s="291"/>
      <c r="KT97" s="291"/>
      <c r="KU97" s="291"/>
      <c r="KV97" s="291"/>
      <c r="KW97" s="291"/>
      <c r="KX97" s="291"/>
      <c r="KY97" s="291"/>
      <c r="KZ97" s="291"/>
      <c r="LA97" s="291"/>
      <c r="LB97" s="291"/>
      <c r="LC97" s="291"/>
      <c r="LD97" s="291"/>
      <c r="LE97" s="291"/>
      <c r="LF97" s="291"/>
      <c r="LG97" s="291"/>
      <c r="LH97" s="291"/>
      <c r="LI97" s="291"/>
      <c r="LJ97" s="291"/>
      <c r="LK97" s="291"/>
      <c r="LL97" s="291"/>
      <c r="LM97" s="291"/>
      <c r="LN97" s="291"/>
      <c r="LO97" s="291"/>
      <c r="LP97" s="291"/>
      <c r="LQ97" s="291"/>
      <c r="LR97" s="291"/>
      <c r="LS97" s="291"/>
      <c r="LT97" s="291"/>
      <c r="LU97" s="291"/>
      <c r="LV97" s="291"/>
      <c r="LW97" s="291"/>
      <c r="LX97" s="291"/>
      <c r="LY97" s="291"/>
      <c r="LZ97" s="291"/>
      <c r="MA97" s="291"/>
      <c r="MB97" s="291"/>
      <c r="MC97" s="291"/>
      <c r="MD97" s="291"/>
      <c r="ME97" s="291"/>
      <c r="MF97" s="291"/>
      <c r="MG97" s="291"/>
      <c r="MH97" s="291"/>
      <c r="MI97" s="291"/>
      <c r="MJ97" s="291"/>
      <c r="MK97" s="291"/>
      <c r="ML97" s="291"/>
      <c r="MM97" s="291"/>
      <c r="MN97" s="291"/>
      <c r="MO97" s="291"/>
      <c r="MP97" s="291"/>
      <c r="MQ97" s="291"/>
      <c r="MR97" s="291"/>
      <c r="MS97" s="291"/>
      <c r="MT97" s="291"/>
      <c r="MU97" s="291"/>
      <c r="MV97" s="291"/>
      <c r="MW97" s="291"/>
      <c r="MX97" s="291"/>
      <c r="MY97" s="291"/>
      <c r="MZ97" s="291"/>
      <c r="NA97" s="291"/>
      <c r="NB97" s="291"/>
      <c r="NC97" s="291"/>
      <c r="ND97" s="291"/>
      <c r="NE97" s="291"/>
      <c r="NF97" s="291"/>
      <c r="NG97" s="291"/>
      <c r="NH97" s="291"/>
      <c r="NI97" s="291"/>
      <c r="NJ97" s="291"/>
      <c r="NK97" s="291"/>
      <c r="NL97" s="291"/>
      <c r="NM97" s="291"/>
      <c r="NN97" s="291"/>
      <c r="NO97" s="291"/>
      <c r="NP97" s="291"/>
      <c r="NQ97" s="291"/>
      <c r="NR97" s="291"/>
      <c r="NS97" s="291"/>
      <c r="NT97" s="291"/>
      <c r="NU97" s="291"/>
      <c r="NV97" s="291"/>
      <c r="NW97" s="291"/>
      <c r="NX97" s="291"/>
      <c r="NY97" s="291"/>
      <c r="NZ97" s="291"/>
      <c r="OA97" s="291"/>
      <c r="OB97" s="291"/>
      <c r="OC97" s="291"/>
      <c r="OD97" s="291"/>
      <c r="OE97" s="291"/>
      <c r="OF97" s="291"/>
      <c r="OG97" s="291"/>
      <c r="OH97" s="291"/>
      <c r="OI97" s="291"/>
      <c r="OJ97" s="291"/>
      <c r="OK97" s="291"/>
      <c r="OL97" s="291"/>
      <c r="OM97" s="291"/>
      <c r="ON97" s="291"/>
      <c r="OO97" s="291"/>
      <c r="OP97" s="291"/>
      <c r="OQ97" s="291"/>
      <c r="OR97" s="291"/>
      <c r="OS97" s="291"/>
      <c r="OT97" s="291"/>
      <c r="OU97" s="291"/>
      <c r="OV97" s="291"/>
      <c r="OW97" s="291"/>
    </row>
    <row r="98" spans="1:413" s="257" customFormat="1" hidden="1" x14ac:dyDescent="0.2">
      <c r="A98" s="291"/>
      <c r="B98" s="524">
        <f t="shared" si="7"/>
        <v>82</v>
      </c>
      <c r="C98" s="510" t="s">
        <v>38</v>
      </c>
      <c r="D98" s="511">
        <v>30120122</v>
      </c>
      <c r="E98" s="511"/>
      <c r="F98" s="512" t="s">
        <v>1231</v>
      </c>
      <c r="G98" s="513" t="s">
        <v>46</v>
      </c>
      <c r="H98" s="514" t="s">
        <v>1094</v>
      </c>
      <c r="I98" s="515" t="s">
        <v>1101</v>
      </c>
      <c r="J98" s="346" t="s">
        <v>43</v>
      </c>
      <c r="K98" s="526">
        <v>354951</v>
      </c>
      <c r="L98" s="527">
        <v>4160</v>
      </c>
      <c r="M98" s="528">
        <v>280791</v>
      </c>
      <c r="N98" s="520">
        <v>0</v>
      </c>
      <c r="O98" s="520">
        <v>0</v>
      </c>
      <c r="P98" s="520">
        <v>6120</v>
      </c>
      <c r="Q98" s="520">
        <v>3060</v>
      </c>
      <c r="R98" s="520">
        <v>37455</v>
      </c>
      <c r="S98" s="520">
        <v>37455</v>
      </c>
      <c r="T98" s="18"/>
      <c r="U98" s="18"/>
      <c r="V98" s="18"/>
      <c r="W98" s="18"/>
      <c r="X98" s="18"/>
      <c r="Y98" s="18"/>
      <c r="Z98" s="18">
        <f t="shared" si="4"/>
        <v>84090</v>
      </c>
      <c r="AA98" s="309">
        <v>70000</v>
      </c>
      <c r="AB98" s="19">
        <v>3</v>
      </c>
      <c r="AC98" s="521">
        <v>44222</v>
      </c>
      <c r="AD98" s="25">
        <v>44225</v>
      </c>
      <c r="AE98" s="309">
        <v>121110</v>
      </c>
      <c r="AF98" s="20">
        <v>22</v>
      </c>
      <c r="AG98" s="23">
        <v>44301</v>
      </c>
      <c r="AH98" s="25">
        <v>44313</v>
      </c>
      <c r="AI98" s="309"/>
      <c r="AJ98" s="19"/>
      <c r="AK98" s="23"/>
      <c r="AL98" s="25"/>
      <c r="AM98" s="309"/>
      <c r="AN98" s="19"/>
      <c r="AO98" s="21"/>
      <c r="AP98" s="25"/>
      <c r="AQ98" s="309"/>
      <c r="AR98" s="19"/>
      <c r="AS98" s="21"/>
      <c r="AT98" s="25"/>
      <c r="AU98" s="522">
        <f t="shared" si="5"/>
        <v>191110</v>
      </c>
      <c r="AV98" s="311">
        <f t="shared" si="6"/>
        <v>107020</v>
      </c>
      <c r="AW98" s="305"/>
      <c r="AX98" s="291"/>
      <c r="AY98" s="291"/>
      <c r="AZ98" s="291"/>
      <c r="BA98" s="291"/>
      <c r="BB98" s="291"/>
      <c r="BC98" s="291"/>
      <c r="BD98" s="291"/>
      <c r="BE98" s="291"/>
      <c r="BF98" s="291"/>
      <c r="BG98" s="291"/>
      <c r="BH98" s="291"/>
      <c r="BI98" s="291"/>
      <c r="BJ98" s="291"/>
      <c r="BK98" s="291"/>
      <c r="BL98" s="291"/>
      <c r="BM98" s="291"/>
      <c r="BN98" s="291"/>
      <c r="BO98" s="291"/>
      <c r="BP98" s="291"/>
      <c r="BQ98" s="291"/>
      <c r="BR98" s="291"/>
      <c r="BS98" s="291"/>
      <c r="BT98" s="291"/>
      <c r="BU98" s="291"/>
      <c r="BV98" s="291"/>
      <c r="BW98" s="291"/>
      <c r="BX98" s="291"/>
      <c r="BY98" s="291"/>
      <c r="BZ98" s="291"/>
      <c r="CA98" s="291"/>
      <c r="CB98" s="291"/>
      <c r="CC98" s="291"/>
      <c r="CD98" s="291"/>
      <c r="CE98" s="291"/>
      <c r="CF98" s="291"/>
      <c r="CG98" s="291"/>
      <c r="CH98" s="291"/>
      <c r="CI98" s="291"/>
      <c r="CJ98" s="291"/>
      <c r="CK98" s="291"/>
      <c r="CL98" s="291"/>
      <c r="CM98" s="291"/>
      <c r="CN98" s="291"/>
      <c r="CO98" s="291"/>
      <c r="CP98" s="291"/>
      <c r="CQ98" s="291"/>
      <c r="CR98" s="291"/>
      <c r="CS98" s="291"/>
      <c r="CT98" s="291"/>
      <c r="CU98" s="291"/>
      <c r="CV98" s="291"/>
      <c r="CW98" s="291"/>
      <c r="CX98" s="291"/>
      <c r="CY98" s="291"/>
      <c r="CZ98" s="291"/>
      <c r="DA98" s="291"/>
      <c r="DB98" s="291"/>
      <c r="DC98" s="291"/>
      <c r="DD98" s="291"/>
      <c r="DE98" s="291"/>
      <c r="DF98" s="291"/>
      <c r="DG98" s="291"/>
      <c r="DH98" s="291"/>
      <c r="DI98" s="291"/>
      <c r="DJ98" s="291"/>
      <c r="DK98" s="291"/>
      <c r="DL98" s="291"/>
      <c r="DM98" s="291"/>
      <c r="DN98" s="291"/>
      <c r="DO98" s="291"/>
      <c r="DP98" s="291"/>
      <c r="DQ98" s="291"/>
      <c r="DR98" s="291"/>
      <c r="DS98" s="291"/>
      <c r="DT98" s="291"/>
      <c r="DU98" s="291"/>
      <c r="DV98" s="291"/>
      <c r="DW98" s="291"/>
      <c r="DX98" s="291"/>
      <c r="DY98" s="291"/>
      <c r="DZ98" s="291"/>
      <c r="EA98" s="291"/>
      <c r="EB98" s="291"/>
      <c r="EC98" s="291"/>
      <c r="ED98" s="291"/>
      <c r="EE98" s="291"/>
      <c r="EF98" s="291"/>
      <c r="EG98" s="291"/>
      <c r="EH98" s="291"/>
      <c r="EI98" s="291"/>
      <c r="EJ98" s="291"/>
      <c r="EK98" s="291"/>
      <c r="EL98" s="291"/>
      <c r="EM98" s="291"/>
      <c r="EN98" s="291"/>
      <c r="EO98" s="291"/>
      <c r="EP98" s="291"/>
      <c r="EQ98" s="291"/>
      <c r="ER98" s="291"/>
      <c r="ES98" s="291"/>
      <c r="ET98" s="291"/>
      <c r="EU98" s="291"/>
      <c r="EV98" s="291"/>
      <c r="EW98" s="291"/>
      <c r="EX98" s="291"/>
      <c r="EY98" s="291"/>
      <c r="EZ98" s="291"/>
      <c r="FA98" s="291"/>
      <c r="FB98" s="291"/>
      <c r="FC98" s="291"/>
      <c r="FD98" s="291"/>
      <c r="FE98" s="291"/>
      <c r="FF98" s="291"/>
      <c r="FG98" s="291"/>
      <c r="FH98" s="291"/>
      <c r="FI98" s="291"/>
      <c r="FJ98" s="291"/>
      <c r="FK98" s="291"/>
      <c r="FL98" s="291"/>
      <c r="FM98" s="291"/>
      <c r="FN98" s="291"/>
      <c r="FO98" s="291"/>
      <c r="FP98" s="291"/>
      <c r="FQ98" s="291"/>
      <c r="FR98" s="291"/>
      <c r="FS98" s="291"/>
      <c r="FT98" s="291"/>
      <c r="FU98" s="291"/>
      <c r="FV98" s="291"/>
      <c r="FW98" s="291"/>
      <c r="FX98" s="291"/>
      <c r="FY98" s="291"/>
      <c r="FZ98" s="291"/>
      <c r="GA98" s="291"/>
      <c r="GB98" s="291"/>
      <c r="GC98" s="291"/>
      <c r="GD98" s="291"/>
      <c r="GE98" s="291"/>
      <c r="GF98" s="291"/>
      <c r="GG98" s="291"/>
      <c r="GH98" s="291"/>
      <c r="GI98" s="291"/>
      <c r="GJ98" s="291"/>
      <c r="GK98" s="291"/>
      <c r="GL98" s="291"/>
      <c r="GM98" s="291"/>
      <c r="GN98" s="291"/>
      <c r="GO98" s="291"/>
      <c r="GP98" s="291"/>
      <c r="GQ98" s="291"/>
      <c r="GR98" s="291"/>
      <c r="GS98" s="291"/>
      <c r="GT98" s="291"/>
      <c r="GU98" s="291"/>
      <c r="GV98" s="291"/>
      <c r="GW98" s="291"/>
      <c r="GX98" s="291"/>
      <c r="GY98" s="291"/>
      <c r="GZ98" s="291"/>
      <c r="HA98" s="291"/>
      <c r="HB98" s="291"/>
      <c r="HC98" s="291"/>
      <c r="HD98" s="291"/>
      <c r="HE98" s="291"/>
      <c r="HF98" s="291"/>
      <c r="HG98" s="291"/>
      <c r="HH98" s="291"/>
      <c r="HI98" s="291"/>
      <c r="HJ98" s="291"/>
      <c r="HK98" s="291"/>
      <c r="HL98" s="291"/>
      <c r="HM98" s="291"/>
      <c r="HN98" s="291"/>
      <c r="HO98" s="291"/>
      <c r="HP98" s="291"/>
      <c r="HQ98" s="291"/>
      <c r="HR98" s="291"/>
      <c r="HS98" s="291"/>
      <c r="HT98" s="291"/>
      <c r="HU98" s="291"/>
      <c r="HV98" s="291"/>
      <c r="HW98" s="291"/>
      <c r="HX98" s="291"/>
      <c r="HY98" s="291"/>
      <c r="HZ98" s="291"/>
      <c r="IA98" s="291"/>
      <c r="IB98" s="291"/>
      <c r="IC98" s="291"/>
      <c r="ID98" s="291"/>
      <c r="IE98" s="291"/>
      <c r="IF98" s="291"/>
      <c r="IG98" s="291"/>
      <c r="IH98" s="291"/>
      <c r="II98" s="291"/>
      <c r="IJ98" s="291"/>
      <c r="IK98" s="291"/>
      <c r="IL98" s="291"/>
      <c r="IM98" s="291"/>
      <c r="IN98" s="291"/>
      <c r="IO98" s="291"/>
      <c r="IP98" s="291"/>
      <c r="IQ98" s="291"/>
      <c r="IR98" s="291"/>
      <c r="IS98" s="291"/>
      <c r="IT98" s="291"/>
      <c r="IU98" s="291"/>
      <c r="IV98" s="291"/>
      <c r="IW98" s="291"/>
      <c r="IX98" s="291"/>
      <c r="IY98" s="291"/>
      <c r="IZ98" s="291"/>
      <c r="JA98" s="291"/>
      <c r="JB98" s="291"/>
      <c r="JC98" s="291"/>
      <c r="JD98" s="291"/>
      <c r="JE98" s="291"/>
      <c r="JF98" s="291"/>
      <c r="JG98" s="291"/>
      <c r="JH98" s="291"/>
      <c r="JI98" s="291"/>
      <c r="JJ98" s="291"/>
      <c r="JK98" s="291"/>
      <c r="JL98" s="291"/>
      <c r="JM98" s="291"/>
      <c r="JN98" s="291"/>
      <c r="JO98" s="291"/>
      <c r="JP98" s="291"/>
      <c r="JQ98" s="291"/>
      <c r="JR98" s="291"/>
      <c r="JS98" s="291"/>
      <c r="JT98" s="291"/>
      <c r="JU98" s="291"/>
      <c r="JV98" s="291"/>
      <c r="JW98" s="291"/>
      <c r="JX98" s="291"/>
      <c r="JY98" s="291"/>
      <c r="JZ98" s="291"/>
      <c r="KA98" s="291"/>
      <c r="KB98" s="291"/>
      <c r="KC98" s="291"/>
      <c r="KD98" s="291"/>
      <c r="KE98" s="291"/>
      <c r="KF98" s="291"/>
      <c r="KG98" s="291"/>
      <c r="KH98" s="291"/>
      <c r="KI98" s="291"/>
      <c r="KJ98" s="291"/>
      <c r="KK98" s="291"/>
      <c r="KL98" s="291"/>
      <c r="KM98" s="291"/>
      <c r="KN98" s="291"/>
      <c r="KO98" s="291"/>
      <c r="KP98" s="291"/>
      <c r="KQ98" s="291"/>
      <c r="KR98" s="291"/>
      <c r="KS98" s="291"/>
      <c r="KT98" s="291"/>
      <c r="KU98" s="291"/>
      <c r="KV98" s="291"/>
      <c r="KW98" s="291"/>
      <c r="KX98" s="291"/>
      <c r="KY98" s="291"/>
      <c r="KZ98" s="291"/>
      <c r="LA98" s="291"/>
      <c r="LB98" s="291"/>
      <c r="LC98" s="291"/>
      <c r="LD98" s="291"/>
      <c r="LE98" s="291"/>
      <c r="LF98" s="291"/>
      <c r="LG98" s="291"/>
      <c r="LH98" s="291"/>
      <c r="LI98" s="291"/>
      <c r="LJ98" s="291"/>
      <c r="LK98" s="291"/>
      <c r="LL98" s="291"/>
      <c r="LM98" s="291"/>
      <c r="LN98" s="291"/>
      <c r="LO98" s="291"/>
      <c r="LP98" s="291"/>
      <c r="LQ98" s="291"/>
      <c r="LR98" s="291"/>
      <c r="LS98" s="291"/>
      <c r="LT98" s="291"/>
      <c r="LU98" s="291"/>
      <c r="LV98" s="291"/>
      <c r="LW98" s="291"/>
      <c r="LX98" s="291"/>
      <c r="LY98" s="291"/>
      <c r="LZ98" s="291"/>
      <c r="MA98" s="291"/>
      <c r="MB98" s="291"/>
      <c r="MC98" s="291"/>
      <c r="MD98" s="291"/>
      <c r="ME98" s="291"/>
      <c r="MF98" s="291"/>
      <c r="MG98" s="291"/>
      <c r="MH98" s="291"/>
      <c r="MI98" s="291"/>
      <c r="MJ98" s="291"/>
      <c r="MK98" s="291"/>
      <c r="ML98" s="291"/>
      <c r="MM98" s="291"/>
      <c r="MN98" s="291"/>
      <c r="MO98" s="291"/>
      <c r="MP98" s="291"/>
      <c r="MQ98" s="291"/>
      <c r="MR98" s="291"/>
      <c r="MS98" s="291"/>
      <c r="MT98" s="291"/>
      <c r="MU98" s="291"/>
      <c r="MV98" s="291"/>
      <c r="MW98" s="291"/>
      <c r="MX98" s="291"/>
      <c r="MY98" s="291"/>
      <c r="MZ98" s="291"/>
      <c r="NA98" s="291"/>
      <c r="NB98" s="291"/>
      <c r="NC98" s="291"/>
      <c r="ND98" s="291"/>
      <c r="NE98" s="291"/>
      <c r="NF98" s="291"/>
      <c r="NG98" s="291"/>
      <c r="NH98" s="291"/>
      <c r="NI98" s="291"/>
      <c r="NJ98" s="291"/>
      <c r="NK98" s="291"/>
      <c r="NL98" s="291"/>
      <c r="NM98" s="291"/>
      <c r="NN98" s="291"/>
      <c r="NO98" s="291"/>
      <c r="NP98" s="291"/>
      <c r="NQ98" s="291"/>
      <c r="NR98" s="291"/>
      <c r="NS98" s="291"/>
      <c r="NT98" s="291"/>
      <c r="NU98" s="291"/>
      <c r="NV98" s="291"/>
      <c r="NW98" s="291"/>
      <c r="NX98" s="291"/>
      <c r="NY98" s="291"/>
      <c r="NZ98" s="291"/>
      <c r="OA98" s="291"/>
      <c r="OB98" s="291"/>
      <c r="OC98" s="291"/>
      <c r="OD98" s="291"/>
      <c r="OE98" s="291"/>
      <c r="OF98" s="291"/>
      <c r="OG98" s="291"/>
      <c r="OH98" s="291"/>
      <c r="OI98" s="291"/>
      <c r="OJ98" s="291"/>
      <c r="OK98" s="291"/>
      <c r="OL98" s="291"/>
      <c r="OM98" s="291"/>
      <c r="ON98" s="291"/>
      <c r="OO98" s="291"/>
      <c r="OP98" s="291"/>
      <c r="OQ98" s="291"/>
      <c r="OR98" s="291"/>
      <c r="OS98" s="291"/>
      <c r="OT98" s="291"/>
      <c r="OU98" s="291"/>
      <c r="OV98" s="291"/>
      <c r="OW98" s="291"/>
    </row>
    <row r="99" spans="1:413" s="257" customFormat="1" hidden="1" x14ac:dyDescent="0.2">
      <c r="A99" s="291"/>
      <c r="B99" s="524">
        <f t="shared" si="7"/>
        <v>83</v>
      </c>
      <c r="C99" s="510" t="s">
        <v>38</v>
      </c>
      <c r="D99" s="511">
        <v>30121360</v>
      </c>
      <c r="E99" s="511"/>
      <c r="F99" s="512" t="s">
        <v>1232</v>
      </c>
      <c r="G99" s="513" t="s">
        <v>45</v>
      </c>
      <c r="H99" s="514" t="s">
        <v>1094</v>
      </c>
      <c r="I99" s="515" t="s">
        <v>1176</v>
      </c>
      <c r="J99" s="346" t="s">
        <v>42</v>
      </c>
      <c r="K99" s="526">
        <v>2004064</v>
      </c>
      <c r="L99" s="527">
        <v>967553</v>
      </c>
      <c r="M99" s="528">
        <v>0</v>
      </c>
      <c r="N99" s="519">
        <v>0</v>
      </c>
      <c r="O99" s="519">
        <v>1467</v>
      </c>
      <c r="P99" s="519">
        <v>19707</v>
      </c>
      <c r="Q99" s="519">
        <v>0</v>
      </c>
      <c r="R99" s="519">
        <v>131460</v>
      </c>
      <c r="S99" s="520">
        <v>137510</v>
      </c>
      <c r="T99" s="18"/>
      <c r="U99" s="18"/>
      <c r="V99" s="18"/>
      <c r="W99" s="18"/>
      <c r="X99" s="18"/>
      <c r="Y99" s="18"/>
      <c r="Z99" s="18">
        <f t="shared" si="4"/>
        <v>290144</v>
      </c>
      <c r="AA99" s="309">
        <v>702934</v>
      </c>
      <c r="AB99" s="19">
        <v>11</v>
      </c>
      <c r="AC99" s="521">
        <v>44237</v>
      </c>
      <c r="AD99" s="25">
        <v>44251</v>
      </c>
      <c r="AE99" s="309">
        <v>12000</v>
      </c>
      <c r="AF99" s="20">
        <v>22</v>
      </c>
      <c r="AG99" s="23">
        <v>44301</v>
      </c>
      <c r="AH99" s="25">
        <v>44313</v>
      </c>
      <c r="AI99" s="309"/>
      <c r="AJ99" s="19"/>
      <c r="AK99" s="23"/>
      <c r="AL99" s="25"/>
      <c r="AM99" s="309"/>
      <c r="AN99" s="19"/>
      <c r="AO99" s="21"/>
      <c r="AP99" s="25"/>
      <c r="AQ99" s="309"/>
      <c r="AR99" s="19"/>
      <c r="AS99" s="21"/>
      <c r="AT99" s="25"/>
      <c r="AU99" s="522">
        <f t="shared" si="5"/>
        <v>714934</v>
      </c>
      <c r="AV99" s="311">
        <f t="shared" si="6"/>
        <v>424790</v>
      </c>
      <c r="AW99" s="305"/>
      <c r="AX99" s="291"/>
      <c r="AY99" s="291"/>
      <c r="AZ99" s="291"/>
      <c r="BA99" s="291"/>
      <c r="BB99" s="291"/>
      <c r="BC99" s="291"/>
      <c r="BD99" s="291"/>
      <c r="BE99" s="291"/>
      <c r="BF99" s="291"/>
      <c r="BG99" s="291"/>
      <c r="BH99" s="291"/>
      <c r="BI99" s="291"/>
      <c r="BJ99" s="291"/>
      <c r="BK99" s="291"/>
      <c r="BL99" s="291"/>
      <c r="BM99" s="291"/>
      <c r="BN99" s="291"/>
      <c r="BO99" s="291"/>
      <c r="BP99" s="291"/>
      <c r="BQ99" s="291"/>
      <c r="BR99" s="291"/>
      <c r="BS99" s="291"/>
      <c r="BT99" s="291"/>
      <c r="BU99" s="291"/>
      <c r="BV99" s="291"/>
      <c r="BW99" s="291"/>
      <c r="BX99" s="291"/>
      <c r="BY99" s="291"/>
      <c r="BZ99" s="291"/>
      <c r="CA99" s="291"/>
      <c r="CB99" s="291"/>
      <c r="CC99" s="291"/>
      <c r="CD99" s="291"/>
      <c r="CE99" s="291"/>
      <c r="CF99" s="291"/>
      <c r="CG99" s="291"/>
      <c r="CH99" s="291"/>
      <c r="CI99" s="291"/>
      <c r="CJ99" s="291"/>
      <c r="CK99" s="291"/>
      <c r="CL99" s="291"/>
      <c r="CM99" s="291"/>
      <c r="CN99" s="291"/>
      <c r="CO99" s="291"/>
      <c r="CP99" s="291"/>
      <c r="CQ99" s="291"/>
      <c r="CR99" s="291"/>
      <c r="CS99" s="291"/>
      <c r="CT99" s="291"/>
      <c r="CU99" s="291"/>
      <c r="CV99" s="291"/>
      <c r="CW99" s="291"/>
      <c r="CX99" s="291"/>
      <c r="CY99" s="291"/>
      <c r="CZ99" s="291"/>
      <c r="DA99" s="291"/>
      <c r="DB99" s="291"/>
      <c r="DC99" s="291"/>
      <c r="DD99" s="291"/>
      <c r="DE99" s="291"/>
      <c r="DF99" s="291"/>
      <c r="DG99" s="291"/>
      <c r="DH99" s="291"/>
      <c r="DI99" s="291"/>
      <c r="DJ99" s="291"/>
      <c r="DK99" s="291"/>
      <c r="DL99" s="291"/>
      <c r="DM99" s="291"/>
      <c r="DN99" s="291"/>
      <c r="DO99" s="291"/>
      <c r="DP99" s="291"/>
      <c r="DQ99" s="291"/>
      <c r="DR99" s="291"/>
      <c r="DS99" s="291"/>
      <c r="DT99" s="291"/>
      <c r="DU99" s="291"/>
      <c r="DV99" s="291"/>
      <c r="DW99" s="291"/>
      <c r="DX99" s="291"/>
      <c r="DY99" s="291"/>
      <c r="DZ99" s="291"/>
      <c r="EA99" s="291"/>
      <c r="EB99" s="291"/>
      <c r="EC99" s="291"/>
      <c r="ED99" s="291"/>
      <c r="EE99" s="291"/>
      <c r="EF99" s="291"/>
      <c r="EG99" s="291"/>
      <c r="EH99" s="291"/>
      <c r="EI99" s="291"/>
      <c r="EJ99" s="291"/>
      <c r="EK99" s="291"/>
      <c r="EL99" s="291"/>
      <c r="EM99" s="291"/>
      <c r="EN99" s="291"/>
      <c r="EO99" s="291"/>
      <c r="EP99" s="291"/>
      <c r="EQ99" s="291"/>
      <c r="ER99" s="291"/>
      <c r="ES99" s="291"/>
      <c r="ET99" s="291"/>
      <c r="EU99" s="291"/>
      <c r="EV99" s="291"/>
      <c r="EW99" s="291"/>
      <c r="EX99" s="291"/>
      <c r="EY99" s="291"/>
      <c r="EZ99" s="291"/>
      <c r="FA99" s="291"/>
      <c r="FB99" s="291"/>
      <c r="FC99" s="291"/>
      <c r="FD99" s="291"/>
      <c r="FE99" s="291"/>
      <c r="FF99" s="291"/>
      <c r="FG99" s="291"/>
      <c r="FH99" s="291"/>
      <c r="FI99" s="291"/>
      <c r="FJ99" s="291"/>
      <c r="FK99" s="291"/>
      <c r="FL99" s="291"/>
      <c r="FM99" s="291"/>
      <c r="FN99" s="291"/>
      <c r="FO99" s="291"/>
      <c r="FP99" s="291"/>
      <c r="FQ99" s="291"/>
      <c r="FR99" s="291"/>
      <c r="FS99" s="291"/>
      <c r="FT99" s="291"/>
      <c r="FU99" s="291"/>
      <c r="FV99" s="291"/>
      <c r="FW99" s="291"/>
      <c r="FX99" s="291"/>
      <c r="FY99" s="291"/>
      <c r="FZ99" s="291"/>
      <c r="GA99" s="291"/>
      <c r="GB99" s="291"/>
      <c r="GC99" s="291"/>
      <c r="GD99" s="291"/>
      <c r="GE99" s="291"/>
      <c r="GF99" s="291"/>
      <c r="GG99" s="291"/>
      <c r="GH99" s="291"/>
      <c r="GI99" s="291"/>
      <c r="GJ99" s="291"/>
      <c r="GK99" s="291"/>
      <c r="GL99" s="291"/>
      <c r="GM99" s="291"/>
      <c r="GN99" s="291"/>
      <c r="GO99" s="291"/>
      <c r="GP99" s="291"/>
      <c r="GQ99" s="291"/>
      <c r="GR99" s="291"/>
      <c r="GS99" s="291"/>
      <c r="GT99" s="291"/>
      <c r="GU99" s="291"/>
      <c r="GV99" s="291"/>
      <c r="GW99" s="291"/>
      <c r="GX99" s="291"/>
      <c r="GY99" s="291"/>
      <c r="GZ99" s="291"/>
      <c r="HA99" s="291"/>
      <c r="HB99" s="291"/>
      <c r="HC99" s="291"/>
      <c r="HD99" s="291"/>
      <c r="HE99" s="291"/>
      <c r="HF99" s="291"/>
      <c r="HG99" s="291"/>
      <c r="HH99" s="291"/>
      <c r="HI99" s="291"/>
      <c r="HJ99" s="291"/>
      <c r="HK99" s="291"/>
      <c r="HL99" s="291"/>
      <c r="HM99" s="291"/>
      <c r="HN99" s="291"/>
      <c r="HO99" s="291"/>
      <c r="HP99" s="291"/>
      <c r="HQ99" s="291"/>
      <c r="HR99" s="291"/>
      <c r="HS99" s="291"/>
      <c r="HT99" s="291"/>
      <c r="HU99" s="291"/>
      <c r="HV99" s="291"/>
      <c r="HW99" s="291"/>
      <c r="HX99" s="291"/>
      <c r="HY99" s="291"/>
      <c r="HZ99" s="291"/>
      <c r="IA99" s="291"/>
      <c r="IB99" s="291"/>
      <c r="IC99" s="291"/>
      <c r="ID99" s="291"/>
      <c r="IE99" s="291"/>
      <c r="IF99" s="291"/>
      <c r="IG99" s="291"/>
      <c r="IH99" s="291"/>
      <c r="II99" s="291"/>
      <c r="IJ99" s="291"/>
      <c r="IK99" s="291"/>
      <c r="IL99" s="291"/>
      <c r="IM99" s="291"/>
      <c r="IN99" s="291"/>
      <c r="IO99" s="291"/>
      <c r="IP99" s="291"/>
      <c r="IQ99" s="291"/>
      <c r="IR99" s="291"/>
      <c r="IS99" s="291"/>
      <c r="IT99" s="291"/>
      <c r="IU99" s="291"/>
      <c r="IV99" s="291"/>
      <c r="IW99" s="291"/>
      <c r="IX99" s="291"/>
      <c r="IY99" s="291"/>
      <c r="IZ99" s="291"/>
      <c r="JA99" s="291"/>
      <c r="JB99" s="291"/>
      <c r="JC99" s="291"/>
      <c r="JD99" s="291"/>
      <c r="JE99" s="291"/>
      <c r="JF99" s="291"/>
      <c r="JG99" s="291"/>
      <c r="JH99" s="291"/>
      <c r="JI99" s="291"/>
      <c r="JJ99" s="291"/>
      <c r="JK99" s="291"/>
      <c r="JL99" s="291"/>
      <c r="JM99" s="291"/>
      <c r="JN99" s="291"/>
      <c r="JO99" s="291"/>
      <c r="JP99" s="291"/>
      <c r="JQ99" s="291"/>
      <c r="JR99" s="291"/>
      <c r="JS99" s="291"/>
      <c r="JT99" s="291"/>
      <c r="JU99" s="291"/>
      <c r="JV99" s="291"/>
      <c r="JW99" s="291"/>
      <c r="JX99" s="291"/>
      <c r="JY99" s="291"/>
      <c r="JZ99" s="291"/>
      <c r="KA99" s="291"/>
      <c r="KB99" s="291"/>
      <c r="KC99" s="291"/>
      <c r="KD99" s="291"/>
      <c r="KE99" s="291"/>
      <c r="KF99" s="291"/>
      <c r="KG99" s="291"/>
      <c r="KH99" s="291"/>
      <c r="KI99" s="291"/>
      <c r="KJ99" s="291"/>
      <c r="KK99" s="291"/>
      <c r="KL99" s="291"/>
      <c r="KM99" s="291"/>
      <c r="KN99" s="291"/>
      <c r="KO99" s="291"/>
      <c r="KP99" s="291"/>
      <c r="KQ99" s="291"/>
      <c r="KR99" s="291"/>
      <c r="KS99" s="291"/>
      <c r="KT99" s="291"/>
      <c r="KU99" s="291"/>
      <c r="KV99" s="291"/>
      <c r="KW99" s="291"/>
      <c r="KX99" s="291"/>
      <c r="KY99" s="291"/>
      <c r="KZ99" s="291"/>
      <c r="LA99" s="291"/>
      <c r="LB99" s="291"/>
      <c r="LC99" s="291"/>
      <c r="LD99" s="291"/>
      <c r="LE99" s="291"/>
      <c r="LF99" s="291"/>
      <c r="LG99" s="291"/>
      <c r="LH99" s="291"/>
      <c r="LI99" s="291"/>
      <c r="LJ99" s="291"/>
      <c r="LK99" s="291"/>
      <c r="LL99" s="291"/>
      <c r="LM99" s="291"/>
      <c r="LN99" s="291"/>
      <c r="LO99" s="291"/>
      <c r="LP99" s="291"/>
      <c r="LQ99" s="291"/>
      <c r="LR99" s="291"/>
      <c r="LS99" s="291"/>
      <c r="LT99" s="291"/>
      <c r="LU99" s="291"/>
      <c r="LV99" s="291"/>
      <c r="LW99" s="291"/>
      <c r="LX99" s="291"/>
      <c r="LY99" s="291"/>
      <c r="LZ99" s="291"/>
      <c r="MA99" s="291"/>
      <c r="MB99" s="291"/>
      <c r="MC99" s="291"/>
      <c r="MD99" s="291"/>
      <c r="ME99" s="291"/>
      <c r="MF99" s="291"/>
      <c r="MG99" s="291"/>
      <c r="MH99" s="291"/>
      <c r="MI99" s="291"/>
      <c r="MJ99" s="291"/>
      <c r="MK99" s="291"/>
      <c r="ML99" s="291"/>
      <c r="MM99" s="291"/>
      <c r="MN99" s="291"/>
      <c r="MO99" s="291"/>
      <c r="MP99" s="291"/>
      <c r="MQ99" s="291"/>
      <c r="MR99" s="291"/>
      <c r="MS99" s="291"/>
      <c r="MT99" s="291"/>
      <c r="MU99" s="291"/>
      <c r="MV99" s="291"/>
      <c r="MW99" s="291"/>
      <c r="MX99" s="291"/>
      <c r="MY99" s="291"/>
      <c r="MZ99" s="291"/>
      <c r="NA99" s="291"/>
      <c r="NB99" s="291"/>
      <c r="NC99" s="291"/>
      <c r="ND99" s="291"/>
      <c r="NE99" s="291"/>
      <c r="NF99" s="291"/>
      <c r="NG99" s="291"/>
      <c r="NH99" s="291"/>
      <c r="NI99" s="291"/>
      <c r="NJ99" s="291"/>
      <c r="NK99" s="291"/>
      <c r="NL99" s="291"/>
      <c r="NM99" s="291"/>
      <c r="NN99" s="291"/>
      <c r="NO99" s="291"/>
      <c r="NP99" s="291"/>
      <c r="NQ99" s="291"/>
      <c r="NR99" s="291"/>
      <c r="NS99" s="291"/>
      <c r="NT99" s="291"/>
      <c r="NU99" s="291"/>
      <c r="NV99" s="291"/>
      <c r="NW99" s="291"/>
      <c r="NX99" s="291"/>
      <c r="NY99" s="291"/>
      <c r="NZ99" s="291"/>
      <c r="OA99" s="291"/>
      <c r="OB99" s="291"/>
      <c r="OC99" s="291"/>
      <c r="OD99" s="291"/>
      <c r="OE99" s="291"/>
      <c r="OF99" s="291"/>
      <c r="OG99" s="291"/>
      <c r="OH99" s="291"/>
      <c r="OI99" s="291"/>
      <c r="OJ99" s="291"/>
      <c r="OK99" s="291"/>
      <c r="OL99" s="291"/>
      <c r="OM99" s="291"/>
      <c r="ON99" s="291"/>
      <c r="OO99" s="291"/>
      <c r="OP99" s="291"/>
      <c r="OQ99" s="291"/>
      <c r="OR99" s="291"/>
      <c r="OS99" s="291"/>
      <c r="OT99" s="291"/>
      <c r="OU99" s="291"/>
      <c r="OV99" s="291"/>
      <c r="OW99" s="291"/>
    </row>
    <row r="100" spans="1:413" s="276" customFormat="1" hidden="1" x14ac:dyDescent="0.2">
      <c r="A100" s="291"/>
      <c r="B100" s="530">
        <f t="shared" si="7"/>
        <v>84</v>
      </c>
      <c r="C100" s="510" t="s">
        <v>38</v>
      </c>
      <c r="D100" s="511">
        <v>30121363</v>
      </c>
      <c r="E100" s="511"/>
      <c r="F100" s="512" t="s">
        <v>1233</v>
      </c>
      <c r="G100" s="513" t="s">
        <v>45</v>
      </c>
      <c r="H100" s="514" t="s">
        <v>1094</v>
      </c>
      <c r="I100" s="515" t="s">
        <v>1142</v>
      </c>
      <c r="J100" s="346" t="s">
        <v>42</v>
      </c>
      <c r="K100" s="526">
        <v>28491391</v>
      </c>
      <c r="L100" s="527">
        <v>19814357</v>
      </c>
      <c r="M100" s="528">
        <v>0</v>
      </c>
      <c r="N100" s="519">
        <v>0</v>
      </c>
      <c r="O100" s="519">
        <v>894752</v>
      </c>
      <c r="P100" s="519">
        <v>963506</v>
      </c>
      <c r="Q100" s="519">
        <v>507949</v>
      </c>
      <c r="R100" s="519">
        <v>1162717</v>
      </c>
      <c r="S100" s="520">
        <v>12955</v>
      </c>
      <c r="T100" s="57"/>
      <c r="U100" s="57"/>
      <c r="V100" s="57"/>
      <c r="W100" s="57"/>
      <c r="X100" s="57"/>
      <c r="Y100" s="57"/>
      <c r="Z100" s="57">
        <f t="shared" si="4"/>
        <v>3541879</v>
      </c>
      <c r="AA100" s="309">
        <v>5200000</v>
      </c>
      <c r="AB100" s="338">
        <v>11</v>
      </c>
      <c r="AC100" s="531">
        <v>44237</v>
      </c>
      <c r="AD100" s="316">
        <v>44251</v>
      </c>
      <c r="AE100" s="309"/>
      <c r="AF100" s="314"/>
      <c r="AG100" s="315"/>
      <c r="AH100" s="316"/>
      <c r="AI100" s="309"/>
      <c r="AJ100" s="338"/>
      <c r="AK100" s="315"/>
      <c r="AL100" s="316"/>
      <c r="AM100" s="309"/>
      <c r="AN100" s="338"/>
      <c r="AO100" s="362"/>
      <c r="AP100" s="316"/>
      <c r="AQ100" s="309"/>
      <c r="AR100" s="338"/>
      <c r="AS100" s="362"/>
      <c r="AT100" s="316"/>
      <c r="AU100" s="522">
        <f t="shared" si="5"/>
        <v>5200000</v>
      </c>
      <c r="AV100" s="311">
        <f t="shared" si="6"/>
        <v>1658121</v>
      </c>
      <c r="AW100" s="305"/>
      <c r="AX100" s="291"/>
      <c r="AY100" s="291"/>
      <c r="AZ100" s="291"/>
      <c r="BA100" s="291"/>
      <c r="BB100" s="291"/>
      <c r="BC100" s="291"/>
      <c r="BD100" s="291"/>
      <c r="BE100" s="291"/>
      <c r="BF100" s="291"/>
      <c r="BG100" s="291"/>
      <c r="BH100" s="291"/>
      <c r="BI100" s="291"/>
      <c r="BJ100" s="291"/>
      <c r="BK100" s="291"/>
      <c r="BL100" s="291"/>
      <c r="BM100" s="291"/>
      <c r="BN100" s="291"/>
      <c r="BO100" s="291"/>
      <c r="BP100" s="291"/>
      <c r="BQ100" s="291"/>
      <c r="BR100" s="291"/>
      <c r="BS100" s="291"/>
      <c r="BT100" s="291"/>
      <c r="BU100" s="291"/>
      <c r="BV100" s="291"/>
      <c r="BW100" s="291"/>
      <c r="BX100" s="291"/>
      <c r="BY100" s="291"/>
      <c r="BZ100" s="291"/>
      <c r="CA100" s="291"/>
      <c r="CB100" s="291"/>
      <c r="CC100" s="291"/>
      <c r="CD100" s="291"/>
      <c r="CE100" s="291"/>
      <c r="CF100" s="291"/>
      <c r="CG100" s="291"/>
      <c r="CH100" s="291"/>
      <c r="CI100" s="291"/>
      <c r="CJ100" s="291"/>
      <c r="CK100" s="291"/>
      <c r="CL100" s="291"/>
      <c r="CM100" s="291"/>
      <c r="CN100" s="291"/>
      <c r="CO100" s="291"/>
      <c r="CP100" s="291"/>
      <c r="CQ100" s="291"/>
      <c r="CR100" s="291"/>
      <c r="CS100" s="291"/>
      <c r="CT100" s="291"/>
      <c r="CU100" s="291"/>
      <c r="CV100" s="291"/>
      <c r="CW100" s="291"/>
      <c r="CX100" s="291"/>
      <c r="CY100" s="291"/>
      <c r="CZ100" s="291"/>
      <c r="DA100" s="291"/>
      <c r="DB100" s="291"/>
      <c r="DC100" s="291"/>
      <c r="DD100" s="291"/>
      <c r="DE100" s="291"/>
      <c r="DF100" s="291"/>
      <c r="DG100" s="291"/>
      <c r="DH100" s="291"/>
      <c r="DI100" s="291"/>
      <c r="DJ100" s="291"/>
      <c r="DK100" s="291"/>
      <c r="DL100" s="291"/>
      <c r="DM100" s="291"/>
      <c r="DN100" s="291"/>
      <c r="DO100" s="291"/>
      <c r="DP100" s="291"/>
      <c r="DQ100" s="291"/>
      <c r="DR100" s="291"/>
      <c r="DS100" s="291"/>
      <c r="DT100" s="291"/>
      <c r="DU100" s="291"/>
      <c r="DV100" s="291"/>
      <c r="DW100" s="291"/>
      <c r="DX100" s="291"/>
      <c r="DY100" s="291"/>
      <c r="DZ100" s="291"/>
      <c r="EA100" s="291"/>
      <c r="EB100" s="291"/>
      <c r="EC100" s="291"/>
      <c r="ED100" s="291"/>
      <c r="EE100" s="291"/>
      <c r="EF100" s="291"/>
      <c r="EG100" s="291"/>
      <c r="EH100" s="291"/>
      <c r="EI100" s="291"/>
      <c r="EJ100" s="291"/>
      <c r="EK100" s="291"/>
      <c r="EL100" s="291"/>
      <c r="EM100" s="291"/>
      <c r="EN100" s="291"/>
      <c r="EO100" s="291"/>
      <c r="EP100" s="291"/>
      <c r="EQ100" s="291"/>
      <c r="ER100" s="291"/>
      <c r="ES100" s="291"/>
      <c r="ET100" s="291"/>
      <c r="EU100" s="291"/>
      <c r="EV100" s="291"/>
      <c r="EW100" s="291"/>
      <c r="EX100" s="291"/>
      <c r="EY100" s="291"/>
      <c r="EZ100" s="291"/>
      <c r="FA100" s="291"/>
      <c r="FB100" s="291"/>
      <c r="FC100" s="291"/>
      <c r="FD100" s="291"/>
      <c r="FE100" s="291"/>
      <c r="FF100" s="291"/>
      <c r="FG100" s="291"/>
      <c r="FH100" s="291"/>
      <c r="FI100" s="291"/>
      <c r="FJ100" s="291"/>
      <c r="FK100" s="291"/>
      <c r="FL100" s="291"/>
      <c r="FM100" s="291"/>
      <c r="FN100" s="291"/>
      <c r="FO100" s="291"/>
      <c r="FP100" s="291"/>
      <c r="FQ100" s="291"/>
      <c r="FR100" s="291"/>
      <c r="FS100" s="291"/>
      <c r="FT100" s="291"/>
      <c r="FU100" s="291"/>
      <c r="FV100" s="291"/>
      <c r="FW100" s="291"/>
      <c r="FX100" s="291"/>
      <c r="FY100" s="291"/>
      <c r="FZ100" s="291"/>
      <c r="GA100" s="291"/>
      <c r="GB100" s="291"/>
      <c r="GC100" s="291"/>
      <c r="GD100" s="291"/>
      <c r="GE100" s="291"/>
      <c r="GF100" s="291"/>
      <c r="GG100" s="291"/>
      <c r="GH100" s="291"/>
      <c r="GI100" s="291"/>
      <c r="GJ100" s="291"/>
      <c r="GK100" s="291"/>
      <c r="GL100" s="291"/>
      <c r="GM100" s="291"/>
      <c r="GN100" s="291"/>
      <c r="GO100" s="291"/>
      <c r="GP100" s="291"/>
      <c r="GQ100" s="291"/>
      <c r="GR100" s="291"/>
      <c r="GS100" s="291"/>
      <c r="GT100" s="291"/>
      <c r="GU100" s="291"/>
      <c r="GV100" s="291"/>
      <c r="GW100" s="291"/>
      <c r="GX100" s="291"/>
      <c r="GY100" s="291"/>
      <c r="GZ100" s="291"/>
      <c r="HA100" s="291"/>
      <c r="HB100" s="291"/>
      <c r="HC100" s="291"/>
      <c r="HD100" s="291"/>
      <c r="HE100" s="291"/>
      <c r="HF100" s="291"/>
      <c r="HG100" s="291"/>
      <c r="HH100" s="291"/>
      <c r="HI100" s="291"/>
      <c r="HJ100" s="291"/>
      <c r="HK100" s="291"/>
      <c r="HL100" s="291"/>
      <c r="HM100" s="291"/>
      <c r="HN100" s="291"/>
      <c r="HO100" s="291"/>
      <c r="HP100" s="291"/>
      <c r="HQ100" s="291"/>
      <c r="HR100" s="291"/>
      <c r="HS100" s="291"/>
      <c r="HT100" s="291"/>
      <c r="HU100" s="291"/>
      <c r="HV100" s="291"/>
      <c r="HW100" s="291"/>
      <c r="HX100" s="291"/>
      <c r="HY100" s="291"/>
      <c r="HZ100" s="291"/>
      <c r="IA100" s="291"/>
      <c r="IB100" s="291"/>
      <c r="IC100" s="291"/>
      <c r="ID100" s="291"/>
      <c r="IE100" s="291"/>
      <c r="IF100" s="291"/>
      <c r="IG100" s="291"/>
      <c r="IH100" s="291"/>
      <c r="II100" s="291"/>
      <c r="IJ100" s="291"/>
      <c r="IK100" s="291"/>
      <c r="IL100" s="291"/>
      <c r="IM100" s="291"/>
      <c r="IN100" s="291"/>
      <c r="IO100" s="291"/>
      <c r="IP100" s="291"/>
      <c r="IQ100" s="291"/>
      <c r="IR100" s="291"/>
      <c r="IS100" s="291"/>
      <c r="IT100" s="291"/>
      <c r="IU100" s="291"/>
      <c r="IV100" s="291"/>
      <c r="IW100" s="291"/>
      <c r="IX100" s="291"/>
      <c r="IY100" s="291"/>
      <c r="IZ100" s="291"/>
      <c r="JA100" s="291"/>
      <c r="JB100" s="291"/>
      <c r="JC100" s="291"/>
      <c r="JD100" s="291"/>
      <c r="JE100" s="291"/>
      <c r="JF100" s="291"/>
      <c r="JG100" s="291"/>
      <c r="JH100" s="291"/>
      <c r="JI100" s="291"/>
      <c r="JJ100" s="291"/>
      <c r="JK100" s="291"/>
      <c r="JL100" s="291"/>
      <c r="JM100" s="291"/>
      <c r="JN100" s="291"/>
      <c r="JO100" s="291"/>
      <c r="JP100" s="291"/>
      <c r="JQ100" s="291"/>
      <c r="JR100" s="291"/>
      <c r="JS100" s="291"/>
      <c r="JT100" s="291"/>
      <c r="JU100" s="291"/>
      <c r="JV100" s="291"/>
      <c r="JW100" s="291"/>
      <c r="JX100" s="291"/>
      <c r="JY100" s="291"/>
      <c r="JZ100" s="291"/>
      <c r="KA100" s="291"/>
      <c r="KB100" s="291"/>
      <c r="KC100" s="291"/>
      <c r="KD100" s="291"/>
      <c r="KE100" s="291"/>
      <c r="KF100" s="291"/>
      <c r="KG100" s="291"/>
      <c r="KH100" s="291"/>
      <c r="KI100" s="291"/>
      <c r="KJ100" s="291"/>
      <c r="KK100" s="291"/>
      <c r="KL100" s="291"/>
      <c r="KM100" s="291"/>
      <c r="KN100" s="291"/>
      <c r="KO100" s="291"/>
      <c r="KP100" s="291"/>
      <c r="KQ100" s="291"/>
      <c r="KR100" s="291"/>
      <c r="KS100" s="291"/>
      <c r="KT100" s="291"/>
      <c r="KU100" s="291"/>
      <c r="KV100" s="291"/>
      <c r="KW100" s="291"/>
      <c r="KX100" s="291"/>
      <c r="KY100" s="291"/>
      <c r="KZ100" s="291"/>
      <c r="LA100" s="291"/>
      <c r="LB100" s="291"/>
      <c r="LC100" s="291"/>
      <c r="LD100" s="291"/>
      <c r="LE100" s="291"/>
      <c r="LF100" s="291"/>
      <c r="LG100" s="291"/>
      <c r="LH100" s="291"/>
      <c r="LI100" s="291"/>
      <c r="LJ100" s="291"/>
      <c r="LK100" s="291"/>
      <c r="LL100" s="291"/>
      <c r="LM100" s="291"/>
      <c r="LN100" s="291"/>
      <c r="LO100" s="291"/>
      <c r="LP100" s="291"/>
      <c r="LQ100" s="291"/>
      <c r="LR100" s="291"/>
      <c r="LS100" s="291"/>
      <c r="LT100" s="291"/>
      <c r="LU100" s="291"/>
      <c r="LV100" s="291"/>
      <c r="LW100" s="291"/>
      <c r="LX100" s="291"/>
      <c r="LY100" s="291"/>
      <c r="LZ100" s="291"/>
      <c r="MA100" s="291"/>
      <c r="MB100" s="291"/>
      <c r="MC100" s="291"/>
      <c r="MD100" s="291"/>
      <c r="ME100" s="291"/>
      <c r="MF100" s="291"/>
      <c r="MG100" s="291"/>
      <c r="MH100" s="291"/>
      <c r="MI100" s="291"/>
      <c r="MJ100" s="291"/>
      <c r="MK100" s="291"/>
      <c r="ML100" s="291"/>
      <c r="MM100" s="291"/>
      <c r="MN100" s="291"/>
      <c r="MO100" s="291"/>
      <c r="MP100" s="291"/>
      <c r="MQ100" s="291"/>
      <c r="MR100" s="291"/>
      <c r="MS100" s="291"/>
      <c r="MT100" s="291"/>
      <c r="MU100" s="291"/>
      <c r="MV100" s="291"/>
      <c r="MW100" s="291"/>
      <c r="MX100" s="291"/>
      <c r="MY100" s="291"/>
      <c r="MZ100" s="291"/>
      <c r="NA100" s="291"/>
      <c r="NB100" s="291"/>
      <c r="NC100" s="291"/>
      <c r="ND100" s="291"/>
      <c r="NE100" s="291"/>
      <c r="NF100" s="291"/>
      <c r="NG100" s="291"/>
      <c r="NH100" s="291"/>
      <c r="NI100" s="291"/>
      <c r="NJ100" s="291"/>
      <c r="NK100" s="291"/>
      <c r="NL100" s="291"/>
      <c r="NM100" s="291"/>
      <c r="NN100" s="291"/>
      <c r="NO100" s="291"/>
      <c r="NP100" s="291"/>
      <c r="NQ100" s="291"/>
      <c r="NR100" s="291"/>
      <c r="NS100" s="291"/>
      <c r="NT100" s="291"/>
      <c r="NU100" s="291"/>
      <c r="NV100" s="291"/>
      <c r="NW100" s="291"/>
      <c r="NX100" s="291"/>
      <c r="NY100" s="291"/>
      <c r="NZ100" s="291"/>
      <c r="OA100" s="291"/>
      <c r="OB100" s="291"/>
      <c r="OC100" s="291"/>
      <c r="OD100" s="291"/>
      <c r="OE100" s="291"/>
      <c r="OF100" s="291"/>
      <c r="OG100" s="291"/>
      <c r="OH100" s="291"/>
      <c r="OI100" s="291"/>
      <c r="OJ100" s="291"/>
      <c r="OK100" s="291"/>
      <c r="OL100" s="291"/>
      <c r="OM100" s="291"/>
      <c r="ON100" s="291"/>
      <c r="OO100" s="291"/>
      <c r="OP100" s="291"/>
      <c r="OQ100" s="291"/>
      <c r="OR100" s="291"/>
      <c r="OS100" s="291"/>
      <c r="OT100" s="291"/>
      <c r="OU100" s="291"/>
      <c r="OV100" s="291"/>
      <c r="OW100" s="291"/>
    </row>
    <row r="101" spans="1:413" s="257" customFormat="1" hidden="1" x14ac:dyDescent="0.2">
      <c r="A101" s="291"/>
      <c r="B101" s="524">
        <f t="shared" si="7"/>
        <v>85</v>
      </c>
      <c r="C101" s="510" t="s">
        <v>38</v>
      </c>
      <c r="D101" s="511">
        <v>30121509</v>
      </c>
      <c r="E101" s="511"/>
      <c r="F101" s="512" t="s">
        <v>1234</v>
      </c>
      <c r="G101" s="513" t="s">
        <v>45</v>
      </c>
      <c r="H101" s="514" t="s">
        <v>1094</v>
      </c>
      <c r="I101" s="515" t="s">
        <v>1142</v>
      </c>
      <c r="J101" s="346" t="s">
        <v>43</v>
      </c>
      <c r="K101" s="526">
        <v>8503680</v>
      </c>
      <c r="L101" s="527">
        <v>0</v>
      </c>
      <c r="M101" s="528">
        <v>8485979</v>
      </c>
      <c r="N101" s="519">
        <v>0</v>
      </c>
      <c r="O101" s="519">
        <v>0</v>
      </c>
      <c r="P101" s="519">
        <v>0</v>
      </c>
      <c r="Q101" s="519">
        <v>0</v>
      </c>
      <c r="R101" s="519">
        <v>0</v>
      </c>
      <c r="S101" s="520">
        <v>0</v>
      </c>
      <c r="T101" s="18"/>
      <c r="U101" s="18"/>
      <c r="V101" s="18"/>
      <c r="W101" s="18"/>
      <c r="X101" s="18"/>
      <c r="Y101" s="18"/>
      <c r="Z101" s="18">
        <f t="shared" si="4"/>
        <v>0</v>
      </c>
      <c r="AA101" s="309">
        <v>10002</v>
      </c>
      <c r="AB101" s="19">
        <v>3</v>
      </c>
      <c r="AC101" s="521">
        <v>44222</v>
      </c>
      <c r="AD101" s="25">
        <v>44225</v>
      </c>
      <c r="AE101" s="309"/>
      <c r="AF101" s="20"/>
      <c r="AG101" s="23"/>
      <c r="AH101" s="25"/>
      <c r="AI101" s="309"/>
      <c r="AJ101" s="19"/>
      <c r="AK101" s="23"/>
      <c r="AL101" s="25"/>
      <c r="AM101" s="309"/>
      <c r="AN101" s="19"/>
      <c r="AO101" s="21"/>
      <c r="AP101" s="25"/>
      <c r="AQ101" s="309"/>
      <c r="AR101" s="19"/>
      <c r="AS101" s="21"/>
      <c r="AT101" s="25"/>
      <c r="AU101" s="522">
        <f t="shared" si="5"/>
        <v>10002</v>
      </c>
      <c r="AV101" s="311">
        <f t="shared" si="6"/>
        <v>10002</v>
      </c>
      <c r="AW101" s="305"/>
      <c r="AX101" s="291"/>
      <c r="AY101" s="291"/>
      <c r="AZ101" s="291"/>
      <c r="BA101" s="291"/>
      <c r="BB101" s="291"/>
      <c r="BC101" s="291"/>
      <c r="BD101" s="291"/>
      <c r="BE101" s="291"/>
      <c r="BF101" s="291"/>
      <c r="BG101" s="291"/>
      <c r="BH101" s="291"/>
      <c r="BI101" s="291"/>
      <c r="BJ101" s="291"/>
      <c r="BK101" s="291"/>
      <c r="BL101" s="291"/>
      <c r="BM101" s="291"/>
      <c r="BN101" s="291"/>
      <c r="BO101" s="291"/>
      <c r="BP101" s="291"/>
      <c r="BQ101" s="291"/>
      <c r="BR101" s="291"/>
      <c r="BS101" s="291"/>
      <c r="BT101" s="291"/>
      <c r="BU101" s="291"/>
      <c r="BV101" s="291"/>
      <c r="BW101" s="291"/>
      <c r="BX101" s="291"/>
      <c r="BY101" s="291"/>
      <c r="BZ101" s="291"/>
      <c r="CA101" s="291"/>
      <c r="CB101" s="291"/>
      <c r="CC101" s="291"/>
      <c r="CD101" s="291"/>
      <c r="CE101" s="291"/>
      <c r="CF101" s="291"/>
      <c r="CG101" s="291"/>
      <c r="CH101" s="291"/>
      <c r="CI101" s="291"/>
      <c r="CJ101" s="291"/>
      <c r="CK101" s="291"/>
      <c r="CL101" s="291"/>
      <c r="CM101" s="291"/>
      <c r="CN101" s="291"/>
      <c r="CO101" s="291"/>
      <c r="CP101" s="291"/>
      <c r="CQ101" s="291"/>
      <c r="CR101" s="291"/>
      <c r="CS101" s="291"/>
      <c r="CT101" s="291"/>
      <c r="CU101" s="291"/>
      <c r="CV101" s="291"/>
      <c r="CW101" s="291"/>
      <c r="CX101" s="291"/>
      <c r="CY101" s="291"/>
      <c r="CZ101" s="291"/>
      <c r="DA101" s="291"/>
      <c r="DB101" s="291"/>
      <c r="DC101" s="291"/>
      <c r="DD101" s="291"/>
      <c r="DE101" s="291"/>
      <c r="DF101" s="291"/>
      <c r="DG101" s="291"/>
      <c r="DH101" s="291"/>
      <c r="DI101" s="291"/>
      <c r="DJ101" s="291"/>
      <c r="DK101" s="291"/>
      <c r="DL101" s="291"/>
      <c r="DM101" s="291"/>
      <c r="DN101" s="291"/>
      <c r="DO101" s="291"/>
      <c r="DP101" s="291"/>
      <c r="DQ101" s="291"/>
      <c r="DR101" s="291"/>
      <c r="DS101" s="291"/>
      <c r="DT101" s="291"/>
      <c r="DU101" s="291"/>
      <c r="DV101" s="291"/>
      <c r="DW101" s="291"/>
      <c r="DX101" s="291"/>
      <c r="DY101" s="291"/>
      <c r="DZ101" s="291"/>
      <c r="EA101" s="291"/>
      <c r="EB101" s="291"/>
      <c r="EC101" s="291"/>
      <c r="ED101" s="291"/>
      <c r="EE101" s="291"/>
      <c r="EF101" s="291"/>
      <c r="EG101" s="291"/>
      <c r="EH101" s="291"/>
      <c r="EI101" s="291"/>
      <c r="EJ101" s="291"/>
      <c r="EK101" s="291"/>
      <c r="EL101" s="291"/>
      <c r="EM101" s="291"/>
      <c r="EN101" s="291"/>
      <c r="EO101" s="291"/>
      <c r="EP101" s="291"/>
      <c r="EQ101" s="291"/>
      <c r="ER101" s="291"/>
      <c r="ES101" s="291"/>
      <c r="ET101" s="291"/>
      <c r="EU101" s="291"/>
      <c r="EV101" s="291"/>
      <c r="EW101" s="291"/>
      <c r="EX101" s="291"/>
      <c r="EY101" s="291"/>
      <c r="EZ101" s="291"/>
      <c r="FA101" s="291"/>
      <c r="FB101" s="291"/>
      <c r="FC101" s="291"/>
      <c r="FD101" s="291"/>
      <c r="FE101" s="291"/>
      <c r="FF101" s="291"/>
      <c r="FG101" s="291"/>
      <c r="FH101" s="291"/>
      <c r="FI101" s="291"/>
      <c r="FJ101" s="291"/>
      <c r="FK101" s="291"/>
      <c r="FL101" s="291"/>
      <c r="FM101" s="291"/>
      <c r="FN101" s="291"/>
      <c r="FO101" s="291"/>
      <c r="FP101" s="291"/>
      <c r="FQ101" s="291"/>
      <c r="FR101" s="291"/>
      <c r="FS101" s="291"/>
      <c r="FT101" s="291"/>
      <c r="FU101" s="291"/>
      <c r="FV101" s="291"/>
      <c r="FW101" s="291"/>
      <c r="FX101" s="291"/>
      <c r="FY101" s="291"/>
      <c r="FZ101" s="291"/>
      <c r="GA101" s="291"/>
      <c r="GB101" s="291"/>
      <c r="GC101" s="291"/>
      <c r="GD101" s="291"/>
      <c r="GE101" s="291"/>
      <c r="GF101" s="291"/>
      <c r="GG101" s="291"/>
      <c r="GH101" s="291"/>
      <c r="GI101" s="291"/>
      <c r="GJ101" s="291"/>
      <c r="GK101" s="291"/>
      <c r="GL101" s="291"/>
      <c r="GM101" s="291"/>
      <c r="GN101" s="291"/>
      <c r="GO101" s="291"/>
      <c r="GP101" s="291"/>
      <c r="GQ101" s="291"/>
      <c r="GR101" s="291"/>
      <c r="GS101" s="291"/>
      <c r="GT101" s="291"/>
      <c r="GU101" s="291"/>
      <c r="GV101" s="291"/>
      <c r="GW101" s="291"/>
      <c r="GX101" s="291"/>
      <c r="GY101" s="291"/>
      <c r="GZ101" s="291"/>
      <c r="HA101" s="291"/>
      <c r="HB101" s="291"/>
      <c r="HC101" s="291"/>
      <c r="HD101" s="291"/>
      <c r="HE101" s="291"/>
      <c r="HF101" s="291"/>
      <c r="HG101" s="291"/>
      <c r="HH101" s="291"/>
      <c r="HI101" s="291"/>
      <c r="HJ101" s="291"/>
      <c r="HK101" s="291"/>
      <c r="HL101" s="291"/>
      <c r="HM101" s="291"/>
      <c r="HN101" s="291"/>
      <c r="HO101" s="291"/>
      <c r="HP101" s="291"/>
      <c r="HQ101" s="291"/>
      <c r="HR101" s="291"/>
      <c r="HS101" s="291"/>
      <c r="HT101" s="291"/>
      <c r="HU101" s="291"/>
      <c r="HV101" s="291"/>
      <c r="HW101" s="291"/>
      <c r="HX101" s="291"/>
      <c r="HY101" s="291"/>
      <c r="HZ101" s="291"/>
      <c r="IA101" s="291"/>
      <c r="IB101" s="291"/>
      <c r="IC101" s="291"/>
      <c r="ID101" s="291"/>
      <c r="IE101" s="291"/>
      <c r="IF101" s="291"/>
      <c r="IG101" s="291"/>
      <c r="IH101" s="291"/>
      <c r="II101" s="291"/>
      <c r="IJ101" s="291"/>
      <c r="IK101" s="291"/>
      <c r="IL101" s="291"/>
      <c r="IM101" s="291"/>
      <c r="IN101" s="291"/>
      <c r="IO101" s="291"/>
      <c r="IP101" s="291"/>
      <c r="IQ101" s="291"/>
      <c r="IR101" s="291"/>
      <c r="IS101" s="291"/>
      <c r="IT101" s="291"/>
      <c r="IU101" s="291"/>
      <c r="IV101" s="291"/>
      <c r="IW101" s="291"/>
      <c r="IX101" s="291"/>
      <c r="IY101" s="291"/>
      <c r="IZ101" s="291"/>
      <c r="JA101" s="291"/>
      <c r="JB101" s="291"/>
      <c r="JC101" s="291"/>
      <c r="JD101" s="291"/>
      <c r="JE101" s="291"/>
      <c r="JF101" s="291"/>
      <c r="JG101" s="291"/>
      <c r="JH101" s="291"/>
      <c r="JI101" s="291"/>
      <c r="JJ101" s="291"/>
      <c r="JK101" s="291"/>
      <c r="JL101" s="291"/>
      <c r="JM101" s="291"/>
      <c r="JN101" s="291"/>
      <c r="JO101" s="291"/>
      <c r="JP101" s="291"/>
      <c r="JQ101" s="291"/>
      <c r="JR101" s="291"/>
      <c r="JS101" s="291"/>
      <c r="JT101" s="291"/>
      <c r="JU101" s="291"/>
      <c r="JV101" s="291"/>
      <c r="JW101" s="291"/>
      <c r="JX101" s="291"/>
      <c r="JY101" s="291"/>
      <c r="JZ101" s="291"/>
      <c r="KA101" s="291"/>
      <c r="KB101" s="291"/>
      <c r="KC101" s="291"/>
      <c r="KD101" s="291"/>
      <c r="KE101" s="291"/>
      <c r="KF101" s="291"/>
      <c r="KG101" s="291"/>
      <c r="KH101" s="291"/>
      <c r="KI101" s="291"/>
      <c r="KJ101" s="291"/>
      <c r="KK101" s="291"/>
      <c r="KL101" s="291"/>
      <c r="KM101" s="291"/>
      <c r="KN101" s="291"/>
      <c r="KO101" s="291"/>
      <c r="KP101" s="291"/>
      <c r="KQ101" s="291"/>
      <c r="KR101" s="291"/>
      <c r="KS101" s="291"/>
      <c r="KT101" s="291"/>
      <c r="KU101" s="291"/>
      <c r="KV101" s="291"/>
      <c r="KW101" s="291"/>
      <c r="KX101" s="291"/>
      <c r="KY101" s="291"/>
      <c r="KZ101" s="291"/>
      <c r="LA101" s="291"/>
      <c r="LB101" s="291"/>
      <c r="LC101" s="291"/>
      <c r="LD101" s="291"/>
      <c r="LE101" s="291"/>
      <c r="LF101" s="291"/>
      <c r="LG101" s="291"/>
      <c r="LH101" s="291"/>
      <c r="LI101" s="291"/>
      <c r="LJ101" s="291"/>
      <c r="LK101" s="291"/>
      <c r="LL101" s="291"/>
      <c r="LM101" s="291"/>
      <c r="LN101" s="291"/>
      <c r="LO101" s="291"/>
      <c r="LP101" s="291"/>
      <c r="LQ101" s="291"/>
      <c r="LR101" s="291"/>
      <c r="LS101" s="291"/>
      <c r="LT101" s="291"/>
      <c r="LU101" s="291"/>
      <c r="LV101" s="291"/>
      <c r="LW101" s="291"/>
      <c r="LX101" s="291"/>
      <c r="LY101" s="291"/>
      <c r="LZ101" s="291"/>
      <c r="MA101" s="291"/>
      <c r="MB101" s="291"/>
      <c r="MC101" s="291"/>
      <c r="MD101" s="291"/>
      <c r="ME101" s="291"/>
      <c r="MF101" s="291"/>
      <c r="MG101" s="291"/>
      <c r="MH101" s="291"/>
      <c r="MI101" s="291"/>
      <c r="MJ101" s="291"/>
      <c r="MK101" s="291"/>
      <c r="ML101" s="291"/>
      <c r="MM101" s="291"/>
      <c r="MN101" s="291"/>
      <c r="MO101" s="291"/>
      <c r="MP101" s="291"/>
      <c r="MQ101" s="291"/>
      <c r="MR101" s="291"/>
      <c r="MS101" s="291"/>
      <c r="MT101" s="291"/>
      <c r="MU101" s="291"/>
      <c r="MV101" s="291"/>
      <c r="MW101" s="291"/>
      <c r="MX101" s="291"/>
      <c r="MY101" s="291"/>
      <c r="MZ101" s="291"/>
      <c r="NA101" s="291"/>
      <c r="NB101" s="291"/>
      <c r="NC101" s="291"/>
      <c r="ND101" s="291"/>
      <c r="NE101" s="291"/>
      <c r="NF101" s="291"/>
      <c r="NG101" s="291"/>
      <c r="NH101" s="291"/>
      <c r="NI101" s="291"/>
      <c r="NJ101" s="291"/>
      <c r="NK101" s="291"/>
      <c r="NL101" s="291"/>
      <c r="NM101" s="291"/>
      <c r="NN101" s="291"/>
      <c r="NO101" s="291"/>
      <c r="NP101" s="291"/>
      <c r="NQ101" s="291"/>
      <c r="NR101" s="291"/>
      <c r="NS101" s="291"/>
      <c r="NT101" s="291"/>
      <c r="NU101" s="291"/>
      <c r="NV101" s="291"/>
      <c r="NW101" s="291"/>
      <c r="NX101" s="291"/>
      <c r="NY101" s="291"/>
      <c r="NZ101" s="291"/>
      <c r="OA101" s="291"/>
      <c r="OB101" s="291"/>
      <c r="OC101" s="291"/>
      <c r="OD101" s="291"/>
      <c r="OE101" s="291"/>
      <c r="OF101" s="291"/>
      <c r="OG101" s="291"/>
      <c r="OH101" s="291"/>
      <c r="OI101" s="291"/>
      <c r="OJ101" s="291"/>
      <c r="OK101" s="291"/>
      <c r="OL101" s="291"/>
      <c r="OM101" s="291"/>
      <c r="ON101" s="291"/>
      <c r="OO101" s="291"/>
      <c r="OP101" s="291"/>
      <c r="OQ101" s="291"/>
      <c r="OR101" s="291"/>
      <c r="OS101" s="291"/>
      <c r="OT101" s="291"/>
      <c r="OU101" s="291"/>
      <c r="OV101" s="291"/>
      <c r="OW101" s="291"/>
    </row>
    <row r="102" spans="1:413" s="276" customFormat="1" hidden="1" x14ac:dyDescent="0.2">
      <c r="A102" s="291"/>
      <c r="B102" s="530">
        <f t="shared" si="7"/>
        <v>86</v>
      </c>
      <c r="C102" s="510" t="s">
        <v>38</v>
      </c>
      <c r="D102" s="511" t="s">
        <v>1235</v>
      </c>
      <c r="E102" s="511"/>
      <c r="F102" s="512" t="s">
        <v>1236</v>
      </c>
      <c r="G102" s="513" t="s">
        <v>45</v>
      </c>
      <c r="H102" s="514" t="s">
        <v>1098</v>
      </c>
      <c r="I102" s="515" t="s">
        <v>1237</v>
      </c>
      <c r="J102" s="346"/>
      <c r="K102" s="526">
        <v>5947330</v>
      </c>
      <c r="L102" s="527">
        <v>5943157</v>
      </c>
      <c r="M102" s="528">
        <v>0</v>
      </c>
      <c r="N102" s="519">
        <v>0</v>
      </c>
      <c r="O102" s="519">
        <v>0</v>
      </c>
      <c r="P102" s="519">
        <v>0</v>
      </c>
      <c r="Q102" s="519">
        <v>0</v>
      </c>
      <c r="R102" s="519">
        <v>0</v>
      </c>
      <c r="S102" s="520">
        <v>3602</v>
      </c>
      <c r="T102" s="57"/>
      <c r="U102" s="57"/>
      <c r="V102" s="57"/>
      <c r="W102" s="57"/>
      <c r="X102" s="57"/>
      <c r="Y102" s="57"/>
      <c r="Z102" s="57">
        <f t="shared" si="4"/>
        <v>3602</v>
      </c>
      <c r="AA102" s="309">
        <v>4173</v>
      </c>
      <c r="AB102" s="338">
        <v>25</v>
      </c>
      <c r="AC102" s="531">
        <v>44314</v>
      </c>
      <c r="AD102" s="316">
        <v>44326</v>
      </c>
      <c r="AE102" s="309"/>
      <c r="AF102" s="314"/>
      <c r="AG102" s="315"/>
      <c r="AH102" s="316"/>
      <c r="AI102" s="309"/>
      <c r="AJ102" s="338"/>
      <c r="AK102" s="315"/>
      <c r="AL102" s="316"/>
      <c r="AM102" s="309"/>
      <c r="AN102" s="338"/>
      <c r="AO102" s="362"/>
      <c r="AP102" s="316"/>
      <c r="AQ102" s="309"/>
      <c r="AR102" s="338"/>
      <c r="AS102" s="362"/>
      <c r="AT102" s="316"/>
      <c r="AU102" s="522">
        <f t="shared" si="5"/>
        <v>4173</v>
      </c>
      <c r="AV102" s="311">
        <f t="shared" si="6"/>
        <v>571</v>
      </c>
      <c r="AW102" s="305"/>
      <c r="AX102" s="291"/>
      <c r="AY102" s="291"/>
      <c r="AZ102" s="291"/>
      <c r="BA102" s="291"/>
      <c r="BB102" s="291"/>
      <c r="BC102" s="291"/>
      <c r="BD102" s="291"/>
      <c r="BE102" s="291"/>
      <c r="BF102" s="291"/>
      <c r="BG102" s="291"/>
      <c r="BH102" s="291"/>
      <c r="BI102" s="291"/>
      <c r="BJ102" s="291"/>
      <c r="BK102" s="291"/>
      <c r="BL102" s="291"/>
      <c r="BM102" s="291"/>
      <c r="BN102" s="291"/>
      <c r="BO102" s="291"/>
      <c r="BP102" s="291"/>
      <c r="BQ102" s="291"/>
      <c r="BR102" s="291"/>
      <c r="BS102" s="291"/>
      <c r="BT102" s="291"/>
      <c r="BU102" s="291"/>
      <c r="BV102" s="291"/>
      <c r="BW102" s="291"/>
      <c r="BX102" s="291"/>
      <c r="BY102" s="291"/>
      <c r="BZ102" s="291"/>
      <c r="CA102" s="291"/>
      <c r="CB102" s="291"/>
      <c r="CC102" s="291"/>
      <c r="CD102" s="291"/>
      <c r="CE102" s="291"/>
      <c r="CF102" s="291"/>
      <c r="CG102" s="291"/>
      <c r="CH102" s="291"/>
      <c r="CI102" s="291"/>
      <c r="CJ102" s="291"/>
      <c r="CK102" s="291"/>
      <c r="CL102" s="291"/>
      <c r="CM102" s="291"/>
      <c r="CN102" s="291"/>
      <c r="CO102" s="291"/>
      <c r="CP102" s="291"/>
      <c r="CQ102" s="291"/>
      <c r="CR102" s="291"/>
      <c r="CS102" s="291"/>
      <c r="CT102" s="291"/>
      <c r="CU102" s="291"/>
      <c r="CV102" s="291"/>
      <c r="CW102" s="291"/>
      <c r="CX102" s="291"/>
      <c r="CY102" s="291"/>
      <c r="CZ102" s="291"/>
      <c r="DA102" s="291"/>
      <c r="DB102" s="291"/>
      <c r="DC102" s="291"/>
      <c r="DD102" s="291"/>
      <c r="DE102" s="291"/>
      <c r="DF102" s="291"/>
      <c r="DG102" s="291"/>
      <c r="DH102" s="291"/>
      <c r="DI102" s="291"/>
      <c r="DJ102" s="291"/>
      <c r="DK102" s="291"/>
      <c r="DL102" s="291"/>
      <c r="DM102" s="291"/>
      <c r="DN102" s="291"/>
      <c r="DO102" s="291"/>
      <c r="DP102" s="291"/>
      <c r="DQ102" s="291"/>
      <c r="DR102" s="291"/>
      <c r="DS102" s="291"/>
      <c r="DT102" s="291"/>
      <c r="DU102" s="291"/>
      <c r="DV102" s="291"/>
      <c r="DW102" s="291"/>
      <c r="DX102" s="291"/>
      <c r="DY102" s="291"/>
      <c r="DZ102" s="291"/>
      <c r="EA102" s="291"/>
      <c r="EB102" s="291"/>
      <c r="EC102" s="291"/>
      <c r="ED102" s="291"/>
      <c r="EE102" s="291"/>
      <c r="EF102" s="291"/>
      <c r="EG102" s="291"/>
      <c r="EH102" s="291"/>
      <c r="EI102" s="291"/>
      <c r="EJ102" s="291"/>
      <c r="EK102" s="291"/>
      <c r="EL102" s="291"/>
      <c r="EM102" s="291"/>
      <c r="EN102" s="291"/>
      <c r="EO102" s="291"/>
      <c r="EP102" s="291"/>
      <c r="EQ102" s="291"/>
      <c r="ER102" s="291"/>
      <c r="ES102" s="291"/>
      <c r="ET102" s="291"/>
      <c r="EU102" s="291"/>
      <c r="EV102" s="291"/>
      <c r="EW102" s="291"/>
      <c r="EX102" s="291"/>
      <c r="EY102" s="291"/>
      <c r="EZ102" s="291"/>
      <c r="FA102" s="291"/>
      <c r="FB102" s="291"/>
      <c r="FC102" s="291"/>
      <c r="FD102" s="291"/>
      <c r="FE102" s="291"/>
      <c r="FF102" s="291"/>
      <c r="FG102" s="291"/>
      <c r="FH102" s="291"/>
      <c r="FI102" s="291"/>
      <c r="FJ102" s="291"/>
      <c r="FK102" s="291"/>
      <c r="FL102" s="291"/>
      <c r="FM102" s="291"/>
      <c r="FN102" s="291"/>
      <c r="FO102" s="291"/>
      <c r="FP102" s="291"/>
      <c r="FQ102" s="291"/>
      <c r="FR102" s="291"/>
      <c r="FS102" s="291"/>
      <c r="FT102" s="291"/>
      <c r="FU102" s="291"/>
      <c r="FV102" s="291"/>
      <c r="FW102" s="291"/>
      <c r="FX102" s="291"/>
      <c r="FY102" s="291"/>
      <c r="FZ102" s="291"/>
      <c r="GA102" s="291"/>
      <c r="GB102" s="291"/>
      <c r="GC102" s="291"/>
      <c r="GD102" s="291"/>
      <c r="GE102" s="291"/>
      <c r="GF102" s="291"/>
      <c r="GG102" s="291"/>
      <c r="GH102" s="291"/>
      <c r="GI102" s="291"/>
      <c r="GJ102" s="291"/>
      <c r="GK102" s="291"/>
      <c r="GL102" s="291"/>
      <c r="GM102" s="291"/>
      <c r="GN102" s="291"/>
      <c r="GO102" s="291"/>
      <c r="GP102" s="291"/>
      <c r="GQ102" s="291"/>
      <c r="GR102" s="291"/>
      <c r="GS102" s="291"/>
      <c r="GT102" s="291"/>
      <c r="GU102" s="291"/>
      <c r="GV102" s="291"/>
      <c r="GW102" s="291"/>
      <c r="GX102" s="291"/>
      <c r="GY102" s="291"/>
      <c r="GZ102" s="291"/>
      <c r="HA102" s="291"/>
      <c r="HB102" s="291"/>
      <c r="HC102" s="291"/>
      <c r="HD102" s="291"/>
      <c r="HE102" s="291"/>
      <c r="HF102" s="291"/>
      <c r="HG102" s="291"/>
      <c r="HH102" s="291"/>
      <c r="HI102" s="291"/>
      <c r="HJ102" s="291"/>
      <c r="HK102" s="291"/>
      <c r="HL102" s="291"/>
      <c r="HM102" s="291"/>
      <c r="HN102" s="291"/>
      <c r="HO102" s="291"/>
      <c r="HP102" s="291"/>
      <c r="HQ102" s="291"/>
      <c r="HR102" s="291"/>
      <c r="HS102" s="291"/>
      <c r="HT102" s="291"/>
      <c r="HU102" s="291"/>
      <c r="HV102" s="291"/>
      <c r="HW102" s="291"/>
      <c r="HX102" s="291"/>
      <c r="HY102" s="291"/>
      <c r="HZ102" s="291"/>
      <c r="IA102" s="291"/>
      <c r="IB102" s="291"/>
      <c r="IC102" s="291"/>
      <c r="ID102" s="291"/>
      <c r="IE102" s="291"/>
      <c r="IF102" s="291"/>
      <c r="IG102" s="291"/>
      <c r="IH102" s="291"/>
      <c r="II102" s="291"/>
      <c r="IJ102" s="291"/>
      <c r="IK102" s="291"/>
      <c r="IL102" s="291"/>
      <c r="IM102" s="291"/>
      <c r="IN102" s="291"/>
      <c r="IO102" s="291"/>
      <c r="IP102" s="291"/>
      <c r="IQ102" s="291"/>
      <c r="IR102" s="291"/>
      <c r="IS102" s="291"/>
      <c r="IT102" s="291"/>
      <c r="IU102" s="291"/>
      <c r="IV102" s="291"/>
      <c r="IW102" s="291"/>
      <c r="IX102" s="291"/>
      <c r="IY102" s="291"/>
      <c r="IZ102" s="291"/>
      <c r="JA102" s="291"/>
      <c r="JB102" s="291"/>
      <c r="JC102" s="291"/>
      <c r="JD102" s="291"/>
      <c r="JE102" s="291"/>
      <c r="JF102" s="291"/>
      <c r="JG102" s="291"/>
      <c r="JH102" s="291"/>
      <c r="JI102" s="291"/>
      <c r="JJ102" s="291"/>
      <c r="JK102" s="291"/>
      <c r="JL102" s="291"/>
      <c r="JM102" s="291"/>
      <c r="JN102" s="291"/>
      <c r="JO102" s="291"/>
      <c r="JP102" s="291"/>
      <c r="JQ102" s="291"/>
      <c r="JR102" s="291"/>
      <c r="JS102" s="291"/>
      <c r="JT102" s="291"/>
      <c r="JU102" s="291"/>
      <c r="JV102" s="291"/>
      <c r="JW102" s="291"/>
      <c r="JX102" s="291"/>
      <c r="JY102" s="291"/>
      <c r="JZ102" s="291"/>
      <c r="KA102" s="291"/>
      <c r="KB102" s="291"/>
      <c r="KC102" s="291"/>
      <c r="KD102" s="291"/>
      <c r="KE102" s="291"/>
      <c r="KF102" s="291"/>
      <c r="KG102" s="291"/>
      <c r="KH102" s="291"/>
      <c r="KI102" s="291"/>
      <c r="KJ102" s="291"/>
      <c r="KK102" s="291"/>
      <c r="KL102" s="291"/>
      <c r="KM102" s="291"/>
      <c r="KN102" s="291"/>
      <c r="KO102" s="291"/>
      <c r="KP102" s="291"/>
      <c r="KQ102" s="291"/>
      <c r="KR102" s="291"/>
      <c r="KS102" s="291"/>
      <c r="KT102" s="291"/>
      <c r="KU102" s="291"/>
      <c r="KV102" s="291"/>
      <c r="KW102" s="291"/>
      <c r="KX102" s="291"/>
      <c r="KY102" s="291"/>
      <c r="KZ102" s="291"/>
      <c r="LA102" s="291"/>
      <c r="LB102" s="291"/>
      <c r="LC102" s="291"/>
      <c r="LD102" s="291"/>
      <c r="LE102" s="291"/>
      <c r="LF102" s="291"/>
      <c r="LG102" s="291"/>
      <c r="LH102" s="291"/>
      <c r="LI102" s="291"/>
      <c r="LJ102" s="291"/>
      <c r="LK102" s="291"/>
      <c r="LL102" s="291"/>
      <c r="LM102" s="291"/>
      <c r="LN102" s="291"/>
      <c r="LO102" s="291"/>
      <c r="LP102" s="291"/>
      <c r="LQ102" s="291"/>
      <c r="LR102" s="291"/>
      <c r="LS102" s="291"/>
      <c r="LT102" s="291"/>
      <c r="LU102" s="291"/>
      <c r="LV102" s="291"/>
      <c r="LW102" s="291"/>
      <c r="LX102" s="291"/>
      <c r="LY102" s="291"/>
      <c r="LZ102" s="291"/>
      <c r="MA102" s="291"/>
      <c r="MB102" s="291"/>
      <c r="MC102" s="291"/>
      <c r="MD102" s="291"/>
      <c r="ME102" s="291"/>
      <c r="MF102" s="291"/>
      <c r="MG102" s="291"/>
      <c r="MH102" s="291"/>
      <c r="MI102" s="291"/>
      <c r="MJ102" s="291"/>
      <c r="MK102" s="291"/>
      <c r="ML102" s="291"/>
      <c r="MM102" s="291"/>
      <c r="MN102" s="291"/>
      <c r="MO102" s="291"/>
      <c r="MP102" s="291"/>
      <c r="MQ102" s="291"/>
      <c r="MR102" s="291"/>
      <c r="MS102" s="291"/>
      <c r="MT102" s="291"/>
      <c r="MU102" s="291"/>
      <c r="MV102" s="291"/>
      <c r="MW102" s="291"/>
      <c r="MX102" s="291"/>
      <c r="MY102" s="291"/>
      <c r="MZ102" s="291"/>
      <c r="NA102" s="291"/>
      <c r="NB102" s="291"/>
      <c r="NC102" s="291"/>
      <c r="ND102" s="291"/>
      <c r="NE102" s="291"/>
      <c r="NF102" s="291"/>
      <c r="NG102" s="291"/>
      <c r="NH102" s="291"/>
      <c r="NI102" s="291"/>
      <c r="NJ102" s="291"/>
      <c r="NK102" s="291"/>
      <c r="NL102" s="291"/>
      <c r="NM102" s="291"/>
      <c r="NN102" s="291"/>
      <c r="NO102" s="291"/>
      <c r="NP102" s="291"/>
      <c r="NQ102" s="291"/>
      <c r="NR102" s="291"/>
      <c r="NS102" s="291"/>
      <c r="NT102" s="291"/>
      <c r="NU102" s="291"/>
      <c r="NV102" s="291"/>
      <c r="NW102" s="291"/>
      <c r="NX102" s="291"/>
      <c r="NY102" s="291"/>
      <c r="NZ102" s="291"/>
      <c r="OA102" s="291"/>
      <c r="OB102" s="291"/>
      <c r="OC102" s="291"/>
      <c r="OD102" s="291"/>
      <c r="OE102" s="291"/>
      <c r="OF102" s="291"/>
      <c r="OG102" s="291"/>
      <c r="OH102" s="291"/>
      <c r="OI102" s="291"/>
      <c r="OJ102" s="291"/>
      <c r="OK102" s="291"/>
      <c r="OL102" s="291"/>
      <c r="OM102" s="291"/>
      <c r="ON102" s="291"/>
      <c r="OO102" s="291"/>
      <c r="OP102" s="291"/>
      <c r="OQ102" s="291"/>
      <c r="OR102" s="291"/>
      <c r="OS102" s="291"/>
      <c r="OT102" s="291"/>
      <c r="OU102" s="291"/>
      <c r="OV102" s="291"/>
      <c r="OW102" s="291"/>
    </row>
    <row r="103" spans="1:413" s="257" customFormat="1" hidden="1" x14ac:dyDescent="0.2">
      <c r="A103" s="291"/>
      <c r="B103" s="524">
        <f t="shared" si="7"/>
        <v>87</v>
      </c>
      <c r="C103" s="510" t="s">
        <v>38</v>
      </c>
      <c r="D103" s="511">
        <v>30124436</v>
      </c>
      <c r="E103" s="511"/>
      <c r="F103" s="512" t="s">
        <v>1238</v>
      </c>
      <c r="G103" s="513" t="s">
        <v>45</v>
      </c>
      <c r="H103" s="514" t="s">
        <v>1094</v>
      </c>
      <c r="I103" s="515" t="s">
        <v>1209</v>
      </c>
      <c r="J103" s="346" t="s">
        <v>42</v>
      </c>
      <c r="K103" s="526">
        <v>2542865</v>
      </c>
      <c r="L103" s="527">
        <v>2241225</v>
      </c>
      <c r="M103" s="528">
        <v>0</v>
      </c>
      <c r="N103" s="519">
        <v>0</v>
      </c>
      <c r="O103" s="519">
        <v>95072</v>
      </c>
      <c r="P103" s="519">
        <v>44009</v>
      </c>
      <c r="Q103" s="519">
        <v>42011</v>
      </c>
      <c r="R103" s="519">
        <v>58558</v>
      </c>
      <c r="S103" s="520">
        <v>26425</v>
      </c>
      <c r="T103" s="18"/>
      <c r="U103" s="18"/>
      <c r="V103" s="18"/>
      <c r="W103" s="18"/>
      <c r="X103" s="18"/>
      <c r="Y103" s="18"/>
      <c r="Z103" s="18">
        <f t="shared" si="4"/>
        <v>266075</v>
      </c>
      <c r="AA103" s="309">
        <v>301640</v>
      </c>
      <c r="AB103" s="19">
        <v>5</v>
      </c>
      <c r="AC103" s="521">
        <v>44224</v>
      </c>
      <c r="AD103" s="25">
        <v>44251</v>
      </c>
      <c r="AE103" s="309"/>
      <c r="AF103" s="20"/>
      <c r="AG103" s="23"/>
      <c r="AH103" s="25"/>
      <c r="AI103" s="309"/>
      <c r="AJ103" s="19"/>
      <c r="AK103" s="23"/>
      <c r="AL103" s="25"/>
      <c r="AM103" s="309"/>
      <c r="AN103" s="19"/>
      <c r="AO103" s="21"/>
      <c r="AP103" s="25"/>
      <c r="AQ103" s="309"/>
      <c r="AR103" s="19"/>
      <c r="AS103" s="21"/>
      <c r="AT103" s="25"/>
      <c r="AU103" s="522">
        <f t="shared" si="5"/>
        <v>301640</v>
      </c>
      <c r="AV103" s="311">
        <f t="shared" si="6"/>
        <v>35565</v>
      </c>
      <c r="AW103" s="305"/>
      <c r="AX103" s="291"/>
      <c r="AY103" s="291"/>
      <c r="AZ103" s="291"/>
      <c r="BA103" s="291"/>
      <c r="BB103" s="291"/>
      <c r="BC103" s="291"/>
      <c r="BD103" s="291"/>
      <c r="BE103" s="291"/>
      <c r="BF103" s="291"/>
      <c r="BG103" s="291"/>
      <c r="BH103" s="291"/>
      <c r="BI103" s="291"/>
      <c r="BJ103" s="291"/>
      <c r="BK103" s="291"/>
      <c r="BL103" s="291"/>
      <c r="BM103" s="291"/>
      <c r="BN103" s="291"/>
      <c r="BO103" s="291"/>
      <c r="BP103" s="291"/>
      <c r="BQ103" s="291"/>
      <c r="BR103" s="291"/>
      <c r="BS103" s="291"/>
      <c r="BT103" s="291"/>
      <c r="BU103" s="291"/>
      <c r="BV103" s="291"/>
      <c r="BW103" s="291"/>
      <c r="BX103" s="291"/>
      <c r="BY103" s="291"/>
      <c r="BZ103" s="291"/>
      <c r="CA103" s="291"/>
      <c r="CB103" s="291"/>
      <c r="CC103" s="291"/>
      <c r="CD103" s="291"/>
      <c r="CE103" s="291"/>
      <c r="CF103" s="291"/>
      <c r="CG103" s="291"/>
      <c r="CH103" s="291"/>
      <c r="CI103" s="291"/>
      <c r="CJ103" s="291"/>
      <c r="CK103" s="291"/>
      <c r="CL103" s="291"/>
      <c r="CM103" s="291"/>
      <c r="CN103" s="291"/>
      <c r="CO103" s="291"/>
      <c r="CP103" s="291"/>
      <c r="CQ103" s="291"/>
      <c r="CR103" s="291"/>
      <c r="CS103" s="291"/>
      <c r="CT103" s="291"/>
      <c r="CU103" s="291"/>
      <c r="CV103" s="291"/>
      <c r="CW103" s="291"/>
      <c r="CX103" s="291"/>
      <c r="CY103" s="291"/>
      <c r="CZ103" s="291"/>
      <c r="DA103" s="291"/>
      <c r="DB103" s="291"/>
      <c r="DC103" s="291"/>
      <c r="DD103" s="291"/>
      <c r="DE103" s="291"/>
      <c r="DF103" s="291"/>
      <c r="DG103" s="291"/>
      <c r="DH103" s="291"/>
      <c r="DI103" s="291"/>
      <c r="DJ103" s="291"/>
      <c r="DK103" s="291"/>
      <c r="DL103" s="291"/>
      <c r="DM103" s="291"/>
      <c r="DN103" s="291"/>
      <c r="DO103" s="291"/>
      <c r="DP103" s="291"/>
      <c r="DQ103" s="291"/>
      <c r="DR103" s="291"/>
      <c r="DS103" s="291"/>
      <c r="DT103" s="291"/>
      <c r="DU103" s="291"/>
      <c r="DV103" s="291"/>
      <c r="DW103" s="291"/>
      <c r="DX103" s="291"/>
      <c r="DY103" s="291"/>
      <c r="DZ103" s="291"/>
      <c r="EA103" s="291"/>
      <c r="EB103" s="291"/>
      <c r="EC103" s="291"/>
      <c r="ED103" s="291"/>
      <c r="EE103" s="291"/>
      <c r="EF103" s="291"/>
      <c r="EG103" s="291"/>
      <c r="EH103" s="291"/>
      <c r="EI103" s="291"/>
      <c r="EJ103" s="291"/>
      <c r="EK103" s="291"/>
      <c r="EL103" s="291"/>
      <c r="EM103" s="291"/>
      <c r="EN103" s="291"/>
      <c r="EO103" s="291"/>
      <c r="EP103" s="291"/>
      <c r="EQ103" s="291"/>
      <c r="ER103" s="291"/>
      <c r="ES103" s="291"/>
      <c r="ET103" s="291"/>
      <c r="EU103" s="291"/>
      <c r="EV103" s="291"/>
      <c r="EW103" s="291"/>
      <c r="EX103" s="291"/>
      <c r="EY103" s="291"/>
      <c r="EZ103" s="291"/>
      <c r="FA103" s="291"/>
      <c r="FB103" s="291"/>
      <c r="FC103" s="291"/>
      <c r="FD103" s="291"/>
      <c r="FE103" s="291"/>
      <c r="FF103" s="291"/>
      <c r="FG103" s="291"/>
      <c r="FH103" s="291"/>
      <c r="FI103" s="291"/>
      <c r="FJ103" s="291"/>
      <c r="FK103" s="291"/>
      <c r="FL103" s="291"/>
      <c r="FM103" s="291"/>
      <c r="FN103" s="291"/>
      <c r="FO103" s="291"/>
      <c r="FP103" s="291"/>
      <c r="FQ103" s="291"/>
      <c r="FR103" s="291"/>
      <c r="FS103" s="291"/>
      <c r="FT103" s="291"/>
      <c r="FU103" s="291"/>
      <c r="FV103" s="291"/>
      <c r="FW103" s="291"/>
      <c r="FX103" s="291"/>
      <c r="FY103" s="291"/>
      <c r="FZ103" s="291"/>
      <c r="GA103" s="291"/>
      <c r="GB103" s="291"/>
      <c r="GC103" s="291"/>
      <c r="GD103" s="291"/>
      <c r="GE103" s="291"/>
      <c r="GF103" s="291"/>
      <c r="GG103" s="291"/>
      <c r="GH103" s="291"/>
      <c r="GI103" s="291"/>
      <c r="GJ103" s="291"/>
      <c r="GK103" s="291"/>
      <c r="GL103" s="291"/>
      <c r="GM103" s="291"/>
      <c r="GN103" s="291"/>
      <c r="GO103" s="291"/>
      <c r="GP103" s="291"/>
      <c r="GQ103" s="291"/>
      <c r="GR103" s="291"/>
      <c r="GS103" s="291"/>
      <c r="GT103" s="291"/>
      <c r="GU103" s="291"/>
      <c r="GV103" s="291"/>
      <c r="GW103" s="291"/>
      <c r="GX103" s="291"/>
      <c r="GY103" s="291"/>
      <c r="GZ103" s="291"/>
      <c r="HA103" s="291"/>
      <c r="HB103" s="291"/>
      <c r="HC103" s="291"/>
      <c r="HD103" s="291"/>
      <c r="HE103" s="291"/>
      <c r="HF103" s="291"/>
      <c r="HG103" s="291"/>
      <c r="HH103" s="291"/>
      <c r="HI103" s="291"/>
      <c r="HJ103" s="291"/>
      <c r="HK103" s="291"/>
      <c r="HL103" s="291"/>
      <c r="HM103" s="291"/>
      <c r="HN103" s="291"/>
      <c r="HO103" s="291"/>
      <c r="HP103" s="291"/>
      <c r="HQ103" s="291"/>
      <c r="HR103" s="291"/>
      <c r="HS103" s="291"/>
      <c r="HT103" s="291"/>
      <c r="HU103" s="291"/>
      <c r="HV103" s="291"/>
      <c r="HW103" s="291"/>
      <c r="HX103" s="291"/>
      <c r="HY103" s="291"/>
      <c r="HZ103" s="291"/>
      <c r="IA103" s="291"/>
      <c r="IB103" s="291"/>
      <c r="IC103" s="291"/>
      <c r="ID103" s="291"/>
      <c r="IE103" s="291"/>
      <c r="IF103" s="291"/>
      <c r="IG103" s="291"/>
      <c r="IH103" s="291"/>
      <c r="II103" s="291"/>
      <c r="IJ103" s="291"/>
      <c r="IK103" s="291"/>
      <c r="IL103" s="291"/>
      <c r="IM103" s="291"/>
      <c r="IN103" s="291"/>
      <c r="IO103" s="291"/>
      <c r="IP103" s="291"/>
      <c r="IQ103" s="291"/>
      <c r="IR103" s="291"/>
      <c r="IS103" s="291"/>
      <c r="IT103" s="291"/>
      <c r="IU103" s="291"/>
      <c r="IV103" s="291"/>
      <c r="IW103" s="291"/>
      <c r="IX103" s="291"/>
      <c r="IY103" s="291"/>
      <c r="IZ103" s="291"/>
      <c r="JA103" s="291"/>
      <c r="JB103" s="291"/>
      <c r="JC103" s="291"/>
      <c r="JD103" s="291"/>
      <c r="JE103" s="291"/>
      <c r="JF103" s="291"/>
      <c r="JG103" s="291"/>
      <c r="JH103" s="291"/>
      <c r="JI103" s="291"/>
      <c r="JJ103" s="291"/>
      <c r="JK103" s="291"/>
      <c r="JL103" s="291"/>
      <c r="JM103" s="291"/>
      <c r="JN103" s="291"/>
      <c r="JO103" s="291"/>
      <c r="JP103" s="291"/>
      <c r="JQ103" s="291"/>
      <c r="JR103" s="291"/>
      <c r="JS103" s="291"/>
      <c r="JT103" s="291"/>
      <c r="JU103" s="291"/>
      <c r="JV103" s="291"/>
      <c r="JW103" s="291"/>
      <c r="JX103" s="291"/>
      <c r="JY103" s="291"/>
      <c r="JZ103" s="291"/>
      <c r="KA103" s="291"/>
      <c r="KB103" s="291"/>
      <c r="KC103" s="291"/>
      <c r="KD103" s="291"/>
      <c r="KE103" s="291"/>
      <c r="KF103" s="291"/>
      <c r="KG103" s="291"/>
      <c r="KH103" s="291"/>
      <c r="KI103" s="291"/>
      <c r="KJ103" s="291"/>
      <c r="KK103" s="291"/>
      <c r="KL103" s="291"/>
      <c r="KM103" s="291"/>
      <c r="KN103" s="291"/>
      <c r="KO103" s="291"/>
      <c r="KP103" s="291"/>
      <c r="KQ103" s="291"/>
      <c r="KR103" s="291"/>
      <c r="KS103" s="291"/>
      <c r="KT103" s="291"/>
      <c r="KU103" s="291"/>
      <c r="KV103" s="291"/>
      <c r="KW103" s="291"/>
      <c r="KX103" s="291"/>
      <c r="KY103" s="291"/>
      <c r="KZ103" s="291"/>
      <c r="LA103" s="291"/>
      <c r="LB103" s="291"/>
      <c r="LC103" s="291"/>
      <c r="LD103" s="291"/>
      <c r="LE103" s="291"/>
      <c r="LF103" s="291"/>
      <c r="LG103" s="291"/>
      <c r="LH103" s="291"/>
      <c r="LI103" s="291"/>
      <c r="LJ103" s="291"/>
      <c r="LK103" s="291"/>
      <c r="LL103" s="291"/>
      <c r="LM103" s="291"/>
      <c r="LN103" s="291"/>
      <c r="LO103" s="291"/>
      <c r="LP103" s="291"/>
      <c r="LQ103" s="291"/>
      <c r="LR103" s="291"/>
      <c r="LS103" s="291"/>
      <c r="LT103" s="291"/>
      <c r="LU103" s="291"/>
      <c r="LV103" s="291"/>
      <c r="LW103" s="291"/>
      <c r="LX103" s="291"/>
      <c r="LY103" s="291"/>
      <c r="LZ103" s="291"/>
      <c r="MA103" s="291"/>
      <c r="MB103" s="291"/>
      <c r="MC103" s="291"/>
      <c r="MD103" s="291"/>
      <c r="ME103" s="291"/>
      <c r="MF103" s="291"/>
      <c r="MG103" s="291"/>
      <c r="MH103" s="291"/>
      <c r="MI103" s="291"/>
      <c r="MJ103" s="291"/>
      <c r="MK103" s="291"/>
      <c r="ML103" s="291"/>
      <c r="MM103" s="291"/>
      <c r="MN103" s="291"/>
      <c r="MO103" s="291"/>
      <c r="MP103" s="291"/>
      <c r="MQ103" s="291"/>
      <c r="MR103" s="291"/>
      <c r="MS103" s="291"/>
      <c r="MT103" s="291"/>
      <c r="MU103" s="291"/>
      <c r="MV103" s="291"/>
      <c r="MW103" s="291"/>
      <c r="MX103" s="291"/>
      <c r="MY103" s="291"/>
      <c r="MZ103" s="291"/>
      <c r="NA103" s="291"/>
      <c r="NB103" s="291"/>
      <c r="NC103" s="291"/>
      <c r="ND103" s="291"/>
      <c r="NE103" s="291"/>
      <c r="NF103" s="291"/>
      <c r="NG103" s="291"/>
      <c r="NH103" s="291"/>
      <c r="NI103" s="291"/>
      <c r="NJ103" s="291"/>
      <c r="NK103" s="291"/>
      <c r="NL103" s="291"/>
      <c r="NM103" s="291"/>
      <c r="NN103" s="291"/>
      <c r="NO103" s="291"/>
      <c r="NP103" s="291"/>
      <c r="NQ103" s="291"/>
      <c r="NR103" s="291"/>
      <c r="NS103" s="291"/>
      <c r="NT103" s="291"/>
      <c r="NU103" s="291"/>
      <c r="NV103" s="291"/>
      <c r="NW103" s="291"/>
      <c r="NX103" s="291"/>
      <c r="NY103" s="291"/>
      <c r="NZ103" s="291"/>
      <c r="OA103" s="291"/>
      <c r="OB103" s="291"/>
      <c r="OC103" s="291"/>
      <c r="OD103" s="291"/>
      <c r="OE103" s="291"/>
      <c r="OF103" s="291"/>
      <c r="OG103" s="291"/>
      <c r="OH103" s="291"/>
      <c r="OI103" s="291"/>
      <c r="OJ103" s="291"/>
      <c r="OK103" s="291"/>
      <c r="OL103" s="291"/>
      <c r="OM103" s="291"/>
      <c r="ON103" s="291"/>
      <c r="OO103" s="291"/>
      <c r="OP103" s="291"/>
      <c r="OQ103" s="291"/>
      <c r="OR103" s="291"/>
      <c r="OS103" s="291"/>
      <c r="OT103" s="291"/>
      <c r="OU103" s="291"/>
      <c r="OV103" s="291"/>
      <c r="OW103" s="291"/>
    </row>
    <row r="104" spans="1:413" s="257" customFormat="1" hidden="1" x14ac:dyDescent="0.2">
      <c r="A104" s="291"/>
      <c r="B104" s="524">
        <f t="shared" si="7"/>
        <v>88</v>
      </c>
      <c r="C104" s="510" t="s">
        <v>38</v>
      </c>
      <c r="D104" s="511">
        <v>30126057</v>
      </c>
      <c r="E104" s="511"/>
      <c r="F104" s="512" t="s">
        <v>1239</v>
      </c>
      <c r="G104" s="513" t="s">
        <v>45</v>
      </c>
      <c r="H104" s="514" t="s">
        <v>1094</v>
      </c>
      <c r="I104" s="515" t="s">
        <v>1129</v>
      </c>
      <c r="J104" s="346" t="s">
        <v>42</v>
      </c>
      <c r="K104" s="526">
        <v>798504</v>
      </c>
      <c r="L104" s="527">
        <v>279609</v>
      </c>
      <c r="M104" s="528">
        <v>0</v>
      </c>
      <c r="N104" s="519">
        <v>0</v>
      </c>
      <c r="O104" s="519">
        <v>66950</v>
      </c>
      <c r="P104" s="519">
        <v>1932</v>
      </c>
      <c r="Q104" s="519">
        <v>77355</v>
      </c>
      <c r="R104" s="519">
        <v>16641</v>
      </c>
      <c r="S104" s="520">
        <v>29676</v>
      </c>
      <c r="T104" s="18"/>
      <c r="U104" s="18"/>
      <c r="V104" s="18"/>
      <c r="W104" s="18"/>
      <c r="X104" s="18"/>
      <c r="Y104" s="18"/>
      <c r="Z104" s="18">
        <f t="shared" si="4"/>
        <v>192554</v>
      </c>
      <c r="AA104" s="309">
        <v>518571</v>
      </c>
      <c r="AB104" s="19">
        <v>11</v>
      </c>
      <c r="AC104" s="521">
        <v>44237</v>
      </c>
      <c r="AD104" s="25">
        <v>44251</v>
      </c>
      <c r="AE104" s="309"/>
      <c r="AF104" s="20"/>
      <c r="AG104" s="23"/>
      <c r="AH104" s="25"/>
      <c r="AI104" s="309"/>
      <c r="AJ104" s="19"/>
      <c r="AK104" s="23"/>
      <c r="AL104" s="25"/>
      <c r="AM104" s="309"/>
      <c r="AN104" s="19"/>
      <c r="AO104" s="21"/>
      <c r="AP104" s="25"/>
      <c r="AQ104" s="309"/>
      <c r="AR104" s="19"/>
      <c r="AS104" s="21"/>
      <c r="AT104" s="25"/>
      <c r="AU104" s="522">
        <f t="shared" si="5"/>
        <v>518571</v>
      </c>
      <c r="AV104" s="311">
        <f t="shared" si="6"/>
        <v>326017</v>
      </c>
      <c r="AW104" s="305"/>
      <c r="AX104" s="291"/>
      <c r="AY104" s="291"/>
      <c r="AZ104" s="291"/>
      <c r="BA104" s="291"/>
      <c r="BB104" s="291"/>
      <c r="BC104" s="291"/>
      <c r="BD104" s="291"/>
      <c r="BE104" s="291"/>
      <c r="BF104" s="291"/>
      <c r="BG104" s="291"/>
      <c r="BH104" s="291"/>
      <c r="BI104" s="291"/>
      <c r="BJ104" s="291"/>
      <c r="BK104" s="291"/>
      <c r="BL104" s="291"/>
      <c r="BM104" s="291"/>
      <c r="BN104" s="291"/>
      <c r="BO104" s="291"/>
      <c r="BP104" s="291"/>
      <c r="BQ104" s="291"/>
      <c r="BR104" s="291"/>
      <c r="BS104" s="291"/>
      <c r="BT104" s="291"/>
      <c r="BU104" s="291"/>
      <c r="BV104" s="291"/>
      <c r="BW104" s="291"/>
      <c r="BX104" s="291"/>
      <c r="BY104" s="291"/>
      <c r="BZ104" s="291"/>
      <c r="CA104" s="291"/>
      <c r="CB104" s="291"/>
      <c r="CC104" s="291"/>
      <c r="CD104" s="291"/>
      <c r="CE104" s="291"/>
      <c r="CF104" s="291"/>
      <c r="CG104" s="291"/>
      <c r="CH104" s="291"/>
      <c r="CI104" s="291"/>
      <c r="CJ104" s="291"/>
      <c r="CK104" s="291"/>
      <c r="CL104" s="291"/>
      <c r="CM104" s="291"/>
      <c r="CN104" s="291"/>
      <c r="CO104" s="291"/>
      <c r="CP104" s="291"/>
      <c r="CQ104" s="291"/>
      <c r="CR104" s="291"/>
      <c r="CS104" s="291"/>
      <c r="CT104" s="291"/>
      <c r="CU104" s="291"/>
      <c r="CV104" s="291"/>
      <c r="CW104" s="291"/>
      <c r="CX104" s="291"/>
      <c r="CY104" s="291"/>
      <c r="CZ104" s="291"/>
      <c r="DA104" s="291"/>
      <c r="DB104" s="291"/>
      <c r="DC104" s="291"/>
      <c r="DD104" s="291"/>
      <c r="DE104" s="291"/>
      <c r="DF104" s="291"/>
      <c r="DG104" s="291"/>
      <c r="DH104" s="291"/>
      <c r="DI104" s="291"/>
      <c r="DJ104" s="291"/>
      <c r="DK104" s="291"/>
      <c r="DL104" s="291"/>
      <c r="DM104" s="291"/>
      <c r="DN104" s="291"/>
      <c r="DO104" s="291"/>
      <c r="DP104" s="291"/>
      <c r="DQ104" s="291"/>
      <c r="DR104" s="291"/>
      <c r="DS104" s="291"/>
      <c r="DT104" s="291"/>
      <c r="DU104" s="291"/>
      <c r="DV104" s="291"/>
      <c r="DW104" s="291"/>
      <c r="DX104" s="291"/>
      <c r="DY104" s="291"/>
      <c r="DZ104" s="291"/>
      <c r="EA104" s="291"/>
      <c r="EB104" s="291"/>
      <c r="EC104" s="291"/>
      <c r="ED104" s="291"/>
      <c r="EE104" s="291"/>
      <c r="EF104" s="291"/>
      <c r="EG104" s="291"/>
      <c r="EH104" s="291"/>
      <c r="EI104" s="291"/>
      <c r="EJ104" s="291"/>
      <c r="EK104" s="291"/>
      <c r="EL104" s="291"/>
      <c r="EM104" s="291"/>
      <c r="EN104" s="291"/>
      <c r="EO104" s="291"/>
      <c r="EP104" s="291"/>
      <c r="EQ104" s="291"/>
      <c r="ER104" s="291"/>
      <c r="ES104" s="291"/>
      <c r="ET104" s="291"/>
      <c r="EU104" s="291"/>
      <c r="EV104" s="291"/>
      <c r="EW104" s="291"/>
      <c r="EX104" s="291"/>
      <c r="EY104" s="291"/>
      <c r="EZ104" s="291"/>
      <c r="FA104" s="291"/>
      <c r="FB104" s="291"/>
      <c r="FC104" s="291"/>
      <c r="FD104" s="291"/>
      <c r="FE104" s="291"/>
      <c r="FF104" s="291"/>
      <c r="FG104" s="291"/>
      <c r="FH104" s="291"/>
      <c r="FI104" s="291"/>
      <c r="FJ104" s="291"/>
      <c r="FK104" s="291"/>
      <c r="FL104" s="291"/>
      <c r="FM104" s="291"/>
      <c r="FN104" s="291"/>
      <c r="FO104" s="291"/>
      <c r="FP104" s="291"/>
      <c r="FQ104" s="291"/>
      <c r="FR104" s="291"/>
      <c r="FS104" s="291"/>
      <c r="FT104" s="291"/>
      <c r="FU104" s="291"/>
      <c r="FV104" s="291"/>
      <c r="FW104" s="291"/>
      <c r="FX104" s="291"/>
      <c r="FY104" s="291"/>
      <c r="FZ104" s="291"/>
      <c r="GA104" s="291"/>
      <c r="GB104" s="291"/>
      <c r="GC104" s="291"/>
      <c r="GD104" s="291"/>
      <c r="GE104" s="291"/>
      <c r="GF104" s="291"/>
      <c r="GG104" s="291"/>
      <c r="GH104" s="291"/>
      <c r="GI104" s="291"/>
      <c r="GJ104" s="291"/>
      <c r="GK104" s="291"/>
      <c r="GL104" s="291"/>
      <c r="GM104" s="291"/>
      <c r="GN104" s="291"/>
      <c r="GO104" s="291"/>
      <c r="GP104" s="291"/>
      <c r="GQ104" s="291"/>
      <c r="GR104" s="291"/>
      <c r="GS104" s="291"/>
      <c r="GT104" s="291"/>
      <c r="GU104" s="291"/>
      <c r="GV104" s="291"/>
      <c r="GW104" s="291"/>
      <c r="GX104" s="291"/>
      <c r="GY104" s="291"/>
      <c r="GZ104" s="291"/>
      <c r="HA104" s="291"/>
      <c r="HB104" s="291"/>
      <c r="HC104" s="291"/>
      <c r="HD104" s="291"/>
      <c r="HE104" s="291"/>
      <c r="HF104" s="291"/>
      <c r="HG104" s="291"/>
      <c r="HH104" s="291"/>
      <c r="HI104" s="291"/>
      <c r="HJ104" s="291"/>
      <c r="HK104" s="291"/>
      <c r="HL104" s="291"/>
      <c r="HM104" s="291"/>
      <c r="HN104" s="291"/>
      <c r="HO104" s="291"/>
      <c r="HP104" s="291"/>
      <c r="HQ104" s="291"/>
      <c r="HR104" s="291"/>
      <c r="HS104" s="291"/>
      <c r="HT104" s="291"/>
      <c r="HU104" s="291"/>
      <c r="HV104" s="291"/>
      <c r="HW104" s="291"/>
      <c r="HX104" s="291"/>
      <c r="HY104" s="291"/>
      <c r="HZ104" s="291"/>
      <c r="IA104" s="291"/>
      <c r="IB104" s="291"/>
      <c r="IC104" s="291"/>
      <c r="ID104" s="291"/>
      <c r="IE104" s="291"/>
      <c r="IF104" s="291"/>
      <c r="IG104" s="291"/>
      <c r="IH104" s="291"/>
      <c r="II104" s="291"/>
      <c r="IJ104" s="291"/>
      <c r="IK104" s="291"/>
      <c r="IL104" s="291"/>
      <c r="IM104" s="291"/>
      <c r="IN104" s="291"/>
      <c r="IO104" s="291"/>
      <c r="IP104" s="291"/>
      <c r="IQ104" s="291"/>
      <c r="IR104" s="291"/>
      <c r="IS104" s="291"/>
      <c r="IT104" s="291"/>
      <c r="IU104" s="291"/>
      <c r="IV104" s="291"/>
      <c r="IW104" s="291"/>
      <c r="IX104" s="291"/>
      <c r="IY104" s="291"/>
      <c r="IZ104" s="291"/>
      <c r="JA104" s="291"/>
      <c r="JB104" s="291"/>
      <c r="JC104" s="291"/>
      <c r="JD104" s="291"/>
      <c r="JE104" s="291"/>
      <c r="JF104" s="291"/>
      <c r="JG104" s="291"/>
      <c r="JH104" s="291"/>
      <c r="JI104" s="291"/>
      <c r="JJ104" s="291"/>
      <c r="JK104" s="291"/>
      <c r="JL104" s="291"/>
      <c r="JM104" s="291"/>
      <c r="JN104" s="291"/>
      <c r="JO104" s="291"/>
      <c r="JP104" s="291"/>
      <c r="JQ104" s="291"/>
      <c r="JR104" s="291"/>
      <c r="JS104" s="291"/>
      <c r="JT104" s="291"/>
      <c r="JU104" s="291"/>
      <c r="JV104" s="291"/>
      <c r="JW104" s="291"/>
      <c r="JX104" s="291"/>
      <c r="JY104" s="291"/>
      <c r="JZ104" s="291"/>
      <c r="KA104" s="291"/>
      <c r="KB104" s="291"/>
      <c r="KC104" s="291"/>
      <c r="KD104" s="291"/>
      <c r="KE104" s="291"/>
      <c r="KF104" s="291"/>
      <c r="KG104" s="291"/>
      <c r="KH104" s="291"/>
      <c r="KI104" s="291"/>
      <c r="KJ104" s="291"/>
      <c r="KK104" s="291"/>
      <c r="KL104" s="291"/>
      <c r="KM104" s="291"/>
      <c r="KN104" s="291"/>
      <c r="KO104" s="291"/>
      <c r="KP104" s="291"/>
      <c r="KQ104" s="291"/>
      <c r="KR104" s="291"/>
      <c r="KS104" s="291"/>
      <c r="KT104" s="291"/>
      <c r="KU104" s="291"/>
      <c r="KV104" s="291"/>
      <c r="KW104" s="291"/>
      <c r="KX104" s="291"/>
      <c r="KY104" s="291"/>
      <c r="KZ104" s="291"/>
      <c r="LA104" s="291"/>
      <c r="LB104" s="291"/>
      <c r="LC104" s="291"/>
      <c r="LD104" s="291"/>
      <c r="LE104" s="291"/>
      <c r="LF104" s="291"/>
      <c r="LG104" s="291"/>
      <c r="LH104" s="291"/>
      <c r="LI104" s="291"/>
      <c r="LJ104" s="291"/>
      <c r="LK104" s="291"/>
      <c r="LL104" s="291"/>
      <c r="LM104" s="291"/>
      <c r="LN104" s="291"/>
      <c r="LO104" s="291"/>
      <c r="LP104" s="291"/>
      <c r="LQ104" s="291"/>
      <c r="LR104" s="291"/>
      <c r="LS104" s="291"/>
      <c r="LT104" s="291"/>
      <c r="LU104" s="291"/>
      <c r="LV104" s="291"/>
      <c r="LW104" s="291"/>
      <c r="LX104" s="291"/>
      <c r="LY104" s="291"/>
      <c r="LZ104" s="291"/>
      <c r="MA104" s="291"/>
      <c r="MB104" s="291"/>
      <c r="MC104" s="291"/>
      <c r="MD104" s="291"/>
      <c r="ME104" s="291"/>
      <c r="MF104" s="291"/>
      <c r="MG104" s="291"/>
      <c r="MH104" s="291"/>
      <c r="MI104" s="291"/>
      <c r="MJ104" s="291"/>
      <c r="MK104" s="291"/>
      <c r="ML104" s="291"/>
      <c r="MM104" s="291"/>
      <c r="MN104" s="291"/>
      <c r="MO104" s="291"/>
      <c r="MP104" s="291"/>
      <c r="MQ104" s="291"/>
      <c r="MR104" s="291"/>
      <c r="MS104" s="291"/>
      <c r="MT104" s="291"/>
      <c r="MU104" s="291"/>
      <c r="MV104" s="291"/>
      <c r="MW104" s="291"/>
      <c r="MX104" s="291"/>
      <c r="MY104" s="291"/>
      <c r="MZ104" s="291"/>
      <c r="NA104" s="291"/>
      <c r="NB104" s="291"/>
      <c r="NC104" s="291"/>
      <c r="ND104" s="291"/>
      <c r="NE104" s="291"/>
      <c r="NF104" s="291"/>
      <c r="NG104" s="291"/>
      <c r="NH104" s="291"/>
      <c r="NI104" s="291"/>
      <c r="NJ104" s="291"/>
      <c r="NK104" s="291"/>
      <c r="NL104" s="291"/>
      <c r="NM104" s="291"/>
      <c r="NN104" s="291"/>
      <c r="NO104" s="291"/>
      <c r="NP104" s="291"/>
      <c r="NQ104" s="291"/>
      <c r="NR104" s="291"/>
      <c r="NS104" s="291"/>
      <c r="NT104" s="291"/>
      <c r="NU104" s="291"/>
      <c r="NV104" s="291"/>
      <c r="NW104" s="291"/>
      <c r="NX104" s="291"/>
      <c r="NY104" s="291"/>
      <c r="NZ104" s="291"/>
      <c r="OA104" s="291"/>
      <c r="OB104" s="291"/>
      <c r="OC104" s="291"/>
      <c r="OD104" s="291"/>
      <c r="OE104" s="291"/>
      <c r="OF104" s="291"/>
      <c r="OG104" s="291"/>
      <c r="OH104" s="291"/>
      <c r="OI104" s="291"/>
      <c r="OJ104" s="291"/>
      <c r="OK104" s="291"/>
      <c r="OL104" s="291"/>
      <c r="OM104" s="291"/>
      <c r="ON104" s="291"/>
      <c r="OO104" s="291"/>
      <c r="OP104" s="291"/>
      <c r="OQ104" s="291"/>
      <c r="OR104" s="291"/>
      <c r="OS104" s="291"/>
      <c r="OT104" s="291"/>
      <c r="OU104" s="291"/>
      <c r="OV104" s="291"/>
      <c r="OW104" s="291"/>
    </row>
    <row r="105" spans="1:413" s="257" customFormat="1" hidden="1" x14ac:dyDescent="0.2">
      <c r="A105" s="291"/>
      <c r="B105" s="524">
        <f t="shared" si="7"/>
        <v>89</v>
      </c>
      <c r="C105" s="510" t="s">
        <v>38</v>
      </c>
      <c r="D105" s="511">
        <v>30126622</v>
      </c>
      <c r="E105" s="511"/>
      <c r="F105" s="512" t="s">
        <v>1240</v>
      </c>
      <c r="G105" s="513" t="s">
        <v>45</v>
      </c>
      <c r="H105" s="514" t="s">
        <v>1094</v>
      </c>
      <c r="I105" s="515" t="s">
        <v>1163</v>
      </c>
      <c r="J105" s="346" t="s">
        <v>42</v>
      </c>
      <c r="K105" s="526">
        <v>7105567</v>
      </c>
      <c r="L105" s="527">
        <v>8666</v>
      </c>
      <c r="M105" s="528">
        <v>5076900</v>
      </c>
      <c r="N105" s="519">
        <v>0</v>
      </c>
      <c r="O105" s="519">
        <v>0</v>
      </c>
      <c r="P105" s="519">
        <v>117664</v>
      </c>
      <c r="Q105" s="519">
        <v>180249</v>
      </c>
      <c r="R105" s="519">
        <v>288088</v>
      </c>
      <c r="S105" s="520">
        <v>293437</v>
      </c>
      <c r="T105" s="18"/>
      <c r="U105" s="18"/>
      <c r="V105" s="18"/>
      <c r="W105" s="18"/>
      <c r="X105" s="18"/>
      <c r="Y105" s="18"/>
      <c r="Z105" s="18">
        <f t="shared" si="4"/>
        <v>879438</v>
      </c>
      <c r="AA105" s="309">
        <v>1020000</v>
      </c>
      <c r="AB105" s="19">
        <v>9</v>
      </c>
      <c r="AC105" s="521">
        <v>44232</v>
      </c>
      <c r="AD105" s="25">
        <v>44251</v>
      </c>
      <c r="AE105" s="309">
        <v>1000000</v>
      </c>
      <c r="AF105" s="20">
        <v>39</v>
      </c>
      <c r="AG105" s="23">
        <v>44334</v>
      </c>
      <c r="AH105" s="25">
        <v>44342</v>
      </c>
      <c r="AI105" s="309">
        <v>2</v>
      </c>
      <c r="AJ105" s="19">
        <v>50</v>
      </c>
      <c r="AK105" s="23">
        <v>44356</v>
      </c>
      <c r="AL105" s="25">
        <v>44377</v>
      </c>
      <c r="AM105" s="309"/>
      <c r="AN105" s="19"/>
      <c r="AO105" s="21"/>
      <c r="AP105" s="25"/>
      <c r="AQ105" s="309"/>
      <c r="AR105" s="19"/>
      <c r="AS105" s="21"/>
      <c r="AT105" s="25"/>
      <c r="AU105" s="522">
        <f t="shared" si="5"/>
        <v>2020002</v>
      </c>
      <c r="AV105" s="311">
        <f t="shared" si="6"/>
        <v>1140564</v>
      </c>
      <c r="AW105" s="305"/>
      <c r="AX105" s="291"/>
      <c r="AY105" s="291"/>
      <c r="AZ105" s="291"/>
      <c r="BA105" s="291"/>
      <c r="BB105" s="291"/>
      <c r="BC105" s="291"/>
      <c r="BD105" s="291"/>
      <c r="BE105" s="291"/>
      <c r="BF105" s="291"/>
      <c r="BG105" s="291"/>
      <c r="BH105" s="291"/>
      <c r="BI105" s="291"/>
      <c r="BJ105" s="291"/>
      <c r="BK105" s="291"/>
      <c r="BL105" s="291"/>
      <c r="BM105" s="291"/>
      <c r="BN105" s="291"/>
      <c r="BO105" s="291"/>
      <c r="BP105" s="291"/>
      <c r="BQ105" s="291"/>
      <c r="BR105" s="291"/>
      <c r="BS105" s="291"/>
      <c r="BT105" s="291"/>
      <c r="BU105" s="291"/>
      <c r="BV105" s="291"/>
      <c r="BW105" s="291"/>
      <c r="BX105" s="291"/>
      <c r="BY105" s="291"/>
      <c r="BZ105" s="291"/>
      <c r="CA105" s="291"/>
      <c r="CB105" s="291"/>
      <c r="CC105" s="291"/>
      <c r="CD105" s="291"/>
      <c r="CE105" s="291"/>
      <c r="CF105" s="291"/>
      <c r="CG105" s="291"/>
      <c r="CH105" s="291"/>
      <c r="CI105" s="291"/>
      <c r="CJ105" s="291"/>
      <c r="CK105" s="291"/>
      <c r="CL105" s="291"/>
      <c r="CM105" s="291"/>
      <c r="CN105" s="291"/>
      <c r="CO105" s="291"/>
      <c r="CP105" s="291"/>
      <c r="CQ105" s="291"/>
      <c r="CR105" s="291"/>
      <c r="CS105" s="291"/>
      <c r="CT105" s="291"/>
      <c r="CU105" s="291"/>
      <c r="CV105" s="291"/>
      <c r="CW105" s="291"/>
      <c r="CX105" s="291"/>
      <c r="CY105" s="291"/>
      <c r="CZ105" s="291"/>
      <c r="DA105" s="291"/>
      <c r="DB105" s="291"/>
      <c r="DC105" s="291"/>
      <c r="DD105" s="291"/>
      <c r="DE105" s="291"/>
      <c r="DF105" s="291"/>
      <c r="DG105" s="291"/>
      <c r="DH105" s="291"/>
      <c r="DI105" s="291"/>
      <c r="DJ105" s="291"/>
      <c r="DK105" s="291"/>
      <c r="DL105" s="291"/>
      <c r="DM105" s="291"/>
      <c r="DN105" s="291"/>
      <c r="DO105" s="291"/>
      <c r="DP105" s="291"/>
      <c r="DQ105" s="291"/>
      <c r="DR105" s="291"/>
      <c r="DS105" s="291"/>
      <c r="DT105" s="291"/>
      <c r="DU105" s="291"/>
      <c r="DV105" s="291"/>
      <c r="DW105" s="291"/>
      <c r="DX105" s="291"/>
      <c r="DY105" s="291"/>
      <c r="DZ105" s="291"/>
      <c r="EA105" s="291"/>
      <c r="EB105" s="291"/>
      <c r="EC105" s="291"/>
      <c r="ED105" s="291"/>
      <c r="EE105" s="291"/>
      <c r="EF105" s="291"/>
      <c r="EG105" s="291"/>
      <c r="EH105" s="291"/>
      <c r="EI105" s="291"/>
      <c r="EJ105" s="291"/>
      <c r="EK105" s="291"/>
      <c r="EL105" s="291"/>
      <c r="EM105" s="291"/>
      <c r="EN105" s="291"/>
      <c r="EO105" s="291"/>
      <c r="EP105" s="291"/>
      <c r="EQ105" s="291"/>
      <c r="ER105" s="291"/>
      <c r="ES105" s="291"/>
      <c r="ET105" s="291"/>
      <c r="EU105" s="291"/>
      <c r="EV105" s="291"/>
      <c r="EW105" s="291"/>
      <c r="EX105" s="291"/>
      <c r="EY105" s="291"/>
      <c r="EZ105" s="291"/>
      <c r="FA105" s="291"/>
      <c r="FB105" s="291"/>
      <c r="FC105" s="291"/>
      <c r="FD105" s="291"/>
      <c r="FE105" s="291"/>
      <c r="FF105" s="291"/>
      <c r="FG105" s="291"/>
      <c r="FH105" s="291"/>
      <c r="FI105" s="291"/>
      <c r="FJ105" s="291"/>
      <c r="FK105" s="291"/>
      <c r="FL105" s="291"/>
      <c r="FM105" s="291"/>
      <c r="FN105" s="291"/>
      <c r="FO105" s="291"/>
      <c r="FP105" s="291"/>
      <c r="FQ105" s="291"/>
      <c r="FR105" s="291"/>
      <c r="FS105" s="291"/>
      <c r="FT105" s="291"/>
      <c r="FU105" s="291"/>
      <c r="FV105" s="291"/>
      <c r="FW105" s="291"/>
      <c r="FX105" s="291"/>
      <c r="FY105" s="291"/>
      <c r="FZ105" s="291"/>
      <c r="GA105" s="291"/>
      <c r="GB105" s="291"/>
      <c r="GC105" s="291"/>
      <c r="GD105" s="291"/>
      <c r="GE105" s="291"/>
      <c r="GF105" s="291"/>
      <c r="GG105" s="291"/>
      <c r="GH105" s="291"/>
      <c r="GI105" s="291"/>
      <c r="GJ105" s="291"/>
      <c r="GK105" s="291"/>
      <c r="GL105" s="291"/>
      <c r="GM105" s="291"/>
      <c r="GN105" s="291"/>
      <c r="GO105" s="291"/>
      <c r="GP105" s="291"/>
      <c r="GQ105" s="291"/>
      <c r="GR105" s="291"/>
      <c r="GS105" s="291"/>
      <c r="GT105" s="291"/>
      <c r="GU105" s="291"/>
      <c r="GV105" s="291"/>
      <c r="GW105" s="291"/>
      <c r="GX105" s="291"/>
      <c r="GY105" s="291"/>
      <c r="GZ105" s="291"/>
      <c r="HA105" s="291"/>
      <c r="HB105" s="291"/>
      <c r="HC105" s="291"/>
      <c r="HD105" s="291"/>
      <c r="HE105" s="291"/>
      <c r="HF105" s="291"/>
      <c r="HG105" s="291"/>
      <c r="HH105" s="291"/>
      <c r="HI105" s="291"/>
      <c r="HJ105" s="291"/>
      <c r="HK105" s="291"/>
      <c r="HL105" s="291"/>
      <c r="HM105" s="291"/>
      <c r="HN105" s="291"/>
      <c r="HO105" s="291"/>
      <c r="HP105" s="291"/>
      <c r="HQ105" s="291"/>
      <c r="HR105" s="291"/>
      <c r="HS105" s="291"/>
      <c r="HT105" s="291"/>
      <c r="HU105" s="291"/>
      <c r="HV105" s="291"/>
      <c r="HW105" s="291"/>
      <c r="HX105" s="291"/>
      <c r="HY105" s="291"/>
      <c r="HZ105" s="291"/>
      <c r="IA105" s="291"/>
      <c r="IB105" s="291"/>
      <c r="IC105" s="291"/>
      <c r="ID105" s="291"/>
      <c r="IE105" s="291"/>
      <c r="IF105" s="291"/>
      <c r="IG105" s="291"/>
      <c r="IH105" s="291"/>
      <c r="II105" s="291"/>
      <c r="IJ105" s="291"/>
      <c r="IK105" s="291"/>
      <c r="IL105" s="291"/>
      <c r="IM105" s="291"/>
      <c r="IN105" s="291"/>
      <c r="IO105" s="291"/>
      <c r="IP105" s="291"/>
      <c r="IQ105" s="291"/>
      <c r="IR105" s="291"/>
      <c r="IS105" s="291"/>
      <c r="IT105" s="291"/>
      <c r="IU105" s="291"/>
      <c r="IV105" s="291"/>
      <c r="IW105" s="291"/>
      <c r="IX105" s="291"/>
      <c r="IY105" s="291"/>
      <c r="IZ105" s="291"/>
      <c r="JA105" s="291"/>
      <c r="JB105" s="291"/>
      <c r="JC105" s="291"/>
      <c r="JD105" s="291"/>
      <c r="JE105" s="291"/>
      <c r="JF105" s="291"/>
      <c r="JG105" s="291"/>
      <c r="JH105" s="291"/>
      <c r="JI105" s="291"/>
      <c r="JJ105" s="291"/>
      <c r="JK105" s="291"/>
      <c r="JL105" s="291"/>
      <c r="JM105" s="291"/>
      <c r="JN105" s="291"/>
      <c r="JO105" s="291"/>
      <c r="JP105" s="291"/>
      <c r="JQ105" s="291"/>
      <c r="JR105" s="291"/>
      <c r="JS105" s="291"/>
      <c r="JT105" s="291"/>
      <c r="JU105" s="291"/>
      <c r="JV105" s="291"/>
      <c r="JW105" s="291"/>
      <c r="JX105" s="291"/>
      <c r="JY105" s="291"/>
      <c r="JZ105" s="291"/>
      <c r="KA105" s="291"/>
      <c r="KB105" s="291"/>
      <c r="KC105" s="291"/>
      <c r="KD105" s="291"/>
      <c r="KE105" s="291"/>
      <c r="KF105" s="291"/>
      <c r="KG105" s="291"/>
      <c r="KH105" s="291"/>
      <c r="KI105" s="291"/>
      <c r="KJ105" s="291"/>
      <c r="KK105" s="291"/>
      <c r="KL105" s="291"/>
      <c r="KM105" s="291"/>
      <c r="KN105" s="291"/>
      <c r="KO105" s="291"/>
      <c r="KP105" s="291"/>
      <c r="KQ105" s="291"/>
      <c r="KR105" s="291"/>
      <c r="KS105" s="291"/>
      <c r="KT105" s="291"/>
      <c r="KU105" s="291"/>
      <c r="KV105" s="291"/>
      <c r="KW105" s="291"/>
      <c r="KX105" s="291"/>
      <c r="KY105" s="291"/>
      <c r="KZ105" s="291"/>
      <c r="LA105" s="291"/>
      <c r="LB105" s="291"/>
      <c r="LC105" s="291"/>
      <c r="LD105" s="291"/>
      <c r="LE105" s="291"/>
      <c r="LF105" s="291"/>
      <c r="LG105" s="291"/>
      <c r="LH105" s="291"/>
      <c r="LI105" s="291"/>
      <c r="LJ105" s="291"/>
      <c r="LK105" s="291"/>
      <c r="LL105" s="291"/>
      <c r="LM105" s="291"/>
      <c r="LN105" s="291"/>
      <c r="LO105" s="291"/>
      <c r="LP105" s="291"/>
      <c r="LQ105" s="291"/>
      <c r="LR105" s="291"/>
      <c r="LS105" s="291"/>
      <c r="LT105" s="291"/>
      <c r="LU105" s="291"/>
      <c r="LV105" s="291"/>
      <c r="LW105" s="291"/>
      <c r="LX105" s="291"/>
      <c r="LY105" s="291"/>
      <c r="LZ105" s="291"/>
      <c r="MA105" s="291"/>
      <c r="MB105" s="291"/>
      <c r="MC105" s="291"/>
      <c r="MD105" s="291"/>
      <c r="ME105" s="291"/>
      <c r="MF105" s="291"/>
      <c r="MG105" s="291"/>
      <c r="MH105" s="291"/>
      <c r="MI105" s="291"/>
      <c r="MJ105" s="291"/>
      <c r="MK105" s="291"/>
      <c r="ML105" s="291"/>
      <c r="MM105" s="291"/>
      <c r="MN105" s="291"/>
      <c r="MO105" s="291"/>
      <c r="MP105" s="291"/>
      <c r="MQ105" s="291"/>
      <c r="MR105" s="291"/>
      <c r="MS105" s="291"/>
      <c r="MT105" s="291"/>
      <c r="MU105" s="291"/>
      <c r="MV105" s="291"/>
      <c r="MW105" s="291"/>
      <c r="MX105" s="291"/>
      <c r="MY105" s="291"/>
      <c r="MZ105" s="291"/>
      <c r="NA105" s="291"/>
      <c r="NB105" s="291"/>
      <c r="NC105" s="291"/>
      <c r="ND105" s="291"/>
      <c r="NE105" s="291"/>
      <c r="NF105" s="291"/>
      <c r="NG105" s="291"/>
      <c r="NH105" s="291"/>
      <c r="NI105" s="291"/>
      <c r="NJ105" s="291"/>
      <c r="NK105" s="291"/>
      <c r="NL105" s="291"/>
      <c r="NM105" s="291"/>
      <c r="NN105" s="291"/>
      <c r="NO105" s="291"/>
      <c r="NP105" s="291"/>
      <c r="NQ105" s="291"/>
      <c r="NR105" s="291"/>
      <c r="NS105" s="291"/>
      <c r="NT105" s="291"/>
      <c r="NU105" s="291"/>
      <c r="NV105" s="291"/>
      <c r="NW105" s="291"/>
      <c r="NX105" s="291"/>
      <c r="NY105" s="291"/>
      <c r="NZ105" s="291"/>
      <c r="OA105" s="291"/>
      <c r="OB105" s="291"/>
      <c r="OC105" s="291"/>
      <c r="OD105" s="291"/>
      <c r="OE105" s="291"/>
      <c r="OF105" s="291"/>
      <c r="OG105" s="291"/>
      <c r="OH105" s="291"/>
      <c r="OI105" s="291"/>
      <c r="OJ105" s="291"/>
      <c r="OK105" s="291"/>
      <c r="OL105" s="291"/>
      <c r="OM105" s="291"/>
      <c r="ON105" s="291"/>
      <c r="OO105" s="291"/>
      <c r="OP105" s="291"/>
      <c r="OQ105" s="291"/>
      <c r="OR105" s="291"/>
      <c r="OS105" s="291"/>
      <c r="OT105" s="291"/>
      <c r="OU105" s="291"/>
      <c r="OV105" s="291"/>
      <c r="OW105" s="291"/>
    </row>
    <row r="106" spans="1:413" s="257" customFormat="1" hidden="1" x14ac:dyDescent="0.2">
      <c r="A106" s="291"/>
      <c r="B106" s="524">
        <f t="shared" si="7"/>
        <v>90</v>
      </c>
      <c r="C106" s="510" t="s">
        <v>38</v>
      </c>
      <c r="D106" s="511">
        <v>30126701</v>
      </c>
      <c r="E106" s="511"/>
      <c r="F106" s="512" t="s">
        <v>1241</v>
      </c>
      <c r="G106" s="513" t="s">
        <v>45</v>
      </c>
      <c r="H106" s="514" t="s">
        <v>1094</v>
      </c>
      <c r="I106" s="515" t="s">
        <v>1225</v>
      </c>
      <c r="J106" s="346" t="s">
        <v>43</v>
      </c>
      <c r="K106" s="526">
        <v>717594</v>
      </c>
      <c r="L106" s="527">
        <v>0</v>
      </c>
      <c r="M106" s="528">
        <v>623396</v>
      </c>
      <c r="N106" s="519">
        <v>0</v>
      </c>
      <c r="O106" s="519">
        <v>0</v>
      </c>
      <c r="P106" s="519">
        <v>0</v>
      </c>
      <c r="Q106" s="519">
        <v>0</v>
      </c>
      <c r="R106" s="519">
        <v>0</v>
      </c>
      <c r="S106" s="520">
        <v>0</v>
      </c>
      <c r="T106" s="18"/>
      <c r="U106" s="18"/>
      <c r="V106" s="18"/>
      <c r="W106" s="18"/>
      <c r="X106" s="18"/>
      <c r="Y106" s="18"/>
      <c r="Z106" s="18">
        <f t="shared" si="4"/>
        <v>0</v>
      </c>
      <c r="AA106" s="309">
        <v>94106</v>
      </c>
      <c r="AB106" s="19">
        <v>3</v>
      </c>
      <c r="AC106" s="521">
        <v>44222</v>
      </c>
      <c r="AD106" s="25">
        <v>44225</v>
      </c>
      <c r="AE106" s="309"/>
      <c r="AF106" s="20"/>
      <c r="AG106" s="23"/>
      <c r="AH106" s="25"/>
      <c r="AI106" s="309"/>
      <c r="AJ106" s="19"/>
      <c r="AK106" s="23"/>
      <c r="AL106" s="25"/>
      <c r="AM106" s="309"/>
      <c r="AN106" s="19"/>
      <c r="AO106" s="21"/>
      <c r="AP106" s="25"/>
      <c r="AQ106" s="309"/>
      <c r="AR106" s="19"/>
      <c r="AS106" s="21"/>
      <c r="AT106" s="25"/>
      <c r="AU106" s="522">
        <f t="shared" si="5"/>
        <v>94106</v>
      </c>
      <c r="AV106" s="311">
        <f t="shared" si="6"/>
        <v>94106</v>
      </c>
      <c r="AW106" s="305"/>
      <c r="AX106" s="291"/>
      <c r="AY106" s="291"/>
      <c r="AZ106" s="291"/>
      <c r="BA106" s="291"/>
      <c r="BB106" s="291"/>
      <c r="BC106" s="291"/>
      <c r="BD106" s="291"/>
      <c r="BE106" s="291"/>
      <c r="BF106" s="291"/>
      <c r="BG106" s="291"/>
      <c r="BH106" s="291"/>
      <c r="BI106" s="291"/>
      <c r="BJ106" s="291"/>
      <c r="BK106" s="291"/>
      <c r="BL106" s="291"/>
      <c r="BM106" s="291"/>
      <c r="BN106" s="291"/>
      <c r="BO106" s="291"/>
      <c r="BP106" s="291"/>
      <c r="BQ106" s="291"/>
      <c r="BR106" s="291"/>
      <c r="BS106" s="291"/>
      <c r="BT106" s="291"/>
      <c r="BU106" s="291"/>
      <c r="BV106" s="291"/>
      <c r="BW106" s="291"/>
      <c r="BX106" s="291"/>
      <c r="BY106" s="291"/>
      <c r="BZ106" s="291"/>
      <c r="CA106" s="291"/>
      <c r="CB106" s="291"/>
      <c r="CC106" s="291"/>
      <c r="CD106" s="291"/>
      <c r="CE106" s="291"/>
      <c r="CF106" s="291"/>
      <c r="CG106" s="291"/>
      <c r="CH106" s="291"/>
      <c r="CI106" s="291"/>
      <c r="CJ106" s="291"/>
      <c r="CK106" s="291"/>
      <c r="CL106" s="291"/>
      <c r="CM106" s="291"/>
      <c r="CN106" s="291"/>
      <c r="CO106" s="291"/>
      <c r="CP106" s="291"/>
      <c r="CQ106" s="291"/>
      <c r="CR106" s="291"/>
      <c r="CS106" s="291"/>
      <c r="CT106" s="291"/>
      <c r="CU106" s="291"/>
      <c r="CV106" s="291"/>
      <c r="CW106" s="291"/>
      <c r="CX106" s="291"/>
      <c r="CY106" s="291"/>
      <c r="CZ106" s="291"/>
      <c r="DA106" s="291"/>
      <c r="DB106" s="291"/>
      <c r="DC106" s="291"/>
      <c r="DD106" s="291"/>
      <c r="DE106" s="291"/>
      <c r="DF106" s="291"/>
      <c r="DG106" s="291"/>
      <c r="DH106" s="291"/>
      <c r="DI106" s="291"/>
      <c r="DJ106" s="291"/>
      <c r="DK106" s="291"/>
      <c r="DL106" s="291"/>
      <c r="DM106" s="291"/>
      <c r="DN106" s="291"/>
      <c r="DO106" s="291"/>
      <c r="DP106" s="291"/>
      <c r="DQ106" s="291"/>
      <c r="DR106" s="291"/>
      <c r="DS106" s="291"/>
      <c r="DT106" s="291"/>
      <c r="DU106" s="291"/>
      <c r="DV106" s="291"/>
      <c r="DW106" s="291"/>
      <c r="DX106" s="291"/>
      <c r="DY106" s="291"/>
      <c r="DZ106" s="291"/>
      <c r="EA106" s="291"/>
      <c r="EB106" s="291"/>
      <c r="EC106" s="291"/>
      <c r="ED106" s="291"/>
      <c r="EE106" s="291"/>
      <c r="EF106" s="291"/>
      <c r="EG106" s="291"/>
      <c r="EH106" s="291"/>
      <c r="EI106" s="291"/>
      <c r="EJ106" s="291"/>
      <c r="EK106" s="291"/>
      <c r="EL106" s="291"/>
      <c r="EM106" s="291"/>
      <c r="EN106" s="291"/>
      <c r="EO106" s="291"/>
      <c r="EP106" s="291"/>
      <c r="EQ106" s="291"/>
      <c r="ER106" s="291"/>
      <c r="ES106" s="291"/>
      <c r="ET106" s="291"/>
      <c r="EU106" s="291"/>
      <c r="EV106" s="291"/>
      <c r="EW106" s="291"/>
      <c r="EX106" s="291"/>
      <c r="EY106" s="291"/>
      <c r="EZ106" s="291"/>
      <c r="FA106" s="291"/>
      <c r="FB106" s="291"/>
      <c r="FC106" s="291"/>
      <c r="FD106" s="291"/>
      <c r="FE106" s="291"/>
      <c r="FF106" s="291"/>
      <c r="FG106" s="291"/>
      <c r="FH106" s="291"/>
      <c r="FI106" s="291"/>
      <c r="FJ106" s="291"/>
      <c r="FK106" s="291"/>
      <c r="FL106" s="291"/>
      <c r="FM106" s="291"/>
      <c r="FN106" s="291"/>
      <c r="FO106" s="291"/>
      <c r="FP106" s="291"/>
      <c r="FQ106" s="291"/>
      <c r="FR106" s="291"/>
      <c r="FS106" s="291"/>
      <c r="FT106" s="291"/>
      <c r="FU106" s="291"/>
      <c r="FV106" s="291"/>
      <c r="FW106" s="291"/>
      <c r="FX106" s="291"/>
      <c r="FY106" s="291"/>
      <c r="FZ106" s="291"/>
      <c r="GA106" s="291"/>
      <c r="GB106" s="291"/>
      <c r="GC106" s="291"/>
      <c r="GD106" s="291"/>
      <c r="GE106" s="291"/>
      <c r="GF106" s="291"/>
      <c r="GG106" s="291"/>
      <c r="GH106" s="291"/>
      <c r="GI106" s="291"/>
      <c r="GJ106" s="291"/>
      <c r="GK106" s="291"/>
      <c r="GL106" s="291"/>
      <c r="GM106" s="291"/>
      <c r="GN106" s="291"/>
      <c r="GO106" s="291"/>
      <c r="GP106" s="291"/>
      <c r="GQ106" s="291"/>
      <c r="GR106" s="291"/>
      <c r="GS106" s="291"/>
      <c r="GT106" s="291"/>
      <c r="GU106" s="291"/>
      <c r="GV106" s="291"/>
      <c r="GW106" s="291"/>
      <c r="GX106" s="291"/>
      <c r="GY106" s="291"/>
      <c r="GZ106" s="291"/>
      <c r="HA106" s="291"/>
      <c r="HB106" s="291"/>
      <c r="HC106" s="291"/>
      <c r="HD106" s="291"/>
      <c r="HE106" s="291"/>
      <c r="HF106" s="291"/>
      <c r="HG106" s="291"/>
      <c r="HH106" s="291"/>
      <c r="HI106" s="291"/>
      <c r="HJ106" s="291"/>
      <c r="HK106" s="291"/>
      <c r="HL106" s="291"/>
      <c r="HM106" s="291"/>
      <c r="HN106" s="291"/>
      <c r="HO106" s="291"/>
      <c r="HP106" s="291"/>
      <c r="HQ106" s="291"/>
      <c r="HR106" s="291"/>
      <c r="HS106" s="291"/>
      <c r="HT106" s="291"/>
      <c r="HU106" s="291"/>
      <c r="HV106" s="291"/>
      <c r="HW106" s="291"/>
      <c r="HX106" s="291"/>
      <c r="HY106" s="291"/>
      <c r="HZ106" s="291"/>
      <c r="IA106" s="291"/>
      <c r="IB106" s="291"/>
      <c r="IC106" s="291"/>
      <c r="ID106" s="291"/>
      <c r="IE106" s="291"/>
      <c r="IF106" s="291"/>
      <c r="IG106" s="291"/>
      <c r="IH106" s="291"/>
      <c r="II106" s="291"/>
      <c r="IJ106" s="291"/>
      <c r="IK106" s="291"/>
      <c r="IL106" s="291"/>
      <c r="IM106" s="291"/>
      <c r="IN106" s="291"/>
      <c r="IO106" s="291"/>
      <c r="IP106" s="291"/>
      <c r="IQ106" s="291"/>
      <c r="IR106" s="291"/>
      <c r="IS106" s="291"/>
      <c r="IT106" s="291"/>
      <c r="IU106" s="291"/>
      <c r="IV106" s="291"/>
      <c r="IW106" s="291"/>
      <c r="IX106" s="291"/>
      <c r="IY106" s="291"/>
      <c r="IZ106" s="291"/>
      <c r="JA106" s="291"/>
      <c r="JB106" s="291"/>
      <c r="JC106" s="291"/>
      <c r="JD106" s="291"/>
      <c r="JE106" s="291"/>
      <c r="JF106" s="291"/>
      <c r="JG106" s="291"/>
      <c r="JH106" s="291"/>
      <c r="JI106" s="291"/>
      <c r="JJ106" s="291"/>
      <c r="JK106" s="291"/>
      <c r="JL106" s="291"/>
      <c r="JM106" s="291"/>
      <c r="JN106" s="291"/>
      <c r="JO106" s="291"/>
      <c r="JP106" s="291"/>
      <c r="JQ106" s="291"/>
      <c r="JR106" s="291"/>
      <c r="JS106" s="291"/>
      <c r="JT106" s="291"/>
      <c r="JU106" s="291"/>
      <c r="JV106" s="291"/>
      <c r="JW106" s="291"/>
      <c r="JX106" s="291"/>
      <c r="JY106" s="291"/>
      <c r="JZ106" s="291"/>
      <c r="KA106" s="291"/>
      <c r="KB106" s="291"/>
      <c r="KC106" s="291"/>
      <c r="KD106" s="291"/>
      <c r="KE106" s="291"/>
      <c r="KF106" s="291"/>
      <c r="KG106" s="291"/>
      <c r="KH106" s="291"/>
      <c r="KI106" s="291"/>
      <c r="KJ106" s="291"/>
      <c r="KK106" s="291"/>
      <c r="KL106" s="291"/>
      <c r="KM106" s="291"/>
      <c r="KN106" s="291"/>
      <c r="KO106" s="291"/>
      <c r="KP106" s="291"/>
      <c r="KQ106" s="291"/>
      <c r="KR106" s="291"/>
      <c r="KS106" s="291"/>
      <c r="KT106" s="291"/>
      <c r="KU106" s="291"/>
      <c r="KV106" s="291"/>
      <c r="KW106" s="291"/>
      <c r="KX106" s="291"/>
      <c r="KY106" s="291"/>
      <c r="KZ106" s="291"/>
      <c r="LA106" s="291"/>
      <c r="LB106" s="291"/>
      <c r="LC106" s="291"/>
      <c r="LD106" s="291"/>
      <c r="LE106" s="291"/>
      <c r="LF106" s="291"/>
      <c r="LG106" s="291"/>
      <c r="LH106" s="291"/>
      <c r="LI106" s="291"/>
      <c r="LJ106" s="291"/>
      <c r="LK106" s="291"/>
      <c r="LL106" s="291"/>
      <c r="LM106" s="291"/>
      <c r="LN106" s="291"/>
      <c r="LO106" s="291"/>
      <c r="LP106" s="291"/>
      <c r="LQ106" s="291"/>
      <c r="LR106" s="291"/>
      <c r="LS106" s="291"/>
      <c r="LT106" s="291"/>
      <c r="LU106" s="291"/>
      <c r="LV106" s="291"/>
      <c r="LW106" s="291"/>
      <c r="LX106" s="291"/>
      <c r="LY106" s="291"/>
      <c r="LZ106" s="291"/>
      <c r="MA106" s="291"/>
      <c r="MB106" s="291"/>
      <c r="MC106" s="291"/>
      <c r="MD106" s="291"/>
      <c r="ME106" s="291"/>
      <c r="MF106" s="291"/>
      <c r="MG106" s="291"/>
      <c r="MH106" s="291"/>
      <c r="MI106" s="291"/>
      <c r="MJ106" s="291"/>
      <c r="MK106" s="291"/>
      <c r="ML106" s="291"/>
      <c r="MM106" s="291"/>
      <c r="MN106" s="291"/>
      <c r="MO106" s="291"/>
      <c r="MP106" s="291"/>
      <c r="MQ106" s="291"/>
      <c r="MR106" s="291"/>
      <c r="MS106" s="291"/>
      <c r="MT106" s="291"/>
      <c r="MU106" s="291"/>
      <c r="MV106" s="291"/>
      <c r="MW106" s="291"/>
      <c r="MX106" s="291"/>
      <c r="MY106" s="291"/>
      <c r="MZ106" s="291"/>
      <c r="NA106" s="291"/>
      <c r="NB106" s="291"/>
      <c r="NC106" s="291"/>
      <c r="ND106" s="291"/>
      <c r="NE106" s="291"/>
      <c r="NF106" s="291"/>
      <c r="NG106" s="291"/>
      <c r="NH106" s="291"/>
      <c r="NI106" s="291"/>
      <c r="NJ106" s="291"/>
      <c r="NK106" s="291"/>
      <c r="NL106" s="291"/>
      <c r="NM106" s="291"/>
      <c r="NN106" s="291"/>
      <c r="NO106" s="291"/>
      <c r="NP106" s="291"/>
      <c r="NQ106" s="291"/>
      <c r="NR106" s="291"/>
      <c r="NS106" s="291"/>
      <c r="NT106" s="291"/>
      <c r="NU106" s="291"/>
      <c r="NV106" s="291"/>
      <c r="NW106" s="291"/>
      <c r="NX106" s="291"/>
      <c r="NY106" s="291"/>
      <c r="NZ106" s="291"/>
      <c r="OA106" s="291"/>
      <c r="OB106" s="291"/>
      <c r="OC106" s="291"/>
      <c r="OD106" s="291"/>
      <c r="OE106" s="291"/>
      <c r="OF106" s="291"/>
      <c r="OG106" s="291"/>
      <c r="OH106" s="291"/>
      <c r="OI106" s="291"/>
      <c r="OJ106" s="291"/>
      <c r="OK106" s="291"/>
      <c r="OL106" s="291"/>
      <c r="OM106" s="291"/>
      <c r="ON106" s="291"/>
      <c r="OO106" s="291"/>
      <c r="OP106" s="291"/>
      <c r="OQ106" s="291"/>
      <c r="OR106" s="291"/>
      <c r="OS106" s="291"/>
      <c r="OT106" s="291"/>
      <c r="OU106" s="291"/>
      <c r="OV106" s="291"/>
      <c r="OW106" s="291"/>
    </row>
    <row r="107" spans="1:413" s="257" customFormat="1" hidden="1" x14ac:dyDescent="0.2">
      <c r="A107" s="291"/>
      <c r="B107" s="524">
        <f t="shared" si="7"/>
        <v>91</v>
      </c>
      <c r="C107" s="510" t="s">
        <v>38</v>
      </c>
      <c r="D107" s="511">
        <v>30129336</v>
      </c>
      <c r="E107" s="511"/>
      <c r="F107" s="512" t="s">
        <v>1242</v>
      </c>
      <c r="G107" s="513" t="s">
        <v>46</v>
      </c>
      <c r="H107" s="514" t="s">
        <v>1094</v>
      </c>
      <c r="I107" s="515" t="s">
        <v>1118</v>
      </c>
      <c r="J107" s="346" t="s">
        <v>43</v>
      </c>
      <c r="K107" s="526">
        <v>45021</v>
      </c>
      <c r="L107" s="527">
        <v>0</v>
      </c>
      <c r="M107" s="528">
        <v>990</v>
      </c>
      <c r="N107" s="520">
        <v>0</v>
      </c>
      <c r="O107" s="520">
        <v>0</v>
      </c>
      <c r="P107" s="520">
        <v>0</v>
      </c>
      <c r="Q107" s="520">
        <v>0</v>
      </c>
      <c r="R107" s="520">
        <v>0</v>
      </c>
      <c r="S107" s="520">
        <v>0</v>
      </c>
      <c r="T107" s="18"/>
      <c r="U107" s="18"/>
      <c r="V107" s="18"/>
      <c r="W107" s="18"/>
      <c r="X107" s="18"/>
      <c r="Y107" s="18"/>
      <c r="Z107" s="18">
        <f t="shared" si="4"/>
        <v>0</v>
      </c>
      <c r="AA107" s="309">
        <v>22016</v>
      </c>
      <c r="AB107" s="19">
        <v>5</v>
      </c>
      <c r="AC107" s="521">
        <v>44224</v>
      </c>
      <c r="AD107" s="25">
        <v>44251</v>
      </c>
      <c r="AE107" s="309">
        <v>-7496</v>
      </c>
      <c r="AF107" s="20">
        <v>50</v>
      </c>
      <c r="AG107" s="23">
        <v>44356</v>
      </c>
      <c r="AH107" s="25">
        <v>44377</v>
      </c>
      <c r="AI107" s="309"/>
      <c r="AJ107" s="19"/>
      <c r="AK107" s="23"/>
      <c r="AL107" s="25"/>
      <c r="AM107" s="309"/>
      <c r="AN107" s="19"/>
      <c r="AO107" s="21"/>
      <c r="AP107" s="25"/>
      <c r="AQ107" s="309"/>
      <c r="AR107" s="19"/>
      <c r="AS107" s="21"/>
      <c r="AT107" s="25"/>
      <c r="AU107" s="522">
        <f t="shared" si="5"/>
        <v>14520</v>
      </c>
      <c r="AV107" s="311">
        <f t="shared" si="6"/>
        <v>14520</v>
      </c>
      <c r="AW107" s="305"/>
      <c r="AX107" s="291"/>
      <c r="AY107" s="291"/>
      <c r="AZ107" s="291"/>
      <c r="BA107" s="291"/>
      <c r="BB107" s="291"/>
      <c r="BC107" s="291"/>
      <c r="BD107" s="291"/>
      <c r="BE107" s="291"/>
      <c r="BF107" s="291"/>
      <c r="BG107" s="291"/>
      <c r="BH107" s="291"/>
      <c r="BI107" s="291"/>
      <c r="BJ107" s="291"/>
      <c r="BK107" s="291"/>
      <c r="BL107" s="291"/>
      <c r="BM107" s="291"/>
      <c r="BN107" s="291"/>
      <c r="BO107" s="291"/>
      <c r="BP107" s="291"/>
      <c r="BQ107" s="291"/>
      <c r="BR107" s="291"/>
      <c r="BS107" s="291"/>
      <c r="BT107" s="291"/>
      <c r="BU107" s="291"/>
      <c r="BV107" s="291"/>
      <c r="BW107" s="291"/>
      <c r="BX107" s="291"/>
      <c r="BY107" s="291"/>
      <c r="BZ107" s="291"/>
      <c r="CA107" s="291"/>
      <c r="CB107" s="291"/>
      <c r="CC107" s="291"/>
      <c r="CD107" s="291"/>
      <c r="CE107" s="291"/>
      <c r="CF107" s="291"/>
      <c r="CG107" s="291"/>
      <c r="CH107" s="291"/>
      <c r="CI107" s="291"/>
      <c r="CJ107" s="291"/>
      <c r="CK107" s="291"/>
      <c r="CL107" s="291"/>
      <c r="CM107" s="291"/>
      <c r="CN107" s="291"/>
      <c r="CO107" s="291"/>
      <c r="CP107" s="291"/>
      <c r="CQ107" s="291"/>
      <c r="CR107" s="291"/>
      <c r="CS107" s="291"/>
      <c r="CT107" s="291"/>
      <c r="CU107" s="291"/>
      <c r="CV107" s="291"/>
      <c r="CW107" s="291"/>
      <c r="CX107" s="291"/>
      <c r="CY107" s="291"/>
      <c r="CZ107" s="291"/>
      <c r="DA107" s="291"/>
      <c r="DB107" s="291"/>
      <c r="DC107" s="291"/>
      <c r="DD107" s="291"/>
      <c r="DE107" s="291"/>
      <c r="DF107" s="291"/>
      <c r="DG107" s="291"/>
      <c r="DH107" s="291"/>
      <c r="DI107" s="291"/>
      <c r="DJ107" s="291"/>
      <c r="DK107" s="291"/>
      <c r="DL107" s="291"/>
      <c r="DM107" s="291"/>
      <c r="DN107" s="291"/>
      <c r="DO107" s="291"/>
      <c r="DP107" s="291"/>
      <c r="DQ107" s="291"/>
      <c r="DR107" s="291"/>
      <c r="DS107" s="291"/>
      <c r="DT107" s="291"/>
      <c r="DU107" s="291"/>
      <c r="DV107" s="291"/>
      <c r="DW107" s="291"/>
      <c r="DX107" s="291"/>
      <c r="DY107" s="291"/>
      <c r="DZ107" s="291"/>
      <c r="EA107" s="291"/>
      <c r="EB107" s="291"/>
      <c r="EC107" s="291"/>
      <c r="ED107" s="291"/>
      <c r="EE107" s="291"/>
      <c r="EF107" s="291"/>
      <c r="EG107" s="291"/>
      <c r="EH107" s="291"/>
      <c r="EI107" s="291"/>
      <c r="EJ107" s="291"/>
      <c r="EK107" s="291"/>
      <c r="EL107" s="291"/>
      <c r="EM107" s="291"/>
      <c r="EN107" s="291"/>
      <c r="EO107" s="291"/>
      <c r="EP107" s="291"/>
      <c r="EQ107" s="291"/>
      <c r="ER107" s="291"/>
      <c r="ES107" s="291"/>
      <c r="ET107" s="291"/>
      <c r="EU107" s="291"/>
      <c r="EV107" s="291"/>
      <c r="EW107" s="291"/>
      <c r="EX107" s="291"/>
      <c r="EY107" s="291"/>
      <c r="EZ107" s="291"/>
      <c r="FA107" s="291"/>
      <c r="FB107" s="291"/>
      <c r="FC107" s="291"/>
      <c r="FD107" s="291"/>
      <c r="FE107" s="291"/>
      <c r="FF107" s="291"/>
      <c r="FG107" s="291"/>
      <c r="FH107" s="291"/>
      <c r="FI107" s="291"/>
      <c r="FJ107" s="291"/>
      <c r="FK107" s="291"/>
      <c r="FL107" s="291"/>
      <c r="FM107" s="291"/>
      <c r="FN107" s="291"/>
      <c r="FO107" s="291"/>
      <c r="FP107" s="291"/>
      <c r="FQ107" s="291"/>
      <c r="FR107" s="291"/>
      <c r="FS107" s="291"/>
      <c r="FT107" s="291"/>
      <c r="FU107" s="291"/>
      <c r="FV107" s="291"/>
      <c r="FW107" s="291"/>
      <c r="FX107" s="291"/>
      <c r="FY107" s="291"/>
      <c r="FZ107" s="291"/>
      <c r="GA107" s="291"/>
      <c r="GB107" s="291"/>
      <c r="GC107" s="291"/>
      <c r="GD107" s="291"/>
      <c r="GE107" s="291"/>
      <c r="GF107" s="291"/>
      <c r="GG107" s="291"/>
      <c r="GH107" s="291"/>
      <c r="GI107" s="291"/>
      <c r="GJ107" s="291"/>
      <c r="GK107" s="291"/>
      <c r="GL107" s="291"/>
      <c r="GM107" s="291"/>
      <c r="GN107" s="291"/>
      <c r="GO107" s="291"/>
      <c r="GP107" s="291"/>
      <c r="GQ107" s="291"/>
      <c r="GR107" s="291"/>
      <c r="GS107" s="291"/>
      <c r="GT107" s="291"/>
      <c r="GU107" s="291"/>
      <c r="GV107" s="291"/>
      <c r="GW107" s="291"/>
      <c r="GX107" s="291"/>
      <c r="GY107" s="291"/>
      <c r="GZ107" s="291"/>
      <c r="HA107" s="291"/>
      <c r="HB107" s="291"/>
      <c r="HC107" s="291"/>
      <c r="HD107" s="291"/>
      <c r="HE107" s="291"/>
      <c r="HF107" s="291"/>
      <c r="HG107" s="291"/>
      <c r="HH107" s="291"/>
      <c r="HI107" s="291"/>
      <c r="HJ107" s="291"/>
      <c r="HK107" s="291"/>
      <c r="HL107" s="291"/>
      <c r="HM107" s="291"/>
      <c r="HN107" s="291"/>
      <c r="HO107" s="291"/>
      <c r="HP107" s="291"/>
      <c r="HQ107" s="291"/>
      <c r="HR107" s="291"/>
      <c r="HS107" s="291"/>
      <c r="HT107" s="291"/>
      <c r="HU107" s="291"/>
      <c r="HV107" s="291"/>
      <c r="HW107" s="291"/>
      <c r="HX107" s="291"/>
      <c r="HY107" s="291"/>
      <c r="HZ107" s="291"/>
      <c r="IA107" s="291"/>
      <c r="IB107" s="291"/>
      <c r="IC107" s="291"/>
      <c r="ID107" s="291"/>
      <c r="IE107" s="291"/>
      <c r="IF107" s="291"/>
      <c r="IG107" s="291"/>
      <c r="IH107" s="291"/>
      <c r="II107" s="291"/>
      <c r="IJ107" s="291"/>
      <c r="IK107" s="291"/>
      <c r="IL107" s="291"/>
      <c r="IM107" s="291"/>
      <c r="IN107" s="291"/>
      <c r="IO107" s="291"/>
      <c r="IP107" s="291"/>
      <c r="IQ107" s="291"/>
      <c r="IR107" s="291"/>
      <c r="IS107" s="291"/>
      <c r="IT107" s="291"/>
      <c r="IU107" s="291"/>
      <c r="IV107" s="291"/>
      <c r="IW107" s="291"/>
      <c r="IX107" s="291"/>
      <c r="IY107" s="291"/>
      <c r="IZ107" s="291"/>
      <c r="JA107" s="291"/>
      <c r="JB107" s="291"/>
      <c r="JC107" s="291"/>
      <c r="JD107" s="291"/>
      <c r="JE107" s="291"/>
      <c r="JF107" s="291"/>
      <c r="JG107" s="291"/>
      <c r="JH107" s="291"/>
      <c r="JI107" s="291"/>
      <c r="JJ107" s="291"/>
      <c r="JK107" s="291"/>
      <c r="JL107" s="291"/>
      <c r="JM107" s="291"/>
      <c r="JN107" s="291"/>
      <c r="JO107" s="291"/>
      <c r="JP107" s="291"/>
      <c r="JQ107" s="291"/>
      <c r="JR107" s="291"/>
      <c r="JS107" s="291"/>
      <c r="JT107" s="291"/>
      <c r="JU107" s="291"/>
      <c r="JV107" s="291"/>
      <c r="JW107" s="291"/>
      <c r="JX107" s="291"/>
      <c r="JY107" s="291"/>
      <c r="JZ107" s="291"/>
      <c r="KA107" s="291"/>
      <c r="KB107" s="291"/>
      <c r="KC107" s="291"/>
      <c r="KD107" s="291"/>
      <c r="KE107" s="291"/>
      <c r="KF107" s="291"/>
      <c r="KG107" s="291"/>
      <c r="KH107" s="291"/>
      <c r="KI107" s="291"/>
      <c r="KJ107" s="291"/>
      <c r="KK107" s="291"/>
      <c r="KL107" s="291"/>
      <c r="KM107" s="291"/>
      <c r="KN107" s="291"/>
      <c r="KO107" s="291"/>
      <c r="KP107" s="291"/>
      <c r="KQ107" s="291"/>
      <c r="KR107" s="291"/>
      <c r="KS107" s="291"/>
      <c r="KT107" s="291"/>
      <c r="KU107" s="291"/>
      <c r="KV107" s="291"/>
      <c r="KW107" s="291"/>
      <c r="KX107" s="291"/>
      <c r="KY107" s="291"/>
      <c r="KZ107" s="291"/>
      <c r="LA107" s="291"/>
      <c r="LB107" s="291"/>
      <c r="LC107" s="291"/>
      <c r="LD107" s="291"/>
      <c r="LE107" s="291"/>
      <c r="LF107" s="291"/>
      <c r="LG107" s="291"/>
      <c r="LH107" s="291"/>
      <c r="LI107" s="291"/>
      <c r="LJ107" s="291"/>
      <c r="LK107" s="291"/>
      <c r="LL107" s="291"/>
      <c r="LM107" s="291"/>
      <c r="LN107" s="291"/>
      <c r="LO107" s="291"/>
      <c r="LP107" s="291"/>
      <c r="LQ107" s="291"/>
      <c r="LR107" s="291"/>
      <c r="LS107" s="291"/>
      <c r="LT107" s="291"/>
      <c r="LU107" s="291"/>
      <c r="LV107" s="291"/>
      <c r="LW107" s="291"/>
      <c r="LX107" s="291"/>
      <c r="LY107" s="291"/>
      <c r="LZ107" s="291"/>
      <c r="MA107" s="291"/>
      <c r="MB107" s="291"/>
      <c r="MC107" s="291"/>
      <c r="MD107" s="291"/>
      <c r="ME107" s="291"/>
      <c r="MF107" s="291"/>
      <c r="MG107" s="291"/>
      <c r="MH107" s="291"/>
      <c r="MI107" s="291"/>
      <c r="MJ107" s="291"/>
      <c r="MK107" s="291"/>
      <c r="ML107" s="291"/>
      <c r="MM107" s="291"/>
      <c r="MN107" s="291"/>
      <c r="MO107" s="291"/>
      <c r="MP107" s="291"/>
      <c r="MQ107" s="291"/>
      <c r="MR107" s="291"/>
      <c r="MS107" s="291"/>
      <c r="MT107" s="291"/>
      <c r="MU107" s="291"/>
      <c r="MV107" s="291"/>
      <c r="MW107" s="291"/>
      <c r="MX107" s="291"/>
      <c r="MY107" s="291"/>
      <c r="MZ107" s="291"/>
      <c r="NA107" s="291"/>
      <c r="NB107" s="291"/>
      <c r="NC107" s="291"/>
      <c r="ND107" s="291"/>
      <c r="NE107" s="291"/>
      <c r="NF107" s="291"/>
      <c r="NG107" s="291"/>
      <c r="NH107" s="291"/>
      <c r="NI107" s="291"/>
      <c r="NJ107" s="291"/>
      <c r="NK107" s="291"/>
      <c r="NL107" s="291"/>
      <c r="NM107" s="291"/>
      <c r="NN107" s="291"/>
      <c r="NO107" s="291"/>
      <c r="NP107" s="291"/>
      <c r="NQ107" s="291"/>
      <c r="NR107" s="291"/>
      <c r="NS107" s="291"/>
      <c r="NT107" s="291"/>
      <c r="NU107" s="291"/>
      <c r="NV107" s="291"/>
      <c r="NW107" s="291"/>
      <c r="NX107" s="291"/>
      <c r="NY107" s="291"/>
      <c r="NZ107" s="291"/>
      <c r="OA107" s="291"/>
      <c r="OB107" s="291"/>
      <c r="OC107" s="291"/>
      <c r="OD107" s="291"/>
      <c r="OE107" s="291"/>
      <c r="OF107" s="291"/>
      <c r="OG107" s="291"/>
      <c r="OH107" s="291"/>
      <c r="OI107" s="291"/>
      <c r="OJ107" s="291"/>
      <c r="OK107" s="291"/>
      <c r="OL107" s="291"/>
      <c r="OM107" s="291"/>
      <c r="ON107" s="291"/>
      <c r="OO107" s="291"/>
      <c r="OP107" s="291"/>
      <c r="OQ107" s="291"/>
      <c r="OR107" s="291"/>
      <c r="OS107" s="291"/>
      <c r="OT107" s="291"/>
      <c r="OU107" s="291"/>
      <c r="OV107" s="291"/>
      <c r="OW107" s="291"/>
    </row>
    <row r="108" spans="1:413" s="257" customFormat="1" hidden="1" x14ac:dyDescent="0.2">
      <c r="A108" s="291"/>
      <c r="B108" s="524">
        <f t="shared" si="7"/>
        <v>92</v>
      </c>
      <c r="C108" s="510" t="s">
        <v>38</v>
      </c>
      <c r="D108" s="511">
        <v>30129998</v>
      </c>
      <c r="E108" s="511"/>
      <c r="F108" s="512" t="s">
        <v>1243</v>
      </c>
      <c r="G108" s="513" t="s">
        <v>45</v>
      </c>
      <c r="H108" s="514" t="s">
        <v>1094</v>
      </c>
      <c r="I108" s="515" t="s">
        <v>1120</v>
      </c>
      <c r="J108" s="346" t="s">
        <v>42</v>
      </c>
      <c r="K108" s="526">
        <v>1640993</v>
      </c>
      <c r="L108" s="527">
        <v>1288338</v>
      </c>
      <c r="M108" s="528">
        <v>0</v>
      </c>
      <c r="N108" s="520">
        <v>0</v>
      </c>
      <c r="O108" s="520">
        <v>0</v>
      </c>
      <c r="P108" s="520">
        <v>85692</v>
      </c>
      <c r="Q108" s="520">
        <v>59365</v>
      </c>
      <c r="R108" s="520">
        <v>0</v>
      </c>
      <c r="S108" s="520">
        <v>0</v>
      </c>
      <c r="T108" s="18"/>
      <c r="U108" s="18"/>
      <c r="V108" s="18"/>
      <c r="W108" s="18"/>
      <c r="X108" s="18"/>
      <c r="Y108" s="18"/>
      <c r="Z108" s="18">
        <f t="shared" si="4"/>
        <v>145057</v>
      </c>
      <c r="AA108" s="309">
        <v>278048</v>
      </c>
      <c r="AB108" s="19">
        <v>15</v>
      </c>
      <c r="AC108" s="521">
        <v>44259</v>
      </c>
      <c r="AD108" s="25">
        <v>44274</v>
      </c>
      <c r="AE108" s="309">
        <v>74607</v>
      </c>
      <c r="AF108" s="20">
        <v>22</v>
      </c>
      <c r="AG108" s="23">
        <v>44301</v>
      </c>
      <c r="AH108" s="25">
        <v>44313</v>
      </c>
      <c r="AI108" s="309"/>
      <c r="AJ108" s="19"/>
      <c r="AK108" s="23"/>
      <c r="AL108" s="25"/>
      <c r="AM108" s="309"/>
      <c r="AN108" s="19"/>
      <c r="AO108" s="21"/>
      <c r="AP108" s="25"/>
      <c r="AQ108" s="309"/>
      <c r="AR108" s="19"/>
      <c r="AS108" s="21"/>
      <c r="AT108" s="25"/>
      <c r="AU108" s="522">
        <f t="shared" si="5"/>
        <v>352655</v>
      </c>
      <c r="AV108" s="311">
        <f t="shared" si="6"/>
        <v>207598</v>
      </c>
      <c r="AW108" s="305"/>
      <c r="AX108" s="291"/>
      <c r="AY108" s="291"/>
      <c r="AZ108" s="291"/>
      <c r="BA108" s="291"/>
      <c r="BB108" s="291"/>
      <c r="BC108" s="291"/>
      <c r="BD108" s="291"/>
      <c r="BE108" s="291"/>
      <c r="BF108" s="291"/>
      <c r="BG108" s="291"/>
      <c r="BH108" s="291"/>
      <c r="BI108" s="291"/>
      <c r="BJ108" s="291"/>
      <c r="BK108" s="291"/>
      <c r="BL108" s="291"/>
      <c r="BM108" s="291"/>
      <c r="BN108" s="291"/>
      <c r="BO108" s="291"/>
      <c r="BP108" s="291"/>
      <c r="BQ108" s="291"/>
      <c r="BR108" s="291"/>
      <c r="BS108" s="291"/>
      <c r="BT108" s="291"/>
      <c r="BU108" s="291"/>
      <c r="BV108" s="291"/>
      <c r="BW108" s="291"/>
      <c r="BX108" s="291"/>
      <c r="BY108" s="291"/>
      <c r="BZ108" s="291"/>
      <c r="CA108" s="291"/>
      <c r="CB108" s="291"/>
      <c r="CC108" s="291"/>
      <c r="CD108" s="291"/>
      <c r="CE108" s="291"/>
      <c r="CF108" s="291"/>
      <c r="CG108" s="291"/>
      <c r="CH108" s="291"/>
      <c r="CI108" s="291"/>
      <c r="CJ108" s="291"/>
      <c r="CK108" s="291"/>
      <c r="CL108" s="291"/>
      <c r="CM108" s="291"/>
      <c r="CN108" s="291"/>
      <c r="CO108" s="291"/>
      <c r="CP108" s="291"/>
      <c r="CQ108" s="291"/>
      <c r="CR108" s="291"/>
      <c r="CS108" s="291"/>
      <c r="CT108" s="291"/>
      <c r="CU108" s="291"/>
      <c r="CV108" s="291"/>
      <c r="CW108" s="291"/>
      <c r="CX108" s="291"/>
      <c r="CY108" s="291"/>
      <c r="CZ108" s="291"/>
      <c r="DA108" s="291"/>
      <c r="DB108" s="291"/>
      <c r="DC108" s="291"/>
      <c r="DD108" s="291"/>
      <c r="DE108" s="291"/>
      <c r="DF108" s="291"/>
      <c r="DG108" s="291"/>
      <c r="DH108" s="291"/>
      <c r="DI108" s="291"/>
      <c r="DJ108" s="291"/>
      <c r="DK108" s="291"/>
      <c r="DL108" s="291"/>
      <c r="DM108" s="291"/>
      <c r="DN108" s="291"/>
      <c r="DO108" s="291"/>
      <c r="DP108" s="291"/>
      <c r="DQ108" s="291"/>
      <c r="DR108" s="291"/>
      <c r="DS108" s="291"/>
      <c r="DT108" s="291"/>
      <c r="DU108" s="291"/>
      <c r="DV108" s="291"/>
      <c r="DW108" s="291"/>
      <c r="DX108" s="291"/>
      <c r="DY108" s="291"/>
      <c r="DZ108" s="291"/>
      <c r="EA108" s="291"/>
      <c r="EB108" s="291"/>
      <c r="EC108" s="291"/>
      <c r="ED108" s="291"/>
      <c r="EE108" s="291"/>
      <c r="EF108" s="291"/>
      <c r="EG108" s="291"/>
      <c r="EH108" s="291"/>
      <c r="EI108" s="291"/>
      <c r="EJ108" s="291"/>
      <c r="EK108" s="291"/>
      <c r="EL108" s="291"/>
      <c r="EM108" s="291"/>
      <c r="EN108" s="291"/>
      <c r="EO108" s="291"/>
      <c r="EP108" s="291"/>
      <c r="EQ108" s="291"/>
      <c r="ER108" s="291"/>
      <c r="ES108" s="291"/>
      <c r="ET108" s="291"/>
      <c r="EU108" s="291"/>
      <c r="EV108" s="291"/>
      <c r="EW108" s="291"/>
      <c r="EX108" s="291"/>
      <c r="EY108" s="291"/>
      <c r="EZ108" s="291"/>
      <c r="FA108" s="291"/>
      <c r="FB108" s="291"/>
      <c r="FC108" s="291"/>
      <c r="FD108" s="291"/>
      <c r="FE108" s="291"/>
      <c r="FF108" s="291"/>
      <c r="FG108" s="291"/>
      <c r="FH108" s="291"/>
      <c r="FI108" s="291"/>
      <c r="FJ108" s="291"/>
      <c r="FK108" s="291"/>
      <c r="FL108" s="291"/>
      <c r="FM108" s="291"/>
      <c r="FN108" s="291"/>
      <c r="FO108" s="291"/>
      <c r="FP108" s="291"/>
      <c r="FQ108" s="291"/>
      <c r="FR108" s="291"/>
      <c r="FS108" s="291"/>
      <c r="FT108" s="291"/>
      <c r="FU108" s="291"/>
      <c r="FV108" s="291"/>
      <c r="FW108" s="291"/>
      <c r="FX108" s="291"/>
      <c r="FY108" s="291"/>
      <c r="FZ108" s="291"/>
      <c r="GA108" s="291"/>
      <c r="GB108" s="291"/>
      <c r="GC108" s="291"/>
      <c r="GD108" s="291"/>
      <c r="GE108" s="291"/>
      <c r="GF108" s="291"/>
      <c r="GG108" s="291"/>
      <c r="GH108" s="291"/>
      <c r="GI108" s="291"/>
      <c r="GJ108" s="291"/>
      <c r="GK108" s="291"/>
      <c r="GL108" s="291"/>
      <c r="GM108" s="291"/>
      <c r="GN108" s="291"/>
      <c r="GO108" s="291"/>
      <c r="GP108" s="291"/>
      <c r="GQ108" s="291"/>
      <c r="GR108" s="291"/>
      <c r="GS108" s="291"/>
      <c r="GT108" s="291"/>
      <c r="GU108" s="291"/>
      <c r="GV108" s="291"/>
      <c r="GW108" s="291"/>
      <c r="GX108" s="291"/>
      <c r="GY108" s="291"/>
      <c r="GZ108" s="291"/>
      <c r="HA108" s="291"/>
      <c r="HB108" s="291"/>
      <c r="HC108" s="291"/>
      <c r="HD108" s="291"/>
      <c r="HE108" s="291"/>
      <c r="HF108" s="291"/>
      <c r="HG108" s="291"/>
      <c r="HH108" s="291"/>
      <c r="HI108" s="291"/>
      <c r="HJ108" s="291"/>
      <c r="HK108" s="291"/>
      <c r="HL108" s="291"/>
      <c r="HM108" s="291"/>
      <c r="HN108" s="291"/>
      <c r="HO108" s="291"/>
      <c r="HP108" s="291"/>
      <c r="HQ108" s="291"/>
      <c r="HR108" s="291"/>
      <c r="HS108" s="291"/>
      <c r="HT108" s="291"/>
      <c r="HU108" s="291"/>
      <c r="HV108" s="291"/>
      <c r="HW108" s="291"/>
      <c r="HX108" s="291"/>
      <c r="HY108" s="291"/>
      <c r="HZ108" s="291"/>
      <c r="IA108" s="291"/>
      <c r="IB108" s="291"/>
      <c r="IC108" s="291"/>
      <c r="ID108" s="291"/>
      <c r="IE108" s="291"/>
      <c r="IF108" s="291"/>
      <c r="IG108" s="291"/>
      <c r="IH108" s="291"/>
      <c r="II108" s="291"/>
      <c r="IJ108" s="291"/>
      <c r="IK108" s="291"/>
      <c r="IL108" s="291"/>
      <c r="IM108" s="291"/>
      <c r="IN108" s="291"/>
      <c r="IO108" s="291"/>
      <c r="IP108" s="291"/>
      <c r="IQ108" s="291"/>
      <c r="IR108" s="291"/>
      <c r="IS108" s="291"/>
      <c r="IT108" s="291"/>
      <c r="IU108" s="291"/>
      <c r="IV108" s="291"/>
      <c r="IW108" s="291"/>
      <c r="IX108" s="291"/>
      <c r="IY108" s="291"/>
      <c r="IZ108" s="291"/>
      <c r="JA108" s="291"/>
      <c r="JB108" s="291"/>
      <c r="JC108" s="291"/>
      <c r="JD108" s="291"/>
      <c r="JE108" s="291"/>
      <c r="JF108" s="291"/>
      <c r="JG108" s="291"/>
      <c r="JH108" s="291"/>
      <c r="JI108" s="291"/>
      <c r="JJ108" s="291"/>
      <c r="JK108" s="291"/>
      <c r="JL108" s="291"/>
      <c r="JM108" s="291"/>
      <c r="JN108" s="291"/>
      <c r="JO108" s="291"/>
      <c r="JP108" s="291"/>
      <c r="JQ108" s="291"/>
      <c r="JR108" s="291"/>
      <c r="JS108" s="291"/>
      <c r="JT108" s="291"/>
      <c r="JU108" s="291"/>
      <c r="JV108" s="291"/>
      <c r="JW108" s="291"/>
      <c r="JX108" s="291"/>
      <c r="JY108" s="291"/>
      <c r="JZ108" s="291"/>
      <c r="KA108" s="291"/>
      <c r="KB108" s="291"/>
      <c r="KC108" s="291"/>
      <c r="KD108" s="291"/>
      <c r="KE108" s="291"/>
      <c r="KF108" s="291"/>
      <c r="KG108" s="291"/>
      <c r="KH108" s="291"/>
      <c r="KI108" s="291"/>
      <c r="KJ108" s="291"/>
      <c r="KK108" s="291"/>
      <c r="KL108" s="291"/>
      <c r="KM108" s="291"/>
      <c r="KN108" s="291"/>
      <c r="KO108" s="291"/>
      <c r="KP108" s="291"/>
      <c r="KQ108" s="291"/>
      <c r="KR108" s="291"/>
      <c r="KS108" s="291"/>
      <c r="KT108" s="291"/>
      <c r="KU108" s="291"/>
      <c r="KV108" s="291"/>
      <c r="KW108" s="291"/>
      <c r="KX108" s="291"/>
      <c r="KY108" s="291"/>
      <c r="KZ108" s="291"/>
      <c r="LA108" s="291"/>
      <c r="LB108" s="291"/>
      <c r="LC108" s="291"/>
      <c r="LD108" s="291"/>
      <c r="LE108" s="291"/>
      <c r="LF108" s="291"/>
      <c r="LG108" s="291"/>
      <c r="LH108" s="291"/>
      <c r="LI108" s="291"/>
      <c r="LJ108" s="291"/>
      <c r="LK108" s="291"/>
      <c r="LL108" s="291"/>
      <c r="LM108" s="291"/>
      <c r="LN108" s="291"/>
      <c r="LO108" s="291"/>
      <c r="LP108" s="291"/>
      <c r="LQ108" s="291"/>
      <c r="LR108" s="291"/>
      <c r="LS108" s="291"/>
      <c r="LT108" s="291"/>
      <c r="LU108" s="291"/>
      <c r="LV108" s="291"/>
      <c r="LW108" s="291"/>
      <c r="LX108" s="291"/>
      <c r="LY108" s="291"/>
      <c r="LZ108" s="291"/>
      <c r="MA108" s="291"/>
      <c r="MB108" s="291"/>
      <c r="MC108" s="291"/>
      <c r="MD108" s="291"/>
      <c r="ME108" s="291"/>
      <c r="MF108" s="291"/>
      <c r="MG108" s="291"/>
      <c r="MH108" s="291"/>
      <c r="MI108" s="291"/>
      <c r="MJ108" s="291"/>
      <c r="MK108" s="291"/>
      <c r="ML108" s="291"/>
      <c r="MM108" s="291"/>
      <c r="MN108" s="291"/>
      <c r="MO108" s="291"/>
      <c r="MP108" s="291"/>
      <c r="MQ108" s="291"/>
      <c r="MR108" s="291"/>
      <c r="MS108" s="291"/>
      <c r="MT108" s="291"/>
      <c r="MU108" s="291"/>
      <c r="MV108" s="291"/>
      <c r="MW108" s="291"/>
      <c r="MX108" s="291"/>
      <c r="MY108" s="291"/>
      <c r="MZ108" s="291"/>
      <c r="NA108" s="291"/>
      <c r="NB108" s="291"/>
      <c r="NC108" s="291"/>
      <c r="ND108" s="291"/>
      <c r="NE108" s="291"/>
      <c r="NF108" s="291"/>
      <c r="NG108" s="291"/>
      <c r="NH108" s="291"/>
      <c r="NI108" s="291"/>
      <c r="NJ108" s="291"/>
      <c r="NK108" s="291"/>
      <c r="NL108" s="291"/>
      <c r="NM108" s="291"/>
      <c r="NN108" s="291"/>
      <c r="NO108" s="291"/>
      <c r="NP108" s="291"/>
      <c r="NQ108" s="291"/>
      <c r="NR108" s="291"/>
      <c r="NS108" s="291"/>
      <c r="NT108" s="291"/>
      <c r="NU108" s="291"/>
      <c r="NV108" s="291"/>
      <c r="NW108" s="291"/>
      <c r="NX108" s="291"/>
      <c r="NY108" s="291"/>
      <c r="NZ108" s="291"/>
      <c r="OA108" s="291"/>
      <c r="OB108" s="291"/>
      <c r="OC108" s="291"/>
      <c r="OD108" s="291"/>
      <c r="OE108" s="291"/>
      <c r="OF108" s="291"/>
      <c r="OG108" s="291"/>
      <c r="OH108" s="291"/>
      <c r="OI108" s="291"/>
      <c r="OJ108" s="291"/>
      <c r="OK108" s="291"/>
      <c r="OL108" s="291"/>
      <c r="OM108" s="291"/>
      <c r="ON108" s="291"/>
      <c r="OO108" s="291"/>
      <c r="OP108" s="291"/>
      <c r="OQ108" s="291"/>
      <c r="OR108" s="291"/>
      <c r="OS108" s="291"/>
      <c r="OT108" s="291"/>
      <c r="OU108" s="291"/>
      <c r="OV108" s="291"/>
      <c r="OW108" s="291"/>
    </row>
    <row r="109" spans="1:413" s="257" customFormat="1" hidden="1" x14ac:dyDescent="0.2">
      <c r="A109" s="291"/>
      <c r="B109" s="524">
        <f t="shared" si="7"/>
        <v>93</v>
      </c>
      <c r="C109" s="510" t="s">
        <v>38</v>
      </c>
      <c r="D109" s="511">
        <v>30130354</v>
      </c>
      <c r="E109" s="511"/>
      <c r="F109" s="512" t="s">
        <v>1244</v>
      </c>
      <c r="G109" s="513" t="s">
        <v>45</v>
      </c>
      <c r="H109" s="514" t="s">
        <v>1094</v>
      </c>
      <c r="I109" s="515" t="s">
        <v>1245</v>
      </c>
      <c r="J109" s="346" t="s">
        <v>43</v>
      </c>
      <c r="K109" s="526">
        <v>782332</v>
      </c>
      <c r="L109" s="527">
        <v>0</v>
      </c>
      <c r="M109" s="528">
        <v>477845</v>
      </c>
      <c r="N109" s="520">
        <v>0</v>
      </c>
      <c r="O109" s="520">
        <v>0</v>
      </c>
      <c r="P109" s="520">
        <v>0</v>
      </c>
      <c r="Q109" s="520">
        <v>0</v>
      </c>
      <c r="R109" s="520">
        <v>0</v>
      </c>
      <c r="S109" s="520">
        <v>0</v>
      </c>
      <c r="T109" s="18"/>
      <c r="U109" s="18"/>
      <c r="V109" s="18"/>
      <c r="W109" s="18"/>
      <c r="X109" s="18"/>
      <c r="Y109" s="18"/>
      <c r="Z109" s="18">
        <f t="shared" si="4"/>
        <v>0</v>
      </c>
      <c r="AA109" s="309">
        <v>304388</v>
      </c>
      <c r="AB109" s="19">
        <v>3</v>
      </c>
      <c r="AC109" s="521">
        <v>44222</v>
      </c>
      <c r="AD109" s="25">
        <v>44225</v>
      </c>
      <c r="AE109" s="309"/>
      <c r="AF109" s="20"/>
      <c r="AG109" s="23"/>
      <c r="AH109" s="25"/>
      <c r="AI109" s="309"/>
      <c r="AJ109" s="19"/>
      <c r="AK109" s="23"/>
      <c r="AL109" s="25"/>
      <c r="AM109" s="309"/>
      <c r="AN109" s="19"/>
      <c r="AO109" s="21"/>
      <c r="AP109" s="25"/>
      <c r="AQ109" s="309"/>
      <c r="AR109" s="19"/>
      <c r="AS109" s="21"/>
      <c r="AT109" s="25"/>
      <c r="AU109" s="522">
        <f t="shared" si="5"/>
        <v>304388</v>
      </c>
      <c r="AV109" s="311">
        <f t="shared" si="6"/>
        <v>304388</v>
      </c>
      <c r="AW109" s="305"/>
      <c r="AX109" s="291"/>
      <c r="AY109" s="291"/>
      <c r="AZ109" s="291"/>
      <c r="BA109" s="291"/>
      <c r="BB109" s="291"/>
      <c r="BC109" s="291"/>
      <c r="BD109" s="291"/>
      <c r="BE109" s="291"/>
      <c r="BF109" s="291"/>
      <c r="BG109" s="291"/>
      <c r="BH109" s="291"/>
      <c r="BI109" s="291"/>
      <c r="BJ109" s="291"/>
      <c r="BK109" s="291"/>
      <c r="BL109" s="291"/>
      <c r="BM109" s="291"/>
      <c r="BN109" s="291"/>
      <c r="BO109" s="291"/>
      <c r="BP109" s="291"/>
      <c r="BQ109" s="291"/>
      <c r="BR109" s="291"/>
      <c r="BS109" s="291"/>
      <c r="BT109" s="291"/>
      <c r="BU109" s="291"/>
      <c r="BV109" s="291"/>
      <c r="BW109" s="291"/>
      <c r="BX109" s="291"/>
      <c r="BY109" s="291"/>
      <c r="BZ109" s="291"/>
      <c r="CA109" s="291"/>
      <c r="CB109" s="291"/>
      <c r="CC109" s="291"/>
      <c r="CD109" s="291"/>
      <c r="CE109" s="291"/>
      <c r="CF109" s="291"/>
      <c r="CG109" s="291"/>
      <c r="CH109" s="291"/>
      <c r="CI109" s="291"/>
      <c r="CJ109" s="291"/>
      <c r="CK109" s="291"/>
      <c r="CL109" s="291"/>
      <c r="CM109" s="291"/>
      <c r="CN109" s="291"/>
      <c r="CO109" s="291"/>
      <c r="CP109" s="291"/>
      <c r="CQ109" s="291"/>
      <c r="CR109" s="291"/>
      <c r="CS109" s="291"/>
      <c r="CT109" s="291"/>
      <c r="CU109" s="291"/>
      <c r="CV109" s="291"/>
      <c r="CW109" s="291"/>
      <c r="CX109" s="291"/>
      <c r="CY109" s="291"/>
      <c r="CZ109" s="291"/>
      <c r="DA109" s="291"/>
      <c r="DB109" s="291"/>
      <c r="DC109" s="291"/>
      <c r="DD109" s="291"/>
      <c r="DE109" s="291"/>
      <c r="DF109" s="291"/>
      <c r="DG109" s="291"/>
      <c r="DH109" s="291"/>
      <c r="DI109" s="291"/>
      <c r="DJ109" s="291"/>
      <c r="DK109" s="291"/>
      <c r="DL109" s="291"/>
      <c r="DM109" s="291"/>
      <c r="DN109" s="291"/>
      <c r="DO109" s="291"/>
      <c r="DP109" s="291"/>
      <c r="DQ109" s="291"/>
      <c r="DR109" s="291"/>
      <c r="DS109" s="291"/>
      <c r="DT109" s="291"/>
      <c r="DU109" s="291"/>
      <c r="DV109" s="291"/>
      <c r="DW109" s="291"/>
      <c r="DX109" s="291"/>
      <c r="DY109" s="291"/>
      <c r="DZ109" s="291"/>
      <c r="EA109" s="291"/>
      <c r="EB109" s="291"/>
      <c r="EC109" s="291"/>
      <c r="ED109" s="291"/>
      <c r="EE109" s="291"/>
      <c r="EF109" s="291"/>
      <c r="EG109" s="291"/>
      <c r="EH109" s="291"/>
      <c r="EI109" s="291"/>
      <c r="EJ109" s="291"/>
      <c r="EK109" s="291"/>
      <c r="EL109" s="291"/>
      <c r="EM109" s="291"/>
      <c r="EN109" s="291"/>
      <c r="EO109" s="291"/>
      <c r="EP109" s="291"/>
      <c r="EQ109" s="291"/>
      <c r="ER109" s="291"/>
      <c r="ES109" s="291"/>
      <c r="ET109" s="291"/>
      <c r="EU109" s="291"/>
      <c r="EV109" s="291"/>
      <c r="EW109" s="291"/>
      <c r="EX109" s="291"/>
      <c r="EY109" s="291"/>
      <c r="EZ109" s="291"/>
      <c r="FA109" s="291"/>
      <c r="FB109" s="291"/>
      <c r="FC109" s="291"/>
      <c r="FD109" s="291"/>
      <c r="FE109" s="291"/>
      <c r="FF109" s="291"/>
      <c r="FG109" s="291"/>
      <c r="FH109" s="291"/>
      <c r="FI109" s="291"/>
      <c r="FJ109" s="291"/>
      <c r="FK109" s="291"/>
      <c r="FL109" s="291"/>
      <c r="FM109" s="291"/>
      <c r="FN109" s="291"/>
      <c r="FO109" s="291"/>
      <c r="FP109" s="291"/>
      <c r="FQ109" s="291"/>
      <c r="FR109" s="291"/>
      <c r="FS109" s="291"/>
      <c r="FT109" s="291"/>
      <c r="FU109" s="291"/>
      <c r="FV109" s="291"/>
      <c r="FW109" s="291"/>
      <c r="FX109" s="291"/>
      <c r="FY109" s="291"/>
      <c r="FZ109" s="291"/>
      <c r="GA109" s="291"/>
      <c r="GB109" s="291"/>
      <c r="GC109" s="291"/>
      <c r="GD109" s="291"/>
      <c r="GE109" s="291"/>
      <c r="GF109" s="291"/>
      <c r="GG109" s="291"/>
      <c r="GH109" s="291"/>
      <c r="GI109" s="291"/>
      <c r="GJ109" s="291"/>
      <c r="GK109" s="291"/>
      <c r="GL109" s="291"/>
      <c r="GM109" s="291"/>
      <c r="GN109" s="291"/>
      <c r="GO109" s="291"/>
      <c r="GP109" s="291"/>
      <c r="GQ109" s="291"/>
      <c r="GR109" s="291"/>
      <c r="GS109" s="291"/>
      <c r="GT109" s="291"/>
      <c r="GU109" s="291"/>
      <c r="GV109" s="291"/>
      <c r="GW109" s="291"/>
      <c r="GX109" s="291"/>
      <c r="GY109" s="291"/>
      <c r="GZ109" s="291"/>
      <c r="HA109" s="291"/>
      <c r="HB109" s="291"/>
      <c r="HC109" s="291"/>
      <c r="HD109" s="291"/>
      <c r="HE109" s="291"/>
      <c r="HF109" s="291"/>
      <c r="HG109" s="291"/>
      <c r="HH109" s="291"/>
      <c r="HI109" s="291"/>
      <c r="HJ109" s="291"/>
      <c r="HK109" s="291"/>
      <c r="HL109" s="291"/>
      <c r="HM109" s="291"/>
      <c r="HN109" s="291"/>
      <c r="HO109" s="291"/>
      <c r="HP109" s="291"/>
      <c r="HQ109" s="291"/>
      <c r="HR109" s="291"/>
      <c r="HS109" s="291"/>
      <c r="HT109" s="291"/>
      <c r="HU109" s="291"/>
      <c r="HV109" s="291"/>
      <c r="HW109" s="291"/>
      <c r="HX109" s="291"/>
      <c r="HY109" s="291"/>
      <c r="HZ109" s="291"/>
      <c r="IA109" s="291"/>
      <c r="IB109" s="291"/>
      <c r="IC109" s="291"/>
      <c r="ID109" s="291"/>
      <c r="IE109" s="291"/>
      <c r="IF109" s="291"/>
      <c r="IG109" s="291"/>
      <c r="IH109" s="291"/>
      <c r="II109" s="291"/>
      <c r="IJ109" s="291"/>
      <c r="IK109" s="291"/>
      <c r="IL109" s="291"/>
      <c r="IM109" s="291"/>
      <c r="IN109" s="291"/>
      <c r="IO109" s="291"/>
      <c r="IP109" s="291"/>
      <c r="IQ109" s="291"/>
      <c r="IR109" s="291"/>
      <c r="IS109" s="291"/>
      <c r="IT109" s="291"/>
      <c r="IU109" s="291"/>
      <c r="IV109" s="291"/>
      <c r="IW109" s="291"/>
      <c r="IX109" s="291"/>
      <c r="IY109" s="291"/>
      <c r="IZ109" s="291"/>
      <c r="JA109" s="291"/>
      <c r="JB109" s="291"/>
      <c r="JC109" s="291"/>
      <c r="JD109" s="291"/>
      <c r="JE109" s="291"/>
      <c r="JF109" s="291"/>
      <c r="JG109" s="291"/>
      <c r="JH109" s="291"/>
      <c r="JI109" s="291"/>
      <c r="JJ109" s="291"/>
      <c r="JK109" s="291"/>
      <c r="JL109" s="291"/>
      <c r="JM109" s="291"/>
      <c r="JN109" s="291"/>
      <c r="JO109" s="291"/>
      <c r="JP109" s="291"/>
      <c r="JQ109" s="291"/>
      <c r="JR109" s="291"/>
      <c r="JS109" s="291"/>
      <c r="JT109" s="291"/>
      <c r="JU109" s="291"/>
      <c r="JV109" s="291"/>
      <c r="JW109" s="291"/>
      <c r="JX109" s="291"/>
      <c r="JY109" s="291"/>
      <c r="JZ109" s="291"/>
      <c r="KA109" s="291"/>
      <c r="KB109" s="291"/>
      <c r="KC109" s="291"/>
      <c r="KD109" s="291"/>
      <c r="KE109" s="291"/>
      <c r="KF109" s="291"/>
      <c r="KG109" s="291"/>
      <c r="KH109" s="291"/>
      <c r="KI109" s="291"/>
      <c r="KJ109" s="291"/>
      <c r="KK109" s="291"/>
      <c r="KL109" s="291"/>
      <c r="KM109" s="291"/>
      <c r="KN109" s="291"/>
      <c r="KO109" s="291"/>
      <c r="KP109" s="291"/>
      <c r="KQ109" s="291"/>
      <c r="KR109" s="291"/>
      <c r="KS109" s="291"/>
      <c r="KT109" s="291"/>
      <c r="KU109" s="291"/>
      <c r="KV109" s="291"/>
      <c r="KW109" s="291"/>
      <c r="KX109" s="291"/>
      <c r="KY109" s="291"/>
      <c r="KZ109" s="291"/>
      <c r="LA109" s="291"/>
      <c r="LB109" s="291"/>
      <c r="LC109" s="291"/>
      <c r="LD109" s="291"/>
      <c r="LE109" s="291"/>
      <c r="LF109" s="291"/>
      <c r="LG109" s="291"/>
      <c r="LH109" s="291"/>
      <c r="LI109" s="291"/>
      <c r="LJ109" s="291"/>
      <c r="LK109" s="291"/>
      <c r="LL109" s="291"/>
      <c r="LM109" s="291"/>
      <c r="LN109" s="291"/>
      <c r="LO109" s="291"/>
      <c r="LP109" s="291"/>
      <c r="LQ109" s="291"/>
      <c r="LR109" s="291"/>
      <c r="LS109" s="291"/>
      <c r="LT109" s="291"/>
      <c r="LU109" s="291"/>
      <c r="LV109" s="291"/>
      <c r="LW109" s="291"/>
      <c r="LX109" s="291"/>
      <c r="LY109" s="291"/>
      <c r="LZ109" s="291"/>
      <c r="MA109" s="291"/>
      <c r="MB109" s="291"/>
      <c r="MC109" s="291"/>
      <c r="MD109" s="291"/>
      <c r="ME109" s="291"/>
      <c r="MF109" s="291"/>
      <c r="MG109" s="291"/>
      <c r="MH109" s="291"/>
      <c r="MI109" s="291"/>
      <c r="MJ109" s="291"/>
      <c r="MK109" s="291"/>
      <c r="ML109" s="291"/>
      <c r="MM109" s="291"/>
      <c r="MN109" s="291"/>
      <c r="MO109" s="291"/>
      <c r="MP109" s="291"/>
      <c r="MQ109" s="291"/>
      <c r="MR109" s="291"/>
      <c r="MS109" s="291"/>
      <c r="MT109" s="291"/>
      <c r="MU109" s="291"/>
      <c r="MV109" s="291"/>
      <c r="MW109" s="291"/>
      <c r="MX109" s="291"/>
      <c r="MY109" s="291"/>
      <c r="MZ109" s="291"/>
      <c r="NA109" s="291"/>
      <c r="NB109" s="291"/>
      <c r="NC109" s="291"/>
      <c r="ND109" s="291"/>
      <c r="NE109" s="291"/>
      <c r="NF109" s="291"/>
      <c r="NG109" s="291"/>
      <c r="NH109" s="291"/>
      <c r="NI109" s="291"/>
      <c r="NJ109" s="291"/>
      <c r="NK109" s="291"/>
      <c r="NL109" s="291"/>
      <c r="NM109" s="291"/>
      <c r="NN109" s="291"/>
      <c r="NO109" s="291"/>
      <c r="NP109" s="291"/>
      <c r="NQ109" s="291"/>
      <c r="NR109" s="291"/>
      <c r="NS109" s="291"/>
      <c r="NT109" s="291"/>
      <c r="NU109" s="291"/>
      <c r="NV109" s="291"/>
      <c r="NW109" s="291"/>
      <c r="NX109" s="291"/>
      <c r="NY109" s="291"/>
      <c r="NZ109" s="291"/>
      <c r="OA109" s="291"/>
      <c r="OB109" s="291"/>
      <c r="OC109" s="291"/>
      <c r="OD109" s="291"/>
      <c r="OE109" s="291"/>
      <c r="OF109" s="291"/>
      <c r="OG109" s="291"/>
      <c r="OH109" s="291"/>
      <c r="OI109" s="291"/>
      <c r="OJ109" s="291"/>
      <c r="OK109" s="291"/>
      <c r="OL109" s="291"/>
      <c r="OM109" s="291"/>
      <c r="ON109" s="291"/>
      <c r="OO109" s="291"/>
      <c r="OP109" s="291"/>
      <c r="OQ109" s="291"/>
      <c r="OR109" s="291"/>
      <c r="OS109" s="291"/>
      <c r="OT109" s="291"/>
      <c r="OU109" s="291"/>
      <c r="OV109" s="291"/>
      <c r="OW109" s="291"/>
    </row>
    <row r="110" spans="1:413" s="257" customFormat="1" hidden="1" x14ac:dyDescent="0.2">
      <c r="A110" s="291"/>
      <c r="B110" s="524">
        <f t="shared" si="7"/>
        <v>94</v>
      </c>
      <c r="C110" s="510" t="s">
        <v>38</v>
      </c>
      <c r="D110" s="511">
        <v>30130586</v>
      </c>
      <c r="E110" s="511"/>
      <c r="F110" s="512" t="s">
        <v>1246</v>
      </c>
      <c r="G110" s="513" t="s">
        <v>46</v>
      </c>
      <c r="H110" s="514" t="s">
        <v>1094</v>
      </c>
      <c r="I110" s="515" t="s">
        <v>1146</v>
      </c>
      <c r="J110" s="346" t="s">
        <v>43</v>
      </c>
      <c r="K110" s="526">
        <v>55617</v>
      </c>
      <c r="L110" s="527">
        <v>0</v>
      </c>
      <c r="M110" s="528">
        <v>1</v>
      </c>
      <c r="N110" s="520">
        <v>0</v>
      </c>
      <c r="O110" s="520">
        <v>0</v>
      </c>
      <c r="P110" s="520">
        <v>12381</v>
      </c>
      <c r="Q110" s="520">
        <v>0</v>
      </c>
      <c r="R110" s="520">
        <v>0</v>
      </c>
      <c r="S110" s="520">
        <v>14858</v>
      </c>
      <c r="T110" s="18"/>
      <c r="U110" s="18"/>
      <c r="V110" s="18"/>
      <c r="W110" s="18"/>
      <c r="X110" s="18"/>
      <c r="Y110" s="18"/>
      <c r="Z110" s="18">
        <f t="shared" si="4"/>
        <v>27239</v>
      </c>
      <c r="AA110" s="309">
        <v>49526</v>
      </c>
      <c r="AB110" s="19">
        <v>5</v>
      </c>
      <c r="AC110" s="521">
        <v>44224</v>
      </c>
      <c r="AD110" s="25">
        <v>44251</v>
      </c>
      <c r="AE110" s="309"/>
      <c r="AF110" s="20"/>
      <c r="AG110" s="23"/>
      <c r="AH110" s="25"/>
      <c r="AI110" s="309"/>
      <c r="AJ110" s="19"/>
      <c r="AK110" s="23"/>
      <c r="AL110" s="25"/>
      <c r="AM110" s="309"/>
      <c r="AN110" s="19"/>
      <c r="AO110" s="21"/>
      <c r="AP110" s="25"/>
      <c r="AQ110" s="309"/>
      <c r="AR110" s="19"/>
      <c r="AS110" s="21"/>
      <c r="AT110" s="25"/>
      <c r="AU110" s="522">
        <f t="shared" si="5"/>
        <v>49526</v>
      </c>
      <c r="AV110" s="311">
        <f t="shared" si="6"/>
        <v>22287</v>
      </c>
      <c r="AW110" s="305"/>
      <c r="AX110" s="291"/>
      <c r="AY110" s="291"/>
      <c r="AZ110" s="291"/>
      <c r="BA110" s="291"/>
      <c r="BB110" s="291"/>
      <c r="BC110" s="291"/>
      <c r="BD110" s="291"/>
      <c r="BE110" s="291"/>
      <c r="BF110" s="291"/>
      <c r="BG110" s="291"/>
      <c r="BH110" s="291"/>
      <c r="BI110" s="291"/>
      <c r="BJ110" s="291"/>
      <c r="BK110" s="291"/>
      <c r="BL110" s="291"/>
      <c r="BM110" s="291"/>
      <c r="BN110" s="291"/>
      <c r="BO110" s="291"/>
      <c r="BP110" s="291"/>
      <c r="BQ110" s="291"/>
      <c r="BR110" s="291"/>
      <c r="BS110" s="291"/>
      <c r="BT110" s="291"/>
      <c r="BU110" s="291"/>
      <c r="BV110" s="291"/>
      <c r="BW110" s="291"/>
      <c r="BX110" s="291"/>
      <c r="BY110" s="291"/>
      <c r="BZ110" s="291"/>
      <c r="CA110" s="291"/>
      <c r="CB110" s="291"/>
      <c r="CC110" s="291"/>
      <c r="CD110" s="291"/>
      <c r="CE110" s="291"/>
      <c r="CF110" s="291"/>
      <c r="CG110" s="291"/>
      <c r="CH110" s="291"/>
      <c r="CI110" s="291"/>
      <c r="CJ110" s="291"/>
      <c r="CK110" s="291"/>
      <c r="CL110" s="291"/>
      <c r="CM110" s="291"/>
      <c r="CN110" s="291"/>
      <c r="CO110" s="291"/>
      <c r="CP110" s="291"/>
      <c r="CQ110" s="291"/>
      <c r="CR110" s="291"/>
      <c r="CS110" s="291"/>
      <c r="CT110" s="291"/>
      <c r="CU110" s="291"/>
      <c r="CV110" s="291"/>
      <c r="CW110" s="291"/>
      <c r="CX110" s="291"/>
      <c r="CY110" s="291"/>
      <c r="CZ110" s="291"/>
      <c r="DA110" s="291"/>
      <c r="DB110" s="291"/>
      <c r="DC110" s="291"/>
      <c r="DD110" s="291"/>
      <c r="DE110" s="291"/>
      <c r="DF110" s="291"/>
      <c r="DG110" s="291"/>
      <c r="DH110" s="291"/>
      <c r="DI110" s="291"/>
      <c r="DJ110" s="291"/>
      <c r="DK110" s="291"/>
      <c r="DL110" s="291"/>
      <c r="DM110" s="291"/>
      <c r="DN110" s="291"/>
      <c r="DO110" s="291"/>
      <c r="DP110" s="291"/>
      <c r="DQ110" s="291"/>
      <c r="DR110" s="291"/>
      <c r="DS110" s="291"/>
      <c r="DT110" s="291"/>
      <c r="DU110" s="291"/>
      <c r="DV110" s="291"/>
      <c r="DW110" s="291"/>
      <c r="DX110" s="291"/>
      <c r="DY110" s="291"/>
      <c r="DZ110" s="291"/>
      <c r="EA110" s="291"/>
      <c r="EB110" s="291"/>
      <c r="EC110" s="291"/>
      <c r="ED110" s="291"/>
      <c r="EE110" s="291"/>
      <c r="EF110" s="291"/>
      <c r="EG110" s="291"/>
      <c r="EH110" s="291"/>
      <c r="EI110" s="291"/>
      <c r="EJ110" s="291"/>
      <c r="EK110" s="291"/>
      <c r="EL110" s="291"/>
      <c r="EM110" s="291"/>
      <c r="EN110" s="291"/>
      <c r="EO110" s="291"/>
      <c r="EP110" s="291"/>
      <c r="EQ110" s="291"/>
      <c r="ER110" s="291"/>
      <c r="ES110" s="291"/>
      <c r="ET110" s="291"/>
      <c r="EU110" s="291"/>
      <c r="EV110" s="291"/>
      <c r="EW110" s="291"/>
      <c r="EX110" s="291"/>
      <c r="EY110" s="291"/>
      <c r="EZ110" s="291"/>
      <c r="FA110" s="291"/>
      <c r="FB110" s="291"/>
      <c r="FC110" s="291"/>
      <c r="FD110" s="291"/>
      <c r="FE110" s="291"/>
      <c r="FF110" s="291"/>
      <c r="FG110" s="291"/>
      <c r="FH110" s="291"/>
      <c r="FI110" s="291"/>
      <c r="FJ110" s="291"/>
      <c r="FK110" s="291"/>
      <c r="FL110" s="291"/>
      <c r="FM110" s="291"/>
      <c r="FN110" s="291"/>
      <c r="FO110" s="291"/>
      <c r="FP110" s="291"/>
      <c r="FQ110" s="291"/>
      <c r="FR110" s="291"/>
      <c r="FS110" s="291"/>
      <c r="FT110" s="291"/>
      <c r="FU110" s="291"/>
      <c r="FV110" s="291"/>
      <c r="FW110" s="291"/>
      <c r="FX110" s="291"/>
      <c r="FY110" s="291"/>
      <c r="FZ110" s="291"/>
      <c r="GA110" s="291"/>
      <c r="GB110" s="291"/>
      <c r="GC110" s="291"/>
      <c r="GD110" s="291"/>
      <c r="GE110" s="291"/>
      <c r="GF110" s="291"/>
      <c r="GG110" s="291"/>
      <c r="GH110" s="291"/>
      <c r="GI110" s="291"/>
      <c r="GJ110" s="291"/>
      <c r="GK110" s="291"/>
      <c r="GL110" s="291"/>
      <c r="GM110" s="291"/>
      <c r="GN110" s="291"/>
      <c r="GO110" s="291"/>
      <c r="GP110" s="291"/>
      <c r="GQ110" s="291"/>
      <c r="GR110" s="291"/>
      <c r="GS110" s="291"/>
      <c r="GT110" s="291"/>
      <c r="GU110" s="291"/>
      <c r="GV110" s="291"/>
      <c r="GW110" s="291"/>
      <c r="GX110" s="291"/>
      <c r="GY110" s="291"/>
      <c r="GZ110" s="291"/>
      <c r="HA110" s="291"/>
      <c r="HB110" s="291"/>
      <c r="HC110" s="291"/>
      <c r="HD110" s="291"/>
      <c r="HE110" s="291"/>
      <c r="HF110" s="291"/>
      <c r="HG110" s="291"/>
      <c r="HH110" s="291"/>
      <c r="HI110" s="291"/>
      <c r="HJ110" s="291"/>
      <c r="HK110" s="291"/>
      <c r="HL110" s="291"/>
      <c r="HM110" s="291"/>
      <c r="HN110" s="291"/>
      <c r="HO110" s="291"/>
      <c r="HP110" s="291"/>
      <c r="HQ110" s="291"/>
      <c r="HR110" s="291"/>
      <c r="HS110" s="291"/>
      <c r="HT110" s="291"/>
      <c r="HU110" s="291"/>
      <c r="HV110" s="291"/>
      <c r="HW110" s="291"/>
      <c r="HX110" s="291"/>
      <c r="HY110" s="291"/>
      <c r="HZ110" s="291"/>
      <c r="IA110" s="291"/>
      <c r="IB110" s="291"/>
      <c r="IC110" s="291"/>
      <c r="ID110" s="291"/>
      <c r="IE110" s="291"/>
      <c r="IF110" s="291"/>
      <c r="IG110" s="291"/>
      <c r="IH110" s="291"/>
      <c r="II110" s="291"/>
      <c r="IJ110" s="291"/>
      <c r="IK110" s="291"/>
      <c r="IL110" s="291"/>
      <c r="IM110" s="291"/>
      <c r="IN110" s="291"/>
      <c r="IO110" s="291"/>
      <c r="IP110" s="291"/>
      <c r="IQ110" s="291"/>
      <c r="IR110" s="291"/>
      <c r="IS110" s="291"/>
      <c r="IT110" s="291"/>
      <c r="IU110" s="291"/>
      <c r="IV110" s="291"/>
      <c r="IW110" s="291"/>
      <c r="IX110" s="291"/>
      <c r="IY110" s="291"/>
      <c r="IZ110" s="291"/>
      <c r="JA110" s="291"/>
      <c r="JB110" s="291"/>
      <c r="JC110" s="291"/>
      <c r="JD110" s="291"/>
      <c r="JE110" s="291"/>
      <c r="JF110" s="291"/>
      <c r="JG110" s="291"/>
      <c r="JH110" s="291"/>
      <c r="JI110" s="291"/>
      <c r="JJ110" s="291"/>
      <c r="JK110" s="291"/>
      <c r="JL110" s="291"/>
      <c r="JM110" s="291"/>
      <c r="JN110" s="291"/>
      <c r="JO110" s="291"/>
      <c r="JP110" s="291"/>
      <c r="JQ110" s="291"/>
      <c r="JR110" s="291"/>
      <c r="JS110" s="291"/>
      <c r="JT110" s="291"/>
      <c r="JU110" s="291"/>
      <c r="JV110" s="291"/>
      <c r="JW110" s="291"/>
      <c r="JX110" s="291"/>
      <c r="JY110" s="291"/>
      <c r="JZ110" s="291"/>
      <c r="KA110" s="291"/>
      <c r="KB110" s="291"/>
      <c r="KC110" s="291"/>
      <c r="KD110" s="291"/>
      <c r="KE110" s="291"/>
      <c r="KF110" s="291"/>
      <c r="KG110" s="291"/>
      <c r="KH110" s="291"/>
      <c r="KI110" s="291"/>
      <c r="KJ110" s="291"/>
      <c r="KK110" s="291"/>
      <c r="KL110" s="291"/>
      <c r="KM110" s="291"/>
      <c r="KN110" s="291"/>
      <c r="KO110" s="291"/>
      <c r="KP110" s="291"/>
      <c r="KQ110" s="291"/>
      <c r="KR110" s="291"/>
      <c r="KS110" s="291"/>
      <c r="KT110" s="291"/>
      <c r="KU110" s="291"/>
      <c r="KV110" s="291"/>
      <c r="KW110" s="291"/>
      <c r="KX110" s="291"/>
      <c r="KY110" s="291"/>
      <c r="KZ110" s="291"/>
      <c r="LA110" s="291"/>
      <c r="LB110" s="291"/>
      <c r="LC110" s="291"/>
      <c r="LD110" s="291"/>
      <c r="LE110" s="291"/>
      <c r="LF110" s="291"/>
      <c r="LG110" s="291"/>
      <c r="LH110" s="291"/>
      <c r="LI110" s="291"/>
      <c r="LJ110" s="291"/>
      <c r="LK110" s="291"/>
      <c r="LL110" s="291"/>
      <c r="LM110" s="291"/>
      <c r="LN110" s="291"/>
      <c r="LO110" s="291"/>
      <c r="LP110" s="291"/>
      <c r="LQ110" s="291"/>
      <c r="LR110" s="291"/>
      <c r="LS110" s="291"/>
      <c r="LT110" s="291"/>
      <c r="LU110" s="291"/>
      <c r="LV110" s="291"/>
      <c r="LW110" s="291"/>
      <c r="LX110" s="291"/>
      <c r="LY110" s="291"/>
      <c r="LZ110" s="291"/>
      <c r="MA110" s="291"/>
      <c r="MB110" s="291"/>
      <c r="MC110" s="291"/>
      <c r="MD110" s="291"/>
      <c r="ME110" s="291"/>
      <c r="MF110" s="291"/>
      <c r="MG110" s="291"/>
      <c r="MH110" s="291"/>
      <c r="MI110" s="291"/>
      <c r="MJ110" s="291"/>
      <c r="MK110" s="291"/>
      <c r="ML110" s="291"/>
      <c r="MM110" s="291"/>
      <c r="MN110" s="291"/>
      <c r="MO110" s="291"/>
      <c r="MP110" s="291"/>
      <c r="MQ110" s="291"/>
      <c r="MR110" s="291"/>
      <c r="MS110" s="291"/>
      <c r="MT110" s="291"/>
      <c r="MU110" s="291"/>
      <c r="MV110" s="291"/>
      <c r="MW110" s="291"/>
      <c r="MX110" s="291"/>
      <c r="MY110" s="291"/>
      <c r="MZ110" s="291"/>
      <c r="NA110" s="291"/>
      <c r="NB110" s="291"/>
      <c r="NC110" s="291"/>
      <c r="ND110" s="291"/>
      <c r="NE110" s="291"/>
      <c r="NF110" s="291"/>
      <c r="NG110" s="291"/>
      <c r="NH110" s="291"/>
      <c r="NI110" s="291"/>
      <c r="NJ110" s="291"/>
      <c r="NK110" s="291"/>
      <c r="NL110" s="291"/>
      <c r="NM110" s="291"/>
      <c r="NN110" s="291"/>
      <c r="NO110" s="291"/>
      <c r="NP110" s="291"/>
      <c r="NQ110" s="291"/>
      <c r="NR110" s="291"/>
      <c r="NS110" s="291"/>
      <c r="NT110" s="291"/>
      <c r="NU110" s="291"/>
      <c r="NV110" s="291"/>
      <c r="NW110" s="291"/>
      <c r="NX110" s="291"/>
      <c r="NY110" s="291"/>
      <c r="NZ110" s="291"/>
      <c r="OA110" s="291"/>
      <c r="OB110" s="291"/>
      <c r="OC110" s="291"/>
      <c r="OD110" s="291"/>
      <c r="OE110" s="291"/>
      <c r="OF110" s="291"/>
      <c r="OG110" s="291"/>
      <c r="OH110" s="291"/>
      <c r="OI110" s="291"/>
      <c r="OJ110" s="291"/>
      <c r="OK110" s="291"/>
      <c r="OL110" s="291"/>
      <c r="OM110" s="291"/>
      <c r="ON110" s="291"/>
      <c r="OO110" s="291"/>
      <c r="OP110" s="291"/>
      <c r="OQ110" s="291"/>
      <c r="OR110" s="291"/>
      <c r="OS110" s="291"/>
      <c r="OT110" s="291"/>
      <c r="OU110" s="291"/>
      <c r="OV110" s="291"/>
      <c r="OW110" s="291"/>
    </row>
    <row r="111" spans="1:413" s="257" customFormat="1" hidden="1" x14ac:dyDescent="0.2">
      <c r="A111" s="291"/>
      <c r="B111" s="524">
        <f t="shared" si="7"/>
        <v>95</v>
      </c>
      <c r="C111" s="510" t="s">
        <v>38</v>
      </c>
      <c r="D111" s="511">
        <v>30131751</v>
      </c>
      <c r="E111" s="511"/>
      <c r="F111" s="512" t="s">
        <v>1247</v>
      </c>
      <c r="G111" s="513" t="s">
        <v>45</v>
      </c>
      <c r="H111" s="514" t="s">
        <v>1094</v>
      </c>
      <c r="I111" s="515" t="s">
        <v>1248</v>
      </c>
      <c r="J111" s="346" t="s">
        <v>42</v>
      </c>
      <c r="K111" s="526">
        <v>1486856</v>
      </c>
      <c r="L111" s="527">
        <v>1415290</v>
      </c>
      <c r="M111" s="528">
        <v>0</v>
      </c>
      <c r="N111" s="520">
        <v>0</v>
      </c>
      <c r="O111" s="520">
        <v>0</v>
      </c>
      <c r="P111" s="520">
        <v>0</v>
      </c>
      <c r="Q111" s="520">
        <v>0</v>
      </c>
      <c r="R111" s="520">
        <v>0</v>
      </c>
      <c r="S111" s="520">
        <v>0</v>
      </c>
      <c r="T111" s="18"/>
      <c r="U111" s="18"/>
      <c r="V111" s="18"/>
      <c r="W111" s="18"/>
      <c r="X111" s="18"/>
      <c r="Y111" s="18"/>
      <c r="Z111" s="18">
        <f t="shared" si="4"/>
        <v>0</v>
      </c>
      <c r="AA111" s="309">
        <v>71566</v>
      </c>
      <c r="AB111" s="19">
        <v>5</v>
      </c>
      <c r="AC111" s="521">
        <v>44224</v>
      </c>
      <c r="AD111" s="25">
        <v>44251</v>
      </c>
      <c r="AE111" s="309"/>
      <c r="AF111" s="20"/>
      <c r="AG111" s="23"/>
      <c r="AH111" s="25"/>
      <c r="AI111" s="309"/>
      <c r="AJ111" s="19"/>
      <c r="AK111" s="23"/>
      <c r="AL111" s="25"/>
      <c r="AM111" s="309"/>
      <c r="AN111" s="19"/>
      <c r="AO111" s="21"/>
      <c r="AP111" s="25"/>
      <c r="AQ111" s="309"/>
      <c r="AR111" s="19"/>
      <c r="AS111" s="21"/>
      <c r="AT111" s="25"/>
      <c r="AU111" s="522">
        <f t="shared" si="5"/>
        <v>71566</v>
      </c>
      <c r="AV111" s="311">
        <f t="shared" si="6"/>
        <v>71566</v>
      </c>
      <c r="AW111" s="305"/>
      <c r="AX111" s="291"/>
      <c r="AY111" s="291"/>
      <c r="AZ111" s="291"/>
      <c r="BA111" s="291"/>
      <c r="BB111" s="291"/>
      <c r="BC111" s="291"/>
      <c r="BD111" s="291"/>
      <c r="BE111" s="291"/>
      <c r="BF111" s="291"/>
      <c r="BG111" s="291"/>
      <c r="BH111" s="291"/>
      <c r="BI111" s="291"/>
      <c r="BJ111" s="291"/>
      <c r="BK111" s="291"/>
      <c r="BL111" s="291"/>
      <c r="BM111" s="291"/>
      <c r="BN111" s="291"/>
      <c r="BO111" s="291"/>
      <c r="BP111" s="291"/>
      <c r="BQ111" s="291"/>
      <c r="BR111" s="291"/>
      <c r="BS111" s="291"/>
      <c r="BT111" s="291"/>
      <c r="BU111" s="291"/>
      <c r="BV111" s="291"/>
      <c r="BW111" s="291"/>
      <c r="BX111" s="291"/>
      <c r="BY111" s="291"/>
      <c r="BZ111" s="291"/>
      <c r="CA111" s="291"/>
      <c r="CB111" s="291"/>
      <c r="CC111" s="291"/>
      <c r="CD111" s="291"/>
      <c r="CE111" s="291"/>
      <c r="CF111" s="291"/>
      <c r="CG111" s="291"/>
      <c r="CH111" s="291"/>
      <c r="CI111" s="291"/>
      <c r="CJ111" s="291"/>
      <c r="CK111" s="291"/>
      <c r="CL111" s="291"/>
      <c r="CM111" s="291"/>
      <c r="CN111" s="291"/>
      <c r="CO111" s="291"/>
      <c r="CP111" s="291"/>
      <c r="CQ111" s="291"/>
      <c r="CR111" s="291"/>
      <c r="CS111" s="291"/>
      <c r="CT111" s="291"/>
      <c r="CU111" s="291"/>
      <c r="CV111" s="291"/>
      <c r="CW111" s="291"/>
      <c r="CX111" s="291"/>
      <c r="CY111" s="291"/>
      <c r="CZ111" s="291"/>
      <c r="DA111" s="291"/>
      <c r="DB111" s="291"/>
      <c r="DC111" s="291"/>
      <c r="DD111" s="291"/>
      <c r="DE111" s="291"/>
      <c r="DF111" s="291"/>
      <c r="DG111" s="291"/>
      <c r="DH111" s="291"/>
      <c r="DI111" s="291"/>
      <c r="DJ111" s="291"/>
      <c r="DK111" s="291"/>
      <c r="DL111" s="291"/>
      <c r="DM111" s="291"/>
      <c r="DN111" s="291"/>
      <c r="DO111" s="291"/>
      <c r="DP111" s="291"/>
      <c r="DQ111" s="291"/>
      <c r="DR111" s="291"/>
      <c r="DS111" s="291"/>
      <c r="DT111" s="291"/>
      <c r="DU111" s="291"/>
      <c r="DV111" s="291"/>
      <c r="DW111" s="291"/>
      <c r="DX111" s="291"/>
      <c r="DY111" s="291"/>
      <c r="DZ111" s="291"/>
      <c r="EA111" s="291"/>
      <c r="EB111" s="291"/>
      <c r="EC111" s="291"/>
      <c r="ED111" s="291"/>
      <c r="EE111" s="291"/>
      <c r="EF111" s="291"/>
      <c r="EG111" s="291"/>
      <c r="EH111" s="291"/>
      <c r="EI111" s="291"/>
      <c r="EJ111" s="291"/>
      <c r="EK111" s="291"/>
      <c r="EL111" s="291"/>
      <c r="EM111" s="291"/>
      <c r="EN111" s="291"/>
      <c r="EO111" s="291"/>
      <c r="EP111" s="291"/>
      <c r="EQ111" s="291"/>
      <c r="ER111" s="291"/>
      <c r="ES111" s="291"/>
      <c r="ET111" s="291"/>
      <c r="EU111" s="291"/>
      <c r="EV111" s="291"/>
      <c r="EW111" s="291"/>
      <c r="EX111" s="291"/>
      <c r="EY111" s="291"/>
      <c r="EZ111" s="291"/>
      <c r="FA111" s="291"/>
      <c r="FB111" s="291"/>
      <c r="FC111" s="291"/>
      <c r="FD111" s="291"/>
      <c r="FE111" s="291"/>
      <c r="FF111" s="291"/>
      <c r="FG111" s="291"/>
      <c r="FH111" s="291"/>
      <c r="FI111" s="291"/>
      <c r="FJ111" s="291"/>
      <c r="FK111" s="291"/>
      <c r="FL111" s="291"/>
      <c r="FM111" s="291"/>
      <c r="FN111" s="291"/>
      <c r="FO111" s="291"/>
      <c r="FP111" s="291"/>
      <c r="FQ111" s="291"/>
      <c r="FR111" s="291"/>
      <c r="FS111" s="291"/>
      <c r="FT111" s="291"/>
      <c r="FU111" s="291"/>
      <c r="FV111" s="291"/>
      <c r="FW111" s="291"/>
      <c r="FX111" s="291"/>
      <c r="FY111" s="291"/>
      <c r="FZ111" s="291"/>
      <c r="GA111" s="291"/>
      <c r="GB111" s="291"/>
      <c r="GC111" s="291"/>
      <c r="GD111" s="291"/>
      <c r="GE111" s="291"/>
      <c r="GF111" s="291"/>
      <c r="GG111" s="291"/>
      <c r="GH111" s="291"/>
      <c r="GI111" s="291"/>
      <c r="GJ111" s="291"/>
      <c r="GK111" s="291"/>
      <c r="GL111" s="291"/>
      <c r="GM111" s="291"/>
      <c r="GN111" s="291"/>
      <c r="GO111" s="291"/>
      <c r="GP111" s="291"/>
      <c r="GQ111" s="291"/>
      <c r="GR111" s="291"/>
      <c r="GS111" s="291"/>
      <c r="GT111" s="291"/>
      <c r="GU111" s="291"/>
      <c r="GV111" s="291"/>
      <c r="GW111" s="291"/>
      <c r="GX111" s="291"/>
      <c r="GY111" s="291"/>
      <c r="GZ111" s="291"/>
      <c r="HA111" s="291"/>
      <c r="HB111" s="291"/>
      <c r="HC111" s="291"/>
      <c r="HD111" s="291"/>
      <c r="HE111" s="291"/>
      <c r="HF111" s="291"/>
      <c r="HG111" s="291"/>
      <c r="HH111" s="291"/>
      <c r="HI111" s="291"/>
      <c r="HJ111" s="291"/>
      <c r="HK111" s="291"/>
      <c r="HL111" s="291"/>
      <c r="HM111" s="291"/>
      <c r="HN111" s="291"/>
      <c r="HO111" s="291"/>
      <c r="HP111" s="291"/>
      <c r="HQ111" s="291"/>
      <c r="HR111" s="291"/>
      <c r="HS111" s="291"/>
      <c r="HT111" s="291"/>
      <c r="HU111" s="291"/>
      <c r="HV111" s="291"/>
      <c r="HW111" s="291"/>
      <c r="HX111" s="291"/>
      <c r="HY111" s="291"/>
      <c r="HZ111" s="291"/>
      <c r="IA111" s="291"/>
      <c r="IB111" s="291"/>
      <c r="IC111" s="291"/>
      <c r="ID111" s="291"/>
      <c r="IE111" s="291"/>
      <c r="IF111" s="291"/>
      <c r="IG111" s="291"/>
      <c r="IH111" s="291"/>
      <c r="II111" s="291"/>
      <c r="IJ111" s="291"/>
      <c r="IK111" s="291"/>
      <c r="IL111" s="291"/>
      <c r="IM111" s="291"/>
      <c r="IN111" s="291"/>
      <c r="IO111" s="291"/>
      <c r="IP111" s="291"/>
      <c r="IQ111" s="291"/>
      <c r="IR111" s="291"/>
      <c r="IS111" s="291"/>
      <c r="IT111" s="291"/>
      <c r="IU111" s="291"/>
      <c r="IV111" s="291"/>
      <c r="IW111" s="291"/>
      <c r="IX111" s="291"/>
      <c r="IY111" s="291"/>
      <c r="IZ111" s="291"/>
      <c r="JA111" s="291"/>
      <c r="JB111" s="291"/>
      <c r="JC111" s="291"/>
      <c r="JD111" s="291"/>
      <c r="JE111" s="291"/>
      <c r="JF111" s="291"/>
      <c r="JG111" s="291"/>
      <c r="JH111" s="291"/>
      <c r="JI111" s="291"/>
      <c r="JJ111" s="291"/>
      <c r="JK111" s="291"/>
      <c r="JL111" s="291"/>
      <c r="JM111" s="291"/>
      <c r="JN111" s="291"/>
      <c r="JO111" s="291"/>
      <c r="JP111" s="291"/>
      <c r="JQ111" s="291"/>
      <c r="JR111" s="291"/>
      <c r="JS111" s="291"/>
      <c r="JT111" s="291"/>
      <c r="JU111" s="291"/>
      <c r="JV111" s="291"/>
      <c r="JW111" s="291"/>
      <c r="JX111" s="291"/>
      <c r="JY111" s="291"/>
      <c r="JZ111" s="291"/>
      <c r="KA111" s="291"/>
      <c r="KB111" s="291"/>
      <c r="KC111" s="291"/>
      <c r="KD111" s="291"/>
      <c r="KE111" s="291"/>
      <c r="KF111" s="291"/>
      <c r="KG111" s="291"/>
      <c r="KH111" s="291"/>
      <c r="KI111" s="291"/>
      <c r="KJ111" s="291"/>
      <c r="KK111" s="291"/>
      <c r="KL111" s="291"/>
      <c r="KM111" s="291"/>
      <c r="KN111" s="291"/>
      <c r="KO111" s="291"/>
      <c r="KP111" s="291"/>
      <c r="KQ111" s="291"/>
      <c r="KR111" s="291"/>
      <c r="KS111" s="291"/>
      <c r="KT111" s="291"/>
      <c r="KU111" s="291"/>
      <c r="KV111" s="291"/>
      <c r="KW111" s="291"/>
      <c r="KX111" s="291"/>
      <c r="KY111" s="291"/>
      <c r="KZ111" s="291"/>
      <c r="LA111" s="291"/>
      <c r="LB111" s="291"/>
      <c r="LC111" s="291"/>
      <c r="LD111" s="291"/>
      <c r="LE111" s="291"/>
      <c r="LF111" s="291"/>
      <c r="LG111" s="291"/>
      <c r="LH111" s="291"/>
      <c r="LI111" s="291"/>
      <c r="LJ111" s="291"/>
      <c r="LK111" s="291"/>
      <c r="LL111" s="291"/>
      <c r="LM111" s="291"/>
      <c r="LN111" s="291"/>
      <c r="LO111" s="291"/>
      <c r="LP111" s="291"/>
      <c r="LQ111" s="291"/>
      <c r="LR111" s="291"/>
      <c r="LS111" s="291"/>
      <c r="LT111" s="291"/>
      <c r="LU111" s="291"/>
      <c r="LV111" s="291"/>
      <c r="LW111" s="291"/>
      <c r="LX111" s="291"/>
      <c r="LY111" s="291"/>
      <c r="LZ111" s="291"/>
      <c r="MA111" s="291"/>
      <c r="MB111" s="291"/>
      <c r="MC111" s="291"/>
      <c r="MD111" s="291"/>
      <c r="ME111" s="291"/>
      <c r="MF111" s="291"/>
      <c r="MG111" s="291"/>
      <c r="MH111" s="291"/>
      <c r="MI111" s="291"/>
      <c r="MJ111" s="291"/>
      <c r="MK111" s="291"/>
      <c r="ML111" s="291"/>
      <c r="MM111" s="291"/>
      <c r="MN111" s="291"/>
      <c r="MO111" s="291"/>
      <c r="MP111" s="291"/>
      <c r="MQ111" s="291"/>
      <c r="MR111" s="291"/>
      <c r="MS111" s="291"/>
      <c r="MT111" s="291"/>
      <c r="MU111" s="291"/>
      <c r="MV111" s="291"/>
      <c r="MW111" s="291"/>
      <c r="MX111" s="291"/>
      <c r="MY111" s="291"/>
      <c r="MZ111" s="291"/>
      <c r="NA111" s="291"/>
      <c r="NB111" s="291"/>
      <c r="NC111" s="291"/>
      <c r="ND111" s="291"/>
      <c r="NE111" s="291"/>
      <c r="NF111" s="291"/>
      <c r="NG111" s="291"/>
      <c r="NH111" s="291"/>
      <c r="NI111" s="291"/>
      <c r="NJ111" s="291"/>
      <c r="NK111" s="291"/>
      <c r="NL111" s="291"/>
      <c r="NM111" s="291"/>
      <c r="NN111" s="291"/>
      <c r="NO111" s="291"/>
      <c r="NP111" s="291"/>
      <c r="NQ111" s="291"/>
      <c r="NR111" s="291"/>
      <c r="NS111" s="291"/>
      <c r="NT111" s="291"/>
      <c r="NU111" s="291"/>
      <c r="NV111" s="291"/>
      <c r="NW111" s="291"/>
      <c r="NX111" s="291"/>
      <c r="NY111" s="291"/>
      <c r="NZ111" s="291"/>
      <c r="OA111" s="291"/>
      <c r="OB111" s="291"/>
      <c r="OC111" s="291"/>
      <c r="OD111" s="291"/>
      <c r="OE111" s="291"/>
      <c r="OF111" s="291"/>
      <c r="OG111" s="291"/>
      <c r="OH111" s="291"/>
      <c r="OI111" s="291"/>
      <c r="OJ111" s="291"/>
      <c r="OK111" s="291"/>
      <c r="OL111" s="291"/>
      <c r="OM111" s="291"/>
      <c r="ON111" s="291"/>
      <c r="OO111" s="291"/>
      <c r="OP111" s="291"/>
      <c r="OQ111" s="291"/>
      <c r="OR111" s="291"/>
      <c r="OS111" s="291"/>
      <c r="OT111" s="291"/>
      <c r="OU111" s="291"/>
      <c r="OV111" s="291"/>
      <c r="OW111" s="291"/>
    </row>
    <row r="112" spans="1:413" s="257" customFormat="1" hidden="1" x14ac:dyDescent="0.2">
      <c r="A112" s="291"/>
      <c r="B112" s="524">
        <f t="shared" si="7"/>
        <v>96</v>
      </c>
      <c r="C112" s="510" t="s">
        <v>38</v>
      </c>
      <c r="D112" s="511">
        <v>30132531</v>
      </c>
      <c r="E112" s="511"/>
      <c r="F112" s="512" t="s">
        <v>1249</v>
      </c>
      <c r="G112" s="513" t="s">
        <v>1250</v>
      </c>
      <c r="H112" s="514" t="s">
        <v>1094</v>
      </c>
      <c r="I112" s="515" t="s">
        <v>1103</v>
      </c>
      <c r="J112" s="346" t="s">
        <v>42</v>
      </c>
      <c r="K112" s="526">
        <v>110795</v>
      </c>
      <c r="L112" s="527">
        <v>45473</v>
      </c>
      <c r="M112" s="528">
        <v>0</v>
      </c>
      <c r="N112" s="520">
        <v>0</v>
      </c>
      <c r="O112" s="520">
        <v>0</v>
      </c>
      <c r="P112" s="520">
        <v>0</v>
      </c>
      <c r="Q112" s="520">
        <v>14960</v>
      </c>
      <c r="R112" s="520">
        <v>0</v>
      </c>
      <c r="S112" s="520">
        <v>0</v>
      </c>
      <c r="T112" s="18"/>
      <c r="U112" s="18"/>
      <c r="V112" s="18"/>
      <c r="W112" s="18"/>
      <c r="X112" s="18"/>
      <c r="Y112" s="18"/>
      <c r="Z112" s="18">
        <f t="shared" si="4"/>
        <v>14960</v>
      </c>
      <c r="AA112" s="309">
        <v>39031</v>
      </c>
      <c r="AB112" s="19">
        <v>11</v>
      </c>
      <c r="AC112" s="521">
        <v>44237</v>
      </c>
      <c r="AD112" s="25">
        <v>44251</v>
      </c>
      <c r="AE112" s="309"/>
      <c r="AF112" s="20"/>
      <c r="AG112" s="23"/>
      <c r="AH112" s="25"/>
      <c r="AI112" s="309"/>
      <c r="AJ112" s="19"/>
      <c r="AK112" s="23"/>
      <c r="AL112" s="25"/>
      <c r="AM112" s="309"/>
      <c r="AN112" s="19"/>
      <c r="AO112" s="21"/>
      <c r="AP112" s="25"/>
      <c r="AQ112" s="309"/>
      <c r="AR112" s="19"/>
      <c r="AS112" s="21"/>
      <c r="AT112" s="25"/>
      <c r="AU112" s="522">
        <f t="shared" si="5"/>
        <v>39031</v>
      </c>
      <c r="AV112" s="311">
        <f t="shared" si="6"/>
        <v>24071</v>
      </c>
      <c r="AW112" s="305"/>
      <c r="AX112" s="291"/>
      <c r="AY112" s="291"/>
      <c r="AZ112" s="291"/>
      <c r="BA112" s="291"/>
      <c r="BB112" s="291"/>
      <c r="BC112" s="291"/>
      <c r="BD112" s="291"/>
      <c r="BE112" s="291"/>
      <c r="BF112" s="291"/>
      <c r="BG112" s="291"/>
      <c r="BH112" s="291"/>
      <c r="BI112" s="291"/>
      <c r="BJ112" s="291"/>
      <c r="BK112" s="291"/>
      <c r="BL112" s="291"/>
      <c r="BM112" s="291"/>
      <c r="BN112" s="291"/>
      <c r="BO112" s="291"/>
      <c r="BP112" s="291"/>
      <c r="BQ112" s="291"/>
      <c r="BR112" s="291"/>
      <c r="BS112" s="291"/>
      <c r="BT112" s="291"/>
      <c r="BU112" s="291"/>
      <c r="BV112" s="291"/>
      <c r="BW112" s="291"/>
      <c r="BX112" s="291"/>
      <c r="BY112" s="291"/>
      <c r="BZ112" s="291"/>
      <c r="CA112" s="291"/>
      <c r="CB112" s="291"/>
      <c r="CC112" s="291"/>
      <c r="CD112" s="291"/>
      <c r="CE112" s="291"/>
      <c r="CF112" s="291"/>
      <c r="CG112" s="291"/>
      <c r="CH112" s="291"/>
      <c r="CI112" s="291"/>
      <c r="CJ112" s="291"/>
      <c r="CK112" s="291"/>
      <c r="CL112" s="291"/>
      <c r="CM112" s="291"/>
      <c r="CN112" s="291"/>
      <c r="CO112" s="291"/>
      <c r="CP112" s="291"/>
      <c r="CQ112" s="291"/>
      <c r="CR112" s="291"/>
      <c r="CS112" s="291"/>
      <c r="CT112" s="291"/>
      <c r="CU112" s="291"/>
      <c r="CV112" s="291"/>
      <c r="CW112" s="291"/>
      <c r="CX112" s="291"/>
      <c r="CY112" s="291"/>
      <c r="CZ112" s="291"/>
      <c r="DA112" s="291"/>
      <c r="DB112" s="291"/>
      <c r="DC112" s="291"/>
      <c r="DD112" s="291"/>
      <c r="DE112" s="291"/>
      <c r="DF112" s="291"/>
      <c r="DG112" s="291"/>
      <c r="DH112" s="291"/>
      <c r="DI112" s="291"/>
      <c r="DJ112" s="291"/>
      <c r="DK112" s="291"/>
      <c r="DL112" s="291"/>
      <c r="DM112" s="291"/>
      <c r="DN112" s="291"/>
      <c r="DO112" s="291"/>
      <c r="DP112" s="291"/>
      <c r="DQ112" s="291"/>
      <c r="DR112" s="291"/>
      <c r="DS112" s="291"/>
      <c r="DT112" s="291"/>
      <c r="DU112" s="291"/>
      <c r="DV112" s="291"/>
      <c r="DW112" s="291"/>
      <c r="DX112" s="291"/>
      <c r="DY112" s="291"/>
      <c r="DZ112" s="291"/>
      <c r="EA112" s="291"/>
      <c r="EB112" s="291"/>
      <c r="EC112" s="291"/>
      <c r="ED112" s="291"/>
      <c r="EE112" s="291"/>
      <c r="EF112" s="291"/>
      <c r="EG112" s="291"/>
      <c r="EH112" s="291"/>
      <c r="EI112" s="291"/>
      <c r="EJ112" s="291"/>
      <c r="EK112" s="291"/>
      <c r="EL112" s="291"/>
      <c r="EM112" s="291"/>
      <c r="EN112" s="291"/>
      <c r="EO112" s="291"/>
      <c r="EP112" s="291"/>
      <c r="EQ112" s="291"/>
      <c r="ER112" s="291"/>
      <c r="ES112" s="291"/>
      <c r="ET112" s="291"/>
      <c r="EU112" s="291"/>
      <c r="EV112" s="291"/>
      <c r="EW112" s="291"/>
      <c r="EX112" s="291"/>
      <c r="EY112" s="291"/>
      <c r="EZ112" s="291"/>
      <c r="FA112" s="291"/>
      <c r="FB112" s="291"/>
      <c r="FC112" s="291"/>
      <c r="FD112" s="291"/>
      <c r="FE112" s="291"/>
      <c r="FF112" s="291"/>
      <c r="FG112" s="291"/>
      <c r="FH112" s="291"/>
      <c r="FI112" s="291"/>
      <c r="FJ112" s="291"/>
      <c r="FK112" s="291"/>
      <c r="FL112" s="291"/>
      <c r="FM112" s="291"/>
      <c r="FN112" s="291"/>
      <c r="FO112" s="291"/>
      <c r="FP112" s="291"/>
      <c r="FQ112" s="291"/>
      <c r="FR112" s="291"/>
      <c r="FS112" s="291"/>
      <c r="FT112" s="291"/>
      <c r="FU112" s="291"/>
      <c r="FV112" s="291"/>
      <c r="FW112" s="291"/>
      <c r="FX112" s="291"/>
      <c r="FY112" s="291"/>
      <c r="FZ112" s="291"/>
      <c r="GA112" s="291"/>
      <c r="GB112" s="291"/>
      <c r="GC112" s="291"/>
      <c r="GD112" s="291"/>
      <c r="GE112" s="291"/>
      <c r="GF112" s="291"/>
      <c r="GG112" s="291"/>
      <c r="GH112" s="291"/>
      <c r="GI112" s="291"/>
      <c r="GJ112" s="291"/>
      <c r="GK112" s="291"/>
      <c r="GL112" s="291"/>
      <c r="GM112" s="291"/>
      <c r="GN112" s="291"/>
      <c r="GO112" s="291"/>
      <c r="GP112" s="291"/>
      <c r="GQ112" s="291"/>
      <c r="GR112" s="291"/>
      <c r="GS112" s="291"/>
      <c r="GT112" s="291"/>
      <c r="GU112" s="291"/>
      <c r="GV112" s="291"/>
      <c r="GW112" s="291"/>
      <c r="GX112" s="291"/>
      <c r="GY112" s="291"/>
      <c r="GZ112" s="291"/>
      <c r="HA112" s="291"/>
      <c r="HB112" s="291"/>
      <c r="HC112" s="291"/>
      <c r="HD112" s="291"/>
      <c r="HE112" s="291"/>
      <c r="HF112" s="291"/>
      <c r="HG112" s="291"/>
      <c r="HH112" s="291"/>
      <c r="HI112" s="291"/>
      <c r="HJ112" s="291"/>
      <c r="HK112" s="291"/>
      <c r="HL112" s="291"/>
      <c r="HM112" s="291"/>
      <c r="HN112" s="291"/>
      <c r="HO112" s="291"/>
      <c r="HP112" s="291"/>
      <c r="HQ112" s="291"/>
      <c r="HR112" s="291"/>
      <c r="HS112" s="291"/>
      <c r="HT112" s="291"/>
      <c r="HU112" s="291"/>
      <c r="HV112" s="291"/>
      <c r="HW112" s="291"/>
      <c r="HX112" s="291"/>
      <c r="HY112" s="291"/>
      <c r="HZ112" s="291"/>
      <c r="IA112" s="291"/>
      <c r="IB112" s="291"/>
      <c r="IC112" s="291"/>
      <c r="ID112" s="291"/>
      <c r="IE112" s="291"/>
      <c r="IF112" s="291"/>
      <c r="IG112" s="291"/>
      <c r="IH112" s="291"/>
      <c r="II112" s="291"/>
      <c r="IJ112" s="291"/>
      <c r="IK112" s="291"/>
      <c r="IL112" s="291"/>
      <c r="IM112" s="291"/>
      <c r="IN112" s="291"/>
      <c r="IO112" s="291"/>
      <c r="IP112" s="291"/>
      <c r="IQ112" s="291"/>
      <c r="IR112" s="291"/>
      <c r="IS112" s="291"/>
      <c r="IT112" s="291"/>
      <c r="IU112" s="291"/>
      <c r="IV112" s="291"/>
      <c r="IW112" s="291"/>
      <c r="IX112" s="291"/>
      <c r="IY112" s="291"/>
      <c r="IZ112" s="291"/>
      <c r="JA112" s="291"/>
      <c r="JB112" s="291"/>
      <c r="JC112" s="291"/>
      <c r="JD112" s="291"/>
      <c r="JE112" s="291"/>
      <c r="JF112" s="291"/>
      <c r="JG112" s="291"/>
      <c r="JH112" s="291"/>
      <c r="JI112" s="291"/>
      <c r="JJ112" s="291"/>
      <c r="JK112" s="291"/>
      <c r="JL112" s="291"/>
      <c r="JM112" s="291"/>
      <c r="JN112" s="291"/>
      <c r="JO112" s="291"/>
      <c r="JP112" s="291"/>
      <c r="JQ112" s="291"/>
      <c r="JR112" s="291"/>
      <c r="JS112" s="291"/>
      <c r="JT112" s="291"/>
      <c r="JU112" s="291"/>
      <c r="JV112" s="291"/>
      <c r="JW112" s="291"/>
      <c r="JX112" s="291"/>
      <c r="JY112" s="291"/>
      <c r="JZ112" s="291"/>
      <c r="KA112" s="291"/>
      <c r="KB112" s="291"/>
      <c r="KC112" s="291"/>
      <c r="KD112" s="291"/>
      <c r="KE112" s="291"/>
      <c r="KF112" s="291"/>
      <c r="KG112" s="291"/>
      <c r="KH112" s="291"/>
      <c r="KI112" s="291"/>
      <c r="KJ112" s="291"/>
      <c r="KK112" s="291"/>
      <c r="KL112" s="291"/>
      <c r="KM112" s="291"/>
      <c r="KN112" s="291"/>
      <c r="KO112" s="291"/>
      <c r="KP112" s="291"/>
      <c r="KQ112" s="291"/>
      <c r="KR112" s="291"/>
      <c r="KS112" s="291"/>
      <c r="KT112" s="291"/>
      <c r="KU112" s="291"/>
      <c r="KV112" s="291"/>
      <c r="KW112" s="291"/>
      <c r="KX112" s="291"/>
      <c r="KY112" s="291"/>
      <c r="KZ112" s="291"/>
      <c r="LA112" s="291"/>
      <c r="LB112" s="291"/>
      <c r="LC112" s="291"/>
      <c r="LD112" s="291"/>
      <c r="LE112" s="291"/>
      <c r="LF112" s="291"/>
      <c r="LG112" s="291"/>
      <c r="LH112" s="291"/>
      <c r="LI112" s="291"/>
      <c r="LJ112" s="291"/>
      <c r="LK112" s="291"/>
      <c r="LL112" s="291"/>
      <c r="LM112" s="291"/>
      <c r="LN112" s="291"/>
      <c r="LO112" s="291"/>
      <c r="LP112" s="291"/>
      <c r="LQ112" s="291"/>
      <c r="LR112" s="291"/>
      <c r="LS112" s="291"/>
      <c r="LT112" s="291"/>
      <c r="LU112" s="291"/>
      <c r="LV112" s="291"/>
      <c r="LW112" s="291"/>
      <c r="LX112" s="291"/>
      <c r="LY112" s="291"/>
      <c r="LZ112" s="291"/>
      <c r="MA112" s="291"/>
      <c r="MB112" s="291"/>
      <c r="MC112" s="291"/>
      <c r="MD112" s="291"/>
      <c r="ME112" s="291"/>
      <c r="MF112" s="291"/>
      <c r="MG112" s="291"/>
      <c r="MH112" s="291"/>
      <c r="MI112" s="291"/>
      <c r="MJ112" s="291"/>
      <c r="MK112" s="291"/>
      <c r="ML112" s="291"/>
      <c r="MM112" s="291"/>
      <c r="MN112" s="291"/>
      <c r="MO112" s="291"/>
      <c r="MP112" s="291"/>
      <c r="MQ112" s="291"/>
      <c r="MR112" s="291"/>
      <c r="MS112" s="291"/>
      <c r="MT112" s="291"/>
      <c r="MU112" s="291"/>
      <c r="MV112" s="291"/>
      <c r="MW112" s="291"/>
      <c r="MX112" s="291"/>
      <c r="MY112" s="291"/>
      <c r="MZ112" s="291"/>
      <c r="NA112" s="291"/>
      <c r="NB112" s="291"/>
      <c r="NC112" s="291"/>
      <c r="ND112" s="291"/>
      <c r="NE112" s="291"/>
      <c r="NF112" s="291"/>
      <c r="NG112" s="291"/>
      <c r="NH112" s="291"/>
      <c r="NI112" s="291"/>
      <c r="NJ112" s="291"/>
      <c r="NK112" s="291"/>
      <c r="NL112" s="291"/>
      <c r="NM112" s="291"/>
      <c r="NN112" s="291"/>
      <c r="NO112" s="291"/>
      <c r="NP112" s="291"/>
      <c r="NQ112" s="291"/>
      <c r="NR112" s="291"/>
      <c r="NS112" s="291"/>
      <c r="NT112" s="291"/>
      <c r="NU112" s="291"/>
      <c r="NV112" s="291"/>
      <c r="NW112" s="291"/>
      <c r="NX112" s="291"/>
      <c r="NY112" s="291"/>
      <c r="NZ112" s="291"/>
      <c r="OA112" s="291"/>
      <c r="OB112" s="291"/>
      <c r="OC112" s="291"/>
      <c r="OD112" s="291"/>
      <c r="OE112" s="291"/>
      <c r="OF112" s="291"/>
      <c r="OG112" s="291"/>
      <c r="OH112" s="291"/>
      <c r="OI112" s="291"/>
      <c r="OJ112" s="291"/>
      <c r="OK112" s="291"/>
      <c r="OL112" s="291"/>
      <c r="OM112" s="291"/>
      <c r="ON112" s="291"/>
      <c r="OO112" s="291"/>
      <c r="OP112" s="291"/>
      <c r="OQ112" s="291"/>
      <c r="OR112" s="291"/>
      <c r="OS112" s="291"/>
      <c r="OT112" s="291"/>
      <c r="OU112" s="291"/>
      <c r="OV112" s="291"/>
      <c r="OW112" s="291"/>
    </row>
    <row r="113" spans="1:413" s="257" customFormat="1" ht="22.5" hidden="1" x14ac:dyDescent="0.2">
      <c r="A113" s="291"/>
      <c r="B113" s="524">
        <f t="shared" si="7"/>
        <v>97</v>
      </c>
      <c r="C113" s="510" t="s">
        <v>38</v>
      </c>
      <c r="D113" s="511">
        <v>30132928</v>
      </c>
      <c r="E113" s="511"/>
      <c r="F113" s="512" t="s">
        <v>1251</v>
      </c>
      <c r="G113" s="513" t="s">
        <v>45</v>
      </c>
      <c r="H113" s="514" t="s">
        <v>1094</v>
      </c>
      <c r="I113" s="515" t="s">
        <v>1142</v>
      </c>
      <c r="J113" s="346" t="s">
        <v>43</v>
      </c>
      <c r="K113" s="526">
        <v>1383596</v>
      </c>
      <c r="L113" s="527">
        <v>0</v>
      </c>
      <c r="M113" s="528">
        <v>1156526</v>
      </c>
      <c r="N113" s="519">
        <v>0</v>
      </c>
      <c r="O113" s="519">
        <v>0</v>
      </c>
      <c r="P113" s="519">
        <v>0</v>
      </c>
      <c r="Q113" s="519">
        <v>0</v>
      </c>
      <c r="R113" s="519">
        <v>0</v>
      </c>
      <c r="S113" s="520">
        <v>0</v>
      </c>
      <c r="T113" s="18"/>
      <c r="U113" s="18"/>
      <c r="V113" s="18"/>
      <c r="W113" s="18"/>
      <c r="X113" s="18"/>
      <c r="Y113" s="18"/>
      <c r="Z113" s="18">
        <f t="shared" si="4"/>
        <v>0</v>
      </c>
      <c r="AA113" s="309">
        <v>227070</v>
      </c>
      <c r="AB113" s="19">
        <v>3</v>
      </c>
      <c r="AC113" s="521">
        <v>44222</v>
      </c>
      <c r="AD113" s="25">
        <v>44225</v>
      </c>
      <c r="AE113" s="309"/>
      <c r="AF113" s="20"/>
      <c r="AG113" s="23"/>
      <c r="AH113" s="25"/>
      <c r="AI113" s="309"/>
      <c r="AJ113" s="19"/>
      <c r="AK113" s="23"/>
      <c r="AL113" s="25"/>
      <c r="AM113" s="309"/>
      <c r="AN113" s="19"/>
      <c r="AO113" s="21"/>
      <c r="AP113" s="25"/>
      <c r="AQ113" s="309"/>
      <c r="AR113" s="19"/>
      <c r="AS113" s="21"/>
      <c r="AT113" s="25"/>
      <c r="AU113" s="522">
        <f t="shared" si="5"/>
        <v>227070</v>
      </c>
      <c r="AV113" s="311">
        <f t="shared" si="6"/>
        <v>227070</v>
      </c>
      <c r="AW113" s="305"/>
      <c r="AX113" s="291"/>
      <c r="AY113" s="291"/>
      <c r="AZ113" s="291"/>
      <c r="BA113" s="291"/>
      <c r="BB113" s="291"/>
      <c r="BC113" s="291"/>
      <c r="BD113" s="291"/>
      <c r="BE113" s="291"/>
      <c r="BF113" s="291"/>
      <c r="BG113" s="291"/>
      <c r="BH113" s="291"/>
      <c r="BI113" s="291"/>
      <c r="BJ113" s="291"/>
      <c r="BK113" s="291"/>
      <c r="BL113" s="291"/>
      <c r="BM113" s="291"/>
      <c r="BN113" s="291"/>
      <c r="BO113" s="291"/>
      <c r="BP113" s="291"/>
      <c r="BQ113" s="291"/>
      <c r="BR113" s="291"/>
      <c r="BS113" s="291"/>
      <c r="BT113" s="291"/>
      <c r="BU113" s="291"/>
      <c r="BV113" s="291"/>
      <c r="BW113" s="291"/>
      <c r="BX113" s="291"/>
      <c r="BY113" s="291"/>
      <c r="BZ113" s="291"/>
      <c r="CA113" s="291"/>
      <c r="CB113" s="291"/>
      <c r="CC113" s="291"/>
      <c r="CD113" s="291"/>
      <c r="CE113" s="291"/>
      <c r="CF113" s="291"/>
      <c r="CG113" s="291"/>
      <c r="CH113" s="291"/>
      <c r="CI113" s="291"/>
      <c r="CJ113" s="291"/>
      <c r="CK113" s="291"/>
      <c r="CL113" s="291"/>
      <c r="CM113" s="291"/>
      <c r="CN113" s="291"/>
      <c r="CO113" s="291"/>
      <c r="CP113" s="291"/>
      <c r="CQ113" s="291"/>
      <c r="CR113" s="291"/>
      <c r="CS113" s="291"/>
      <c r="CT113" s="291"/>
      <c r="CU113" s="291"/>
      <c r="CV113" s="291"/>
      <c r="CW113" s="291"/>
      <c r="CX113" s="291"/>
      <c r="CY113" s="291"/>
      <c r="CZ113" s="291"/>
      <c r="DA113" s="291"/>
      <c r="DB113" s="291"/>
      <c r="DC113" s="291"/>
      <c r="DD113" s="291"/>
      <c r="DE113" s="291"/>
      <c r="DF113" s="291"/>
      <c r="DG113" s="291"/>
      <c r="DH113" s="291"/>
      <c r="DI113" s="291"/>
      <c r="DJ113" s="291"/>
      <c r="DK113" s="291"/>
      <c r="DL113" s="291"/>
      <c r="DM113" s="291"/>
      <c r="DN113" s="291"/>
      <c r="DO113" s="291"/>
      <c r="DP113" s="291"/>
      <c r="DQ113" s="291"/>
      <c r="DR113" s="291"/>
      <c r="DS113" s="291"/>
      <c r="DT113" s="291"/>
      <c r="DU113" s="291"/>
      <c r="DV113" s="291"/>
      <c r="DW113" s="291"/>
      <c r="DX113" s="291"/>
      <c r="DY113" s="291"/>
      <c r="DZ113" s="291"/>
      <c r="EA113" s="291"/>
      <c r="EB113" s="291"/>
      <c r="EC113" s="291"/>
      <c r="ED113" s="291"/>
      <c r="EE113" s="291"/>
      <c r="EF113" s="291"/>
      <c r="EG113" s="291"/>
      <c r="EH113" s="291"/>
      <c r="EI113" s="291"/>
      <c r="EJ113" s="291"/>
      <c r="EK113" s="291"/>
      <c r="EL113" s="291"/>
      <c r="EM113" s="291"/>
      <c r="EN113" s="291"/>
      <c r="EO113" s="291"/>
      <c r="EP113" s="291"/>
      <c r="EQ113" s="291"/>
      <c r="ER113" s="291"/>
      <c r="ES113" s="291"/>
      <c r="ET113" s="291"/>
      <c r="EU113" s="291"/>
      <c r="EV113" s="291"/>
      <c r="EW113" s="291"/>
      <c r="EX113" s="291"/>
      <c r="EY113" s="291"/>
      <c r="EZ113" s="291"/>
      <c r="FA113" s="291"/>
      <c r="FB113" s="291"/>
      <c r="FC113" s="291"/>
      <c r="FD113" s="291"/>
      <c r="FE113" s="291"/>
      <c r="FF113" s="291"/>
      <c r="FG113" s="291"/>
      <c r="FH113" s="291"/>
      <c r="FI113" s="291"/>
      <c r="FJ113" s="291"/>
      <c r="FK113" s="291"/>
      <c r="FL113" s="291"/>
      <c r="FM113" s="291"/>
      <c r="FN113" s="291"/>
      <c r="FO113" s="291"/>
      <c r="FP113" s="291"/>
      <c r="FQ113" s="291"/>
      <c r="FR113" s="291"/>
      <c r="FS113" s="291"/>
      <c r="FT113" s="291"/>
      <c r="FU113" s="291"/>
      <c r="FV113" s="291"/>
      <c r="FW113" s="291"/>
      <c r="FX113" s="291"/>
      <c r="FY113" s="291"/>
      <c r="FZ113" s="291"/>
      <c r="GA113" s="291"/>
      <c r="GB113" s="291"/>
      <c r="GC113" s="291"/>
      <c r="GD113" s="291"/>
      <c r="GE113" s="291"/>
      <c r="GF113" s="291"/>
      <c r="GG113" s="291"/>
      <c r="GH113" s="291"/>
      <c r="GI113" s="291"/>
      <c r="GJ113" s="291"/>
      <c r="GK113" s="291"/>
      <c r="GL113" s="291"/>
      <c r="GM113" s="291"/>
      <c r="GN113" s="291"/>
      <c r="GO113" s="291"/>
      <c r="GP113" s="291"/>
      <c r="GQ113" s="291"/>
      <c r="GR113" s="291"/>
      <c r="GS113" s="291"/>
      <c r="GT113" s="291"/>
      <c r="GU113" s="291"/>
      <c r="GV113" s="291"/>
      <c r="GW113" s="291"/>
      <c r="GX113" s="291"/>
      <c r="GY113" s="291"/>
      <c r="GZ113" s="291"/>
      <c r="HA113" s="291"/>
      <c r="HB113" s="291"/>
      <c r="HC113" s="291"/>
      <c r="HD113" s="291"/>
      <c r="HE113" s="291"/>
      <c r="HF113" s="291"/>
      <c r="HG113" s="291"/>
      <c r="HH113" s="291"/>
      <c r="HI113" s="291"/>
      <c r="HJ113" s="291"/>
      <c r="HK113" s="291"/>
      <c r="HL113" s="291"/>
      <c r="HM113" s="291"/>
      <c r="HN113" s="291"/>
      <c r="HO113" s="291"/>
      <c r="HP113" s="291"/>
      <c r="HQ113" s="291"/>
      <c r="HR113" s="291"/>
      <c r="HS113" s="291"/>
      <c r="HT113" s="291"/>
      <c r="HU113" s="291"/>
      <c r="HV113" s="291"/>
      <c r="HW113" s="291"/>
      <c r="HX113" s="291"/>
      <c r="HY113" s="291"/>
      <c r="HZ113" s="291"/>
      <c r="IA113" s="291"/>
      <c r="IB113" s="291"/>
      <c r="IC113" s="291"/>
      <c r="ID113" s="291"/>
      <c r="IE113" s="291"/>
      <c r="IF113" s="291"/>
      <c r="IG113" s="291"/>
      <c r="IH113" s="291"/>
      <c r="II113" s="291"/>
      <c r="IJ113" s="291"/>
      <c r="IK113" s="291"/>
      <c r="IL113" s="291"/>
      <c r="IM113" s="291"/>
      <c r="IN113" s="291"/>
      <c r="IO113" s="291"/>
      <c r="IP113" s="291"/>
      <c r="IQ113" s="291"/>
      <c r="IR113" s="291"/>
      <c r="IS113" s="291"/>
      <c r="IT113" s="291"/>
      <c r="IU113" s="291"/>
      <c r="IV113" s="291"/>
      <c r="IW113" s="291"/>
      <c r="IX113" s="291"/>
      <c r="IY113" s="291"/>
      <c r="IZ113" s="291"/>
      <c r="JA113" s="291"/>
      <c r="JB113" s="291"/>
      <c r="JC113" s="291"/>
      <c r="JD113" s="291"/>
      <c r="JE113" s="291"/>
      <c r="JF113" s="291"/>
      <c r="JG113" s="291"/>
      <c r="JH113" s="291"/>
      <c r="JI113" s="291"/>
      <c r="JJ113" s="291"/>
      <c r="JK113" s="291"/>
      <c r="JL113" s="291"/>
      <c r="JM113" s="291"/>
      <c r="JN113" s="291"/>
      <c r="JO113" s="291"/>
      <c r="JP113" s="291"/>
      <c r="JQ113" s="291"/>
      <c r="JR113" s="291"/>
      <c r="JS113" s="291"/>
      <c r="JT113" s="291"/>
      <c r="JU113" s="291"/>
      <c r="JV113" s="291"/>
      <c r="JW113" s="291"/>
      <c r="JX113" s="291"/>
      <c r="JY113" s="291"/>
      <c r="JZ113" s="291"/>
      <c r="KA113" s="291"/>
      <c r="KB113" s="291"/>
      <c r="KC113" s="291"/>
      <c r="KD113" s="291"/>
      <c r="KE113" s="291"/>
      <c r="KF113" s="291"/>
      <c r="KG113" s="291"/>
      <c r="KH113" s="291"/>
      <c r="KI113" s="291"/>
      <c r="KJ113" s="291"/>
      <c r="KK113" s="291"/>
      <c r="KL113" s="291"/>
      <c r="KM113" s="291"/>
      <c r="KN113" s="291"/>
      <c r="KO113" s="291"/>
      <c r="KP113" s="291"/>
      <c r="KQ113" s="291"/>
      <c r="KR113" s="291"/>
      <c r="KS113" s="291"/>
      <c r="KT113" s="291"/>
      <c r="KU113" s="291"/>
      <c r="KV113" s="291"/>
      <c r="KW113" s="291"/>
      <c r="KX113" s="291"/>
      <c r="KY113" s="291"/>
      <c r="KZ113" s="291"/>
      <c r="LA113" s="291"/>
      <c r="LB113" s="291"/>
      <c r="LC113" s="291"/>
      <c r="LD113" s="291"/>
      <c r="LE113" s="291"/>
      <c r="LF113" s="291"/>
      <c r="LG113" s="291"/>
      <c r="LH113" s="291"/>
      <c r="LI113" s="291"/>
      <c r="LJ113" s="291"/>
      <c r="LK113" s="291"/>
      <c r="LL113" s="291"/>
      <c r="LM113" s="291"/>
      <c r="LN113" s="291"/>
      <c r="LO113" s="291"/>
      <c r="LP113" s="291"/>
      <c r="LQ113" s="291"/>
      <c r="LR113" s="291"/>
      <c r="LS113" s="291"/>
      <c r="LT113" s="291"/>
      <c r="LU113" s="291"/>
      <c r="LV113" s="291"/>
      <c r="LW113" s="291"/>
      <c r="LX113" s="291"/>
      <c r="LY113" s="291"/>
      <c r="LZ113" s="291"/>
      <c r="MA113" s="291"/>
      <c r="MB113" s="291"/>
      <c r="MC113" s="291"/>
      <c r="MD113" s="291"/>
      <c r="ME113" s="291"/>
      <c r="MF113" s="291"/>
      <c r="MG113" s="291"/>
      <c r="MH113" s="291"/>
      <c r="MI113" s="291"/>
      <c r="MJ113" s="291"/>
      <c r="MK113" s="291"/>
      <c r="ML113" s="291"/>
      <c r="MM113" s="291"/>
      <c r="MN113" s="291"/>
      <c r="MO113" s="291"/>
      <c r="MP113" s="291"/>
      <c r="MQ113" s="291"/>
      <c r="MR113" s="291"/>
      <c r="MS113" s="291"/>
      <c r="MT113" s="291"/>
      <c r="MU113" s="291"/>
      <c r="MV113" s="291"/>
      <c r="MW113" s="291"/>
      <c r="MX113" s="291"/>
      <c r="MY113" s="291"/>
      <c r="MZ113" s="291"/>
      <c r="NA113" s="291"/>
      <c r="NB113" s="291"/>
      <c r="NC113" s="291"/>
      <c r="ND113" s="291"/>
      <c r="NE113" s="291"/>
      <c r="NF113" s="291"/>
      <c r="NG113" s="291"/>
      <c r="NH113" s="291"/>
      <c r="NI113" s="291"/>
      <c r="NJ113" s="291"/>
      <c r="NK113" s="291"/>
      <c r="NL113" s="291"/>
      <c r="NM113" s="291"/>
      <c r="NN113" s="291"/>
      <c r="NO113" s="291"/>
      <c r="NP113" s="291"/>
      <c r="NQ113" s="291"/>
      <c r="NR113" s="291"/>
      <c r="NS113" s="291"/>
      <c r="NT113" s="291"/>
      <c r="NU113" s="291"/>
      <c r="NV113" s="291"/>
      <c r="NW113" s="291"/>
      <c r="NX113" s="291"/>
      <c r="NY113" s="291"/>
      <c r="NZ113" s="291"/>
      <c r="OA113" s="291"/>
      <c r="OB113" s="291"/>
      <c r="OC113" s="291"/>
      <c r="OD113" s="291"/>
      <c r="OE113" s="291"/>
      <c r="OF113" s="291"/>
      <c r="OG113" s="291"/>
      <c r="OH113" s="291"/>
      <c r="OI113" s="291"/>
      <c r="OJ113" s="291"/>
      <c r="OK113" s="291"/>
      <c r="OL113" s="291"/>
      <c r="OM113" s="291"/>
      <c r="ON113" s="291"/>
      <c r="OO113" s="291"/>
      <c r="OP113" s="291"/>
      <c r="OQ113" s="291"/>
      <c r="OR113" s="291"/>
      <c r="OS113" s="291"/>
      <c r="OT113" s="291"/>
      <c r="OU113" s="291"/>
      <c r="OV113" s="291"/>
      <c r="OW113" s="291"/>
    </row>
    <row r="114" spans="1:413" s="276" customFormat="1" x14ac:dyDescent="0.2">
      <c r="A114" s="291"/>
      <c r="B114" s="530">
        <f t="shared" si="7"/>
        <v>98</v>
      </c>
      <c r="C114" s="510" t="s">
        <v>38</v>
      </c>
      <c r="D114" s="511">
        <v>30135312</v>
      </c>
      <c r="E114" s="511"/>
      <c r="F114" s="512" t="s">
        <v>1252</v>
      </c>
      <c r="G114" s="513" t="s">
        <v>45</v>
      </c>
      <c r="H114" s="514" t="s">
        <v>1094</v>
      </c>
      <c r="I114" s="515" t="s">
        <v>1253</v>
      </c>
      <c r="J114" s="346"/>
      <c r="K114" s="526">
        <v>116123</v>
      </c>
      <c r="L114" s="527"/>
      <c r="M114" s="528">
        <v>116122</v>
      </c>
      <c r="N114" s="519">
        <v>0</v>
      </c>
      <c r="O114" s="519">
        <v>0</v>
      </c>
      <c r="P114" s="519">
        <v>0</v>
      </c>
      <c r="Q114" s="519">
        <v>0</v>
      </c>
      <c r="R114" s="519">
        <v>0</v>
      </c>
      <c r="S114" s="520">
        <v>0</v>
      </c>
      <c r="T114" s="57"/>
      <c r="U114" s="57"/>
      <c r="V114" s="57"/>
      <c r="W114" s="57"/>
      <c r="X114" s="57"/>
      <c r="Y114" s="57"/>
      <c r="Z114" s="18">
        <f t="shared" si="4"/>
        <v>0</v>
      </c>
      <c r="AA114" s="309">
        <v>110000</v>
      </c>
      <c r="AB114" s="338">
        <v>22</v>
      </c>
      <c r="AC114" s="531">
        <v>44301</v>
      </c>
      <c r="AD114" s="316">
        <v>44313</v>
      </c>
      <c r="AE114" s="309"/>
      <c r="AF114" s="314"/>
      <c r="AG114" s="315"/>
      <c r="AH114" s="316"/>
      <c r="AI114" s="309"/>
      <c r="AJ114" s="338"/>
      <c r="AK114" s="315"/>
      <c r="AL114" s="316"/>
      <c r="AM114" s="309"/>
      <c r="AN114" s="338"/>
      <c r="AO114" s="362"/>
      <c r="AP114" s="316"/>
      <c r="AQ114" s="309"/>
      <c r="AR114" s="338"/>
      <c r="AS114" s="362"/>
      <c r="AT114" s="316"/>
      <c r="AU114" s="522">
        <f t="shared" si="5"/>
        <v>110000</v>
      </c>
      <c r="AV114" s="311">
        <f t="shared" si="6"/>
        <v>110000</v>
      </c>
      <c r="AW114" s="305"/>
      <c r="AX114" s="291"/>
      <c r="AY114" s="291"/>
      <c r="AZ114" s="291"/>
      <c r="BA114" s="291"/>
      <c r="BB114" s="291"/>
      <c r="BC114" s="291"/>
      <c r="BD114" s="291"/>
      <c r="BE114" s="291"/>
      <c r="BF114" s="291"/>
      <c r="BG114" s="291"/>
      <c r="BH114" s="291"/>
      <c r="BI114" s="291"/>
      <c r="BJ114" s="291"/>
      <c r="BK114" s="291"/>
      <c r="BL114" s="291"/>
      <c r="BM114" s="291"/>
      <c r="BN114" s="291"/>
      <c r="BO114" s="291"/>
      <c r="BP114" s="291"/>
      <c r="BQ114" s="291"/>
      <c r="BR114" s="291"/>
      <c r="BS114" s="291"/>
      <c r="BT114" s="291"/>
      <c r="BU114" s="291"/>
      <c r="BV114" s="291"/>
      <c r="BW114" s="291"/>
      <c r="BX114" s="291"/>
      <c r="BY114" s="291"/>
      <c r="BZ114" s="291"/>
      <c r="CA114" s="291"/>
      <c r="CB114" s="291"/>
      <c r="CC114" s="291"/>
      <c r="CD114" s="291"/>
      <c r="CE114" s="291"/>
      <c r="CF114" s="291"/>
      <c r="CG114" s="291"/>
      <c r="CH114" s="291"/>
      <c r="CI114" s="291"/>
      <c r="CJ114" s="291"/>
      <c r="CK114" s="291"/>
      <c r="CL114" s="291"/>
      <c r="CM114" s="291"/>
      <c r="CN114" s="291"/>
      <c r="CO114" s="291"/>
      <c r="CP114" s="291"/>
      <c r="CQ114" s="291"/>
      <c r="CR114" s="291"/>
      <c r="CS114" s="291"/>
      <c r="CT114" s="291"/>
      <c r="CU114" s="291"/>
      <c r="CV114" s="291"/>
      <c r="CW114" s="291"/>
      <c r="CX114" s="291"/>
      <c r="CY114" s="291"/>
      <c r="CZ114" s="291"/>
      <c r="DA114" s="291"/>
      <c r="DB114" s="291"/>
      <c r="DC114" s="291"/>
      <c r="DD114" s="291"/>
      <c r="DE114" s="291"/>
      <c r="DF114" s="291"/>
      <c r="DG114" s="291"/>
      <c r="DH114" s="291"/>
      <c r="DI114" s="291"/>
      <c r="DJ114" s="291"/>
      <c r="DK114" s="291"/>
      <c r="DL114" s="291"/>
      <c r="DM114" s="291"/>
      <c r="DN114" s="291"/>
      <c r="DO114" s="291"/>
      <c r="DP114" s="291"/>
      <c r="DQ114" s="291"/>
      <c r="DR114" s="291"/>
      <c r="DS114" s="291"/>
      <c r="DT114" s="291"/>
      <c r="DU114" s="291"/>
      <c r="DV114" s="291"/>
      <c r="DW114" s="291"/>
      <c r="DX114" s="291"/>
      <c r="DY114" s="291"/>
      <c r="DZ114" s="291"/>
      <c r="EA114" s="291"/>
      <c r="EB114" s="291"/>
      <c r="EC114" s="291"/>
      <c r="ED114" s="291"/>
      <c r="EE114" s="291"/>
      <c r="EF114" s="291"/>
      <c r="EG114" s="291"/>
      <c r="EH114" s="291"/>
      <c r="EI114" s="291"/>
      <c r="EJ114" s="291"/>
      <c r="EK114" s="291"/>
      <c r="EL114" s="291"/>
      <c r="EM114" s="291"/>
      <c r="EN114" s="291"/>
      <c r="EO114" s="291"/>
      <c r="EP114" s="291"/>
      <c r="EQ114" s="291"/>
      <c r="ER114" s="291"/>
      <c r="ES114" s="291"/>
      <c r="ET114" s="291"/>
      <c r="EU114" s="291"/>
      <c r="EV114" s="291"/>
      <c r="EW114" s="291"/>
      <c r="EX114" s="291"/>
      <c r="EY114" s="291"/>
      <c r="EZ114" s="291"/>
      <c r="FA114" s="291"/>
      <c r="FB114" s="291"/>
      <c r="FC114" s="291"/>
      <c r="FD114" s="291"/>
      <c r="FE114" s="291"/>
      <c r="FF114" s="291"/>
      <c r="FG114" s="291"/>
      <c r="FH114" s="291"/>
      <c r="FI114" s="291"/>
      <c r="FJ114" s="291"/>
      <c r="FK114" s="291"/>
      <c r="FL114" s="291"/>
      <c r="FM114" s="291"/>
      <c r="FN114" s="291"/>
      <c r="FO114" s="291"/>
      <c r="FP114" s="291"/>
      <c r="FQ114" s="291"/>
      <c r="FR114" s="291"/>
      <c r="FS114" s="291"/>
      <c r="FT114" s="291"/>
      <c r="FU114" s="291"/>
      <c r="FV114" s="291"/>
      <c r="FW114" s="291"/>
      <c r="FX114" s="291"/>
      <c r="FY114" s="291"/>
      <c r="FZ114" s="291"/>
      <c r="GA114" s="291"/>
      <c r="GB114" s="291"/>
      <c r="GC114" s="291"/>
      <c r="GD114" s="291"/>
      <c r="GE114" s="291"/>
      <c r="GF114" s="291"/>
      <c r="GG114" s="291"/>
      <c r="GH114" s="291"/>
      <c r="GI114" s="291"/>
      <c r="GJ114" s="291"/>
      <c r="GK114" s="291"/>
      <c r="GL114" s="291"/>
      <c r="GM114" s="291"/>
      <c r="GN114" s="291"/>
      <c r="GO114" s="291"/>
      <c r="GP114" s="291"/>
      <c r="GQ114" s="291"/>
      <c r="GR114" s="291"/>
      <c r="GS114" s="291"/>
      <c r="GT114" s="291"/>
      <c r="GU114" s="291"/>
      <c r="GV114" s="291"/>
      <c r="GW114" s="291"/>
      <c r="GX114" s="291"/>
      <c r="GY114" s="291"/>
      <c r="GZ114" s="291"/>
      <c r="HA114" s="291"/>
      <c r="HB114" s="291"/>
      <c r="HC114" s="291"/>
      <c r="HD114" s="291"/>
      <c r="HE114" s="291"/>
      <c r="HF114" s="291"/>
      <c r="HG114" s="291"/>
      <c r="HH114" s="291"/>
      <c r="HI114" s="291"/>
      <c r="HJ114" s="291"/>
      <c r="HK114" s="291"/>
      <c r="HL114" s="291"/>
      <c r="HM114" s="291"/>
      <c r="HN114" s="291"/>
      <c r="HO114" s="291"/>
      <c r="HP114" s="291"/>
      <c r="HQ114" s="291"/>
      <c r="HR114" s="291"/>
      <c r="HS114" s="291"/>
      <c r="HT114" s="291"/>
      <c r="HU114" s="291"/>
      <c r="HV114" s="291"/>
      <c r="HW114" s="291"/>
      <c r="HX114" s="291"/>
      <c r="HY114" s="291"/>
      <c r="HZ114" s="291"/>
      <c r="IA114" s="291"/>
      <c r="IB114" s="291"/>
      <c r="IC114" s="291"/>
      <c r="ID114" s="291"/>
      <c r="IE114" s="291"/>
      <c r="IF114" s="291"/>
      <c r="IG114" s="291"/>
      <c r="IH114" s="291"/>
      <c r="II114" s="291"/>
      <c r="IJ114" s="291"/>
      <c r="IK114" s="291"/>
      <c r="IL114" s="291"/>
      <c r="IM114" s="291"/>
      <c r="IN114" s="291"/>
      <c r="IO114" s="291"/>
      <c r="IP114" s="291"/>
      <c r="IQ114" s="291"/>
      <c r="IR114" s="291"/>
      <c r="IS114" s="291"/>
      <c r="IT114" s="291"/>
      <c r="IU114" s="291"/>
      <c r="IV114" s="291"/>
      <c r="IW114" s="291"/>
      <c r="IX114" s="291"/>
      <c r="IY114" s="291"/>
      <c r="IZ114" s="291"/>
      <c r="JA114" s="291"/>
      <c r="JB114" s="291"/>
      <c r="JC114" s="291"/>
      <c r="JD114" s="291"/>
      <c r="JE114" s="291"/>
      <c r="JF114" s="291"/>
      <c r="JG114" s="291"/>
      <c r="JH114" s="291"/>
      <c r="JI114" s="291"/>
      <c r="JJ114" s="291"/>
      <c r="JK114" s="291"/>
      <c r="JL114" s="291"/>
      <c r="JM114" s="291"/>
      <c r="JN114" s="291"/>
      <c r="JO114" s="291"/>
      <c r="JP114" s="291"/>
      <c r="JQ114" s="291"/>
      <c r="JR114" s="291"/>
      <c r="JS114" s="291"/>
      <c r="JT114" s="291"/>
      <c r="JU114" s="291"/>
      <c r="JV114" s="291"/>
      <c r="JW114" s="291"/>
      <c r="JX114" s="291"/>
      <c r="JY114" s="291"/>
      <c r="JZ114" s="291"/>
      <c r="KA114" s="291"/>
      <c r="KB114" s="291"/>
      <c r="KC114" s="291"/>
      <c r="KD114" s="291"/>
      <c r="KE114" s="291"/>
      <c r="KF114" s="291"/>
      <c r="KG114" s="291"/>
      <c r="KH114" s="291"/>
      <c r="KI114" s="291"/>
      <c r="KJ114" s="291"/>
      <c r="KK114" s="291"/>
      <c r="KL114" s="291"/>
      <c r="KM114" s="291"/>
      <c r="KN114" s="291"/>
      <c r="KO114" s="291"/>
      <c r="KP114" s="291"/>
      <c r="KQ114" s="291"/>
      <c r="KR114" s="291"/>
      <c r="KS114" s="291"/>
      <c r="KT114" s="291"/>
      <c r="KU114" s="291"/>
      <c r="KV114" s="291"/>
      <c r="KW114" s="291"/>
      <c r="KX114" s="291"/>
      <c r="KY114" s="291"/>
      <c r="KZ114" s="291"/>
      <c r="LA114" s="291"/>
      <c r="LB114" s="291"/>
      <c r="LC114" s="291"/>
      <c r="LD114" s="291"/>
      <c r="LE114" s="291"/>
      <c r="LF114" s="291"/>
      <c r="LG114" s="291"/>
      <c r="LH114" s="291"/>
      <c r="LI114" s="291"/>
      <c r="LJ114" s="291"/>
      <c r="LK114" s="291"/>
      <c r="LL114" s="291"/>
      <c r="LM114" s="291"/>
      <c r="LN114" s="291"/>
      <c r="LO114" s="291"/>
      <c r="LP114" s="291"/>
      <c r="LQ114" s="291"/>
      <c r="LR114" s="291"/>
      <c r="LS114" s="291"/>
      <c r="LT114" s="291"/>
      <c r="LU114" s="291"/>
      <c r="LV114" s="291"/>
      <c r="LW114" s="291"/>
      <c r="LX114" s="291"/>
      <c r="LY114" s="291"/>
      <c r="LZ114" s="291"/>
      <c r="MA114" s="291"/>
      <c r="MB114" s="291"/>
      <c r="MC114" s="291"/>
      <c r="MD114" s="291"/>
      <c r="ME114" s="291"/>
      <c r="MF114" s="291"/>
      <c r="MG114" s="291"/>
      <c r="MH114" s="291"/>
      <c r="MI114" s="291"/>
      <c r="MJ114" s="291"/>
      <c r="MK114" s="291"/>
      <c r="ML114" s="291"/>
      <c r="MM114" s="291"/>
      <c r="MN114" s="291"/>
      <c r="MO114" s="291"/>
      <c r="MP114" s="291"/>
      <c r="MQ114" s="291"/>
      <c r="MR114" s="291"/>
      <c r="MS114" s="291"/>
      <c r="MT114" s="291"/>
      <c r="MU114" s="291"/>
      <c r="MV114" s="291"/>
      <c r="MW114" s="291"/>
      <c r="MX114" s="291"/>
      <c r="MY114" s="291"/>
      <c r="MZ114" s="291"/>
      <c r="NA114" s="291"/>
      <c r="NB114" s="291"/>
      <c r="NC114" s="291"/>
      <c r="ND114" s="291"/>
      <c r="NE114" s="291"/>
      <c r="NF114" s="291"/>
      <c r="NG114" s="291"/>
      <c r="NH114" s="291"/>
      <c r="NI114" s="291"/>
      <c r="NJ114" s="291"/>
      <c r="NK114" s="291"/>
      <c r="NL114" s="291"/>
      <c r="NM114" s="291"/>
      <c r="NN114" s="291"/>
      <c r="NO114" s="291"/>
      <c r="NP114" s="291"/>
      <c r="NQ114" s="291"/>
      <c r="NR114" s="291"/>
      <c r="NS114" s="291"/>
      <c r="NT114" s="291"/>
      <c r="NU114" s="291"/>
      <c r="NV114" s="291"/>
      <c r="NW114" s="291"/>
      <c r="NX114" s="291"/>
      <c r="NY114" s="291"/>
      <c r="NZ114" s="291"/>
      <c r="OA114" s="291"/>
      <c r="OB114" s="291"/>
      <c r="OC114" s="291"/>
      <c r="OD114" s="291"/>
      <c r="OE114" s="291"/>
      <c r="OF114" s="291"/>
      <c r="OG114" s="291"/>
      <c r="OH114" s="291"/>
      <c r="OI114" s="291"/>
      <c r="OJ114" s="291"/>
      <c r="OK114" s="291"/>
      <c r="OL114" s="291"/>
      <c r="OM114" s="291"/>
      <c r="ON114" s="291"/>
      <c r="OO114" s="291"/>
      <c r="OP114" s="291"/>
      <c r="OQ114" s="291"/>
      <c r="OR114" s="291"/>
      <c r="OS114" s="291"/>
      <c r="OT114" s="291"/>
      <c r="OU114" s="291"/>
      <c r="OV114" s="291"/>
      <c r="OW114" s="291"/>
    </row>
    <row r="115" spans="1:413" s="257" customFormat="1" hidden="1" x14ac:dyDescent="0.2">
      <c r="A115" s="291"/>
      <c r="B115" s="524">
        <f t="shared" si="7"/>
        <v>99</v>
      </c>
      <c r="C115" s="510" t="s">
        <v>38</v>
      </c>
      <c r="D115" s="511">
        <v>30135708</v>
      </c>
      <c r="E115" s="511"/>
      <c r="F115" s="512" t="s">
        <v>1254</v>
      </c>
      <c r="G115" s="513" t="s">
        <v>45</v>
      </c>
      <c r="H115" s="514" t="s">
        <v>1094</v>
      </c>
      <c r="I115" s="515" t="s">
        <v>1255</v>
      </c>
      <c r="J115" s="346" t="s">
        <v>42</v>
      </c>
      <c r="K115" s="526">
        <v>1156188</v>
      </c>
      <c r="L115" s="527">
        <v>1125554</v>
      </c>
      <c r="M115" s="528">
        <v>1277</v>
      </c>
      <c r="N115" s="519">
        <v>0</v>
      </c>
      <c r="O115" s="519">
        <v>1569</v>
      </c>
      <c r="P115" s="519">
        <v>19316</v>
      </c>
      <c r="Q115" s="519">
        <v>6950</v>
      </c>
      <c r="R115" s="519">
        <v>0</v>
      </c>
      <c r="S115" s="520">
        <v>0</v>
      </c>
      <c r="T115" s="18"/>
      <c r="U115" s="18"/>
      <c r="V115" s="18"/>
      <c r="W115" s="18"/>
      <c r="X115" s="18"/>
      <c r="Y115" s="18"/>
      <c r="Z115" s="18">
        <f t="shared" si="4"/>
        <v>27835</v>
      </c>
      <c r="AA115" s="309">
        <v>28041</v>
      </c>
      <c r="AB115" s="19">
        <v>11</v>
      </c>
      <c r="AC115" s="521">
        <v>44237</v>
      </c>
      <c r="AD115" s="25">
        <v>44251</v>
      </c>
      <c r="AE115" s="309"/>
      <c r="AF115" s="314"/>
      <c r="AG115" s="315"/>
      <c r="AH115" s="316"/>
      <c r="AI115" s="309"/>
      <c r="AJ115" s="338"/>
      <c r="AK115" s="315"/>
      <c r="AL115" s="316"/>
      <c r="AM115" s="309"/>
      <c r="AN115" s="338"/>
      <c r="AO115" s="21"/>
      <c r="AP115" s="25"/>
      <c r="AQ115" s="309"/>
      <c r="AR115" s="19"/>
      <c r="AS115" s="21"/>
      <c r="AT115" s="25"/>
      <c r="AU115" s="522">
        <f t="shared" si="5"/>
        <v>28041</v>
      </c>
      <c r="AV115" s="311">
        <f t="shared" si="6"/>
        <v>206</v>
      </c>
      <c r="AW115" s="305"/>
      <c r="AX115" s="291"/>
      <c r="AY115" s="291"/>
      <c r="AZ115" s="291"/>
      <c r="BA115" s="291"/>
      <c r="BB115" s="291"/>
      <c r="BC115" s="291"/>
      <c r="BD115" s="291"/>
      <c r="BE115" s="291"/>
      <c r="BF115" s="291"/>
      <c r="BG115" s="291"/>
      <c r="BH115" s="291"/>
      <c r="BI115" s="291"/>
      <c r="BJ115" s="291"/>
      <c r="BK115" s="291"/>
      <c r="BL115" s="291"/>
      <c r="BM115" s="291"/>
      <c r="BN115" s="291"/>
      <c r="BO115" s="291"/>
      <c r="BP115" s="291"/>
      <c r="BQ115" s="291"/>
      <c r="BR115" s="291"/>
      <c r="BS115" s="291"/>
      <c r="BT115" s="291"/>
      <c r="BU115" s="291"/>
      <c r="BV115" s="291"/>
      <c r="BW115" s="291"/>
      <c r="BX115" s="291"/>
      <c r="BY115" s="291"/>
      <c r="BZ115" s="291"/>
      <c r="CA115" s="291"/>
      <c r="CB115" s="291"/>
      <c r="CC115" s="291"/>
      <c r="CD115" s="291"/>
      <c r="CE115" s="291"/>
      <c r="CF115" s="291"/>
      <c r="CG115" s="291"/>
      <c r="CH115" s="291"/>
      <c r="CI115" s="291"/>
      <c r="CJ115" s="291"/>
      <c r="CK115" s="291"/>
      <c r="CL115" s="291"/>
      <c r="CM115" s="291"/>
      <c r="CN115" s="291"/>
      <c r="CO115" s="291"/>
      <c r="CP115" s="291"/>
      <c r="CQ115" s="291"/>
      <c r="CR115" s="291"/>
      <c r="CS115" s="291"/>
      <c r="CT115" s="291"/>
      <c r="CU115" s="291"/>
      <c r="CV115" s="291"/>
      <c r="CW115" s="291"/>
      <c r="CX115" s="291"/>
      <c r="CY115" s="291"/>
      <c r="CZ115" s="291"/>
      <c r="DA115" s="291"/>
      <c r="DB115" s="291"/>
      <c r="DC115" s="291"/>
      <c r="DD115" s="291"/>
      <c r="DE115" s="291"/>
      <c r="DF115" s="291"/>
      <c r="DG115" s="291"/>
      <c r="DH115" s="291"/>
      <c r="DI115" s="291"/>
      <c r="DJ115" s="291"/>
      <c r="DK115" s="291"/>
      <c r="DL115" s="291"/>
      <c r="DM115" s="291"/>
      <c r="DN115" s="291"/>
      <c r="DO115" s="291"/>
      <c r="DP115" s="291"/>
      <c r="DQ115" s="291"/>
      <c r="DR115" s="291"/>
      <c r="DS115" s="291"/>
      <c r="DT115" s="291"/>
      <c r="DU115" s="291"/>
      <c r="DV115" s="291"/>
      <c r="DW115" s="291"/>
      <c r="DX115" s="291"/>
      <c r="DY115" s="291"/>
      <c r="DZ115" s="291"/>
      <c r="EA115" s="291"/>
      <c r="EB115" s="291"/>
      <c r="EC115" s="291"/>
      <c r="ED115" s="291"/>
      <c r="EE115" s="291"/>
      <c r="EF115" s="291"/>
      <c r="EG115" s="291"/>
      <c r="EH115" s="291"/>
      <c r="EI115" s="291"/>
      <c r="EJ115" s="291"/>
      <c r="EK115" s="291"/>
      <c r="EL115" s="291"/>
      <c r="EM115" s="291"/>
      <c r="EN115" s="291"/>
      <c r="EO115" s="291"/>
      <c r="EP115" s="291"/>
      <c r="EQ115" s="291"/>
      <c r="ER115" s="291"/>
      <c r="ES115" s="291"/>
      <c r="ET115" s="291"/>
      <c r="EU115" s="291"/>
      <c r="EV115" s="291"/>
      <c r="EW115" s="291"/>
      <c r="EX115" s="291"/>
      <c r="EY115" s="291"/>
      <c r="EZ115" s="291"/>
      <c r="FA115" s="291"/>
      <c r="FB115" s="291"/>
      <c r="FC115" s="291"/>
      <c r="FD115" s="291"/>
      <c r="FE115" s="291"/>
      <c r="FF115" s="291"/>
      <c r="FG115" s="291"/>
      <c r="FH115" s="291"/>
      <c r="FI115" s="291"/>
      <c r="FJ115" s="291"/>
      <c r="FK115" s="291"/>
      <c r="FL115" s="291"/>
      <c r="FM115" s="291"/>
      <c r="FN115" s="291"/>
      <c r="FO115" s="291"/>
      <c r="FP115" s="291"/>
      <c r="FQ115" s="291"/>
      <c r="FR115" s="291"/>
      <c r="FS115" s="291"/>
      <c r="FT115" s="291"/>
      <c r="FU115" s="291"/>
      <c r="FV115" s="291"/>
      <c r="FW115" s="291"/>
      <c r="FX115" s="291"/>
      <c r="FY115" s="291"/>
      <c r="FZ115" s="291"/>
      <c r="GA115" s="291"/>
      <c r="GB115" s="291"/>
      <c r="GC115" s="291"/>
      <c r="GD115" s="291"/>
      <c r="GE115" s="291"/>
      <c r="GF115" s="291"/>
      <c r="GG115" s="291"/>
      <c r="GH115" s="291"/>
      <c r="GI115" s="291"/>
      <c r="GJ115" s="291"/>
      <c r="GK115" s="291"/>
      <c r="GL115" s="291"/>
      <c r="GM115" s="291"/>
      <c r="GN115" s="291"/>
      <c r="GO115" s="291"/>
      <c r="GP115" s="291"/>
      <c r="GQ115" s="291"/>
      <c r="GR115" s="291"/>
      <c r="GS115" s="291"/>
      <c r="GT115" s="291"/>
      <c r="GU115" s="291"/>
      <c r="GV115" s="291"/>
      <c r="GW115" s="291"/>
      <c r="GX115" s="291"/>
      <c r="GY115" s="291"/>
      <c r="GZ115" s="291"/>
      <c r="HA115" s="291"/>
      <c r="HB115" s="291"/>
      <c r="HC115" s="291"/>
      <c r="HD115" s="291"/>
      <c r="HE115" s="291"/>
      <c r="HF115" s="291"/>
      <c r="HG115" s="291"/>
      <c r="HH115" s="291"/>
      <c r="HI115" s="291"/>
      <c r="HJ115" s="291"/>
      <c r="HK115" s="291"/>
      <c r="HL115" s="291"/>
      <c r="HM115" s="291"/>
      <c r="HN115" s="291"/>
      <c r="HO115" s="291"/>
      <c r="HP115" s="291"/>
      <c r="HQ115" s="291"/>
      <c r="HR115" s="291"/>
      <c r="HS115" s="291"/>
      <c r="HT115" s="291"/>
      <c r="HU115" s="291"/>
      <c r="HV115" s="291"/>
      <c r="HW115" s="291"/>
      <c r="HX115" s="291"/>
      <c r="HY115" s="291"/>
      <c r="HZ115" s="291"/>
      <c r="IA115" s="291"/>
      <c r="IB115" s="291"/>
      <c r="IC115" s="291"/>
      <c r="ID115" s="291"/>
      <c r="IE115" s="291"/>
      <c r="IF115" s="291"/>
      <c r="IG115" s="291"/>
      <c r="IH115" s="291"/>
      <c r="II115" s="291"/>
      <c r="IJ115" s="291"/>
      <c r="IK115" s="291"/>
      <c r="IL115" s="291"/>
      <c r="IM115" s="291"/>
      <c r="IN115" s="291"/>
      <c r="IO115" s="291"/>
      <c r="IP115" s="291"/>
      <c r="IQ115" s="291"/>
      <c r="IR115" s="291"/>
      <c r="IS115" s="291"/>
      <c r="IT115" s="291"/>
      <c r="IU115" s="291"/>
      <c r="IV115" s="291"/>
      <c r="IW115" s="291"/>
      <c r="IX115" s="291"/>
      <c r="IY115" s="291"/>
      <c r="IZ115" s="291"/>
      <c r="JA115" s="291"/>
      <c r="JB115" s="291"/>
      <c r="JC115" s="291"/>
      <c r="JD115" s="291"/>
      <c r="JE115" s="291"/>
      <c r="JF115" s="291"/>
      <c r="JG115" s="291"/>
      <c r="JH115" s="291"/>
      <c r="JI115" s="291"/>
      <c r="JJ115" s="291"/>
      <c r="JK115" s="291"/>
      <c r="JL115" s="291"/>
      <c r="JM115" s="291"/>
      <c r="JN115" s="291"/>
      <c r="JO115" s="291"/>
      <c r="JP115" s="291"/>
      <c r="JQ115" s="291"/>
      <c r="JR115" s="291"/>
      <c r="JS115" s="291"/>
      <c r="JT115" s="291"/>
      <c r="JU115" s="291"/>
      <c r="JV115" s="291"/>
      <c r="JW115" s="291"/>
      <c r="JX115" s="291"/>
      <c r="JY115" s="291"/>
      <c r="JZ115" s="291"/>
      <c r="KA115" s="291"/>
      <c r="KB115" s="291"/>
      <c r="KC115" s="291"/>
      <c r="KD115" s="291"/>
      <c r="KE115" s="291"/>
      <c r="KF115" s="291"/>
      <c r="KG115" s="291"/>
      <c r="KH115" s="291"/>
      <c r="KI115" s="291"/>
      <c r="KJ115" s="291"/>
      <c r="KK115" s="291"/>
      <c r="KL115" s="291"/>
      <c r="KM115" s="291"/>
      <c r="KN115" s="291"/>
      <c r="KO115" s="291"/>
      <c r="KP115" s="291"/>
      <c r="KQ115" s="291"/>
      <c r="KR115" s="291"/>
      <c r="KS115" s="291"/>
      <c r="KT115" s="291"/>
      <c r="KU115" s="291"/>
      <c r="KV115" s="291"/>
      <c r="KW115" s="291"/>
      <c r="KX115" s="291"/>
      <c r="KY115" s="291"/>
      <c r="KZ115" s="291"/>
      <c r="LA115" s="291"/>
      <c r="LB115" s="291"/>
      <c r="LC115" s="291"/>
      <c r="LD115" s="291"/>
      <c r="LE115" s="291"/>
      <c r="LF115" s="291"/>
      <c r="LG115" s="291"/>
      <c r="LH115" s="291"/>
      <c r="LI115" s="291"/>
      <c r="LJ115" s="291"/>
      <c r="LK115" s="291"/>
      <c r="LL115" s="291"/>
      <c r="LM115" s="291"/>
      <c r="LN115" s="291"/>
      <c r="LO115" s="291"/>
      <c r="LP115" s="291"/>
      <c r="LQ115" s="291"/>
      <c r="LR115" s="291"/>
      <c r="LS115" s="291"/>
      <c r="LT115" s="291"/>
      <c r="LU115" s="291"/>
      <c r="LV115" s="291"/>
      <c r="LW115" s="291"/>
      <c r="LX115" s="291"/>
      <c r="LY115" s="291"/>
      <c r="LZ115" s="291"/>
      <c r="MA115" s="291"/>
      <c r="MB115" s="291"/>
      <c r="MC115" s="291"/>
      <c r="MD115" s="291"/>
      <c r="ME115" s="291"/>
      <c r="MF115" s="291"/>
      <c r="MG115" s="291"/>
      <c r="MH115" s="291"/>
      <c r="MI115" s="291"/>
      <c r="MJ115" s="291"/>
      <c r="MK115" s="291"/>
      <c r="ML115" s="291"/>
      <c r="MM115" s="291"/>
      <c r="MN115" s="291"/>
      <c r="MO115" s="291"/>
      <c r="MP115" s="291"/>
      <c r="MQ115" s="291"/>
      <c r="MR115" s="291"/>
      <c r="MS115" s="291"/>
      <c r="MT115" s="291"/>
      <c r="MU115" s="291"/>
      <c r="MV115" s="291"/>
      <c r="MW115" s="291"/>
      <c r="MX115" s="291"/>
      <c r="MY115" s="291"/>
      <c r="MZ115" s="291"/>
      <c r="NA115" s="291"/>
      <c r="NB115" s="291"/>
      <c r="NC115" s="291"/>
      <c r="ND115" s="291"/>
      <c r="NE115" s="291"/>
      <c r="NF115" s="291"/>
      <c r="NG115" s="291"/>
      <c r="NH115" s="291"/>
      <c r="NI115" s="291"/>
      <c r="NJ115" s="291"/>
      <c r="NK115" s="291"/>
      <c r="NL115" s="291"/>
      <c r="NM115" s="291"/>
      <c r="NN115" s="291"/>
      <c r="NO115" s="291"/>
      <c r="NP115" s="291"/>
      <c r="NQ115" s="291"/>
      <c r="NR115" s="291"/>
      <c r="NS115" s="291"/>
      <c r="NT115" s="291"/>
      <c r="NU115" s="291"/>
      <c r="NV115" s="291"/>
      <c r="NW115" s="291"/>
      <c r="NX115" s="291"/>
      <c r="NY115" s="291"/>
      <c r="NZ115" s="291"/>
      <c r="OA115" s="291"/>
      <c r="OB115" s="291"/>
      <c r="OC115" s="291"/>
      <c r="OD115" s="291"/>
      <c r="OE115" s="291"/>
      <c r="OF115" s="291"/>
      <c r="OG115" s="291"/>
      <c r="OH115" s="291"/>
      <c r="OI115" s="291"/>
      <c r="OJ115" s="291"/>
      <c r="OK115" s="291"/>
      <c r="OL115" s="291"/>
      <c r="OM115" s="291"/>
      <c r="ON115" s="291"/>
      <c r="OO115" s="291"/>
      <c r="OP115" s="291"/>
      <c r="OQ115" s="291"/>
      <c r="OR115" s="291"/>
      <c r="OS115" s="291"/>
      <c r="OT115" s="291"/>
      <c r="OU115" s="291"/>
      <c r="OV115" s="291"/>
      <c r="OW115" s="291"/>
    </row>
    <row r="116" spans="1:413" s="257" customFormat="1" hidden="1" x14ac:dyDescent="0.2">
      <c r="A116" s="291"/>
      <c r="B116" s="524">
        <f t="shared" si="7"/>
        <v>100</v>
      </c>
      <c r="C116" s="510" t="s">
        <v>38</v>
      </c>
      <c r="D116" s="511">
        <v>30136315</v>
      </c>
      <c r="E116" s="511"/>
      <c r="F116" s="512" t="s">
        <v>1256</v>
      </c>
      <c r="G116" s="513" t="s">
        <v>45</v>
      </c>
      <c r="H116" s="514" t="s">
        <v>1094</v>
      </c>
      <c r="I116" s="515" t="s">
        <v>1178</v>
      </c>
      <c r="J116" s="346" t="s">
        <v>42</v>
      </c>
      <c r="K116" s="526">
        <v>2421289</v>
      </c>
      <c r="L116" s="527">
        <v>10653</v>
      </c>
      <c r="M116" s="528">
        <v>1598636</v>
      </c>
      <c r="N116" s="520">
        <v>0</v>
      </c>
      <c r="O116" s="520">
        <v>0</v>
      </c>
      <c r="P116" s="520">
        <v>0</v>
      </c>
      <c r="Q116" s="520">
        <v>0</v>
      </c>
      <c r="R116" s="520">
        <v>0</v>
      </c>
      <c r="S116" s="520">
        <v>0</v>
      </c>
      <c r="T116" s="18"/>
      <c r="U116" s="18"/>
      <c r="V116" s="18"/>
      <c r="W116" s="18"/>
      <c r="X116" s="18"/>
      <c r="Y116" s="18"/>
      <c r="Z116" s="18">
        <f t="shared" si="4"/>
        <v>0</v>
      </c>
      <c r="AA116" s="309">
        <v>812000</v>
      </c>
      <c r="AB116" s="19">
        <v>9</v>
      </c>
      <c r="AC116" s="521">
        <v>44232</v>
      </c>
      <c r="AD116" s="25">
        <v>44251</v>
      </c>
      <c r="AE116" s="309"/>
      <c r="AF116" s="314"/>
      <c r="AG116" s="315"/>
      <c r="AH116" s="316"/>
      <c r="AI116" s="309"/>
      <c r="AJ116" s="338"/>
      <c r="AK116" s="315"/>
      <c r="AL116" s="316"/>
      <c r="AM116" s="309"/>
      <c r="AN116" s="338"/>
      <c r="AO116" s="21"/>
      <c r="AP116" s="25"/>
      <c r="AQ116" s="309"/>
      <c r="AR116" s="19"/>
      <c r="AS116" s="21"/>
      <c r="AT116" s="25"/>
      <c r="AU116" s="522">
        <f t="shared" si="5"/>
        <v>812000</v>
      </c>
      <c r="AV116" s="311">
        <f t="shared" si="6"/>
        <v>812000</v>
      </c>
      <c r="AW116" s="305"/>
      <c r="AX116" s="291"/>
      <c r="AY116" s="291"/>
      <c r="AZ116" s="291"/>
      <c r="BA116" s="291"/>
      <c r="BB116" s="291"/>
      <c r="BC116" s="291"/>
      <c r="BD116" s="291"/>
      <c r="BE116" s="291"/>
      <c r="BF116" s="291"/>
      <c r="BG116" s="291"/>
      <c r="BH116" s="291"/>
      <c r="BI116" s="291"/>
      <c r="BJ116" s="291"/>
      <c r="BK116" s="291"/>
      <c r="BL116" s="291"/>
      <c r="BM116" s="291"/>
      <c r="BN116" s="291"/>
      <c r="BO116" s="291"/>
      <c r="BP116" s="291"/>
      <c r="BQ116" s="291"/>
      <c r="BR116" s="291"/>
      <c r="BS116" s="291"/>
      <c r="BT116" s="291"/>
      <c r="BU116" s="291"/>
      <c r="BV116" s="291"/>
      <c r="BW116" s="291"/>
      <c r="BX116" s="291"/>
      <c r="BY116" s="291"/>
      <c r="BZ116" s="291"/>
      <c r="CA116" s="291"/>
      <c r="CB116" s="291"/>
      <c r="CC116" s="291"/>
      <c r="CD116" s="291"/>
      <c r="CE116" s="291"/>
      <c r="CF116" s="291"/>
      <c r="CG116" s="291"/>
      <c r="CH116" s="291"/>
      <c r="CI116" s="291"/>
      <c r="CJ116" s="291"/>
      <c r="CK116" s="291"/>
      <c r="CL116" s="291"/>
      <c r="CM116" s="291"/>
      <c r="CN116" s="291"/>
      <c r="CO116" s="291"/>
      <c r="CP116" s="291"/>
      <c r="CQ116" s="291"/>
      <c r="CR116" s="291"/>
      <c r="CS116" s="291"/>
      <c r="CT116" s="291"/>
      <c r="CU116" s="291"/>
      <c r="CV116" s="291"/>
      <c r="CW116" s="291"/>
      <c r="CX116" s="291"/>
      <c r="CY116" s="291"/>
      <c r="CZ116" s="291"/>
      <c r="DA116" s="291"/>
      <c r="DB116" s="291"/>
      <c r="DC116" s="291"/>
      <c r="DD116" s="291"/>
      <c r="DE116" s="291"/>
      <c r="DF116" s="291"/>
      <c r="DG116" s="291"/>
      <c r="DH116" s="291"/>
      <c r="DI116" s="291"/>
      <c r="DJ116" s="291"/>
      <c r="DK116" s="291"/>
      <c r="DL116" s="291"/>
      <c r="DM116" s="291"/>
      <c r="DN116" s="291"/>
      <c r="DO116" s="291"/>
      <c r="DP116" s="291"/>
      <c r="DQ116" s="291"/>
      <c r="DR116" s="291"/>
      <c r="DS116" s="291"/>
      <c r="DT116" s="291"/>
      <c r="DU116" s="291"/>
      <c r="DV116" s="291"/>
      <c r="DW116" s="291"/>
      <c r="DX116" s="291"/>
      <c r="DY116" s="291"/>
      <c r="DZ116" s="291"/>
      <c r="EA116" s="291"/>
      <c r="EB116" s="291"/>
      <c r="EC116" s="291"/>
      <c r="ED116" s="291"/>
      <c r="EE116" s="291"/>
      <c r="EF116" s="291"/>
      <c r="EG116" s="291"/>
      <c r="EH116" s="291"/>
      <c r="EI116" s="291"/>
      <c r="EJ116" s="291"/>
      <c r="EK116" s="291"/>
      <c r="EL116" s="291"/>
      <c r="EM116" s="291"/>
      <c r="EN116" s="291"/>
      <c r="EO116" s="291"/>
      <c r="EP116" s="291"/>
      <c r="EQ116" s="291"/>
      <c r="ER116" s="291"/>
      <c r="ES116" s="291"/>
      <c r="ET116" s="291"/>
      <c r="EU116" s="291"/>
      <c r="EV116" s="291"/>
      <c r="EW116" s="291"/>
      <c r="EX116" s="291"/>
      <c r="EY116" s="291"/>
      <c r="EZ116" s="291"/>
      <c r="FA116" s="291"/>
      <c r="FB116" s="291"/>
      <c r="FC116" s="291"/>
      <c r="FD116" s="291"/>
      <c r="FE116" s="291"/>
      <c r="FF116" s="291"/>
      <c r="FG116" s="291"/>
      <c r="FH116" s="291"/>
      <c r="FI116" s="291"/>
      <c r="FJ116" s="291"/>
      <c r="FK116" s="291"/>
      <c r="FL116" s="291"/>
      <c r="FM116" s="291"/>
      <c r="FN116" s="291"/>
      <c r="FO116" s="291"/>
      <c r="FP116" s="291"/>
      <c r="FQ116" s="291"/>
      <c r="FR116" s="291"/>
      <c r="FS116" s="291"/>
      <c r="FT116" s="291"/>
      <c r="FU116" s="291"/>
      <c r="FV116" s="291"/>
      <c r="FW116" s="291"/>
      <c r="FX116" s="291"/>
      <c r="FY116" s="291"/>
      <c r="FZ116" s="291"/>
      <c r="GA116" s="291"/>
      <c r="GB116" s="291"/>
      <c r="GC116" s="291"/>
      <c r="GD116" s="291"/>
      <c r="GE116" s="291"/>
      <c r="GF116" s="291"/>
      <c r="GG116" s="291"/>
      <c r="GH116" s="291"/>
      <c r="GI116" s="291"/>
      <c r="GJ116" s="291"/>
      <c r="GK116" s="291"/>
      <c r="GL116" s="291"/>
      <c r="GM116" s="291"/>
      <c r="GN116" s="291"/>
      <c r="GO116" s="291"/>
      <c r="GP116" s="291"/>
      <c r="GQ116" s="291"/>
      <c r="GR116" s="291"/>
      <c r="GS116" s="291"/>
      <c r="GT116" s="291"/>
      <c r="GU116" s="291"/>
      <c r="GV116" s="291"/>
      <c r="GW116" s="291"/>
      <c r="GX116" s="291"/>
      <c r="GY116" s="291"/>
      <c r="GZ116" s="291"/>
      <c r="HA116" s="291"/>
      <c r="HB116" s="291"/>
      <c r="HC116" s="291"/>
      <c r="HD116" s="291"/>
      <c r="HE116" s="291"/>
      <c r="HF116" s="291"/>
      <c r="HG116" s="291"/>
      <c r="HH116" s="291"/>
      <c r="HI116" s="291"/>
      <c r="HJ116" s="291"/>
      <c r="HK116" s="291"/>
      <c r="HL116" s="291"/>
      <c r="HM116" s="291"/>
      <c r="HN116" s="291"/>
      <c r="HO116" s="291"/>
      <c r="HP116" s="291"/>
      <c r="HQ116" s="291"/>
      <c r="HR116" s="291"/>
      <c r="HS116" s="291"/>
      <c r="HT116" s="291"/>
      <c r="HU116" s="291"/>
      <c r="HV116" s="291"/>
      <c r="HW116" s="291"/>
      <c r="HX116" s="291"/>
      <c r="HY116" s="291"/>
      <c r="HZ116" s="291"/>
      <c r="IA116" s="291"/>
      <c r="IB116" s="291"/>
      <c r="IC116" s="291"/>
      <c r="ID116" s="291"/>
      <c r="IE116" s="291"/>
      <c r="IF116" s="291"/>
      <c r="IG116" s="291"/>
      <c r="IH116" s="291"/>
      <c r="II116" s="291"/>
      <c r="IJ116" s="291"/>
      <c r="IK116" s="291"/>
      <c r="IL116" s="291"/>
      <c r="IM116" s="291"/>
      <c r="IN116" s="291"/>
      <c r="IO116" s="291"/>
      <c r="IP116" s="291"/>
      <c r="IQ116" s="291"/>
      <c r="IR116" s="291"/>
      <c r="IS116" s="291"/>
      <c r="IT116" s="291"/>
      <c r="IU116" s="291"/>
      <c r="IV116" s="291"/>
      <c r="IW116" s="291"/>
      <c r="IX116" s="291"/>
      <c r="IY116" s="291"/>
      <c r="IZ116" s="291"/>
      <c r="JA116" s="291"/>
      <c r="JB116" s="291"/>
      <c r="JC116" s="291"/>
      <c r="JD116" s="291"/>
      <c r="JE116" s="291"/>
      <c r="JF116" s="291"/>
      <c r="JG116" s="291"/>
      <c r="JH116" s="291"/>
      <c r="JI116" s="291"/>
      <c r="JJ116" s="291"/>
      <c r="JK116" s="291"/>
      <c r="JL116" s="291"/>
      <c r="JM116" s="291"/>
      <c r="JN116" s="291"/>
      <c r="JO116" s="291"/>
      <c r="JP116" s="291"/>
      <c r="JQ116" s="291"/>
      <c r="JR116" s="291"/>
      <c r="JS116" s="291"/>
      <c r="JT116" s="291"/>
      <c r="JU116" s="291"/>
      <c r="JV116" s="291"/>
      <c r="JW116" s="291"/>
      <c r="JX116" s="291"/>
      <c r="JY116" s="291"/>
      <c r="JZ116" s="291"/>
      <c r="KA116" s="291"/>
      <c r="KB116" s="291"/>
      <c r="KC116" s="291"/>
      <c r="KD116" s="291"/>
      <c r="KE116" s="291"/>
      <c r="KF116" s="291"/>
      <c r="KG116" s="291"/>
      <c r="KH116" s="291"/>
      <c r="KI116" s="291"/>
      <c r="KJ116" s="291"/>
      <c r="KK116" s="291"/>
      <c r="KL116" s="291"/>
      <c r="KM116" s="291"/>
      <c r="KN116" s="291"/>
      <c r="KO116" s="291"/>
      <c r="KP116" s="291"/>
      <c r="KQ116" s="291"/>
      <c r="KR116" s="291"/>
      <c r="KS116" s="291"/>
      <c r="KT116" s="291"/>
      <c r="KU116" s="291"/>
      <c r="KV116" s="291"/>
      <c r="KW116" s="291"/>
      <c r="KX116" s="291"/>
      <c r="KY116" s="291"/>
      <c r="KZ116" s="291"/>
      <c r="LA116" s="291"/>
      <c r="LB116" s="291"/>
      <c r="LC116" s="291"/>
      <c r="LD116" s="291"/>
      <c r="LE116" s="291"/>
      <c r="LF116" s="291"/>
      <c r="LG116" s="291"/>
      <c r="LH116" s="291"/>
      <c r="LI116" s="291"/>
      <c r="LJ116" s="291"/>
      <c r="LK116" s="291"/>
      <c r="LL116" s="291"/>
      <c r="LM116" s="291"/>
      <c r="LN116" s="291"/>
      <c r="LO116" s="291"/>
      <c r="LP116" s="291"/>
      <c r="LQ116" s="291"/>
      <c r="LR116" s="291"/>
      <c r="LS116" s="291"/>
      <c r="LT116" s="291"/>
      <c r="LU116" s="291"/>
      <c r="LV116" s="291"/>
      <c r="LW116" s="291"/>
      <c r="LX116" s="291"/>
      <c r="LY116" s="291"/>
      <c r="LZ116" s="291"/>
      <c r="MA116" s="291"/>
      <c r="MB116" s="291"/>
      <c r="MC116" s="291"/>
      <c r="MD116" s="291"/>
      <c r="ME116" s="291"/>
      <c r="MF116" s="291"/>
      <c r="MG116" s="291"/>
      <c r="MH116" s="291"/>
      <c r="MI116" s="291"/>
      <c r="MJ116" s="291"/>
      <c r="MK116" s="291"/>
      <c r="ML116" s="291"/>
      <c r="MM116" s="291"/>
      <c r="MN116" s="291"/>
      <c r="MO116" s="291"/>
      <c r="MP116" s="291"/>
      <c r="MQ116" s="291"/>
      <c r="MR116" s="291"/>
      <c r="MS116" s="291"/>
      <c r="MT116" s="291"/>
      <c r="MU116" s="291"/>
      <c r="MV116" s="291"/>
      <c r="MW116" s="291"/>
      <c r="MX116" s="291"/>
      <c r="MY116" s="291"/>
      <c r="MZ116" s="291"/>
      <c r="NA116" s="291"/>
      <c r="NB116" s="291"/>
      <c r="NC116" s="291"/>
      <c r="ND116" s="291"/>
      <c r="NE116" s="291"/>
      <c r="NF116" s="291"/>
      <c r="NG116" s="291"/>
      <c r="NH116" s="291"/>
      <c r="NI116" s="291"/>
      <c r="NJ116" s="291"/>
      <c r="NK116" s="291"/>
      <c r="NL116" s="291"/>
      <c r="NM116" s="291"/>
      <c r="NN116" s="291"/>
      <c r="NO116" s="291"/>
      <c r="NP116" s="291"/>
      <c r="NQ116" s="291"/>
      <c r="NR116" s="291"/>
      <c r="NS116" s="291"/>
      <c r="NT116" s="291"/>
      <c r="NU116" s="291"/>
      <c r="NV116" s="291"/>
      <c r="NW116" s="291"/>
      <c r="NX116" s="291"/>
      <c r="NY116" s="291"/>
      <c r="NZ116" s="291"/>
      <c r="OA116" s="291"/>
      <c r="OB116" s="291"/>
      <c r="OC116" s="291"/>
      <c r="OD116" s="291"/>
      <c r="OE116" s="291"/>
      <c r="OF116" s="291"/>
      <c r="OG116" s="291"/>
      <c r="OH116" s="291"/>
      <c r="OI116" s="291"/>
      <c r="OJ116" s="291"/>
      <c r="OK116" s="291"/>
      <c r="OL116" s="291"/>
      <c r="OM116" s="291"/>
      <c r="ON116" s="291"/>
      <c r="OO116" s="291"/>
      <c r="OP116" s="291"/>
      <c r="OQ116" s="291"/>
      <c r="OR116" s="291"/>
      <c r="OS116" s="291"/>
      <c r="OT116" s="291"/>
      <c r="OU116" s="291"/>
      <c r="OV116" s="291"/>
      <c r="OW116" s="291"/>
    </row>
    <row r="117" spans="1:413" s="257" customFormat="1" hidden="1" x14ac:dyDescent="0.2">
      <c r="A117" s="291"/>
      <c r="B117" s="524">
        <f t="shared" si="7"/>
        <v>101</v>
      </c>
      <c r="C117" s="510" t="s">
        <v>38</v>
      </c>
      <c r="D117" s="511">
        <v>30136329</v>
      </c>
      <c r="E117" s="511"/>
      <c r="F117" s="512" t="s">
        <v>1257</v>
      </c>
      <c r="G117" s="513" t="s">
        <v>46</v>
      </c>
      <c r="H117" s="514" t="s">
        <v>1094</v>
      </c>
      <c r="I117" s="515" t="s">
        <v>1118</v>
      </c>
      <c r="J117" s="346" t="s">
        <v>42</v>
      </c>
      <c r="K117" s="526">
        <v>48285</v>
      </c>
      <c r="L117" s="527">
        <v>25644</v>
      </c>
      <c r="M117" s="528">
        <v>0</v>
      </c>
      <c r="N117" s="519">
        <v>0</v>
      </c>
      <c r="O117" s="519">
        <v>0</v>
      </c>
      <c r="P117" s="519">
        <v>0</v>
      </c>
      <c r="Q117" s="519">
        <v>0</v>
      </c>
      <c r="R117" s="519">
        <v>14520</v>
      </c>
      <c r="S117" s="520">
        <v>0</v>
      </c>
      <c r="T117" s="18"/>
      <c r="U117" s="18"/>
      <c r="V117" s="18"/>
      <c r="W117" s="18"/>
      <c r="X117" s="18"/>
      <c r="Y117" s="18"/>
      <c r="Z117" s="18">
        <f t="shared" si="4"/>
        <v>14520</v>
      </c>
      <c r="AA117" s="309">
        <v>14520</v>
      </c>
      <c r="AB117" s="19">
        <v>5</v>
      </c>
      <c r="AC117" s="521">
        <v>44224</v>
      </c>
      <c r="AD117" s="25">
        <v>44251</v>
      </c>
      <c r="AE117" s="309"/>
      <c r="AF117" s="314"/>
      <c r="AG117" s="315"/>
      <c r="AH117" s="316"/>
      <c r="AI117" s="309"/>
      <c r="AJ117" s="338"/>
      <c r="AK117" s="315"/>
      <c r="AL117" s="316"/>
      <c r="AM117" s="309"/>
      <c r="AN117" s="338"/>
      <c r="AO117" s="21"/>
      <c r="AP117" s="25"/>
      <c r="AQ117" s="309"/>
      <c r="AR117" s="19"/>
      <c r="AS117" s="21"/>
      <c r="AT117" s="25"/>
      <c r="AU117" s="522">
        <f t="shared" si="5"/>
        <v>14520</v>
      </c>
      <c r="AV117" s="311">
        <f t="shared" si="6"/>
        <v>0</v>
      </c>
      <c r="AW117" s="305"/>
      <c r="AX117" s="291"/>
      <c r="AY117" s="291"/>
      <c r="AZ117" s="291"/>
      <c r="BA117" s="291"/>
      <c r="BB117" s="291"/>
      <c r="BC117" s="291"/>
      <c r="BD117" s="291"/>
      <c r="BE117" s="291"/>
      <c r="BF117" s="291"/>
      <c r="BG117" s="291"/>
      <c r="BH117" s="291"/>
      <c r="BI117" s="291"/>
      <c r="BJ117" s="291"/>
      <c r="BK117" s="291"/>
      <c r="BL117" s="291"/>
      <c r="BM117" s="291"/>
      <c r="BN117" s="291"/>
      <c r="BO117" s="291"/>
      <c r="BP117" s="291"/>
      <c r="BQ117" s="291"/>
      <c r="BR117" s="291"/>
      <c r="BS117" s="291"/>
      <c r="BT117" s="291"/>
      <c r="BU117" s="291"/>
      <c r="BV117" s="291"/>
      <c r="BW117" s="291"/>
      <c r="BX117" s="291"/>
      <c r="BY117" s="291"/>
      <c r="BZ117" s="291"/>
      <c r="CA117" s="291"/>
      <c r="CB117" s="291"/>
      <c r="CC117" s="291"/>
      <c r="CD117" s="291"/>
      <c r="CE117" s="291"/>
      <c r="CF117" s="291"/>
      <c r="CG117" s="291"/>
      <c r="CH117" s="291"/>
      <c r="CI117" s="291"/>
      <c r="CJ117" s="291"/>
      <c r="CK117" s="291"/>
      <c r="CL117" s="291"/>
      <c r="CM117" s="291"/>
      <c r="CN117" s="291"/>
      <c r="CO117" s="291"/>
      <c r="CP117" s="291"/>
      <c r="CQ117" s="291"/>
      <c r="CR117" s="291"/>
      <c r="CS117" s="291"/>
      <c r="CT117" s="291"/>
      <c r="CU117" s="291"/>
      <c r="CV117" s="291"/>
      <c r="CW117" s="291"/>
      <c r="CX117" s="291"/>
      <c r="CY117" s="291"/>
      <c r="CZ117" s="291"/>
      <c r="DA117" s="291"/>
      <c r="DB117" s="291"/>
      <c r="DC117" s="291"/>
      <c r="DD117" s="291"/>
      <c r="DE117" s="291"/>
      <c r="DF117" s="291"/>
      <c r="DG117" s="291"/>
      <c r="DH117" s="291"/>
      <c r="DI117" s="291"/>
      <c r="DJ117" s="291"/>
      <c r="DK117" s="291"/>
      <c r="DL117" s="291"/>
      <c r="DM117" s="291"/>
      <c r="DN117" s="291"/>
      <c r="DO117" s="291"/>
      <c r="DP117" s="291"/>
      <c r="DQ117" s="291"/>
      <c r="DR117" s="291"/>
      <c r="DS117" s="291"/>
      <c r="DT117" s="291"/>
      <c r="DU117" s="291"/>
      <c r="DV117" s="291"/>
      <c r="DW117" s="291"/>
      <c r="DX117" s="291"/>
      <c r="DY117" s="291"/>
      <c r="DZ117" s="291"/>
      <c r="EA117" s="291"/>
      <c r="EB117" s="291"/>
      <c r="EC117" s="291"/>
      <c r="ED117" s="291"/>
      <c r="EE117" s="291"/>
      <c r="EF117" s="291"/>
      <c r="EG117" s="291"/>
      <c r="EH117" s="291"/>
      <c r="EI117" s="291"/>
      <c r="EJ117" s="291"/>
      <c r="EK117" s="291"/>
      <c r="EL117" s="291"/>
      <c r="EM117" s="291"/>
      <c r="EN117" s="291"/>
      <c r="EO117" s="291"/>
      <c r="EP117" s="291"/>
      <c r="EQ117" s="291"/>
      <c r="ER117" s="291"/>
      <c r="ES117" s="291"/>
      <c r="ET117" s="291"/>
      <c r="EU117" s="291"/>
      <c r="EV117" s="291"/>
      <c r="EW117" s="291"/>
      <c r="EX117" s="291"/>
      <c r="EY117" s="291"/>
      <c r="EZ117" s="291"/>
      <c r="FA117" s="291"/>
      <c r="FB117" s="291"/>
      <c r="FC117" s="291"/>
      <c r="FD117" s="291"/>
      <c r="FE117" s="291"/>
      <c r="FF117" s="291"/>
      <c r="FG117" s="291"/>
      <c r="FH117" s="291"/>
      <c r="FI117" s="291"/>
      <c r="FJ117" s="291"/>
      <c r="FK117" s="291"/>
      <c r="FL117" s="291"/>
      <c r="FM117" s="291"/>
      <c r="FN117" s="291"/>
      <c r="FO117" s="291"/>
      <c r="FP117" s="291"/>
      <c r="FQ117" s="291"/>
      <c r="FR117" s="291"/>
      <c r="FS117" s="291"/>
      <c r="FT117" s="291"/>
      <c r="FU117" s="291"/>
      <c r="FV117" s="291"/>
      <c r="FW117" s="291"/>
      <c r="FX117" s="291"/>
      <c r="FY117" s="291"/>
      <c r="FZ117" s="291"/>
      <c r="GA117" s="291"/>
      <c r="GB117" s="291"/>
      <c r="GC117" s="291"/>
      <c r="GD117" s="291"/>
      <c r="GE117" s="291"/>
      <c r="GF117" s="291"/>
      <c r="GG117" s="291"/>
      <c r="GH117" s="291"/>
      <c r="GI117" s="291"/>
      <c r="GJ117" s="291"/>
      <c r="GK117" s="291"/>
      <c r="GL117" s="291"/>
      <c r="GM117" s="291"/>
      <c r="GN117" s="291"/>
      <c r="GO117" s="291"/>
      <c r="GP117" s="291"/>
      <c r="GQ117" s="291"/>
      <c r="GR117" s="291"/>
      <c r="GS117" s="291"/>
      <c r="GT117" s="291"/>
      <c r="GU117" s="291"/>
      <c r="GV117" s="291"/>
      <c r="GW117" s="291"/>
      <c r="GX117" s="291"/>
      <c r="GY117" s="291"/>
      <c r="GZ117" s="291"/>
      <c r="HA117" s="291"/>
      <c r="HB117" s="291"/>
      <c r="HC117" s="291"/>
      <c r="HD117" s="291"/>
      <c r="HE117" s="291"/>
      <c r="HF117" s="291"/>
      <c r="HG117" s="291"/>
      <c r="HH117" s="291"/>
      <c r="HI117" s="291"/>
      <c r="HJ117" s="291"/>
      <c r="HK117" s="291"/>
      <c r="HL117" s="291"/>
      <c r="HM117" s="291"/>
      <c r="HN117" s="291"/>
      <c r="HO117" s="291"/>
      <c r="HP117" s="291"/>
      <c r="HQ117" s="291"/>
      <c r="HR117" s="291"/>
      <c r="HS117" s="291"/>
      <c r="HT117" s="291"/>
      <c r="HU117" s="291"/>
      <c r="HV117" s="291"/>
      <c r="HW117" s="291"/>
      <c r="HX117" s="291"/>
      <c r="HY117" s="291"/>
      <c r="HZ117" s="291"/>
      <c r="IA117" s="291"/>
      <c r="IB117" s="291"/>
      <c r="IC117" s="291"/>
      <c r="ID117" s="291"/>
      <c r="IE117" s="291"/>
      <c r="IF117" s="291"/>
      <c r="IG117" s="291"/>
      <c r="IH117" s="291"/>
      <c r="II117" s="291"/>
      <c r="IJ117" s="291"/>
      <c r="IK117" s="291"/>
      <c r="IL117" s="291"/>
      <c r="IM117" s="291"/>
      <c r="IN117" s="291"/>
      <c r="IO117" s="291"/>
      <c r="IP117" s="291"/>
      <c r="IQ117" s="291"/>
      <c r="IR117" s="291"/>
      <c r="IS117" s="291"/>
      <c r="IT117" s="291"/>
      <c r="IU117" s="291"/>
      <c r="IV117" s="291"/>
      <c r="IW117" s="291"/>
      <c r="IX117" s="291"/>
      <c r="IY117" s="291"/>
      <c r="IZ117" s="291"/>
      <c r="JA117" s="291"/>
      <c r="JB117" s="291"/>
      <c r="JC117" s="291"/>
      <c r="JD117" s="291"/>
      <c r="JE117" s="291"/>
      <c r="JF117" s="291"/>
      <c r="JG117" s="291"/>
      <c r="JH117" s="291"/>
      <c r="JI117" s="291"/>
      <c r="JJ117" s="291"/>
      <c r="JK117" s="291"/>
      <c r="JL117" s="291"/>
      <c r="JM117" s="291"/>
      <c r="JN117" s="291"/>
      <c r="JO117" s="291"/>
      <c r="JP117" s="291"/>
      <c r="JQ117" s="291"/>
      <c r="JR117" s="291"/>
      <c r="JS117" s="291"/>
      <c r="JT117" s="291"/>
      <c r="JU117" s="291"/>
      <c r="JV117" s="291"/>
      <c r="JW117" s="291"/>
      <c r="JX117" s="291"/>
      <c r="JY117" s="291"/>
      <c r="JZ117" s="291"/>
      <c r="KA117" s="291"/>
      <c r="KB117" s="291"/>
      <c r="KC117" s="291"/>
      <c r="KD117" s="291"/>
      <c r="KE117" s="291"/>
      <c r="KF117" s="291"/>
      <c r="KG117" s="291"/>
      <c r="KH117" s="291"/>
      <c r="KI117" s="291"/>
      <c r="KJ117" s="291"/>
      <c r="KK117" s="291"/>
      <c r="KL117" s="291"/>
      <c r="KM117" s="291"/>
      <c r="KN117" s="291"/>
      <c r="KO117" s="291"/>
      <c r="KP117" s="291"/>
      <c r="KQ117" s="291"/>
      <c r="KR117" s="291"/>
      <c r="KS117" s="291"/>
      <c r="KT117" s="291"/>
      <c r="KU117" s="291"/>
      <c r="KV117" s="291"/>
      <c r="KW117" s="291"/>
      <c r="KX117" s="291"/>
      <c r="KY117" s="291"/>
      <c r="KZ117" s="291"/>
      <c r="LA117" s="291"/>
      <c r="LB117" s="291"/>
      <c r="LC117" s="291"/>
      <c r="LD117" s="291"/>
      <c r="LE117" s="291"/>
      <c r="LF117" s="291"/>
      <c r="LG117" s="291"/>
      <c r="LH117" s="291"/>
      <c r="LI117" s="291"/>
      <c r="LJ117" s="291"/>
      <c r="LK117" s="291"/>
      <c r="LL117" s="291"/>
      <c r="LM117" s="291"/>
      <c r="LN117" s="291"/>
      <c r="LO117" s="291"/>
      <c r="LP117" s="291"/>
      <c r="LQ117" s="291"/>
      <c r="LR117" s="291"/>
      <c r="LS117" s="291"/>
      <c r="LT117" s="291"/>
      <c r="LU117" s="291"/>
      <c r="LV117" s="291"/>
      <c r="LW117" s="291"/>
      <c r="LX117" s="291"/>
      <c r="LY117" s="291"/>
      <c r="LZ117" s="291"/>
      <c r="MA117" s="291"/>
      <c r="MB117" s="291"/>
      <c r="MC117" s="291"/>
      <c r="MD117" s="291"/>
      <c r="ME117" s="291"/>
      <c r="MF117" s="291"/>
      <c r="MG117" s="291"/>
      <c r="MH117" s="291"/>
      <c r="MI117" s="291"/>
      <c r="MJ117" s="291"/>
      <c r="MK117" s="291"/>
      <c r="ML117" s="291"/>
      <c r="MM117" s="291"/>
      <c r="MN117" s="291"/>
      <c r="MO117" s="291"/>
      <c r="MP117" s="291"/>
      <c r="MQ117" s="291"/>
      <c r="MR117" s="291"/>
      <c r="MS117" s="291"/>
      <c r="MT117" s="291"/>
      <c r="MU117" s="291"/>
      <c r="MV117" s="291"/>
      <c r="MW117" s="291"/>
      <c r="MX117" s="291"/>
      <c r="MY117" s="291"/>
      <c r="MZ117" s="291"/>
      <c r="NA117" s="291"/>
      <c r="NB117" s="291"/>
      <c r="NC117" s="291"/>
      <c r="ND117" s="291"/>
      <c r="NE117" s="291"/>
      <c r="NF117" s="291"/>
      <c r="NG117" s="291"/>
      <c r="NH117" s="291"/>
      <c r="NI117" s="291"/>
      <c r="NJ117" s="291"/>
      <c r="NK117" s="291"/>
      <c r="NL117" s="291"/>
      <c r="NM117" s="291"/>
      <c r="NN117" s="291"/>
      <c r="NO117" s="291"/>
      <c r="NP117" s="291"/>
      <c r="NQ117" s="291"/>
      <c r="NR117" s="291"/>
      <c r="NS117" s="291"/>
      <c r="NT117" s="291"/>
      <c r="NU117" s="291"/>
      <c r="NV117" s="291"/>
      <c r="NW117" s="291"/>
      <c r="NX117" s="291"/>
      <c r="NY117" s="291"/>
      <c r="NZ117" s="291"/>
      <c r="OA117" s="291"/>
      <c r="OB117" s="291"/>
      <c r="OC117" s="291"/>
      <c r="OD117" s="291"/>
      <c r="OE117" s="291"/>
      <c r="OF117" s="291"/>
      <c r="OG117" s="291"/>
      <c r="OH117" s="291"/>
      <c r="OI117" s="291"/>
      <c r="OJ117" s="291"/>
      <c r="OK117" s="291"/>
      <c r="OL117" s="291"/>
      <c r="OM117" s="291"/>
      <c r="ON117" s="291"/>
      <c r="OO117" s="291"/>
      <c r="OP117" s="291"/>
      <c r="OQ117" s="291"/>
      <c r="OR117" s="291"/>
      <c r="OS117" s="291"/>
      <c r="OT117" s="291"/>
      <c r="OU117" s="291"/>
      <c r="OV117" s="291"/>
      <c r="OW117" s="291"/>
    </row>
    <row r="118" spans="1:413" s="257" customFormat="1" hidden="1" x14ac:dyDescent="0.2">
      <c r="A118" s="291"/>
      <c r="B118" s="524">
        <f t="shared" si="7"/>
        <v>102</v>
      </c>
      <c r="C118" s="510" t="s">
        <v>38</v>
      </c>
      <c r="D118" s="511">
        <v>30155873</v>
      </c>
      <c r="E118" s="511"/>
      <c r="F118" s="512" t="s">
        <v>1258</v>
      </c>
      <c r="G118" s="513" t="s">
        <v>45</v>
      </c>
      <c r="H118" s="514" t="s">
        <v>1094</v>
      </c>
      <c r="I118" s="515" t="s">
        <v>1118</v>
      </c>
      <c r="J118" s="346" t="s">
        <v>42</v>
      </c>
      <c r="K118" s="526">
        <v>2385177</v>
      </c>
      <c r="L118" s="527">
        <v>843562</v>
      </c>
      <c r="M118" s="528">
        <v>2</v>
      </c>
      <c r="N118" s="519">
        <v>0</v>
      </c>
      <c r="O118" s="519">
        <v>395339</v>
      </c>
      <c r="P118" s="519">
        <v>81441</v>
      </c>
      <c r="Q118" s="519">
        <v>11467</v>
      </c>
      <c r="R118" s="519">
        <v>197039</v>
      </c>
      <c r="S118" s="520">
        <v>53630</v>
      </c>
      <c r="T118" s="18"/>
      <c r="U118" s="18"/>
      <c r="V118" s="18"/>
      <c r="W118" s="18"/>
      <c r="X118" s="18"/>
      <c r="Y118" s="18"/>
      <c r="Z118" s="18">
        <f t="shared" si="4"/>
        <v>738916</v>
      </c>
      <c r="AA118" s="309">
        <v>1541613</v>
      </c>
      <c r="AB118" s="19">
        <v>5</v>
      </c>
      <c r="AC118" s="521">
        <v>44224</v>
      </c>
      <c r="AD118" s="25">
        <v>44251</v>
      </c>
      <c r="AE118" s="309"/>
      <c r="AF118" s="314"/>
      <c r="AG118" s="315"/>
      <c r="AH118" s="316"/>
      <c r="AI118" s="309"/>
      <c r="AJ118" s="338"/>
      <c r="AK118" s="315"/>
      <c r="AL118" s="316"/>
      <c r="AM118" s="309"/>
      <c r="AN118" s="338"/>
      <c r="AO118" s="21"/>
      <c r="AP118" s="25"/>
      <c r="AQ118" s="309"/>
      <c r="AR118" s="19"/>
      <c r="AS118" s="21"/>
      <c r="AT118" s="25"/>
      <c r="AU118" s="522">
        <f t="shared" si="5"/>
        <v>1541613</v>
      </c>
      <c r="AV118" s="311">
        <f t="shared" si="6"/>
        <v>802697</v>
      </c>
      <c r="AW118" s="305"/>
      <c r="AX118" s="291"/>
      <c r="AY118" s="291"/>
      <c r="AZ118" s="291"/>
      <c r="BA118" s="291"/>
      <c r="BB118" s="291"/>
      <c r="BC118" s="291"/>
      <c r="BD118" s="291"/>
      <c r="BE118" s="291"/>
      <c r="BF118" s="291"/>
      <c r="BG118" s="291"/>
      <c r="BH118" s="291"/>
      <c r="BI118" s="291"/>
      <c r="BJ118" s="291"/>
      <c r="BK118" s="291"/>
      <c r="BL118" s="291"/>
      <c r="BM118" s="291"/>
      <c r="BN118" s="291"/>
      <c r="BO118" s="291"/>
      <c r="BP118" s="291"/>
      <c r="BQ118" s="291"/>
      <c r="BR118" s="291"/>
      <c r="BS118" s="291"/>
      <c r="BT118" s="291"/>
      <c r="BU118" s="291"/>
      <c r="BV118" s="291"/>
      <c r="BW118" s="291"/>
      <c r="BX118" s="291"/>
      <c r="BY118" s="291"/>
      <c r="BZ118" s="291"/>
      <c r="CA118" s="291"/>
      <c r="CB118" s="291"/>
      <c r="CC118" s="291"/>
      <c r="CD118" s="291"/>
      <c r="CE118" s="291"/>
      <c r="CF118" s="291"/>
      <c r="CG118" s="291"/>
      <c r="CH118" s="291"/>
      <c r="CI118" s="291"/>
      <c r="CJ118" s="291"/>
      <c r="CK118" s="291"/>
      <c r="CL118" s="291"/>
      <c r="CM118" s="291"/>
      <c r="CN118" s="291"/>
      <c r="CO118" s="291"/>
      <c r="CP118" s="291"/>
      <c r="CQ118" s="291"/>
      <c r="CR118" s="291"/>
      <c r="CS118" s="291"/>
      <c r="CT118" s="291"/>
      <c r="CU118" s="291"/>
      <c r="CV118" s="291"/>
      <c r="CW118" s="291"/>
      <c r="CX118" s="291"/>
      <c r="CY118" s="291"/>
      <c r="CZ118" s="291"/>
      <c r="DA118" s="291"/>
      <c r="DB118" s="291"/>
      <c r="DC118" s="291"/>
      <c r="DD118" s="291"/>
      <c r="DE118" s="291"/>
      <c r="DF118" s="291"/>
      <c r="DG118" s="291"/>
      <c r="DH118" s="291"/>
      <c r="DI118" s="291"/>
      <c r="DJ118" s="291"/>
      <c r="DK118" s="291"/>
      <c r="DL118" s="291"/>
      <c r="DM118" s="291"/>
      <c r="DN118" s="291"/>
      <c r="DO118" s="291"/>
      <c r="DP118" s="291"/>
      <c r="DQ118" s="291"/>
      <c r="DR118" s="291"/>
      <c r="DS118" s="291"/>
      <c r="DT118" s="291"/>
      <c r="DU118" s="291"/>
      <c r="DV118" s="291"/>
      <c r="DW118" s="291"/>
      <c r="DX118" s="291"/>
      <c r="DY118" s="291"/>
      <c r="DZ118" s="291"/>
      <c r="EA118" s="291"/>
      <c r="EB118" s="291"/>
      <c r="EC118" s="291"/>
      <c r="ED118" s="291"/>
      <c r="EE118" s="291"/>
      <c r="EF118" s="291"/>
      <c r="EG118" s="291"/>
      <c r="EH118" s="291"/>
      <c r="EI118" s="291"/>
      <c r="EJ118" s="291"/>
      <c r="EK118" s="291"/>
      <c r="EL118" s="291"/>
      <c r="EM118" s="291"/>
      <c r="EN118" s="291"/>
      <c r="EO118" s="291"/>
      <c r="EP118" s="291"/>
      <c r="EQ118" s="291"/>
      <c r="ER118" s="291"/>
      <c r="ES118" s="291"/>
      <c r="ET118" s="291"/>
      <c r="EU118" s="291"/>
      <c r="EV118" s="291"/>
      <c r="EW118" s="291"/>
      <c r="EX118" s="291"/>
      <c r="EY118" s="291"/>
      <c r="EZ118" s="291"/>
      <c r="FA118" s="291"/>
      <c r="FB118" s="291"/>
      <c r="FC118" s="291"/>
      <c r="FD118" s="291"/>
      <c r="FE118" s="291"/>
      <c r="FF118" s="291"/>
      <c r="FG118" s="291"/>
      <c r="FH118" s="291"/>
      <c r="FI118" s="291"/>
      <c r="FJ118" s="291"/>
      <c r="FK118" s="291"/>
      <c r="FL118" s="291"/>
      <c r="FM118" s="291"/>
      <c r="FN118" s="291"/>
      <c r="FO118" s="291"/>
      <c r="FP118" s="291"/>
      <c r="FQ118" s="291"/>
      <c r="FR118" s="291"/>
      <c r="FS118" s="291"/>
      <c r="FT118" s="291"/>
      <c r="FU118" s="291"/>
      <c r="FV118" s="291"/>
      <c r="FW118" s="291"/>
      <c r="FX118" s="291"/>
      <c r="FY118" s="291"/>
      <c r="FZ118" s="291"/>
      <c r="GA118" s="291"/>
      <c r="GB118" s="291"/>
      <c r="GC118" s="291"/>
      <c r="GD118" s="291"/>
      <c r="GE118" s="291"/>
      <c r="GF118" s="291"/>
      <c r="GG118" s="291"/>
      <c r="GH118" s="291"/>
      <c r="GI118" s="291"/>
      <c r="GJ118" s="291"/>
      <c r="GK118" s="291"/>
      <c r="GL118" s="291"/>
      <c r="GM118" s="291"/>
      <c r="GN118" s="291"/>
      <c r="GO118" s="291"/>
      <c r="GP118" s="291"/>
      <c r="GQ118" s="291"/>
      <c r="GR118" s="291"/>
      <c r="GS118" s="291"/>
      <c r="GT118" s="291"/>
      <c r="GU118" s="291"/>
      <c r="GV118" s="291"/>
      <c r="GW118" s="291"/>
      <c r="GX118" s="291"/>
      <c r="GY118" s="291"/>
      <c r="GZ118" s="291"/>
      <c r="HA118" s="291"/>
      <c r="HB118" s="291"/>
      <c r="HC118" s="291"/>
      <c r="HD118" s="291"/>
      <c r="HE118" s="291"/>
      <c r="HF118" s="291"/>
      <c r="HG118" s="291"/>
      <c r="HH118" s="291"/>
      <c r="HI118" s="291"/>
      <c r="HJ118" s="291"/>
      <c r="HK118" s="291"/>
      <c r="HL118" s="291"/>
      <c r="HM118" s="291"/>
      <c r="HN118" s="291"/>
      <c r="HO118" s="291"/>
      <c r="HP118" s="291"/>
      <c r="HQ118" s="291"/>
      <c r="HR118" s="291"/>
      <c r="HS118" s="291"/>
      <c r="HT118" s="291"/>
      <c r="HU118" s="291"/>
      <c r="HV118" s="291"/>
      <c r="HW118" s="291"/>
      <c r="HX118" s="291"/>
      <c r="HY118" s="291"/>
      <c r="HZ118" s="291"/>
      <c r="IA118" s="291"/>
      <c r="IB118" s="291"/>
      <c r="IC118" s="291"/>
      <c r="ID118" s="291"/>
      <c r="IE118" s="291"/>
      <c r="IF118" s="291"/>
      <c r="IG118" s="291"/>
      <c r="IH118" s="291"/>
      <c r="II118" s="291"/>
      <c r="IJ118" s="291"/>
      <c r="IK118" s="291"/>
      <c r="IL118" s="291"/>
      <c r="IM118" s="291"/>
      <c r="IN118" s="291"/>
      <c r="IO118" s="291"/>
      <c r="IP118" s="291"/>
      <c r="IQ118" s="291"/>
      <c r="IR118" s="291"/>
      <c r="IS118" s="291"/>
      <c r="IT118" s="291"/>
      <c r="IU118" s="291"/>
      <c r="IV118" s="291"/>
      <c r="IW118" s="291"/>
      <c r="IX118" s="291"/>
      <c r="IY118" s="291"/>
      <c r="IZ118" s="291"/>
      <c r="JA118" s="291"/>
      <c r="JB118" s="291"/>
      <c r="JC118" s="291"/>
      <c r="JD118" s="291"/>
      <c r="JE118" s="291"/>
      <c r="JF118" s="291"/>
      <c r="JG118" s="291"/>
      <c r="JH118" s="291"/>
      <c r="JI118" s="291"/>
      <c r="JJ118" s="291"/>
      <c r="JK118" s="291"/>
      <c r="JL118" s="291"/>
      <c r="JM118" s="291"/>
      <c r="JN118" s="291"/>
      <c r="JO118" s="291"/>
      <c r="JP118" s="291"/>
      <c r="JQ118" s="291"/>
      <c r="JR118" s="291"/>
      <c r="JS118" s="291"/>
      <c r="JT118" s="291"/>
      <c r="JU118" s="291"/>
      <c r="JV118" s="291"/>
      <c r="JW118" s="291"/>
      <c r="JX118" s="291"/>
      <c r="JY118" s="291"/>
      <c r="JZ118" s="291"/>
      <c r="KA118" s="291"/>
      <c r="KB118" s="291"/>
      <c r="KC118" s="291"/>
      <c r="KD118" s="291"/>
      <c r="KE118" s="291"/>
      <c r="KF118" s="291"/>
      <c r="KG118" s="291"/>
      <c r="KH118" s="291"/>
      <c r="KI118" s="291"/>
      <c r="KJ118" s="291"/>
      <c r="KK118" s="291"/>
      <c r="KL118" s="291"/>
      <c r="KM118" s="291"/>
      <c r="KN118" s="291"/>
      <c r="KO118" s="291"/>
      <c r="KP118" s="291"/>
      <c r="KQ118" s="291"/>
      <c r="KR118" s="291"/>
      <c r="KS118" s="291"/>
      <c r="KT118" s="291"/>
      <c r="KU118" s="291"/>
      <c r="KV118" s="291"/>
      <c r="KW118" s="291"/>
      <c r="KX118" s="291"/>
      <c r="KY118" s="291"/>
      <c r="KZ118" s="291"/>
      <c r="LA118" s="291"/>
      <c r="LB118" s="291"/>
      <c r="LC118" s="291"/>
      <c r="LD118" s="291"/>
      <c r="LE118" s="291"/>
      <c r="LF118" s="291"/>
      <c r="LG118" s="291"/>
      <c r="LH118" s="291"/>
      <c r="LI118" s="291"/>
      <c r="LJ118" s="291"/>
      <c r="LK118" s="291"/>
      <c r="LL118" s="291"/>
      <c r="LM118" s="291"/>
      <c r="LN118" s="291"/>
      <c r="LO118" s="291"/>
      <c r="LP118" s="291"/>
      <c r="LQ118" s="291"/>
      <c r="LR118" s="291"/>
      <c r="LS118" s="291"/>
      <c r="LT118" s="291"/>
      <c r="LU118" s="291"/>
      <c r="LV118" s="291"/>
      <c r="LW118" s="291"/>
      <c r="LX118" s="291"/>
      <c r="LY118" s="291"/>
      <c r="LZ118" s="291"/>
      <c r="MA118" s="291"/>
      <c r="MB118" s="291"/>
      <c r="MC118" s="291"/>
      <c r="MD118" s="291"/>
      <c r="ME118" s="291"/>
      <c r="MF118" s="291"/>
      <c r="MG118" s="291"/>
      <c r="MH118" s="291"/>
      <c r="MI118" s="291"/>
      <c r="MJ118" s="291"/>
      <c r="MK118" s="291"/>
      <c r="ML118" s="291"/>
      <c r="MM118" s="291"/>
      <c r="MN118" s="291"/>
      <c r="MO118" s="291"/>
      <c r="MP118" s="291"/>
      <c r="MQ118" s="291"/>
      <c r="MR118" s="291"/>
      <c r="MS118" s="291"/>
      <c r="MT118" s="291"/>
      <c r="MU118" s="291"/>
      <c r="MV118" s="291"/>
      <c r="MW118" s="291"/>
      <c r="MX118" s="291"/>
      <c r="MY118" s="291"/>
      <c r="MZ118" s="291"/>
      <c r="NA118" s="291"/>
      <c r="NB118" s="291"/>
      <c r="NC118" s="291"/>
      <c r="ND118" s="291"/>
      <c r="NE118" s="291"/>
      <c r="NF118" s="291"/>
      <c r="NG118" s="291"/>
      <c r="NH118" s="291"/>
      <c r="NI118" s="291"/>
      <c r="NJ118" s="291"/>
      <c r="NK118" s="291"/>
      <c r="NL118" s="291"/>
      <c r="NM118" s="291"/>
      <c r="NN118" s="291"/>
      <c r="NO118" s="291"/>
      <c r="NP118" s="291"/>
      <c r="NQ118" s="291"/>
      <c r="NR118" s="291"/>
      <c r="NS118" s="291"/>
      <c r="NT118" s="291"/>
      <c r="NU118" s="291"/>
      <c r="NV118" s="291"/>
      <c r="NW118" s="291"/>
      <c r="NX118" s="291"/>
      <c r="NY118" s="291"/>
      <c r="NZ118" s="291"/>
      <c r="OA118" s="291"/>
      <c r="OB118" s="291"/>
      <c r="OC118" s="291"/>
      <c r="OD118" s="291"/>
      <c r="OE118" s="291"/>
      <c r="OF118" s="291"/>
      <c r="OG118" s="291"/>
      <c r="OH118" s="291"/>
      <c r="OI118" s="291"/>
      <c r="OJ118" s="291"/>
      <c r="OK118" s="291"/>
      <c r="OL118" s="291"/>
      <c r="OM118" s="291"/>
      <c r="ON118" s="291"/>
      <c r="OO118" s="291"/>
      <c r="OP118" s="291"/>
      <c r="OQ118" s="291"/>
      <c r="OR118" s="291"/>
      <c r="OS118" s="291"/>
      <c r="OT118" s="291"/>
      <c r="OU118" s="291"/>
      <c r="OV118" s="291"/>
      <c r="OW118" s="291"/>
    </row>
    <row r="119" spans="1:413" s="257" customFormat="1" x14ac:dyDescent="0.2">
      <c r="A119" s="291"/>
      <c r="B119" s="524">
        <f t="shared" si="7"/>
        <v>103</v>
      </c>
      <c r="C119" s="510" t="s">
        <v>38</v>
      </c>
      <c r="D119" s="511" t="s">
        <v>1259</v>
      </c>
      <c r="E119" s="511"/>
      <c r="F119" s="512" t="s">
        <v>1260</v>
      </c>
      <c r="G119" s="513" t="s">
        <v>45</v>
      </c>
      <c r="H119" s="514" t="s">
        <v>1098</v>
      </c>
      <c r="I119" s="515" t="s">
        <v>1120</v>
      </c>
      <c r="J119" s="346"/>
      <c r="K119" s="526">
        <v>803788</v>
      </c>
      <c r="L119" s="527">
        <v>0</v>
      </c>
      <c r="M119" s="528">
        <v>638788</v>
      </c>
      <c r="N119" s="520">
        <v>0</v>
      </c>
      <c r="O119" s="520">
        <v>0</v>
      </c>
      <c r="P119" s="520">
        <v>0</v>
      </c>
      <c r="Q119" s="520">
        <v>0</v>
      </c>
      <c r="R119" s="520">
        <v>0</v>
      </c>
      <c r="S119" s="520">
        <v>0</v>
      </c>
      <c r="T119" s="18"/>
      <c r="U119" s="18"/>
      <c r="V119" s="18"/>
      <c r="W119" s="18"/>
      <c r="X119" s="18"/>
      <c r="Y119" s="18"/>
      <c r="Z119" s="18">
        <f t="shared" si="4"/>
        <v>0</v>
      </c>
      <c r="AA119" s="309">
        <v>165000</v>
      </c>
      <c r="AB119" s="19">
        <v>22</v>
      </c>
      <c r="AC119" s="521">
        <v>44301</v>
      </c>
      <c r="AD119" s="25">
        <v>44313</v>
      </c>
      <c r="AE119" s="309">
        <v>55000</v>
      </c>
      <c r="AF119" s="314">
        <v>50</v>
      </c>
      <c r="AG119" s="315">
        <v>44356</v>
      </c>
      <c r="AH119" s="315">
        <v>44377</v>
      </c>
      <c r="AI119" s="309"/>
      <c r="AJ119" s="338"/>
      <c r="AK119" s="315"/>
      <c r="AL119" s="316"/>
      <c r="AM119" s="309"/>
      <c r="AN119" s="338"/>
      <c r="AO119" s="21"/>
      <c r="AP119" s="25"/>
      <c r="AQ119" s="309"/>
      <c r="AR119" s="19"/>
      <c r="AS119" s="21"/>
      <c r="AT119" s="25"/>
      <c r="AU119" s="522">
        <f t="shared" si="5"/>
        <v>220000</v>
      </c>
      <c r="AV119" s="311">
        <f t="shared" si="6"/>
        <v>220000</v>
      </c>
      <c r="AW119" s="305"/>
      <c r="AX119" s="291"/>
      <c r="AY119" s="291"/>
      <c r="AZ119" s="291"/>
      <c r="BA119" s="291"/>
      <c r="BB119" s="291"/>
      <c r="BC119" s="291"/>
      <c r="BD119" s="291"/>
      <c r="BE119" s="291"/>
      <c r="BF119" s="291"/>
      <c r="BG119" s="291"/>
      <c r="BH119" s="291"/>
      <c r="BI119" s="291"/>
      <c r="BJ119" s="291"/>
      <c r="BK119" s="291"/>
      <c r="BL119" s="291"/>
      <c r="BM119" s="291"/>
      <c r="BN119" s="291"/>
      <c r="BO119" s="291"/>
      <c r="BP119" s="291"/>
      <c r="BQ119" s="291"/>
      <c r="BR119" s="291"/>
      <c r="BS119" s="291"/>
      <c r="BT119" s="291"/>
      <c r="BU119" s="291"/>
      <c r="BV119" s="291"/>
      <c r="BW119" s="291"/>
      <c r="BX119" s="291"/>
      <c r="BY119" s="291"/>
      <c r="BZ119" s="291"/>
      <c r="CA119" s="291"/>
      <c r="CB119" s="291"/>
      <c r="CC119" s="291"/>
      <c r="CD119" s="291"/>
      <c r="CE119" s="291"/>
      <c r="CF119" s="291"/>
      <c r="CG119" s="291"/>
      <c r="CH119" s="291"/>
      <c r="CI119" s="291"/>
      <c r="CJ119" s="291"/>
      <c r="CK119" s="291"/>
      <c r="CL119" s="291"/>
      <c r="CM119" s="291"/>
      <c r="CN119" s="291"/>
      <c r="CO119" s="291"/>
      <c r="CP119" s="291"/>
      <c r="CQ119" s="291"/>
      <c r="CR119" s="291"/>
      <c r="CS119" s="291"/>
      <c r="CT119" s="291"/>
      <c r="CU119" s="291"/>
      <c r="CV119" s="291"/>
      <c r="CW119" s="291"/>
      <c r="CX119" s="291"/>
      <c r="CY119" s="291"/>
      <c r="CZ119" s="291"/>
      <c r="DA119" s="291"/>
      <c r="DB119" s="291"/>
      <c r="DC119" s="291"/>
      <c r="DD119" s="291"/>
      <c r="DE119" s="291"/>
      <c r="DF119" s="291"/>
      <c r="DG119" s="291"/>
      <c r="DH119" s="291"/>
      <c r="DI119" s="291"/>
      <c r="DJ119" s="291"/>
      <c r="DK119" s="291"/>
      <c r="DL119" s="291"/>
      <c r="DM119" s="291"/>
      <c r="DN119" s="291"/>
      <c r="DO119" s="291"/>
      <c r="DP119" s="291"/>
      <c r="DQ119" s="291"/>
      <c r="DR119" s="291"/>
      <c r="DS119" s="291"/>
      <c r="DT119" s="291"/>
      <c r="DU119" s="291"/>
      <c r="DV119" s="291"/>
      <c r="DW119" s="291"/>
      <c r="DX119" s="291"/>
      <c r="DY119" s="291"/>
      <c r="DZ119" s="291"/>
      <c r="EA119" s="291"/>
      <c r="EB119" s="291"/>
      <c r="EC119" s="291"/>
      <c r="ED119" s="291"/>
      <c r="EE119" s="291"/>
      <c r="EF119" s="291"/>
      <c r="EG119" s="291"/>
      <c r="EH119" s="291"/>
      <c r="EI119" s="291"/>
      <c r="EJ119" s="291"/>
      <c r="EK119" s="291"/>
      <c r="EL119" s="291"/>
      <c r="EM119" s="291"/>
      <c r="EN119" s="291"/>
      <c r="EO119" s="291"/>
      <c r="EP119" s="291"/>
      <c r="EQ119" s="291"/>
      <c r="ER119" s="291"/>
      <c r="ES119" s="291"/>
      <c r="ET119" s="291"/>
      <c r="EU119" s="291"/>
      <c r="EV119" s="291"/>
      <c r="EW119" s="291"/>
      <c r="EX119" s="291"/>
      <c r="EY119" s="291"/>
      <c r="EZ119" s="291"/>
      <c r="FA119" s="291"/>
      <c r="FB119" s="291"/>
      <c r="FC119" s="291"/>
      <c r="FD119" s="291"/>
      <c r="FE119" s="291"/>
      <c r="FF119" s="291"/>
      <c r="FG119" s="291"/>
      <c r="FH119" s="291"/>
      <c r="FI119" s="291"/>
      <c r="FJ119" s="291"/>
      <c r="FK119" s="291"/>
      <c r="FL119" s="291"/>
      <c r="FM119" s="291"/>
      <c r="FN119" s="291"/>
      <c r="FO119" s="291"/>
      <c r="FP119" s="291"/>
      <c r="FQ119" s="291"/>
      <c r="FR119" s="291"/>
      <c r="FS119" s="291"/>
      <c r="FT119" s="291"/>
      <c r="FU119" s="291"/>
      <c r="FV119" s="291"/>
      <c r="FW119" s="291"/>
      <c r="FX119" s="291"/>
      <c r="FY119" s="291"/>
      <c r="FZ119" s="291"/>
      <c r="GA119" s="291"/>
      <c r="GB119" s="291"/>
      <c r="GC119" s="291"/>
      <c r="GD119" s="291"/>
      <c r="GE119" s="291"/>
      <c r="GF119" s="291"/>
      <c r="GG119" s="291"/>
      <c r="GH119" s="291"/>
      <c r="GI119" s="291"/>
      <c r="GJ119" s="291"/>
      <c r="GK119" s="291"/>
      <c r="GL119" s="291"/>
      <c r="GM119" s="291"/>
      <c r="GN119" s="291"/>
      <c r="GO119" s="291"/>
      <c r="GP119" s="291"/>
      <c r="GQ119" s="291"/>
      <c r="GR119" s="291"/>
      <c r="GS119" s="291"/>
      <c r="GT119" s="291"/>
      <c r="GU119" s="291"/>
      <c r="GV119" s="291"/>
      <c r="GW119" s="291"/>
      <c r="GX119" s="291"/>
      <c r="GY119" s="291"/>
      <c r="GZ119" s="291"/>
      <c r="HA119" s="291"/>
      <c r="HB119" s="291"/>
      <c r="HC119" s="291"/>
      <c r="HD119" s="291"/>
      <c r="HE119" s="291"/>
      <c r="HF119" s="291"/>
      <c r="HG119" s="291"/>
      <c r="HH119" s="291"/>
      <c r="HI119" s="291"/>
      <c r="HJ119" s="291"/>
      <c r="HK119" s="291"/>
      <c r="HL119" s="291"/>
      <c r="HM119" s="291"/>
      <c r="HN119" s="291"/>
      <c r="HO119" s="291"/>
      <c r="HP119" s="291"/>
      <c r="HQ119" s="291"/>
      <c r="HR119" s="291"/>
      <c r="HS119" s="291"/>
      <c r="HT119" s="291"/>
      <c r="HU119" s="291"/>
      <c r="HV119" s="291"/>
      <c r="HW119" s="291"/>
      <c r="HX119" s="291"/>
      <c r="HY119" s="291"/>
      <c r="HZ119" s="291"/>
      <c r="IA119" s="291"/>
      <c r="IB119" s="291"/>
      <c r="IC119" s="291"/>
      <c r="ID119" s="291"/>
      <c r="IE119" s="291"/>
      <c r="IF119" s="291"/>
      <c r="IG119" s="291"/>
      <c r="IH119" s="291"/>
      <c r="II119" s="291"/>
      <c r="IJ119" s="291"/>
      <c r="IK119" s="291"/>
      <c r="IL119" s="291"/>
      <c r="IM119" s="291"/>
      <c r="IN119" s="291"/>
      <c r="IO119" s="291"/>
      <c r="IP119" s="291"/>
      <c r="IQ119" s="291"/>
      <c r="IR119" s="291"/>
      <c r="IS119" s="291"/>
      <c r="IT119" s="291"/>
      <c r="IU119" s="291"/>
      <c r="IV119" s="291"/>
      <c r="IW119" s="291"/>
      <c r="IX119" s="291"/>
      <c r="IY119" s="291"/>
      <c r="IZ119" s="291"/>
      <c r="JA119" s="291"/>
      <c r="JB119" s="291"/>
      <c r="JC119" s="291"/>
      <c r="JD119" s="291"/>
      <c r="JE119" s="291"/>
      <c r="JF119" s="291"/>
      <c r="JG119" s="291"/>
      <c r="JH119" s="291"/>
      <c r="JI119" s="291"/>
      <c r="JJ119" s="291"/>
      <c r="JK119" s="291"/>
      <c r="JL119" s="291"/>
      <c r="JM119" s="291"/>
      <c r="JN119" s="291"/>
      <c r="JO119" s="291"/>
      <c r="JP119" s="291"/>
      <c r="JQ119" s="291"/>
      <c r="JR119" s="291"/>
      <c r="JS119" s="291"/>
      <c r="JT119" s="291"/>
      <c r="JU119" s="291"/>
      <c r="JV119" s="291"/>
      <c r="JW119" s="291"/>
      <c r="JX119" s="291"/>
      <c r="JY119" s="291"/>
      <c r="JZ119" s="291"/>
      <c r="KA119" s="291"/>
      <c r="KB119" s="291"/>
      <c r="KC119" s="291"/>
      <c r="KD119" s="291"/>
      <c r="KE119" s="291"/>
      <c r="KF119" s="291"/>
      <c r="KG119" s="291"/>
      <c r="KH119" s="291"/>
      <c r="KI119" s="291"/>
      <c r="KJ119" s="291"/>
      <c r="KK119" s="291"/>
      <c r="KL119" s="291"/>
      <c r="KM119" s="291"/>
      <c r="KN119" s="291"/>
      <c r="KO119" s="291"/>
      <c r="KP119" s="291"/>
      <c r="KQ119" s="291"/>
      <c r="KR119" s="291"/>
      <c r="KS119" s="291"/>
      <c r="KT119" s="291"/>
      <c r="KU119" s="291"/>
      <c r="KV119" s="291"/>
      <c r="KW119" s="291"/>
      <c r="KX119" s="291"/>
      <c r="KY119" s="291"/>
      <c r="KZ119" s="291"/>
      <c r="LA119" s="291"/>
      <c r="LB119" s="291"/>
      <c r="LC119" s="291"/>
      <c r="LD119" s="291"/>
      <c r="LE119" s="291"/>
      <c r="LF119" s="291"/>
      <c r="LG119" s="291"/>
      <c r="LH119" s="291"/>
      <c r="LI119" s="291"/>
      <c r="LJ119" s="291"/>
      <c r="LK119" s="291"/>
      <c r="LL119" s="291"/>
      <c r="LM119" s="291"/>
      <c r="LN119" s="291"/>
      <c r="LO119" s="291"/>
      <c r="LP119" s="291"/>
      <c r="LQ119" s="291"/>
      <c r="LR119" s="291"/>
      <c r="LS119" s="291"/>
      <c r="LT119" s="291"/>
      <c r="LU119" s="291"/>
      <c r="LV119" s="291"/>
      <c r="LW119" s="291"/>
      <c r="LX119" s="291"/>
      <c r="LY119" s="291"/>
      <c r="LZ119" s="291"/>
      <c r="MA119" s="291"/>
      <c r="MB119" s="291"/>
      <c r="MC119" s="291"/>
      <c r="MD119" s="291"/>
      <c r="ME119" s="291"/>
      <c r="MF119" s="291"/>
      <c r="MG119" s="291"/>
      <c r="MH119" s="291"/>
      <c r="MI119" s="291"/>
      <c r="MJ119" s="291"/>
      <c r="MK119" s="291"/>
      <c r="ML119" s="291"/>
      <c r="MM119" s="291"/>
      <c r="MN119" s="291"/>
      <c r="MO119" s="291"/>
      <c r="MP119" s="291"/>
      <c r="MQ119" s="291"/>
      <c r="MR119" s="291"/>
      <c r="MS119" s="291"/>
      <c r="MT119" s="291"/>
      <c r="MU119" s="291"/>
      <c r="MV119" s="291"/>
      <c r="MW119" s="291"/>
      <c r="MX119" s="291"/>
      <c r="MY119" s="291"/>
      <c r="MZ119" s="291"/>
      <c r="NA119" s="291"/>
      <c r="NB119" s="291"/>
      <c r="NC119" s="291"/>
      <c r="ND119" s="291"/>
      <c r="NE119" s="291"/>
      <c r="NF119" s="291"/>
      <c r="NG119" s="291"/>
      <c r="NH119" s="291"/>
      <c r="NI119" s="291"/>
      <c r="NJ119" s="291"/>
      <c r="NK119" s="291"/>
      <c r="NL119" s="291"/>
      <c r="NM119" s="291"/>
      <c r="NN119" s="291"/>
      <c r="NO119" s="291"/>
      <c r="NP119" s="291"/>
      <c r="NQ119" s="291"/>
      <c r="NR119" s="291"/>
      <c r="NS119" s="291"/>
      <c r="NT119" s="291"/>
      <c r="NU119" s="291"/>
      <c r="NV119" s="291"/>
      <c r="NW119" s="291"/>
      <c r="NX119" s="291"/>
      <c r="NY119" s="291"/>
      <c r="NZ119" s="291"/>
      <c r="OA119" s="291"/>
      <c r="OB119" s="291"/>
      <c r="OC119" s="291"/>
      <c r="OD119" s="291"/>
      <c r="OE119" s="291"/>
      <c r="OF119" s="291"/>
      <c r="OG119" s="291"/>
      <c r="OH119" s="291"/>
      <c r="OI119" s="291"/>
      <c r="OJ119" s="291"/>
      <c r="OK119" s="291"/>
      <c r="OL119" s="291"/>
      <c r="OM119" s="291"/>
      <c r="ON119" s="291"/>
      <c r="OO119" s="291"/>
      <c r="OP119" s="291"/>
      <c r="OQ119" s="291"/>
      <c r="OR119" s="291"/>
      <c r="OS119" s="291"/>
      <c r="OT119" s="291"/>
      <c r="OU119" s="291"/>
      <c r="OV119" s="291"/>
      <c r="OW119" s="291"/>
    </row>
    <row r="120" spans="1:413" s="257" customFormat="1" hidden="1" x14ac:dyDescent="0.2">
      <c r="A120" s="291"/>
      <c r="B120" s="524">
        <f t="shared" si="7"/>
        <v>104</v>
      </c>
      <c r="C120" s="510" t="s">
        <v>38</v>
      </c>
      <c r="D120" s="511">
        <v>30221173</v>
      </c>
      <c r="E120" s="511"/>
      <c r="F120" s="512" t="s">
        <v>1261</v>
      </c>
      <c r="G120" s="513" t="s">
        <v>45</v>
      </c>
      <c r="H120" s="514" t="s">
        <v>1094</v>
      </c>
      <c r="I120" s="515" t="s">
        <v>1225</v>
      </c>
      <c r="J120" s="346" t="s">
        <v>42</v>
      </c>
      <c r="K120" s="526">
        <v>1031379</v>
      </c>
      <c r="L120" s="527">
        <v>19993</v>
      </c>
      <c r="M120" s="528">
        <v>288271</v>
      </c>
      <c r="N120" s="520">
        <v>0</v>
      </c>
      <c r="O120" s="520">
        <v>0</v>
      </c>
      <c r="P120" s="520">
        <v>0</v>
      </c>
      <c r="Q120" s="520">
        <v>0</v>
      </c>
      <c r="R120" s="520">
        <v>0</v>
      </c>
      <c r="S120" s="520">
        <v>0</v>
      </c>
      <c r="T120" s="18"/>
      <c r="U120" s="18"/>
      <c r="V120" s="18"/>
      <c r="W120" s="18"/>
      <c r="X120" s="18"/>
      <c r="Y120" s="18"/>
      <c r="Z120" s="18">
        <f t="shared" si="4"/>
        <v>0</v>
      </c>
      <c r="AA120" s="309">
        <v>700000</v>
      </c>
      <c r="AB120" s="19">
        <v>9</v>
      </c>
      <c r="AC120" s="521">
        <v>44232</v>
      </c>
      <c r="AD120" s="25">
        <v>44251</v>
      </c>
      <c r="AE120" s="309"/>
      <c r="AF120" s="314"/>
      <c r="AG120" s="315"/>
      <c r="AH120" s="316"/>
      <c r="AI120" s="309"/>
      <c r="AJ120" s="338"/>
      <c r="AK120" s="315"/>
      <c r="AL120" s="316"/>
      <c r="AM120" s="309"/>
      <c r="AN120" s="338"/>
      <c r="AO120" s="21"/>
      <c r="AP120" s="25"/>
      <c r="AQ120" s="309"/>
      <c r="AR120" s="19"/>
      <c r="AS120" s="21"/>
      <c r="AT120" s="25"/>
      <c r="AU120" s="522">
        <f t="shared" si="5"/>
        <v>700000</v>
      </c>
      <c r="AV120" s="311">
        <f t="shared" si="6"/>
        <v>700000</v>
      </c>
      <c r="AW120" s="305"/>
      <c r="AX120" s="291"/>
      <c r="AY120" s="291"/>
      <c r="AZ120" s="291"/>
      <c r="BA120" s="291"/>
      <c r="BB120" s="291"/>
      <c r="BC120" s="291"/>
      <c r="BD120" s="291"/>
      <c r="BE120" s="291"/>
      <c r="BF120" s="291"/>
      <c r="BG120" s="291"/>
      <c r="BH120" s="291"/>
      <c r="BI120" s="291"/>
      <c r="BJ120" s="291"/>
      <c r="BK120" s="291"/>
      <c r="BL120" s="291"/>
      <c r="BM120" s="291"/>
      <c r="BN120" s="291"/>
      <c r="BO120" s="291"/>
      <c r="BP120" s="291"/>
      <c r="BQ120" s="291"/>
      <c r="BR120" s="291"/>
      <c r="BS120" s="291"/>
      <c r="BT120" s="291"/>
      <c r="BU120" s="291"/>
      <c r="BV120" s="291"/>
      <c r="BW120" s="291"/>
      <c r="BX120" s="291"/>
      <c r="BY120" s="291"/>
      <c r="BZ120" s="291"/>
      <c r="CA120" s="291"/>
      <c r="CB120" s="291"/>
      <c r="CC120" s="291"/>
      <c r="CD120" s="291"/>
      <c r="CE120" s="291"/>
      <c r="CF120" s="291"/>
      <c r="CG120" s="291"/>
      <c r="CH120" s="291"/>
      <c r="CI120" s="291"/>
      <c r="CJ120" s="291"/>
      <c r="CK120" s="291"/>
      <c r="CL120" s="291"/>
      <c r="CM120" s="291"/>
      <c r="CN120" s="291"/>
      <c r="CO120" s="291"/>
      <c r="CP120" s="291"/>
      <c r="CQ120" s="291"/>
      <c r="CR120" s="291"/>
      <c r="CS120" s="291"/>
      <c r="CT120" s="291"/>
      <c r="CU120" s="291"/>
      <c r="CV120" s="291"/>
      <c r="CW120" s="291"/>
      <c r="CX120" s="291"/>
      <c r="CY120" s="291"/>
      <c r="CZ120" s="291"/>
      <c r="DA120" s="291"/>
      <c r="DB120" s="291"/>
      <c r="DC120" s="291"/>
      <c r="DD120" s="291"/>
      <c r="DE120" s="291"/>
      <c r="DF120" s="291"/>
      <c r="DG120" s="291"/>
      <c r="DH120" s="291"/>
      <c r="DI120" s="291"/>
      <c r="DJ120" s="291"/>
      <c r="DK120" s="291"/>
      <c r="DL120" s="291"/>
      <c r="DM120" s="291"/>
      <c r="DN120" s="291"/>
      <c r="DO120" s="291"/>
      <c r="DP120" s="291"/>
      <c r="DQ120" s="291"/>
      <c r="DR120" s="291"/>
      <c r="DS120" s="291"/>
      <c r="DT120" s="291"/>
      <c r="DU120" s="291"/>
      <c r="DV120" s="291"/>
      <c r="DW120" s="291"/>
      <c r="DX120" s="291"/>
      <c r="DY120" s="291"/>
      <c r="DZ120" s="291"/>
      <c r="EA120" s="291"/>
      <c r="EB120" s="291"/>
      <c r="EC120" s="291"/>
      <c r="ED120" s="291"/>
      <c r="EE120" s="291"/>
      <c r="EF120" s="291"/>
      <c r="EG120" s="291"/>
      <c r="EH120" s="291"/>
      <c r="EI120" s="291"/>
      <c r="EJ120" s="291"/>
      <c r="EK120" s="291"/>
      <c r="EL120" s="291"/>
      <c r="EM120" s="291"/>
      <c r="EN120" s="291"/>
      <c r="EO120" s="291"/>
      <c r="EP120" s="291"/>
      <c r="EQ120" s="291"/>
      <c r="ER120" s="291"/>
      <c r="ES120" s="291"/>
      <c r="ET120" s="291"/>
      <c r="EU120" s="291"/>
      <c r="EV120" s="291"/>
      <c r="EW120" s="291"/>
      <c r="EX120" s="291"/>
      <c r="EY120" s="291"/>
      <c r="EZ120" s="291"/>
      <c r="FA120" s="291"/>
      <c r="FB120" s="291"/>
      <c r="FC120" s="291"/>
      <c r="FD120" s="291"/>
      <c r="FE120" s="291"/>
      <c r="FF120" s="291"/>
      <c r="FG120" s="291"/>
      <c r="FH120" s="291"/>
      <c r="FI120" s="291"/>
      <c r="FJ120" s="291"/>
      <c r="FK120" s="291"/>
      <c r="FL120" s="291"/>
      <c r="FM120" s="291"/>
      <c r="FN120" s="291"/>
      <c r="FO120" s="291"/>
      <c r="FP120" s="291"/>
      <c r="FQ120" s="291"/>
      <c r="FR120" s="291"/>
      <c r="FS120" s="291"/>
      <c r="FT120" s="291"/>
      <c r="FU120" s="291"/>
      <c r="FV120" s="291"/>
      <c r="FW120" s="291"/>
      <c r="FX120" s="291"/>
      <c r="FY120" s="291"/>
      <c r="FZ120" s="291"/>
      <c r="GA120" s="291"/>
      <c r="GB120" s="291"/>
      <c r="GC120" s="291"/>
      <c r="GD120" s="291"/>
      <c r="GE120" s="291"/>
      <c r="GF120" s="291"/>
      <c r="GG120" s="291"/>
      <c r="GH120" s="291"/>
      <c r="GI120" s="291"/>
      <c r="GJ120" s="291"/>
      <c r="GK120" s="291"/>
      <c r="GL120" s="291"/>
      <c r="GM120" s="291"/>
      <c r="GN120" s="291"/>
      <c r="GO120" s="291"/>
      <c r="GP120" s="291"/>
      <c r="GQ120" s="291"/>
      <c r="GR120" s="291"/>
      <c r="GS120" s="291"/>
      <c r="GT120" s="291"/>
      <c r="GU120" s="291"/>
      <c r="GV120" s="291"/>
      <c r="GW120" s="291"/>
      <c r="GX120" s="291"/>
      <c r="GY120" s="291"/>
      <c r="GZ120" s="291"/>
      <c r="HA120" s="291"/>
      <c r="HB120" s="291"/>
      <c r="HC120" s="291"/>
      <c r="HD120" s="291"/>
      <c r="HE120" s="291"/>
      <c r="HF120" s="291"/>
      <c r="HG120" s="291"/>
      <c r="HH120" s="291"/>
      <c r="HI120" s="291"/>
      <c r="HJ120" s="291"/>
      <c r="HK120" s="291"/>
      <c r="HL120" s="291"/>
      <c r="HM120" s="291"/>
      <c r="HN120" s="291"/>
      <c r="HO120" s="291"/>
      <c r="HP120" s="291"/>
      <c r="HQ120" s="291"/>
      <c r="HR120" s="291"/>
      <c r="HS120" s="291"/>
      <c r="HT120" s="291"/>
      <c r="HU120" s="291"/>
      <c r="HV120" s="291"/>
      <c r="HW120" s="291"/>
      <c r="HX120" s="291"/>
      <c r="HY120" s="291"/>
      <c r="HZ120" s="291"/>
      <c r="IA120" s="291"/>
      <c r="IB120" s="291"/>
      <c r="IC120" s="291"/>
      <c r="ID120" s="291"/>
      <c r="IE120" s="291"/>
      <c r="IF120" s="291"/>
      <c r="IG120" s="291"/>
      <c r="IH120" s="291"/>
      <c r="II120" s="291"/>
      <c r="IJ120" s="291"/>
      <c r="IK120" s="291"/>
      <c r="IL120" s="291"/>
      <c r="IM120" s="291"/>
      <c r="IN120" s="291"/>
      <c r="IO120" s="291"/>
      <c r="IP120" s="291"/>
      <c r="IQ120" s="291"/>
      <c r="IR120" s="291"/>
      <c r="IS120" s="291"/>
      <c r="IT120" s="291"/>
      <c r="IU120" s="291"/>
      <c r="IV120" s="291"/>
      <c r="IW120" s="291"/>
      <c r="IX120" s="291"/>
      <c r="IY120" s="291"/>
      <c r="IZ120" s="291"/>
      <c r="JA120" s="291"/>
      <c r="JB120" s="291"/>
      <c r="JC120" s="291"/>
      <c r="JD120" s="291"/>
      <c r="JE120" s="291"/>
      <c r="JF120" s="291"/>
      <c r="JG120" s="291"/>
      <c r="JH120" s="291"/>
      <c r="JI120" s="291"/>
      <c r="JJ120" s="291"/>
      <c r="JK120" s="291"/>
      <c r="JL120" s="291"/>
      <c r="JM120" s="291"/>
      <c r="JN120" s="291"/>
      <c r="JO120" s="291"/>
      <c r="JP120" s="291"/>
      <c r="JQ120" s="291"/>
      <c r="JR120" s="291"/>
      <c r="JS120" s="291"/>
      <c r="JT120" s="291"/>
      <c r="JU120" s="291"/>
      <c r="JV120" s="291"/>
      <c r="JW120" s="291"/>
      <c r="JX120" s="291"/>
      <c r="JY120" s="291"/>
      <c r="JZ120" s="291"/>
      <c r="KA120" s="291"/>
      <c r="KB120" s="291"/>
      <c r="KC120" s="291"/>
      <c r="KD120" s="291"/>
      <c r="KE120" s="291"/>
      <c r="KF120" s="291"/>
      <c r="KG120" s="291"/>
      <c r="KH120" s="291"/>
      <c r="KI120" s="291"/>
      <c r="KJ120" s="291"/>
      <c r="KK120" s="291"/>
      <c r="KL120" s="291"/>
      <c r="KM120" s="291"/>
      <c r="KN120" s="291"/>
      <c r="KO120" s="291"/>
      <c r="KP120" s="291"/>
      <c r="KQ120" s="291"/>
      <c r="KR120" s="291"/>
      <c r="KS120" s="291"/>
      <c r="KT120" s="291"/>
      <c r="KU120" s="291"/>
      <c r="KV120" s="291"/>
      <c r="KW120" s="291"/>
      <c r="KX120" s="291"/>
      <c r="KY120" s="291"/>
      <c r="KZ120" s="291"/>
      <c r="LA120" s="291"/>
      <c r="LB120" s="291"/>
      <c r="LC120" s="291"/>
      <c r="LD120" s="291"/>
      <c r="LE120" s="291"/>
      <c r="LF120" s="291"/>
      <c r="LG120" s="291"/>
      <c r="LH120" s="291"/>
      <c r="LI120" s="291"/>
      <c r="LJ120" s="291"/>
      <c r="LK120" s="291"/>
      <c r="LL120" s="291"/>
      <c r="LM120" s="291"/>
      <c r="LN120" s="291"/>
      <c r="LO120" s="291"/>
      <c r="LP120" s="291"/>
      <c r="LQ120" s="291"/>
      <c r="LR120" s="291"/>
      <c r="LS120" s="291"/>
      <c r="LT120" s="291"/>
      <c r="LU120" s="291"/>
      <c r="LV120" s="291"/>
      <c r="LW120" s="291"/>
      <c r="LX120" s="291"/>
      <c r="LY120" s="291"/>
      <c r="LZ120" s="291"/>
      <c r="MA120" s="291"/>
      <c r="MB120" s="291"/>
      <c r="MC120" s="291"/>
      <c r="MD120" s="291"/>
      <c r="ME120" s="291"/>
      <c r="MF120" s="291"/>
      <c r="MG120" s="291"/>
      <c r="MH120" s="291"/>
      <c r="MI120" s="291"/>
      <c r="MJ120" s="291"/>
      <c r="MK120" s="291"/>
      <c r="ML120" s="291"/>
      <c r="MM120" s="291"/>
      <c r="MN120" s="291"/>
      <c r="MO120" s="291"/>
      <c r="MP120" s="291"/>
      <c r="MQ120" s="291"/>
      <c r="MR120" s="291"/>
      <c r="MS120" s="291"/>
      <c r="MT120" s="291"/>
      <c r="MU120" s="291"/>
      <c r="MV120" s="291"/>
      <c r="MW120" s="291"/>
      <c r="MX120" s="291"/>
      <c r="MY120" s="291"/>
      <c r="MZ120" s="291"/>
      <c r="NA120" s="291"/>
      <c r="NB120" s="291"/>
      <c r="NC120" s="291"/>
      <c r="ND120" s="291"/>
      <c r="NE120" s="291"/>
      <c r="NF120" s="291"/>
      <c r="NG120" s="291"/>
      <c r="NH120" s="291"/>
      <c r="NI120" s="291"/>
      <c r="NJ120" s="291"/>
      <c r="NK120" s="291"/>
      <c r="NL120" s="291"/>
      <c r="NM120" s="291"/>
      <c r="NN120" s="291"/>
      <c r="NO120" s="291"/>
      <c r="NP120" s="291"/>
      <c r="NQ120" s="291"/>
      <c r="NR120" s="291"/>
      <c r="NS120" s="291"/>
      <c r="NT120" s="291"/>
      <c r="NU120" s="291"/>
      <c r="NV120" s="291"/>
      <c r="NW120" s="291"/>
      <c r="NX120" s="291"/>
      <c r="NY120" s="291"/>
      <c r="NZ120" s="291"/>
      <c r="OA120" s="291"/>
      <c r="OB120" s="291"/>
      <c r="OC120" s="291"/>
      <c r="OD120" s="291"/>
      <c r="OE120" s="291"/>
      <c r="OF120" s="291"/>
      <c r="OG120" s="291"/>
      <c r="OH120" s="291"/>
      <c r="OI120" s="291"/>
      <c r="OJ120" s="291"/>
      <c r="OK120" s="291"/>
      <c r="OL120" s="291"/>
      <c r="OM120" s="291"/>
      <c r="ON120" s="291"/>
      <c r="OO120" s="291"/>
      <c r="OP120" s="291"/>
      <c r="OQ120" s="291"/>
      <c r="OR120" s="291"/>
      <c r="OS120" s="291"/>
      <c r="OT120" s="291"/>
      <c r="OU120" s="291"/>
      <c r="OV120" s="291"/>
      <c r="OW120" s="291"/>
    </row>
    <row r="121" spans="1:413" s="257" customFormat="1" hidden="1" x14ac:dyDescent="0.2">
      <c r="A121" s="291"/>
      <c r="B121" s="524">
        <f t="shared" si="7"/>
        <v>105</v>
      </c>
      <c r="C121" s="510" t="s">
        <v>38</v>
      </c>
      <c r="D121" s="511">
        <v>30224673</v>
      </c>
      <c r="E121" s="511"/>
      <c r="F121" s="512" t="s">
        <v>1262</v>
      </c>
      <c r="G121" s="513" t="s">
        <v>45</v>
      </c>
      <c r="H121" s="514" t="s">
        <v>1094</v>
      </c>
      <c r="I121" s="515" t="s">
        <v>1127</v>
      </c>
      <c r="J121" s="346" t="s">
        <v>42</v>
      </c>
      <c r="K121" s="526">
        <v>3809483</v>
      </c>
      <c r="L121" s="527">
        <v>3382973</v>
      </c>
      <c r="M121" s="528">
        <v>46510</v>
      </c>
      <c r="N121" s="519">
        <v>0</v>
      </c>
      <c r="O121" s="519">
        <v>0</v>
      </c>
      <c r="P121" s="519">
        <v>201159</v>
      </c>
      <c r="Q121" s="519">
        <v>0</v>
      </c>
      <c r="R121" s="519">
        <v>0</v>
      </c>
      <c r="S121" s="520">
        <v>0</v>
      </c>
      <c r="T121" s="18"/>
      <c r="U121" s="18"/>
      <c r="V121" s="18"/>
      <c r="W121" s="18"/>
      <c r="X121" s="18"/>
      <c r="Y121" s="18"/>
      <c r="Z121" s="18">
        <f t="shared" si="4"/>
        <v>201159</v>
      </c>
      <c r="AA121" s="309">
        <v>300000</v>
      </c>
      <c r="AB121" s="19">
        <v>9</v>
      </c>
      <c r="AC121" s="521">
        <v>44232</v>
      </c>
      <c r="AD121" s="25">
        <v>44251</v>
      </c>
      <c r="AE121" s="309">
        <v>1160</v>
      </c>
      <c r="AF121" s="314">
        <v>15</v>
      </c>
      <c r="AG121" s="315">
        <v>44259</v>
      </c>
      <c r="AH121" s="316">
        <v>44274</v>
      </c>
      <c r="AI121" s="309">
        <v>39848</v>
      </c>
      <c r="AJ121" s="338">
        <v>39</v>
      </c>
      <c r="AK121" s="315">
        <v>44342</v>
      </c>
      <c r="AL121" s="316"/>
      <c r="AM121" s="309"/>
      <c r="AN121" s="338"/>
      <c r="AO121" s="21"/>
      <c r="AP121" s="25"/>
      <c r="AQ121" s="309"/>
      <c r="AR121" s="19"/>
      <c r="AS121" s="21"/>
      <c r="AT121" s="25"/>
      <c r="AU121" s="522">
        <f t="shared" si="5"/>
        <v>341008</v>
      </c>
      <c r="AV121" s="311">
        <f t="shared" si="6"/>
        <v>139849</v>
      </c>
      <c r="AW121" s="305"/>
      <c r="AX121" s="291"/>
      <c r="AY121" s="291"/>
      <c r="AZ121" s="291"/>
      <c r="BA121" s="291"/>
      <c r="BB121" s="291"/>
      <c r="BC121" s="291"/>
      <c r="BD121" s="291"/>
      <c r="BE121" s="291"/>
      <c r="BF121" s="291"/>
      <c r="BG121" s="291"/>
      <c r="BH121" s="291"/>
      <c r="BI121" s="291"/>
      <c r="BJ121" s="291"/>
      <c r="BK121" s="291"/>
      <c r="BL121" s="291"/>
      <c r="BM121" s="291"/>
      <c r="BN121" s="291"/>
      <c r="BO121" s="291"/>
      <c r="BP121" s="291"/>
      <c r="BQ121" s="291"/>
      <c r="BR121" s="291"/>
      <c r="BS121" s="291"/>
      <c r="BT121" s="291"/>
      <c r="BU121" s="291"/>
      <c r="BV121" s="291"/>
      <c r="BW121" s="291"/>
      <c r="BX121" s="291"/>
      <c r="BY121" s="291"/>
      <c r="BZ121" s="291"/>
      <c r="CA121" s="291"/>
      <c r="CB121" s="291"/>
      <c r="CC121" s="291"/>
      <c r="CD121" s="291"/>
      <c r="CE121" s="291"/>
      <c r="CF121" s="291"/>
      <c r="CG121" s="291"/>
      <c r="CH121" s="291"/>
      <c r="CI121" s="291"/>
      <c r="CJ121" s="291"/>
      <c r="CK121" s="291"/>
      <c r="CL121" s="291"/>
      <c r="CM121" s="291"/>
      <c r="CN121" s="291"/>
      <c r="CO121" s="291"/>
      <c r="CP121" s="291"/>
      <c r="CQ121" s="291"/>
      <c r="CR121" s="291"/>
      <c r="CS121" s="291"/>
      <c r="CT121" s="291"/>
      <c r="CU121" s="291"/>
      <c r="CV121" s="291"/>
      <c r="CW121" s="291"/>
      <c r="CX121" s="291"/>
      <c r="CY121" s="291"/>
      <c r="CZ121" s="291"/>
      <c r="DA121" s="291"/>
      <c r="DB121" s="291"/>
      <c r="DC121" s="291"/>
      <c r="DD121" s="291"/>
      <c r="DE121" s="291"/>
      <c r="DF121" s="291"/>
      <c r="DG121" s="291"/>
      <c r="DH121" s="291"/>
      <c r="DI121" s="291"/>
      <c r="DJ121" s="291"/>
      <c r="DK121" s="291"/>
      <c r="DL121" s="291"/>
      <c r="DM121" s="291"/>
      <c r="DN121" s="291"/>
      <c r="DO121" s="291"/>
      <c r="DP121" s="291"/>
      <c r="DQ121" s="291"/>
      <c r="DR121" s="291"/>
      <c r="DS121" s="291"/>
      <c r="DT121" s="291"/>
      <c r="DU121" s="291"/>
      <c r="DV121" s="291"/>
      <c r="DW121" s="291"/>
      <c r="DX121" s="291"/>
      <c r="DY121" s="291"/>
      <c r="DZ121" s="291"/>
      <c r="EA121" s="291"/>
      <c r="EB121" s="291"/>
      <c r="EC121" s="291"/>
      <c r="ED121" s="291"/>
      <c r="EE121" s="291"/>
      <c r="EF121" s="291"/>
      <c r="EG121" s="291"/>
      <c r="EH121" s="291"/>
      <c r="EI121" s="291"/>
      <c r="EJ121" s="291"/>
      <c r="EK121" s="291"/>
      <c r="EL121" s="291"/>
      <c r="EM121" s="291"/>
      <c r="EN121" s="291"/>
      <c r="EO121" s="291"/>
      <c r="EP121" s="291"/>
      <c r="EQ121" s="291"/>
      <c r="ER121" s="291"/>
      <c r="ES121" s="291"/>
      <c r="ET121" s="291"/>
      <c r="EU121" s="291"/>
      <c r="EV121" s="291"/>
      <c r="EW121" s="291"/>
      <c r="EX121" s="291"/>
      <c r="EY121" s="291"/>
      <c r="EZ121" s="291"/>
      <c r="FA121" s="291"/>
      <c r="FB121" s="291"/>
      <c r="FC121" s="291"/>
      <c r="FD121" s="291"/>
      <c r="FE121" s="291"/>
      <c r="FF121" s="291"/>
      <c r="FG121" s="291"/>
      <c r="FH121" s="291"/>
      <c r="FI121" s="291"/>
      <c r="FJ121" s="291"/>
      <c r="FK121" s="291"/>
      <c r="FL121" s="291"/>
      <c r="FM121" s="291"/>
      <c r="FN121" s="291"/>
      <c r="FO121" s="291"/>
      <c r="FP121" s="291"/>
      <c r="FQ121" s="291"/>
      <c r="FR121" s="291"/>
      <c r="FS121" s="291"/>
      <c r="FT121" s="291"/>
      <c r="FU121" s="291"/>
      <c r="FV121" s="291"/>
      <c r="FW121" s="291"/>
      <c r="FX121" s="291"/>
      <c r="FY121" s="291"/>
      <c r="FZ121" s="291"/>
      <c r="GA121" s="291"/>
      <c r="GB121" s="291"/>
      <c r="GC121" s="291"/>
      <c r="GD121" s="291"/>
      <c r="GE121" s="291"/>
      <c r="GF121" s="291"/>
      <c r="GG121" s="291"/>
      <c r="GH121" s="291"/>
      <c r="GI121" s="291"/>
      <c r="GJ121" s="291"/>
      <c r="GK121" s="291"/>
      <c r="GL121" s="291"/>
      <c r="GM121" s="291"/>
      <c r="GN121" s="291"/>
      <c r="GO121" s="291"/>
      <c r="GP121" s="291"/>
      <c r="GQ121" s="291"/>
      <c r="GR121" s="291"/>
      <c r="GS121" s="291"/>
      <c r="GT121" s="291"/>
      <c r="GU121" s="291"/>
      <c r="GV121" s="291"/>
      <c r="GW121" s="291"/>
      <c r="GX121" s="291"/>
      <c r="GY121" s="291"/>
      <c r="GZ121" s="291"/>
      <c r="HA121" s="291"/>
      <c r="HB121" s="291"/>
      <c r="HC121" s="291"/>
      <c r="HD121" s="291"/>
      <c r="HE121" s="291"/>
      <c r="HF121" s="291"/>
      <c r="HG121" s="291"/>
      <c r="HH121" s="291"/>
      <c r="HI121" s="291"/>
      <c r="HJ121" s="291"/>
      <c r="HK121" s="291"/>
      <c r="HL121" s="291"/>
      <c r="HM121" s="291"/>
      <c r="HN121" s="291"/>
      <c r="HO121" s="291"/>
      <c r="HP121" s="291"/>
      <c r="HQ121" s="291"/>
      <c r="HR121" s="291"/>
      <c r="HS121" s="291"/>
      <c r="HT121" s="291"/>
      <c r="HU121" s="291"/>
      <c r="HV121" s="291"/>
      <c r="HW121" s="291"/>
      <c r="HX121" s="291"/>
      <c r="HY121" s="291"/>
      <c r="HZ121" s="291"/>
      <c r="IA121" s="291"/>
      <c r="IB121" s="291"/>
      <c r="IC121" s="291"/>
      <c r="ID121" s="291"/>
      <c r="IE121" s="291"/>
      <c r="IF121" s="291"/>
      <c r="IG121" s="291"/>
      <c r="IH121" s="291"/>
      <c r="II121" s="291"/>
      <c r="IJ121" s="291"/>
      <c r="IK121" s="291"/>
      <c r="IL121" s="291"/>
      <c r="IM121" s="291"/>
      <c r="IN121" s="291"/>
      <c r="IO121" s="291"/>
      <c r="IP121" s="291"/>
      <c r="IQ121" s="291"/>
      <c r="IR121" s="291"/>
      <c r="IS121" s="291"/>
      <c r="IT121" s="291"/>
      <c r="IU121" s="291"/>
      <c r="IV121" s="291"/>
      <c r="IW121" s="291"/>
      <c r="IX121" s="291"/>
      <c r="IY121" s="291"/>
      <c r="IZ121" s="291"/>
      <c r="JA121" s="291"/>
      <c r="JB121" s="291"/>
      <c r="JC121" s="291"/>
      <c r="JD121" s="291"/>
      <c r="JE121" s="291"/>
      <c r="JF121" s="291"/>
      <c r="JG121" s="291"/>
      <c r="JH121" s="291"/>
      <c r="JI121" s="291"/>
      <c r="JJ121" s="291"/>
      <c r="JK121" s="291"/>
      <c r="JL121" s="291"/>
      <c r="JM121" s="291"/>
      <c r="JN121" s="291"/>
      <c r="JO121" s="291"/>
      <c r="JP121" s="291"/>
      <c r="JQ121" s="291"/>
      <c r="JR121" s="291"/>
      <c r="JS121" s="291"/>
      <c r="JT121" s="291"/>
      <c r="JU121" s="291"/>
      <c r="JV121" s="291"/>
      <c r="JW121" s="291"/>
      <c r="JX121" s="291"/>
      <c r="JY121" s="291"/>
      <c r="JZ121" s="291"/>
      <c r="KA121" s="291"/>
      <c r="KB121" s="291"/>
      <c r="KC121" s="291"/>
      <c r="KD121" s="291"/>
      <c r="KE121" s="291"/>
      <c r="KF121" s="291"/>
      <c r="KG121" s="291"/>
      <c r="KH121" s="291"/>
      <c r="KI121" s="291"/>
      <c r="KJ121" s="291"/>
      <c r="KK121" s="291"/>
      <c r="KL121" s="291"/>
      <c r="KM121" s="291"/>
      <c r="KN121" s="291"/>
      <c r="KO121" s="291"/>
      <c r="KP121" s="291"/>
      <c r="KQ121" s="291"/>
      <c r="KR121" s="291"/>
      <c r="KS121" s="291"/>
      <c r="KT121" s="291"/>
      <c r="KU121" s="291"/>
      <c r="KV121" s="291"/>
      <c r="KW121" s="291"/>
      <c r="KX121" s="291"/>
      <c r="KY121" s="291"/>
      <c r="KZ121" s="291"/>
      <c r="LA121" s="291"/>
      <c r="LB121" s="291"/>
      <c r="LC121" s="291"/>
      <c r="LD121" s="291"/>
      <c r="LE121" s="291"/>
      <c r="LF121" s="291"/>
      <c r="LG121" s="291"/>
      <c r="LH121" s="291"/>
      <c r="LI121" s="291"/>
      <c r="LJ121" s="291"/>
      <c r="LK121" s="291"/>
      <c r="LL121" s="291"/>
      <c r="LM121" s="291"/>
      <c r="LN121" s="291"/>
      <c r="LO121" s="291"/>
      <c r="LP121" s="291"/>
      <c r="LQ121" s="291"/>
      <c r="LR121" s="291"/>
      <c r="LS121" s="291"/>
      <c r="LT121" s="291"/>
      <c r="LU121" s="291"/>
      <c r="LV121" s="291"/>
      <c r="LW121" s="291"/>
      <c r="LX121" s="291"/>
      <c r="LY121" s="291"/>
      <c r="LZ121" s="291"/>
      <c r="MA121" s="291"/>
      <c r="MB121" s="291"/>
      <c r="MC121" s="291"/>
      <c r="MD121" s="291"/>
      <c r="ME121" s="291"/>
      <c r="MF121" s="291"/>
      <c r="MG121" s="291"/>
      <c r="MH121" s="291"/>
      <c r="MI121" s="291"/>
      <c r="MJ121" s="291"/>
      <c r="MK121" s="291"/>
      <c r="ML121" s="291"/>
      <c r="MM121" s="291"/>
      <c r="MN121" s="291"/>
      <c r="MO121" s="291"/>
      <c r="MP121" s="291"/>
      <c r="MQ121" s="291"/>
      <c r="MR121" s="291"/>
      <c r="MS121" s="291"/>
      <c r="MT121" s="291"/>
      <c r="MU121" s="291"/>
      <c r="MV121" s="291"/>
      <c r="MW121" s="291"/>
      <c r="MX121" s="291"/>
      <c r="MY121" s="291"/>
      <c r="MZ121" s="291"/>
      <c r="NA121" s="291"/>
      <c r="NB121" s="291"/>
      <c r="NC121" s="291"/>
      <c r="ND121" s="291"/>
      <c r="NE121" s="291"/>
      <c r="NF121" s="291"/>
      <c r="NG121" s="291"/>
      <c r="NH121" s="291"/>
      <c r="NI121" s="291"/>
      <c r="NJ121" s="291"/>
      <c r="NK121" s="291"/>
      <c r="NL121" s="291"/>
      <c r="NM121" s="291"/>
      <c r="NN121" s="291"/>
      <c r="NO121" s="291"/>
      <c r="NP121" s="291"/>
      <c r="NQ121" s="291"/>
      <c r="NR121" s="291"/>
      <c r="NS121" s="291"/>
      <c r="NT121" s="291"/>
      <c r="NU121" s="291"/>
      <c r="NV121" s="291"/>
      <c r="NW121" s="291"/>
      <c r="NX121" s="291"/>
      <c r="NY121" s="291"/>
      <c r="NZ121" s="291"/>
      <c r="OA121" s="291"/>
      <c r="OB121" s="291"/>
      <c r="OC121" s="291"/>
      <c r="OD121" s="291"/>
      <c r="OE121" s="291"/>
      <c r="OF121" s="291"/>
      <c r="OG121" s="291"/>
      <c r="OH121" s="291"/>
      <c r="OI121" s="291"/>
      <c r="OJ121" s="291"/>
      <c r="OK121" s="291"/>
      <c r="OL121" s="291"/>
      <c r="OM121" s="291"/>
      <c r="ON121" s="291"/>
      <c r="OO121" s="291"/>
      <c r="OP121" s="291"/>
      <c r="OQ121" s="291"/>
      <c r="OR121" s="291"/>
      <c r="OS121" s="291"/>
      <c r="OT121" s="291"/>
      <c r="OU121" s="291"/>
      <c r="OV121" s="291"/>
      <c r="OW121" s="291"/>
    </row>
    <row r="122" spans="1:413" s="257" customFormat="1" hidden="1" x14ac:dyDescent="0.2">
      <c r="A122" s="291"/>
      <c r="B122" s="524">
        <f t="shared" si="7"/>
        <v>106</v>
      </c>
      <c r="C122" s="510" t="s">
        <v>38</v>
      </c>
      <c r="D122" s="511">
        <v>30256122</v>
      </c>
      <c r="E122" s="511"/>
      <c r="F122" s="512" t="s">
        <v>1263</v>
      </c>
      <c r="G122" s="513" t="s">
        <v>46</v>
      </c>
      <c r="H122" s="514" t="s">
        <v>1094</v>
      </c>
      <c r="I122" s="515" t="s">
        <v>1237</v>
      </c>
      <c r="J122" s="346" t="s">
        <v>42</v>
      </c>
      <c r="K122" s="526">
        <v>39229</v>
      </c>
      <c r="L122" s="527">
        <v>20358</v>
      </c>
      <c r="M122" s="528">
        <v>0</v>
      </c>
      <c r="N122" s="519">
        <v>0</v>
      </c>
      <c r="O122" s="519">
        <v>6966</v>
      </c>
      <c r="P122" s="519">
        <v>6070</v>
      </c>
      <c r="Q122" s="519">
        <v>1120</v>
      </c>
      <c r="R122" s="519">
        <v>1120</v>
      </c>
      <c r="S122" s="520">
        <v>1120</v>
      </c>
      <c r="T122" s="18"/>
      <c r="U122" s="18"/>
      <c r="V122" s="18"/>
      <c r="W122" s="18"/>
      <c r="X122" s="18"/>
      <c r="Y122" s="18"/>
      <c r="Z122" s="18">
        <f t="shared" si="4"/>
        <v>16396</v>
      </c>
      <c r="AA122" s="309">
        <v>18871</v>
      </c>
      <c r="AB122" s="19">
        <v>11</v>
      </c>
      <c r="AC122" s="521">
        <v>44237</v>
      </c>
      <c r="AD122" s="25">
        <v>44251</v>
      </c>
      <c r="AE122" s="309"/>
      <c r="AF122" s="314"/>
      <c r="AG122" s="315"/>
      <c r="AH122" s="316"/>
      <c r="AI122" s="309"/>
      <c r="AJ122" s="338"/>
      <c r="AK122" s="315"/>
      <c r="AL122" s="316"/>
      <c r="AM122" s="309"/>
      <c r="AN122" s="338"/>
      <c r="AO122" s="21"/>
      <c r="AP122" s="25"/>
      <c r="AQ122" s="309"/>
      <c r="AR122" s="19"/>
      <c r="AS122" s="21"/>
      <c r="AT122" s="25"/>
      <c r="AU122" s="522">
        <f t="shared" si="5"/>
        <v>18871</v>
      </c>
      <c r="AV122" s="311">
        <f t="shared" si="6"/>
        <v>2475</v>
      </c>
      <c r="AW122" s="305"/>
      <c r="AX122" s="291"/>
      <c r="AY122" s="291"/>
      <c r="AZ122" s="291"/>
      <c r="BA122" s="291"/>
      <c r="BB122" s="291"/>
      <c r="BC122" s="291"/>
      <c r="BD122" s="291"/>
      <c r="BE122" s="291"/>
      <c r="BF122" s="291"/>
      <c r="BG122" s="291"/>
      <c r="BH122" s="291"/>
      <c r="BI122" s="291"/>
      <c r="BJ122" s="291"/>
      <c r="BK122" s="291"/>
      <c r="BL122" s="291"/>
      <c r="BM122" s="291"/>
      <c r="BN122" s="291"/>
      <c r="BO122" s="291"/>
      <c r="BP122" s="291"/>
      <c r="BQ122" s="291"/>
      <c r="BR122" s="291"/>
      <c r="BS122" s="291"/>
      <c r="BT122" s="291"/>
      <c r="BU122" s="291"/>
      <c r="BV122" s="291"/>
      <c r="BW122" s="291"/>
      <c r="BX122" s="291"/>
      <c r="BY122" s="291"/>
      <c r="BZ122" s="291"/>
      <c r="CA122" s="291"/>
      <c r="CB122" s="291"/>
      <c r="CC122" s="291"/>
      <c r="CD122" s="291"/>
      <c r="CE122" s="291"/>
      <c r="CF122" s="291"/>
      <c r="CG122" s="291"/>
      <c r="CH122" s="291"/>
      <c r="CI122" s="291"/>
      <c r="CJ122" s="291"/>
      <c r="CK122" s="291"/>
      <c r="CL122" s="291"/>
      <c r="CM122" s="291"/>
      <c r="CN122" s="291"/>
      <c r="CO122" s="291"/>
      <c r="CP122" s="291"/>
      <c r="CQ122" s="291"/>
      <c r="CR122" s="291"/>
      <c r="CS122" s="291"/>
      <c r="CT122" s="291"/>
      <c r="CU122" s="291"/>
      <c r="CV122" s="291"/>
      <c r="CW122" s="291"/>
      <c r="CX122" s="291"/>
      <c r="CY122" s="291"/>
      <c r="CZ122" s="291"/>
      <c r="DA122" s="291"/>
      <c r="DB122" s="291"/>
      <c r="DC122" s="291"/>
      <c r="DD122" s="291"/>
      <c r="DE122" s="291"/>
      <c r="DF122" s="291"/>
      <c r="DG122" s="291"/>
      <c r="DH122" s="291"/>
      <c r="DI122" s="291"/>
      <c r="DJ122" s="291"/>
      <c r="DK122" s="291"/>
      <c r="DL122" s="291"/>
      <c r="DM122" s="291"/>
      <c r="DN122" s="291"/>
      <c r="DO122" s="291"/>
      <c r="DP122" s="291"/>
      <c r="DQ122" s="291"/>
      <c r="DR122" s="291"/>
      <c r="DS122" s="291"/>
      <c r="DT122" s="291"/>
      <c r="DU122" s="291"/>
      <c r="DV122" s="291"/>
      <c r="DW122" s="291"/>
      <c r="DX122" s="291"/>
      <c r="DY122" s="291"/>
      <c r="DZ122" s="291"/>
      <c r="EA122" s="291"/>
      <c r="EB122" s="291"/>
      <c r="EC122" s="291"/>
      <c r="ED122" s="291"/>
      <c r="EE122" s="291"/>
      <c r="EF122" s="291"/>
      <c r="EG122" s="291"/>
      <c r="EH122" s="291"/>
      <c r="EI122" s="291"/>
      <c r="EJ122" s="291"/>
      <c r="EK122" s="291"/>
      <c r="EL122" s="291"/>
      <c r="EM122" s="291"/>
      <c r="EN122" s="291"/>
      <c r="EO122" s="291"/>
      <c r="EP122" s="291"/>
      <c r="EQ122" s="291"/>
      <c r="ER122" s="291"/>
      <c r="ES122" s="291"/>
      <c r="ET122" s="291"/>
      <c r="EU122" s="291"/>
      <c r="EV122" s="291"/>
      <c r="EW122" s="291"/>
      <c r="EX122" s="291"/>
      <c r="EY122" s="291"/>
      <c r="EZ122" s="291"/>
      <c r="FA122" s="291"/>
      <c r="FB122" s="291"/>
      <c r="FC122" s="291"/>
      <c r="FD122" s="291"/>
      <c r="FE122" s="291"/>
      <c r="FF122" s="291"/>
      <c r="FG122" s="291"/>
      <c r="FH122" s="291"/>
      <c r="FI122" s="291"/>
      <c r="FJ122" s="291"/>
      <c r="FK122" s="291"/>
      <c r="FL122" s="291"/>
      <c r="FM122" s="291"/>
      <c r="FN122" s="291"/>
      <c r="FO122" s="291"/>
      <c r="FP122" s="291"/>
      <c r="FQ122" s="291"/>
      <c r="FR122" s="291"/>
      <c r="FS122" s="291"/>
      <c r="FT122" s="291"/>
      <c r="FU122" s="291"/>
      <c r="FV122" s="291"/>
      <c r="FW122" s="291"/>
      <c r="FX122" s="291"/>
      <c r="FY122" s="291"/>
      <c r="FZ122" s="291"/>
      <c r="GA122" s="291"/>
      <c r="GB122" s="291"/>
      <c r="GC122" s="291"/>
      <c r="GD122" s="291"/>
      <c r="GE122" s="291"/>
      <c r="GF122" s="291"/>
      <c r="GG122" s="291"/>
      <c r="GH122" s="291"/>
      <c r="GI122" s="291"/>
      <c r="GJ122" s="291"/>
      <c r="GK122" s="291"/>
      <c r="GL122" s="291"/>
      <c r="GM122" s="291"/>
      <c r="GN122" s="291"/>
      <c r="GO122" s="291"/>
      <c r="GP122" s="291"/>
      <c r="GQ122" s="291"/>
      <c r="GR122" s="291"/>
      <c r="GS122" s="291"/>
      <c r="GT122" s="291"/>
      <c r="GU122" s="291"/>
      <c r="GV122" s="291"/>
      <c r="GW122" s="291"/>
      <c r="GX122" s="291"/>
      <c r="GY122" s="291"/>
      <c r="GZ122" s="291"/>
      <c r="HA122" s="291"/>
      <c r="HB122" s="291"/>
      <c r="HC122" s="291"/>
      <c r="HD122" s="291"/>
      <c r="HE122" s="291"/>
      <c r="HF122" s="291"/>
      <c r="HG122" s="291"/>
      <c r="HH122" s="291"/>
      <c r="HI122" s="291"/>
      <c r="HJ122" s="291"/>
      <c r="HK122" s="291"/>
      <c r="HL122" s="291"/>
      <c r="HM122" s="291"/>
      <c r="HN122" s="291"/>
      <c r="HO122" s="291"/>
      <c r="HP122" s="291"/>
      <c r="HQ122" s="291"/>
      <c r="HR122" s="291"/>
      <c r="HS122" s="291"/>
      <c r="HT122" s="291"/>
      <c r="HU122" s="291"/>
      <c r="HV122" s="291"/>
      <c r="HW122" s="291"/>
      <c r="HX122" s="291"/>
      <c r="HY122" s="291"/>
      <c r="HZ122" s="291"/>
      <c r="IA122" s="291"/>
      <c r="IB122" s="291"/>
      <c r="IC122" s="291"/>
      <c r="ID122" s="291"/>
      <c r="IE122" s="291"/>
      <c r="IF122" s="291"/>
      <c r="IG122" s="291"/>
      <c r="IH122" s="291"/>
      <c r="II122" s="291"/>
      <c r="IJ122" s="291"/>
      <c r="IK122" s="291"/>
      <c r="IL122" s="291"/>
      <c r="IM122" s="291"/>
      <c r="IN122" s="291"/>
      <c r="IO122" s="291"/>
      <c r="IP122" s="291"/>
      <c r="IQ122" s="291"/>
      <c r="IR122" s="291"/>
      <c r="IS122" s="291"/>
      <c r="IT122" s="291"/>
      <c r="IU122" s="291"/>
      <c r="IV122" s="291"/>
      <c r="IW122" s="291"/>
      <c r="IX122" s="291"/>
      <c r="IY122" s="291"/>
      <c r="IZ122" s="291"/>
      <c r="JA122" s="291"/>
      <c r="JB122" s="291"/>
      <c r="JC122" s="291"/>
      <c r="JD122" s="291"/>
      <c r="JE122" s="291"/>
      <c r="JF122" s="291"/>
      <c r="JG122" s="291"/>
      <c r="JH122" s="291"/>
      <c r="JI122" s="291"/>
      <c r="JJ122" s="291"/>
      <c r="JK122" s="291"/>
      <c r="JL122" s="291"/>
      <c r="JM122" s="291"/>
      <c r="JN122" s="291"/>
      <c r="JO122" s="291"/>
      <c r="JP122" s="291"/>
      <c r="JQ122" s="291"/>
      <c r="JR122" s="291"/>
      <c r="JS122" s="291"/>
      <c r="JT122" s="291"/>
      <c r="JU122" s="291"/>
      <c r="JV122" s="291"/>
      <c r="JW122" s="291"/>
      <c r="JX122" s="291"/>
      <c r="JY122" s="291"/>
      <c r="JZ122" s="291"/>
      <c r="KA122" s="291"/>
      <c r="KB122" s="291"/>
      <c r="KC122" s="291"/>
      <c r="KD122" s="291"/>
      <c r="KE122" s="291"/>
      <c r="KF122" s="291"/>
      <c r="KG122" s="291"/>
      <c r="KH122" s="291"/>
      <c r="KI122" s="291"/>
      <c r="KJ122" s="291"/>
      <c r="KK122" s="291"/>
      <c r="KL122" s="291"/>
      <c r="KM122" s="291"/>
      <c r="KN122" s="291"/>
      <c r="KO122" s="291"/>
      <c r="KP122" s="291"/>
      <c r="KQ122" s="291"/>
      <c r="KR122" s="291"/>
      <c r="KS122" s="291"/>
      <c r="KT122" s="291"/>
      <c r="KU122" s="291"/>
      <c r="KV122" s="291"/>
      <c r="KW122" s="291"/>
      <c r="KX122" s="291"/>
      <c r="KY122" s="291"/>
      <c r="KZ122" s="291"/>
      <c r="LA122" s="291"/>
      <c r="LB122" s="291"/>
      <c r="LC122" s="291"/>
      <c r="LD122" s="291"/>
      <c r="LE122" s="291"/>
      <c r="LF122" s="291"/>
      <c r="LG122" s="291"/>
      <c r="LH122" s="291"/>
      <c r="LI122" s="291"/>
      <c r="LJ122" s="291"/>
      <c r="LK122" s="291"/>
      <c r="LL122" s="291"/>
      <c r="LM122" s="291"/>
      <c r="LN122" s="291"/>
      <c r="LO122" s="291"/>
      <c r="LP122" s="291"/>
      <c r="LQ122" s="291"/>
      <c r="LR122" s="291"/>
      <c r="LS122" s="291"/>
      <c r="LT122" s="291"/>
      <c r="LU122" s="291"/>
      <c r="LV122" s="291"/>
      <c r="LW122" s="291"/>
      <c r="LX122" s="291"/>
      <c r="LY122" s="291"/>
      <c r="LZ122" s="291"/>
      <c r="MA122" s="291"/>
      <c r="MB122" s="291"/>
      <c r="MC122" s="291"/>
      <c r="MD122" s="291"/>
      <c r="ME122" s="291"/>
      <c r="MF122" s="291"/>
      <c r="MG122" s="291"/>
      <c r="MH122" s="291"/>
      <c r="MI122" s="291"/>
      <c r="MJ122" s="291"/>
      <c r="MK122" s="291"/>
      <c r="ML122" s="291"/>
      <c r="MM122" s="291"/>
      <c r="MN122" s="291"/>
      <c r="MO122" s="291"/>
      <c r="MP122" s="291"/>
      <c r="MQ122" s="291"/>
      <c r="MR122" s="291"/>
      <c r="MS122" s="291"/>
      <c r="MT122" s="291"/>
      <c r="MU122" s="291"/>
      <c r="MV122" s="291"/>
      <c r="MW122" s="291"/>
      <c r="MX122" s="291"/>
      <c r="MY122" s="291"/>
      <c r="MZ122" s="291"/>
      <c r="NA122" s="291"/>
      <c r="NB122" s="291"/>
      <c r="NC122" s="291"/>
      <c r="ND122" s="291"/>
      <c r="NE122" s="291"/>
      <c r="NF122" s="291"/>
      <c r="NG122" s="291"/>
      <c r="NH122" s="291"/>
      <c r="NI122" s="291"/>
      <c r="NJ122" s="291"/>
      <c r="NK122" s="291"/>
      <c r="NL122" s="291"/>
      <c r="NM122" s="291"/>
      <c r="NN122" s="291"/>
      <c r="NO122" s="291"/>
      <c r="NP122" s="291"/>
      <c r="NQ122" s="291"/>
      <c r="NR122" s="291"/>
      <c r="NS122" s="291"/>
      <c r="NT122" s="291"/>
      <c r="NU122" s="291"/>
      <c r="NV122" s="291"/>
      <c r="NW122" s="291"/>
      <c r="NX122" s="291"/>
      <c r="NY122" s="291"/>
      <c r="NZ122" s="291"/>
      <c r="OA122" s="291"/>
      <c r="OB122" s="291"/>
      <c r="OC122" s="291"/>
      <c r="OD122" s="291"/>
      <c r="OE122" s="291"/>
      <c r="OF122" s="291"/>
      <c r="OG122" s="291"/>
      <c r="OH122" s="291"/>
      <c r="OI122" s="291"/>
      <c r="OJ122" s="291"/>
      <c r="OK122" s="291"/>
      <c r="OL122" s="291"/>
      <c r="OM122" s="291"/>
      <c r="ON122" s="291"/>
      <c r="OO122" s="291"/>
      <c r="OP122" s="291"/>
      <c r="OQ122" s="291"/>
      <c r="OR122" s="291"/>
      <c r="OS122" s="291"/>
      <c r="OT122" s="291"/>
      <c r="OU122" s="291"/>
      <c r="OV122" s="291"/>
      <c r="OW122" s="291"/>
    </row>
    <row r="123" spans="1:413" s="257" customFormat="1" hidden="1" x14ac:dyDescent="0.2">
      <c r="A123" s="291"/>
      <c r="B123" s="524">
        <f t="shared" si="7"/>
        <v>107</v>
      </c>
      <c r="C123" s="510" t="s">
        <v>38</v>
      </c>
      <c r="D123" s="511">
        <v>30267380</v>
      </c>
      <c r="E123" s="511"/>
      <c r="F123" s="512" t="s">
        <v>1264</v>
      </c>
      <c r="G123" s="513" t="s">
        <v>45</v>
      </c>
      <c r="H123" s="514" t="s">
        <v>1094</v>
      </c>
      <c r="I123" s="515" t="s">
        <v>1189</v>
      </c>
      <c r="J123" s="346" t="s">
        <v>42</v>
      </c>
      <c r="K123" s="526">
        <v>2726624</v>
      </c>
      <c r="L123" s="527">
        <v>2473836</v>
      </c>
      <c r="M123" s="528">
        <v>0</v>
      </c>
      <c r="N123" s="519">
        <v>0</v>
      </c>
      <c r="O123" s="519">
        <v>0</v>
      </c>
      <c r="P123" s="519">
        <v>0</v>
      </c>
      <c r="Q123" s="519">
        <v>62000</v>
      </c>
      <c r="R123" s="519">
        <v>0</v>
      </c>
      <c r="S123" s="520">
        <v>0</v>
      </c>
      <c r="T123" s="18"/>
      <c r="U123" s="18"/>
      <c r="V123" s="18"/>
      <c r="W123" s="18"/>
      <c r="X123" s="18"/>
      <c r="Y123" s="18"/>
      <c r="Z123" s="18">
        <f t="shared" si="4"/>
        <v>62000</v>
      </c>
      <c r="AA123" s="309">
        <v>252771</v>
      </c>
      <c r="AB123" s="19">
        <v>15</v>
      </c>
      <c r="AC123" s="521">
        <v>44259</v>
      </c>
      <c r="AD123" s="25">
        <v>44274</v>
      </c>
      <c r="AE123" s="309"/>
      <c r="AF123" s="314"/>
      <c r="AG123" s="315"/>
      <c r="AH123" s="316"/>
      <c r="AI123" s="309"/>
      <c r="AJ123" s="338"/>
      <c r="AK123" s="315"/>
      <c r="AL123" s="316"/>
      <c r="AM123" s="309"/>
      <c r="AN123" s="338"/>
      <c r="AO123" s="21"/>
      <c r="AP123" s="25"/>
      <c r="AQ123" s="309"/>
      <c r="AR123" s="19"/>
      <c r="AS123" s="21"/>
      <c r="AT123" s="25"/>
      <c r="AU123" s="522">
        <f t="shared" si="5"/>
        <v>252771</v>
      </c>
      <c r="AV123" s="311">
        <f t="shared" si="6"/>
        <v>190771</v>
      </c>
      <c r="AW123" s="305"/>
      <c r="AX123" s="291"/>
      <c r="AY123" s="291"/>
      <c r="AZ123" s="291"/>
      <c r="BA123" s="291"/>
      <c r="BB123" s="291"/>
      <c r="BC123" s="291"/>
      <c r="BD123" s="291"/>
      <c r="BE123" s="291"/>
      <c r="BF123" s="291"/>
      <c r="BG123" s="291"/>
      <c r="BH123" s="291"/>
      <c r="BI123" s="291"/>
      <c r="BJ123" s="291"/>
      <c r="BK123" s="291"/>
      <c r="BL123" s="291"/>
      <c r="BM123" s="291"/>
      <c r="BN123" s="291"/>
      <c r="BO123" s="291"/>
      <c r="BP123" s="291"/>
      <c r="BQ123" s="291"/>
      <c r="BR123" s="291"/>
      <c r="BS123" s="291"/>
      <c r="BT123" s="291"/>
      <c r="BU123" s="291"/>
      <c r="BV123" s="291"/>
      <c r="BW123" s="291"/>
      <c r="BX123" s="291"/>
      <c r="BY123" s="291"/>
      <c r="BZ123" s="291"/>
      <c r="CA123" s="291"/>
      <c r="CB123" s="291"/>
      <c r="CC123" s="291"/>
      <c r="CD123" s="291"/>
      <c r="CE123" s="291"/>
      <c r="CF123" s="291"/>
      <c r="CG123" s="291"/>
      <c r="CH123" s="291"/>
      <c r="CI123" s="291"/>
      <c r="CJ123" s="291"/>
      <c r="CK123" s="291"/>
      <c r="CL123" s="291"/>
      <c r="CM123" s="291"/>
      <c r="CN123" s="291"/>
      <c r="CO123" s="291"/>
      <c r="CP123" s="291"/>
      <c r="CQ123" s="291"/>
      <c r="CR123" s="291"/>
      <c r="CS123" s="291"/>
      <c r="CT123" s="291"/>
      <c r="CU123" s="291"/>
      <c r="CV123" s="291"/>
      <c r="CW123" s="291"/>
      <c r="CX123" s="291"/>
      <c r="CY123" s="291"/>
      <c r="CZ123" s="291"/>
      <c r="DA123" s="291"/>
      <c r="DB123" s="291"/>
      <c r="DC123" s="291"/>
      <c r="DD123" s="291"/>
      <c r="DE123" s="291"/>
      <c r="DF123" s="291"/>
      <c r="DG123" s="291"/>
      <c r="DH123" s="291"/>
      <c r="DI123" s="291"/>
      <c r="DJ123" s="291"/>
      <c r="DK123" s="291"/>
      <c r="DL123" s="291"/>
      <c r="DM123" s="291"/>
      <c r="DN123" s="291"/>
      <c r="DO123" s="291"/>
      <c r="DP123" s="291"/>
      <c r="DQ123" s="291"/>
      <c r="DR123" s="291"/>
      <c r="DS123" s="291"/>
      <c r="DT123" s="291"/>
      <c r="DU123" s="291"/>
      <c r="DV123" s="291"/>
      <c r="DW123" s="291"/>
      <c r="DX123" s="291"/>
      <c r="DY123" s="291"/>
      <c r="DZ123" s="291"/>
      <c r="EA123" s="291"/>
      <c r="EB123" s="291"/>
      <c r="EC123" s="291"/>
      <c r="ED123" s="291"/>
      <c r="EE123" s="291"/>
      <c r="EF123" s="291"/>
      <c r="EG123" s="291"/>
      <c r="EH123" s="291"/>
      <c r="EI123" s="291"/>
      <c r="EJ123" s="291"/>
      <c r="EK123" s="291"/>
      <c r="EL123" s="291"/>
      <c r="EM123" s="291"/>
      <c r="EN123" s="291"/>
      <c r="EO123" s="291"/>
      <c r="EP123" s="291"/>
      <c r="EQ123" s="291"/>
      <c r="ER123" s="291"/>
      <c r="ES123" s="291"/>
      <c r="ET123" s="291"/>
      <c r="EU123" s="291"/>
      <c r="EV123" s="291"/>
      <c r="EW123" s="291"/>
      <c r="EX123" s="291"/>
      <c r="EY123" s="291"/>
      <c r="EZ123" s="291"/>
      <c r="FA123" s="291"/>
      <c r="FB123" s="291"/>
      <c r="FC123" s="291"/>
      <c r="FD123" s="291"/>
      <c r="FE123" s="291"/>
      <c r="FF123" s="291"/>
      <c r="FG123" s="291"/>
      <c r="FH123" s="291"/>
      <c r="FI123" s="291"/>
      <c r="FJ123" s="291"/>
      <c r="FK123" s="291"/>
      <c r="FL123" s="291"/>
      <c r="FM123" s="291"/>
      <c r="FN123" s="291"/>
      <c r="FO123" s="291"/>
      <c r="FP123" s="291"/>
      <c r="FQ123" s="291"/>
      <c r="FR123" s="291"/>
      <c r="FS123" s="291"/>
      <c r="FT123" s="291"/>
      <c r="FU123" s="291"/>
      <c r="FV123" s="291"/>
      <c r="FW123" s="291"/>
      <c r="FX123" s="291"/>
      <c r="FY123" s="291"/>
      <c r="FZ123" s="291"/>
      <c r="GA123" s="291"/>
      <c r="GB123" s="291"/>
      <c r="GC123" s="291"/>
      <c r="GD123" s="291"/>
      <c r="GE123" s="291"/>
      <c r="GF123" s="291"/>
      <c r="GG123" s="291"/>
      <c r="GH123" s="291"/>
      <c r="GI123" s="291"/>
      <c r="GJ123" s="291"/>
      <c r="GK123" s="291"/>
      <c r="GL123" s="291"/>
      <c r="GM123" s="291"/>
      <c r="GN123" s="291"/>
      <c r="GO123" s="291"/>
      <c r="GP123" s="291"/>
      <c r="GQ123" s="291"/>
      <c r="GR123" s="291"/>
      <c r="GS123" s="291"/>
      <c r="GT123" s="291"/>
      <c r="GU123" s="291"/>
      <c r="GV123" s="291"/>
      <c r="GW123" s="291"/>
      <c r="GX123" s="291"/>
      <c r="GY123" s="291"/>
      <c r="GZ123" s="291"/>
      <c r="HA123" s="291"/>
      <c r="HB123" s="291"/>
      <c r="HC123" s="291"/>
      <c r="HD123" s="291"/>
      <c r="HE123" s="291"/>
      <c r="HF123" s="291"/>
      <c r="HG123" s="291"/>
      <c r="HH123" s="291"/>
      <c r="HI123" s="291"/>
      <c r="HJ123" s="291"/>
      <c r="HK123" s="291"/>
      <c r="HL123" s="291"/>
      <c r="HM123" s="291"/>
      <c r="HN123" s="291"/>
      <c r="HO123" s="291"/>
      <c r="HP123" s="291"/>
      <c r="HQ123" s="291"/>
      <c r="HR123" s="291"/>
      <c r="HS123" s="291"/>
      <c r="HT123" s="291"/>
      <c r="HU123" s="291"/>
      <c r="HV123" s="291"/>
      <c r="HW123" s="291"/>
      <c r="HX123" s="291"/>
      <c r="HY123" s="291"/>
      <c r="HZ123" s="291"/>
      <c r="IA123" s="291"/>
      <c r="IB123" s="291"/>
      <c r="IC123" s="291"/>
      <c r="ID123" s="291"/>
      <c r="IE123" s="291"/>
      <c r="IF123" s="291"/>
      <c r="IG123" s="291"/>
      <c r="IH123" s="291"/>
      <c r="II123" s="291"/>
      <c r="IJ123" s="291"/>
      <c r="IK123" s="291"/>
      <c r="IL123" s="291"/>
      <c r="IM123" s="291"/>
      <c r="IN123" s="291"/>
      <c r="IO123" s="291"/>
      <c r="IP123" s="291"/>
      <c r="IQ123" s="291"/>
      <c r="IR123" s="291"/>
      <c r="IS123" s="291"/>
      <c r="IT123" s="291"/>
      <c r="IU123" s="291"/>
      <c r="IV123" s="291"/>
      <c r="IW123" s="291"/>
      <c r="IX123" s="291"/>
      <c r="IY123" s="291"/>
      <c r="IZ123" s="291"/>
      <c r="JA123" s="291"/>
      <c r="JB123" s="291"/>
      <c r="JC123" s="291"/>
      <c r="JD123" s="291"/>
      <c r="JE123" s="291"/>
      <c r="JF123" s="291"/>
      <c r="JG123" s="291"/>
      <c r="JH123" s="291"/>
      <c r="JI123" s="291"/>
      <c r="JJ123" s="291"/>
      <c r="JK123" s="291"/>
      <c r="JL123" s="291"/>
      <c r="JM123" s="291"/>
      <c r="JN123" s="291"/>
      <c r="JO123" s="291"/>
      <c r="JP123" s="291"/>
      <c r="JQ123" s="291"/>
      <c r="JR123" s="291"/>
      <c r="JS123" s="291"/>
      <c r="JT123" s="291"/>
      <c r="JU123" s="291"/>
      <c r="JV123" s="291"/>
      <c r="JW123" s="291"/>
      <c r="JX123" s="291"/>
      <c r="JY123" s="291"/>
      <c r="JZ123" s="291"/>
      <c r="KA123" s="291"/>
      <c r="KB123" s="291"/>
      <c r="KC123" s="291"/>
      <c r="KD123" s="291"/>
      <c r="KE123" s="291"/>
      <c r="KF123" s="291"/>
      <c r="KG123" s="291"/>
      <c r="KH123" s="291"/>
      <c r="KI123" s="291"/>
      <c r="KJ123" s="291"/>
      <c r="KK123" s="291"/>
      <c r="KL123" s="291"/>
      <c r="KM123" s="291"/>
      <c r="KN123" s="291"/>
      <c r="KO123" s="291"/>
      <c r="KP123" s="291"/>
      <c r="KQ123" s="291"/>
      <c r="KR123" s="291"/>
      <c r="KS123" s="291"/>
      <c r="KT123" s="291"/>
      <c r="KU123" s="291"/>
      <c r="KV123" s="291"/>
      <c r="KW123" s="291"/>
      <c r="KX123" s="291"/>
      <c r="KY123" s="291"/>
      <c r="KZ123" s="291"/>
      <c r="LA123" s="291"/>
      <c r="LB123" s="291"/>
      <c r="LC123" s="291"/>
      <c r="LD123" s="291"/>
      <c r="LE123" s="291"/>
      <c r="LF123" s="291"/>
      <c r="LG123" s="291"/>
      <c r="LH123" s="291"/>
      <c r="LI123" s="291"/>
      <c r="LJ123" s="291"/>
      <c r="LK123" s="291"/>
      <c r="LL123" s="291"/>
      <c r="LM123" s="291"/>
      <c r="LN123" s="291"/>
      <c r="LO123" s="291"/>
      <c r="LP123" s="291"/>
      <c r="LQ123" s="291"/>
      <c r="LR123" s="291"/>
      <c r="LS123" s="291"/>
      <c r="LT123" s="291"/>
      <c r="LU123" s="291"/>
      <c r="LV123" s="291"/>
      <c r="LW123" s="291"/>
      <c r="LX123" s="291"/>
      <c r="LY123" s="291"/>
      <c r="LZ123" s="291"/>
      <c r="MA123" s="291"/>
      <c r="MB123" s="291"/>
      <c r="MC123" s="291"/>
      <c r="MD123" s="291"/>
      <c r="ME123" s="291"/>
      <c r="MF123" s="291"/>
      <c r="MG123" s="291"/>
      <c r="MH123" s="291"/>
      <c r="MI123" s="291"/>
      <c r="MJ123" s="291"/>
      <c r="MK123" s="291"/>
      <c r="ML123" s="291"/>
      <c r="MM123" s="291"/>
      <c r="MN123" s="291"/>
      <c r="MO123" s="291"/>
      <c r="MP123" s="291"/>
      <c r="MQ123" s="291"/>
      <c r="MR123" s="291"/>
      <c r="MS123" s="291"/>
      <c r="MT123" s="291"/>
      <c r="MU123" s="291"/>
      <c r="MV123" s="291"/>
      <c r="MW123" s="291"/>
      <c r="MX123" s="291"/>
      <c r="MY123" s="291"/>
      <c r="MZ123" s="291"/>
      <c r="NA123" s="291"/>
      <c r="NB123" s="291"/>
      <c r="NC123" s="291"/>
      <c r="ND123" s="291"/>
      <c r="NE123" s="291"/>
      <c r="NF123" s="291"/>
      <c r="NG123" s="291"/>
      <c r="NH123" s="291"/>
      <c r="NI123" s="291"/>
      <c r="NJ123" s="291"/>
      <c r="NK123" s="291"/>
      <c r="NL123" s="291"/>
      <c r="NM123" s="291"/>
      <c r="NN123" s="291"/>
      <c r="NO123" s="291"/>
      <c r="NP123" s="291"/>
      <c r="NQ123" s="291"/>
      <c r="NR123" s="291"/>
      <c r="NS123" s="291"/>
      <c r="NT123" s="291"/>
      <c r="NU123" s="291"/>
      <c r="NV123" s="291"/>
      <c r="NW123" s="291"/>
      <c r="NX123" s="291"/>
      <c r="NY123" s="291"/>
      <c r="NZ123" s="291"/>
      <c r="OA123" s="291"/>
      <c r="OB123" s="291"/>
      <c r="OC123" s="291"/>
      <c r="OD123" s="291"/>
      <c r="OE123" s="291"/>
      <c r="OF123" s="291"/>
      <c r="OG123" s="291"/>
      <c r="OH123" s="291"/>
      <c r="OI123" s="291"/>
      <c r="OJ123" s="291"/>
      <c r="OK123" s="291"/>
      <c r="OL123" s="291"/>
      <c r="OM123" s="291"/>
      <c r="ON123" s="291"/>
      <c r="OO123" s="291"/>
      <c r="OP123" s="291"/>
      <c r="OQ123" s="291"/>
      <c r="OR123" s="291"/>
      <c r="OS123" s="291"/>
      <c r="OT123" s="291"/>
      <c r="OU123" s="291"/>
      <c r="OV123" s="291"/>
      <c r="OW123" s="291"/>
    </row>
    <row r="124" spans="1:413" s="257" customFormat="1" hidden="1" x14ac:dyDescent="0.2">
      <c r="A124" s="291"/>
      <c r="B124" s="524">
        <f t="shared" si="7"/>
        <v>108</v>
      </c>
      <c r="C124" s="510" t="s">
        <v>38</v>
      </c>
      <c r="D124" s="511">
        <v>30271873</v>
      </c>
      <c r="E124" s="511"/>
      <c r="F124" s="512" t="s">
        <v>1265</v>
      </c>
      <c r="G124" s="513" t="s">
        <v>45</v>
      </c>
      <c r="H124" s="514" t="s">
        <v>1094</v>
      </c>
      <c r="I124" s="515" t="s">
        <v>1120</v>
      </c>
      <c r="J124" s="346" t="s">
        <v>43</v>
      </c>
      <c r="K124" s="526">
        <v>559584</v>
      </c>
      <c r="L124" s="527">
        <v>0</v>
      </c>
      <c r="M124" s="528">
        <v>342913</v>
      </c>
      <c r="N124" s="519">
        <v>0</v>
      </c>
      <c r="O124" s="519">
        <v>0</v>
      </c>
      <c r="P124" s="519">
        <v>0</v>
      </c>
      <c r="Q124" s="519">
        <v>0</v>
      </c>
      <c r="R124" s="519">
        <v>0</v>
      </c>
      <c r="S124" s="520">
        <v>0</v>
      </c>
      <c r="T124" s="18"/>
      <c r="U124" s="18"/>
      <c r="V124" s="18"/>
      <c r="W124" s="18"/>
      <c r="X124" s="18"/>
      <c r="Y124" s="18"/>
      <c r="Z124" s="18">
        <f t="shared" si="4"/>
        <v>0</v>
      </c>
      <c r="AA124" s="309">
        <v>107002</v>
      </c>
      <c r="AB124" s="19">
        <v>15</v>
      </c>
      <c r="AC124" s="521">
        <v>44259</v>
      </c>
      <c r="AD124" s="25">
        <v>44274</v>
      </c>
      <c r="AE124" s="309"/>
      <c r="AF124" s="314"/>
      <c r="AG124" s="315"/>
      <c r="AH124" s="316"/>
      <c r="AI124" s="309"/>
      <c r="AJ124" s="338"/>
      <c r="AK124" s="315"/>
      <c r="AL124" s="316"/>
      <c r="AM124" s="309"/>
      <c r="AN124" s="338"/>
      <c r="AO124" s="21"/>
      <c r="AP124" s="25"/>
      <c r="AQ124" s="309"/>
      <c r="AR124" s="19"/>
      <c r="AS124" s="21"/>
      <c r="AT124" s="25"/>
      <c r="AU124" s="522">
        <f t="shared" si="5"/>
        <v>107002</v>
      </c>
      <c r="AV124" s="311">
        <f t="shared" si="6"/>
        <v>107002</v>
      </c>
      <c r="AW124" s="305"/>
      <c r="AX124" s="291"/>
      <c r="AY124" s="291"/>
      <c r="AZ124" s="291"/>
      <c r="BA124" s="291"/>
      <c r="BB124" s="291"/>
      <c r="BC124" s="291"/>
      <c r="BD124" s="291"/>
      <c r="BE124" s="291"/>
      <c r="BF124" s="291"/>
      <c r="BG124" s="291"/>
      <c r="BH124" s="291"/>
      <c r="BI124" s="291"/>
      <c r="BJ124" s="291"/>
      <c r="BK124" s="291"/>
      <c r="BL124" s="291"/>
      <c r="BM124" s="291"/>
      <c r="BN124" s="291"/>
      <c r="BO124" s="291"/>
      <c r="BP124" s="291"/>
      <c r="BQ124" s="291"/>
      <c r="BR124" s="291"/>
      <c r="BS124" s="291"/>
      <c r="BT124" s="291"/>
      <c r="BU124" s="291"/>
      <c r="BV124" s="291"/>
      <c r="BW124" s="291"/>
      <c r="BX124" s="291"/>
      <c r="BY124" s="291"/>
      <c r="BZ124" s="291"/>
      <c r="CA124" s="291"/>
      <c r="CB124" s="291"/>
      <c r="CC124" s="291"/>
      <c r="CD124" s="291"/>
      <c r="CE124" s="291"/>
      <c r="CF124" s="291"/>
      <c r="CG124" s="291"/>
      <c r="CH124" s="291"/>
      <c r="CI124" s="291"/>
      <c r="CJ124" s="291"/>
      <c r="CK124" s="291"/>
      <c r="CL124" s="291"/>
      <c r="CM124" s="291"/>
      <c r="CN124" s="291"/>
      <c r="CO124" s="291"/>
      <c r="CP124" s="291"/>
      <c r="CQ124" s="291"/>
      <c r="CR124" s="291"/>
      <c r="CS124" s="291"/>
      <c r="CT124" s="291"/>
      <c r="CU124" s="291"/>
      <c r="CV124" s="291"/>
      <c r="CW124" s="291"/>
      <c r="CX124" s="291"/>
      <c r="CY124" s="291"/>
      <c r="CZ124" s="291"/>
      <c r="DA124" s="291"/>
      <c r="DB124" s="291"/>
      <c r="DC124" s="291"/>
      <c r="DD124" s="291"/>
      <c r="DE124" s="291"/>
      <c r="DF124" s="291"/>
      <c r="DG124" s="291"/>
      <c r="DH124" s="291"/>
      <c r="DI124" s="291"/>
      <c r="DJ124" s="291"/>
      <c r="DK124" s="291"/>
      <c r="DL124" s="291"/>
      <c r="DM124" s="291"/>
      <c r="DN124" s="291"/>
      <c r="DO124" s="291"/>
      <c r="DP124" s="291"/>
      <c r="DQ124" s="291"/>
      <c r="DR124" s="291"/>
      <c r="DS124" s="291"/>
      <c r="DT124" s="291"/>
      <c r="DU124" s="291"/>
      <c r="DV124" s="291"/>
      <c r="DW124" s="291"/>
      <c r="DX124" s="291"/>
      <c r="DY124" s="291"/>
      <c r="DZ124" s="291"/>
      <c r="EA124" s="291"/>
      <c r="EB124" s="291"/>
      <c r="EC124" s="291"/>
      <c r="ED124" s="291"/>
      <c r="EE124" s="291"/>
      <c r="EF124" s="291"/>
      <c r="EG124" s="291"/>
      <c r="EH124" s="291"/>
      <c r="EI124" s="291"/>
      <c r="EJ124" s="291"/>
      <c r="EK124" s="291"/>
      <c r="EL124" s="291"/>
      <c r="EM124" s="291"/>
      <c r="EN124" s="291"/>
      <c r="EO124" s="291"/>
      <c r="EP124" s="291"/>
      <c r="EQ124" s="291"/>
      <c r="ER124" s="291"/>
      <c r="ES124" s="291"/>
      <c r="ET124" s="291"/>
      <c r="EU124" s="291"/>
      <c r="EV124" s="291"/>
      <c r="EW124" s="291"/>
      <c r="EX124" s="291"/>
      <c r="EY124" s="291"/>
      <c r="EZ124" s="291"/>
      <c r="FA124" s="291"/>
      <c r="FB124" s="291"/>
      <c r="FC124" s="291"/>
      <c r="FD124" s="291"/>
      <c r="FE124" s="291"/>
      <c r="FF124" s="291"/>
      <c r="FG124" s="291"/>
      <c r="FH124" s="291"/>
      <c r="FI124" s="291"/>
      <c r="FJ124" s="291"/>
      <c r="FK124" s="291"/>
      <c r="FL124" s="291"/>
      <c r="FM124" s="291"/>
      <c r="FN124" s="291"/>
      <c r="FO124" s="291"/>
      <c r="FP124" s="291"/>
      <c r="FQ124" s="291"/>
      <c r="FR124" s="291"/>
      <c r="FS124" s="291"/>
      <c r="FT124" s="291"/>
      <c r="FU124" s="291"/>
      <c r="FV124" s="291"/>
      <c r="FW124" s="291"/>
      <c r="FX124" s="291"/>
      <c r="FY124" s="291"/>
      <c r="FZ124" s="291"/>
      <c r="GA124" s="291"/>
      <c r="GB124" s="291"/>
      <c r="GC124" s="291"/>
      <c r="GD124" s="291"/>
      <c r="GE124" s="291"/>
      <c r="GF124" s="291"/>
      <c r="GG124" s="291"/>
      <c r="GH124" s="291"/>
      <c r="GI124" s="291"/>
      <c r="GJ124" s="291"/>
      <c r="GK124" s="291"/>
      <c r="GL124" s="291"/>
      <c r="GM124" s="291"/>
      <c r="GN124" s="291"/>
      <c r="GO124" s="291"/>
      <c r="GP124" s="291"/>
      <c r="GQ124" s="291"/>
      <c r="GR124" s="291"/>
      <c r="GS124" s="291"/>
      <c r="GT124" s="291"/>
      <c r="GU124" s="291"/>
      <c r="GV124" s="291"/>
      <c r="GW124" s="291"/>
      <c r="GX124" s="291"/>
      <c r="GY124" s="291"/>
      <c r="GZ124" s="291"/>
      <c r="HA124" s="291"/>
      <c r="HB124" s="291"/>
      <c r="HC124" s="291"/>
      <c r="HD124" s="291"/>
      <c r="HE124" s="291"/>
      <c r="HF124" s="291"/>
      <c r="HG124" s="291"/>
      <c r="HH124" s="291"/>
      <c r="HI124" s="291"/>
      <c r="HJ124" s="291"/>
      <c r="HK124" s="291"/>
      <c r="HL124" s="291"/>
      <c r="HM124" s="291"/>
      <c r="HN124" s="291"/>
      <c r="HO124" s="291"/>
      <c r="HP124" s="291"/>
      <c r="HQ124" s="291"/>
      <c r="HR124" s="291"/>
      <c r="HS124" s="291"/>
      <c r="HT124" s="291"/>
      <c r="HU124" s="291"/>
      <c r="HV124" s="291"/>
      <c r="HW124" s="291"/>
      <c r="HX124" s="291"/>
      <c r="HY124" s="291"/>
      <c r="HZ124" s="291"/>
      <c r="IA124" s="291"/>
      <c r="IB124" s="291"/>
      <c r="IC124" s="291"/>
      <c r="ID124" s="291"/>
      <c r="IE124" s="291"/>
      <c r="IF124" s="291"/>
      <c r="IG124" s="291"/>
      <c r="IH124" s="291"/>
      <c r="II124" s="291"/>
      <c r="IJ124" s="291"/>
      <c r="IK124" s="291"/>
      <c r="IL124" s="291"/>
      <c r="IM124" s="291"/>
      <c r="IN124" s="291"/>
      <c r="IO124" s="291"/>
      <c r="IP124" s="291"/>
      <c r="IQ124" s="291"/>
      <c r="IR124" s="291"/>
      <c r="IS124" s="291"/>
      <c r="IT124" s="291"/>
      <c r="IU124" s="291"/>
      <c r="IV124" s="291"/>
      <c r="IW124" s="291"/>
      <c r="IX124" s="291"/>
      <c r="IY124" s="291"/>
      <c r="IZ124" s="291"/>
      <c r="JA124" s="291"/>
      <c r="JB124" s="291"/>
      <c r="JC124" s="291"/>
      <c r="JD124" s="291"/>
      <c r="JE124" s="291"/>
      <c r="JF124" s="291"/>
      <c r="JG124" s="291"/>
      <c r="JH124" s="291"/>
      <c r="JI124" s="291"/>
      <c r="JJ124" s="291"/>
      <c r="JK124" s="291"/>
      <c r="JL124" s="291"/>
      <c r="JM124" s="291"/>
      <c r="JN124" s="291"/>
      <c r="JO124" s="291"/>
      <c r="JP124" s="291"/>
      <c r="JQ124" s="291"/>
      <c r="JR124" s="291"/>
      <c r="JS124" s="291"/>
      <c r="JT124" s="291"/>
      <c r="JU124" s="291"/>
      <c r="JV124" s="291"/>
      <c r="JW124" s="291"/>
      <c r="JX124" s="291"/>
      <c r="JY124" s="291"/>
      <c r="JZ124" s="291"/>
      <c r="KA124" s="291"/>
      <c r="KB124" s="291"/>
      <c r="KC124" s="291"/>
      <c r="KD124" s="291"/>
      <c r="KE124" s="291"/>
      <c r="KF124" s="291"/>
      <c r="KG124" s="291"/>
      <c r="KH124" s="291"/>
      <c r="KI124" s="291"/>
      <c r="KJ124" s="291"/>
      <c r="KK124" s="291"/>
      <c r="KL124" s="291"/>
      <c r="KM124" s="291"/>
      <c r="KN124" s="291"/>
      <c r="KO124" s="291"/>
      <c r="KP124" s="291"/>
      <c r="KQ124" s="291"/>
      <c r="KR124" s="291"/>
      <c r="KS124" s="291"/>
      <c r="KT124" s="291"/>
      <c r="KU124" s="291"/>
      <c r="KV124" s="291"/>
      <c r="KW124" s="291"/>
      <c r="KX124" s="291"/>
      <c r="KY124" s="291"/>
      <c r="KZ124" s="291"/>
      <c r="LA124" s="291"/>
      <c r="LB124" s="291"/>
      <c r="LC124" s="291"/>
      <c r="LD124" s="291"/>
      <c r="LE124" s="291"/>
      <c r="LF124" s="291"/>
      <c r="LG124" s="291"/>
      <c r="LH124" s="291"/>
      <c r="LI124" s="291"/>
      <c r="LJ124" s="291"/>
      <c r="LK124" s="291"/>
      <c r="LL124" s="291"/>
      <c r="LM124" s="291"/>
      <c r="LN124" s="291"/>
      <c r="LO124" s="291"/>
      <c r="LP124" s="291"/>
      <c r="LQ124" s="291"/>
      <c r="LR124" s="291"/>
      <c r="LS124" s="291"/>
      <c r="LT124" s="291"/>
      <c r="LU124" s="291"/>
      <c r="LV124" s="291"/>
      <c r="LW124" s="291"/>
      <c r="LX124" s="291"/>
      <c r="LY124" s="291"/>
      <c r="LZ124" s="291"/>
      <c r="MA124" s="291"/>
      <c r="MB124" s="291"/>
      <c r="MC124" s="291"/>
      <c r="MD124" s="291"/>
      <c r="ME124" s="291"/>
      <c r="MF124" s="291"/>
      <c r="MG124" s="291"/>
      <c r="MH124" s="291"/>
      <c r="MI124" s="291"/>
      <c r="MJ124" s="291"/>
      <c r="MK124" s="291"/>
      <c r="ML124" s="291"/>
      <c r="MM124" s="291"/>
      <c r="MN124" s="291"/>
      <c r="MO124" s="291"/>
      <c r="MP124" s="291"/>
      <c r="MQ124" s="291"/>
      <c r="MR124" s="291"/>
      <c r="MS124" s="291"/>
      <c r="MT124" s="291"/>
      <c r="MU124" s="291"/>
      <c r="MV124" s="291"/>
      <c r="MW124" s="291"/>
      <c r="MX124" s="291"/>
      <c r="MY124" s="291"/>
      <c r="MZ124" s="291"/>
      <c r="NA124" s="291"/>
      <c r="NB124" s="291"/>
      <c r="NC124" s="291"/>
      <c r="ND124" s="291"/>
      <c r="NE124" s="291"/>
      <c r="NF124" s="291"/>
      <c r="NG124" s="291"/>
      <c r="NH124" s="291"/>
      <c r="NI124" s="291"/>
      <c r="NJ124" s="291"/>
      <c r="NK124" s="291"/>
      <c r="NL124" s="291"/>
      <c r="NM124" s="291"/>
      <c r="NN124" s="291"/>
      <c r="NO124" s="291"/>
      <c r="NP124" s="291"/>
      <c r="NQ124" s="291"/>
      <c r="NR124" s="291"/>
      <c r="NS124" s="291"/>
      <c r="NT124" s="291"/>
      <c r="NU124" s="291"/>
      <c r="NV124" s="291"/>
      <c r="NW124" s="291"/>
      <c r="NX124" s="291"/>
      <c r="NY124" s="291"/>
      <c r="NZ124" s="291"/>
      <c r="OA124" s="291"/>
      <c r="OB124" s="291"/>
      <c r="OC124" s="291"/>
      <c r="OD124" s="291"/>
      <c r="OE124" s="291"/>
      <c r="OF124" s="291"/>
      <c r="OG124" s="291"/>
      <c r="OH124" s="291"/>
      <c r="OI124" s="291"/>
      <c r="OJ124" s="291"/>
      <c r="OK124" s="291"/>
      <c r="OL124" s="291"/>
      <c r="OM124" s="291"/>
      <c r="ON124" s="291"/>
      <c r="OO124" s="291"/>
      <c r="OP124" s="291"/>
      <c r="OQ124" s="291"/>
      <c r="OR124" s="291"/>
      <c r="OS124" s="291"/>
      <c r="OT124" s="291"/>
      <c r="OU124" s="291"/>
      <c r="OV124" s="291"/>
      <c r="OW124" s="291"/>
    </row>
    <row r="125" spans="1:413" s="257" customFormat="1" x14ac:dyDescent="0.2">
      <c r="A125" s="291"/>
      <c r="B125" s="524">
        <f t="shared" si="7"/>
        <v>109</v>
      </c>
      <c r="C125" s="510" t="s">
        <v>38</v>
      </c>
      <c r="D125" s="511" t="s">
        <v>1266</v>
      </c>
      <c r="E125" s="511"/>
      <c r="F125" s="512" t="s">
        <v>1267</v>
      </c>
      <c r="G125" s="513" t="s">
        <v>45</v>
      </c>
      <c r="H125" s="514" t="s">
        <v>1098</v>
      </c>
      <c r="I125" s="515" t="s">
        <v>1217</v>
      </c>
      <c r="J125" s="346"/>
      <c r="K125" s="526">
        <v>846907</v>
      </c>
      <c r="L125" s="527">
        <v>0</v>
      </c>
      <c r="M125" s="528">
        <v>686905</v>
      </c>
      <c r="N125" s="519">
        <v>0</v>
      </c>
      <c r="O125" s="519">
        <v>0</v>
      </c>
      <c r="P125" s="519">
        <v>0</v>
      </c>
      <c r="Q125" s="519">
        <v>0</v>
      </c>
      <c r="R125" s="519">
        <v>0</v>
      </c>
      <c r="S125" s="520">
        <v>0</v>
      </c>
      <c r="T125" s="18"/>
      <c r="U125" s="18"/>
      <c r="V125" s="18"/>
      <c r="W125" s="18"/>
      <c r="X125" s="18"/>
      <c r="Y125" s="18"/>
      <c r="Z125" s="18">
        <f t="shared" si="4"/>
        <v>0</v>
      </c>
      <c r="AA125" s="309">
        <v>160002</v>
      </c>
      <c r="AB125" s="19">
        <v>22</v>
      </c>
      <c r="AC125" s="521">
        <v>44301</v>
      </c>
      <c r="AD125" s="25">
        <v>44313</v>
      </c>
      <c r="AE125" s="309"/>
      <c r="AF125" s="314"/>
      <c r="AG125" s="315"/>
      <c r="AH125" s="316"/>
      <c r="AI125" s="309"/>
      <c r="AJ125" s="338"/>
      <c r="AK125" s="315"/>
      <c r="AL125" s="316"/>
      <c r="AM125" s="309"/>
      <c r="AN125" s="338"/>
      <c r="AO125" s="21"/>
      <c r="AP125" s="25"/>
      <c r="AQ125" s="309"/>
      <c r="AR125" s="19"/>
      <c r="AS125" s="21"/>
      <c r="AT125" s="25"/>
      <c r="AU125" s="522">
        <f t="shared" si="5"/>
        <v>160002</v>
      </c>
      <c r="AV125" s="311">
        <f t="shared" si="6"/>
        <v>160002</v>
      </c>
      <c r="AW125" s="305"/>
      <c r="AX125" s="291"/>
      <c r="AY125" s="291"/>
      <c r="AZ125" s="291"/>
      <c r="BA125" s="291"/>
      <c r="BB125" s="291"/>
      <c r="BC125" s="291"/>
      <c r="BD125" s="291"/>
      <c r="BE125" s="291"/>
      <c r="BF125" s="291"/>
      <c r="BG125" s="291"/>
      <c r="BH125" s="291"/>
      <c r="BI125" s="291"/>
      <c r="BJ125" s="291"/>
      <c r="BK125" s="291"/>
      <c r="BL125" s="291"/>
      <c r="BM125" s="291"/>
      <c r="BN125" s="291"/>
      <c r="BO125" s="291"/>
      <c r="BP125" s="291"/>
      <c r="BQ125" s="291"/>
      <c r="BR125" s="291"/>
      <c r="BS125" s="291"/>
      <c r="BT125" s="291"/>
      <c r="BU125" s="291"/>
      <c r="BV125" s="291"/>
      <c r="BW125" s="291"/>
      <c r="BX125" s="291"/>
      <c r="BY125" s="291"/>
      <c r="BZ125" s="291"/>
      <c r="CA125" s="291"/>
      <c r="CB125" s="291"/>
      <c r="CC125" s="291"/>
      <c r="CD125" s="291"/>
      <c r="CE125" s="291"/>
      <c r="CF125" s="291"/>
      <c r="CG125" s="291"/>
      <c r="CH125" s="291"/>
      <c r="CI125" s="291"/>
      <c r="CJ125" s="291"/>
      <c r="CK125" s="291"/>
      <c r="CL125" s="291"/>
      <c r="CM125" s="291"/>
      <c r="CN125" s="291"/>
      <c r="CO125" s="291"/>
      <c r="CP125" s="291"/>
      <c r="CQ125" s="291"/>
      <c r="CR125" s="291"/>
      <c r="CS125" s="291"/>
      <c r="CT125" s="291"/>
      <c r="CU125" s="291"/>
      <c r="CV125" s="291"/>
      <c r="CW125" s="291"/>
      <c r="CX125" s="291"/>
      <c r="CY125" s="291"/>
      <c r="CZ125" s="291"/>
      <c r="DA125" s="291"/>
      <c r="DB125" s="291"/>
      <c r="DC125" s="291"/>
      <c r="DD125" s="291"/>
      <c r="DE125" s="291"/>
      <c r="DF125" s="291"/>
      <c r="DG125" s="291"/>
      <c r="DH125" s="291"/>
      <c r="DI125" s="291"/>
      <c r="DJ125" s="291"/>
      <c r="DK125" s="291"/>
      <c r="DL125" s="291"/>
      <c r="DM125" s="291"/>
      <c r="DN125" s="291"/>
      <c r="DO125" s="291"/>
      <c r="DP125" s="291"/>
      <c r="DQ125" s="291"/>
      <c r="DR125" s="291"/>
      <c r="DS125" s="291"/>
      <c r="DT125" s="291"/>
      <c r="DU125" s="291"/>
      <c r="DV125" s="291"/>
      <c r="DW125" s="291"/>
      <c r="DX125" s="291"/>
      <c r="DY125" s="291"/>
      <c r="DZ125" s="291"/>
      <c r="EA125" s="291"/>
      <c r="EB125" s="291"/>
      <c r="EC125" s="291"/>
      <c r="ED125" s="291"/>
      <c r="EE125" s="291"/>
      <c r="EF125" s="291"/>
      <c r="EG125" s="291"/>
      <c r="EH125" s="291"/>
      <c r="EI125" s="291"/>
      <c r="EJ125" s="291"/>
      <c r="EK125" s="291"/>
      <c r="EL125" s="291"/>
      <c r="EM125" s="291"/>
      <c r="EN125" s="291"/>
      <c r="EO125" s="291"/>
      <c r="EP125" s="291"/>
      <c r="EQ125" s="291"/>
      <c r="ER125" s="291"/>
      <c r="ES125" s="291"/>
      <c r="ET125" s="291"/>
      <c r="EU125" s="291"/>
      <c r="EV125" s="291"/>
      <c r="EW125" s="291"/>
      <c r="EX125" s="291"/>
      <c r="EY125" s="291"/>
      <c r="EZ125" s="291"/>
      <c r="FA125" s="291"/>
      <c r="FB125" s="291"/>
      <c r="FC125" s="291"/>
      <c r="FD125" s="291"/>
      <c r="FE125" s="291"/>
      <c r="FF125" s="291"/>
      <c r="FG125" s="291"/>
      <c r="FH125" s="291"/>
      <c r="FI125" s="291"/>
      <c r="FJ125" s="291"/>
      <c r="FK125" s="291"/>
      <c r="FL125" s="291"/>
      <c r="FM125" s="291"/>
      <c r="FN125" s="291"/>
      <c r="FO125" s="291"/>
      <c r="FP125" s="291"/>
      <c r="FQ125" s="291"/>
      <c r="FR125" s="291"/>
      <c r="FS125" s="291"/>
      <c r="FT125" s="291"/>
      <c r="FU125" s="291"/>
      <c r="FV125" s="291"/>
      <c r="FW125" s="291"/>
      <c r="FX125" s="291"/>
      <c r="FY125" s="291"/>
      <c r="FZ125" s="291"/>
      <c r="GA125" s="291"/>
      <c r="GB125" s="291"/>
      <c r="GC125" s="291"/>
      <c r="GD125" s="291"/>
      <c r="GE125" s="291"/>
      <c r="GF125" s="291"/>
      <c r="GG125" s="291"/>
      <c r="GH125" s="291"/>
      <c r="GI125" s="291"/>
      <c r="GJ125" s="291"/>
      <c r="GK125" s="291"/>
      <c r="GL125" s="291"/>
      <c r="GM125" s="291"/>
      <c r="GN125" s="291"/>
      <c r="GO125" s="291"/>
      <c r="GP125" s="291"/>
      <c r="GQ125" s="291"/>
      <c r="GR125" s="291"/>
      <c r="GS125" s="291"/>
      <c r="GT125" s="291"/>
      <c r="GU125" s="291"/>
      <c r="GV125" s="291"/>
      <c r="GW125" s="291"/>
      <c r="GX125" s="291"/>
      <c r="GY125" s="291"/>
      <c r="GZ125" s="291"/>
      <c r="HA125" s="291"/>
      <c r="HB125" s="291"/>
      <c r="HC125" s="291"/>
      <c r="HD125" s="291"/>
      <c r="HE125" s="291"/>
      <c r="HF125" s="291"/>
      <c r="HG125" s="291"/>
      <c r="HH125" s="291"/>
      <c r="HI125" s="291"/>
      <c r="HJ125" s="291"/>
      <c r="HK125" s="291"/>
      <c r="HL125" s="291"/>
      <c r="HM125" s="291"/>
      <c r="HN125" s="291"/>
      <c r="HO125" s="291"/>
      <c r="HP125" s="291"/>
      <c r="HQ125" s="291"/>
      <c r="HR125" s="291"/>
      <c r="HS125" s="291"/>
      <c r="HT125" s="291"/>
      <c r="HU125" s="291"/>
      <c r="HV125" s="291"/>
      <c r="HW125" s="291"/>
      <c r="HX125" s="291"/>
      <c r="HY125" s="291"/>
      <c r="HZ125" s="291"/>
      <c r="IA125" s="291"/>
      <c r="IB125" s="291"/>
      <c r="IC125" s="291"/>
      <c r="ID125" s="291"/>
      <c r="IE125" s="291"/>
      <c r="IF125" s="291"/>
      <c r="IG125" s="291"/>
      <c r="IH125" s="291"/>
      <c r="II125" s="291"/>
      <c r="IJ125" s="291"/>
      <c r="IK125" s="291"/>
      <c r="IL125" s="291"/>
      <c r="IM125" s="291"/>
      <c r="IN125" s="291"/>
      <c r="IO125" s="291"/>
      <c r="IP125" s="291"/>
      <c r="IQ125" s="291"/>
      <c r="IR125" s="291"/>
      <c r="IS125" s="291"/>
      <c r="IT125" s="291"/>
      <c r="IU125" s="291"/>
      <c r="IV125" s="291"/>
      <c r="IW125" s="291"/>
      <c r="IX125" s="291"/>
      <c r="IY125" s="291"/>
      <c r="IZ125" s="291"/>
      <c r="JA125" s="291"/>
      <c r="JB125" s="291"/>
      <c r="JC125" s="291"/>
      <c r="JD125" s="291"/>
      <c r="JE125" s="291"/>
      <c r="JF125" s="291"/>
      <c r="JG125" s="291"/>
      <c r="JH125" s="291"/>
      <c r="JI125" s="291"/>
      <c r="JJ125" s="291"/>
      <c r="JK125" s="291"/>
      <c r="JL125" s="291"/>
      <c r="JM125" s="291"/>
      <c r="JN125" s="291"/>
      <c r="JO125" s="291"/>
      <c r="JP125" s="291"/>
      <c r="JQ125" s="291"/>
      <c r="JR125" s="291"/>
      <c r="JS125" s="291"/>
      <c r="JT125" s="291"/>
      <c r="JU125" s="291"/>
      <c r="JV125" s="291"/>
      <c r="JW125" s="291"/>
      <c r="JX125" s="291"/>
      <c r="JY125" s="291"/>
      <c r="JZ125" s="291"/>
      <c r="KA125" s="291"/>
      <c r="KB125" s="291"/>
      <c r="KC125" s="291"/>
      <c r="KD125" s="291"/>
      <c r="KE125" s="291"/>
      <c r="KF125" s="291"/>
      <c r="KG125" s="291"/>
      <c r="KH125" s="291"/>
      <c r="KI125" s="291"/>
      <c r="KJ125" s="291"/>
      <c r="KK125" s="291"/>
      <c r="KL125" s="291"/>
      <c r="KM125" s="291"/>
      <c r="KN125" s="291"/>
      <c r="KO125" s="291"/>
      <c r="KP125" s="291"/>
      <c r="KQ125" s="291"/>
      <c r="KR125" s="291"/>
      <c r="KS125" s="291"/>
      <c r="KT125" s="291"/>
      <c r="KU125" s="291"/>
      <c r="KV125" s="291"/>
      <c r="KW125" s="291"/>
      <c r="KX125" s="291"/>
      <c r="KY125" s="291"/>
      <c r="KZ125" s="291"/>
      <c r="LA125" s="291"/>
      <c r="LB125" s="291"/>
      <c r="LC125" s="291"/>
      <c r="LD125" s="291"/>
      <c r="LE125" s="291"/>
      <c r="LF125" s="291"/>
      <c r="LG125" s="291"/>
      <c r="LH125" s="291"/>
      <c r="LI125" s="291"/>
      <c r="LJ125" s="291"/>
      <c r="LK125" s="291"/>
      <c r="LL125" s="291"/>
      <c r="LM125" s="291"/>
      <c r="LN125" s="291"/>
      <c r="LO125" s="291"/>
      <c r="LP125" s="291"/>
      <c r="LQ125" s="291"/>
      <c r="LR125" s="291"/>
      <c r="LS125" s="291"/>
      <c r="LT125" s="291"/>
      <c r="LU125" s="291"/>
      <c r="LV125" s="291"/>
      <c r="LW125" s="291"/>
      <c r="LX125" s="291"/>
      <c r="LY125" s="291"/>
      <c r="LZ125" s="291"/>
      <c r="MA125" s="291"/>
      <c r="MB125" s="291"/>
      <c r="MC125" s="291"/>
      <c r="MD125" s="291"/>
      <c r="ME125" s="291"/>
      <c r="MF125" s="291"/>
      <c r="MG125" s="291"/>
      <c r="MH125" s="291"/>
      <c r="MI125" s="291"/>
      <c r="MJ125" s="291"/>
      <c r="MK125" s="291"/>
      <c r="ML125" s="291"/>
      <c r="MM125" s="291"/>
      <c r="MN125" s="291"/>
      <c r="MO125" s="291"/>
      <c r="MP125" s="291"/>
      <c r="MQ125" s="291"/>
      <c r="MR125" s="291"/>
      <c r="MS125" s="291"/>
      <c r="MT125" s="291"/>
      <c r="MU125" s="291"/>
      <c r="MV125" s="291"/>
      <c r="MW125" s="291"/>
      <c r="MX125" s="291"/>
      <c r="MY125" s="291"/>
      <c r="MZ125" s="291"/>
      <c r="NA125" s="291"/>
      <c r="NB125" s="291"/>
      <c r="NC125" s="291"/>
      <c r="ND125" s="291"/>
      <c r="NE125" s="291"/>
      <c r="NF125" s="291"/>
      <c r="NG125" s="291"/>
      <c r="NH125" s="291"/>
      <c r="NI125" s="291"/>
      <c r="NJ125" s="291"/>
      <c r="NK125" s="291"/>
      <c r="NL125" s="291"/>
      <c r="NM125" s="291"/>
      <c r="NN125" s="291"/>
      <c r="NO125" s="291"/>
      <c r="NP125" s="291"/>
      <c r="NQ125" s="291"/>
      <c r="NR125" s="291"/>
      <c r="NS125" s="291"/>
      <c r="NT125" s="291"/>
      <c r="NU125" s="291"/>
      <c r="NV125" s="291"/>
      <c r="NW125" s="291"/>
      <c r="NX125" s="291"/>
      <c r="NY125" s="291"/>
      <c r="NZ125" s="291"/>
      <c r="OA125" s="291"/>
      <c r="OB125" s="291"/>
      <c r="OC125" s="291"/>
      <c r="OD125" s="291"/>
      <c r="OE125" s="291"/>
      <c r="OF125" s="291"/>
      <c r="OG125" s="291"/>
      <c r="OH125" s="291"/>
      <c r="OI125" s="291"/>
      <c r="OJ125" s="291"/>
      <c r="OK125" s="291"/>
      <c r="OL125" s="291"/>
      <c r="OM125" s="291"/>
      <c r="ON125" s="291"/>
      <c r="OO125" s="291"/>
      <c r="OP125" s="291"/>
      <c r="OQ125" s="291"/>
      <c r="OR125" s="291"/>
      <c r="OS125" s="291"/>
      <c r="OT125" s="291"/>
      <c r="OU125" s="291"/>
      <c r="OV125" s="291"/>
      <c r="OW125" s="291"/>
    </row>
    <row r="126" spans="1:413" s="257" customFormat="1" hidden="1" x14ac:dyDescent="0.2">
      <c r="A126" s="291"/>
      <c r="B126" s="524">
        <f t="shared" si="7"/>
        <v>110</v>
      </c>
      <c r="C126" s="510" t="s">
        <v>38</v>
      </c>
      <c r="D126" s="511">
        <v>30292973</v>
      </c>
      <c r="E126" s="511"/>
      <c r="F126" s="512" t="s">
        <v>1268</v>
      </c>
      <c r="G126" s="513" t="s">
        <v>45</v>
      </c>
      <c r="H126" s="514" t="s">
        <v>1094</v>
      </c>
      <c r="I126" s="515" t="s">
        <v>1142</v>
      </c>
      <c r="J126" s="346" t="s">
        <v>43</v>
      </c>
      <c r="K126" s="526">
        <v>786028</v>
      </c>
      <c r="L126" s="527">
        <v>0</v>
      </c>
      <c r="M126" s="528">
        <v>658134</v>
      </c>
      <c r="N126" s="520">
        <v>0</v>
      </c>
      <c r="O126" s="520">
        <v>3234</v>
      </c>
      <c r="P126" s="520">
        <v>0</v>
      </c>
      <c r="Q126" s="520">
        <v>0</v>
      </c>
      <c r="R126" s="520">
        <v>0</v>
      </c>
      <c r="S126" s="520">
        <v>0</v>
      </c>
      <c r="T126" s="18"/>
      <c r="U126" s="18"/>
      <c r="V126" s="18"/>
      <c r="W126" s="18"/>
      <c r="X126" s="18"/>
      <c r="Y126" s="18"/>
      <c r="Z126" s="18">
        <f t="shared" si="4"/>
        <v>3234</v>
      </c>
      <c r="AA126" s="309">
        <v>113234</v>
      </c>
      <c r="AB126" s="19">
        <v>3</v>
      </c>
      <c r="AC126" s="521">
        <v>44222</v>
      </c>
      <c r="AD126" s="25">
        <v>44225</v>
      </c>
      <c r="AE126" s="309"/>
      <c r="AF126" s="314"/>
      <c r="AG126" s="315"/>
      <c r="AH126" s="316"/>
      <c r="AI126" s="309"/>
      <c r="AJ126" s="338"/>
      <c r="AK126" s="315"/>
      <c r="AL126" s="316"/>
      <c r="AM126" s="309"/>
      <c r="AN126" s="338"/>
      <c r="AO126" s="21"/>
      <c r="AP126" s="25"/>
      <c r="AQ126" s="309"/>
      <c r="AR126" s="19"/>
      <c r="AS126" s="21"/>
      <c r="AT126" s="25"/>
      <c r="AU126" s="522">
        <f t="shared" si="5"/>
        <v>113234</v>
      </c>
      <c r="AV126" s="311">
        <f t="shared" si="6"/>
        <v>110000</v>
      </c>
      <c r="AW126" s="305"/>
      <c r="AX126" s="291"/>
      <c r="AY126" s="291"/>
      <c r="AZ126" s="291"/>
      <c r="BA126" s="291"/>
      <c r="BB126" s="291"/>
      <c r="BC126" s="291"/>
      <c r="BD126" s="291"/>
      <c r="BE126" s="291"/>
      <c r="BF126" s="291"/>
      <c r="BG126" s="291"/>
      <c r="BH126" s="291"/>
      <c r="BI126" s="291"/>
      <c r="BJ126" s="291"/>
      <c r="BK126" s="291"/>
      <c r="BL126" s="291"/>
      <c r="BM126" s="291"/>
      <c r="BN126" s="291"/>
      <c r="BO126" s="291"/>
      <c r="BP126" s="291"/>
      <c r="BQ126" s="291"/>
      <c r="BR126" s="291"/>
      <c r="BS126" s="291"/>
      <c r="BT126" s="291"/>
      <c r="BU126" s="291"/>
      <c r="BV126" s="291"/>
      <c r="BW126" s="291"/>
      <c r="BX126" s="291"/>
      <c r="BY126" s="291"/>
      <c r="BZ126" s="291"/>
      <c r="CA126" s="291"/>
      <c r="CB126" s="291"/>
      <c r="CC126" s="291"/>
      <c r="CD126" s="291"/>
      <c r="CE126" s="291"/>
      <c r="CF126" s="291"/>
      <c r="CG126" s="291"/>
      <c r="CH126" s="291"/>
      <c r="CI126" s="291"/>
      <c r="CJ126" s="291"/>
      <c r="CK126" s="291"/>
      <c r="CL126" s="291"/>
      <c r="CM126" s="291"/>
      <c r="CN126" s="291"/>
      <c r="CO126" s="291"/>
      <c r="CP126" s="291"/>
      <c r="CQ126" s="291"/>
      <c r="CR126" s="291"/>
      <c r="CS126" s="291"/>
      <c r="CT126" s="291"/>
      <c r="CU126" s="291"/>
      <c r="CV126" s="291"/>
      <c r="CW126" s="291"/>
      <c r="CX126" s="291"/>
      <c r="CY126" s="291"/>
      <c r="CZ126" s="291"/>
      <c r="DA126" s="291"/>
      <c r="DB126" s="291"/>
      <c r="DC126" s="291"/>
      <c r="DD126" s="291"/>
      <c r="DE126" s="291"/>
      <c r="DF126" s="291"/>
      <c r="DG126" s="291"/>
      <c r="DH126" s="291"/>
      <c r="DI126" s="291"/>
      <c r="DJ126" s="291"/>
      <c r="DK126" s="291"/>
      <c r="DL126" s="291"/>
      <c r="DM126" s="291"/>
      <c r="DN126" s="291"/>
      <c r="DO126" s="291"/>
      <c r="DP126" s="291"/>
      <c r="DQ126" s="291"/>
      <c r="DR126" s="291"/>
      <c r="DS126" s="291"/>
      <c r="DT126" s="291"/>
      <c r="DU126" s="291"/>
      <c r="DV126" s="291"/>
      <c r="DW126" s="291"/>
      <c r="DX126" s="291"/>
      <c r="DY126" s="291"/>
      <c r="DZ126" s="291"/>
      <c r="EA126" s="291"/>
      <c r="EB126" s="291"/>
      <c r="EC126" s="291"/>
      <c r="ED126" s="291"/>
      <c r="EE126" s="291"/>
      <c r="EF126" s="291"/>
      <c r="EG126" s="291"/>
      <c r="EH126" s="291"/>
      <c r="EI126" s="291"/>
      <c r="EJ126" s="291"/>
      <c r="EK126" s="291"/>
      <c r="EL126" s="291"/>
      <c r="EM126" s="291"/>
      <c r="EN126" s="291"/>
      <c r="EO126" s="291"/>
      <c r="EP126" s="291"/>
      <c r="EQ126" s="291"/>
      <c r="ER126" s="291"/>
      <c r="ES126" s="291"/>
      <c r="ET126" s="291"/>
      <c r="EU126" s="291"/>
      <c r="EV126" s="291"/>
      <c r="EW126" s="291"/>
      <c r="EX126" s="291"/>
      <c r="EY126" s="291"/>
      <c r="EZ126" s="291"/>
      <c r="FA126" s="291"/>
      <c r="FB126" s="291"/>
      <c r="FC126" s="291"/>
      <c r="FD126" s="291"/>
      <c r="FE126" s="291"/>
      <c r="FF126" s="291"/>
      <c r="FG126" s="291"/>
      <c r="FH126" s="291"/>
      <c r="FI126" s="291"/>
      <c r="FJ126" s="291"/>
      <c r="FK126" s="291"/>
      <c r="FL126" s="291"/>
      <c r="FM126" s="291"/>
      <c r="FN126" s="291"/>
      <c r="FO126" s="291"/>
      <c r="FP126" s="291"/>
      <c r="FQ126" s="291"/>
      <c r="FR126" s="291"/>
      <c r="FS126" s="291"/>
      <c r="FT126" s="291"/>
      <c r="FU126" s="291"/>
      <c r="FV126" s="291"/>
      <c r="FW126" s="291"/>
      <c r="FX126" s="291"/>
      <c r="FY126" s="291"/>
      <c r="FZ126" s="291"/>
      <c r="GA126" s="291"/>
      <c r="GB126" s="291"/>
      <c r="GC126" s="291"/>
      <c r="GD126" s="291"/>
      <c r="GE126" s="291"/>
      <c r="GF126" s="291"/>
      <c r="GG126" s="291"/>
      <c r="GH126" s="291"/>
      <c r="GI126" s="291"/>
      <c r="GJ126" s="291"/>
      <c r="GK126" s="291"/>
      <c r="GL126" s="291"/>
      <c r="GM126" s="291"/>
      <c r="GN126" s="291"/>
      <c r="GO126" s="291"/>
      <c r="GP126" s="291"/>
      <c r="GQ126" s="291"/>
      <c r="GR126" s="291"/>
      <c r="GS126" s="291"/>
      <c r="GT126" s="291"/>
      <c r="GU126" s="291"/>
      <c r="GV126" s="291"/>
      <c r="GW126" s="291"/>
      <c r="GX126" s="291"/>
      <c r="GY126" s="291"/>
      <c r="GZ126" s="291"/>
      <c r="HA126" s="291"/>
      <c r="HB126" s="291"/>
      <c r="HC126" s="291"/>
      <c r="HD126" s="291"/>
      <c r="HE126" s="291"/>
      <c r="HF126" s="291"/>
      <c r="HG126" s="291"/>
      <c r="HH126" s="291"/>
      <c r="HI126" s="291"/>
      <c r="HJ126" s="291"/>
      <c r="HK126" s="291"/>
      <c r="HL126" s="291"/>
      <c r="HM126" s="291"/>
      <c r="HN126" s="291"/>
      <c r="HO126" s="291"/>
      <c r="HP126" s="291"/>
      <c r="HQ126" s="291"/>
      <c r="HR126" s="291"/>
      <c r="HS126" s="291"/>
      <c r="HT126" s="291"/>
      <c r="HU126" s="291"/>
      <c r="HV126" s="291"/>
      <c r="HW126" s="291"/>
      <c r="HX126" s="291"/>
      <c r="HY126" s="291"/>
      <c r="HZ126" s="291"/>
      <c r="IA126" s="291"/>
      <c r="IB126" s="291"/>
      <c r="IC126" s="291"/>
      <c r="ID126" s="291"/>
      <c r="IE126" s="291"/>
      <c r="IF126" s="291"/>
      <c r="IG126" s="291"/>
      <c r="IH126" s="291"/>
      <c r="II126" s="291"/>
      <c r="IJ126" s="291"/>
      <c r="IK126" s="291"/>
      <c r="IL126" s="291"/>
      <c r="IM126" s="291"/>
      <c r="IN126" s="291"/>
      <c r="IO126" s="291"/>
      <c r="IP126" s="291"/>
      <c r="IQ126" s="291"/>
      <c r="IR126" s="291"/>
      <c r="IS126" s="291"/>
      <c r="IT126" s="291"/>
      <c r="IU126" s="291"/>
      <c r="IV126" s="291"/>
      <c r="IW126" s="291"/>
      <c r="IX126" s="291"/>
      <c r="IY126" s="291"/>
      <c r="IZ126" s="291"/>
      <c r="JA126" s="291"/>
      <c r="JB126" s="291"/>
      <c r="JC126" s="291"/>
      <c r="JD126" s="291"/>
      <c r="JE126" s="291"/>
      <c r="JF126" s="291"/>
      <c r="JG126" s="291"/>
      <c r="JH126" s="291"/>
      <c r="JI126" s="291"/>
      <c r="JJ126" s="291"/>
      <c r="JK126" s="291"/>
      <c r="JL126" s="291"/>
      <c r="JM126" s="291"/>
      <c r="JN126" s="291"/>
      <c r="JO126" s="291"/>
      <c r="JP126" s="291"/>
      <c r="JQ126" s="291"/>
      <c r="JR126" s="291"/>
      <c r="JS126" s="291"/>
      <c r="JT126" s="291"/>
      <c r="JU126" s="291"/>
      <c r="JV126" s="291"/>
      <c r="JW126" s="291"/>
      <c r="JX126" s="291"/>
      <c r="JY126" s="291"/>
      <c r="JZ126" s="291"/>
      <c r="KA126" s="291"/>
      <c r="KB126" s="291"/>
      <c r="KC126" s="291"/>
      <c r="KD126" s="291"/>
      <c r="KE126" s="291"/>
      <c r="KF126" s="291"/>
      <c r="KG126" s="291"/>
      <c r="KH126" s="291"/>
      <c r="KI126" s="291"/>
      <c r="KJ126" s="291"/>
      <c r="KK126" s="291"/>
      <c r="KL126" s="291"/>
      <c r="KM126" s="291"/>
      <c r="KN126" s="291"/>
      <c r="KO126" s="291"/>
      <c r="KP126" s="291"/>
      <c r="KQ126" s="291"/>
      <c r="KR126" s="291"/>
      <c r="KS126" s="291"/>
      <c r="KT126" s="291"/>
      <c r="KU126" s="291"/>
      <c r="KV126" s="291"/>
      <c r="KW126" s="291"/>
      <c r="KX126" s="291"/>
      <c r="KY126" s="291"/>
      <c r="KZ126" s="291"/>
      <c r="LA126" s="291"/>
      <c r="LB126" s="291"/>
      <c r="LC126" s="291"/>
      <c r="LD126" s="291"/>
      <c r="LE126" s="291"/>
      <c r="LF126" s="291"/>
      <c r="LG126" s="291"/>
      <c r="LH126" s="291"/>
      <c r="LI126" s="291"/>
      <c r="LJ126" s="291"/>
      <c r="LK126" s="291"/>
      <c r="LL126" s="291"/>
      <c r="LM126" s="291"/>
      <c r="LN126" s="291"/>
      <c r="LO126" s="291"/>
      <c r="LP126" s="291"/>
      <c r="LQ126" s="291"/>
      <c r="LR126" s="291"/>
      <c r="LS126" s="291"/>
      <c r="LT126" s="291"/>
      <c r="LU126" s="291"/>
      <c r="LV126" s="291"/>
      <c r="LW126" s="291"/>
      <c r="LX126" s="291"/>
      <c r="LY126" s="291"/>
      <c r="LZ126" s="291"/>
      <c r="MA126" s="291"/>
      <c r="MB126" s="291"/>
      <c r="MC126" s="291"/>
      <c r="MD126" s="291"/>
      <c r="ME126" s="291"/>
      <c r="MF126" s="291"/>
      <c r="MG126" s="291"/>
      <c r="MH126" s="291"/>
      <c r="MI126" s="291"/>
      <c r="MJ126" s="291"/>
      <c r="MK126" s="291"/>
      <c r="ML126" s="291"/>
      <c r="MM126" s="291"/>
      <c r="MN126" s="291"/>
      <c r="MO126" s="291"/>
      <c r="MP126" s="291"/>
      <c r="MQ126" s="291"/>
      <c r="MR126" s="291"/>
      <c r="MS126" s="291"/>
      <c r="MT126" s="291"/>
      <c r="MU126" s="291"/>
      <c r="MV126" s="291"/>
      <c r="MW126" s="291"/>
      <c r="MX126" s="291"/>
      <c r="MY126" s="291"/>
      <c r="MZ126" s="291"/>
      <c r="NA126" s="291"/>
      <c r="NB126" s="291"/>
      <c r="NC126" s="291"/>
      <c r="ND126" s="291"/>
      <c r="NE126" s="291"/>
      <c r="NF126" s="291"/>
      <c r="NG126" s="291"/>
      <c r="NH126" s="291"/>
      <c r="NI126" s="291"/>
      <c r="NJ126" s="291"/>
      <c r="NK126" s="291"/>
      <c r="NL126" s="291"/>
      <c r="NM126" s="291"/>
      <c r="NN126" s="291"/>
      <c r="NO126" s="291"/>
      <c r="NP126" s="291"/>
      <c r="NQ126" s="291"/>
      <c r="NR126" s="291"/>
      <c r="NS126" s="291"/>
      <c r="NT126" s="291"/>
      <c r="NU126" s="291"/>
      <c r="NV126" s="291"/>
      <c r="NW126" s="291"/>
      <c r="NX126" s="291"/>
      <c r="NY126" s="291"/>
      <c r="NZ126" s="291"/>
      <c r="OA126" s="291"/>
      <c r="OB126" s="291"/>
      <c r="OC126" s="291"/>
      <c r="OD126" s="291"/>
      <c r="OE126" s="291"/>
      <c r="OF126" s="291"/>
      <c r="OG126" s="291"/>
      <c r="OH126" s="291"/>
      <c r="OI126" s="291"/>
      <c r="OJ126" s="291"/>
      <c r="OK126" s="291"/>
      <c r="OL126" s="291"/>
      <c r="OM126" s="291"/>
      <c r="ON126" s="291"/>
      <c r="OO126" s="291"/>
      <c r="OP126" s="291"/>
      <c r="OQ126" s="291"/>
      <c r="OR126" s="291"/>
      <c r="OS126" s="291"/>
      <c r="OT126" s="291"/>
      <c r="OU126" s="291"/>
      <c r="OV126" s="291"/>
      <c r="OW126" s="291"/>
    </row>
    <row r="127" spans="1:413" s="257" customFormat="1" hidden="1" x14ac:dyDescent="0.2">
      <c r="A127" s="291"/>
      <c r="B127" s="524">
        <f t="shared" si="7"/>
        <v>111</v>
      </c>
      <c r="C127" s="510" t="s">
        <v>38</v>
      </c>
      <c r="D127" s="511">
        <v>30293024</v>
      </c>
      <c r="E127" s="511"/>
      <c r="F127" s="512" t="s">
        <v>1269</v>
      </c>
      <c r="G127" s="513" t="s">
        <v>45</v>
      </c>
      <c r="H127" s="514" t="s">
        <v>1094</v>
      </c>
      <c r="I127" s="515" t="s">
        <v>1142</v>
      </c>
      <c r="J127" s="346" t="s">
        <v>42</v>
      </c>
      <c r="K127" s="526">
        <v>816390</v>
      </c>
      <c r="L127" s="527">
        <v>438455</v>
      </c>
      <c r="M127" s="528">
        <v>0</v>
      </c>
      <c r="N127" s="519">
        <v>0</v>
      </c>
      <c r="O127" s="519">
        <v>108938</v>
      </c>
      <c r="P127" s="519">
        <v>12376</v>
      </c>
      <c r="Q127" s="519">
        <v>0</v>
      </c>
      <c r="R127" s="519">
        <v>0</v>
      </c>
      <c r="S127" s="520">
        <v>0</v>
      </c>
      <c r="T127" s="18"/>
      <c r="U127" s="18"/>
      <c r="V127" s="18"/>
      <c r="W127" s="18"/>
      <c r="X127" s="18"/>
      <c r="Y127" s="18"/>
      <c r="Z127" s="18">
        <f t="shared" si="4"/>
        <v>121314</v>
      </c>
      <c r="AA127" s="309">
        <v>370548</v>
      </c>
      <c r="AB127" s="19">
        <v>11</v>
      </c>
      <c r="AC127" s="521">
        <v>44237</v>
      </c>
      <c r="AD127" s="25">
        <v>44251</v>
      </c>
      <c r="AE127" s="309">
        <v>3200</v>
      </c>
      <c r="AF127" s="314">
        <v>15</v>
      </c>
      <c r="AG127" s="315">
        <v>44259</v>
      </c>
      <c r="AH127" s="316">
        <v>44274</v>
      </c>
      <c r="AI127" s="309"/>
      <c r="AJ127" s="338"/>
      <c r="AK127" s="315"/>
      <c r="AL127" s="316"/>
      <c r="AM127" s="309"/>
      <c r="AN127" s="338"/>
      <c r="AO127" s="21"/>
      <c r="AP127" s="25"/>
      <c r="AQ127" s="309"/>
      <c r="AR127" s="19"/>
      <c r="AS127" s="21"/>
      <c r="AT127" s="25"/>
      <c r="AU127" s="522">
        <f t="shared" si="5"/>
        <v>373748</v>
      </c>
      <c r="AV127" s="311">
        <f t="shared" si="6"/>
        <v>252434</v>
      </c>
      <c r="AW127" s="305"/>
      <c r="AX127" s="291"/>
      <c r="AY127" s="291"/>
      <c r="AZ127" s="291"/>
      <c r="BA127" s="291"/>
      <c r="BB127" s="291"/>
      <c r="BC127" s="291"/>
      <c r="BD127" s="291"/>
      <c r="BE127" s="291"/>
      <c r="BF127" s="291"/>
      <c r="BG127" s="291"/>
      <c r="BH127" s="291"/>
      <c r="BI127" s="291"/>
      <c r="BJ127" s="291"/>
      <c r="BK127" s="291"/>
      <c r="BL127" s="291"/>
      <c r="BM127" s="291"/>
      <c r="BN127" s="291"/>
      <c r="BO127" s="291"/>
      <c r="BP127" s="291"/>
      <c r="BQ127" s="291"/>
      <c r="BR127" s="291"/>
      <c r="BS127" s="291"/>
      <c r="BT127" s="291"/>
      <c r="BU127" s="291"/>
      <c r="BV127" s="291"/>
      <c r="BW127" s="291"/>
      <c r="BX127" s="291"/>
      <c r="BY127" s="291"/>
      <c r="BZ127" s="291"/>
      <c r="CA127" s="291"/>
      <c r="CB127" s="291"/>
      <c r="CC127" s="291"/>
      <c r="CD127" s="291"/>
      <c r="CE127" s="291"/>
      <c r="CF127" s="291"/>
      <c r="CG127" s="291"/>
      <c r="CH127" s="291"/>
      <c r="CI127" s="291"/>
      <c r="CJ127" s="291"/>
      <c r="CK127" s="291"/>
      <c r="CL127" s="291"/>
      <c r="CM127" s="291"/>
      <c r="CN127" s="291"/>
      <c r="CO127" s="291"/>
      <c r="CP127" s="291"/>
      <c r="CQ127" s="291"/>
      <c r="CR127" s="291"/>
      <c r="CS127" s="291"/>
      <c r="CT127" s="291"/>
      <c r="CU127" s="291"/>
      <c r="CV127" s="291"/>
      <c r="CW127" s="291"/>
      <c r="CX127" s="291"/>
      <c r="CY127" s="291"/>
      <c r="CZ127" s="291"/>
      <c r="DA127" s="291"/>
      <c r="DB127" s="291"/>
      <c r="DC127" s="291"/>
      <c r="DD127" s="291"/>
      <c r="DE127" s="291"/>
      <c r="DF127" s="291"/>
      <c r="DG127" s="291"/>
      <c r="DH127" s="291"/>
      <c r="DI127" s="291"/>
      <c r="DJ127" s="291"/>
      <c r="DK127" s="291"/>
      <c r="DL127" s="291"/>
      <c r="DM127" s="291"/>
      <c r="DN127" s="291"/>
      <c r="DO127" s="291"/>
      <c r="DP127" s="291"/>
      <c r="DQ127" s="291"/>
      <c r="DR127" s="291"/>
      <c r="DS127" s="291"/>
      <c r="DT127" s="291"/>
      <c r="DU127" s="291"/>
      <c r="DV127" s="291"/>
      <c r="DW127" s="291"/>
      <c r="DX127" s="291"/>
      <c r="DY127" s="291"/>
      <c r="DZ127" s="291"/>
      <c r="EA127" s="291"/>
      <c r="EB127" s="291"/>
      <c r="EC127" s="291"/>
      <c r="ED127" s="291"/>
      <c r="EE127" s="291"/>
      <c r="EF127" s="291"/>
      <c r="EG127" s="291"/>
      <c r="EH127" s="291"/>
      <c r="EI127" s="291"/>
      <c r="EJ127" s="291"/>
      <c r="EK127" s="291"/>
      <c r="EL127" s="291"/>
      <c r="EM127" s="291"/>
      <c r="EN127" s="291"/>
      <c r="EO127" s="291"/>
      <c r="EP127" s="291"/>
      <c r="EQ127" s="291"/>
      <c r="ER127" s="291"/>
      <c r="ES127" s="291"/>
      <c r="ET127" s="291"/>
      <c r="EU127" s="291"/>
      <c r="EV127" s="291"/>
      <c r="EW127" s="291"/>
      <c r="EX127" s="291"/>
      <c r="EY127" s="291"/>
      <c r="EZ127" s="291"/>
      <c r="FA127" s="291"/>
      <c r="FB127" s="291"/>
      <c r="FC127" s="291"/>
      <c r="FD127" s="291"/>
      <c r="FE127" s="291"/>
      <c r="FF127" s="291"/>
      <c r="FG127" s="291"/>
      <c r="FH127" s="291"/>
      <c r="FI127" s="291"/>
      <c r="FJ127" s="291"/>
      <c r="FK127" s="291"/>
      <c r="FL127" s="291"/>
      <c r="FM127" s="291"/>
      <c r="FN127" s="291"/>
      <c r="FO127" s="291"/>
      <c r="FP127" s="291"/>
      <c r="FQ127" s="291"/>
      <c r="FR127" s="291"/>
      <c r="FS127" s="291"/>
      <c r="FT127" s="291"/>
      <c r="FU127" s="291"/>
      <c r="FV127" s="291"/>
      <c r="FW127" s="291"/>
      <c r="FX127" s="291"/>
      <c r="FY127" s="291"/>
      <c r="FZ127" s="291"/>
      <c r="GA127" s="291"/>
      <c r="GB127" s="291"/>
      <c r="GC127" s="291"/>
      <c r="GD127" s="291"/>
      <c r="GE127" s="291"/>
      <c r="GF127" s="291"/>
      <c r="GG127" s="291"/>
      <c r="GH127" s="291"/>
      <c r="GI127" s="291"/>
      <c r="GJ127" s="291"/>
      <c r="GK127" s="291"/>
      <c r="GL127" s="291"/>
      <c r="GM127" s="291"/>
      <c r="GN127" s="291"/>
      <c r="GO127" s="291"/>
      <c r="GP127" s="291"/>
      <c r="GQ127" s="291"/>
      <c r="GR127" s="291"/>
      <c r="GS127" s="291"/>
      <c r="GT127" s="291"/>
      <c r="GU127" s="291"/>
      <c r="GV127" s="291"/>
      <c r="GW127" s="291"/>
      <c r="GX127" s="291"/>
      <c r="GY127" s="291"/>
      <c r="GZ127" s="291"/>
      <c r="HA127" s="291"/>
      <c r="HB127" s="291"/>
      <c r="HC127" s="291"/>
      <c r="HD127" s="291"/>
      <c r="HE127" s="291"/>
      <c r="HF127" s="291"/>
      <c r="HG127" s="291"/>
      <c r="HH127" s="291"/>
      <c r="HI127" s="291"/>
      <c r="HJ127" s="291"/>
      <c r="HK127" s="291"/>
      <c r="HL127" s="291"/>
      <c r="HM127" s="291"/>
      <c r="HN127" s="291"/>
      <c r="HO127" s="291"/>
      <c r="HP127" s="291"/>
      <c r="HQ127" s="291"/>
      <c r="HR127" s="291"/>
      <c r="HS127" s="291"/>
      <c r="HT127" s="291"/>
      <c r="HU127" s="291"/>
      <c r="HV127" s="291"/>
      <c r="HW127" s="291"/>
      <c r="HX127" s="291"/>
      <c r="HY127" s="291"/>
      <c r="HZ127" s="291"/>
      <c r="IA127" s="291"/>
      <c r="IB127" s="291"/>
      <c r="IC127" s="291"/>
      <c r="ID127" s="291"/>
      <c r="IE127" s="291"/>
      <c r="IF127" s="291"/>
      <c r="IG127" s="291"/>
      <c r="IH127" s="291"/>
      <c r="II127" s="291"/>
      <c r="IJ127" s="291"/>
      <c r="IK127" s="291"/>
      <c r="IL127" s="291"/>
      <c r="IM127" s="291"/>
      <c r="IN127" s="291"/>
      <c r="IO127" s="291"/>
      <c r="IP127" s="291"/>
      <c r="IQ127" s="291"/>
      <c r="IR127" s="291"/>
      <c r="IS127" s="291"/>
      <c r="IT127" s="291"/>
      <c r="IU127" s="291"/>
      <c r="IV127" s="291"/>
      <c r="IW127" s="291"/>
      <c r="IX127" s="291"/>
      <c r="IY127" s="291"/>
      <c r="IZ127" s="291"/>
      <c r="JA127" s="291"/>
      <c r="JB127" s="291"/>
      <c r="JC127" s="291"/>
      <c r="JD127" s="291"/>
      <c r="JE127" s="291"/>
      <c r="JF127" s="291"/>
      <c r="JG127" s="291"/>
      <c r="JH127" s="291"/>
      <c r="JI127" s="291"/>
      <c r="JJ127" s="291"/>
      <c r="JK127" s="291"/>
      <c r="JL127" s="291"/>
      <c r="JM127" s="291"/>
      <c r="JN127" s="291"/>
      <c r="JO127" s="291"/>
      <c r="JP127" s="291"/>
      <c r="JQ127" s="291"/>
      <c r="JR127" s="291"/>
      <c r="JS127" s="291"/>
      <c r="JT127" s="291"/>
      <c r="JU127" s="291"/>
      <c r="JV127" s="291"/>
      <c r="JW127" s="291"/>
      <c r="JX127" s="291"/>
      <c r="JY127" s="291"/>
      <c r="JZ127" s="291"/>
      <c r="KA127" s="291"/>
      <c r="KB127" s="291"/>
      <c r="KC127" s="291"/>
      <c r="KD127" s="291"/>
      <c r="KE127" s="291"/>
      <c r="KF127" s="291"/>
      <c r="KG127" s="291"/>
      <c r="KH127" s="291"/>
      <c r="KI127" s="291"/>
      <c r="KJ127" s="291"/>
      <c r="KK127" s="291"/>
      <c r="KL127" s="291"/>
      <c r="KM127" s="291"/>
      <c r="KN127" s="291"/>
      <c r="KO127" s="291"/>
      <c r="KP127" s="291"/>
      <c r="KQ127" s="291"/>
      <c r="KR127" s="291"/>
      <c r="KS127" s="291"/>
      <c r="KT127" s="291"/>
      <c r="KU127" s="291"/>
      <c r="KV127" s="291"/>
      <c r="KW127" s="291"/>
      <c r="KX127" s="291"/>
      <c r="KY127" s="291"/>
      <c r="KZ127" s="291"/>
      <c r="LA127" s="291"/>
      <c r="LB127" s="291"/>
      <c r="LC127" s="291"/>
      <c r="LD127" s="291"/>
      <c r="LE127" s="291"/>
      <c r="LF127" s="291"/>
      <c r="LG127" s="291"/>
      <c r="LH127" s="291"/>
      <c r="LI127" s="291"/>
      <c r="LJ127" s="291"/>
      <c r="LK127" s="291"/>
      <c r="LL127" s="291"/>
      <c r="LM127" s="291"/>
      <c r="LN127" s="291"/>
      <c r="LO127" s="291"/>
      <c r="LP127" s="291"/>
      <c r="LQ127" s="291"/>
      <c r="LR127" s="291"/>
      <c r="LS127" s="291"/>
      <c r="LT127" s="291"/>
      <c r="LU127" s="291"/>
      <c r="LV127" s="291"/>
      <c r="LW127" s="291"/>
      <c r="LX127" s="291"/>
      <c r="LY127" s="291"/>
      <c r="LZ127" s="291"/>
      <c r="MA127" s="291"/>
      <c r="MB127" s="291"/>
      <c r="MC127" s="291"/>
      <c r="MD127" s="291"/>
      <c r="ME127" s="291"/>
      <c r="MF127" s="291"/>
      <c r="MG127" s="291"/>
      <c r="MH127" s="291"/>
      <c r="MI127" s="291"/>
      <c r="MJ127" s="291"/>
      <c r="MK127" s="291"/>
      <c r="ML127" s="291"/>
      <c r="MM127" s="291"/>
      <c r="MN127" s="291"/>
      <c r="MO127" s="291"/>
      <c r="MP127" s="291"/>
      <c r="MQ127" s="291"/>
      <c r="MR127" s="291"/>
      <c r="MS127" s="291"/>
      <c r="MT127" s="291"/>
      <c r="MU127" s="291"/>
      <c r="MV127" s="291"/>
      <c r="MW127" s="291"/>
      <c r="MX127" s="291"/>
      <c r="MY127" s="291"/>
      <c r="MZ127" s="291"/>
      <c r="NA127" s="291"/>
      <c r="NB127" s="291"/>
      <c r="NC127" s="291"/>
      <c r="ND127" s="291"/>
      <c r="NE127" s="291"/>
      <c r="NF127" s="291"/>
      <c r="NG127" s="291"/>
      <c r="NH127" s="291"/>
      <c r="NI127" s="291"/>
      <c r="NJ127" s="291"/>
      <c r="NK127" s="291"/>
      <c r="NL127" s="291"/>
      <c r="NM127" s="291"/>
      <c r="NN127" s="291"/>
      <c r="NO127" s="291"/>
      <c r="NP127" s="291"/>
      <c r="NQ127" s="291"/>
      <c r="NR127" s="291"/>
      <c r="NS127" s="291"/>
      <c r="NT127" s="291"/>
      <c r="NU127" s="291"/>
      <c r="NV127" s="291"/>
      <c r="NW127" s="291"/>
      <c r="NX127" s="291"/>
      <c r="NY127" s="291"/>
      <c r="NZ127" s="291"/>
      <c r="OA127" s="291"/>
      <c r="OB127" s="291"/>
      <c r="OC127" s="291"/>
      <c r="OD127" s="291"/>
      <c r="OE127" s="291"/>
      <c r="OF127" s="291"/>
      <c r="OG127" s="291"/>
      <c r="OH127" s="291"/>
      <c r="OI127" s="291"/>
      <c r="OJ127" s="291"/>
      <c r="OK127" s="291"/>
      <c r="OL127" s="291"/>
      <c r="OM127" s="291"/>
      <c r="ON127" s="291"/>
      <c r="OO127" s="291"/>
      <c r="OP127" s="291"/>
      <c r="OQ127" s="291"/>
      <c r="OR127" s="291"/>
      <c r="OS127" s="291"/>
      <c r="OT127" s="291"/>
      <c r="OU127" s="291"/>
      <c r="OV127" s="291"/>
      <c r="OW127" s="291"/>
    </row>
    <row r="128" spans="1:413" s="257" customFormat="1" hidden="1" x14ac:dyDescent="0.2">
      <c r="A128" s="291"/>
      <c r="B128" s="524">
        <f t="shared" si="7"/>
        <v>112</v>
      </c>
      <c r="C128" s="510" t="s">
        <v>38</v>
      </c>
      <c r="D128" s="511">
        <v>30297872</v>
      </c>
      <c r="E128" s="511"/>
      <c r="F128" s="512" t="s">
        <v>1270</v>
      </c>
      <c r="G128" s="513" t="s">
        <v>45</v>
      </c>
      <c r="H128" s="514" t="s">
        <v>1094</v>
      </c>
      <c r="I128" s="515" t="s">
        <v>1123</v>
      </c>
      <c r="J128" s="346" t="s">
        <v>42</v>
      </c>
      <c r="K128" s="526">
        <v>3669969</v>
      </c>
      <c r="L128" s="527">
        <v>3627347</v>
      </c>
      <c r="M128" s="528">
        <v>0</v>
      </c>
      <c r="N128" s="519">
        <v>0</v>
      </c>
      <c r="O128" s="519">
        <v>0</v>
      </c>
      <c r="P128" s="519">
        <v>0</v>
      </c>
      <c r="Q128" s="519">
        <v>0</v>
      </c>
      <c r="R128" s="519">
        <v>0</v>
      </c>
      <c r="S128" s="520">
        <v>0</v>
      </c>
      <c r="T128" s="18"/>
      <c r="U128" s="18"/>
      <c r="V128" s="18"/>
      <c r="W128" s="18"/>
      <c r="X128" s="18"/>
      <c r="Y128" s="18"/>
      <c r="Z128" s="18">
        <f t="shared" si="4"/>
        <v>0</v>
      </c>
      <c r="AA128" s="309">
        <v>42622</v>
      </c>
      <c r="AB128" s="19">
        <v>9</v>
      </c>
      <c r="AC128" s="521">
        <v>44232</v>
      </c>
      <c r="AD128" s="25">
        <v>44251</v>
      </c>
      <c r="AE128" s="309"/>
      <c r="AF128" s="314"/>
      <c r="AG128" s="315"/>
      <c r="AH128" s="316"/>
      <c r="AI128" s="309"/>
      <c r="AJ128" s="338"/>
      <c r="AK128" s="315"/>
      <c r="AL128" s="316"/>
      <c r="AM128" s="309"/>
      <c r="AN128" s="338"/>
      <c r="AO128" s="21"/>
      <c r="AP128" s="25"/>
      <c r="AQ128" s="309"/>
      <c r="AR128" s="19"/>
      <c r="AS128" s="21"/>
      <c r="AT128" s="25"/>
      <c r="AU128" s="522">
        <f t="shared" si="5"/>
        <v>42622</v>
      </c>
      <c r="AV128" s="311">
        <f t="shared" si="6"/>
        <v>42622</v>
      </c>
      <c r="AW128" s="305"/>
      <c r="AX128" s="291"/>
      <c r="AY128" s="291"/>
      <c r="AZ128" s="291"/>
      <c r="BA128" s="291"/>
      <c r="BB128" s="291"/>
      <c r="BC128" s="291"/>
      <c r="BD128" s="291"/>
      <c r="BE128" s="291"/>
      <c r="BF128" s="291"/>
      <c r="BG128" s="291"/>
      <c r="BH128" s="291"/>
      <c r="BI128" s="291"/>
      <c r="BJ128" s="291"/>
      <c r="BK128" s="291"/>
      <c r="BL128" s="291"/>
      <c r="BM128" s="291"/>
      <c r="BN128" s="291"/>
      <c r="BO128" s="291"/>
      <c r="BP128" s="291"/>
      <c r="BQ128" s="291"/>
      <c r="BR128" s="291"/>
      <c r="BS128" s="291"/>
      <c r="BT128" s="291"/>
      <c r="BU128" s="291"/>
      <c r="BV128" s="291"/>
      <c r="BW128" s="291"/>
      <c r="BX128" s="291"/>
      <c r="BY128" s="291"/>
      <c r="BZ128" s="291"/>
      <c r="CA128" s="291"/>
      <c r="CB128" s="291"/>
      <c r="CC128" s="291"/>
      <c r="CD128" s="291"/>
      <c r="CE128" s="291"/>
      <c r="CF128" s="291"/>
      <c r="CG128" s="291"/>
      <c r="CH128" s="291"/>
      <c r="CI128" s="291"/>
      <c r="CJ128" s="291"/>
      <c r="CK128" s="291"/>
      <c r="CL128" s="291"/>
      <c r="CM128" s="291"/>
      <c r="CN128" s="291"/>
      <c r="CO128" s="291"/>
      <c r="CP128" s="291"/>
      <c r="CQ128" s="291"/>
      <c r="CR128" s="291"/>
      <c r="CS128" s="291"/>
      <c r="CT128" s="291"/>
      <c r="CU128" s="291"/>
      <c r="CV128" s="291"/>
      <c r="CW128" s="291"/>
      <c r="CX128" s="291"/>
      <c r="CY128" s="291"/>
      <c r="CZ128" s="291"/>
      <c r="DA128" s="291"/>
      <c r="DB128" s="291"/>
      <c r="DC128" s="291"/>
      <c r="DD128" s="291"/>
      <c r="DE128" s="291"/>
      <c r="DF128" s="291"/>
      <c r="DG128" s="291"/>
      <c r="DH128" s="291"/>
      <c r="DI128" s="291"/>
      <c r="DJ128" s="291"/>
      <c r="DK128" s="291"/>
      <c r="DL128" s="291"/>
      <c r="DM128" s="291"/>
      <c r="DN128" s="291"/>
      <c r="DO128" s="291"/>
      <c r="DP128" s="291"/>
      <c r="DQ128" s="291"/>
      <c r="DR128" s="291"/>
      <c r="DS128" s="291"/>
      <c r="DT128" s="291"/>
      <c r="DU128" s="291"/>
      <c r="DV128" s="291"/>
      <c r="DW128" s="291"/>
      <c r="DX128" s="291"/>
      <c r="DY128" s="291"/>
      <c r="DZ128" s="291"/>
      <c r="EA128" s="291"/>
      <c r="EB128" s="291"/>
      <c r="EC128" s="291"/>
      <c r="ED128" s="291"/>
      <c r="EE128" s="291"/>
      <c r="EF128" s="291"/>
      <c r="EG128" s="291"/>
      <c r="EH128" s="291"/>
      <c r="EI128" s="291"/>
      <c r="EJ128" s="291"/>
      <c r="EK128" s="291"/>
      <c r="EL128" s="291"/>
      <c r="EM128" s="291"/>
      <c r="EN128" s="291"/>
      <c r="EO128" s="291"/>
      <c r="EP128" s="291"/>
      <c r="EQ128" s="291"/>
      <c r="ER128" s="291"/>
      <c r="ES128" s="291"/>
      <c r="ET128" s="291"/>
      <c r="EU128" s="291"/>
      <c r="EV128" s="291"/>
      <c r="EW128" s="291"/>
      <c r="EX128" s="291"/>
      <c r="EY128" s="291"/>
      <c r="EZ128" s="291"/>
      <c r="FA128" s="291"/>
      <c r="FB128" s="291"/>
      <c r="FC128" s="291"/>
      <c r="FD128" s="291"/>
      <c r="FE128" s="291"/>
      <c r="FF128" s="291"/>
      <c r="FG128" s="291"/>
      <c r="FH128" s="291"/>
      <c r="FI128" s="291"/>
      <c r="FJ128" s="291"/>
      <c r="FK128" s="291"/>
      <c r="FL128" s="291"/>
      <c r="FM128" s="291"/>
      <c r="FN128" s="291"/>
      <c r="FO128" s="291"/>
      <c r="FP128" s="291"/>
      <c r="FQ128" s="291"/>
      <c r="FR128" s="291"/>
      <c r="FS128" s="291"/>
      <c r="FT128" s="291"/>
      <c r="FU128" s="291"/>
      <c r="FV128" s="291"/>
      <c r="FW128" s="291"/>
      <c r="FX128" s="291"/>
      <c r="FY128" s="291"/>
      <c r="FZ128" s="291"/>
      <c r="GA128" s="291"/>
      <c r="GB128" s="291"/>
      <c r="GC128" s="291"/>
      <c r="GD128" s="291"/>
      <c r="GE128" s="291"/>
      <c r="GF128" s="291"/>
      <c r="GG128" s="291"/>
      <c r="GH128" s="291"/>
      <c r="GI128" s="291"/>
      <c r="GJ128" s="291"/>
      <c r="GK128" s="291"/>
      <c r="GL128" s="291"/>
      <c r="GM128" s="291"/>
      <c r="GN128" s="291"/>
      <c r="GO128" s="291"/>
      <c r="GP128" s="291"/>
      <c r="GQ128" s="291"/>
      <c r="GR128" s="291"/>
      <c r="GS128" s="291"/>
      <c r="GT128" s="291"/>
      <c r="GU128" s="291"/>
      <c r="GV128" s="291"/>
      <c r="GW128" s="291"/>
      <c r="GX128" s="291"/>
      <c r="GY128" s="291"/>
      <c r="GZ128" s="291"/>
      <c r="HA128" s="291"/>
      <c r="HB128" s="291"/>
      <c r="HC128" s="291"/>
      <c r="HD128" s="291"/>
      <c r="HE128" s="291"/>
      <c r="HF128" s="291"/>
      <c r="HG128" s="291"/>
      <c r="HH128" s="291"/>
      <c r="HI128" s="291"/>
      <c r="HJ128" s="291"/>
      <c r="HK128" s="291"/>
      <c r="HL128" s="291"/>
      <c r="HM128" s="291"/>
      <c r="HN128" s="291"/>
      <c r="HO128" s="291"/>
      <c r="HP128" s="291"/>
      <c r="HQ128" s="291"/>
      <c r="HR128" s="291"/>
      <c r="HS128" s="291"/>
      <c r="HT128" s="291"/>
      <c r="HU128" s="291"/>
      <c r="HV128" s="291"/>
      <c r="HW128" s="291"/>
      <c r="HX128" s="291"/>
      <c r="HY128" s="291"/>
      <c r="HZ128" s="291"/>
      <c r="IA128" s="291"/>
      <c r="IB128" s="291"/>
      <c r="IC128" s="291"/>
      <c r="ID128" s="291"/>
      <c r="IE128" s="291"/>
      <c r="IF128" s="291"/>
      <c r="IG128" s="291"/>
      <c r="IH128" s="291"/>
      <c r="II128" s="291"/>
      <c r="IJ128" s="291"/>
      <c r="IK128" s="291"/>
      <c r="IL128" s="291"/>
      <c r="IM128" s="291"/>
      <c r="IN128" s="291"/>
      <c r="IO128" s="291"/>
      <c r="IP128" s="291"/>
      <c r="IQ128" s="291"/>
      <c r="IR128" s="291"/>
      <c r="IS128" s="291"/>
      <c r="IT128" s="291"/>
      <c r="IU128" s="291"/>
      <c r="IV128" s="291"/>
      <c r="IW128" s="291"/>
      <c r="IX128" s="291"/>
      <c r="IY128" s="291"/>
      <c r="IZ128" s="291"/>
      <c r="JA128" s="291"/>
      <c r="JB128" s="291"/>
      <c r="JC128" s="291"/>
      <c r="JD128" s="291"/>
      <c r="JE128" s="291"/>
      <c r="JF128" s="291"/>
      <c r="JG128" s="291"/>
      <c r="JH128" s="291"/>
      <c r="JI128" s="291"/>
      <c r="JJ128" s="291"/>
      <c r="JK128" s="291"/>
      <c r="JL128" s="291"/>
      <c r="JM128" s="291"/>
      <c r="JN128" s="291"/>
      <c r="JO128" s="291"/>
      <c r="JP128" s="291"/>
      <c r="JQ128" s="291"/>
      <c r="JR128" s="291"/>
      <c r="JS128" s="291"/>
      <c r="JT128" s="291"/>
      <c r="JU128" s="291"/>
      <c r="JV128" s="291"/>
      <c r="JW128" s="291"/>
      <c r="JX128" s="291"/>
      <c r="JY128" s="291"/>
      <c r="JZ128" s="291"/>
      <c r="KA128" s="291"/>
      <c r="KB128" s="291"/>
      <c r="KC128" s="291"/>
      <c r="KD128" s="291"/>
      <c r="KE128" s="291"/>
      <c r="KF128" s="291"/>
      <c r="KG128" s="291"/>
      <c r="KH128" s="291"/>
      <c r="KI128" s="291"/>
      <c r="KJ128" s="291"/>
      <c r="KK128" s="291"/>
      <c r="KL128" s="291"/>
      <c r="KM128" s="291"/>
      <c r="KN128" s="291"/>
      <c r="KO128" s="291"/>
      <c r="KP128" s="291"/>
      <c r="KQ128" s="291"/>
      <c r="KR128" s="291"/>
      <c r="KS128" s="291"/>
      <c r="KT128" s="291"/>
      <c r="KU128" s="291"/>
      <c r="KV128" s="291"/>
      <c r="KW128" s="291"/>
      <c r="KX128" s="291"/>
      <c r="KY128" s="291"/>
      <c r="KZ128" s="291"/>
      <c r="LA128" s="291"/>
      <c r="LB128" s="291"/>
      <c r="LC128" s="291"/>
      <c r="LD128" s="291"/>
      <c r="LE128" s="291"/>
      <c r="LF128" s="291"/>
      <c r="LG128" s="291"/>
      <c r="LH128" s="291"/>
      <c r="LI128" s="291"/>
      <c r="LJ128" s="291"/>
      <c r="LK128" s="291"/>
      <c r="LL128" s="291"/>
      <c r="LM128" s="291"/>
      <c r="LN128" s="291"/>
      <c r="LO128" s="291"/>
      <c r="LP128" s="291"/>
      <c r="LQ128" s="291"/>
      <c r="LR128" s="291"/>
      <c r="LS128" s="291"/>
      <c r="LT128" s="291"/>
      <c r="LU128" s="291"/>
      <c r="LV128" s="291"/>
      <c r="LW128" s="291"/>
      <c r="LX128" s="291"/>
      <c r="LY128" s="291"/>
      <c r="LZ128" s="291"/>
      <c r="MA128" s="291"/>
      <c r="MB128" s="291"/>
      <c r="MC128" s="291"/>
      <c r="MD128" s="291"/>
      <c r="ME128" s="291"/>
      <c r="MF128" s="291"/>
      <c r="MG128" s="291"/>
      <c r="MH128" s="291"/>
      <c r="MI128" s="291"/>
      <c r="MJ128" s="291"/>
      <c r="MK128" s="291"/>
      <c r="ML128" s="291"/>
      <c r="MM128" s="291"/>
      <c r="MN128" s="291"/>
      <c r="MO128" s="291"/>
      <c r="MP128" s="291"/>
      <c r="MQ128" s="291"/>
      <c r="MR128" s="291"/>
      <c r="MS128" s="291"/>
      <c r="MT128" s="291"/>
      <c r="MU128" s="291"/>
      <c r="MV128" s="291"/>
      <c r="MW128" s="291"/>
      <c r="MX128" s="291"/>
      <c r="MY128" s="291"/>
      <c r="MZ128" s="291"/>
      <c r="NA128" s="291"/>
      <c r="NB128" s="291"/>
      <c r="NC128" s="291"/>
      <c r="ND128" s="291"/>
      <c r="NE128" s="291"/>
      <c r="NF128" s="291"/>
      <c r="NG128" s="291"/>
      <c r="NH128" s="291"/>
      <c r="NI128" s="291"/>
      <c r="NJ128" s="291"/>
      <c r="NK128" s="291"/>
      <c r="NL128" s="291"/>
      <c r="NM128" s="291"/>
      <c r="NN128" s="291"/>
      <c r="NO128" s="291"/>
      <c r="NP128" s="291"/>
      <c r="NQ128" s="291"/>
      <c r="NR128" s="291"/>
      <c r="NS128" s="291"/>
      <c r="NT128" s="291"/>
      <c r="NU128" s="291"/>
      <c r="NV128" s="291"/>
      <c r="NW128" s="291"/>
      <c r="NX128" s="291"/>
      <c r="NY128" s="291"/>
      <c r="NZ128" s="291"/>
      <c r="OA128" s="291"/>
      <c r="OB128" s="291"/>
      <c r="OC128" s="291"/>
      <c r="OD128" s="291"/>
      <c r="OE128" s="291"/>
      <c r="OF128" s="291"/>
      <c r="OG128" s="291"/>
      <c r="OH128" s="291"/>
      <c r="OI128" s="291"/>
      <c r="OJ128" s="291"/>
      <c r="OK128" s="291"/>
      <c r="OL128" s="291"/>
      <c r="OM128" s="291"/>
      <c r="ON128" s="291"/>
      <c r="OO128" s="291"/>
      <c r="OP128" s="291"/>
      <c r="OQ128" s="291"/>
      <c r="OR128" s="291"/>
      <c r="OS128" s="291"/>
      <c r="OT128" s="291"/>
      <c r="OU128" s="291"/>
      <c r="OV128" s="291"/>
      <c r="OW128" s="291"/>
    </row>
    <row r="129" spans="1:413" s="257" customFormat="1" hidden="1" x14ac:dyDescent="0.2">
      <c r="A129" s="291"/>
      <c r="B129" s="524">
        <f t="shared" si="7"/>
        <v>113</v>
      </c>
      <c r="C129" s="510" t="s">
        <v>38</v>
      </c>
      <c r="D129" s="511">
        <v>30301475</v>
      </c>
      <c r="E129" s="511"/>
      <c r="F129" s="512" t="s">
        <v>1271</v>
      </c>
      <c r="G129" s="513" t="s">
        <v>46</v>
      </c>
      <c r="H129" s="514" t="s">
        <v>1094</v>
      </c>
      <c r="I129" s="515" t="s">
        <v>1248</v>
      </c>
      <c r="J129" s="346" t="s">
        <v>42</v>
      </c>
      <c r="K129" s="526">
        <v>40207</v>
      </c>
      <c r="L129" s="527">
        <v>14446</v>
      </c>
      <c r="M129" s="528">
        <v>0</v>
      </c>
      <c r="N129" s="520">
        <v>0</v>
      </c>
      <c r="O129" s="520">
        <v>0</v>
      </c>
      <c r="P129" s="520">
        <v>17834</v>
      </c>
      <c r="Q129" s="520">
        <v>0</v>
      </c>
      <c r="R129" s="520">
        <v>0</v>
      </c>
      <c r="S129" s="520">
        <v>0</v>
      </c>
      <c r="T129" s="18"/>
      <c r="U129" s="18"/>
      <c r="V129" s="18"/>
      <c r="W129" s="18"/>
      <c r="X129" s="18"/>
      <c r="Y129" s="18"/>
      <c r="Z129" s="18">
        <f t="shared" si="4"/>
        <v>17834</v>
      </c>
      <c r="AA129" s="309">
        <v>25761</v>
      </c>
      <c r="AB129" s="19">
        <v>5</v>
      </c>
      <c r="AC129" s="521">
        <v>44224</v>
      </c>
      <c r="AD129" s="25">
        <v>44251</v>
      </c>
      <c r="AE129" s="309"/>
      <c r="AF129" s="314"/>
      <c r="AG129" s="315"/>
      <c r="AH129" s="316"/>
      <c r="AI129" s="309"/>
      <c r="AJ129" s="338"/>
      <c r="AK129" s="315"/>
      <c r="AL129" s="316"/>
      <c r="AM129" s="309"/>
      <c r="AN129" s="338"/>
      <c r="AO129" s="21"/>
      <c r="AP129" s="25"/>
      <c r="AQ129" s="309"/>
      <c r="AR129" s="19"/>
      <c r="AS129" s="21"/>
      <c r="AT129" s="25"/>
      <c r="AU129" s="522">
        <f t="shared" si="5"/>
        <v>25761</v>
      </c>
      <c r="AV129" s="311">
        <f t="shared" si="6"/>
        <v>7927</v>
      </c>
      <c r="AW129" s="305"/>
      <c r="AX129" s="291"/>
      <c r="AY129" s="291"/>
      <c r="AZ129" s="291"/>
      <c r="BA129" s="291"/>
      <c r="BB129" s="291"/>
      <c r="BC129" s="291"/>
      <c r="BD129" s="291"/>
      <c r="BE129" s="291"/>
      <c r="BF129" s="291"/>
      <c r="BG129" s="291"/>
      <c r="BH129" s="291"/>
      <c r="BI129" s="291"/>
      <c r="BJ129" s="291"/>
      <c r="BK129" s="291"/>
      <c r="BL129" s="291"/>
      <c r="BM129" s="291"/>
      <c r="BN129" s="291"/>
      <c r="BO129" s="291"/>
      <c r="BP129" s="291"/>
      <c r="BQ129" s="291"/>
      <c r="BR129" s="291"/>
      <c r="BS129" s="291"/>
      <c r="BT129" s="291"/>
      <c r="BU129" s="291"/>
      <c r="BV129" s="291"/>
      <c r="BW129" s="291"/>
      <c r="BX129" s="291"/>
      <c r="BY129" s="291"/>
      <c r="BZ129" s="291"/>
      <c r="CA129" s="291"/>
      <c r="CB129" s="291"/>
      <c r="CC129" s="291"/>
      <c r="CD129" s="291"/>
      <c r="CE129" s="291"/>
      <c r="CF129" s="291"/>
      <c r="CG129" s="291"/>
      <c r="CH129" s="291"/>
      <c r="CI129" s="291"/>
      <c r="CJ129" s="291"/>
      <c r="CK129" s="291"/>
      <c r="CL129" s="291"/>
      <c r="CM129" s="291"/>
      <c r="CN129" s="291"/>
      <c r="CO129" s="291"/>
      <c r="CP129" s="291"/>
      <c r="CQ129" s="291"/>
      <c r="CR129" s="291"/>
      <c r="CS129" s="291"/>
      <c r="CT129" s="291"/>
      <c r="CU129" s="291"/>
      <c r="CV129" s="291"/>
      <c r="CW129" s="291"/>
      <c r="CX129" s="291"/>
      <c r="CY129" s="291"/>
      <c r="CZ129" s="291"/>
      <c r="DA129" s="291"/>
      <c r="DB129" s="291"/>
      <c r="DC129" s="291"/>
      <c r="DD129" s="291"/>
      <c r="DE129" s="291"/>
      <c r="DF129" s="291"/>
      <c r="DG129" s="291"/>
      <c r="DH129" s="291"/>
      <c r="DI129" s="291"/>
      <c r="DJ129" s="291"/>
      <c r="DK129" s="291"/>
      <c r="DL129" s="291"/>
      <c r="DM129" s="291"/>
      <c r="DN129" s="291"/>
      <c r="DO129" s="291"/>
      <c r="DP129" s="291"/>
      <c r="DQ129" s="291"/>
      <c r="DR129" s="291"/>
      <c r="DS129" s="291"/>
      <c r="DT129" s="291"/>
      <c r="DU129" s="291"/>
      <c r="DV129" s="291"/>
      <c r="DW129" s="291"/>
      <c r="DX129" s="291"/>
      <c r="DY129" s="291"/>
      <c r="DZ129" s="291"/>
      <c r="EA129" s="291"/>
      <c r="EB129" s="291"/>
      <c r="EC129" s="291"/>
      <c r="ED129" s="291"/>
      <c r="EE129" s="291"/>
      <c r="EF129" s="291"/>
      <c r="EG129" s="291"/>
      <c r="EH129" s="291"/>
      <c r="EI129" s="291"/>
      <c r="EJ129" s="291"/>
      <c r="EK129" s="291"/>
      <c r="EL129" s="291"/>
      <c r="EM129" s="291"/>
      <c r="EN129" s="291"/>
      <c r="EO129" s="291"/>
      <c r="EP129" s="291"/>
      <c r="EQ129" s="291"/>
      <c r="ER129" s="291"/>
      <c r="ES129" s="291"/>
      <c r="ET129" s="291"/>
      <c r="EU129" s="291"/>
      <c r="EV129" s="291"/>
      <c r="EW129" s="291"/>
      <c r="EX129" s="291"/>
      <c r="EY129" s="291"/>
      <c r="EZ129" s="291"/>
      <c r="FA129" s="291"/>
      <c r="FB129" s="291"/>
      <c r="FC129" s="291"/>
      <c r="FD129" s="291"/>
      <c r="FE129" s="291"/>
      <c r="FF129" s="291"/>
      <c r="FG129" s="291"/>
      <c r="FH129" s="291"/>
      <c r="FI129" s="291"/>
      <c r="FJ129" s="291"/>
      <c r="FK129" s="291"/>
      <c r="FL129" s="291"/>
      <c r="FM129" s="291"/>
      <c r="FN129" s="291"/>
      <c r="FO129" s="291"/>
      <c r="FP129" s="291"/>
      <c r="FQ129" s="291"/>
      <c r="FR129" s="291"/>
      <c r="FS129" s="291"/>
      <c r="FT129" s="291"/>
      <c r="FU129" s="291"/>
      <c r="FV129" s="291"/>
      <c r="FW129" s="291"/>
      <c r="FX129" s="291"/>
      <c r="FY129" s="291"/>
      <c r="FZ129" s="291"/>
      <c r="GA129" s="291"/>
      <c r="GB129" s="291"/>
      <c r="GC129" s="291"/>
      <c r="GD129" s="291"/>
      <c r="GE129" s="291"/>
      <c r="GF129" s="291"/>
      <c r="GG129" s="291"/>
      <c r="GH129" s="291"/>
      <c r="GI129" s="291"/>
      <c r="GJ129" s="291"/>
      <c r="GK129" s="291"/>
      <c r="GL129" s="291"/>
      <c r="GM129" s="291"/>
      <c r="GN129" s="291"/>
      <c r="GO129" s="291"/>
      <c r="GP129" s="291"/>
      <c r="GQ129" s="291"/>
      <c r="GR129" s="291"/>
      <c r="GS129" s="291"/>
      <c r="GT129" s="291"/>
      <c r="GU129" s="291"/>
      <c r="GV129" s="291"/>
      <c r="GW129" s="291"/>
      <c r="GX129" s="291"/>
      <c r="GY129" s="291"/>
      <c r="GZ129" s="291"/>
      <c r="HA129" s="291"/>
      <c r="HB129" s="291"/>
      <c r="HC129" s="291"/>
      <c r="HD129" s="291"/>
      <c r="HE129" s="291"/>
      <c r="HF129" s="291"/>
      <c r="HG129" s="291"/>
      <c r="HH129" s="291"/>
      <c r="HI129" s="291"/>
      <c r="HJ129" s="291"/>
      <c r="HK129" s="291"/>
      <c r="HL129" s="291"/>
      <c r="HM129" s="291"/>
      <c r="HN129" s="291"/>
      <c r="HO129" s="291"/>
      <c r="HP129" s="291"/>
      <c r="HQ129" s="291"/>
      <c r="HR129" s="291"/>
      <c r="HS129" s="291"/>
      <c r="HT129" s="291"/>
      <c r="HU129" s="291"/>
      <c r="HV129" s="291"/>
      <c r="HW129" s="291"/>
      <c r="HX129" s="291"/>
      <c r="HY129" s="291"/>
      <c r="HZ129" s="291"/>
      <c r="IA129" s="291"/>
      <c r="IB129" s="291"/>
      <c r="IC129" s="291"/>
      <c r="ID129" s="291"/>
      <c r="IE129" s="291"/>
      <c r="IF129" s="291"/>
      <c r="IG129" s="291"/>
      <c r="IH129" s="291"/>
      <c r="II129" s="291"/>
      <c r="IJ129" s="291"/>
      <c r="IK129" s="291"/>
      <c r="IL129" s="291"/>
      <c r="IM129" s="291"/>
      <c r="IN129" s="291"/>
      <c r="IO129" s="291"/>
      <c r="IP129" s="291"/>
      <c r="IQ129" s="291"/>
      <c r="IR129" s="291"/>
      <c r="IS129" s="291"/>
      <c r="IT129" s="291"/>
      <c r="IU129" s="291"/>
      <c r="IV129" s="291"/>
      <c r="IW129" s="291"/>
      <c r="IX129" s="291"/>
      <c r="IY129" s="291"/>
      <c r="IZ129" s="291"/>
      <c r="JA129" s="291"/>
      <c r="JB129" s="291"/>
      <c r="JC129" s="291"/>
      <c r="JD129" s="291"/>
      <c r="JE129" s="291"/>
      <c r="JF129" s="291"/>
      <c r="JG129" s="291"/>
      <c r="JH129" s="291"/>
      <c r="JI129" s="291"/>
      <c r="JJ129" s="291"/>
      <c r="JK129" s="291"/>
      <c r="JL129" s="291"/>
      <c r="JM129" s="291"/>
      <c r="JN129" s="291"/>
      <c r="JO129" s="291"/>
      <c r="JP129" s="291"/>
      <c r="JQ129" s="291"/>
      <c r="JR129" s="291"/>
      <c r="JS129" s="291"/>
      <c r="JT129" s="291"/>
      <c r="JU129" s="291"/>
      <c r="JV129" s="291"/>
      <c r="JW129" s="291"/>
      <c r="JX129" s="291"/>
      <c r="JY129" s="291"/>
      <c r="JZ129" s="291"/>
      <c r="KA129" s="291"/>
      <c r="KB129" s="291"/>
      <c r="KC129" s="291"/>
      <c r="KD129" s="291"/>
      <c r="KE129" s="291"/>
      <c r="KF129" s="291"/>
      <c r="KG129" s="291"/>
      <c r="KH129" s="291"/>
      <c r="KI129" s="291"/>
      <c r="KJ129" s="291"/>
      <c r="KK129" s="291"/>
      <c r="KL129" s="291"/>
      <c r="KM129" s="291"/>
      <c r="KN129" s="291"/>
      <c r="KO129" s="291"/>
      <c r="KP129" s="291"/>
      <c r="KQ129" s="291"/>
      <c r="KR129" s="291"/>
      <c r="KS129" s="291"/>
      <c r="KT129" s="291"/>
      <c r="KU129" s="291"/>
      <c r="KV129" s="291"/>
      <c r="KW129" s="291"/>
      <c r="KX129" s="291"/>
      <c r="KY129" s="291"/>
      <c r="KZ129" s="291"/>
      <c r="LA129" s="291"/>
      <c r="LB129" s="291"/>
      <c r="LC129" s="291"/>
      <c r="LD129" s="291"/>
      <c r="LE129" s="291"/>
      <c r="LF129" s="291"/>
      <c r="LG129" s="291"/>
      <c r="LH129" s="291"/>
      <c r="LI129" s="291"/>
      <c r="LJ129" s="291"/>
      <c r="LK129" s="291"/>
      <c r="LL129" s="291"/>
      <c r="LM129" s="291"/>
      <c r="LN129" s="291"/>
      <c r="LO129" s="291"/>
      <c r="LP129" s="291"/>
      <c r="LQ129" s="291"/>
      <c r="LR129" s="291"/>
      <c r="LS129" s="291"/>
      <c r="LT129" s="291"/>
      <c r="LU129" s="291"/>
      <c r="LV129" s="291"/>
      <c r="LW129" s="291"/>
      <c r="LX129" s="291"/>
      <c r="LY129" s="291"/>
      <c r="LZ129" s="291"/>
      <c r="MA129" s="291"/>
      <c r="MB129" s="291"/>
      <c r="MC129" s="291"/>
      <c r="MD129" s="291"/>
      <c r="ME129" s="291"/>
      <c r="MF129" s="291"/>
      <c r="MG129" s="291"/>
      <c r="MH129" s="291"/>
      <c r="MI129" s="291"/>
      <c r="MJ129" s="291"/>
      <c r="MK129" s="291"/>
      <c r="ML129" s="291"/>
      <c r="MM129" s="291"/>
      <c r="MN129" s="291"/>
      <c r="MO129" s="291"/>
      <c r="MP129" s="291"/>
      <c r="MQ129" s="291"/>
      <c r="MR129" s="291"/>
      <c r="MS129" s="291"/>
      <c r="MT129" s="291"/>
      <c r="MU129" s="291"/>
      <c r="MV129" s="291"/>
      <c r="MW129" s="291"/>
      <c r="MX129" s="291"/>
      <c r="MY129" s="291"/>
      <c r="MZ129" s="291"/>
      <c r="NA129" s="291"/>
      <c r="NB129" s="291"/>
      <c r="NC129" s="291"/>
      <c r="ND129" s="291"/>
      <c r="NE129" s="291"/>
      <c r="NF129" s="291"/>
      <c r="NG129" s="291"/>
      <c r="NH129" s="291"/>
      <c r="NI129" s="291"/>
      <c r="NJ129" s="291"/>
      <c r="NK129" s="291"/>
      <c r="NL129" s="291"/>
      <c r="NM129" s="291"/>
      <c r="NN129" s="291"/>
      <c r="NO129" s="291"/>
      <c r="NP129" s="291"/>
      <c r="NQ129" s="291"/>
      <c r="NR129" s="291"/>
      <c r="NS129" s="291"/>
      <c r="NT129" s="291"/>
      <c r="NU129" s="291"/>
      <c r="NV129" s="291"/>
      <c r="NW129" s="291"/>
      <c r="NX129" s="291"/>
      <c r="NY129" s="291"/>
      <c r="NZ129" s="291"/>
      <c r="OA129" s="291"/>
      <c r="OB129" s="291"/>
      <c r="OC129" s="291"/>
      <c r="OD129" s="291"/>
      <c r="OE129" s="291"/>
      <c r="OF129" s="291"/>
      <c r="OG129" s="291"/>
      <c r="OH129" s="291"/>
      <c r="OI129" s="291"/>
      <c r="OJ129" s="291"/>
      <c r="OK129" s="291"/>
      <c r="OL129" s="291"/>
      <c r="OM129" s="291"/>
      <c r="ON129" s="291"/>
      <c r="OO129" s="291"/>
      <c r="OP129" s="291"/>
      <c r="OQ129" s="291"/>
      <c r="OR129" s="291"/>
      <c r="OS129" s="291"/>
      <c r="OT129" s="291"/>
      <c r="OU129" s="291"/>
      <c r="OV129" s="291"/>
      <c r="OW129" s="291"/>
    </row>
    <row r="130" spans="1:413" s="257" customFormat="1" ht="22.5" hidden="1" x14ac:dyDescent="0.2">
      <c r="A130" s="291"/>
      <c r="B130" s="524">
        <f t="shared" si="7"/>
        <v>114</v>
      </c>
      <c r="C130" s="510" t="s">
        <v>38</v>
      </c>
      <c r="D130" s="511">
        <v>30301572</v>
      </c>
      <c r="E130" s="511"/>
      <c r="F130" s="512" t="s">
        <v>1272</v>
      </c>
      <c r="G130" s="513" t="s">
        <v>46</v>
      </c>
      <c r="H130" s="514" t="s">
        <v>1094</v>
      </c>
      <c r="I130" s="515" t="s">
        <v>1248</v>
      </c>
      <c r="J130" s="346" t="s">
        <v>42</v>
      </c>
      <c r="K130" s="526">
        <v>34089</v>
      </c>
      <c r="L130" s="527">
        <v>16697</v>
      </c>
      <c r="M130" s="528">
        <v>0</v>
      </c>
      <c r="N130" s="520">
        <v>0</v>
      </c>
      <c r="O130" s="520">
        <v>0</v>
      </c>
      <c r="P130" s="520">
        <v>0</v>
      </c>
      <c r="Q130" s="520">
        <v>0</v>
      </c>
      <c r="R130" s="520">
        <v>0</v>
      </c>
      <c r="S130" s="520">
        <v>0</v>
      </c>
      <c r="T130" s="18"/>
      <c r="U130" s="18"/>
      <c r="V130" s="18"/>
      <c r="W130" s="18"/>
      <c r="X130" s="18"/>
      <c r="Y130" s="18"/>
      <c r="Z130" s="18">
        <f t="shared" si="4"/>
        <v>0</v>
      </c>
      <c r="AA130" s="309">
        <v>13361</v>
      </c>
      <c r="AB130" s="19">
        <v>5</v>
      </c>
      <c r="AC130" s="521">
        <v>44224</v>
      </c>
      <c r="AD130" s="25">
        <v>44251</v>
      </c>
      <c r="AE130" s="309"/>
      <c r="AF130" s="314"/>
      <c r="AG130" s="315"/>
      <c r="AH130" s="316"/>
      <c r="AI130" s="309"/>
      <c r="AJ130" s="338"/>
      <c r="AK130" s="315"/>
      <c r="AL130" s="316"/>
      <c r="AM130" s="309"/>
      <c r="AN130" s="338"/>
      <c r="AO130" s="21"/>
      <c r="AP130" s="25"/>
      <c r="AQ130" s="309"/>
      <c r="AR130" s="19"/>
      <c r="AS130" s="21"/>
      <c r="AT130" s="25"/>
      <c r="AU130" s="522">
        <f t="shared" si="5"/>
        <v>13361</v>
      </c>
      <c r="AV130" s="311">
        <f t="shared" si="6"/>
        <v>13361</v>
      </c>
      <c r="AW130" s="305"/>
      <c r="AX130" s="291"/>
      <c r="AY130" s="291"/>
      <c r="AZ130" s="291"/>
      <c r="BA130" s="291"/>
      <c r="BB130" s="291"/>
      <c r="BC130" s="291"/>
      <c r="BD130" s="291"/>
      <c r="BE130" s="291"/>
      <c r="BF130" s="291"/>
      <c r="BG130" s="291"/>
      <c r="BH130" s="291"/>
      <c r="BI130" s="291"/>
      <c r="BJ130" s="291"/>
      <c r="BK130" s="291"/>
      <c r="BL130" s="291"/>
      <c r="BM130" s="291"/>
      <c r="BN130" s="291"/>
      <c r="BO130" s="291"/>
      <c r="BP130" s="291"/>
      <c r="BQ130" s="291"/>
      <c r="BR130" s="291"/>
      <c r="BS130" s="291"/>
      <c r="BT130" s="291"/>
      <c r="BU130" s="291"/>
      <c r="BV130" s="291"/>
      <c r="BW130" s="291"/>
      <c r="BX130" s="291"/>
      <c r="BY130" s="291"/>
      <c r="BZ130" s="291"/>
      <c r="CA130" s="291"/>
      <c r="CB130" s="291"/>
      <c r="CC130" s="291"/>
      <c r="CD130" s="291"/>
      <c r="CE130" s="291"/>
      <c r="CF130" s="291"/>
      <c r="CG130" s="291"/>
      <c r="CH130" s="291"/>
      <c r="CI130" s="291"/>
      <c r="CJ130" s="291"/>
      <c r="CK130" s="291"/>
      <c r="CL130" s="291"/>
      <c r="CM130" s="291"/>
      <c r="CN130" s="291"/>
      <c r="CO130" s="291"/>
      <c r="CP130" s="291"/>
      <c r="CQ130" s="291"/>
      <c r="CR130" s="291"/>
      <c r="CS130" s="291"/>
      <c r="CT130" s="291"/>
      <c r="CU130" s="291"/>
      <c r="CV130" s="291"/>
      <c r="CW130" s="291"/>
      <c r="CX130" s="291"/>
      <c r="CY130" s="291"/>
      <c r="CZ130" s="291"/>
      <c r="DA130" s="291"/>
      <c r="DB130" s="291"/>
      <c r="DC130" s="291"/>
      <c r="DD130" s="291"/>
      <c r="DE130" s="291"/>
      <c r="DF130" s="291"/>
      <c r="DG130" s="291"/>
      <c r="DH130" s="291"/>
      <c r="DI130" s="291"/>
      <c r="DJ130" s="291"/>
      <c r="DK130" s="291"/>
      <c r="DL130" s="291"/>
      <c r="DM130" s="291"/>
      <c r="DN130" s="291"/>
      <c r="DO130" s="291"/>
      <c r="DP130" s="291"/>
      <c r="DQ130" s="291"/>
      <c r="DR130" s="291"/>
      <c r="DS130" s="291"/>
      <c r="DT130" s="291"/>
      <c r="DU130" s="291"/>
      <c r="DV130" s="291"/>
      <c r="DW130" s="291"/>
      <c r="DX130" s="291"/>
      <c r="DY130" s="291"/>
      <c r="DZ130" s="291"/>
      <c r="EA130" s="291"/>
      <c r="EB130" s="291"/>
      <c r="EC130" s="291"/>
      <c r="ED130" s="291"/>
      <c r="EE130" s="291"/>
      <c r="EF130" s="291"/>
      <c r="EG130" s="291"/>
      <c r="EH130" s="291"/>
      <c r="EI130" s="291"/>
      <c r="EJ130" s="291"/>
      <c r="EK130" s="291"/>
      <c r="EL130" s="291"/>
      <c r="EM130" s="291"/>
      <c r="EN130" s="291"/>
      <c r="EO130" s="291"/>
      <c r="EP130" s="291"/>
      <c r="EQ130" s="291"/>
      <c r="ER130" s="291"/>
      <c r="ES130" s="291"/>
      <c r="ET130" s="291"/>
      <c r="EU130" s="291"/>
      <c r="EV130" s="291"/>
      <c r="EW130" s="291"/>
      <c r="EX130" s="291"/>
      <c r="EY130" s="291"/>
      <c r="EZ130" s="291"/>
      <c r="FA130" s="291"/>
      <c r="FB130" s="291"/>
      <c r="FC130" s="291"/>
      <c r="FD130" s="291"/>
      <c r="FE130" s="291"/>
      <c r="FF130" s="291"/>
      <c r="FG130" s="291"/>
      <c r="FH130" s="291"/>
      <c r="FI130" s="291"/>
      <c r="FJ130" s="291"/>
      <c r="FK130" s="291"/>
      <c r="FL130" s="291"/>
      <c r="FM130" s="291"/>
      <c r="FN130" s="291"/>
      <c r="FO130" s="291"/>
      <c r="FP130" s="291"/>
      <c r="FQ130" s="291"/>
      <c r="FR130" s="291"/>
      <c r="FS130" s="291"/>
      <c r="FT130" s="291"/>
      <c r="FU130" s="291"/>
      <c r="FV130" s="291"/>
      <c r="FW130" s="291"/>
      <c r="FX130" s="291"/>
      <c r="FY130" s="291"/>
      <c r="FZ130" s="291"/>
      <c r="GA130" s="291"/>
      <c r="GB130" s="291"/>
      <c r="GC130" s="291"/>
      <c r="GD130" s="291"/>
      <c r="GE130" s="291"/>
      <c r="GF130" s="291"/>
      <c r="GG130" s="291"/>
      <c r="GH130" s="291"/>
      <c r="GI130" s="291"/>
      <c r="GJ130" s="291"/>
      <c r="GK130" s="291"/>
      <c r="GL130" s="291"/>
      <c r="GM130" s="291"/>
      <c r="GN130" s="291"/>
      <c r="GO130" s="291"/>
      <c r="GP130" s="291"/>
      <c r="GQ130" s="291"/>
      <c r="GR130" s="291"/>
      <c r="GS130" s="291"/>
      <c r="GT130" s="291"/>
      <c r="GU130" s="291"/>
      <c r="GV130" s="291"/>
      <c r="GW130" s="291"/>
      <c r="GX130" s="291"/>
      <c r="GY130" s="291"/>
      <c r="GZ130" s="291"/>
      <c r="HA130" s="291"/>
      <c r="HB130" s="291"/>
      <c r="HC130" s="291"/>
      <c r="HD130" s="291"/>
      <c r="HE130" s="291"/>
      <c r="HF130" s="291"/>
      <c r="HG130" s="291"/>
      <c r="HH130" s="291"/>
      <c r="HI130" s="291"/>
      <c r="HJ130" s="291"/>
      <c r="HK130" s="291"/>
      <c r="HL130" s="291"/>
      <c r="HM130" s="291"/>
      <c r="HN130" s="291"/>
      <c r="HO130" s="291"/>
      <c r="HP130" s="291"/>
      <c r="HQ130" s="291"/>
      <c r="HR130" s="291"/>
      <c r="HS130" s="291"/>
      <c r="HT130" s="291"/>
      <c r="HU130" s="291"/>
      <c r="HV130" s="291"/>
      <c r="HW130" s="291"/>
      <c r="HX130" s="291"/>
      <c r="HY130" s="291"/>
      <c r="HZ130" s="291"/>
      <c r="IA130" s="291"/>
      <c r="IB130" s="291"/>
      <c r="IC130" s="291"/>
      <c r="ID130" s="291"/>
      <c r="IE130" s="291"/>
      <c r="IF130" s="291"/>
      <c r="IG130" s="291"/>
      <c r="IH130" s="291"/>
      <c r="II130" s="291"/>
      <c r="IJ130" s="291"/>
      <c r="IK130" s="291"/>
      <c r="IL130" s="291"/>
      <c r="IM130" s="291"/>
      <c r="IN130" s="291"/>
      <c r="IO130" s="291"/>
      <c r="IP130" s="291"/>
      <c r="IQ130" s="291"/>
      <c r="IR130" s="291"/>
      <c r="IS130" s="291"/>
      <c r="IT130" s="291"/>
      <c r="IU130" s="291"/>
      <c r="IV130" s="291"/>
      <c r="IW130" s="291"/>
      <c r="IX130" s="291"/>
      <c r="IY130" s="291"/>
      <c r="IZ130" s="291"/>
      <c r="JA130" s="291"/>
      <c r="JB130" s="291"/>
      <c r="JC130" s="291"/>
      <c r="JD130" s="291"/>
      <c r="JE130" s="291"/>
      <c r="JF130" s="291"/>
      <c r="JG130" s="291"/>
      <c r="JH130" s="291"/>
      <c r="JI130" s="291"/>
      <c r="JJ130" s="291"/>
      <c r="JK130" s="291"/>
      <c r="JL130" s="291"/>
      <c r="JM130" s="291"/>
      <c r="JN130" s="291"/>
      <c r="JO130" s="291"/>
      <c r="JP130" s="291"/>
      <c r="JQ130" s="291"/>
      <c r="JR130" s="291"/>
      <c r="JS130" s="291"/>
      <c r="JT130" s="291"/>
      <c r="JU130" s="291"/>
      <c r="JV130" s="291"/>
      <c r="JW130" s="291"/>
      <c r="JX130" s="291"/>
      <c r="JY130" s="291"/>
      <c r="JZ130" s="291"/>
      <c r="KA130" s="291"/>
      <c r="KB130" s="291"/>
      <c r="KC130" s="291"/>
      <c r="KD130" s="291"/>
      <c r="KE130" s="291"/>
      <c r="KF130" s="291"/>
      <c r="KG130" s="291"/>
      <c r="KH130" s="291"/>
      <c r="KI130" s="291"/>
      <c r="KJ130" s="291"/>
      <c r="KK130" s="291"/>
      <c r="KL130" s="291"/>
      <c r="KM130" s="291"/>
      <c r="KN130" s="291"/>
      <c r="KO130" s="291"/>
      <c r="KP130" s="291"/>
      <c r="KQ130" s="291"/>
      <c r="KR130" s="291"/>
      <c r="KS130" s="291"/>
      <c r="KT130" s="291"/>
      <c r="KU130" s="291"/>
      <c r="KV130" s="291"/>
      <c r="KW130" s="291"/>
      <c r="KX130" s="291"/>
      <c r="KY130" s="291"/>
      <c r="KZ130" s="291"/>
      <c r="LA130" s="291"/>
      <c r="LB130" s="291"/>
      <c r="LC130" s="291"/>
      <c r="LD130" s="291"/>
      <c r="LE130" s="291"/>
      <c r="LF130" s="291"/>
      <c r="LG130" s="291"/>
      <c r="LH130" s="291"/>
      <c r="LI130" s="291"/>
      <c r="LJ130" s="291"/>
      <c r="LK130" s="291"/>
      <c r="LL130" s="291"/>
      <c r="LM130" s="291"/>
      <c r="LN130" s="291"/>
      <c r="LO130" s="291"/>
      <c r="LP130" s="291"/>
      <c r="LQ130" s="291"/>
      <c r="LR130" s="291"/>
      <c r="LS130" s="291"/>
      <c r="LT130" s="291"/>
      <c r="LU130" s="291"/>
      <c r="LV130" s="291"/>
      <c r="LW130" s="291"/>
      <c r="LX130" s="291"/>
      <c r="LY130" s="291"/>
      <c r="LZ130" s="291"/>
      <c r="MA130" s="291"/>
      <c r="MB130" s="291"/>
      <c r="MC130" s="291"/>
      <c r="MD130" s="291"/>
      <c r="ME130" s="291"/>
      <c r="MF130" s="291"/>
      <c r="MG130" s="291"/>
      <c r="MH130" s="291"/>
      <c r="MI130" s="291"/>
      <c r="MJ130" s="291"/>
      <c r="MK130" s="291"/>
      <c r="ML130" s="291"/>
      <c r="MM130" s="291"/>
      <c r="MN130" s="291"/>
      <c r="MO130" s="291"/>
      <c r="MP130" s="291"/>
      <c r="MQ130" s="291"/>
      <c r="MR130" s="291"/>
      <c r="MS130" s="291"/>
      <c r="MT130" s="291"/>
      <c r="MU130" s="291"/>
      <c r="MV130" s="291"/>
      <c r="MW130" s="291"/>
      <c r="MX130" s="291"/>
      <c r="MY130" s="291"/>
      <c r="MZ130" s="291"/>
      <c r="NA130" s="291"/>
      <c r="NB130" s="291"/>
      <c r="NC130" s="291"/>
      <c r="ND130" s="291"/>
      <c r="NE130" s="291"/>
      <c r="NF130" s="291"/>
      <c r="NG130" s="291"/>
      <c r="NH130" s="291"/>
      <c r="NI130" s="291"/>
      <c r="NJ130" s="291"/>
      <c r="NK130" s="291"/>
      <c r="NL130" s="291"/>
      <c r="NM130" s="291"/>
      <c r="NN130" s="291"/>
      <c r="NO130" s="291"/>
      <c r="NP130" s="291"/>
      <c r="NQ130" s="291"/>
      <c r="NR130" s="291"/>
      <c r="NS130" s="291"/>
      <c r="NT130" s="291"/>
      <c r="NU130" s="291"/>
      <c r="NV130" s="291"/>
      <c r="NW130" s="291"/>
      <c r="NX130" s="291"/>
      <c r="NY130" s="291"/>
      <c r="NZ130" s="291"/>
      <c r="OA130" s="291"/>
      <c r="OB130" s="291"/>
      <c r="OC130" s="291"/>
      <c r="OD130" s="291"/>
      <c r="OE130" s="291"/>
      <c r="OF130" s="291"/>
      <c r="OG130" s="291"/>
      <c r="OH130" s="291"/>
      <c r="OI130" s="291"/>
      <c r="OJ130" s="291"/>
      <c r="OK130" s="291"/>
      <c r="OL130" s="291"/>
      <c r="OM130" s="291"/>
      <c r="ON130" s="291"/>
      <c r="OO130" s="291"/>
      <c r="OP130" s="291"/>
      <c r="OQ130" s="291"/>
      <c r="OR130" s="291"/>
      <c r="OS130" s="291"/>
      <c r="OT130" s="291"/>
      <c r="OU130" s="291"/>
      <c r="OV130" s="291"/>
      <c r="OW130" s="291"/>
    </row>
    <row r="131" spans="1:413" s="257" customFormat="1" hidden="1" x14ac:dyDescent="0.2">
      <c r="A131" s="291"/>
      <c r="B131" s="524">
        <f t="shared" si="7"/>
        <v>115</v>
      </c>
      <c r="C131" s="510" t="s">
        <v>38</v>
      </c>
      <c r="D131" s="511">
        <v>30313722</v>
      </c>
      <c r="E131" s="511"/>
      <c r="F131" s="512" t="s">
        <v>1273</v>
      </c>
      <c r="G131" s="513" t="s">
        <v>45</v>
      </c>
      <c r="H131" s="514" t="s">
        <v>1094</v>
      </c>
      <c r="I131" s="515" t="s">
        <v>1099</v>
      </c>
      <c r="J131" s="346" t="s">
        <v>42</v>
      </c>
      <c r="K131" s="526">
        <v>455772</v>
      </c>
      <c r="L131" s="527">
        <v>435444</v>
      </c>
      <c r="M131" s="528">
        <v>0</v>
      </c>
      <c r="N131" s="520">
        <v>0</v>
      </c>
      <c r="O131" s="520">
        <v>0</v>
      </c>
      <c r="P131" s="520">
        <v>0</v>
      </c>
      <c r="Q131" s="520">
        <v>0</v>
      </c>
      <c r="R131" s="520">
        <v>13685</v>
      </c>
      <c r="S131" s="520">
        <v>0</v>
      </c>
      <c r="T131" s="18"/>
      <c r="U131" s="18"/>
      <c r="V131" s="18"/>
      <c r="W131" s="18"/>
      <c r="X131" s="18"/>
      <c r="Y131" s="18"/>
      <c r="Z131" s="18">
        <f t="shared" si="4"/>
        <v>13685</v>
      </c>
      <c r="AA131" s="309">
        <v>20328</v>
      </c>
      <c r="AB131" s="19">
        <v>9</v>
      </c>
      <c r="AC131" s="521">
        <v>44232</v>
      </c>
      <c r="AD131" s="25">
        <v>44251</v>
      </c>
      <c r="AE131" s="309"/>
      <c r="AF131" s="314"/>
      <c r="AG131" s="315"/>
      <c r="AH131" s="316"/>
      <c r="AI131" s="309"/>
      <c r="AJ131" s="338"/>
      <c r="AK131" s="315"/>
      <c r="AL131" s="316"/>
      <c r="AM131" s="309"/>
      <c r="AN131" s="338"/>
      <c r="AO131" s="21"/>
      <c r="AP131" s="25"/>
      <c r="AQ131" s="309"/>
      <c r="AR131" s="19"/>
      <c r="AS131" s="21"/>
      <c r="AT131" s="25"/>
      <c r="AU131" s="522">
        <f t="shared" si="5"/>
        <v>20328</v>
      </c>
      <c r="AV131" s="311">
        <f t="shared" si="6"/>
        <v>6643</v>
      </c>
      <c r="AW131" s="305"/>
      <c r="AX131" s="291"/>
      <c r="AY131" s="291"/>
      <c r="AZ131" s="291"/>
      <c r="BA131" s="291"/>
      <c r="BB131" s="291"/>
      <c r="BC131" s="291"/>
      <c r="BD131" s="291"/>
      <c r="BE131" s="291"/>
      <c r="BF131" s="291"/>
      <c r="BG131" s="291"/>
      <c r="BH131" s="291"/>
      <c r="BI131" s="291"/>
      <c r="BJ131" s="291"/>
      <c r="BK131" s="291"/>
      <c r="BL131" s="291"/>
      <c r="BM131" s="291"/>
      <c r="BN131" s="291"/>
      <c r="BO131" s="291"/>
      <c r="BP131" s="291"/>
      <c r="BQ131" s="291"/>
      <c r="BR131" s="291"/>
      <c r="BS131" s="291"/>
      <c r="BT131" s="291"/>
      <c r="BU131" s="291"/>
      <c r="BV131" s="291"/>
      <c r="BW131" s="291"/>
      <c r="BX131" s="291"/>
      <c r="BY131" s="291"/>
      <c r="BZ131" s="291"/>
      <c r="CA131" s="291"/>
      <c r="CB131" s="291"/>
      <c r="CC131" s="291"/>
      <c r="CD131" s="291"/>
      <c r="CE131" s="291"/>
      <c r="CF131" s="291"/>
      <c r="CG131" s="291"/>
      <c r="CH131" s="291"/>
      <c r="CI131" s="291"/>
      <c r="CJ131" s="291"/>
      <c r="CK131" s="291"/>
      <c r="CL131" s="291"/>
      <c r="CM131" s="291"/>
      <c r="CN131" s="291"/>
      <c r="CO131" s="291"/>
      <c r="CP131" s="291"/>
      <c r="CQ131" s="291"/>
      <c r="CR131" s="291"/>
      <c r="CS131" s="291"/>
      <c r="CT131" s="291"/>
      <c r="CU131" s="291"/>
      <c r="CV131" s="291"/>
      <c r="CW131" s="291"/>
      <c r="CX131" s="291"/>
      <c r="CY131" s="291"/>
      <c r="CZ131" s="291"/>
      <c r="DA131" s="291"/>
      <c r="DB131" s="291"/>
      <c r="DC131" s="291"/>
      <c r="DD131" s="291"/>
      <c r="DE131" s="291"/>
      <c r="DF131" s="291"/>
      <c r="DG131" s="291"/>
      <c r="DH131" s="291"/>
      <c r="DI131" s="291"/>
      <c r="DJ131" s="291"/>
      <c r="DK131" s="291"/>
      <c r="DL131" s="291"/>
      <c r="DM131" s="291"/>
      <c r="DN131" s="291"/>
      <c r="DO131" s="291"/>
      <c r="DP131" s="291"/>
      <c r="DQ131" s="291"/>
      <c r="DR131" s="291"/>
      <c r="DS131" s="291"/>
      <c r="DT131" s="291"/>
      <c r="DU131" s="291"/>
      <c r="DV131" s="291"/>
      <c r="DW131" s="291"/>
      <c r="DX131" s="291"/>
      <c r="DY131" s="291"/>
      <c r="DZ131" s="291"/>
      <c r="EA131" s="291"/>
      <c r="EB131" s="291"/>
      <c r="EC131" s="291"/>
      <c r="ED131" s="291"/>
      <c r="EE131" s="291"/>
      <c r="EF131" s="291"/>
      <c r="EG131" s="291"/>
      <c r="EH131" s="291"/>
      <c r="EI131" s="291"/>
      <c r="EJ131" s="291"/>
      <c r="EK131" s="291"/>
      <c r="EL131" s="291"/>
      <c r="EM131" s="291"/>
      <c r="EN131" s="291"/>
      <c r="EO131" s="291"/>
      <c r="EP131" s="291"/>
      <c r="EQ131" s="291"/>
      <c r="ER131" s="291"/>
      <c r="ES131" s="291"/>
      <c r="ET131" s="291"/>
      <c r="EU131" s="291"/>
      <c r="EV131" s="291"/>
      <c r="EW131" s="291"/>
      <c r="EX131" s="291"/>
      <c r="EY131" s="291"/>
      <c r="EZ131" s="291"/>
      <c r="FA131" s="291"/>
      <c r="FB131" s="291"/>
      <c r="FC131" s="291"/>
      <c r="FD131" s="291"/>
      <c r="FE131" s="291"/>
      <c r="FF131" s="291"/>
      <c r="FG131" s="291"/>
      <c r="FH131" s="291"/>
      <c r="FI131" s="291"/>
      <c r="FJ131" s="291"/>
      <c r="FK131" s="291"/>
      <c r="FL131" s="291"/>
      <c r="FM131" s="291"/>
      <c r="FN131" s="291"/>
      <c r="FO131" s="291"/>
      <c r="FP131" s="291"/>
      <c r="FQ131" s="291"/>
      <c r="FR131" s="291"/>
      <c r="FS131" s="291"/>
      <c r="FT131" s="291"/>
      <c r="FU131" s="291"/>
      <c r="FV131" s="291"/>
      <c r="FW131" s="291"/>
      <c r="FX131" s="291"/>
      <c r="FY131" s="291"/>
      <c r="FZ131" s="291"/>
      <c r="GA131" s="291"/>
      <c r="GB131" s="291"/>
      <c r="GC131" s="291"/>
      <c r="GD131" s="291"/>
      <c r="GE131" s="291"/>
      <c r="GF131" s="291"/>
      <c r="GG131" s="291"/>
      <c r="GH131" s="291"/>
      <c r="GI131" s="291"/>
      <c r="GJ131" s="291"/>
      <c r="GK131" s="291"/>
      <c r="GL131" s="291"/>
      <c r="GM131" s="291"/>
      <c r="GN131" s="291"/>
      <c r="GO131" s="291"/>
      <c r="GP131" s="291"/>
      <c r="GQ131" s="291"/>
      <c r="GR131" s="291"/>
      <c r="GS131" s="291"/>
      <c r="GT131" s="291"/>
      <c r="GU131" s="291"/>
      <c r="GV131" s="291"/>
      <c r="GW131" s="291"/>
      <c r="GX131" s="291"/>
      <c r="GY131" s="291"/>
      <c r="GZ131" s="291"/>
      <c r="HA131" s="291"/>
      <c r="HB131" s="291"/>
      <c r="HC131" s="291"/>
      <c r="HD131" s="291"/>
      <c r="HE131" s="291"/>
      <c r="HF131" s="291"/>
      <c r="HG131" s="291"/>
      <c r="HH131" s="291"/>
      <c r="HI131" s="291"/>
      <c r="HJ131" s="291"/>
      <c r="HK131" s="291"/>
      <c r="HL131" s="291"/>
      <c r="HM131" s="291"/>
      <c r="HN131" s="291"/>
      <c r="HO131" s="291"/>
      <c r="HP131" s="291"/>
      <c r="HQ131" s="291"/>
      <c r="HR131" s="291"/>
      <c r="HS131" s="291"/>
      <c r="HT131" s="291"/>
      <c r="HU131" s="291"/>
      <c r="HV131" s="291"/>
      <c r="HW131" s="291"/>
      <c r="HX131" s="291"/>
      <c r="HY131" s="291"/>
      <c r="HZ131" s="291"/>
      <c r="IA131" s="291"/>
      <c r="IB131" s="291"/>
      <c r="IC131" s="291"/>
      <c r="ID131" s="291"/>
      <c r="IE131" s="291"/>
      <c r="IF131" s="291"/>
      <c r="IG131" s="291"/>
      <c r="IH131" s="291"/>
      <c r="II131" s="291"/>
      <c r="IJ131" s="291"/>
      <c r="IK131" s="291"/>
      <c r="IL131" s="291"/>
      <c r="IM131" s="291"/>
      <c r="IN131" s="291"/>
      <c r="IO131" s="291"/>
      <c r="IP131" s="291"/>
      <c r="IQ131" s="291"/>
      <c r="IR131" s="291"/>
      <c r="IS131" s="291"/>
      <c r="IT131" s="291"/>
      <c r="IU131" s="291"/>
      <c r="IV131" s="291"/>
      <c r="IW131" s="291"/>
      <c r="IX131" s="291"/>
      <c r="IY131" s="291"/>
      <c r="IZ131" s="291"/>
      <c r="JA131" s="291"/>
      <c r="JB131" s="291"/>
      <c r="JC131" s="291"/>
      <c r="JD131" s="291"/>
      <c r="JE131" s="291"/>
      <c r="JF131" s="291"/>
      <c r="JG131" s="291"/>
      <c r="JH131" s="291"/>
      <c r="JI131" s="291"/>
      <c r="JJ131" s="291"/>
      <c r="JK131" s="291"/>
      <c r="JL131" s="291"/>
      <c r="JM131" s="291"/>
      <c r="JN131" s="291"/>
      <c r="JO131" s="291"/>
      <c r="JP131" s="291"/>
      <c r="JQ131" s="291"/>
      <c r="JR131" s="291"/>
      <c r="JS131" s="291"/>
      <c r="JT131" s="291"/>
      <c r="JU131" s="291"/>
      <c r="JV131" s="291"/>
      <c r="JW131" s="291"/>
      <c r="JX131" s="291"/>
      <c r="JY131" s="291"/>
      <c r="JZ131" s="291"/>
      <c r="KA131" s="291"/>
      <c r="KB131" s="291"/>
      <c r="KC131" s="291"/>
      <c r="KD131" s="291"/>
      <c r="KE131" s="291"/>
      <c r="KF131" s="291"/>
      <c r="KG131" s="291"/>
      <c r="KH131" s="291"/>
      <c r="KI131" s="291"/>
      <c r="KJ131" s="291"/>
      <c r="KK131" s="291"/>
      <c r="KL131" s="291"/>
      <c r="KM131" s="291"/>
      <c r="KN131" s="291"/>
      <c r="KO131" s="291"/>
      <c r="KP131" s="291"/>
      <c r="KQ131" s="291"/>
      <c r="KR131" s="291"/>
      <c r="KS131" s="291"/>
      <c r="KT131" s="291"/>
      <c r="KU131" s="291"/>
      <c r="KV131" s="291"/>
      <c r="KW131" s="291"/>
      <c r="KX131" s="291"/>
      <c r="KY131" s="291"/>
      <c r="KZ131" s="291"/>
      <c r="LA131" s="291"/>
      <c r="LB131" s="291"/>
      <c r="LC131" s="291"/>
      <c r="LD131" s="291"/>
      <c r="LE131" s="291"/>
      <c r="LF131" s="291"/>
      <c r="LG131" s="291"/>
      <c r="LH131" s="291"/>
      <c r="LI131" s="291"/>
      <c r="LJ131" s="291"/>
      <c r="LK131" s="291"/>
      <c r="LL131" s="291"/>
      <c r="LM131" s="291"/>
      <c r="LN131" s="291"/>
      <c r="LO131" s="291"/>
      <c r="LP131" s="291"/>
      <c r="LQ131" s="291"/>
      <c r="LR131" s="291"/>
      <c r="LS131" s="291"/>
      <c r="LT131" s="291"/>
      <c r="LU131" s="291"/>
      <c r="LV131" s="291"/>
      <c r="LW131" s="291"/>
      <c r="LX131" s="291"/>
      <c r="LY131" s="291"/>
      <c r="LZ131" s="291"/>
      <c r="MA131" s="291"/>
      <c r="MB131" s="291"/>
      <c r="MC131" s="291"/>
      <c r="MD131" s="291"/>
      <c r="ME131" s="291"/>
      <c r="MF131" s="291"/>
      <c r="MG131" s="291"/>
      <c r="MH131" s="291"/>
      <c r="MI131" s="291"/>
      <c r="MJ131" s="291"/>
      <c r="MK131" s="291"/>
      <c r="ML131" s="291"/>
      <c r="MM131" s="291"/>
      <c r="MN131" s="291"/>
      <c r="MO131" s="291"/>
      <c r="MP131" s="291"/>
      <c r="MQ131" s="291"/>
      <c r="MR131" s="291"/>
      <c r="MS131" s="291"/>
      <c r="MT131" s="291"/>
      <c r="MU131" s="291"/>
      <c r="MV131" s="291"/>
      <c r="MW131" s="291"/>
      <c r="MX131" s="291"/>
      <c r="MY131" s="291"/>
      <c r="MZ131" s="291"/>
      <c r="NA131" s="291"/>
      <c r="NB131" s="291"/>
      <c r="NC131" s="291"/>
      <c r="ND131" s="291"/>
      <c r="NE131" s="291"/>
      <c r="NF131" s="291"/>
      <c r="NG131" s="291"/>
      <c r="NH131" s="291"/>
      <c r="NI131" s="291"/>
      <c r="NJ131" s="291"/>
      <c r="NK131" s="291"/>
      <c r="NL131" s="291"/>
      <c r="NM131" s="291"/>
      <c r="NN131" s="291"/>
      <c r="NO131" s="291"/>
      <c r="NP131" s="291"/>
      <c r="NQ131" s="291"/>
      <c r="NR131" s="291"/>
      <c r="NS131" s="291"/>
      <c r="NT131" s="291"/>
      <c r="NU131" s="291"/>
      <c r="NV131" s="291"/>
      <c r="NW131" s="291"/>
      <c r="NX131" s="291"/>
      <c r="NY131" s="291"/>
      <c r="NZ131" s="291"/>
      <c r="OA131" s="291"/>
      <c r="OB131" s="291"/>
      <c r="OC131" s="291"/>
      <c r="OD131" s="291"/>
      <c r="OE131" s="291"/>
      <c r="OF131" s="291"/>
      <c r="OG131" s="291"/>
      <c r="OH131" s="291"/>
      <c r="OI131" s="291"/>
      <c r="OJ131" s="291"/>
      <c r="OK131" s="291"/>
      <c r="OL131" s="291"/>
      <c r="OM131" s="291"/>
      <c r="ON131" s="291"/>
      <c r="OO131" s="291"/>
      <c r="OP131" s="291"/>
      <c r="OQ131" s="291"/>
      <c r="OR131" s="291"/>
      <c r="OS131" s="291"/>
      <c r="OT131" s="291"/>
      <c r="OU131" s="291"/>
      <c r="OV131" s="291"/>
      <c r="OW131" s="291"/>
    </row>
    <row r="132" spans="1:413" s="257" customFormat="1" hidden="1" x14ac:dyDescent="0.2">
      <c r="A132" s="291"/>
      <c r="B132" s="524">
        <f t="shared" si="7"/>
        <v>116</v>
      </c>
      <c r="C132" s="510" t="s">
        <v>38</v>
      </c>
      <c r="D132" s="511">
        <v>30330323</v>
      </c>
      <c r="E132" s="511"/>
      <c r="F132" s="512" t="s">
        <v>1274</v>
      </c>
      <c r="G132" s="513" t="s">
        <v>45</v>
      </c>
      <c r="H132" s="514" t="s">
        <v>1094</v>
      </c>
      <c r="I132" s="515" t="s">
        <v>1194</v>
      </c>
      <c r="J132" s="346" t="s">
        <v>42</v>
      </c>
      <c r="K132" s="526">
        <v>6541208</v>
      </c>
      <c r="L132" s="527">
        <v>6428192</v>
      </c>
      <c r="M132" s="528">
        <v>2</v>
      </c>
      <c r="N132" s="519">
        <v>0</v>
      </c>
      <c r="O132" s="519">
        <v>0</v>
      </c>
      <c r="P132" s="519">
        <v>0</v>
      </c>
      <c r="Q132" s="519">
        <v>0</v>
      </c>
      <c r="R132" s="519">
        <v>0</v>
      </c>
      <c r="S132" s="520">
        <v>29073</v>
      </c>
      <c r="T132" s="18"/>
      <c r="U132" s="18"/>
      <c r="V132" s="18"/>
      <c r="W132" s="18"/>
      <c r="X132" s="18"/>
      <c r="Y132" s="18"/>
      <c r="Z132" s="18">
        <f t="shared" si="4"/>
        <v>29073</v>
      </c>
      <c r="AA132" s="309">
        <v>104590</v>
      </c>
      <c r="AB132" s="19">
        <v>11</v>
      </c>
      <c r="AC132" s="521">
        <v>44237</v>
      </c>
      <c r="AD132" s="25">
        <v>44251</v>
      </c>
      <c r="AE132" s="309"/>
      <c r="AF132" s="314"/>
      <c r="AG132" s="315"/>
      <c r="AH132" s="316"/>
      <c r="AI132" s="309"/>
      <c r="AJ132" s="338"/>
      <c r="AK132" s="315"/>
      <c r="AL132" s="316"/>
      <c r="AM132" s="309"/>
      <c r="AN132" s="338"/>
      <c r="AO132" s="21"/>
      <c r="AP132" s="25"/>
      <c r="AQ132" s="309"/>
      <c r="AR132" s="19"/>
      <c r="AS132" s="21"/>
      <c r="AT132" s="25"/>
      <c r="AU132" s="522">
        <f t="shared" si="5"/>
        <v>104590</v>
      </c>
      <c r="AV132" s="311">
        <f t="shared" si="6"/>
        <v>75517</v>
      </c>
      <c r="AW132" s="305"/>
      <c r="AX132" s="291"/>
      <c r="AY132" s="291"/>
      <c r="AZ132" s="291"/>
      <c r="BA132" s="291"/>
      <c r="BB132" s="291"/>
      <c r="BC132" s="291"/>
      <c r="BD132" s="291"/>
      <c r="BE132" s="291"/>
      <c r="BF132" s="291"/>
      <c r="BG132" s="291"/>
      <c r="BH132" s="291"/>
      <c r="BI132" s="291"/>
      <c r="BJ132" s="291"/>
      <c r="BK132" s="291"/>
      <c r="BL132" s="291"/>
      <c r="BM132" s="291"/>
      <c r="BN132" s="291"/>
      <c r="BO132" s="291"/>
      <c r="BP132" s="291"/>
      <c r="BQ132" s="291"/>
      <c r="BR132" s="291"/>
      <c r="BS132" s="291"/>
      <c r="BT132" s="291"/>
      <c r="BU132" s="291"/>
      <c r="BV132" s="291"/>
      <c r="BW132" s="291"/>
      <c r="BX132" s="291"/>
      <c r="BY132" s="291"/>
      <c r="BZ132" s="291"/>
      <c r="CA132" s="291"/>
      <c r="CB132" s="291"/>
      <c r="CC132" s="291"/>
      <c r="CD132" s="291"/>
      <c r="CE132" s="291"/>
      <c r="CF132" s="291"/>
      <c r="CG132" s="291"/>
      <c r="CH132" s="291"/>
      <c r="CI132" s="291"/>
      <c r="CJ132" s="291"/>
      <c r="CK132" s="291"/>
      <c r="CL132" s="291"/>
      <c r="CM132" s="291"/>
      <c r="CN132" s="291"/>
      <c r="CO132" s="291"/>
      <c r="CP132" s="291"/>
      <c r="CQ132" s="291"/>
      <c r="CR132" s="291"/>
      <c r="CS132" s="291"/>
      <c r="CT132" s="291"/>
      <c r="CU132" s="291"/>
      <c r="CV132" s="291"/>
      <c r="CW132" s="291"/>
      <c r="CX132" s="291"/>
      <c r="CY132" s="291"/>
      <c r="CZ132" s="291"/>
      <c r="DA132" s="291"/>
      <c r="DB132" s="291"/>
      <c r="DC132" s="291"/>
      <c r="DD132" s="291"/>
      <c r="DE132" s="291"/>
      <c r="DF132" s="291"/>
      <c r="DG132" s="291"/>
      <c r="DH132" s="291"/>
      <c r="DI132" s="291"/>
      <c r="DJ132" s="291"/>
      <c r="DK132" s="291"/>
      <c r="DL132" s="291"/>
      <c r="DM132" s="291"/>
      <c r="DN132" s="291"/>
      <c r="DO132" s="291"/>
      <c r="DP132" s="291"/>
      <c r="DQ132" s="291"/>
      <c r="DR132" s="291"/>
      <c r="DS132" s="291"/>
      <c r="DT132" s="291"/>
      <c r="DU132" s="291"/>
      <c r="DV132" s="291"/>
      <c r="DW132" s="291"/>
      <c r="DX132" s="291"/>
      <c r="DY132" s="291"/>
      <c r="DZ132" s="291"/>
      <c r="EA132" s="291"/>
      <c r="EB132" s="291"/>
      <c r="EC132" s="291"/>
      <c r="ED132" s="291"/>
      <c r="EE132" s="291"/>
      <c r="EF132" s="291"/>
      <c r="EG132" s="291"/>
      <c r="EH132" s="291"/>
      <c r="EI132" s="291"/>
      <c r="EJ132" s="291"/>
      <c r="EK132" s="291"/>
      <c r="EL132" s="291"/>
      <c r="EM132" s="291"/>
      <c r="EN132" s="291"/>
      <c r="EO132" s="291"/>
      <c r="EP132" s="291"/>
      <c r="EQ132" s="291"/>
      <c r="ER132" s="291"/>
      <c r="ES132" s="291"/>
      <c r="ET132" s="291"/>
      <c r="EU132" s="291"/>
      <c r="EV132" s="291"/>
      <c r="EW132" s="291"/>
      <c r="EX132" s="291"/>
      <c r="EY132" s="291"/>
      <c r="EZ132" s="291"/>
      <c r="FA132" s="291"/>
      <c r="FB132" s="291"/>
      <c r="FC132" s="291"/>
      <c r="FD132" s="291"/>
      <c r="FE132" s="291"/>
      <c r="FF132" s="291"/>
      <c r="FG132" s="291"/>
      <c r="FH132" s="291"/>
      <c r="FI132" s="291"/>
      <c r="FJ132" s="291"/>
      <c r="FK132" s="291"/>
      <c r="FL132" s="291"/>
      <c r="FM132" s="291"/>
      <c r="FN132" s="291"/>
      <c r="FO132" s="291"/>
      <c r="FP132" s="291"/>
      <c r="FQ132" s="291"/>
      <c r="FR132" s="291"/>
      <c r="FS132" s="291"/>
      <c r="FT132" s="291"/>
      <c r="FU132" s="291"/>
      <c r="FV132" s="291"/>
      <c r="FW132" s="291"/>
      <c r="FX132" s="291"/>
      <c r="FY132" s="291"/>
      <c r="FZ132" s="291"/>
      <c r="GA132" s="291"/>
      <c r="GB132" s="291"/>
      <c r="GC132" s="291"/>
      <c r="GD132" s="291"/>
      <c r="GE132" s="291"/>
      <c r="GF132" s="291"/>
      <c r="GG132" s="291"/>
      <c r="GH132" s="291"/>
      <c r="GI132" s="291"/>
      <c r="GJ132" s="291"/>
      <c r="GK132" s="291"/>
      <c r="GL132" s="291"/>
      <c r="GM132" s="291"/>
      <c r="GN132" s="291"/>
      <c r="GO132" s="291"/>
      <c r="GP132" s="291"/>
      <c r="GQ132" s="291"/>
      <c r="GR132" s="291"/>
      <c r="GS132" s="291"/>
      <c r="GT132" s="291"/>
      <c r="GU132" s="291"/>
      <c r="GV132" s="291"/>
      <c r="GW132" s="291"/>
      <c r="GX132" s="291"/>
      <c r="GY132" s="291"/>
      <c r="GZ132" s="291"/>
      <c r="HA132" s="291"/>
      <c r="HB132" s="291"/>
      <c r="HC132" s="291"/>
      <c r="HD132" s="291"/>
      <c r="HE132" s="291"/>
      <c r="HF132" s="291"/>
      <c r="HG132" s="291"/>
      <c r="HH132" s="291"/>
      <c r="HI132" s="291"/>
      <c r="HJ132" s="291"/>
      <c r="HK132" s="291"/>
      <c r="HL132" s="291"/>
      <c r="HM132" s="291"/>
      <c r="HN132" s="291"/>
      <c r="HO132" s="291"/>
      <c r="HP132" s="291"/>
      <c r="HQ132" s="291"/>
      <c r="HR132" s="291"/>
      <c r="HS132" s="291"/>
      <c r="HT132" s="291"/>
      <c r="HU132" s="291"/>
      <c r="HV132" s="291"/>
      <c r="HW132" s="291"/>
      <c r="HX132" s="291"/>
      <c r="HY132" s="291"/>
      <c r="HZ132" s="291"/>
      <c r="IA132" s="291"/>
      <c r="IB132" s="291"/>
      <c r="IC132" s="291"/>
      <c r="ID132" s="291"/>
      <c r="IE132" s="291"/>
      <c r="IF132" s="291"/>
      <c r="IG132" s="291"/>
      <c r="IH132" s="291"/>
      <c r="II132" s="291"/>
      <c r="IJ132" s="291"/>
      <c r="IK132" s="291"/>
      <c r="IL132" s="291"/>
      <c r="IM132" s="291"/>
      <c r="IN132" s="291"/>
      <c r="IO132" s="291"/>
      <c r="IP132" s="291"/>
      <c r="IQ132" s="291"/>
      <c r="IR132" s="291"/>
      <c r="IS132" s="291"/>
      <c r="IT132" s="291"/>
      <c r="IU132" s="291"/>
      <c r="IV132" s="291"/>
      <c r="IW132" s="291"/>
      <c r="IX132" s="291"/>
      <c r="IY132" s="291"/>
      <c r="IZ132" s="291"/>
      <c r="JA132" s="291"/>
      <c r="JB132" s="291"/>
      <c r="JC132" s="291"/>
      <c r="JD132" s="291"/>
      <c r="JE132" s="291"/>
      <c r="JF132" s="291"/>
      <c r="JG132" s="291"/>
      <c r="JH132" s="291"/>
      <c r="JI132" s="291"/>
      <c r="JJ132" s="291"/>
      <c r="JK132" s="291"/>
      <c r="JL132" s="291"/>
      <c r="JM132" s="291"/>
      <c r="JN132" s="291"/>
      <c r="JO132" s="291"/>
      <c r="JP132" s="291"/>
      <c r="JQ132" s="291"/>
      <c r="JR132" s="291"/>
      <c r="JS132" s="291"/>
      <c r="JT132" s="291"/>
      <c r="JU132" s="291"/>
      <c r="JV132" s="291"/>
      <c r="JW132" s="291"/>
      <c r="JX132" s="291"/>
      <c r="JY132" s="291"/>
      <c r="JZ132" s="291"/>
      <c r="KA132" s="291"/>
      <c r="KB132" s="291"/>
      <c r="KC132" s="291"/>
      <c r="KD132" s="291"/>
      <c r="KE132" s="291"/>
      <c r="KF132" s="291"/>
      <c r="KG132" s="291"/>
      <c r="KH132" s="291"/>
      <c r="KI132" s="291"/>
      <c r="KJ132" s="291"/>
      <c r="KK132" s="291"/>
      <c r="KL132" s="291"/>
      <c r="KM132" s="291"/>
      <c r="KN132" s="291"/>
      <c r="KO132" s="291"/>
      <c r="KP132" s="291"/>
      <c r="KQ132" s="291"/>
      <c r="KR132" s="291"/>
      <c r="KS132" s="291"/>
      <c r="KT132" s="291"/>
      <c r="KU132" s="291"/>
      <c r="KV132" s="291"/>
      <c r="KW132" s="291"/>
      <c r="KX132" s="291"/>
      <c r="KY132" s="291"/>
      <c r="KZ132" s="291"/>
      <c r="LA132" s="291"/>
      <c r="LB132" s="291"/>
      <c r="LC132" s="291"/>
      <c r="LD132" s="291"/>
      <c r="LE132" s="291"/>
      <c r="LF132" s="291"/>
      <c r="LG132" s="291"/>
      <c r="LH132" s="291"/>
      <c r="LI132" s="291"/>
      <c r="LJ132" s="291"/>
      <c r="LK132" s="291"/>
      <c r="LL132" s="291"/>
      <c r="LM132" s="291"/>
      <c r="LN132" s="291"/>
      <c r="LO132" s="291"/>
      <c r="LP132" s="291"/>
      <c r="LQ132" s="291"/>
      <c r="LR132" s="291"/>
      <c r="LS132" s="291"/>
      <c r="LT132" s="291"/>
      <c r="LU132" s="291"/>
      <c r="LV132" s="291"/>
      <c r="LW132" s="291"/>
      <c r="LX132" s="291"/>
      <c r="LY132" s="291"/>
      <c r="LZ132" s="291"/>
      <c r="MA132" s="291"/>
      <c r="MB132" s="291"/>
      <c r="MC132" s="291"/>
      <c r="MD132" s="291"/>
      <c r="ME132" s="291"/>
      <c r="MF132" s="291"/>
      <c r="MG132" s="291"/>
      <c r="MH132" s="291"/>
      <c r="MI132" s="291"/>
      <c r="MJ132" s="291"/>
      <c r="MK132" s="291"/>
      <c r="ML132" s="291"/>
      <c r="MM132" s="291"/>
      <c r="MN132" s="291"/>
      <c r="MO132" s="291"/>
      <c r="MP132" s="291"/>
      <c r="MQ132" s="291"/>
      <c r="MR132" s="291"/>
      <c r="MS132" s="291"/>
      <c r="MT132" s="291"/>
      <c r="MU132" s="291"/>
      <c r="MV132" s="291"/>
      <c r="MW132" s="291"/>
      <c r="MX132" s="291"/>
      <c r="MY132" s="291"/>
      <c r="MZ132" s="291"/>
      <c r="NA132" s="291"/>
      <c r="NB132" s="291"/>
      <c r="NC132" s="291"/>
      <c r="ND132" s="291"/>
      <c r="NE132" s="291"/>
      <c r="NF132" s="291"/>
      <c r="NG132" s="291"/>
      <c r="NH132" s="291"/>
      <c r="NI132" s="291"/>
      <c r="NJ132" s="291"/>
      <c r="NK132" s="291"/>
      <c r="NL132" s="291"/>
      <c r="NM132" s="291"/>
      <c r="NN132" s="291"/>
      <c r="NO132" s="291"/>
      <c r="NP132" s="291"/>
      <c r="NQ132" s="291"/>
      <c r="NR132" s="291"/>
      <c r="NS132" s="291"/>
      <c r="NT132" s="291"/>
      <c r="NU132" s="291"/>
      <c r="NV132" s="291"/>
      <c r="NW132" s="291"/>
      <c r="NX132" s="291"/>
      <c r="NY132" s="291"/>
      <c r="NZ132" s="291"/>
      <c r="OA132" s="291"/>
      <c r="OB132" s="291"/>
      <c r="OC132" s="291"/>
      <c r="OD132" s="291"/>
      <c r="OE132" s="291"/>
      <c r="OF132" s="291"/>
      <c r="OG132" s="291"/>
      <c r="OH132" s="291"/>
      <c r="OI132" s="291"/>
      <c r="OJ132" s="291"/>
      <c r="OK132" s="291"/>
      <c r="OL132" s="291"/>
      <c r="OM132" s="291"/>
      <c r="ON132" s="291"/>
      <c r="OO132" s="291"/>
      <c r="OP132" s="291"/>
      <c r="OQ132" s="291"/>
      <c r="OR132" s="291"/>
      <c r="OS132" s="291"/>
      <c r="OT132" s="291"/>
      <c r="OU132" s="291"/>
      <c r="OV132" s="291"/>
      <c r="OW132" s="291"/>
    </row>
    <row r="133" spans="1:413" s="257" customFormat="1" hidden="1" x14ac:dyDescent="0.2">
      <c r="A133" s="291"/>
      <c r="B133" s="524">
        <f t="shared" si="7"/>
        <v>117</v>
      </c>
      <c r="C133" s="510" t="s">
        <v>38</v>
      </c>
      <c r="D133" s="511">
        <v>30343539</v>
      </c>
      <c r="E133" s="511"/>
      <c r="F133" s="512" t="s">
        <v>1275</v>
      </c>
      <c r="G133" s="513" t="s">
        <v>46</v>
      </c>
      <c r="H133" s="514" t="s">
        <v>1094</v>
      </c>
      <c r="I133" s="515" t="s">
        <v>1134</v>
      </c>
      <c r="J133" s="346" t="s">
        <v>42</v>
      </c>
      <c r="K133" s="526">
        <v>721082</v>
      </c>
      <c r="L133" s="527">
        <v>709982</v>
      </c>
      <c r="M133" s="528">
        <v>0</v>
      </c>
      <c r="N133" s="519">
        <v>0</v>
      </c>
      <c r="O133" s="519">
        <v>1500</v>
      </c>
      <c r="P133" s="519">
        <v>0</v>
      </c>
      <c r="Q133" s="519">
        <v>0</v>
      </c>
      <c r="R133" s="519">
        <v>0</v>
      </c>
      <c r="S133" s="520">
        <v>9600</v>
      </c>
      <c r="T133" s="18"/>
      <c r="U133" s="18"/>
      <c r="V133" s="18"/>
      <c r="W133" s="18"/>
      <c r="X133" s="18"/>
      <c r="Y133" s="18"/>
      <c r="Z133" s="18">
        <f t="shared" si="4"/>
        <v>11100</v>
      </c>
      <c r="AA133" s="309">
        <v>11100</v>
      </c>
      <c r="AB133" s="19">
        <v>11</v>
      </c>
      <c r="AC133" s="521">
        <v>44237</v>
      </c>
      <c r="AD133" s="25">
        <v>44251</v>
      </c>
      <c r="AE133" s="309"/>
      <c r="AF133" s="314"/>
      <c r="AG133" s="315"/>
      <c r="AH133" s="316"/>
      <c r="AI133" s="309"/>
      <c r="AJ133" s="338"/>
      <c r="AK133" s="315"/>
      <c r="AL133" s="316"/>
      <c r="AM133" s="309"/>
      <c r="AN133" s="338"/>
      <c r="AO133" s="21"/>
      <c r="AP133" s="25"/>
      <c r="AQ133" s="309"/>
      <c r="AR133" s="19"/>
      <c r="AS133" s="21"/>
      <c r="AT133" s="25"/>
      <c r="AU133" s="522">
        <f t="shared" si="5"/>
        <v>11100</v>
      </c>
      <c r="AV133" s="311">
        <f t="shared" si="6"/>
        <v>0</v>
      </c>
      <c r="AW133" s="305"/>
      <c r="AX133" s="291"/>
      <c r="AY133" s="291"/>
      <c r="AZ133" s="291"/>
      <c r="BA133" s="291"/>
      <c r="BB133" s="291"/>
      <c r="BC133" s="291"/>
      <c r="BD133" s="291"/>
      <c r="BE133" s="291"/>
      <c r="BF133" s="291"/>
      <c r="BG133" s="291"/>
      <c r="BH133" s="291"/>
      <c r="BI133" s="291"/>
      <c r="BJ133" s="291"/>
      <c r="BK133" s="291"/>
      <c r="BL133" s="291"/>
      <c r="BM133" s="291"/>
      <c r="BN133" s="291"/>
      <c r="BO133" s="291"/>
      <c r="BP133" s="291"/>
      <c r="BQ133" s="291"/>
      <c r="BR133" s="291"/>
      <c r="BS133" s="291"/>
      <c r="BT133" s="291"/>
      <c r="BU133" s="291"/>
      <c r="BV133" s="291"/>
      <c r="BW133" s="291"/>
      <c r="BX133" s="291"/>
      <c r="BY133" s="291"/>
      <c r="BZ133" s="291"/>
      <c r="CA133" s="291"/>
      <c r="CB133" s="291"/>
      <c r="CC133" s="291"/>
      <c r="CD133" s="291"/>
      <c r="CE133" s="291"/>
      <c r="CF133" s="291"/>
      <c r="CG133" s="291"/>
      <c r="CH133" s="291"/>
      <c r="CI133" s="291"/>
      <c r="CJ133" s="291"/>
      <c r="CK133" s="291"/>
      <c r="CL133" s="291"/>
      <c r="CM133" s="291"/>
      <c r="CN133" s="291"/>
      <c r="CO133" s="291"/>
      <c r="CP133" s="291"/>
      <c r="CQ133" s="291"/>
      <c r="CR133" s="291"/>
      <c r="CS133" s="291"/>
      <c r="CT133" s="291"/>
      <c r="CU133" s="291"/>
      <c r="CV133" s="291"/>
      <c r="CW133" s="291"/>
      <c r="CX133" s="291"/>
      <c r="CY133" s="291"/>
      <c r="CZ133" s="291"/>
      <c r="DA133" s="291"/>
      <c r="DB133" s="291"/>
      <c r="DC133" s="291"/>
      <c r="DD133" s="291"/>
      <c r="DE133" s="291"/>
      <c r="DF133" s="291"/>
      <c r="DG133" s="291"/>
      <c r="DH133" s="291"/>
      <c r="DI133" s="291"/>
      <c r="DJ133" s="291"/>
      <c r="DK133" s="291"/>
      <c r="DL133" s="291"/>
      <c r="DM133" s="291"/>
      <c r="DN133" s="291"/>
      <c r="DO133" s="291"/>
      <c r="DP133" s="291"/>
      <c r="DQ133" s="291"/>
      <c r="DR133" s="291"/>
      <c r="DS133" s="291"/>
      <c r="DT133" s="291"/>
      <c r="DU133" s="291"/>
      <c r="DV133" s="291"/>
      <c r="DW133" s="291"/>
      <c r="DX133" s="291"/>
      <c r="DY133" s="291"/>
      <c r="DZ133" s="291"/>
      <c r="EA133" s="291"/>
      <c r="EB133" s="291"/>
      <c r="EC133" s="291"/>
      <c r="ED133" s="291"/>
      <c r="EE133" s="291"/>
      <c r="EF133" s="291"/>
      <c r="EG133" s="291"/>
      <c r="EH133" s="291"/>
      <c r="EI133" s="291"/>
      <c r="EJ133" s="291"/>
      <c r="EK133" s="291"/>
      <c r="EL133" s="291"/>
      <c r="EM133" s="291"/>
      <c r="EN133" s="291"/>
      <c r="EO133" s="291"/>
      <c r="EP133" s="291"/>
      <c r="EQ133" s="291"/>
      <c r="ER133" s="291"/>
      <c r="ES133" s="291"/>
      <c r="ET133" s="291"/>
      <c r="EU133" s="291"/>
      <c r="EV133" s="291"/>
      <c r="EW133" s="291"/>
      <c r="EX133" s="291"/>
      <c r="EY133" s="291"/>
      <c r="EZ133" s="291"/>
      <c r="FA133" s="291"/>
      <c r="FB133" s="291"/>
      <c r="FC133" s="291"/>
      <c r="FD133" s="291"/>
      <c r="FE133" s="291"/>
      <c r="FF133" s="291"/>
      <c r="FG133" s="291"/>
      <c r="FH133" s="291"/>
      <c r="FI133" s="291"/>
      <c r="FJ133" s="291"/>
      <c r="FK133" s="291"/>
      <c r="FL133" s="291"/>
      <c r="FM133" s="291"/>
      <c r="FN133" s="291"/>
      <c r="FO133" s="291"/>
      <c r="FP133" s="291"/>
      <c r="FQ133" s="291"/>
      <c r="FR133" s="291"/>
      <c r="FS133" s="291"/>
      <c r="FT133" s="291"/>
      <c r="FU133" s="291"/>
      <c r="FV133" s="291"/>
      <c r="FW133" s="291"/>
      <c r="FX133" s="291"/>
      <c r="FY133" s="291"/>
      <c r="FZ133" s="291"/>
      <c r="GA133" s="291"/>
      <c r="GB133" s="291"/>
      <c r="GC133" s="291"/>
      <c r="GD133" s="291"/>
      <c r="GE133" s="291"/>
      <c r="GF133" s="291"/>
      <c r="GG133" s="291"/>
      <c r="GH133" s="291"/>
      <c r="GI133" s="291"/>
      <c r="GJ133" s="291"/>
      <c r="GK133" s="291"/>
      <c r="GL133" s="291"/>
      <c r="GM133" s="291"/>
      <c r="GN133" s="291"/>
      <c r="GO133" s="291"/>
      <c r="GP133" s="291"/>
      <c r="GQ133" s="291"/>
      <c r="GR133" s="291"/>
      <c r="GS133" s="291"/>
      <c r="GT133" s="291"/>
      <c r="GU133" s="291"/>
      <c r="GV133" s="291"/>
      <c r="GW133" s="291"/>
      <c r="GX133" s="291"/>
      <c r="GY133" s="291"/>
      <c r="GZ133" s="291"/>
      <c r="HA133" s="291"/>
      <c r="HB133" s="291"/>
      <c r="HC133" s="291"/>
      <c r="HD133" s="291"/>
      <c r="HE133" s="291"/>
      <c r="HF133" s="291"/>
      <c r="HG133" s="291"/>
      <c r="HH133" s="291"/>
      <c r="HI133" s="291"/>
      <c r="HJ133" s="291"/>
      <c r="HK133" s="291"/>
      <c r="HL133" s="291"/>
      <c r="HM133" s="291"/>
      <c r="HN133" s="291"/>
      <c r="HO133" s="291"/>
      <c r="HP133" s="291"/>
      <c r="HQ133" s="291"/>
      <c r="HR133" s="291"/>
      <c r="HS133" s="291"/>
      <c r="HT133" s="291"/>
      <c r="HU133" s="291"/>
      <c r="HV133" s="291"/>
      <c r="HW133" s="291"/>
      <c r="HX133" s="291"/>
      <c r="HY133" s="291"/>
      <c r="HZ133" s="291"/>
      <c r="IA133" s="291"/>
      <c r="IB133" s="291"/>
      <c r="IC133" s="291"/>
      <c r="ID133" s="291"/>
      <c r="IE133" s="291"/>
      <c r="IF133" s="291"/>
      <c r="IG133" s="291"/>
      <c r="IH133" s="291"/>
      <c r="II133" s="291"/>
      <c r="IJ133" s="291"/>
      <c r="IK133" s="291"/>
      <c r="IL133" s="291"/>
      <c r="IM133" s="291"/>
      <c r="IN133" s="291"/>
      <c r="IO133" s="291"/>
      <c r="IP133" s="291"/>
      <c r="IQ133" s="291"/>
      <c r="IR133" s="291"/>
      <c r="IS133" s="291"/>
      <c r="IT133" s="291"/>
      <c r="IU133" s="291"/>
      <c r="IV133" s="291"/>
      <c r="IW133" s="291"/>
      <c r="IX133" s="291"/>
      <c r="IY133" s="291"/>
      <c r="IZ133" s="291"/>
      <c r="JA133" s="291"/>
      <c r="JB133" s="291"/>
      <c r="JC133" s="291"/>
      <c r="JD133" s="291"/>
      <c r="JE133" s="291"/>
      <c r="JF133" s="291"/>
      <c r="JG133" s="291"/>
      <c r="JH133" s="291"/>
      <c r="JI133" s="291"/>
      <c r="JJ133" s="291"/>
      <c r="JK133" s="291"/>
      <c r="JL133" s="291"/>
      <c r="JM133" s="291"/>
      <c r="JN133" s="291"/>
      <c r="JO133" s="291"/>
      <c r="JP133" s="291"/>
      <c r="JQ133" s="291"/>
      <c r="JR133" s="291"/>
      <c r="JS133" s="291"/>
      <c r="JT133" s="291"/>
      <c r="JU133" s="291"/>
      <c r="JV133" s="291"/>
      <c r="JW133" s="291"/>
      <c r="JX133" s="291"/>
      <c r="JY133" s="291"/>
      <c r="JZ133" s="291"/>
      <c r="KA133" s="291"/>
      <c r="KB133" s="291"/>
      <c r="KC133" s="291"/>
      <c r="KD133" s="291"/>
      <c r="KE133" s="291"/>
      <c r="KF133" s="291"/>
      <c r="KG133" s="291"/>
      <c r="KH133" s="291"/>
      <c r="KI133" s="291"/>
      <c r="KJ133" s="291"/>
      <c r="KK133" s="291"/>
      <c r="KL133" s="291"/>
      <c r="KM133" s="291"/>
      <c r="KN133" s="291"/>
      <c r="KO133" s="291"/>
      <c r="KP133" s="291"/>
      <c r="KQ133" s="291"/>
      <c r="KR133" s="291"/>
      <c r="KS133" s="291"/>
      <c r="KT133" s="291"/>
      <c r="KU133" s="291"/>
      <c r="KV133" s="291"/>
      <c r="KW133" s="291"/>
      <c r="KX133" s="291"/>
      <c r="KY133" s="291"/>
      <c r="KZ133" s="291"/>
      <c r="LA133" s="291"/>
      <c r="LB133" s="291"/>
      <c r="LC133" s="291"/>
      <c r="LD133" s="291"/>
      <c r="LE133" s="291"/>
      <c r="LF133" s="291"/>
      <c r="LG133" s="291"/>
      <c r="LH133" s="291"/>
      <c r="LI133" s="291"/>
      <c r="LJ133" s="291"/>
      <c r="LK133" s="291"/>
      <c r="LL133" s="291"/>
      <c r="LM133" s="291"/>
      <c r="LN133" s="291"/>
      <c r="LO133" s="291"/>
      <c r="LP133" s="291"/>
      <c r="LQ133" s="291"/>
      <c r="LR133" s="291"/>
      <c r="LS133" s="291"/>
      <c r="LT133" s="291"/>
      <c r="LU133" s="291"/>
      <c r="LV133" s="291"/>
      <c r="LW133" s="291"/>
      <c r="LX133" s="291"/>
      <c r="LY133" s="291"/>
      <c r="LZ133" s="291"/>
      <c r="MA133" s="291"/>
      <c r="MB133" s="291"/>
      <c r="MC133" s="291"/>
      <c r="MD133" s="291"/>
      <c r="ME133" s="291"/>
      <c r="MF133" s="291"/>
      <c r="MG133" s="291"/>
      <c r="MH133" s="291"/>
      <c r="MI133" s="291"/>
      <c r="MJ133" s="291"/>
      <c r="MK133" s="291"/>
      <c r="ML133" s="291"/>
      <c r="MM133" s="291"/>
      <c r="MN133" s="291"/>
      <c r="MO133" s="291"/>
      <c r="MP133" s="291"/>
      <c r="MQ133" s="291"/>
      <c r="MR133" s="291"/>
      <c r="MS133" s="291"/>
      <c r="MT133" s="291"/>
      <c r="MU133" s="291"/>
      <c r="MV133" s="291"/>
      <c r="MW133" s="291"/>
      <c r="MX133" s="291"/>
      <c r="MY133" s="291"/>
      <c r="MZ133" s="291"/>
      <c r="NA133" s="291"/>
      <c r="NB133" s="291"/>
      <c r="NC133" s="291"/>
      <c r="ND133" s="291"/>
      <c r="NE133" s="291"/>
      <c r="NF133" s="291"/>
      <c r="NG133" s="291"/>
      <c r="NH133" s="291"/>
      <c r="NI133" s="291"/>
      <c r="NJ133" s="291"/>
      <c r="NK133" s="291"/>
      <c r="NL133" s="291"/>
      <c r="NM133" s="291"/>
      <c r="NN133" s="291"/>
      <c r="NO133" s="291"/>
      <c r="NP133" s="291"/>
      <c r="NQ133" s="291"/>
      <c r="NR133" s="291"/>
      <c r="NS133" s="291"/>
      <c r="NT133" s="291"/>
      <c r="NU133" s="291"/>
      <c r="NV133" s="291"/>
      <c r="NW133" s="291"/>
      <c r="NX133" s="291"/>
      <c r="NY133" s="291"/>
      <c r="NZ133" s="291"/>
      <c r="OA133" s="291"/>
      <c r="OB133" s="291"/>
      <c r="OC133" s="291"/>
      <c r="OD133" s="291"/>
      <c r="OE133" s="291"/>
      <c r="OF133" s="291"/>
      <c r="OG133" s="291"/>
      <c r="OH133" s="291"/>
      <c r="OI133" s="291"/>
      <c r="OJ133" s="291"/>
      <c r="OK133" s="291"/>
      <c r="OL133" s="291"/>
      <c r="OM133" s="291"/>
      <c r="ON133" s="291"/>
      <c r="OO133" s="291"/>
      <c r="OP133" s="291"/>
      <c r="OQ133" s="291"/>
      <c r="OR133" s="291"/>
      <c r="OS133" s="291"/>
      <c r="OT133" s="291"/>
      <c r="OU133" s="291"/>
      <c r="OV133" s="291"/>
      <c r="OW133" s="291"/>
    </row>
    <row r="134" spans="1:413" s="257" customFormat="1" hidden="1" x14ac:dyDescent="0.2">
      <c r="A134" s="291"/>
      <c r="B134" s="524">
        <f t="shared" si="7"/>
        <v>118</v>
      </c>
      <c r="C134" s="510" t="s">
        <v>38</v>
      </c>
      <c r="D134" s="511">
        <v>30347126</v>
      </c>
      <c r="E134" s="511"/>
      <c r="F134" s="512" t="s">
        <v>1276</v>
      </c>
      <c r="G134" s="513" t="s">
        <v>45</v>
      </c>
      <c r="H134" s="514" t="s">
        <v>1094</v>
      </c>
      <c r="I134" s="515" t="s">
        <v>1099</v>
      </c>
      <c r="J134" s="346" t="s">
        <v>42</v>
      </c>
      <c r="K134" s="526">
        <v>460807</v>
      </c>
      <c r="L134" s="527">
        <v>357807</v>
      </c>
      <c r="M134" s="528">
        <v>0</v>
      </c>
      <c r="N134" s="520">
        <v>0</v>
      </c>
      <c r="O134" s="520">
        <v>0</v>
      </c>
      <c r="P134" s="520">
        <v>0</v>
      </c>
      <c r="Q134" s="520">
        <v>0</v>
      </c>
      <c r="R134" s="520">
        <v>0</v>
      </c>
      <c r="S134" s="520">
        <v>0</v>
      </c>
      <c r="T134" s="18"/>
      <c r="U134" s="18"/>
      <c r="V134" s="18"/>
      <c r="W134" s="18"/>
      <c r="X134" s="18"/>
      <c r="Y134" s="18"/>
      <c r="Z134" s="18">
        <f t="shared" si="4"/>
        <v>0</v>
      </c>
      <c r="AA134" s="309">
        <v>85008</v>
      </c>
      <c r="AB134" s="19">
        <v>9</v>
      </c>
      <c r="AC134" s="521">
        <v>44232</v>
      </c>
      <c r="AD134" s="25">
        <v>44251</v>
      </c>
      <c r="AE134" s="309"/>
      <c r="AF134" s="314"/>
      <c r="AG134" s="315"/>
      <c r="AH134" s="316"/>
      <c r="AI134" s="309"/>
      <c r="AJ134" s="338"/>
      <c r="AK134" s="315"/>
      <c r="AL134" s="316"/>
      <c r="AM134" s="309"/>
      <c r="AN134" s="338"/>
      <c r="AO134" s="21"/>
      <c r="AP134" s="25"/>
      <c r="AQ134" s="309"/>
      <c r="AR134" s="19"/>
      <c r="AS134" s="21"/>
      <c r="AT134" s="25"/>
      <c r="AU134" s="522">
        <f t="shared" si="5"/>
        <v>85008</v>
      </c>
      <c r="AV134" s="311">
        <f t="shared" si="6"/>
        <v>85008</v>
      </c>
      <c r="AW134" s="305"/>
      <c r="AX134" s="291"/>
      <c r="AY134" s="291"/>
      <c r="AZ134" s="291"/>
      <c r="BA134" s="291"/>
      <c r="BB134" s="291"/>
      <c r="BC134" s="291"/>
      <c r="BD134" s="291"/>
      <c r="BE134" s="291"/>
      <c r="BF134" s="291"/>
      <c r="BG134" s="291"/>
      <c r="BH134" s="291"/>
      <c r="BI134" s="291"/>
      <c r="BJ134" s="291"/>
      <c r="BK134" s="291"/>
      <c r="BL134" s="291"/>
      <c r="BM134" s="291"/>
      <c r="BN134" s="291"/>
      <c r="BO134" s="291"/>
      <c r="BP134" s="291"/>
      <c r="BQ134" s="291"/>
      <c r="BR134" s="291"/>
      <c r="BS134" s="291"/>
      <c r="BT134" s="291"/>
      <c r="BU134" s="291"/>
      <c r="BV134" s="291"/>
      <c r="BW134" s="291"/>
      <c r="BX134" s="291"/>
      <c r="BY134" s="291"/>
      <c r="BZ134" s="291"/>
      <c r="CA134" s="291"/>
      <c r="CB134" s="291"/>
      <c r="CC134" s="291"/>
      <c r="CD134" s="291"/>
      <c r="CE134" s="291"/>
      <c r="CF134" s="291"/>
      <c r="CG134" s="291"/>
      <c r="CH134" s="291"/>
      <c r="CI134" s="291"/>
      <c r="CJ134" s="291"/>
      <c r="CK134" s="291"/>
      <c r="CL134" s="291"/>
      <c r="CM134" s="291"/>
      <c r="CN134" s="291"/>
      <c r="CO134" s="291"/>
      <c r="CP134" s="291"/>
      <c r="CQ134" s="291"/>
      <c r="CR134" s="291"/>
      <c r="CS134" s="291"/>
      <c r="CT134" s="291"/>
      <c r="CU134" s="291"/>
      <c r="CV134" s="291"/>
      <c r="CW134" s="291"/>
      <c r="CX134" s="291"/>
      <c r="CY134" s="291"/>
      <c r="CZ134" s="291"/>
      <c r="DA134" s="291"/>
      <c r="DB134" s="291"/>
      <c r="DC134" s="291"/>
      <c r="DD134" s="291"/>
      <c r="DE134" s="291"/>
      <c r="DF134" s="291"/>
      <c r="DG134" s="291"/>
      <c r="DH134" s="291"/>
      <c r="DI134" s="291"/>
      <c r="DJ134" s="291"/>
      <c r="DK134" s="291"/>
      <c r="DL134" s="291"/>
      <c r="DM134" s="291"/>
      <c r="DN134" s="291"/>
      <c r="DO134" s="291"/>
      <c r="DP134" s="291"/>
      <c r="DQ134" s="291"/>
      <c r="DR134" s="291"/>
      <c r="DS134" s="291"/>
      <c r="DT134" s="291"/>
      <c r="DU134" s="291"/>
      <c r="DV134" s="291"/>
      <c r="DW134" s="291"/>
      <c r="DX134" s="291"/>
      <c r="DY134" s="291"/>
      <c r="DZ134" s="291"/>
      <c r="EA134" s="291"/>
      <c r="EB134" s="291"/>
      <c r="EC134" s="291"/>
      <c r="ED134" s="291"/>
      <c r="EE134" s="291"/>
      <c r="EF134" s="291"/>
      <c r="EG134" s="291"/>
      <c r="EH134" s="291"/>
      <c r="EI134" s="291"/>
      <c r="EJ134" s="291"/>
      <c r="EK134" s="291"/>
      <c r="EL134" s="291"/>
      <c r="EM134" s="291"/>
      <c r="EN134" s="291"/>
      <c r="EO134" s="291"/>
      <c r="EP134" s="291"/>
      <c r="EQ134" s="291"/>
      <c r="ER134" s="291"/>
      <c r="ES134" s="291"/>
      <c r="ET134" s="291"/>
      <c r="EU134" s="291"/>
      <c r="EV134" s="291"/>
      <c r="EW134" s="291"/>
      <c r="EX134" s="291"/>
      <c r="EY134" s="291"/>
      <c r="EZ134" s="291"/>
      <c r="FA134" s="291"/>
      <c r="FB134" s="291"/>
      <c r="FC134" s="291"/>
      <c r="FD134" s="291"/>
      <c r="FE134" s="291"/>
      <c r="FF134" s="291"/>
      <c r="FG134" s="291"/>
      <c r="FH134" s="291"/>
      <c r="FI134" s="291"/>
      <c r="FJ134" s="291"/>
      <c r="FK134" s="291"/>
      <c r="FL134" s="291"/>
      <c r="FM134" s="291"/>
      <c r="FN134" s="291"/>
      <c r="FO134" s="291"/>
      <c r="FP134" s="291"/>
      <c r="FQ134" s="291"/>
      <c r="FR134" s="291"/>
      <c r="FS134" s="291"/>
      <c r="FT134" s="291"/>
      <c r="FU134" s="291"/>
      <c r="FV134" s="291"/>
      <c r="FW134" s="291"/>
      <c r="FX134" s="291"/>
      <c r="FY134" s="291"/>
      <c r="FZ134" s="291"/>
      <c r="GA134" s="291"/>
      <c r="GB134" s="291"/>
      <c r="GC134" s="291"/>
      <c r="GD134" s="291"/>
      <c r="GE134" s="291"/>
      <c r="GF134" s="291"/>
      <c r="GG134" s="291"/>
      <c r="GH134" s="291"/>
      <c r="GI134" s="291"/>
      <c r="GJ134" s="291"/>
      <c r="GK134" s="291"/>
      <c r="GL134" s="291"/>
      <c r="GM134" s="291"/>
      <c r="GN134" s="291"/>
      <c r="GO134" s="291"/>
      <c r="GP134" s="291"/>
      <c r="GQ134" s="291"/>
      <c r="GR134" s="291"/>
      <c r="GS134" s="291"/>
      <c r="GT134" s="291"/>
      <c r="GU134" s="291"/>
      <c r="GV134" s="291"/>
      <c r="GW134" s="291"/>
      <c r="GX134" s="291"/>
      <c r="GY134" s="291"/>
      <c r="GZ134" s="291"/>
      <c r="HA134" s="291"/>
      <c r="HB134" s="291"/>
      <c r="HC134" s="291"/>
      <c r="HD134" s="291"/>
      <c r="HE134" s="291"/>
      <c r="HF134" s="291"/>
      <c r="HG134" s="291"/>
      <c r="HH134" s="291"/>
      <c r="HI134" s="291"/>
      <c r="HJ134" s="291"/>
      <c r="HK134" s="291"/>
      <c r="HL134" s="291"/>
      <c r="HM134" s="291"/>
      <c r="HN134" s="291"/>
      <c r="HO134" s="291"/>
      <c r="HP134" s="291"/>
      <c r="HQ134" s="291"/>
      <c r="HR134" s="291"/>
      <c r="HS134" s="291"/>
      <c r="HT134" s="291"/>
      <c r="HU134" s="291"/>
      <c r="HV134" s="291"/>
      <c r="HW134" s="291"/>
      <c r="HX134" s="291"/>
      <c r="HY134" s="291"/>
      <c r="HZ134" s="291"/>
      <c r="IA134" s="291"/>
      <c r="IB134" s="291"/>
      <c r="IC134" s="291"/>
      <c r="ID134" s="291"/>
      <c r="IE134" s="291"/>
      <c r="IF134" s="291"/>
      <c r="IG134" s="291"/>
      <c r="IH134" s="291"/>
      <c r="II134" s="291"/>
      <c r="IJ134" s="291"/>
      <c r="IK134" s="291"/>
      <c r="IL134" s="291"/>
      <c r="IM134" s="291"/>
      <c r="IN134" s="291"/>
      <c r="IO134" s="291"/>
      <c r="IP134" s="291"/>
      <c r="IQ134" s="291"/>
      <c r="IR134" s="291"/>
      <c r="IS134" s="291"/>
      <c r="IT134" s="291"/>
      <c r="IU134" s="291"/>
      <c r="IV134" s="291"/>
      <c r="IW134" s="291"/>
      <c r="IX134" s="291"/>
      <c r="IY134" s="291"/>
      <c r="IZ134" s="291"/>
      <c r="JA134" s="291"/>
      <c r="JB134" s="291"/>
      <c r="JC134" s="291"/>
      <c r="JD134" s="291"/>
      <c r="JE134" s="291"/>
      <c r="JF134" s="291"/>
      <c r="JG134" s="291"/>
      <c r="JH134" s="291"/>
      <c r="JI134" s="291"/>
      <c r="JJ134" s="291"/>
      <c r="JK134" s="291"/>
      <c r="JL134" s="291"/>
      <c r="JM134" s="291"/>
      <c r="JN134" s="291"/>
      <c r="JO134" s="291"/>
      <c r="JP134" s="291"/>
      <c r="JQ134" s="291"/>
      <c r="JR134" s="291"/>
      <c r="JS134" s="291"/>
      <c r="JT134" s="291"/>
      <c r="JU134" s="291"/>
      <c r="JV134" s="291"/>
      <c r="JW134" s="291"/>
      <c r="JX134" s="291"/>
      <c r="JY134" s="291"/>
      <c r="JZ134" s="291"/>
      <c r="KA134" s="291"/>
      <c r="KB134" s="291"/>
      <c r="KC134" s="291"/>
      <c r="KD134" s="291"/>
      <c r="KE134" s="291"/>
      <c r="KF134" s="291"/>
      <c r="KG134" s="291"/>
      <c r="KH134" s="291"/>
      <c r="KI134" s="291"/>
      <c r="KJ134" s="291"/>
      <c r="KK134" s="291"/>
      <c r="KL134" s="291"/>
      <c r="KM134" s="291"/>
      <c r="KN134" s="291"/>
      <c r="KO134" s="291"/>
      <c r="KP134" s="291"/>
      <c r="KQ134" s="291"/>
      <c r="KR134" s="291"/>
      <c r="KS134" s="291"/>
      <c r="KT134" s="291"/>
      <c r="KU134" s="291"/>
      <c r="KV134" s="291"/>
      <c r="KW134" s="291"/>
      <c r="KX134" s="291"/>
      <c r="KY134" s="291"/>
      <c r="KZ134" s="291"/>
      <c r="LA134" s="291"/>
      <c r="LB134" s="291"/>
      <c r="LC134" s="291"/>
      <c r="LD134" s="291"/>
      <c r="LE134" s="291"/>
      <c r="LF134" s="291"/>
      <c r="LG134" s="291"/>
      <c r="LH134" s="291"/>
      <c r="LI134" s="291"/>
      <c r="LJ134" s="291"/>
      <c r="LK134" s="291"/>
      <c r="LL134" s="291"/>
      <c r="LM134" s="291"/>
      <c r="LN134" s="291"/>
      <c r="LO134" s="291"/>
      <c r="LP134" s="291"/>
      <c r="LQ134" s="291"/>
      <c r="LR134" s="291"/>
      <c r="LS134" s="291"/>
      <c r="LT134" s="291"/>
      <c r="LU134" s="291"/>
      <c r="LV134" s="291"/>
      <c r="LW134" s="291"/>
      <c r="LX134" s="291"/>
      <c r="LY134" s="291"/>
      <c r="LZ134" s="291"/>
      <c r="MA134" s="291"/>
      <c r="MB134" s="291"/>
      <c r="MC134" s="291"/>
      <c r="MD134" s="291"/>
      <c r="ME134" s="291"/>
      <c r="MF134" s="291"/>
      <c r="MG134" s="291"/>
      <c r="MH134" s="291"/>
      <c r="MI134" s="291"/>
      <c r="MJ134" s="291"/>
      <c r="MK134" s="291"/>
      <c r="ML134" s="291"/>
      <c r="MM134" s="291"/>
      <c r="MN134" s="291"/>
      <c r="MO134" s="291"/>
      <c r="MP134" s="291"/>
      <c r="MQ134" s="291"/>
      <c r="MR134" s="291"/>
      <c r="MS134" s="291"/>
      <c r="MT134" s="291"/>
      <c r="MU134" s="291"/>
      <c r="MV134" s="291"/>
      <c r="MW134" s="291"/>
      <c r="MX134" s="291"/>
      <c r="MY134" s="291"/>
      <c r="MZ134" s="291"/>
      <c r="NA134" s="291"/>
      <c r="NB134" s="291"/>
      <c r="NC134" s="291"/>
      <c r="ND134" s="291"/>
      <c r="NE134" s="291"/>
      <c r="NF134" s="291"/>
      <c r="NG134" s="291"/>
      <c r="NH134" s="291"/>
      <c r="NI134" s="291"/>
      <c r="NJ134" s="291"/>
      <c r="NK134" s="291"/>
      <c r="NL134" s="291"/>
      <c r="NM134" s="291"/>
      <c r="NN134" s="291"/>
      <c r="NO134" s="291"/>
      <c r="NP134" s="291"/>
      <c r="NQ134" s="291"/>
      <c r="NR134" s="291"/>
      <c r="NS134" s="291"/>
      <c r="NT134" s="291"/>
      <c r="NU134" s="291"/>
      <c r="NV134" s="291"/>
      <c r="NW134" s="291"/>
      <c r="NX134" s="291"/>
      <c r="NY134" s="291"/>
      <c r="NZ134" s="291"/>
      <c r="OA134" s="291"/>
      <c r="OB134" s="291"/>
      <c r="OC134" s="291"/>
      <c r="OD134" s="291"/>
      <c r="OE134" s="291"/>
      <c r="OF134" s="291"/>
      <c r="OG134" s="291"/>
      <c r="OH134" s="291"/>
      <c r="OI134" s="291"/>
      <c r="OJ134" s="291"/>
      <c r="OK134" s="291"/>
      <c r="OL134" s="291"/>
      <c r="OM134" s="291"/>
      <c r="ON134" s="291"/>
      <c r="OO134" s="291"/>
      <c r="OP134" s="291"/>
      <c r="OQ134" s="291"/>
      <c r="OR134" s="291"/>
      <c r="OS134" s="291"/>
      <c r="OT134" s="291"/>
      <c r="OU134" s="291"/>
      <c r="OV134" s="291"/>
      <c r="OW134" s="291"/>
    </row>
    <row r="135" spans="1:413" s="257" customFormat="1" hidden="1" x14ac:dyDescent="0.2">
      <c r="A135" s="291"/>
      <c r="B135" s="524">
        <f t="shared" si="7"/>
        <v>119</v>
      </c>
      <c r="C135" s="510" t="s">
        <v>38</v>
      </c>
      <c r="D135" s="511">
        <v>30348575</v>
      </c>
      <c r="E135" s="511"/>
      <c r="F135" s="512" t="s">
        <v>1277</v>
      </c>
      <c r="G135" s="513" t="s">
        <v>45</v>
      </c>
      <c r="H135" s="514" t="s">
        <v>1094</v>
      </c>
      <c r="I135" s="515" t="s">
        <v>1134</v>
      </c>
      <c r="J135" s="346" t="s">
        <v>42</v>
      </c>
      <c r="K135" s="526">
        <v>1030232</v>
      </c>
      <c r="L135" s="527">
        <v>2709</v>
      </c>
      <c r="M135" s="528">
        <v>512812</v>
      </c>
      <c r="N135" s="519">
        <v>0</v>
      </c>
      <c r="O135" s="519">
        <v>3000</v>
      </c>
      <c r="P135" s="519">
        <v>78509</v>
      </c>
      <c r="Q135" s="519">
        <v>68264</v>
      </c>
      <c r="R135" s="519">
        <v>76912</v>
      </c>
      <c r="S135" s="520">
        <v>45201</v>
      </c>
      <c r="T135" s="18"/>
      <c r="U135" s="18"/>
      <c r="V135" s="18"/>
      <c r="W135" s="18"/>
      <c r="X135" s="18"/>
      <c r="Y135" s="18"/>
      <c r="Z135" s="18">
        <f t="shared" si="4"/>
        <v>271886</v>
      </c>
      <c r="AA135" s="309">
        <v>512002</v>
      </c>
      <c r="AB135" s="19">
        <v>9</v>
      </c>
      <c r="AC135" s="521">
        <v>44232</v>
      </c>
      <c r="AD135" s="25">
        <v>44251</v>
      </c>
      <c r="AE135" s="309">
        <v>477360</v>
      </c>
      <c r="AF135" s="314">
        <v>39</v>
      </c>
      <c r="AG135" s="315">
        <v>44334</v>
      </c>
      <c r="AH135" s="315">
        <v>44342</v>
      </c>
      <c r="AI135" s="309"/>
      <c r="AJ135" s="338"/>
      <c r="AK135" s="315"/>
      <c r="AL135" s="316"/>
      <c r="AM135" s="309"/>
      <c r="AN135" s="338"/>
      <c r="AO135" s="21"/>
      <c r="AP135" s="25"/>
      <c r="AQ135" s="309"/>
      <c r="AR135" s="19"/>
      <c r="AS135" s="21"/>
      <c r="AT135" s="25"/>
      <c r="AU135" s="522">
        <f t="shared" si="5"/>
        <v>989362</v>
      </c>
      <c r="AV135" s="311">
        <f t="shared" si="6"/>
        <v>717476</v>
      </c>
      <c r="AW135" s="305"/>
      <c r="AX135" s="291"/>
      <c r="AY135" s="291"/>
      <c r="AZ135" s="291"/>
      <c r="BA135" s="291"/>
      <c r="BB135" s="291"/>
      <c r="BC135" s="291"/>
      <c r="BD135" s="291"/>
      <c r="BE135" s="291"/>
      <c r="BF135" s="291"/>
      <c r="BG135" s="291"/>
      <c r="BH135" s="291"/>
      <c r="BI135" s="291"/>
      <c r="BJ135" s="291"/>
      <c r="BK135" s="291"/>
      <c r="BL135" s="291"/>
      <c r="BM135" s="291"/>
      <c r="BN135" s="291"/>
      <c r="BO135" s="291"/>
      <c r="BP135" s="291"/>
      <c r="BQ135" s="291"/>
      <c r="BR135" s="291"/>
      <c r="BS135" s="291"/>
      <c r="BT135" s="291"/>
      <c r="BU135" s="291"/>
      <c r="BV135" s="291"/>
      <c r="BW135" s="291"/>
      <c r="BX135" s="291"/>
      <c r="BY135" s="291"/>
      <c r="BZ135" s="291"/>
      <c r="CA135" s="291"/>
      <c r="CB135" s="291"/>
      <c r="CC135" s="291"/>
      <c r="CD135" s="291"/>
      <c r="CE135" s="291"/>
      <c r="CF135" s="291"/>
      <c r="CG135" s="291"/>
      <c r="CH135" s="291"/>
      <c r="CI135" s="291"/>
      <c r="CJ135" s="291"/>
      <c r="CK135" s="291"/>
      <c r="CL135" s="291"/>
      <c r="CM135" s="291"/>
      <c r="CN135" s="291"/>
      <c r="CO135" s="291"/>
      <c r="CP135" s="291"/>
      <c r="CQ135" s="291"/>
      <c r="CR135" s="291"/>
      <c r="CS135" s="291"/>
      <c r="CT135" s="291"/>
      <c r="CU135" s="291"/>
      <c r="CV135" s="291"/>
      <c r="CW135" s="291"/>
      <c r="CX135" s="291"/>
      <c r="CY135" s="291"/>
      <c r="CZ135" s="291"/>
      <c r="DA135" s="291"/>
      <c r="DB135" s="291"/>
      <c r="DC135" s="291"/>
      <c r="DD135" s="291"/>
      <c r="DE135" s="291"/>
      <c r="DF135" s="291"/>
      <c r="DG135" s="291"/>
      <c r="DH135" s="291"/>
      <c r="DI135" s="291"/>
      <c r="DJ135" s="291"/>
      <c r="DK135" s="291"/>
      <c r="DL135" s="291"/>
      <c r="DM135" s="291"/>
      <c r="DN135" s="291"/>
      <c r="DO135" s="291"/>
      <c r="DP135" s="291"/>
      <c r="DQ135" s="291"/>
      <c r="DR135" s="291"/>
      <c r="DS135" s="291"/>
      <c r="DT135" s="291"/>
      <c r="DU135" s="291"/>
      <c r="DV135" s="291"/>
      <c r="DW135" s="291"/>
      <c r="DX135" s="291"/>
      <c r="DY135" s="291"/>
      <c r="DZ135" s="291"/>
      <c r="EA135" s="291"/>
      <c r="EB135" s="291"/>
      <c r="EC135" s="291"/>
      <c r="ED135" s="291"/>
      <c r="EE135" s="291"/>
      <c r="EF135" s="291"/>
      <c r="EG135" s="291"/>
      <c r="EH135" s="291"/>
      <c r="EI135" s="291"/>
      <c r="EJ135" s="291"/>
      <c r="EK135" s="291"/>
      <c r="EL135" s="291"/>
      <c r="EM135" s="291"/>
      <c r="EN135" s="291"/>
      <c r="EO135" s="291"/>
      <c r="EP135" s="291"/>
      <c r="EQ135" s="291"/>
      <c r="ER135" s="291"/>
      <c r="ES135" s="291"/>
      <c r="ET135" s="291"/>
      <c r="EU135" s="291"/>
      <c r="EV135" s="291"/>
      <c r="EW135" s="291"/>
      <c r="EX135" s="291"/>
      <c r="EY135" s="291"/>
      <c r="EZ135" s="291"/>
      <c r="FA135" s="291"/>
      <c r="FB135" s="291"/>
      <c r="FC135" s="291"/>
      <c r="FD135" s="291"/>
      <c r="FE135" s="291"/>
      <c r="FF135" s="291"/>
      <c r="FG135" s="291"/>
      <c r="FH135" s="291"/>
      <c r="FI135" s="291"/>
      <c r="FJ135" s="291"/>
      <c r="FK135" s="291"/>
      <c r="FL135" s="291"/>
      <c r="FM135" s="291"/>
      <c r="FN135" s="291"/>
      <c r="FO135" s="291"/>
      <c r="FP135" s="291"/>
      <c r="FQ135" s="291"/>
      <c r="FR135" s="291"/>
      <c r="FS135" s="291"/>
      <c r="FT135" s="291"/>
      <c r="FU135" s="291"/>
      <c r="FV135" s="291"/>
      <c r="FW135" s="291"/>
      <c r="FX135" s="291"/>
      <c r="FY135" s="291"/>
      <c r="FZ135" s="291"/>
      <c r="GA135" s="291"/>
      <c r="GB135" s="291"/>
      <c r="GC135" s="291"/>
      <c r="GD135" s="291"/>
      <c r="GE135" s="291"/>
      <c r="GF135" s="291"/>
      <c r="GG135" s="291"/>
      <c r="GH135" s="291"/>
      <c r="GI135" s="291"/>
      <c r="GJ135" s="291"/>
      <c r="GK135" s="291"/>
      <c r="GL135" s="291"/>
      <c r="GM135" s="291"/>
      <c r="GN135" s="291"/>
      <c r="GO135" s="291"/>
      <c r="GP135" s="291"/>
      <c r="GQ135" s="291"/>
      <c r="GR135" s="291"/>
      <c r="GS135" s="291"/>
      <c r="GT135" s="291"/>
      <c r="GU135" s="291"/>
      <c r="GV135" s="291"/>
      <c r="GW135" s="291"/>
      <c r="GX135" s="291"/>
      <c r="GY135" s="291"/>
      <c r="GZ135" s="291"/>
      <c r="HA135" s="291"/>
      <c r="HB135" s="291"/>
      <c r="HC135" s="291"/>
      <c r="HD135" s="291"/>
      <c r="HE135" s="291"/>
      <c r="HF135" s="291"/>
      <c r="HG135" s="291"/>
      <c r="HH135" s="291"/>
      <c r="HI135" s="291"/>
      <c r="HJ135" s="291"/>
      <c r="HK135" s="291"/>
      <c r="HL135" s="291"/>
      <c r="HM135" s="291"/>
      <c r="HN135" s="291"/>
      <c r="HO135" s="291"/>
      <c r="HP135" s="291"/>
      <c r="HQ135" s="291"/>
      <c r="HR135" s="291"/>
      <c r="HS135" s="291"/>
      <c r="HT135" s="291"/>
      <c r="HU135" s="291"/>
      <c r="HV135" s="291"/>
      <c r="HW135" s="291"/>
      <c r="HX135" s="291"/>
      <c r="HY135" s="291"/>
      <c r="HZ135" s="291"/>
      <c r="IA135" s="291"/>
      <c r="IB135" s="291"/>
      <c r="IC135" s="291"/>
      <c r="ID135" s="291"/>
      <c r="IE135" s="291"/>
      <c r="IF135" s="291"/>
      <c r="IG135" s="291"/>
      <c r="IH135" s="291"/>
      <c r="II135" s="291"/>
      <c r="IJ135" s="291"/>
      <c r="IK135" s="291"/>
      <c r="IL135" s="291"/>
      <c r="IM135" s="291"/>
      <c r="IN135" s="291"/>
      <c r="IO135" s="291"/>
      <c r="IP135" s="291"/>
      <c r="IQ135" s="291"/>
      <c r="IR135" s="291"/>
      <c r="IS135" s="291"/>
      <c r="IT135" s="291"/>
      <c r="IU135" s="291"/>
      <c r="IV135" s="291"/>
      <c r="IW135" s="291"/>
      <c r="IX135" s="291"/>
      <c r="IY135" s="291"/>
      <c r="IZ135" s="291"/>
      <c r="JA135" s="291"/>
      <c r="JB135" s="291"/>
      <c r="JC135" s="291"/>
      <c r="JD135" s="291"/>
      <c r="JE135" s="291"/>
      <c r="JF135" s="291"/>
      <c r="JG135" s="291"/>
      <c r="JH135" s="291"/>
      <c r="JI135" s="291"/>
      <c r="JJ135" s="291"/>
      <c r="JK135" s="291"/>
      <c r="JL135" s="291"/>
      <c r="JM135" s="291"/>
      <c r="JN135" s="291"/>
      <c r="JO135" s="291"/>
      <c r="JP135" s="291"/>
      <c r="JQ135" s="291"/>
      <c r="JR135" s="291"/>
      <c r="JS135" s="291"/>
      <c r="JT135" s="291"/>
      <c r="JU135" s="291"/>
      <c r="JV135" s="291"/>
      <c r="JW135" s="291"/>
      <c r="JX135" s="291"/>
      <c r="JY135" s="291"/>
      <c r="JZ135" s="291"/>
      <c r="KA135" s="291"/>
      <c r="KB135" s="291"/>
      <c r="KC135" s="291"/>
      <c r="KD135" s="291"/>
      <c r="KE135" s="291"/>
      <c r="KF135" s="291"/>
      <c r="KG135" s="291"/>
      <c r="KH135" s="291"/>
      <c r="KI135" s="291"/>
      <c r="KJ135" s="291"/>
      <c r="KK135" s="291"/>
      <c r="KL135" s="291"/>
      <c r="KM135" s="291"/>
      <c r="KN135" s="291"/>
      <c r="KO135" s="291"/>
      <c r="KP135" s="291"/>
      <c r="KQ135" s="291"/>
      <c r="KR135" s="291"/>
      <c r="KS135" s="291"/>
      <c r="KT135" s="291"/>
      <c r="KU135" s="291"/>
      <c r="KV135" s="291"/>
      <c r="KW135" s="291"/>
      <c r="KX135" s="291"/>
      <c r="KY135" s="291"/>
      <c r="KZ135" s="291"/>
      <c r="LA135" s="291"/>
      <c r="LB135" s="291"/>
      <c r="LC135" s="291"/>
      <c r="LD135" s="291"/>
      <c r="LE135" s="291"/>
      <c r="LF135" s="291"/>
      <c r="LG135" s="291"/>
      <c r="LH135" s="291"/>
      <c r="LI135" s="291"/>
      <c r="LJ135" s="291"/>
      <c r="LK135" s="291"/>
      <c r="LL135" s="291"/>
      <c r="LM135" s="291"/>
      <c r="LN135" s="291"/>
      <c r="LO135" s="291"/>
      <c r="LP135" s="291"/>
      <c r="LQ135" s="291"/>
      <c r="LR135" s="291"/>
      <c r="LS135" s="291"/>
      <c r="LT135" s="291"/>
      <c r="LU135" s="291"/>
      <c r="LV135" s="291"/>
      <c r="LW135" s="291"/>
      <c r="LX135" s="291"/>
      <c r="LY135" s="291"/>
      <c r="LZ135" s="291"/>
      <c r="MA135" s="291"/>
      <c r="MB135" s="291"/>
      <c r="MC135" s="291"/>
      <c r="MD135" s="291"/>
      <c r="ME135" s="291"/>
      <c r="MF135" s="291"/>
      <c r="MG135" s="291"/>
      <c r="MH135" s="291"/>
      <c r="MI135" s="291"/>
      <c r="MJ135" s="291"/>
      <c r="MK135" s="291"/>
      <c r="ML135" s="291"/>
      <c r="MM135" s="291"/>
      <c r="MN135" s="291"/>
      <c r="MO135" s="291"/>
      <c r="MP135" s="291"/>
      <c r="MQ135" s="291"/>
      <c r="MR135" s="291"/>
      <c r="MS135" s="291"/>
      <c r="MT135" s="291"/>
      <c r="MU135" s="291"/>
      <c r="MV135" s="291"/>
      <c r="MW135" s="291"/>
      <c r="MX135" s="291"/>
      <c r="MY135" s="291"/>
      <c r="MZ135" s="291"/>
      <c r="NA135" s="291"/>
      <c r="NB135" s="291"/>
      <c r="NC135" s="291"/>
      <c r="ND135" s="291"/>
      <c r="NE135" s="291"/>
      <c r="NF135" s="291"/>
      <c r="NG135" s="291"/>
      <c r="NH135" s="291"/>
      <c r="NI135" s="291"/>
      <c r="NJ135" s="291"/>
      <c r="NK135" s="291"/>
      <c r="NL135" s="291"/>
      <c r="NM135" s="291"/>
      <c r="NN135" s="291"/>
      <c r="NO135" s="291"/>
      <c r="NP135" s="291"/>
      <c r="NQ135" s="291"/>
      <c r="NR135" s="291"/>
      <c r="NS135" s="291"/>
      <c r="NT135" s="291"/>
      <c r="NU135" s="291"/>
      <c r="NV135" s="291"/>
      <c r="NW135" s="291"/>
      <c r="NX135" s="291"/>
      <c r="NY135" s="291"/>
      <c r="NZ135" s="291"/>
      <c r="OA135" s="291"/>
      <c r="OB135" s="291"/>
      <c r="OC135" s="291"/>
      <c r="OD135" s="291"/>
      <c r="OE135" s="291"/>
      <c r="OF135" s="291"/>
      <c r="OG135" s="291"/>
      <c r="OH135" s="291"/>
      <c r="OI135" s="291"/>
      <c r="OJ135" s="291"/>
      <c r="OK135" s="291"/>
      <c r="OL135" s="291"/>
      <c r="OM135" s="291"/>
      <c r="ON135" s="291"/>
      <c r="OO135" s="291"/>
      <c r="OP135" s="291"/>
      <c r="OQ135" s="291"/>
      <c r="OR135" s="291"/>
      <c r="OS135" s="291"/>
      <c r="OT135" s="291"/>
      <c r="OU135" s="291"/>
      <c r="OV135" s="291"/>
      <c r="OW135" s="291"/>
    </row>
    <row r="136" spans="1:413" s="257" customFormat="1" hidden="1" x14ac:dyDescent="0.2">
      <c r="A136" s="291"/>
      <c r="B136" s="524">
        <f t="shared" si="7"/>
        <v>120</v>
      </c>
      <c r="C136" s="510" t="s">
        <v>38</v>
      </c>
      <c r="D136" s="511">
        <v>30351291</v>
      </c>
      <c r="E136" s="511"/>
      <c r="F136" s="512" t="s">
        <v>1278</v>
      </c>
      <c r="G136" s="513" t="s">
        <v>45</v>
      </c>
      <c r="H136" s="514" t="s">
        <v>1094</v>
      </c>
      <c r="I136" s="515" t="s">
        <v>1180</v>
      </c>
      <c r="J136" s="346" t="s">
        <v>42</v>
      </c>
      <c r="K136" s="526">
        <v>290365</v>
      </c>
      <c r="L136" s="527">
        <v>267082</v>
      </c>
      <c r="M136" s="528">
        <v>3022</v>
      </c>
      <c r="N136" s="519">
        <v>0</v>
      </c>
      <c r="O136" s="519">
        <v>0</v>
      </c>
      <c r="P136" s="519">
        <v>0</v>
      </c>
      <c r="Q136" s="519">
        <v>0</v>
      </c>
      <c r="R136" s="519">
        <v>0</v>
      </c>
      <c r="S136" s="520">
        <v>0</v>
      </c>
      <c r="T136" s="18"/>
      <c r="U136" s="18"/>
      <c r="V136" s="18"/>
      <c r="W136" s="18"/>
      <c r="X136" s="18"/>
      <c r="Y136" s="18"/>
      <c r="Z136" s="18">
        <f t="shared" si="4"/>
        <v>0</v>
      </c>
      <c r="AA136" s="309">
        <v>20261</v>
      </c>
      <c r="AB136" s="19">
        <v>11</v>
      </c>
      <c r="AC136" s="521">
        <v>44237</v>
      </c>
      <c r="AD136" s="25">
        <v>44251</v>
      </c>
      <c r="AE136" s="309"/>
      <c r="AF136" s="314"/>
      <c r="AG136" s="315"/>
      <c r="AH136" s="316"/>
      <c r="AI136" s="309"/>
      <c r="AJ136" s="338"/>
      <c r="AK136" s="315"/>
      <c r="AL136" s="316"/>
      <c r="AM136" s="309"/>
      <c r="AN136" s="338"/>
      <c r="AO136" s="21"/>
      <c r="AP136" s="25"/>
      <c r="AQ136" s="309"/>
      <c r="AR136" s="19"/>
      <c r="AS136" s="21"/>
      <c r="AT136" s="25"/>
      <c r="AU136" s="522">
        <f t="shared" si="5"/>
        <v>20261</v>
      </c>
      <c r="AV136" s="311">
        <f t="shared" si="6"/>
        <v>20261</v>
      </c>
      <c r="AW136" s="305"/>
      <c r="AX136" s="291"/>
      <c r="AY136" s="291"/>
      <c r="AZ136" s="291"/>
      <c r="BA136" s="291"/>
      <c r="BB136" s="291"/>
      <c r="BC136" s="291"/>
      <c r="BD136" s="291"/>
      <c r="BE136" s="291"/>
      <c r="BF136" s="291"/>
      <c r="BG136" s="291"/>
      <c r="BH136" s="291"/>
      <c r="BI136" s="291"/>
      <c r="BJ136" s="291"/>
      <c r="BK136" s="291"/>
      <c r="BL136" s="291"/>
      <c r="BM136" s="291"/>
      <c r="BN136" s="291"/>
      <c r="BO136" s="291"/>
      <c r="BP136" s="291"/>
      <c r="BQ136" s="291"/>
      <c r="BR136" s="291"/>
      <c r="BS136" s="291"/>
      <c r="BT136" s="291"/>
      <c r="BU136" s="291"/>
      <c r="BV136" s="291"/>
      <c r="BW136" s="291"/>
      <c r="BX136" s="291"/>
      <c r="BY136" s="291"/>
      <c r="BZ136" s="291"/>
      <c r="CA136" s="291"/>
      <c r="CB136" s="291"/>
      <c r="CC136" s="291"/>
      <c r="CD136" s="291"/>
      <c r="CE136" s="291"/>
      <c r="CF136" s="291"/>
      <c r="CG136" s="291"/>
      <c r="CH136" s="291"/>
      <c r="CI136" s="291"/>
      <c r="CJ136" s="291"/>
      <c r="CK136" s="291"/>
      <c r="CL136" s="291"/>
      <c r="CM136" s="291"/>
      <c r="CN136" s="291"/>
      <c r="CO136" s="291"/>
      <c r="CP136" s="291"/>
      <c r="CQ136" s="291"/>
      <c r="CR136" s="291"/>
      <c r="CS136" s="291"/>
      <c r="CT136" s="291"/>
      <c r="CU136" s="291"/>
      <c r="CV136" s="291"/>
      <c r="CW136" s="291"/>
      <c r="CX136" s="291"/>
      <c r="CY136" s="291"/>
      <c r="CZ136" s="291"/>
      <c r="DA136" s="291"/>
      <c r="DB136" s="291"/>
      <c r="DC136" s="291"/>
      <c r="DD136" s="291"/>
      <c r="DE136" s="291"/>
      <c r="DF136" s="291"/>
      <c r="DG136" s="291"/>
      <c r="DH136" s="291"/>
      <c r="DI136" s="291"/>
      <c r="DJ136" s="291"/>
      <c r="DK136" s="291"/>
      <c r="DL136" s="291"/>
      <c r="DM136" s="291"/>
      <c r="DN136" s="291"/>
      <c r="DO136" s="291"/>
      <c r="DP136" s="291"/>
      <c r="DQ136" s="291"/>
      <c r="DR136" s="291"/>
      <c r="DS136" s="291"/>
      <c r="DT136" s="291"/>
      <c r="DU136" s="291"/>
      <c r="DV136" s="291"/>
      <c r="DW136" s="291"/>
      <c r="DX136" s="291"/>
      <c r="DY136" s="291"/>
      <c r="DZ136" s="291"/>
      <c r="EA136" s="291"/>
      <c r="EB136" s="291"/>
      <c r="EC136" s="291"/>
      <c r="ED136" s="291"/>
      <c r="EE136" s="291"/>
      <c r="EF136" s="291"/>
      <c r="EG136" s="291"/>
      <c r="EH136" s="291"/>
      <c r="EI136" s="291"/>
      <c r="EJ136" s="291"/>
      <c r="EK136" s="291"/>
      <c r="EL136" s="291"/>
      <c r="EM136" s="291"/>
      <c r="EN136" s="291"/>
      <c r="EO136" s="291"/>
      <c r="EP136" s="291"/>
      <c r="EQ136" s="291"/>
      <c r="ER136" s="291"/>
      <c r="ES136" s="291"/>
      <c r="ET136" s="291"/>
      <c r="EU136" s="291"/>
      <c r="EV136" s="291"/>
      <c r="EW136" s="291"/>
      <c r="EX136" s="291"/>
      <c r="EY136" s="291"/>
      <c r="EZ136" s="291"/>
      <c r="FA136" s="291"/>
      <c r="FB136" s="291"/>
      <c r="FC136" s="291"/>
      <c r="FD136" s="291"/>
      <c r="FE136" s="291"/>
      <c r="FF136" s="291"/>
      <c r="FG136" s="291"/>
      <c r="FH136" s="291"/>
      <c r="FI136" s="291"/>
      <c r="FJ136" s="291"/>
      <c r="FK136" s="291"/>
      <c r="FL136" s="291"/>
      <c r="FM136" s="291"/>
      <c r="FN136" s="291"/>
      <c r="FO136" s="291"/>
      <c r="FP136" s="291"/>
      <c r="FQ136" s="291"/>
      <c r="FR136" s="291"/>
      <c r="FS136" s="291"/>
      <c r="FT136" s="291"/>
      <c r="FU136" s="291"/>
      <c r="FV136" s="291"/>
      <c r="FW136" s="291"/>
      <c r="FX136" s="291"/>
      <c r="FY136" s="291"/>
      <c r="FZ136" s="291"/>
      <c r="GA136" s="291"/>
      <c r="GB136" s="291"/>
      <c r="GC136" s="291"/>
      <c r="GD136" s="291"/>
      <c r="GE136" s="291"/>
      <c r="GF136" s="291"/>
      <c r="GG136" s="291"/>
      <c r="GH136" s="291"/>
      <c r="GI136" s="291"/>
      <c r="GJ136" s="291"/>
      <c r="GK136" s="291"/>
      <c r="GL136" s="291"/>
      <c r="GM136" s="291"/>
      <c r="GN136" s="291"/>
      <c r="GO136" s="291"/>
      <c r="GP136" s="291"/>
      <c r="GQ136" s="291"/>
      <c r="GR136" s="291"/>
      <c r="GS136" s="291"/>
      <c r="GT136" s="291"/>
      <c r="GU136" s="291"/>
      <c r="GV136" s="291"/>
      <c r="GW136" s="291"/>
      <c r="GX136" s="291"/>
      <c r="GY136" s="291"/>
      <c r="GZ136" s="291"/>
      <c r="HA136" s="291"/>
      <c r="HB136" s="291"/>
      <c r="HC136" s="291"/>
      <c r="HD136" s="291"/>
      <c r="HE136" s="291"/>
      <c r="HF136" s="291"/>
      <c r="HG136" s="291"/>
      <c r="HH136" s="291"/>
      <c r="HI136" s="291"/>
      <c r="HJ136" s="291"/>
      <c r="HK136" s="291"/>
      <c r="HL136" s="291"/>
      <c r="HM136" s="291"/>
      <c r="HN136" s="291"/>
      <c r="HO136" s="291"/>
      <c r="HP136" s="291"/>
      <c r="HQ136" s="291"/>
      <c r="HR136" s="291"/>
      <c r="HS136" s="291"/>
      <c r="HT136" s="291"/>
      <c r="HU136" s="291"/>
      <c r="HV136" s="291"/>
      <c r="HW136" s="291"/>
      <c r="HX136" s="291"/>
      <c r="HY136" s="291"/>
      <c r="HZ136" s="291"/>
      <c r="IA136" s="291"/>
      <c r="IB136" s="291"/>
      <c r="IC136" s="291"/>
      <c r="ID136" s="291"/>
      <c r="IE136" s="291"/>
      <c r="IF136" s="291"/>
      <c r="IG136" s="291"/>
      <c r="IH136" s="291"/>
      <c r="II136" s="291"/>
      <c r="IJ136" s="291"/>
      <c r="IK136" s="291"/>
      <c r="IL136" s="291"/>
      <c r="IM136" s="291"/>
      <c r="IN136" s="291"/>
      <c r="IO136" s="291"/>
      <c r="IP136" s="291"/>
      <c r="IQ136" s="291"/>
      <c r="IR136" s="291"/>
      <c r="IS136" s="291"/>
      <c r="IT136" s="291"/>
      <c r="IU136" s="291"/>
      <c r="IV136" s="291"/>
      <c r="IW136" s="291"/>
      <c r="IX136" s="291"/>
      <c r="IY136" s="291"/>
      <c r="IZ136" s="291"/>
      <c r="JA136" s="291"/>
      <c r="JB136" s="291"/>
      <c r="JC136" s="291"/>
      <c r="JD136" s="291"/>
      <c r="JE136" s="291"/>
      <c r="JF136" s="291"/>
      <c r="JG136" s="291"/>
      <c r="JH136" s="291"/>
      <c r="JI136" s="291"/>
      <c r="JJ136" s="291"/>
      <c r="JK136" s="291"/>
      <c r="JL136" s="291"/>
      <c r="JM136" s="291"/>
      <c r="JN136" s="291"/>
      <c r="JO136" s="291"/>
      <c r="JP136" s="291"/>
      <c r="JQ136" s="291"/>
      <c r="JR136" s="291"/>
      <c r="JS136" s="291"/>
      <c r="JT136" s="291"/>
      <c r="JU136" s="291"/>
      <c r="JV136" s="291"/>
      <c r="JW136" s="291"/>
      <c r="JX136" s="291"/>
      <c r="JY136" s="291"/>
      <c r="JZ136" s="291"/>
      <c r="KA136" s="291"/>
      <c r="KB136" s="291"/>
      <c r="KC136" s="291"/>
      <c r="KD136" s="291"/>
      <c r="KE136" s="291"/>
      <c r="KF136" s="291"/>
      <c r="KG136" s="291"/>
      <c r="KH136" s="291"/>
      <c r="KI136" s="291"/>
      <c r="KJ136" s="291"/>
      <c r="KK136" s="291"/>
      <c r="KL136" s="291"/>
      <c r="KM136" s="291"/>
      <c r="KN136" s="291"/>
      <c r="KO136" s="291"/>
      <c r="KP136" s="291"/>
      <c r="KQ136" s="291"/>
      <c r="KR136" s="291"/>
      <c r="KS136" s="291"/>
      <c r="KT136" s="291"/>
      <c r="KU136" s="291"/>
      <c r="KV136" s="291"/>
      <c r="KW136" s="291"/>
      <c r="KX136" s="291"/>
      <c r="KY136" s="291"/>
      <c r="KZ136" s="291"/>
      <c r="LA136" s="291"/>
      <c r="LB136" s="291"/>
      <c r="LC136" s="291"/>
      <c r="LD136" s="291"/>
      <c r="LE136" s="291"/>
      <c r="LF136" s="291"/>
      <c r="LG136" s="291"/>
      <c r="LH136" s="291"/>
      <c r="LI136" s="291"/>
      <c r="LJ136" s="291"/>
      <c r="LK136" s="291"/>
      <c r="LL136" s="291"/>
      <c r="LM136" s="291"/>
      <c r="LN136" s="291"/>
      <c r="LO136" s="291"/>
      <c r="LP136" s="291"/>
      <c r="LQ136" s="291"/>
      <c r="LR136" s="291"/>
      <c r="LS136" s="291"/>
      <c r="LT136" s="291"/>
      <c r="LU136" s="291"/>
      <c r="LV136" s="291"/>
      <c r="LW136" s="291"/>
      <c r="LX136" s="291"/>
      <c r="LY136" s="291"/>
      <c r="LZ136" s="291"/>
      <c r="MA136" s="291"/>
      <c r="MB136" s="291"/>
      <c r="MC136" s="291"/>
      <c r="MD136" s="291"/>
      <c r="ME136" s="291"/>
      <c r="MF136" s="291"/>
      <c r="MG136" s="291"/>
      <c r="MH136" s="291"/>
      <c r="MI136" s="291"/>
      <c r="MJ136" s="291"/>
      <c r="MK136" s="291"/>
      <c r="ML136" s="291"/>
      <c r="MM136" s="291"/>
      <c r="MN136" s="291"/>
      <c r="MO136" s="291"/>
      <c r="MP136" s="291"/>
      <c r="MQ136" s="291"/>
      <c r="MR136" s="291"/>
      <c r="MS136" s="291"/>
      <c r="MT136" s="291"/>
      <c r="MU136" s="291"/>
      <c r="MV136" s="291"/>
      <c r="MW136" s="291"/>
      <c r="MX136" s="291"/>
      <c r="MY136" s="291"/>
      <c r="MZ136" s="291"/>
      <c r="NA136" s="291"/>
      <c r="NB136" s="291"/>
      <c r="NC136" s="291"/>
      <c r="ND136" s="291"/>
      <c r="NE136" s="291"/>
      <c r="NF136" s="291"/>
      <c r="NG136" s="291"/>
      <c r="NH136" s="291"/>
      <c r="NI136" s="291"/>
      <c r="NJ136" s="291"/>
      <c r="NK136" s="291"/>
      <c r="NL136" s="291"/>
      <c r="NM136" s="291"/>
      <c r="NN136" s="291"/>
      <c r="NO136" s="291"/>
      <c r="NP136" s="291"/>
      <c r="NQ136" s="291"/>
      <c r="NR136" s="291"/>
      <c r="NS136" s="291"/>
      <c r="NT136" s="291"/>
      <c r="NU136" s="291"/>
      <c r="NV136" s="291"/>
      <c r="NW136" s="291"/>
      <c r="NX136" s="291"/>
      <c r="NY136" s="291"/>
      <c r="NZ136" s="291"/>
      <c r="OA136" s="291"/>
      <c r="OB136" s="291"/>
      <c r="OC136" s="291"/>
      <c r="OD136" s="291"/>
      <c r="OE136" s="291"/>
      <c r="OF136" s="291"/>
      <c r="OG136" s="291"/>
      <c r="OH136" s="291"/>
      <c r="OI136" s="291"/>
      <c r="OJ136" s="291"/>
      <c r="OK136" s="291"/>
      <c r="OL136" s="291"/>
      <c r="OM136" s="291"/>
      <c r="ON136" s="291"/>
      <c r="OO136" s="291"/>
      <c r="OP136" s="291"/>
      <c r="OQ136" s="291"/>
      <c r="OR136" s="291"/>
      <c r="OS136" s="291"/>
      <c r="OT136" s="291"/>
      <c r="OU136" s="291"/>
      <c r="OV136" s="291"/>
      <c r="OW136" s="291"/>
    </row>
    <row r="137" spans="1:413" s="257" customFormat="1" hidden="1" x14ac:dyDescent="0.2">
      <c r="A137" s="291"/>
      <c r="B137" s="524">
        <f t="shared" si="7"/>
        <v>121</v>
      </c>
      <c r="C137" s="510" t="s">
        <v>38</v>
      </c>
      <c r="D137" s="511">
        <v>30352173</v>
      </c>
      <c r="E137" s="511"/>
      <c r="F137" s="512" t="s">
        <v>1279</v>
      </c>
      <c r="G137" s="513" t="s">
        <v>45</v>
      </c>
      <c r="H137" s="514" t="s">
        <v>1094</v>
      </c>
      <c r="I137" s="515" t="s">
        <v>1142</v>
      </c>
      <c r="J137" s="346" t="s">
        <v>42</v>
      </c>
      <c r="K137" s="526">
        <v>5323204</v>
      </c>
      <c r="L137" s="527">
        <v>50896</v>
      </c>
      <c r="M137" s="528">
        <v>4854256</v>
      </c>
      <c r="N137" s="520">
        <v>0</v>
      </c>
      <c r="O137" s="520">
        <v>4972</v>
      </c>
      <c r="P137" s="520">
        <v>0</v>
      </c>
      <c r="Q137" s="520">
        <v>0</v>
      </c>
      <c r="R137" s="520">
        <v>0</v>
      </c>
      <c r="S137" s="520">
        <v>0</v>
      </c>
      <c r="T137" s="18"/>
      <c r="U137" s="18"/>
      <c r="V137" s="18"/>
      <c r="W137" s="18"/>
      <c r="X137" s="18"/>
      <c r="Y137" s="18"/>
      <c r="Z137" s="18">
        <f t="shared" si="4"/>
        <v>4972</v>
      </c>
      <c r="AA137" s="309">
        <v>414972</v>
      </c>
      <c r="AB137" s="19">
        <v>3</v>
      </c>
      <c r="AC137" s="521">
        <v>44222</v>
      </c>
      <c r="AD137" s="25">
        <v>44225</v>
      </c>
      <c r="AE137" s="309"/>
      <c r="AF137" s="314"/>
      <c r="AG137" s="315"/>
      <c r="AH137" s="316"/>
      <c r="AI137" s="309"/>
      <c r="AJ137" s="338"/>
      <c r="AK137" s="315"/>
      <c r="AL137" s="316"/>
      <c r="AM137" s="309"/>
      <c r="AN137" s="338"/>
      <c r="AO137" s="21"/>
      <c r="AP137" s="25"/>
      <c r="AQ137" s="309"/>
      <c r="AR137" s="19"/>
      <c r="AS137" s="21"/>
      <c r="AT137" s="25"/>
      <c r="AU137" s="522">
        <f t="shared" si="5"/>
        <v>414972</v>
      </c>
      <c r="AV137" s="311">
        <f t="shared" si="6"/>
        <v>410000</v>
      </c>
      <c r="AW137" s="305"/>
      <c r="AX137" s="291"/>
      <c r="AY137" s="291"/>
      <c r="AZ137" s="291"/>
      <c r="BA137" s="291"/>
      <c r="BB137" s="291"/>
      <c r="BC137" s="291"/>
      <c r="BD137" s="291"/>
      <c r="BE137" s="291"/>
      <c r="BF137" s="291"/>
      <c r="BG137" s="291"/>
      <c r="BH137" s="291"/>
      <c r="BI137" s="291"/>
      <c r="BJ137" s="291"/>
      <c r="BK137" s="291"/>
      <c r="BL137" s="291"/>
      <c r="BM137" s="291"/>
      <c r="BN137" s="291"/>
      <c r="BO137" s="291"/>
      <c r="BP137" s="291"/>
      <c r="BQ137" s="291"/>
      <c r="BR137" s="291"/>
      <c r="BS137" s="291"/>
      <c r="BT137" s="291"/>
      <c r="BU137" s="291"/>
      <c r="BV137" s="291"/>
      <c r="BW137" s="291"/>
      <c r="BX137" s="291"/>
      <c r="BY137" s="291"/>
      <c r="BZ137" s="291"/>
      <c r="CA137" s="291"/>
      <c r="CB137" s="291"/>
      <c r="CC137" s="291"/>
      <c r="CD137" s="291"/>
      <c r="CE137" s="291"/>
      <c r="CF137" s="291"/>
      <c r="CG137" s="291"/>
      <c r="CH137" s="291"/>
      <c r="CI137" s="291"/>
      <c r="CJ137" s="291"/>
      <c r="CK137" s="291"/>
      <c r="CL137" s="291"/>
      <c r="CM137" s="291"/>
      <c r="CN137" s="291"/>
      <c r="CO137" s="291"/>
      <c r="CP137" s="291"/>
      <c r="CQ137" s="291"/>
      <c r="CR137" s="291"/>
      <c r="CS137" s="291"/>
      <c r="CT137" s="291"/>
      <c r="CU137" s="291"/>
      <c r="CV137" s="291"/>
      <c r="CW137" s="291"/>
      <c r="CX137" s="291"/>
      <c r="CY137" s="291"/>
      <c r="CZ137" s="291"/>
      <c r="DA137" s="291"/>
      <c r="DB137" s="291"/>
      <c r="DC137" s="291"/>
      <c r="DD137" s="291"/>
      <c r="DE137" s="291"/>
      <c r="DF137" s="291"/>
      <c r="DG137" s="291"/>
      <c r="DH137" s="291"/>
      <c r="DI137" s="291"/>
      <c r="DJ137" s="291"/>
      <c r="DK137" s="291"/>
      <c r="DL137" s="291"/>
      <c r="DM137" s="291"/>
      <c r="DN137" s="291"/>
      <c r="DO137" s="291"/>
      <c r="DP137" s="291"/>
      <c r="DQ137" s="291"/>
      <c r="DR137" s="291"/>
      <c r="DS137" s="291"/>
      <c r="DT137" s="291"/>
      <c r="DU137" s="291"/>
      <c r="DV137" s="291"/>
      <c r="DW137" s="291"/>
      <c r="DX137" s="291"/>
      <c r="DY137" s="291"/>
      <c r="DZ137" s="291"/>
      <c r="EA137" s="291"/>
      <c r="EB137" s="291"/>
      <c r="EC137" s="291"/>
      <c r="ED137" s="291"/>
      <c r="EE137" s="291"/>
      <c r="EF137" s="291"/>
      <c r="EG137" s="291"/>
      <c r="EH137" s="291"/>
      <c r="EI137" s="291"/>
      <c r="EJ137" s="291"/>
      <c r="EK137" s="291"/>
      <c r="EL137" s="291"/>
      <c r="EM137" s="291"/>
      <c r="EN137" s="291"/>
      <c r="EO137" s="291"/>
      <c r="EP137" s="291"/>
      <c r="EQ137" s="291"/>
      <c r="ER137" s="291"/>
      <c r="ES137" s="291"/>
      <c r="ET137" s="291"/>
      <c r="EU137" s="291"/>
      <c r="EV137" s="291"/>
      <c r="EW137" s="291"/>
      <c r="EX137" s="291"/>
      <c r="EY137" s="291"/>
      <c r="EZ137" s="291"/>
      <c r="FA137" s="291"/>
      <c r="FB137" s="291"/>
      <c r="FC137" s="291"/>
      <c r="FD137" s="291"/>
      <c r="FE137" s="291"/>
      <c r="FF137" s="291"/>
      <c r="FG137" s="291"/>
      <c r="FH137" s="291"/>
      <c r="FI137" s="291"/>
      <c r="FJ137" s="291"/>
      <c r="FK137" s="291"/>
      <c r="FL137" s="291"/>
      <c r="FM137" s="291"/>
      <c r="FN137" s="291"/>
      <c r="FO137" s="291"/>
      <c r="FP137" s="291"/>
      <c r="FQ137" s="291"/>
      <c r="FR137" s="291"/>
      <c r="FS137" s="291"/>
      <c r="FT137" s="291"/>
      <c r="FU137" s="291"/>
      <c r="FV137" s="291"/>
      <c r="FW137" s="291"/>
      <c r="FX137" s="291"/>
      <c r="FY137" s="291"/>
      <c r="FZ137" s="291"/>
      <c r="GA137" s="291"/>
      <c r="GB137" s="291"/>
      <c r="GC137" s="291"/>
      <c r="GD137" s="291"/>
      <c r="GE137" s="291"/>
      <c r="GF137" s="291"/>
      <c r="GG137" s="291"/>
      <c r="GH137" s="291"/>
      <c r="GI137" s="291"/>
      <c r="GJ137" s="291"/>
      <c r="GK137" s="291"/>
      <c r="GL137" s="291"/>
      <c r="GM137" s="291"/>
      <c r="GN137" s="291"/>
      <c r="GO137" s="291"/>
      <c r="GP137" s="291"/>
      <c r="GQ137" s="291"/>
      <c r="GR137" s="291"/>
      <c r="GS137" s="291"/>
      <c r="GT137" s="291"/>
      <c r="GU137" s="291"/>
      <c r="GV137" s="291"/>
      <c r="GW137" s="291"/>
      <c r="GX137" s="291"/>
      <c r="GY137" s="291"/>
      <c r="GZ137" s="291"/>
      <c r="HA137" s="291"/>
      <c r="HB137" s="291"/>
      <c r="HC137" s="291"/>
      <c r="HD137" s="291"/>
      <c r="HE137" s="291"/>
      <c r="HF137" s="291"/>
      <c r="HG137" s="291"/>
      <c r="HH137" s="291"/>
      <c r="HI137" s="291"/>
      <c r="HJ137" s="291"/>
      <c r="HK137" s="291"/>
      <c r="HL137" s="291"/>
      <c r="HM137" s="291"/>
      <c r="HN137" s="291"/>
      <c r="HO137" s="291"/>
      <c r="HP137" s="291"/>
      <c r="HQ137" s="291"/>
      <c r="HR137" s="291"/>
      <c r="HS137" s="291"/>
      <c r="HT137" s="291"/>
      <c r="HU137" s="291"/>
      <c r="HV137" s="291"/>
      <c r="HW137" s="291"/>
      <c r="HX137" s="291"/>
      <c r="HY137" s="291"/>
      <c r="HZ137" s="291"/>
      <c r="IA137" s="291"/>
      <c r="IB137" s="291"/>
      <c r="IC137" s="291"/>
      <c r="ID137" s="291"/>
      <c r="IE137" s="291"/>
      <c r="IF137" s="291"/>
      <c r="IG137" s="291"/>
      <c r="IH137" s="291"/>
      <c r="II137" s="291"/>
      <c r="IJ137" s="291"/>
      <c r="IK137" s="291"/>
      <c r="IL137" s="291"/>
      <c r="IM137" s="291"/>
      <c r="IN137" s="291"/>
      <c r="IO137" s="291"/>
      <c r="IP137" s="291"/>
      <c r="IQ137" s="291"/>
      <c r="IR137" s="291"/>
      <c r="IS137" s="291"/>
      <c r="IT137" s="291"/>
      <c r="IU137" s="291"/>
      <c r="IV137" s="291"/>
      <c r="IW137" s="291"/>
      <c r="IX137" s="291"/>
      <c r="IY137" s="291"/>
      <c r="IZ137" s="291"/>
      <c r="JA137" s="291"/>
      <c r="JB137" s="291"/>
      <c r="JC137" s="291"/>
      <c r="JD137" s="291"/>
      <c r="JE137" s="291"/>
      <c r="JF137" s="291"/>
      <c r="JG137" s="291"/>
      <c r="JH137" s="291"/>
      <c r="JI137" s="291"/>
      <c r="JJ137" s="291"/>
      <c r="JK137" s="291"/>
      <c r="JL137" s="291"/>
      <c r="JM137" s="291"/>
      <c r="JN137" s="291"/>
      <c r="JO137" s="291"/>
      <c r="JP137" s="291"/>
      <c r="JQ137" s="291"/>
      <c r="JR137" s="291"/>
      <c r="JS137" s="291"/>
      <c r="JT137" s="291"/>
      <c r="JU137" s="291"/>
      <c r="JV137" s="291"/>
      <c r="JW137" s="291"/>
      <c r="JX137" s="291"/>
      <c r="JY137" s="291"/>
      <c r="JZ137" s="291"/>
      <c r="KA137" s="291"/>
      <c r="KB137" s="291"/>
      <c r="KC137" s="291"/>
      <c r="KD137" s="291"/>
      <c r="KE137" s="291"/>
      <c r="KF137" s="291"/>
      <c r="KG137" s="291"/>
      <c r="KH137" s="291"/>
      <c r="KI137" s="291"/>
      <c r="KJ137" s="291"/>
      <c r="KK137" s="291"/>
      <c r="KL137" s="291"/>
      <c r="KM137" s="291"/>
      <c r="KN137" s="291"/>
      <c r="KO137" s="291"/>
      <c r="KP137" s="291"/>
      <c r="KQ137" s="291"/>
      <c r="KR137" s="291"/>
      <c r="KS137" s="291"/>
      <c r="KT137" s="291"/>
      <c r="KU137" s="291"/>
      <c r="KV137" s="291"/>
      <c r="KW137" s="291"/>
      <c r="KX137" s="291"/>
      <c r="KY137" s="291"/>
      <c r="KZ137" s="291"/>
      <c r="LA137" s="291"/>
      <c r="LB137" s="291"/>
      <c r="LC137" s="291"/>
      <c r="LD137" s="291"/>
      <c r="LE137" s="291"/>
      <c r="LF137" s="291"/>
      <c r="LG137" s="291"/>
      <c r="LH137" s="291"/>
      <c r="LI137" s="291"/>
      <c r="LJ137" s="291"/>
      <c r="LK137" s="291"/>
      <c r="LL137" s="291"/>
      <c r="LM137" s="291"/>
      <c r="LN137" s="291"/>
      <c r="LO137" s="291"/>
      <c r="LP137" s="291"/>
      <c r="LQ137" s="291"/>
      <c r="LR137" s="291"/>
      <c r="LS137" s="291"/>
      <c r="LT137" s="291"/>
      <c r="LU137" s="291"/>
      <c r="LV137" s="291"/>
      <c r="LW137" s="291"/>
      <c r="LX137" s="291"/>
      <c r="LY137" s="291"/>
      <c r="LZ137" s="291"/>
      <c r="MA137" s="291"/>
      <c r="MB137" s="291"/>
      <c r="MC137" s="291"/>
      <c r="MD137" s="291"/>
      <c r="ME137" s="291"/>
      <c r="MF137" s="291"/>
      <c r="MG137" s="291"/>
      <c r="MH137" s="291"/>
      <c r="MI137" s="291"/>
      <c r="MJ137" s="291"/>
      <c r="MK137" s="291"/>
      <c r="ML137" s="291"/>
      <c r="MM137" s="291"/>
      <c r="MN137" s="291"/>
      <c r="MO137" s="291"/>
      <c r="MP137" s="291"/>
      <c r="MQ137" s="291"/>
      <c r="MR137" s="291"/>
      <c r="MS137" s="291"/>
      <c r="MT137" s="291"/>
      <c r="MU137" s="291"/>
      <c r="MV137" s="291"/>
      <c r="MW137" s="291"/>
      <c r="MX137" s="291"/>
      <c r="MY137" s="291"/>
      <c r="MZ137" s="291"/>
      <c r="NA137" s="291"/>
      <c r="NB137" s="291"/>
      <c r="NC137" s="291"/>
      <c r="ND137" s="291"/>
      <c r="NE137" s="291"/>
      <c r="NF137" s="291"/>
      <c r="NG137" s="291"/>
      <c r="NH137" s="291"/>
      <c r="NI137" s="291"/>
      <c r="NJ137" s="291"/>
      <c r="NK137" s="291"/>
      <c r="NL137" s="291"/>
      <c r="NM137" s="291"/>
      <c r="NN137" s="291"/>
      <c r="NO137" s="291"/>
      <c r="NP137" s="291"/>
      <c r="NQ137" s="291"/>
      <c r="NR137" s="291"/>
      <c r="NS137" s="291"/>
      <c r="NT137" s="291"/>
      <c r="NU137" s="291"/>
      <c r="NV137" s="291"/>
      <c r="NW137" s="291"/>
      <c r="NX137" s="291"/>
      <c r="NY137" s="291"/>
      <c r="NZ137" s="291"/>
      <c r="OA137" s="291"/>
      <c r="OB137" s="291"/>
      <c r="OC137" s="291"/>
      <c r="OD137" s="291"/>
      <c r="OE137" s="291"/>
      <c r="OF137" s="291"/>
      <c r="OG137" s="291"/>
      <c r="OH137" s="291"/>
      <c r="OI137" s="291"/>
      <c r="OJ137" s="291"/>
      <c r="OK137" s="291"/>
      <c r="OL137" s="291"/>
      <c r="OM137" s="291"/>
      <c r="ON137" s="291"/>
      <c r="OO137" s="291"/>
      <c r="OP137" s="291"/>
      <c r="OQ137" s="291"/>
      <c r="OR137" s="291"/>
      <c r="OS137" s="291"/>
      <c r="OT137" s="291"/>
      <c r="OU137" s="291"/>
      <c r="OV137" s="291"/>
      <c r="OW137" s="291"/>
    </row>
    <row r="138" spans="1:413" s="257" customFormat="1" hidden="1" x14ac:dyDescent="0.2">
      <c r="A138" s="291"/>
      <c r="B138" s="524">
        <f t="shared" si="7"/>
        <v>122</v>
      </c>
      <c r="C138" s="510" t="s">
        <v>38</v>
      </c>
      <c r="D138" s="511">
        <v>30356131</v>
      </c>
      <c r="E138" s="511"/>
      <c r="F138" s="512" t="s">
        <v>1280</v>
      </c>
      <c r="G138" s="513" t="s">
        <v>45</v>
      </c>
      <c r="H138" s="514" t="s">
        <v>1094</v>
      </c>
      <c r="I138" s="515" t="s">
        <v>1107</v>
      </c>
      <c r="J138" s="346" t="s">
        <v>43</v>
      </c>
      <c r="K138" s="526">
        <v>1326249</v>
      </c>
      <c r="L138" s="527"/>
      <c r="M138" s="528">
        <v>29184</v>
      </c>
      <c r="N138" s="519">
        <v>0</v>
      </c>
      <c r="O138" s="519">
        <v>0</v>
      </c>
      <c r="P138" s="519">
        <v>0</v>
      </c>
      <c r="Q138" s="519">
        <v>0</v>
      </c>
      <c r="R138" s="519">
        <v>0</v>
      </c>
      <c r="S138" s="520">
        <v>10527</v>
      </c>
      <c r="T138" s="18"/>
      <c r="U138" s="18"/>
      <c r="V138" s="18"/>
      <c r="W138" s="18"/>
      <c r="X138" s="18"/>
      <c r="Y138" s="18"/>
      <c r="Z138" s="18">
        <f t="shared" si="4"/>
        <v>10527</v>
      </c>
      <c r="AA138" s="309">
        <v>770000</v>
      </c>
      <c r="AB138" s="19">
        <v>5</v>
      </c>
      <c r="AC138" s="521">
        <v>44224</v>
      </c>
      <c r="AD138" s="25">
        <v>44251</v>
      </c>
      <c r="AE138" s="309">
        <v>0</v>
      </c>
      <c r="AF138" s="314">
        <v>22</v>
      </c>
      <c r="AG138" s="315">
        <v>44301</v>
      </c>
      <c r="AH138" s="315">
        <v>44313</v>
      </c>
      <c r="AI138" s="309"/>
      <c r="AJ138" s="338"/>
      <c r="AK138" s="315"/>
      <c r="AL138" s="316"/>
      <c r="AM138" s="309"/>
      <c r="AN138" s="338"/>
      <c r="AO138" s="21"/>
      <c r="AP138" s="25"/>
      <c r="AQ138" s="309"/>
      <c r="AR138" s="19"/>
      <c r="AS138" s="21"/>
      <c r="AT138" s="25"/>
      <c r="AU138" s="522">
        <f t="shared" si="5"/>
        <v>770000</v>
      </c>
      <c r="AV138" s="311">
        <f t="shared" si="6"/>
        <v>759473</v>
      </c>
      <c r="AW138" s="305"/>
      <c r="AX138" s="291"/>
      <c r="AY138" s="291"/>
      <c r="AZ138" s="291"/>
      <c r="BA138" s="291"/>
      <c r="BB138" s="291"/>
      <c r="BC138" s="291"/>
      <c r="BD138" s="291"/>
      <c r="BE138" s="291"/>
      <c r="BF138" s="291"/>
      <c r="BG138" s="291"/>
      <c r="BH138" s="291"/>
      <c r="BI138" s="291"/>
      <c r="BJ138" s="291"/>
      <c r="BK138" s="291"/>
      <c r="BL138" s="291"/>
      <c r="BM138" s="291"/>
      <c r="BN138" s="291"/>
      <c r="BO138" s="291"/>
      <c r="BP138" s="291"/>
      <c r="BQ138" s="291"/>
      <c r="BR138" s="291"/>
      <c r="BS138" s="291"/>
      <c r="BT138" s="291"/>
      <c r="BU138" s="291"/>
      <c r="BV138" s="291"/>
      <c r="BW138" s="291"/>
      <c r="BX138" s="291"/>
      <c r="BY138" s="291"/>
      <c r="BZ138" s="291"/>
      <c r="CA138" s="291"/>
      <c r="CB138" s="291"/>
      <c r="CC138" s="291"/>
      <c r="CD138" s="291"/>
      <c r="CE138" s="291"/>
      <c r="CF138" s="291"/>
      <c r="CG138" s="291"/>
      <c r="CH138" s="291"/>
      <c r="CI138" s="291"/>
      <c r="CJ138" s="291"/>
      <c r="CK138" s="291"/>
      <c r="CL138" s="291"/>
      <c r="CM138" s="291"/>
      <c r="CN138" s="291"/>
      <c r="CO138" s="291"/>
      <c r="CP138" s="291"/>
      <c r="CQ138" s="291"/>
      <c r="CR138" s="291"/>
      <c r="CS138" s="291"/>
      <c r="CT138" s="291"/>
      <c r="CU138" s="291"/>
      <c r="CV138" s="291"/>
      <c r="CW138" s="291"/>
      <c r="CX138" s="291"/>
      <c r="CY138" s="291"/>
      <c r="CZ138" s="291"/>
      <c r="DA138" s="291"/>
      <c r="DB138" s="291"/>
      <c r="DC138" s="291"/>
      <c r="DD138" s="291"/>
      <c r="DE138" s="291"/>
      <c r="DF138" s="291"/>
      <c r="DG138" s="291"/>
      <c r="DH138" s="291"/>
      <c r="DI138" s="291"/>
      <c r="DJ138" s="291"/>
      <c r="DK138" s="291"/>
      <c r="DL138" s="291"/>
      <c r="DM138" s="291"/>
      <c r="DN138" s="291"/>
      <c r="DO138" s="291"/>
      <c r="DP138" s="291"/>
      <c r="DQ138" s="291"/>
      <c r="DR138" s="291"/>
      <c r="DS138" s="291"/>
      <c r="DT138" s="291"/>
      <c r="DU138" s="291"/>
      <c r="DV138" s="291"/>
      <c r="DW138" s="291"/>
      <c r="DX138" s="291"/>
      <c r="DY138" s="291"/>
      <c r="DZ138" s="291"/>
      <c r="EA138" s="291"/>
      <c r="EB138" s="291"/>
      <c r="EC138" s="291"/>
      <c r="ED138" s="291"/>
      <c r="EE138" s="291"/>
      <c r="EF138" s="291"/>
      <c r="EG138" s="291"/>
      <c r="EH138" s="291"/>
      <c r="EI138" s="291"/>
      <c r="EJ138" s="291"/>
      <c r="EK138" s="291"/>
      <c r="EL138" s="291"/>
      <c r="EM138" s="291"/>
      <c r="EN138" s="291"/>
      <c r="EO138" s="291"/>
      <c r="EP138" s="291"/>
      <c r="EQ138" s="291"/>
      <c r="ER138" s="291"/>
      <c r="ES138" s="291"/>
      <c r="ET138" s="291"/>
      <c r="EU138" s="291"/>
      <c r="EV138" s="291"/>
      <c r="EW138" s="291"/>
      <c r="EX138" s="291"/>
      <c r="EY138" s="291"/>
      <c r="EZ138" s="291"/>
      <c r="FA138" s="291"/>
      <c r="FB138" s="291"/>
      <c r="FC138" s="291"/>
      <c r="FD138" s="291"/>
      <c r="FE138" s="291"/>
      <c r="FF138" s="291"/>
      <c r="FG138" s="291"/>
      <c r="FH138" s="291"/>
      <c r="FI138" s="291"/>
      <c r="FJ138" s="291"/>
      <c r="FK138" s="291"/>
      <c r="FL138" s="291"/>
      <c r="FM138" s="291"/>
      <c r="FN138" s="291"/>
      <c r="FO138" s="291"/>
      <c r="FP138" s="291"/>
      <c r="FQ138" s="291"/>
      <c r="FR138" s="291"/>
      <c r="FS138" s="291"/>
      <c r="FT138" s="291"/>
      <c r="FU138" s="291"/>
      <c r="FV138" s="291"/>
      <c r="FW138" s="291"/>
      <c r="FX138" s="291"/>
      <c r="FY138" s="291"/>
      <c r="FZ138" s="291"/>
      <c r="GA138" s="291"/>
      <c r="GB138" s="291"/>
      <c r="GC138" s="291"/>
      <c r="GD138" s="291"/>
      <c r="GE138" s="291"/>
      <c r="GF138" s="291"/>
      <c r="GG138" s="291"/>
      <c r="GH138" s="291"/>
      <c r="GI138" s="291"/>
      <c r="GJ138" s="291"/>
      <c r="GK138" s="291"/>
      <c r="GL138" s="291"/>
      <c r="GM138" s="291"/>
      <c r="GN138" s="291"/>
      <c r="GO138" s="291"/>
      <c r="GP138" s="291"/>
      <c r="GQ138" s="291"/>
      <c r="GR138" s="291"/>
      <c r="GS138" s="291"/>
      <c r="GT138" s="291"/>
      <c r="GU138" s="291"/>
      <c r="GV138" s="291"/>
      <c r="GW138" s="291"/>
      <c r="GX138" s="291"/>
      <c r="GY138" s="291"/>
      <c r="GZ138" s="291"/>
      <c r="HA138" s="291"/>
      <c r="HB138" s="291"/>
      <c r="HC138" s="291"/>
      <c r="HD138" s="291"/>
      <c r="HE138" s="291"/>
      <c r="HF138" s="291"/>
      <c r="HG138" s="291"/>
      <c r="HH138" s="291"/>
      <c r="HI138" s="291"/>
      <c r="HJ138" s="291"/>
      <c r="HK138" s="291"/>
      <c r="HL138" s="291"/>
      <c r="HM138" s="291"/>
      <c r="HN138" s="291"/>
      <c r="HO138" s="291"/>
      <c r="HP138" s="291"/>
      <c r="HQ138" s="291"/>
      <c r="HR138" s="291"/>
      <c r="HS138" s="291"/>
      <c r="HT138" s="291"/>
      <c r="HU138" s="291"/>
      <c r="HV138" s="291"/>
      <c r="HW138" s="291"/>
      <c r="HX138" s="291"/>
      <c r="HY138" s="291"/>
      <c r="HZ138" s="291"/>
      <c r="IA138" s="291"/>
      <c r="IB138" s="291"/>
      <c r="IC138" s="291"/>
      <c r="ID138" s="291"/>
      <c r="IE138" s="291"/>
      <c r="IF138" s="291"/>
      <c r="IG138" s="291"/>
      <c r="IH138" s="291"/>
      <c r="II138" s="291"/>
      <c r="IJ138" s="291"/>
      <c r="IK138" s="291"/>
      <c r="IL138" s="291"/>
      <c r="IM138" s="291"/>
      <c r="IN138" s="291"/>
      <c r="IO138" s="291"/>
      <c r="IP138" s="291"/>
      <c r="IQ138" s="291"/>
      <c r="IR138" s="291"/>
      <c r="IS138" s="291"/>
      <c r="IT138" s="291"/>
      <c r="IU138" s="291"/>
      <c r="IV138" s="291"/>
      <c r="IW138" s="291"/>
      <c r="IX138" s="291"/>
      <c r="IY138" s="291"/>
      <c r="IZ138" s="291"/>
      <c r="JA138" s="291"/>
      <c r="JB138" s="291"/>
      <c r="JC138" s="291"/>
      <c r="JD138" s="291"/>
      <c r="JE138" s="291"/>
      <c r="JF138" s="291"/>
      <c r="JG138" s="291"/>
      <c r="JH138" s="291"/>
      <c r="JI138" s="291"/>
      <c r="JJ138" s="291"/>
      <c r="JK138" s="291"/>
      <c r="JL138" s="291"/>
      <c r="JM138" s="291"/>
      <c r="JN138" s="291"/>
      <c r="JO138" s="291"/>
      <c r="JP138" s="291"/>
      <c r="JQ138" s="291"/>
      <c r="JR138" s="291"/>
      <c r="JS138" s="291"/>
      <c r="JT138" s="291"/>
      <c r="JU138" s="291"/>
      <c r="JV138" s="291"/>
      <c r="JW138" s="291"/>
      <c r="JX138" s="291"/>
      <c r="JY138" s="291"/>
      <c r="JZ138" s="291"/>
      <c r="KA138" s="291"/>
      <c r="KB138" s="291"/>
      <c r="KC138" s="291"/>
      <c r="KD138" s="291"/>
      <c r="KE138" s="291"/>
      <c r="KF138" s="291"/>
      <c r="KG138" s="291"/>
      <c r="KH138" s="291"/>
      <c r="KI138" s="291"/>
      <c r="KJ138" s="291"/>
      <c r="KK138" s="291"/>
      <c r="KL138" s="291"/>
      <c r="KM138" s="291"/>
      <c r="KN138" s="291"/>
      <c r="KO138" s="291"/>
      <c r="KP138" s="291"/>
      <c r="KQ138" s="291"/>
      <c r="KR138" s="291"/>
      <c r="KS138" s="291"/>
      <c r="KT138" s="291"/>
      <c r="KU138" s="291"/>
      <c r="KV138" s="291"/>
      <c r="KW138" s="291"/>
      <c r="KX138" s="291"/>
      <c r="KY138" s="291"/>
      <c r="KZ138" s="291"/>
      <c r="LA138" s="291"/>
      <c r="LB138" s="291"/>
      <c r="LC138" s="291"/>
      <c r="LD138" s="291"/>
      <c r="LE138" s="291"/>
      <c r="LF138" s="291"/>
      <c r="LG138" s="291"/>
      <c r="LH138" s="291"/>
      <c r="LI138" s="291"/>
      <c r="LJ138" s="291"/>
      <c r="LK138" s="291"/>
      <c r="LL138" s="291"/>
      <c r="LM138" s="291"/>
      <c r="LN138" s="291"/>
      <c r="LO138" s="291"/>
      <c r="LP138" s="291"/>
      <c r="LQ138" s="291"/>
      <c r="LR138" s="291"/>
      <c r="LS138" s="291"/>
      <c r="LT138" s="291"/>
      <c r="LU138" s="291"/>
      <c r="LV138" s="291"/>
      <c r="LW138" s="291"/>
      <c r="LX138" s="291"/>
      <c r="LY138" s="291"/>
      <c r="LZ138" s="291"/>
      <c r="MA138" s="291"/>
      <c r="MB138" s="291"/>
      <c r="MC138" s="291"/>
      <c r="MD138" s="291"/>
      <c r="ME138" s="291"/>
      <c r="MF138" s="291"/>
      <c r="MG138" s="291"/>
      <c r="MH138" s="291"/>
      <c r="MI138" s="291"/>
      <c r="MJ138" s="291"/>
      <c r="MK138" s="291"/>
      <c r="ML138" s="291"/>
      <c r="MM138" s="291"/>
      <c r="MN138" s="291"/>
      <c r="MO138" s="291"/>
      <c r="MP138" s="291"/>
      <c r="MQ138" s="291"/>
      <c r="MR138" s="291"/>
      <c r="MS138" s="291"/>
      <c r="MT138" s="291"/>
      <c r="MU138" s="291"/>
      <c r="MV138" s="291"/>
      <c r="MW138" s="291"/>
      <c r="MX138" s="291"/>
      <c r="MY138" s="291"/>
      <c r="MZ138" s="291"/>
      <c r="NA138" s="291"/>
      <c r="NB138" s="291"/>
      <c r="NC138" s="291"/>
      <c r="ND138" s="291"/>
      <c r="NE138" s="291"/>
      <c r="NF138" s="291"/>
      <c r="NG138" s="291"/>
      <c r="NH138" s="291"/>
      <c r="NI138" s="291"/>
      <c r="NJ138" s="291"/>
      <c r="NK138" s="291"/>
      <c r="NL138" s="291"/>
      <c r="NM138" s="291"/>
      <c r="NN138" s="291"/>
      <c r="NO138" s="291"/>
      <c r="NP138" s="291"/>
      <c r="NQ138" s="291"/>
      <c r="NR138" s="291"/>
      <c r="NS138" s="291"/>
      <c r="NT138" s="291"/>
      <c r="NU138" s="291"/>
      <c r="NV138" s="291"/>
      <c r="NW138" s="291"/>
      <c r="NX138" s="291"/>
      <c r="NY138" s="291"/>
      <c r="NZ138" s="291"/>
      <c r="OA138" s="291"/>
      <c r="OB138" s="291"/>
      <c r="OC138" s="291"/>
      <c r="OD138" s="291"/>
      <c r="OE138" s="291"/>
      <c r="OF138" s="291"/>
      <c r="OG138" s="291"/>
      <c r="OH138" s="291"/>
      <c r="OI138" s="291"/>
      <c r="OJ138" s="291"/>
      <c r="OK138" s="291"/>
      <c r="OL138" s="291"/>
      <c r="OM138" s="291"/>
      <c r="ON138" s="291"/>
      <c r="OO138" s="291"/>
      <c r="OP138" s="291"/>
      <c r="OQ138" s="291"/>
      <c r="OR138" s="291"/>
      <c r="OS138" s="291"/>
      <c r="OT138" s="291"/>
      <c r="OU138" s="291"/>
      <c r="OV138" s="291"/>
      <c r="OW138" s="291"/>
    </row>
    <row r="139" spans="1:413" s="257" customFormat="1" hidden="1" x14ac:dyDescent="0.2">
      <c r="A139" s="291"/>
      <c r="B139" s="524">
        <f t="shared" si="7"/>
        <v>123</v>
      </c>
      <c r="C139" s="510" t="s">
        <v>38</v>
      </c>
      <c r="D139" s="511">
        <v>30360375</v>
      </c>
      <c r="E139" s="511"/>
      <c r="F139" s="512" t="s">
        <v>1281</v>
      </c>
      <c r="G139" s="513" t="s">
        <v>45</v>
      </c>
      <c r="H139" s="514" t="s">
        <v>1094</v>
      </c>
      <c r="I139" s="515" t="s">
        <v>1282</v>
      </c>
      <c r="J139" s="346" t="s">
        <v>43</v>
      </c>
      <c r="K139" s="526">
        <v>827323</v>
      </c>
      <c r="L139" s="527">
        <v>0</v>
      </c>
      <c r="M139" s="528">
        <v>410692</v>
      </c>
      <c r="N139" s="520">
        <v>0</v>
      </c>
      <c r="O139" s="520">
        <v>0</v>
      </c>
      <c r="P139" s="520">
        <v>4500</v>
      </c>
      <c r="Q139" s="520">
        <v>0</v>
      </c>
      <c r="R139" s="520">
        <v>0</v>
      </c>
      <c r="S139" s="520">
        <v>0</v>
      </c>
      <c r="T139" s="18"/>
      <c r="U139" s="18"/>
      <c r="V139" s="18"/>
      <c r="W139" s="18"/>
      <c r="X139" s="18"/>
      <c r="Y139" s="18"/>
      <c r="Z139" s="18">
        <f t="shared" si="4"/>
        <v>4500</v>
      </c>
      <c r="AA139" s="309">
        <v>416631</v>
      </c>
      <c r="AB139" s="19">
        <v>3</v>
      </c>
      <c r="AC139" s="521">
        <v>44222</v>
      </c>
      <c r="AD139" s="25">
        <v>44225</v>
      </c>
      <c r="AE139" s="309"/>
      <c r="AF139" s="314"/>
      <c r="AG139" s="315"/>
      <c r="AH139" s="316"/>
      <c r="AI139" s="309"/>
      <c r="AJ139" s="338"/>
      <c r="AK139" s="315"/>
      <c r="AL139" s="316"/>
      <c r="AM139" s="309"/>
      <c r="AN139" s="338"/>
      <c r="AO139" s="21"/>
      <c r="AP139" s="25"/>
      <c r="AQ139" s="309"/>
      <c r="AR139" s="19"/>
      <c r="AS139" s="21"/>
      <c r="AT139" s="25"/>
      <c r="AU139" s="522">
        <f t="shared" si="5"/>
        <v>416631</v>
      </c>
      <c r="AV139" s="311">
        <f t="shared" si="6"/>
        <v>412131</v>
      </c>
      <c r="AW139" s="305"/>
      <c r="AX139" s="291"/>
      <c r="AY139" s="291"/>
      <c r="AZ139" s="291"/>
      <c r="BA139" s="291"/>
      <c r="BB139" s="291"/>
      <c r="BC139" s="291"/>
      <c r="BD139" s="291"/>
      <c r="BE139" s="291"/>
      <c r="BF139" s="291"/>
      <c r="BG139" s="291"/>
      <c r="BH139" s="291"/>
      <c r="BI139" s="291"/>
      <c r="BJ139" s="291"/>
      <c r="BK139" s="291"/>
      <c r="BL139" s="291"/>
      <c r="BM139" s="291"/>
      <c r="BN139" s="291"/>
      <c r="BO139" s="291"/>
      <c r="BP139" s="291"/>
      <c r="BQ139" s="291"/>
      <c r="BR139" s="291"/>
      <c r="BS139" s="291"/>
      <c r="BT139" s="291"/>
      <c r="BU139" s="291"/>
      <c r="BV139" s="291"/>
      <c r="BW139" s="291"/>
      <c r="BX139" s="291"/>
      <c r="BY139" s="291"/>
      <c r="BZ139" s="291"/>
      <c r="CA139" s="291"/>
      <c r="CB139" s="291"/>
      <c r="CC139" s="291"/>
      <c r="CD139" s="291"/>
      <c r="CE139" s="291"/>
      <c r="CF139" s="291"/>
      <c r="CG139" s="291"/>
      <c r="CH139" s="291"/>
      <c r="CI139" s="291"/>
      <c r="CJ139" s="291"/>
      <c r="CK139" s="291"/>
      <c r="CL139" s="291"/>
      <c r="CM139" s="291"/>
      <c r="CN139" s="291"/>
      <c r="CO139" s="291"/>
      <c r="CP139" s="291"/>
      <c r="CQ139" s="291"/>
      <c r="CR139" s="291"/>
      <c r="CS139" s="291"/>
      <c r="CT139" s="291"/>
      <c r="CU139" s="291"/>
      <c r="CV139" s="291"/>
      <c r="CW139" s="291"/>
      <c r="CX139" s="291"/>
      <c r="CY139" s="291"/>
      <c r="CZ139" s="291"/>
      <c r="DA139" s="291"/>
      <c r="DB139" s="291"/>
      <c r="DC139" s="291"/>
      <c r="DD139" s="291"/>
      <c r="DE139" s="291"/>
      <c r="DF139" s="291"/>
      <c r="DG139" s="291"/>
      <c r="DH139" s="291"/>
      <c r="DI139" s="291"/>
      <c r="DJ139" s="291"/>
      <c r="DK139" s="291"/>
      <c r="DL139" s="291"/>
      <c r="DM139" s="291"/>
      <c r="DN139" s="291"/>
      <c r="DO139" s="291"/>
      <c r="DP139" s="291"/>
      <c r="DQ139" s="291"/>
      <c r="DR139" s="291"/>
      <c r="DS139" s="291"/>
      <c r="DT139" s="291"/>
      <c r="DU139" s="291"/>
      <c r="DV139" s="291"/>
      <c r="DW139" s="291"/>
      <c r="DX139" s="291"/>
      <c r="DY139" s="291"/>
      <c r="DZ139" s="291"/>
      <c r="EA139" s="291"/>
      <c r="EB139" s="291"/>
      <c r="EC139" s="291"/>
      <c r="ED139" s="291"/>
      <c r="EE139" s="291"/>
      <c r="EF139" s="291"/>
      <c r="EG139" s="291"/>
      <c r="EH139" s="291"/>
      <c r="EI139" s="291"/>
      <c r="EJ139" s="291"/>
      <c r="EK139" s="291"/>
      <c r="EL139" s="291"/>
      <c r="EM139" s="291"/>
      <c r="EN139" s="291"/>
      <c r="EO139" s="291"/>
      <c r="EP139" s="291"/>
      <c r="EQ139" s="291"/>
      <c r="ER139" s="291"/>
      <c r="ES139" s="291"/>
      <c r="ET139" s="291"/>
      <c r="EU139" s="291"/>
      <c r="EV139" s="291"/>
      <c r="EW139" s="291"/>
      <c r="EX139" s="291"/>
      <c r="EY139" s="291"/>
      <c r="EZ139" s="291"/>
      <c r="FA139" s="291"/>
      <c r="FB139" s="291"/>
      <c r="FC139" s="291"/>
      <c r="FD139" s="291"/>
      <c r="FE139" s="291"/>
      <c r="FF139" s="291"/>
      <c r="FG139" s="291"/>
      <c r="FH139" s="291"/>
      <c r="FI139" s="291"/>
      <c r="FJ139" s="291"/>
      <c r="FK139" s="291"/>
      <c r="FL139" s="291"/>
      <c r="FM139" s="291"/>
      <c r="FN139" s="291"/>
      <c r="FO139" s="291"/>
      <c r="FP139" s="291"/>
      <c r="FQ139" s="291"/>
      <c r="FR139" s="291"/>
      <c r="FS139" s="291"/>
      <c r="FT139" s="291"/>
      <c r="FU139" s="291"/>
      <c r="FV139" s="291"/>
      <c r="FW139" s="291"/>
      <c r="FX139" s="291"/>
      <c r="FY139" s="291"/>
      <c r="FZ139" s="291"/>
      <c r="GA139" s="291"/>
      <c r="GB139" s="291"/>
      <c r="GC139" s="291"/>
      <c r="GD139" s="291"/>
      <c r="GE139" s="291"/>
      <c r="GF139" s="291"/>
      <c r="GG139" s="291"/>
      <c r="GH139" s="291"/>
      <c r="GI139" s="291"/>
      <c r="GJ139" s="291"/>
      <c r="GK139" s="291"/>
      <c r="GL139" s="291"/>
      <c r="GM139" s="291"/>
      <c r="GN139" s="291"/>
      <c r="GO139" s="291"/>
      <c r="GP139" s="291"/>
      <c r="GQ139" s="291"/>
      <c r="GR139" s="291"/>
      <c r="GS139" s="291"/>
      <c r="GT139" s="291"/>
      <c r="GU139" s="291"/>
      <c r="GV139" s="291"/>
      <c r="GW139" s="291"/>
      <c r="GX139" s="291"/>
      <c r="GY139" s="291"/>
      <c r="GZ139" s="291"/>
      <c r="HA139" s="291"/>
      <c r="HB139" s="291"/>
      <c r="HC139" s="291"/>
      <c r="HD139" s="291"/>
      <c r="HE139" s="291"/>
      <c r="HF139" s="291"/>
      <c r="HG139" s="291"/>
      <c r="HH139" s="291"/>
      <c r="HI139" s="291"/>
      <c r="HJ139" s="291"/>
      <c r="HK139" s="291"/>
      <c r="HL139" s="291"/>
      <c r="HM139" s="291"/>
      <c r="HN139" s="291"/>
      <c r="HO139" s="291"/>
      <c r="HP139" s="291"/>
      <c r="HQ139" s="291"/>
      <c r="HR139" s="291"/>
      <c r="HS139" s="291"/>
      <c r="HT139" s="291"/>
      <c r="HU139" s="291"/>
      <c r="HV139" s="291"/>
      <c r="HW139" s="291"/>
      <c r="HX139" s="291"/>
      <c r="HY139" s="291"/>
      <c r="HZ139" s="291"/>
      <c r="IA139" s="291"/>
      <c r="IB139" s="291"/>
      <c r="IC139" s="291"/>
      <c r="ID139" s="291"/>
      <c r="IE139" s="291"/>
      <c r="IF139" s="291"/>
      <c r="IG139" s="291"/>
      <c r="IH139" s="291"/>
      <c r="II139" s="291"/>
      <c r="IJ139" s="291"/>
      <c r="IK139" s="291"/>
      <c r="IL139" s="291"/>
      <c r="IM139" s="291"/>
      <c r="IN139" s="291"/>
      <c r="IO139" s="291"/>
      <c r="IP139" s="291"/>
      <c r="IQ139" s="291"/>
      <c r="IR139" s="291"/>
      <c r="IS139" s="291"/>
      <c r="IT139" s="291"/>
      <c r="IU139" s="291"/>
      <c r="IV139" s="291"/>
      <c r="IW139" s="291"/>
      <c r="IX139" s="291"/>
      <c r="IY139" s="291"/>
      <c r="IZ139" s="291"/>
      <c r="JA139" s="291"/>
      <c r="JB139" s="291"/>
      <c r="JC139" s="291"/>
      <c r="JD139" s="291"/>
      <c r="JE139" s="291"/>
      <c r="JF139" s="291"/>
      <c r="JG139" s="291"/>
      <c r="JH139" s="291"/>
      <c r="JI139" s="291"/>
      <c r="JJ139" s="291"/>
      <c r="JK139" s="291"/>
      <c r="JL139" s="291"/>
      <c r="JM139" s="291"/>
      <c r="JN139" s="291"/>
      <c r="JO139" s="291"/>
      <c r="JP139" s="291"/>
      <c r="JQ139" s="291"/>
      <c r="JR139" s="291"/>
      <c r="JS139" s="291"/>
      <c r="JT139" s="291"/>
      <c r="JU139" s="291"/>
      <c r="JV139" s="291"/>
      <c r="JW139" s="291"/>
      <c r="JX139" s="291"/>
      <c r="JY139" s="291"/>
      <c r="JZ139" s="291"/>
      <c r="KA139" s="291"/>
      <c r="KB139" s="291"/>
      <c r="KC139" s="291"/>
      <c r="KD139" s="291"/>
      <c r="KE139" s="291"/>
      <c r="KF139" s="291"/>
      <c r="KG139" s="291"/>
      <c r="KH139" s="291"/>
      <c r="KI139" s="291"/>
      <c r="KJ139" s="291"/>
      <c r="KK139" s="291"/>
      <c r="KL139" s="291"/>
      <c r="KM139" s="291"/>
      <c r="KN139" s="291"/>
      <c r="KO139" s="291"/>
      <c r="KP139" s="291"/>
      <c r="KQ139" s="291"/>
      <c r="KR139" s="291"/>
      <c r="KS139" s="291"/>
      <c r="KT139" s="291"/>
      <c r="KU139" s="291"/>
      <c r="KV139" s="291"/>
      <c r="KW139" s="291"/>
      <c r="KX139" s="291"/>
      <c r="KY139" s="291"/>
      <c r="KZ139" s="291"/>
      <c r="LA139" s="291"/>
      <c r="LB139" s="291"/>
      <c r="LC139" s="291"/>
      <c r="LD139" s="291"/>
      <c r="LE139" s="291"/>
      <c r="LF139" s="291"/>
      <c r="LG139" s="291"/>
      <c r="LH139" s="291"/>
      <c r="LI139" s="291"/>
      <c r="LJ139" s="291"/>
      <c r="LK139" s="291"/>
      <c r="LL139" s="291"/>
      <c r="LM139" s="291"/>
      <c r="LN139" s="291"/>
      <c r="LO139" s="291"/>
      <c r="LP139" s="291"/>
      <c r="LQ139" s="291"/>
      <c r="LR139" s="291"/>
      <c r="LS139" s="291"/>
      <c r="LT139" s="291"/>
      <c r="LU139" s="291"/>
      <c r="LV139" s="291"/>
      <c r="LW139" s="291"/>
      <c r="LX139" s="291"/>
      <c r="LY139" s="291"/>
      <c r="LZ139" s="291"/>
      <c r="MA139" s="291"/>
      <c r="MB139" s="291"/>
      <c r="MC139" s="291"/>
      <c r="MD139" s="291"/>
      <c r="ME139" s="291"/>
      <c r="MF139" s="291"/>
      <c r="MG139" s="291"/>
      <c r="MH139" s="291"/>
      <c r="MI139" s="291"/>
      <c r="MJ139" s="291"/>
      <c r="MK139" s="291"/>
      <c r="ML139" s="291"/>
      <c r="MM139" s="291"/>
      <c r="MN139" s="291"/>
      <c r="MO139" s="291"/>
      <c r="MP139" s="291"/>
      <c r="MQ139" s="291"/>
      <c r="MR139" s="291"/>
      <c r="MS139" s="291"/>
      <c r="MT139" s="291"/>
      <c r="MU139" s="291"/>
      <c r="MV139" s="291"/>
      <c r="MW139" s="291"/>
      <c r="MX139" s="291"/>
      <c r="MY139" s="291"/>
      <c r="MZ139" s="291"/>
      <c r="NA139" s="291"/>
      <c r="NB139" s="291"/>
      <c r="NC139" s="291"/>
      <c r="ND139" s="291"/>
      <c r="NE139" s="291"/>
      <c r="NF139" s="291"/>
      <c r="NG139" s="291"/>
      <c r="NH139" s="291"/>
      <c r="NI139" s="291"/>
      <c r="NJ139" s="291"/>
      <c r="NK139" s="291"/>
      <c r="NL139" s="291"/>
      <c r="NM139" s="291"/>
      <c r="NN139" s="291"/>
      <c r="NO139" s="291"/>
      <c r="NP139" s="291"/>
      <c r="NQ139" s="291"/>
      <c r="NR139" s="291"/>
      <c r="NS139" s="291"/>
      <c r="NT139" s="291"/>
      <c r="NU139" s="291"/>
      <c r="NV139" s="291"/>
      <c r="NW139" s="291"/>
      <c r="NX139" s="291"/>
      <c r="NY139" s="291"/>
      <c r="NZ139" s="291"/>
      <c r="OA139" s="291"/>
      <c r="OB139" s="291"/>
      <c r="OC139" s="291"/>
      <c r="OD139" s="291"/>
      <c r="OE139" s="291"/>
      <c r="OF139" s="291"/>
      <c r="OG139" s="291"/>
      <c r="OH139" s="291"/>
      <c r="OI139" s="291"/>
      <c r="OJ139" s="291"/>
      <c r="OK139" s="291"/>
      <c r="OL139" s="291"/>
      <c r="OM139" s="291"/>
      <c r="ON139" s="291"/>
      <c r="OO139" s="291"/>
      <c r="OP139" s="291"/>
      <c r="OQ139" s="291"/>
      <c r="OR139" s="291"/>
      <c r="OS139" s="291"/>
      <c r="OT139" s="291"/>
      <c r="OU139" s="291"/>
      <c r="OV139" s="291"/>
      <c r="OW139" s="291"/>
    </row>
    <row r="140" spans="1:413" s="257" customFormat="1" hidden="1" x14ac:dyDescent="0.2">
      <c r="A140" s="291"/>
      <c r="B140" s="524">
        <f t="shared" si="7"/>
        <v>124</v>
      </c>
      <c r="C140" s="510" t="s">
        <v>38</v>
      </c>
      <c r="D140" s="511">
        <v>30360378</v>
      </c>
      <c r="E140" s="511"/>
      <c r="F140" s="512" t="s">
        <v>1283</v>
      </c>
      <c r="G140" s="513" t="s">
        <v>45</v>
      </c>
      <c r="H140" s="514" t="s">
        <v>1094</v>
      </c>
      <c r="I140" s="515" t="s">
        <v>1282</v>
      </c>
      <c r="J140" s="346" t="s">
        <v>43</v>
      </c>
      <c r="K140" s="526">
        <v>804751</v>
      </c>
      <c r="L140" s="527">
        <v>0</v>
      </c>
      <c r="M140" s="528">
        <v>390568</v>
      </c>
      <c r="N140" s="519">
        <v>0</v>
      </c>
      <c r="O140" s="519">
        <v>0</v>
      </c>
      <c r="P140" s="519">
        <v>6831</v>
      </c>
      <c r="Q140" s="519">
        <v>0</v>
      </c>
      <c r="R140" s="519">
        <v>3000</v>
      </c>
      <c r="S140" s="520">
        <v>0</v>
      </c>
      <c r="T140" s="18"/>
      <c r="U140" s="18"/>
      <c r="V140" s="18"/>
      <c r="W140" s="18"/>
      <c r="X140" s="18"/>
      <c r="Y140" s="18"/>
      <c r="Z140" s="18">
        <f t="shared" si="4"/>
        <v>9831</v>
      </c>
      <c r="AA140" s="309">
        <v>414183</v>
      </c>
      <c r="AB140" s="19">
        <v>3</v>
      </c>
      <c r="AC140" s="521">
        <v>44222</v>
      </c>
      <c r="AD140" s="25">
        <v>44225</v>
      </c>
      <c r="AE140" s="309">
        <v>268124</v>
      </c>
      <c r="AF140" s="314">
        <v>39</v>
      </c>
      <c r="AG140" s="315">
        <v>44334</v>
      </c>
      <c r="AH140" s="315">
        <v>44342</v>
      </c>
      <c r="AI140" s="309"/>
      <c r="AJ140" s="338"/>
      <c r="AK140" s="315"/>
      <c r="AL140" s="316"/>
      <c r="AM140" s="309"/>
      <c r="AN140" s="338"/>
      <c r="AO140" s="21"/>
      <c r="AP140" s="25"/>
      <c r="AQ140" s="309"/>
      <c r="AR140" s="19"/>
      <c r="AS140" s="21"/>
      <c r="AT140" s="25"/>
      <c r="AU140" s="522">
        <f t="shared" si="5"/>
        <v>682307</v>
      </c>
      <c r="AV140" s="311">
        <f t="shared" si="6"/>
        <v>672476</v>
      </c>
      <c r="AW140" s="305"/>
      <c r="AX140" s="291"/>
      <c r="AY140" s="291"/>
      <c r="AZ140" s="291"/>
      <c r="BA140" s="291"/>
      <c r="BB140" s="291"/>
      <c r="BC140" s="291"/>
      <c r="BD140" s="291"/>
      <c r="BE140" s="291"/>
      <c r="BF140" s="291"/>
      <c r="BG140" s="291"/>
      <c r="BH140" s="291"/>
      <c r="BI140" s="291"/>
      <c r="BJ140" s="291"/>
      <c r="BK140" s="291"/>
      <c r="BL140" s="291"/>
      <c r="BM140" s="291"/>
      <c r="BN140" s="291"/>
      <c r="BO140" s="291"/>
      <c r="BP140" s="291"/>
      <c r="BQ140" s="291"/>
      <c r="BR140" s="291"/>
      <c r="BS140" s="291"/>
      <c r="BT140" s="291"/>
      <c r="BU140" s="291"/>
      <c r="BV140" s="291"/>
      <c r="BW140" s="291"/>
      <c r="BX140" s="291"/>
      <c r="BY140" s="291"/>
      <c r="BZ140" s="291"/>
      <c r="CA140" s="291"/>
      <c r="CB140" s="291"/>
      <c r="CC140" s="291"/>
      <c r="CD140" s="291"/>
      <c r="CE140" s="291"/>
      <c r="CF140" s="291"/>
      <c r="CG140" s="291"/>
      <c r="CH140" s="291"/>
      <c r="CI140" s="291"/>
      <c r="CJ140" s="291"/>
      <c r="CK140" s="291"/>
      <c r="CL140" s="291"/>
      <c r="CM140" s="291"/>
      <c r="CN140" s="291"/>
      <c r="CO140" s="291"/>
      <c r="CP140" s="291"/>
      <c r="CQ140" s="291"/>
      <c r="CR140" s="291"/>
      <c r="CS140" s="291"/>
      <c r="CT140" s="291"/>
      <c r="CU140" s="291"/>
      <c r="CV140" s="291"/>
      <c r="CW140" s="291"/>
      <c r="CX140" s="291"/>
      <c r="CY140" s="291"/>
      <c r="CZ140" s="291"/>
      <c r="DA140" s="291"/>
      <c r="DB140" s="291"/>
      <c r="DC140" s="291"/>
      <c r="DD140" s="291"/>
      <c r="DE140" s="291"/>
      <c r="DF140" s="291"/>
      <c r="DG140" s="291"/>
      <c r="DH140" s="291"/>
      <c r="DI140" s="291"/>
      <c r="DJ140" s="291"/>
      <c r="DK140" s="291"/>
      <c r="DL140" s="291"/>
      <c r="DM140" s="291"/>
      <c r="DN140" s="291"/>
      <c r="DO140" s="291"/>
      <c r="DP140" s="291"/>
      <c r="DQ140" s="291"/>
      <c r="DR140" s="291"/>
      <c r="DS140" s="291"/>
      <c r="DT140" s="291"/>
      <c r="DU140" s="291"/>
      <c r="DV140" s="291"/>
      <c r="DW140" s="291"/>
      <c r="DX140" s="291"/>
      <c r="DY140" s="291"/>
      <c r="DZ140" s="291"/>
      <c r="EA140" s="291"/>
      <c r="EB140" s="291"/>
      <c r="EC140" s="291"/>
      <c r="ED140" s="291"/>
      <c r="EE140" s="291"/>
      <c r="EF140" s="291"/>
      <c r="EG140" s="291"/>
      <c r="EH140" s="291"/>
      <c r="EI140" s="291"/>
      <c r="EJ140" s="291"/>
      <c r="EK140" s="291"/>
      <c r="EL140" s="291"/>
      <c r="EM140" s="291"/>
      <c r="EN140" s="291"/>
      <c r="EO140" s="291"/>
      <c r="EP140" s="291"/>
      <c r="EQ140" s="291"/>
      <c r="ER140" s="291"/>
      <c r="ES140" s="291"/>
      <c r="ET140" s="291"/>
      <c r="EU140" s="291"/>
      <c r="EV140" s="291"/>
      <c r="EW140" s="291"/>
      <c r="EX140" s="291"/>
      <c r="EY140" s="291"/>
      <c r="EZ140" s="291"/>
      <c r="FA140" s="291"/>
      <c r="FB140" s="291"/>
      <c r="FC140" s="291"/>
      <c r="FD140" s="291"/>
      <c r="FE140" s="291"/>
      <c r="FF140" s="291"/>
      <c r="FG140" s="291"/>
      <c r="FH140" s="291"/>
      <c r="FI140" s="291"/>
      <c r="FJ140" s="291"/>
      <c r="FK140" s="291"/>
      <c r="FL140" s="291"/>
      <c r="FM140" s="291"/>
      <c r="FN140" s="291"/>
      <c r="FO140" s="291"/>
      <c r="FP140" s="291"/>
      <c r="FQ140" s="291"/>
      <c r="FR140" s="291"/>
      <c r="FS140" s="291"/>
      <c r="FT140" s="291"/>
      <c r="FU140" s="291"/>
      <c r="FV140" s="291"/>
      <c r="FW140" s="291"/>
      <c r="FX140" s="291"/>
      <c r="FY140" s="291"/>
      <c r="FZ140" s="291"/>
      <c r="GA140" s="291"/>
      <c r="GB140" s="291"/>
      <c r="GC140" s="291"/>
      <c r="GD140" s="291"/>
      <c r="GE140" s="291"/>
      <c r="GF140" s="291"/>
      <c r="GG140" s="291"/>
      <c r="GH140" s="291"/>
      <c r="GI140" s="291"/>
      <c r="GJ140" s="291"/>
      <c r="GK140" s="291"/>
      <c r="GL140" s="291"/>
      <c r="GM140" s="291"/>
      <c r="GN140" s="291"/>
      <c r="GO140" s="291"/>
      <c r="GP140" s="291"/>
      <c r="GQ140" s="291"/>
      <c r="GR140" s="291"/>
      <c r="GS140" s="291"/>
      <c r="GT140" s="291"/>
      <c r="GU140" s="291"/>
      <c r="GV140" s="291"/>
      <c r="GW140" s="291"/>
      <c r="GX140" s="291"/>
      <c r="GY140" s="291"/>
      <c r="GZ140" s="291"/>
      <c r="HA140" s="291"/>
      <c r="HB140" s="291"/>
      <c r="HC140" s="291"/>
      <c r="HD140" s="291"/>
      <c r="HE140" s="291"/>
      <c r="HF140" s="291"/>
      <c r="HG140" s="291"/>
      <c r="HH140" s="291"/>
      <c r="HI140" s="291"/>
      <c r="HJ140" s="291"/>
      <c r="HK140" s="291"/>
      <c r="HL140" s="291"/>
      <c r="HM140" s="291"/>
      <c r="HN140" s="291"/>
      <c r="HO140" s="291"/>
      <c r="HP140" s="291"/>
      <c r="HQ140" s="291"/>
      <c r="HR140" s="291"/>
      <c r="HS140" s="291"/>
      <c r="HT140" s="291"/>
      <c r="HU140" s="291"/>
      <c r="HV140" s="291"/>
      <c r="HW140" s="291"/>
      <c r="HX140" s="291"/>
      <c r="HY140" s="291"/>
      <c r="HZ140" s="291"/>
      <c r="IA140" s="291"/>
      <c r="IB140" s="291"/>
      <c r="IC140" s="291"/>
      <c r="ID140" s="291"/>
      <c r="IE140" s="291"/>
      <c r="IF140" s="291"/>
      <c r="IG140" s="291"/>
      <c r="IH140" s="291"/>
      <c r="II140" s="291"/>
      <c r="IJ140" s="291"/>
      <c r="IK140" s="291"/>
      <c r="IL140" s="291"/>
      <c r="IM140" s="291"/>
      <c r="IN140" s="291"/>
      <c r="IO140" s="291"/>
      <c r="IP140" s="291"/>
      <c r="IQ140" s="291"/>
      <c r="IR140" s="291"/>
      <c r="IS140" s="291"/>
      <c r="IT140" s="291"/>
      <c r="IU140" s="291"/>
      <c r="IV140" s="291"/>
      <c r="IW140" s="291"/>
      <c r="IX140" s="291"/>
      <c r="IY140" s="291"/>
      <c r="IZ140" s="291"/>
      <c r="JA140" s="291"/>
      <c r="JB140" s="291"/>
      <c r="JC140" s="291"/>
      <c r="JD140" s="291"/>
      <c r="JE140" s="291"/>
      <c r="JF140" s="291"/>
      <c r="JG140" s="291"/>
      <c r="JH140" s="291"/>
      <c r="JI140" s="291"/>
      <c r="JJ140" s="291"/>
      <c r="JK140" s="291"/>
      <c r="JL140" s="291"/>
      <c r="JM140" s="291"/>
      <c r="JN140" s="291"/>
      <c r="JO140" s="291"/>
      <c r="JP140" s="291"/>
      <c r="JQ140" s="291"/>
      <c r="JR140" s="291"/>
      <c r="JS140" s="291"/>
      <c r="JT140" s="291"/>
      <c r="JU140" s="291"/>
      <c r="JV140" s="291"/>
      <c r="JW140" s="291"/>
      <c r="JX140" s="291"/>
      <c r="JY140" s="291"/>
      <c r="JZ140" s="291"/>
      <c r="KA140" s="291"/>
      <c r="KB140" s="291"/>
      <c r="KC140" s="291"/>
      <c r="KD140" s="291"/>
      <c r="KE140" s="291"/>
      <c r="KF140" s="291"/>
      <c r="KG140" s="291"/>
      <c r="KH140" s="291"/>
      <c r="KI140" s="291"/>
      <c r="KJ140" s="291"/>
      <c r="KK140" s="291"/>
      <c r="KL140" s="291"/>
      <c r="KM140" s="291"/>
      <c r="KN140" s="291"/>
      <c r="KO140" s="291"/>
      <c r="KP140" s="291"/>
      <c r="KQ140" s="291"/>
      <c r="KR140" s="291"/>
      <c r="KS140" s="291"/>
      <c r="KT140" s="291"/>
      <c r="KU140" s="291"/>
      <c r="KV140" s="291"/>
      <c r="KW140" s="291"/>
      <c r="KX140" s="291"/>
      <c r="KY140" s="291"/>
      <c r="KZ140" s="291"/>
      <c r="LA140" s="291"/>
      <c r="LB140" s="291"/>
      <c r="LC140" s="291"/>
      <c r="LD140" s="291"/>
      <c r="LE140" s="291"/>
      <c r="LF140" s="291"/>
      <c r="LG140" s="291"/>
      <c r="LH140" s="291"/>
      <c r="LI140" s="291"/>
      <c r="LJ140" s="291"/>
      <c r="LK140" s="291"/>
      <c r="LL140" s="291"/>
      <c r="LM140" s="291"/>
      <c r="LN140" s="291"/>
      <c r="LO140" s="291"/>
      <c r="LP140" s="291"/>
      <c r="LQ140" s="291"/>
      <c r="LR140" s="291"/>
      <c r="LS140" s="291"/>
      <c r="LT140" s="291"/>
      <c r="LU140" s="291"/>
      <c r="LV140" s="291"/>
      <c r="LW140" s="291"/>
      <c r="LX140" s="291"/>
      <c r="LY140" s="291"/>
      <c r="LZ140" s="291"/>
      <c r="MA140" s="291"/>
      <c r="MB140" s="291"/>
      <c r="MC140" s="291"/>
      <c r="MD140" s="291"/>
      <c r="ME140" s="291"/>
      <c r="MF140" s="291"/>
      <c r="MG140" s="291"/>
      <c r="MH140" s="291"/>
      <c r="MI140" s="291"/>
      <c r="MJ140" s="291"/>
      <c r="MK140" s="291"/>
      <c r="ML140" s="291"/>
      <c r="MM140" s="291"/>
      <c r="MN140" s="291"/>
      <c r="MO140" s="291"/>
      <c r="MP140" s="291"/>
      <c r="MQ140" s="291"/>
      <c r="MR140" s="291"/>
      <c r="MS140" s="291"/>
      <c r="MT140" s="291"/>
      <c r="MU140" s="291"/>
      <c r="MV140" s="291"/>
      <c r="MW140" s="291"/>
      <c r="MX140" s="291"/>
      <c r="MY140" s="291"/>
      <c r="MZ140" s="291"/>
      <c r="NA140" s="291"/>
      <c r="NB140" s="291"/>
      <c r="NC140" s="291"/>
      <c r="ND140" s="291"/>
      <c r="NE140" s="291"/>
      <c r="NF140" s="291"/>
      <c r="NG140" s="291"/>
      <c r="NH140" s="291"/>
      <c r="NI140" s="291"/>
      <c r="NJ140" s="291"/>
      <c r="NK140" s="291"/>
      <c r="NL140" s="291"/>
      <c r="NM140" s="291"/>
      <c r="NN140" s="291"/>
      <c r="NO140" s="291"/>
      <c r="NP140" s="291"/>
      <c r="NQ140" s="291"/>
      <c r="NR140" s="291"/>
      <c r="NS140" s="291"/>
      <c r="NT140" s="291"/>
      <c r="NU140" s="291"/>
      <c r="NV140" s="291"/>
      <c r="NW140" s="291"/>
      <c r="NX140" s="291"/>
      <c r="NY140" s="291"/>
      <c r="NZ140" s="291"/>
      <c r="OA140" s="291"/>
      <c r="OB140" s="291"/>
      <c r="OC140" s="291"/>
      <c r="OD140" s="291"/>
      <c r="OE140" s="291"/>
      <c r="OF140" s="291"/>
      <c r="OG140" s="291"/>
      <c r="OH140" s="291"/>
      <c r="OI140" s="291"/>
      <c r="OJ140" s="291"/>
      <c r="OK140" s="291"/>
      <c r="OL140" s="291"/>
      <c r="OM140" s="291"/>
      <c r="ON140" s="291"/>
      <c r="OO140" s="291"/>
      <c r="OP140" s="291"/>
      <c r="OQ140" s="291"/>
      <c r="OR140" s="291"/>
      <c r="OS140" s="291"/>
      <c r="OT140" s="291"/>
      <c r="OU140" s="291"/>
      <c r="OV140" s="291"/>
      <c r="OW140" s="291"/>
    </row>
    <row r="141" spans="1:413" s="257" customFormat="1" hidden="1" x14ac:dyDescent="0.2">
      <c r="A141" s="291"/>
      <c r="B141" s="524">
        <f t="shared" si="7"/>
        <v>125</v>
      </c>
      <c r="C141" s="510" t="s">
        <v>38</v>
      </c>
      <c r="D141" s="511">
        <v>30361046</v>
      </c>
      <c r="E141" s="511"/>
      <c r="F141" s="512" t="s">
        <v>1284</v>
      </c>
      <c r="G141" s="513" t="s">
        <v>45</v>
      </c>
      <c r="H141" s="514" t="s">
        <v>1094</v>
      </c>
      <c r="I141" s="515" t="s">
        <v>1142</v>
      </c>
      <c r="J141" s="346" t="s">
        <v>42</v>
      </c>
      <c r="K141" s="526">
        <v>3228816</v>
      </c>
      <c r="L141" s="527">
        <v>199657</v>
      </c>
      <c r="M141" s="528">
        <v>949733</v>
      </c>
      <c r="N141" s="519">
        <v>0</v>
      </c>
      <c r="O141" s="519">
        <v>250214</v>
      </c>
      <c r="P141" s="519">
        <v>72462</v>
      </c>
      <c r="Q141" s="519">
        <v>65721</v>
      </c>
      <c r="R141" s="519">
        <v>96084</v>
      </c>
      <c r="S141" s="520">
        <v>65566</v>
      </c>
      <c r="T141" s="18"/>
      <c r="U141" s="18"/>
      <c r="V141" s="18"/>
      <c r="W141" s="18"/>
      <c r="X141" s="18"/>
      <c r="Y141" s="18"/>
      <c r="Z141" s="18">
        <f t="shared" si="4"/>
        <v>550047</v>
      </c>
      <c r="AA141" s="309">
        <v>2060523</v>
      </c>
      <c r="AB141" s="19">
        <v>11</v>
      </c>
      <c r="AC141" s="521">
        <v>44237</v>
      </c>
      <c r="AD141" s="25">
        <v>44251</v>
      </c>
      <c r="AE141" s="309">
        <v>0</v>
      </c>
      <c r="AF141" s="314">
        <v>39</v>
      </c>
      <c r="AG141" s="315">
        <v>44334</v>
      </c>
      <c r="AH141" s="315">
        <v>44342</v>
      </c>
      <c r="AI141" s="309"/>
      <c r="AJ141" s="338"/>
      <c r="AK141" s="315"/>
      <c r="AL141" s="316"/>
      <c r="AM141" s="309"/>
      <c r="AN141" s="338"/>
      <c r="AO141" s="21"/>
      <c r="AP141" s="25"/>
      <c r="AQ141" s="309"/>
      <c r="AR141" s="19"/>
      <c r="AS141" s="21"/>
      <c r="AT141" s="25"/>
      <c r="AU141" s="522">
        <f t="shared" si="5"/>
        <v>2060523</v>
      </c>
      <c r="AV141" s="311">
        <f t="shared" si="6"/>
        <v>1510476</v>
      </c>
      <c r="AW141" s="305"/>
      <c r="AX141" s="291"/>
      <c r="AY141" s="291"/>
      <c r="AZ141" s="291"/>
      <c r="BA141" s="291"/>
      <c r="BB141" s="291"/>
      <c r="BC141" s="291"/>
      <c r="BD141" s="291"/>
      <c r="BE141" s="291"/>
      <c r="BF141" s="291"/>
      <c r="BG141" s="291"/>
      <c r="BH141" s="291"/>
      <c r="BI141" s="291"/>
      <c r="BJ141" s="291"/>
      <c r="BK141" s="291"/>
      <c r="BL141" s="291"/>
      <c r="BM141" s="291"/>
      <c r="BN141" s="291"/>
      <c r="BO141" s="291"/>
      <c r="BP141" s="291"/>
      <c r="BQ141" s="291"/>
      <c r="BR141" s="291"/>
      <c r="BS141" s="291"/>
      <c r="BT141" s="291"/>
      <c r="BU141" s="291"/>
      <c r="BV141" s="291"/>
      <c r="BW141" s="291"/>
      <c r="BX141" s="291"/>
      <c r="BY141" s="291"/>
      <c r="BZ141" s="291"/>
      <c r="CA141" s="291"/>
      <c r="CB141" s="291"/>
      <c r="CC141" s="291"/>
      <c r="CD141" s="291"/>
      <c r="CE141" s="291"/>
      <c r="CF141" s="291"/>
      <c r="CG141" s="291"/>
      <c r="CH141" s="291"/>
      <c r="CI141" s="291"/>
      <c r="CJ141" s="291"/>
      <c r="CK141" s="291"/>
      <c r="CL141" s="291"/>
      <c r="CM141" s="291"/>
      <c r="CN141" s="291"/>
      <c r="CO141" s="291"/>
      <c r="CP141" s="291"/>
      <c r="CQ141" s="291"/>
      <c r="CR141" s="291"/>
      <c r="CS141" s="291"/>
      <c r="CT141" s="291"/>
      <c r="CU141" s="291"/>
      <c r="CV141" s="291"/>
      <c r="CW141" s="291"/>
      <c r="CX141" s="291"/>
      <c r="CY141" s="291"/>
      <c r="CZ141" s="291"/>
      <c r="DA141" s="291"/>
      <c r="DB141" s="291"/>
      <c r="DC141" s="291"/>
      <c r="DD141" s="291"/>
      <c r="DE141" s="291"/>
      <c r="DF141" s="291"/>
      <c r="DG141" s="291"/>
      <c r="DH141" s="291"/>
      <c r="DI141" s="291"/>
      <c r="DJ141" s="291"/>
      <c r="DK141" s="291"/>
      <c r="DL141" s="291"/>
      <c r="DM141" s="291"/>
      <c r="DN141" s="291"/>
      <c r="DO141" s="291"/>
      <c r="DP141" s="291"/>
      <c r="DQ141" s="291"/>
      <c r="DR141" s="291"/>
      <c r="DS141" s="291"/>
      <c r="DT141" s="291"/>
      <c r="DU141" s="291"/>
      <c r="DV141" s="291"/>
      <c r="DW141" s="291"/>
      <c r="DX141" s="291"/>
      <c r="DY141" s="291"/>
      <c r="DZ141" s="291"/>
      <c r="EA141" s="291"/>
      <c r="EB141" s="291"/>
      <c r="EC141" s="291"/>
      <c r="ED141" s="291"/>
      <c r="EE141" s="291"/>
      <c r="EF141" s="291"/>
      <c r="EG141" s="291"/>
      <c r="EH141" s="291"/>
      <c r="EI141" s="291"/>
      <c r="EJ141" s="291"/>
      <c r="EK141" s="291"/>
      <c r="EL141" s="291"/>
      <c r="EM141" s="291"/>
      <c r="EN141" s="291"/>
      <c r="EO141" s="291"/>
      <c r="EP141" s="291"/>
      <c r="EQ141" s="291"/>
      <c r="ER141" s="291"/>
      <c r="ES141" s="291"/>
      <c r="ET141" s="291"/>
      <c r="EU141" s="291"/>
      <c r="EV141" s="291"/>
      <c r="EW141" s="291"/>
      <c r="EX141" s="291"/>
      <c r="EY141" s="291"/>
      <c r="EZ141" s="291"/>
      <c r="FA141" s="291"/>
      <c r="FB141" s="291"/>
      <c r="FC141" s="291"/>
      <c r="FD141" s="291"/>
      <c r="FE141" s="291"/>
      <c r="FF141" s="291"/>
      <c r="FG141" s="291"/>
      <c r="FH141" s="291"/>
      <c r="FI141" s="291"/>
      <c r="FJ141" s="291"/>
      <c r="FK141" s="291"/>
      <c r="FL141" s="291"/>
      <c r="FM141" s="291"/>
      <c r="FN141" s="291"/>
      <c r="FO141" s="291"/>
      <c r="FP141" s="291"/>
      <c r="FQ141" s="291"/>
      <c r="FR141" s="291"/>
      <c r="FS141" s="291"/>
      <c r="FT141" s="291"/>
      <c r="FU141" s="291"/>
      <c r="FV141" s="291"/>
      <c r="FW141" s="291"/>
      <c r="FX141" s="291"/>
      <c r="FY141" s="291"/>
      <c r="FZ141" s="291"/>
      <c r="GA141" s="291"/>
      <c r="GB141" s="291"/>
      <c r="GC141" s="291"/>
      <c r="GD141" s="291"/>
      <c r="GE141" s="291"/>
      <c r="GF141" s="291"/>
      <c r="GG141" s="291"/>
      <c r="GH141" s="291"/>
      <c r="GI141" s="291"/>
      <c r="GJ141" s="291"/>
      <c r="GK141" s="291"/>
      <c r="GL141" s="291"/>
      <c r="GM141" s="291"/>
      <c r="GN141" s="291"/>
      <c r="GO141" s="291"/>
      <c r="GP141" s="291"/>
      <c r="GQ141" s="291"/>
      <c r="GR141" s="291"/>
      <c r="GS141" s="291"/>
      <c r="GT141" s="291"/>
      <c r="GU141" s="291"/>
      <c r="GV141" s="291"/>
      <c r="GW141" s="291"/>
      <c r="GX141" s="291"/>
      <c r="GY141" s="291"/>
      <c r="GZ141" s="291"/>
      <c r="HA141" s="291"/>
      <c r="HB141" s="291"/>
      <c r="HC141" s="291"/>
      <c r="HD141" s="291"/>
      <c r="HE141" s="291"/>
      <c r="HF141" s="291"/>
      <c r="HG141" s="291"/>
      <c r="HH141" s="291"/>
      <c r="HI141" s="291"/>
      <c r="HJ141" s="291"/>
      <c r="HK141" s="291"/>
      <c r="HL141" s="291"/>
      <c r="HM141" s="291"/>
      <c r="HN141" s="291"/>
      <c r="HO141" s="291"/>
      <c r="HP141" s="291"/>
      <c r="HQ141" s="291"/>
      <c r="HR141" s="291"/>
      <c r="HS141" s="291"/>
      <c r="HT141" s="291"/>
      <c r="HU141" s="291"/>
      <c r="HV141" s="291"/>
      <c r="HW141" s="291"/>
      <c r="HX141" s="291"/>
      <c r="HY141" s="291"/>
      <c r="HZ141" s="291"/>
      <c r="IA141" s="291"/>
      <c r="IB141" s="291"/>
      <c r="IC141" s="291"/>
      <c r="ID141" s="291"/>
      <c r="IE141" s="291"/>
      <c r="IF141" s="291"/>
      <c r="IG141" s="291"/>
      <c r="IH141" s="291"/>
      <c r="II141" s="291"/>
      <c r="IJ141" s="291"/>
      <c r="IK141" s="291"/>
      <c r="IL141" s="291"/>
      <c r="IM141" s="291"/>
      <c r="IN141" s="291"/>
      <c r="IO141" s="291"/>
      <c r="IP141" s="291"/>
      <c r="IQ141" s="291"/>
      <c r="IR141" s="291"/>
      <c r="IS141" s="291"/>
      <c r="IT141" s="291"/>
      <c r="IU141" s="291"/>
      <c r="IV141" s="291"/>
      <c r="IW141" s="291"/>
      <c r="IX141" s="291"/>
      <c r="IY141" s="291"/>
      <c r="IZ141" s="291"/>
      <c r="JA141" s="291"/>
      <c r="JB141" s="291"/>
      <c r="JC141" s="291"/>
      <c r="JD141" s="291"/>
      <c r="JE141" s="291"/>
      <c r="JF141" s="291"/>
      <c r="JG141" s="291"/>
      <c r="JH141" s="291"/>
      <c r="JI141" s="291"/>
      <c r="JJ141" s="291"/>
      <c r="JK141" s="291"/>
      <c r="JL141" s="291"/>
      <c r="JM141" s="291"/>
      <c r="JN141" s="291"/>
      <c r="JO141" s="291"/>
      <c r="JP141" s="291"/>
      <c r="JQ141" s="291"/>
      <c r="JR141" s="291"/>
      <c r="JS141" s="291"/>
      <c r="JT141" s="291"/>
      <c r="JU141" s="291"/>
      <c r="JV141" s="291"/>
      <c r="JW141" s="291"/>
      <c r="JX141" s="291"/>
      <c r="JY141" s="291"/>
      <c r="JZ141" s="291"/>
      <c r="KA141" s="291"/>
      <c r="KB141" s="291"/>
      <c r="KC141" s="291"/>
      <c r="KD141" s="291"/>
      <c r="KE141" s="291"/>
      <c r="KF141" s="291"/>
      <c r="KG141" s="291"/>
      <c r="KH141" s="291"/>
      <c r="KI141" s="291"/>
      <c r="KJ141" s="291"/>
      <c r="KK141" s="291"/>
      <c r="KL141" s="291"/>
      <c r="KM141" s="291"/>
      <c r="KN141" s="291"/>
      <c r="KO141" s="291"/>
      <c r="KP141" s="291"/>
      <c r="KQ141" s="291"/>
      <c r="KR141" s="291"/>
      <c r="KS141" s="291"/>
      <c r="KT141" s="291"/>
      <c r="KU141" s="291"/>
      <c r="KV141" s="291"/>
      <c r="KW141" s="291"/>
      <c r="KX141" s="291"/>
      <c r="KY141" s="291"/>
      <c r="KZ141" s="291"/>
      <c r="LA141" s="291"/>
      <c r="LB141" s="291"/>
      <c r="LC141" s="291"/>
      <c r="LD141" s="291"/>
      <c r="LE141" s="291"/>
      <c r="LF141" s="291"/>
      <c r="LG141" s="291"/>
      <c r="LH141" s="291"/>
      <c r="LI141" s="291"/>
      <c r="LJ141" s="291"/>
      <c r="LK141" s="291"/>
      <c r="LL141" s="291"/>
      <c r="LM141" s="291"/>
      <c r="LN141" s="291"/>
      <c r="LO141" s="291"/>
      <c r="LP141" s="291"/>
      <c r="LQ141" s="291"/>
      <c r="LR141" s="291"/>
      <c r="LS141" s="291"/>
      <c r="LT141" s="291"/>
      <c r="LU141" s="291"/>
      <c r="LV141" s="291"/>
      <c r="LW141" s="291"/>
      <c r="LX141" s="291"/>
      <c r="LY141" s="291"/>
      <c r="LZ141" s="291"/>
      <c r="MA141" s="291"/>
      <c r="MB141" s="291"/>
      <c r="MC141" s="291"/>
      <c r="MD141" s="291"/>
      <c r="ME141" s="291"/>
      <c r="MF141" s="291"/>
      <c r="MG141" s="291"/>
      <c r="MH141" s="291"/>
      <c r="MI141" s="291"/>
      <c r="MJ141" s="291"/>
      <c r="MK141" s="291"/>
      <c r="ML141" s="291"/>
      <c r="MM141" s="291"/>
      <c r="MN141" s="291"/>
      <c r="MO141" s="291"/>
      <c r="MP141" s="291"/>
      <c r="MQ141" s="291"/>
      <c r="MR141" s="291"/>
      <c r="MS141" s="291"/>
      <c r="MT141" s="291"/>
      <c r="MU141" s="291"/>
      <c r="MV141" s="291"/>
      <c r="MW141" s="291"/>
      <c r="MX141" s="291"/>
      <c r="MY141" s="291"/>
      <c r="MZ141" s="291"/>
      <c r="NA141" s="291"/>
      <c r="NB141" s="291"/>
      <c r="NC141" s="291"/>
      <c r="ND141" s="291"/>
      <c r="NE141" s="291"/>
      <c r="NF141" s="291"/>
      <c r="NG141" s="291"/>
      <c r="NH141" s="291"/>
      <c r="NI141" s="291"/>
      <c r="NJ141" s="291"/>
      <c r="NK141" s="291"/>
      <c r="NL141" s="291"/>
      <c r="NM141" s="291"/>
      <c r="NN141" s="291"/>
      <c r="NO141" s="291"/>
      <c r="NP141" s="291"/>
      <c r="NQ141" s="291"/>
      <c r="NR141" s="291"/>
      <c r="NS141" s="291"/>
      <c r="NT141" s="291"/>
      <c r="NU141" s="291"/>
      <c r="NV141" s="291"/>
      <c r="NW141" s="291"/>
      <c r="NX141" s="291"/>
      <c r="NY141" s="291"/>
      <c r="NZ141" s="291"/>
      <c r="OA141" s="291"/>
      <c r="OB141" s="291"/>
      <c r="OC141" s="291"/>
      <c r="OD141" s="291"/>
      <c r="OE141" s="291"/>
      <c r="OF141" s="291"/>
      <c r="OG141" s="291"/>
      <c r="OH141" s="291"/>
      <c r="OI141" s="291"/>
      <c r="OJ141" s="291"/>
      <c r="OK141" s="291"/>
      <c r="OL141" s="291"/>
      <c r="OM141" s="291"/>
      <c r="ON141" s="291"/>
      <c r="OO141" s="291"/>
      <c r="OP141" s="291"/>
      <c r="OQ141" s="291"/>
      <c r="OR141" s="291"/>
      <c r="OS141" s="291"/>
      <c r="OT141" s="291"/>
      <c r="OU141" s="291"/>
      <c r="OV141" s="291"/>
      <c r="OW141" s="291"/>
    </row>
    <row r="142" spans="1:413" s="257" customFormat="1" hidden="1" x14ac:dyDescent="0.2">
      <c r="A142" s="291"/>
      <c r="B142" s="524">
        <f t="shared" si="7"/>
        <v>126</v>
      </c>
      <c r="C142" s="510" t="s">
        <v>38</v>
      </c>
      <c r="D142" s="511" t="s">
        <v>1285</v>
      </c>
      <c r="E142" s="511"/>
      <c r="F142" s="512" t="s">
        <v>1286</v>
      </c>
      <c r="G142" s="513" t="s">
        <v>45</v>
      </c>
      <c r="H142" s="514" t="s">
        <v>1098</v>
      </c>
      <c r="I142" s="515" t="s">
        <v>1189</v>
      </c>
      <c r="J142" s="346"/>
      <c r="K142" s="526">
        <v>922457</v>
      </c>
      <c r="L142" s="527">
        <v>7423</v>
      </c>
      <c r="M142" s="528">
        <v>407010</v>
      </c>
      <c r="N142" s="520">
        <v>0</v>
      </c>
      <c r="O142" s="520">
        <v>0</v>
      </c>
      <c r="P142" s="520">
        <v>0</v>
      </c>
      <c r="Q142" s="520">
        <v>0</v>
      </c>
      <c r="R142" s="520">
        <v>0</v>
      </c>
      <c r="S142" s="520">
        <v>0</v>
      </c>
      <c r="T142" s="18"/>
      <c r="U142" s="18"/>
      <c r="V142" s="18"/>
      <c r="W142" s="18"/>
      <c r="X142" s="18"/>
      <c r="Y142" s="18"/>
      <c r="Z142" s="18">
        <f t="shared" si="4"/>
        <v>0</v>
      </c>
      <c r="AA142" s="309">
        <v>508002</v>
      </c>
      <c r="AB142" s="19">
        <v>25</v>
      </c>
      <c r="AC142" s="521">
        <v>44314</v>
      </c>
      <c r="AD142" s="25">
        <v>44326</v>
      </c>
      <c r="AE142" s="309"/>
      <c r="AF142" s="314"/>
      <c r="AG142" s="315"/>
      <c r="AH142" s="316"/>
      <c r="AI142" s="309"/>
      <c r="AJ142" s="338"/>
      <c r="AK142" s="315"/>
      <c r="AL142" s="316"/>
      <c r="AM142" s="309"/>
      <c r="AN142" s="338"/>
      <c r="AO142" s="21"/>
      <c r="AP142" s="25"/>
      <c r="AQ142" s="309"/>
      <c r="AR142" s="19"/>
      <c r="AS142" s="21"/>
      <c r="AT142" s="25"/>
      <c r="AU142" s="522">
        <f t="shared" si="5"/>
        <v>508002</v>
      </c>
      <c r="AV142" s="311">
        <f t="shared" si="6"/>
        <v>508002</v>
      </c>
      <c r="AW142" s="305"/>
      <c r="AX142" s="291"/>
      <c r="AY142" s="291"/>
      <c r="AZ142" s="291"/>
      <c r="BA142" s="291"/>
      <c r="BB142" s="291"/>
      <c r="BC142" s="291"/>
      <c r="BD142" s="291"/>
      <c r="BE142" s="291"/>
      <c r="BF142" s="291"/>
      <c r="BG142" s="291"/>
      <c r="BH142" s="291"/>
      <c r="BI142" s="291"/>
      <c r="BJ142" s="291"/>
      <c r="BK142" s="291"/>
      <c r="BL142" s="291"/>
      <c r="BM142" s="291"/>
      <c r="BN142" s="291"/>
      <c r="BO142" s="291"/>
      <c r="BP142" s="291"/>
      <c r="BQ142" s="291"/>
      <c r="BR142" s="291"/>
      <c r="BS142" s="291"/>
      <c r="BT142" s="291"/>
      <c r="BU142" s="291"/>
      <c r="BV142" s="291"/>
      <c r="BW142" s="291"/>
      <c r="BX142" s="291"/>
      <c r="BY142" s="291"/>
      <c r="BZ142" s="291"/>
      <c r="CA142" s="291"/>
      <c r="CB142" s="291"/>
      <c r="CC142" s="291"/>
      <c r="CD142" s="291"/>
      <c r="CE142" s="291"/>
      <c r="CF142" s="291"/>
      <c r="CG142" s="291"/>
      <c r="CH142" s="291"/>
      <c r="CI142" s="291"/>
      <c r="CJ142" s="291"/>
      <c r="CK142" s="291"/>
      <c r="CL142" s="291"/>
      <c r="CM142" s="291"/>
      <c r="CN142" s="291"/>
      <c r="CO142" s="291"/>
      <c r="CP142" s="291"/>
      <c r="CQ142" s="291"/>
      <c r="CR142" s="291"/>
      <c r="CS142" s="291"/>
      <c r="CT142" s="291"/>
      <c r="CU142" s="291"/>
      <c r="CV142" s="291"/>
      <c r="CW142" s="291"/>
      <c r="CX142" s="291"/>
      <c r="CY142" s="291"/>
      <c r="CZ142" s="291"/>
      <c r="DA142" s="291"/>
      <c r="DB142" s="291"/>
      <c r="DC142" s="291"/>
      <c r="DD142" s="291"/>
      <c r="DE142" s="291"/>
      <c r="DF142" s="291"/>
      <c r="DG142" s="291"/>
      <c r="DH142" s="291"/>
      <c r="DI142" s="291"/>
      <c r="DJ142" s="291"/>
      <c r="DK142" s="291"/>
      <c r="DL142" s="291"/>
      <c r="DM142" s="291"/>
      <c r="DN142" s="291"/>
      <c r="DO142" s="291"/>
      <c r="DP142" s="291"/>
      <c r="DQ142" s="291"/>
      <c r="DR142" s="291"/>
      <c r="DS142" s="291"/>
      <c r="DT142" s="291"/>
      <c r="DU142" s="291"/>
      <c r="DV142" s="291"/>
      <c r="DW142" s="291"/>
      <c r="DX142" s="291"/>
      <c r="DY142" s="291"/>
      <c r="DZ142" s="291"/>
      <c r="EA142" s="291"/>
      <c r="EB142" s="291"/>
      <c r="EC142" s="291"/>
      <c r="ED142" s="291"/>
      <c r="EE142" s="291"/>
      <c r="EF142" s="291"/>
      <c r="EG142" s="291"/>
      <c r="EH142" s="291"/>
      <c r="EI142" s="291"/>
      <c r="EJ142" s="291"/>
      <c r="EK142" s="291"/>
      <c r="EL142" s="291"/>
      <c r="EM142" s="291"/>
      <c r="EN142" s="291"/>
      <c r="EO142" s="291"/>
      <c r="EP142" s="291"/>
      <c r="EQ142" s="291"/>
      <c r="ER142" s="291"/>
      <c r="ES142" s="291"/>
      <c r="ET142" s="291"/>
      <c r="EU142" s="291"/>
      <c r="EV142" s="291"/>
      <c r="EW142" s="291"/>
      <c r="EX142" s="291"/>
      <c r="EY142" s="291"/>
      <c r="EZ142" s="291"/>
      <c r="FA142" s="291"/>
      <c r="FB142" s="291"/>
      <c r="FC142" s="291"/>
      <c r="FD142" s="291"/>
      <c r="FE142" s="291"/>
      <c r="FF142" s="291"/>
      <c r="FG142" s="291"/>
      <c r="FH142" s="291"/>
      <c r="FI142" s="291"/>
      <c r="FJ142" s="291"/>
      <c r="FK142" s="291"/>
      <c r="FL142" s="291"/>
      <c r="FM142" s="291"/>
      <c r="FN142" s="291"/>
      <c r="FO142" s="291"/>
      <c r="FP142" s="291"/>
      <c r="FQ142" s="291"/>
      <c r="FR142" s="291"/>
      <c r="FS142" s="291"/>
      <c r="FT142" s="291"/>
      <c r="FU142" s="291"/>
      <c r="FV142" s="291"/>
      <c r="FW142" s="291"/>
      <c r="FX142" s="291"/>
      <c r="FY142" s="291"/>
      <c r="FZ142" s="291"/>
      <c r="GA142" s="291"/>
      <c r="GB142" s="291"/>
      <c r="GC142" s="291"/>
      <c r="GD142" s="291"/>
      <c r="GE142" s="291"/>
      <c r="GF142" s="291"/>
      <c r="GG142" s="291"/>
      <c r="GH142" s="291"/>
      <c r="GI142" s="291"/>
      <c r="GJ142" s="291"/>
      <c r="GK142" s="291"/>
      <c r="GL142" s="291"/>
      <c r="GM142" s="291"/>
      <c r="GN142" s="291"/>
      <c r="GO142" s="291"/>
      <c r="GP142" s="291"/>
      <c r="GQ142" s="291"/>
      <c r="GR142" s="291"/>
      <c r="GS142" s="291"/>
      <c r="GT142" s="291"/>
      <c r="GU142" s="291"/>
      <c r="GV142" s="291"/>
      <c r="GW142" s="291"/>
      <c r="GX142" s="291"/>
      <c r="GY142" s="291"/>
      <c r="GZ142" s="291"/>
      <c r="HA142" s="291"/>
      <c r="HB142" s="291"/>
      <c r="HC142" s="291"/>
      <c r="HD142" s="291"/>
      <c r="HE142" s="291"/>
      <c r="HF142" s="291"/>
      <c r="HG142" s="291"/>
      <c r="HH142" s="291"/>
      <c r="HI142" s="291"/>
      <c r="HJ142" s="291"/>
      <c r="HK142" s="291"/>
      <c r="HL142" s="291"/>
      <c r="HM142" s="291"/>
      <c r="HN142" s="291"/>
      <c r="HO142" s="291"/>
      <c r="HP142" s="291"/>
      <c r="HQ142" s="291"/>
      <c r="HR142" s="291"/>
      <c r="HS142" s="291"/>
      <c r="HT142" s="291"/>
      <c r="HU142" s="291"/>
      <c r="HV142" s="291"/>
      <c r="HW142" s="291"/>
      <c r="HX142" s="291"/>
      <c r="HY142" s="291"/>
      <c r="HZ142" s="291"/>
      <c r="IA142" s="291"/>
      <c r="IB142" s="291"/>
      <c r="IC142" s="291"/>
      <c r="ID142" s="291"/>
      <c r="IE142" s="291"/>
      <c r="IF142" s="291"/>
      <c r="IG142" s="291"/>
      <c r="IH142" s="291"/>
      <c r="II142" s="291"/>
      <c r="IJ142" s="291"/>
      <c r="IK142" s="291"/>
      <c r="IL142" s="291"/>
      <c r="IM142" s="291"/>
      <c r="IN142" s="291"/>
      <c r="IO142" s="291"/>
      <c r="IP142" s="291"/>
      <c r="IQ142" s="291"/>
      <c r="IR142" s="291"/>
      <c r="IS142" s="291"/>
      <c r="IT142" s="291"/>
      <c r="IU142" s="291"/>
      <c r="IV142" s="291"/>
      <c r="IW142" s="291"/>
      <c r="IX142" s="291"/>
      <c r="IY142" s="291"/>
      <c r="IZ142" s="291"/>
      <c r="JA142" s="291"/>
      <c r="JB142" s="291"/>
      <c r="JC142" s="291"/>
      <c r="JD142" s="291"/>
      <c r="JE142" s="291"/>
      <c r="JF142" s="291"/>
      <c r="JG142" s="291"/>
      <c r="JH142" s="291"/>
      <c r="JI142" s="291"/>
      <c r="JJ142" s="291"/>
      <c r="JK142" s="291"/>
      <c r="JL142" s="291"/>
      <c r="JM142" s="291"/>
      <c r="JN142" s="291"/>
      <c r="JO142" s="291"/>
      <c r="JP142" s="291"/>
      <c r="JQ142" s="291"/>
      <c r="JR142" s="291"/>
      <c r="JS142" s="291"/>
      <c r="JT142" s="291"/>
      <c r="JU142" s="291"/>
      <c r="JV142" s="291"/>
      <c r="JW142" s="291"/>
      <c r="JX142" s="291"/>
      <c r="JY142" s="291"/>
      <c r="JZ142" s="291"/>
      <c r="KA142" s="291"/>
      <c r="KB142" s="291"/>
      <c r="KC142" s="291"/>
      <c r="KD142" s="291"/>
      <c r="KE142" s="291"/>
      <c r="KF142" s="291"/>
      <c r="KG142" s="291"/>
      <c r="KH142" s="291"/>
      <c r="KI142" s="291"/>
      <c r="KJ142" s="291"/>
      <c r="KK142" s="291"/>
      <c r="KL142" s="291"/>
      <c r="KM142" s="291"/>
      <c r="KN142" s="291"/>
      <c r="KO142" s="291"/>
      <c r="KP142" s="291"/>
      <c r="KQ142" s="291"/>
      <c r="KR142" s="291"/>
      <c r="KS142" s="291"/>
      <c r="KT142" s="291"/>
      <c r="KU142" s="291"/>
      <c r="KV142" s="291"/>
      <c r="KW142" s="291"/>
      <c r="KX142" s="291"/>
      <c r="KY142" s="291"/>
      <c r="KZ142" s="291"/>
      <c r="LA142" s="291"/>
      <c r="LB142" s="291"/>
      <c r="LC142" s="291"/>
      <c r="LD142" s="291"/>
      <c r="LE142" s="291"/>
      <c r="LF142" s="291"/>
      <c r="LG142" s="291"/>
      <c r="LH142" s="291"/>
      <c r="LI142" s="291"/>
      <c r="LJ142" s="291"/>
      <c r="LK142" s="291"/>
      <c r="LL142" s="291"/>
      <c r="LM142" s="291"/>
      <c r="LN142" s="291"/>
      <c r="LO142" s="291"/>
      <c r="LP142" s="291"/>
      <c r="LQ142" s="291"/>
      <c r="LR142" s="291"/>
      <c r="LS142" s="291"/>
      <c r="LT142" s="291"/>
      <c r="LU142" s="291"/>
      <c r="LV142" s="291"/>
      <c r="LW142" s="291"/>
      <c r="LX142" s="291"/>
      <c r="LY142" s="291"/>
      <c r="LZ142" s="291"/>
      <c r="MA142" s="291"/>
      <c r="MB142" s="291"/>
      <c r="MC142" s="291"/>
      <c r="MD142" s="291"/>
      <c r="ME142" s="291"/>
      <c r="MF142" s="291"/>
      <c r="MG142" s="291"/>
      <c r="MH142" s="291"/>
      <c r="MI142" s="291"/>
      <c r="MJ142" s="291"/>
      <c r="MK142" s="291"/>
      <c r="ML142" s="291"/>
      <c r="MM142" s="291"/>
      <c r="MN142" s="291"/>
      <c r="MO142" s="291"/>
      <c r="MP142" s="291"/>
      <c r="MQ142" s="291"/>
      <c r="MR142" s="291"/>
      <c r="MS142" s="291"/>
      <c r="MT142" s="291"/>
      <c r="MU142" s="291"/>
      <c r="MV142" s="291"/>
      <c r="MW142" s="291"/>
      <c r="MX142" s="291"/>
      <c r="MY142" s="291"/>
      <c r="MZ142" s="291"/>
      <c r="NA142" s="291"/>
      <c r="NB142" s="291"/>
      <c r="NC142" s="291"/>
      <c r="ND142" s="291"/>
      <c r="NE142" s="291"/>
      <c r="NF142" s="291"/>
      <c r="NG142" s="291"/>
      <c r="NH142" s="291"/>
      <c r="NI142" s="291"/>
      <c r="NJ142" s="291"/>
      <c r="NK142" s="291"/>
      <c r="NL142" s="291"/>
      <c r="NM142" s="291"/>
      <c r="NN142" s="291"/>
      <c r="NO142" s="291"/>
      <c r="NP142" s="291"/>
      <c r="NQ142" s="291"/>
      <c r="NR142" s="291"/>
      <c r="NS142" s="291"/>
      <c r="NT142" s="291"/>
      <c r="NU142" s="291"/>
      <c r="NV142" s="291"/>
      <c r="NW142" s="291"/>
      <c r="NX142" s="291"/>
      <c r="NY142" s="291"/>
      <c r="NZ142" s="291"/>
      <c r="OA142" s="291"/>
      <c r="OB142" s="291"/>
      <c r="OC142" s="291"/>
      <c r="OD142" s="291"/>
      <c r="OE142" s="291"/>
      <c r="OF142" s="291"/>
      <c r="OG142" s="291"/>
      <c r="OH142" s="291"/>
      <c r="OI142" s="291"/>
      <c r="OJ142" s="291"/>
      <c r="OK142" s="291"/>
      <c r="OL142" s="291"/>
      <c r="OM142" s="291"/>
      <c r="ON142" s="291"/>
      <c r="OO142" s="291"/>
      <c r="OP142" s="291"/>
      <c r="OQ142" s="291"/>
      <c r="OR142" s="291"/>
      <c r="OS142" s="291"/>
      <c r="OT142" s="291"/>
      <c r="OU142" s="291"/>
      <c r="OV142" s="291"/>
      <c r="OW142" s="291"/>
    </row>
    <row r="143" spans="1:413" s="257" customFormat="1" hidden="1" x14ac:dyDescent="0.2">
      <c r="A143" s="291"/>
      <c r="B143" s="524">
        <f t="shared" si="7"/>
        <v>127</v>
      </c>
      <c r="C143" s="510" t="s">
        <v>38</v>
      </c>
      <c r="D143" s="511">
        <v>30363280</v>
      </c>
      <c r="E143" s="511"/>
      <c r="F143" s="512" t="s">
        <v>1287</v>
      </c>
      <c r="G143" s="513" t="s">
        <v>45</v>
      </c>
      <c r="H143" s="514" t="s">
        <v>1094</v>
      </c>
      <c r="I143" s="515" t="s">
        <v>1116</v>
      </c>
      <c r="J143" s="346" t="s">
        <v>43</v>
      </c>
      <c r="K143" s="526">
        <v>694745</v>
      </c>
      <c r="L143" s="527">
        <v>0</v>
      </c>
      <c r="M143" s="528">
        <v>576676</v>
      </c>
      <c r="N143" s="520">
        <v>0</v>
      </c>
      <c r="O143" s="520">
        <v>0</v>
      </c>
      <c r="P143" s="520">
        <v>0</v>
      </c>
      <c r="Q143" s="520">
        <v>0</v>
      </c>
      <c r="R143" s="520">
        <v>0</v>
      </c>
      <c r="S143" s="520">
        <v>0</v>
      </c>
      <c r="T143" s="18"/>
      <c r="U143" s="18"/>
      <c r="V143" s="18"/>
      <c r="W143" s="18"/>
      <c r="X143" s="18"/>
      <c r="Y143" s="18"/>
      <c r="Z143" s="18">
        <f t="shared" si="4"/>
        <v>0</v>
      </c>
      <c r="AA143" s="309">
        <v>110002</v>
      </c>
      <c r="AB143" s="19">
        <v>3</v>
      </c>
      <c r="AC143" s="521">
        <v>44222</v>
      </c>
      <c r="AD143" s="25">
        <v>44225</v>
      </c>
      <c r="AE143" s="309"/>
      <c r="AF143" s="314"/>
      <c r="AG143" s="315"/>
      <c r="AH143" s="316"/>
      <c r="AI143" s="309"/>
      <c r="AJ143" s="338"/>
      <c r="AK143" s="315"/>
      <c r="AL143" s="316"/>
      <c r="AM143" s="309"/>
      <c r="AN143" s="338"/>
      <c r="AO143" s="21"/>
      <c r="AP143" s="25"/>
      <c r="AQ143" s="309"/>
      <c r="AR143" s="19"/>
      <c r="AS143" s="21"/>
      <c r="AT143" s="25"/>
      <c r="AU143" s="522">
        <f t="shared" si="5"/>
        <v>110002</v>
      </c>
      <c r="AV143" s="311">
        <f t="shared" si="6"/>
        <v>110002</v>
      </c>
      <c r="AW143" s="305"/>
      <c r="AX143" s="291"/>
      <c r="AY143" s="291"/>
      <c r="AZ143" s="291"/>
      <c r="BA143" s="291"/>
      <c r="BB143" s="291"/>
      <c r="BC143" s="291"/>
      <c r="BD143" s="291"/>
      <c r="BE143" s="291"/>
      <c r="BF143" s="291"/>
      <c r="BG143" s="291"/>
      <c r="BH143" s="291"/>
      <c r="BI143" s="291"/>
      <c r="BJ143" s="291"/>
      <c r="BK143" s="291"/>
      <c r="BL143" s="291"/>
      <c r="BM143" s="291"/>
      <c r="BN143" s="291"/>
      <c r="BO143" s="291"/>
      <c r="BP143" s="291"/>
      <c r="BQ143" s="291"/>
      <c r="BR143" s="291"/>
      <c r="BS143" s="291"/>
      <c r="BT143" s="291"/>
      <c r="BU143" s="291"/>
      <c r="BV143" s="291"/>
      <c r="BW143" s="291"/>
      <c r="BX143" s="291"/>
      <c r="BY143" s="291"/>
      <c r="BZ143" s="291"/>
      <c r="CA143" s="291"/>
      <c r="CB143" s="291"/>
      <c r="CC143" s="291"/>
      <c r="CD143" s="291"/>
      <c r="CE143" s="291"/>
      <c r="CF143" s="291"/>
      <c r="CG143" s="291"/>
      <c r="CH143" s="291"/>
      <c r="CI143" s="291"/>
      <c r="CJ143" s="291"/>
      <c r="CK143" s="291"/>
      <c r="CL143" s="291"/>
      <c r="CM143" s="291"/>
      <c r="CN143" s="291"/>
      <c r="CO143" s="291"/>
      <c r="CP143" s="291"/>
      <c r="CQ143" s="291"/>
      <c r="CR143" s="291"/>
      <c r="CS143" s="291"/>
      <c r="CT143" s="291"/>
      <c r="CU143" s="291"/>
      <c r="CV143" s="291"/>
      <c r="CW143" s="291"/>
      <c r="CX143" s="291"/>
      <c r="CY143" s="291"/>
      <c r="CZ143" s="291"/>
      <c r="DA143" s="291"/>
      <c r="DB143" s="291"/>
      <c r="DC143" s="291"/>
      <c r="DD143" s="291"/>
      <c r="DE143" s="291"/>
      <c r="DF143" s="291"/>
      <c r="DG143" s="291"/>
      <c r="DH143" s="291"/>
      <c r="DI143" s="291"/>
      <c r="DJ143" s="291"/>
      <c r="DK143" s="291"/>
      <c r="DL143" s="291"/>
      <c r="DM143" s="291"/>
      <c r="DN143" s="291"/>
      <c r="DO143" s="291"/>
      <c r="DP143" s="291"/>
      <c r="DQ143" s="291"/>
      <c r="DR143" s="291"/>
      <c r="DS143" s="291"/>
      <c r="DT143" s="291"/>
      <c r="DU143" s="291"/>
      <c r="DV143" s="291"/>
      <c r="DW143" s="291"/>
      <c r="DX143" s="291"/>
      <c r="DY143" s="291"/>
      <c r="DZ143" s="291"/>
      <c r="EA143" s="291"/>
      <c r="EB143" s="291"/>
      <c r="EC143" s="291"/>
      <c r="ED143" s="291"/>
      <c r="EE143" s="291"/>
      <c r="EF143" s="291"/>
      <c r="EG143" s="291"/>
      <c r="EH143" s="291"/>
      <c r="EI143" s="291"/>
      <c r="EJ143" s="291"/>
      <c r="EK143" s="291"/>
      <c r="EL143" s="291"/>
      <c r="EM143" s="291"/>
      <c r="EN143" s="291"/>
      <c r="EO143" s="291"/>
      <c r="EP143" s="291"/>
      <c r="EQ143" s="291"/>
      <c r="ER143" s="291"/>
      <c r="ES143" s="291"/>
      <c r="ET143" s="291"/>
      <c r="EU143" s="291"/>
      <c r="EV143" s="291"/>
      <c r="EW143" s="291"/>
      <c r="EX143" s="291"/>
      <c r="EY143" s="291"/>
      <c r="EZ143" s="291"/>
      <c r="FA143" s="291"/>
      <c r="FB143" s="291"/>
      <c r="FC143" s="291"/>
      <c r="FD143" s="291"/>
      <c r="FE143" s="291"/>
      <c r="FF143" s="291"/>
      <c r="FG143" s="291"/>
      <c r="FH143" s="291"/>
      <c r="FI143" s="291"/>
      <c r="FJ143" s="291"/>
      <c r="FK143" s="291"/>
      <c r="FL143" s="291"/>
      <c r="FM143" s="291"/>
      <c r="FN143" s="291"/>
      <c r="FO143" s="291"/>
      <c r="FP143" s="291"/>
      <c r="FQ143" s="291"/>
      <c r="FR143" s="291"/>
      <c r="FS143" s="291"/>
      <c r="FT143" s="291"/>
      <c r="FU143" s="291"/>
      <c r="FV143" s="291"/>
      <c r="FW143" s="291"/>
      <c r="FX143" s="291"/>
      <c r="FY143" s="291"/>
      <c r="FZ143" s="291"/>
      <c r="GA143" s="291"/>
      <c r="GB143" s="291"/>
      <c r="GC143" s="291"/>
      <c r="GD143" s="291"/>
      <c r="GE143" s="291"/>
      <c r="GF143" s="291"/>
      <c r="GG143" s="291"/>
      <c r="GH143" s="291"/>
      <c r="GI143" s="291"/>
      <c r="GJ143" s="291"/>
      <c r="GK143" s="291"/>
      <c r="GL143" s="291"/>
      <c r="GM143" s="291"/>
      <c r="GN143" s="291"/>
      <c r="GO143" s="291"/>
      <c r="GP143" s="291"/>
      <c r="GQ143" s="291"/>
      <c r="GR143" s="291"/>
      <c r="GS143" s="291"/>
      <c r="GT143" s="291"/>
      <c r="GU143" s="291"/>
      <c r="GV143" s="291"/>
      <c r="GW143" s="291"/>
      <c r="GX143" s="291"/>
      <c r="GY143" s="291"/>
      <c r="GZ143" s="291"/>
      <c r="HA143" s="291"/>
      <c r="HB143" s="291"/>
      <c r="HC143" s="291"/>
      <c r="HD143" s="291"/>
      <c r="HE143" s="291"/>
      <c r="HF143" s="291"/>
      <c r="HG143" s="291"/>
      <c r="HH143" s="291"/>
      <c r="HI143" s="291"/>
      <c r="HJ143" s="291"/>
      <c r="HK143" s="291"/>
      <c r="HL143" s="291"/>
      <c r="HM143" s="291"/>
      <c r="HN143" s="291"/>
      <c r="HO143" s="291"/>
      <c r="HP143" s="291"/>
      <c r="HQ143" s="291"/>
      <c r="HR143" s="291"/>
      <c r="HS143" s="291"/>
      <c r="HT143" s="291"/>
      <c r="HU143" s="291"/>
      <c r="HV143" s="291"/>
      <c r="HW143" s="291"/>
      <c r="HX143" s="291"/>
      <c r="HY143" s="291"/>
      <c r="HZ143" s="291"/>
      <c r="IA143" s="291"/>
      <c r="IB143" s="291"/>
      <c r="IC143" s="291"/>
      <c r="ID143" s="291"/>
      <c r="IE143" s="291"/>
      <c r="IF143" s="291"/>
      <c r="IG143" s="291"/>
      <c r="IH143" s="291"/>
      <c r="II143" s="291"/>
      <c r="IJ143" s="291"/>
      <c r="IK143" s="291"/>
      <c r="IL143" s="291"/>
      <c r="IM143" s="291"/>
      <c r="IN143" s="291"/>
      <c r="IO143" s="291"/>
      <c r="IP143" s="291"/>
      <c r="IQ143" s="291"/>
      <c r="IR143" s="291"/>
      <c r="IS143" s="291"/>
      <c r="IT143" s="291"/>
      <c r="IU143" s="291"/>
      <c r="IV143" s="291"/>
      <c r="IW143" s="291"/>
      <c r="IX143" s="291"/>
      <c r="IY143" s="291"/>
      <c r="IZ143" s="291"/>
      <c r="JA143" s="291"/>
      <c r="JB143" s="291"/>
      <c r="JC143" s="291"/>
      <c r="JD143" s="291"/>
      <c r="JE143" s="291"/>
      <c r="JF143" s="291"/>
      <c r="JG143" s="291"/>
      <c r="JH143" s="291"/>
      <c r="JI143" s="291"/>
      <c r="JJ143" s="291"/>
      <c r="JK143" s="291"/>
      <c r="JL143" s="291"/>
      <c r="JM143" s="291"/>
      <c r="JN143" s="291"/>
      <c r="JO143" s="291"/>
      <c r="JP143" s="291"/>
      <c r="JQ143" s="291"/>
      <c r="JR143" s="291"/>
      <c r="JS143" s="291"/>
      <c r="JT143" s="291"/>
      <c r="JU143" s="291"/>
      <c r="JV143" s="291"/>
      <c r="JW143" s="291"/>
      <c r="JX143" s="291"/>
      <c r="JY143" s="291"/>
      <c r="JZ143" s="291"/>
      <c r="KA143" s="291"/>
      <c r="KB143" s="291"/>
      <c r="KC143" s="291"/>
      <c r="KD143" s="291"/>
      <c r="KE143" s="291"/>
      <c r="KF143" s="291"/>
      <c r="KG143" s="291"/>
      <c r="KH143" s="291"/>
      <c r="KI143" s="291"/>
      <c r="KJ143" s="291"/>
      <c r="KK143" s="291"/>
      <c r="KL143" s="291"/>
      <c r="KM143" s="291"/>
      <c r="KN143" s="291"/>
      <c r="KO143" s="291"/>
      <c r="KP143" s="291"/>
      <c r="KQ143" s="291"/>
      <c r="KR143" s="291"/>
      <c r="KS143" s="291"/>
      <c r="KT143" s="291"/>
      <c r="KU143" s="291"/>
      <c r="KV143" s="291"/>
      <c r="KW143" s="291"/>
      <c r="KX143" s="291"/>
      <c r="KY143" s="291"/>
      <c r="KZ143" s="291"/>
      <c r="LA143" s="291"/>
      <c r="LB143" s="291"/>
      <c r="LC143" s="291"/>
      <c r="LD143" s="291"/>
      <c r="LE143" s="291"/>
      <c r="LF143" s="291"/>
      <c r="LG143" s="291"/>
      <c r="LH143" s="291"/>
      <c r="LI143" s="291"/>
      <c r="LJ143" s="291"/>
      <c r="LK143" s="291"/>
      <c r="LL143" s="291"/>
      <c r="LM143" s="291"/>
      <c r="LN143" s="291"/>
      <c r="LO143" s="291"/>
      <c r="LP143" s="291"/>
      <c r="LQ143" s="291"/>
      <c r="LR143" s="291"/>
      <c r="LS143" s="291"/>
      <c r="LT143" s="291"/>
      <c r="LU143" s="291"/>
      <c r="LV143" s="291"/>
      <c r="LW143" s="291"/>
      <c r="LX143" s="291"/>
      <c r="LY143" s="291"/>
      <c r="LZ143" s="291"/>
      <c r="MA143" s="291"/>
      <c r="MB143" s="291"/>
      <c r="MC143" s="291"/>
      <c r="MD143" s="291"/>
      <c r="ME143" s="291"/>
      <c r="MF143" s="291"/>
      <c r="MG143" s="291"/>
      <c r="MH143" s="291"/>
      <c r="MI143" s="291"/>
      <c r="MJ143" s="291"/>
      <c r="MK143" s="291"/>
      <c r="ML143" s="291"/>
      <c r="MM143" s="291"/>
      <c r="MN143" s="291"/>
      <c r="MO143" s="291"/>
      <c r="MP143" s="291"/>
      <c r="MQ143" s="291"/>
      <c r="MR143" s="291"/>
      <c r="MS143" s="291"/>
      <c r="MT143" s="291"/>
      <c r="MU143" s="291"/>
      <c r="MV143" s="291"/>
      <c r="MW143" s="291"/>
      <c r="MX143" s="291"/>
      <c r="MY143" s="291"/>
      <c r="MZ143" s="291"/>
      <c r="NA143" s="291"/>
      <c r="NB143" s="291"/>
      <c r="NC143" s="291"/>
      <c r="ND143" s="291"/>
      <c r="NE143" s="291"/>
      <c r="NF143" s="291"/>
      <c r="NG143" s="291"/>
      <c r="NH143" s="291"/>
      <c r="NI143" s="291"/>
      <c r="NJ143" s="291"/>
      <c r="NK143" s="291"/>
      <c r="NL143" s="291"/>
      <c r="NM143" s="291"/>
      <c r="NN143" s="291"/>
      <c r="NO143" s="291"/>
      <c r="NP143" s="291"/>
      <c r="NQ143" s="291"/>
      <c r="NR143" s="291"/>
      <c r="NS143" s="291"/>
      <c r="NT143" s="291"/>
      <c r="NU143" s="291"/>
      <c r="NV143" s="291"/>
      <c r="NW143" s="291"/>
      <c r="NX143" s="291"/>
      <c r="NY143" s="291"/>
      <c r="NZ143" s="291"/>
      <c r="OA143" s="291"/>
      <c r="OB143" s="291"/>
      <c r="OC143" s="291"/>
      <c r="OD143" s="291"/>
      <c r="OE143" s="291"/>
      <c r="OF143" s="291"/>
      <c r="OG143" s="291"/>
      <c r="OH143" s="291"/>
      <c r="OI143" s="291"/>
      <c r="OJ143" s="291"/>
      <c r="OK143" s="291"/>
      <c r="OL143" s="291"/>
      <c r="OM143" s="291"/>
      <c r="ON143" s="291"/>
      <c r="OO143" s="291"/>
      <c r="OP143" s="291"/>
      <c r="OQ143" s="291"/>
      <c r="OR143" s="291"/>
      <c r="OS143" s="291"/>
      <c r="OT143" s="291"/>
      <c r="OU143" s="291"/>
      <c r="OV143" s="291"/>
      <c r="OW143" s="291"/>
    </row>
    <row r="144" spans="1:413" s="257" customFormat="1" hidden="1" x14ac:dyDescent="0.2">
      <c r="A144" s="291"/>
      <c r="B144" s="524">
        <f t="shared" si="7"/>
        <v>128</v>
      </c>
      <c r="C144" s="510" t="s">
        <v>38</v>
      </c>
      <c r="D144" s="511">
        <v>30363973</v>
      </c>
      <c r="E144" s="511"/>
      <c r="F144" s="512" t="s">
        <v>1288</v>
      </c>
      <c r="G144" s="513" t="s">
        <v>45</v>
      </c>
      <c r="H144" s="514" t="s">
        <v>1094</v>
      </c>
      <c r="I144" s="515" t="s">
        <v>1112</v>
      </c>
      <c r="J144" s="346" t="s">
        <v>42</v>
      </c>
      <c r="K144" s="526">
        <v>1759471</v>
      </c>
      <c r="L144" s="527">
        <v>168712</v>
      </c>
      <c r="M144" s="528">
        <v>2</v>
      </c>
      <c r="N144" s="519">
        <v>0</v>
      </c>
      <c r="O144" s="519">
        <v>118952</v>
      </c>
      <c r="P144" s="519">
        <v>358364</v>
      </c>
      <c r="Q144" s="519">
        <v>167777</v>
      </c>
      <c r="R144" s="519">
        <v>166509</v>
      </c>
      <c r="S144" s="520">
        <v>115580</v>
      </c>
      <c r="T144" s="18"/>
      <c r="U144" s="18"/>
      <c r="V144" s="18"/>
      <c r="W144" s="18"/>
      <c r="X144" s="18"/>
      <c r="Y144" s="18"/>
      <c r="Z144" s="18">
        <f t="shared" si="4"/>
        <v>927182</v>
      </c>
      <c r="AA144" s="309">
        <v>1590757</v>
      </c>
      <c r="AB144" s="19">
        <v>5</v>
      </c>
      <c r="AC144" s="521">
        <v>44224</v>
      </c>
      <c r="AD144" s="25">
        <v>44251</v>
      </c>
      <c r="AE144" s="309"/>
      <c r="AF144" s="314"/>
      <c r="AG144" s="315"/>
      <c r="AH144" s="316"/>
      <c r="AI144" s="309"/>
      <c r="AJ144" s="338"/>
      <c r="AK144" s="315"/>
      <c r="AL144" s="316"/>
      <c r="AM144" s="309"/>
      <c r="AN144" s="338"/>
      <c r="AO144" s="21"/>
      <c r="AP144" s="25"/>
      <c r="AQ144" s="309"/>
      <c r="AR144" s="19"/>
      <c r="AS144" s="21"/>
      <c r="AT144" s="25"/>
      <c r="AU144" s="522">
        <f t="shared" si="5"/>
        <v>1590757</v>
      </c>
      <c r="AV144" s="311">
        <f t="shared" si="6"/>
        <v>663575</v>
      </c>
      <c r="AW144" s="305"/>
      <c r="AX144" s="291"/>
      <c r="AY144" s="291"/>
      <c r="AZ144" s="291"/>
      <c r="BA144" s="291"/>
      <c r="BB144" s="291"/>
      <c r="BC144" s="291"/>
      <c r="BD144" s="291"/>
      <c r="BE144" s="291"/>
      <c r="BF144" s="291"/>
      <c r="BG144" s="291"/>
      <c r="BH144" s="291"/>
      <c r="BI144" s="291"/>
      <c r="BJ144" s="291"/>
      <c r="BK144" s="291"/>
      <c r="BL144" s="291"/>
      <c r="BM144" s="291"/>
      <c r="BN144" s="291"/>
      <c r="BO144" s="291"/>
      <c r="BP144" s="291"/>
      <c r="BQ144" s="291"/>
      <c r="BR144" s="291"/>
      <c r="BS144" s="291"/>
      <c r="BT144" s="291"/>
      <c r="BU144" s="291"/>
      <c r="BV144" s="291"/>
      <c r="BW144" s="291"/>
      <c r="BX144" s="291"/>
      <c r="BY144" s="291"/>
      <c r="BZ144" s="291"/>
      <c r="CA144" s="291"/>
      <c r="CB144" s="291"/>
      <c r="CC144" s="291"/>
      <c r="CD144" s="291"/>
      <c r="CE144" s="291"/>
      <c r="CF144" s="291"/>
      <c r="CG144" s="291"/>
      <c r="CH144" s="291"/>
      <c r="CI144" s="291"/>
      <c r="CJ144" s="291"/>
      <c r="CK144" s="291"/>
      <c r="CL144" s="291"/>
      <c r="CM144" s="291"/>
      <c r="CN144" s="291"/>
      <c r="CO144" s="291"/>
      <c r="CP144" s="291"/>
      <c r="CQ144" s="291"/>
      <c r="CR144" s="291"/>
      <c r="CS144" s="291"/>
      <c r="CT144" s="291"/>
      <c r="CU144" s="291"/>
      <c r="CV144" s="291"/>
      <c r="CW144" s="291"/>
      <c r="CX144" s="291"/>
      <c r="CY144" s="291"/>
      <c r="CZ144" s="291"/>
      <c r="DA144" s="291"/>
      <c r="DB144" s="291"/>
      <c r="DC144" s="291"/>
      <c r="DD144" s="291"/>
      <c r="DE144" s="291"/>
      <c r="DF144" s="291"/>
      <c r="DG144" s="291"/>
      <c r="DH144" s="291"/>
      <c r="DI144" s="291"/>
      <c r="DJ144" s="291"/>
      <c r="DK144" s="291"/>
      <c r="DL144" s="291"/>
      <c r="DM144" s="291"/>
      <c r="DN144" s="291"/>
      <c r="DO144" s="291"/>
      <c r="DP144" s="291"/>
      <c r="DQ144" s="291"/>
      <c r="DR144" s="291"/>
      <c r="DS144" s="291"/>
      <c r="DT144" s="291"/>
      <c r="DU144" s="291"/>
      <c r="DV144" s="291"/>
      <c r="DW144" s="291"/>
      <c r="DX144" s="291"/>
      <c r="DY144" s="291"/>
      <c r="DZ144" s="291"/>
      <c r="EA144" s="291"/>
      <c r="EB144" s="291"/>
      <c r="EC144" s="291"/>
      <c r="ED144" s="291"/>
      <c r="EE144" s="291"/>
      <c r="EF144" s="291"/>
      <c r="EG144" s="291"/>
      <c r="EH144" s="291"/>
      <c r="EI144" s="291"/>
      <c r="EJ144" s="291"/>
      <c r="EK144" s="291"/>
      <c r="EL144" s="291"/>
      <c r="EM144" s="291"/>
      <c r="EN144" s="291"/>
      <c r="EO144" s="291"/>
      <c r="EP144" s="291"/>
      <c r="EQ144" s="291"/>
      <c r="ER144" s="291"/>
      <c r="ES144" s="291"/>
      <c r="ET144" s="291"/>
      <c r="EU144" s="291"/>
      <c r="EV144" s="291"/>
      <c r="EW144" s="291"/>
      <c r="EX144" s="291"/>
      <c r="EY144" s="291"/>
      <c r="EZ144" s="291"/>
      <c r="FA144" s="291"/>
      <c r="FB144" s="291"/>
      <c r="FC144" s="291"/>
      <c r="FD144" s="291"/>
      <c r="FE144" s="291"/>
      <c r="FF144" s="291"/>
      <c r="FG144" s="291"/>
      <c r="FH144" s="291"/>
      <c r="FI144" s="291"/>
      <c r="FJ144" s="291"/>
      <c r="FK144" s="291"/>
      <c r="FL144" s="291"/>
      <c r="FM144" s="291"/>
      <c r="FN144" s="291"/>
      <c r="FO144" s="291"/>
      <c r="FP144" s="291"/>
      <c r="FQ144" s="291"/>
      <c r="FR144" s="291"/>
      <c r="FS144" s="291"/>
      <c r="FT144" s="291"/>
      <c r="FU144" s="291"/>
      <c r="FV144" s="291"/>
      <c r="FW144" s="291"/>
      <c r="FX144" s="291"/>
      <c r="FY144" s="291"/>
      <c r="FZ144" s="291"/>
      <c r="GA144" s="291"/>
      <c r="GB144" s="291"/>
      <c r="GC144" s="291"/>
      <c r="GD144" s="291"/>
      <c r="GE144" s="291"/>
      <c r="GF144" s="291"/>
      <c r="GG144" s="291"/>
      <c r="GH144" s="291"/>
      <c r="GI144" s="291"/>
      <c r="GJ144" s="291"/>
      <c r="GK144" s="291"/>
      <c r="GL144" s="291"/>
      <c r="GM144" s="291"/>
      <c r="GN144" s="291"/>
      <c r="GO144" s="291"/>
      <c r="GP144" s="291"/>
      <c r="GQ144" s="291"/>
      <c r="GR144" s="291"/>
      <c r="GS144" s="291"/>
      <c r="GT144" s="291"/>
      <c r="GU144" s="291"/>
      <c r="GV144" s="291"/>
      <c r="GW144" s="291"/>
      <c r="GX144" s="291"/>
      <c r="GY144" s="291"/>
      <c r="GZ144" s="291"/>
      <c r="HA144" s="291"/>
      <c r="HB144" s="291"/>
      <c r="HC144" s="291"/>
      <c r="HD144" s="291"/>
      <c r="HE144" s="291"/>
      <c r="HF144" s="291"/>
      <c r="HG144" s="291"/>
      <c r="HH144" s="291"/>
      <c r="HI144" s="291"/>
      <c r="HJ144" s="291"/>
      <c r="HK144" s="291"/>
      <c r="HL144" s="291"/>
      <c r="HM144" s="291"/>
      <c r="HN144" s="291"/>
      <c r="HO144" s="291"/>
      <c r="HP144" s="291"/>
      <c r="HQ144" s="291"/>
      <c r="HR144" s="291"/>
      <c r="HS144" s="291"/>
      <c r="HT144" s="291"/>
      <c r="HU144" s="291"/>
      <c r="HV144" s="291"/>
      <c r="HW144" s="291"/>
      <c r="HX144" s="291"/>
      <c r="HY144" s="291"/>
      <c r="HZ144" s="291"/>
      <c r="IA144" s="291"/>
      <c r="IB144" s="291"/>
      <c r="IC144" s="291"/>
      <c r="ID144" s="291"/>
      <c r="IE144" s="291"/>
      <c r="IF144" s="291"/>
      <c r="IG144" s="291"/>
      <c r="IH144" s="291"/>
      <c r="II144" s="291"/>
      <c r="IJ144" s="291"/>
      <c r="IK144" s="291"/>
      <c r="IL144" s="291"/>
      <c r="IM144" s="291"/>
      <c r="IN144" s="291"/>
      <c r="IO144" s="291"/>
      <c r="IP144" s="291"/>
      <c r="IQ144" s="291"/>
      <c r="IR144" s="291"/>
      <c r="IS144" s="291"/>
      <c r="IT144" s="291"/>
      <c r="IU144" s="291"/>
      <c r="IV144" s="291"/>
      <c r="IW144" s="291"/>
      <c r="IX144" s="291"/>
      <c r="IY144" s="291"/>
      <c r="IZ144" s="291"/>
      <c r="JA144" s="291"/>
      <c r="JB144" s="291"/>
      <c r="JC144" s="291"/>
      <c r="JD144" s="291"/>
      <c r="JE144" s="291"/>
      <c r="JF144" s="291"/>
      <c r="JG144" s="291"/>
      <c r="JH144" s="291"/>
      <c r="JI144" s="291"/>
      <c r="JJ144" s="291"/>
      <c r="JK144" s="291"/>
      <c r="JL144" s="291"/>
      <c r="JM144" s="291"/>
      <c r="JN144" s="291"/>
      <c r="JO144" s="291"/>
      <c r="JP144" s="291"/>
      <c r="JQ144" s="291"/>
      <c r="JR144" s="291"/>
      <c r="JS144" s="291"/>
      <c r="JT144" s="291"/>
      <c r="JU144" s="291"/>
      <c r="JV144" s="291"/>
      <c r="JW144" s="291"/>
      <c r="JX144" s="291"/>
      <c r="JY144" s="291"/>
      <c r="JZ144" s="291"/>
      <c r="KA144" s="291"/>
      <c r="KB144" s="291"/>
      <c r="KC144" s="291"/>
      <c r="KD144" s="291"/>
      <c r="KE144" s="291"/>
      <c r="KF144" s="291"/>
      <c r="KG144" s="291"/>
      <c r="KH144" s="291"/>
      <c r="KI144" s="291"/>
      <c r="KJ144" s="291"/>
      <c r="KK144" s="291"/>
      <c r="KL144" s="291"/>
      <c r="KM144" s="291"/>
      <c r="KN144" s="291"/>
      <c r="KO144" s="291"/>
      <c r="KP144" s="291"/>
      <c r="KQ144" s="291"/>
      <c r="KR144" s="291"/>
      <c r="KS144" s="291"/>
      <c r="KT144" s="291"/>
      <c r="KU144" s="291"/>
      <c r="KV144" s="291"/>
      <c r="KW144" s="291"/>
      <c r="KX144" s="291"/>
      <c r="KY144" s="291"/>
      <c r="KZ144" s="291"/>
      <c r="LA144" s="291"/>
      <c r="LB144" s="291"/>
      <c r="LC144" s="291"/>
      <c r="LD144" s="291"/>
      <c r="LE144" s="291"/>
      <c r="LF144" s="291"/>
      <c r="LG144" s="291"/>
      <c r="LH144" s="291"/>
      <c r="LI144" s="291"/>
      <c r="LJ144" s="291"/>
      <c r="LK144" s="291"/>
      <c r="LL144" s="291"/>
      <c r="LM144" s="291"/>
      <c r="LN144" s="291"/>
      <c r="LO144" s="291"/>
      <c r="LP144" s="291"/>
      <c r="LQ144" s="291"/>
      <c r="LR144" s="291"/>
      <c r="LS144" s="291"/>
      <c r="LT144" s="291"/>
      <c r="LU144" s="291"/>
      <c r="LV144" s="291"/>
      <c r="LW144" s="291"/>
      <c r="LX144" s="291"/>
      <c r="LY144" s="291"/>
      <c r="LZ144" s="291"/>
      <c r="MA144" s="291"/>
      <c r="MB144" s="291"/>
      <c r="MC144" s="291"/>
      <c r="MD144" s="291"/>
      <c r="ME144" s="291"/>
      <c r="MF144" s="291"/>
      <c r="MG144" s="291"/>
      <c r="MH144" s="291"/>
      <c r="MI144" s="291"/>
      <c r="MJ144" s="291"/>
      <c r="MK144" s="291"/>
      <c r="ML144" s="291"/>
      <c r="MM144" s="291"/>
      <c r="MN144" s="291"/>
      <c r="MO144" s="291"/>
      <c r="MP144" s="291"/>
      <c r="MQ144" s="291"/>
      <c r="MR144" s="291"/>
      <c r="MS144" s="291"/>
      <c r="MT144" s="291"/>
      <c r="MU144" s="291"/>
      <c r="MV144" s="291"/>
      <c r="MW144" s="291"/>
      <c r="MX144" s="291"/>
      <c r="MY144" s="291"/>
      <c r="MZ144" s="291"/>
      <c r="NA144" s="291"/>
      <c r="NB144" s="291"/>
      <c r="NC144" s="291"/>
      <c r="ND144" s="291"/>
      <c r="NE144" s="291"/>
      <c r="NF144" s="291"/>
      <c r="NG144" s="291"/>
      <c r="NH144" s="291"/>
      <c r="NI144" s="291"/>
      <c r="NJ144" s="291"/>
      <c r="NK144" s="291"/>
      <c r="NL144" s="291"/>
      <c r="NM144" s="291"/>
      <c r="NN144" s="291"/>
      <c r="NO144" s="291"/>
      <c r="NP144" s="291"/>
      <c r="NQ144" s="291"/>
      <c r="NR144" s="291"/>
      <c r="NS144" s="291"/>
      <c r="NT144" s="291"/>
      <c r="NU144" s="291"/>
      <c r="NV144" s="291"/>
      <c r="NW144" s="291"/>
      <c r="NX144" s="291"/>
      <c r="NY144" s="291"/>
      <c r="NZ144" s="291"/>
      <c r="OA144" s="291"/>
      <c r="OB144" s="291"/>
      <c r="OC144" s="291"/>
      <c r="OD144" s="291"/>
      <c r="OE144" s="291"/>
      <c r="OF144" s="291"/>
      <c r="OG144" s="291"/>
      <c r="OH144" s="291"/>
      <c r="OI144" s="291"/>
      <c r="OJ144" s="291"/>
      <c r="OK144" s="291"/>
      <c r="OL144" s="291"/>
      <c r="OM144" s="291"/>
      <c r="ON144" s="291"/>
      <c r="OO144" s="291"/>
      <c r="OP144" s="291"/>
      <c r="OQ144" s="291"/>
      <c r="OR144" s="291"/>
      <c r="OS144" s="291"/>
      <c r="OT144" s="291"/>
      <c r="OU144" s="291"/>
      <c r="OV144" s="291"/>
      <c r="OW144" s="291"/>
    </row>
    <row r="145" spans="1:413" s="257" customFormat="1" hidden="1" x14ac:dyDescent="0.2">
      <c r="A145" s="291"/>
      <c r="B145" s="524">
        <f t="shared" si="7"/>
        <v>129</v>
      </c>
      <c r="C145" s="510" t="s">
        <v>38</v>
      </c>
      <c r="D145" s="511">
        <v>30367427</v>
      </c>
      <c r="E145" s="511"/>
      <c r="F145" s="512" t="s">
        <v>1289</v>
      </c>
      <c r="G145" s="513" t="s">
        <v>46</v>
      </c>
      <c r="H145" s="514" t="s">
        <v>1094</v>
      </c>
      <c r="I145" s="515" t="s">
        <v>1159</v>
      </c>
      <c r="J145" s="346" t="s">
        <v>42</v>
      </c>
      <c r="K145" s="526">
        <v>53685</v>
      </c>
      <c r="L145" s="527">
        <v>26292</v>
      </c>
      <c r="M145" s="528">
        <v>1101</v>
      </c>
      <c r="N145" s="520">
        <v>0</v>
      </c>
      <c r="O145" s="520">
        <v>0</v>
      </c>
      <c r="P145" s="520">
        <v>0</v>
      </c>
      <c r="Q145" s="520">
        <v>0</v>
      </c>
      <c r="R145" s="520">
        <v>0</v>
      </c>
      <c r="S145" s="520">
        <v>956</v>
      </c>
      <c r="T145" s="18"/>
      <c r="U145" s="18"/>
      <c r="V145" s="18"/>
      <c r="W145" s="18"/>
      <c r="X145" s="18"/>
      <c r="Y145" s="18"/>
      <c r="Z145" s="18">
        <f t="shared" ref="Z145:Z208" si="8">SUM(N145:Y145)</f>
        <v>956</v>
      </c>
      <c r="AA145" s="309">
        <v>21038</v>
      </c>
      <c r="AB145" s="19">
        <v>5</v>
      </c>
      <c r="AC145" s="521">
        <v>44224</v>
      </c>
      <c r="AD145" s="25">
        <v>44251</v>
      </c>
      <c r="AE145" s="309"/>
      <c r="AF145" s="314"/>
      <c r="AG145" s="315"/>
      <c r="AH145" s="316"/>
      <c r="AI145" s="309"/>
      <c r="AJ145" s="338"/>
      <c r="AK145" s="315"/>
      <c r="AL145" s="316"/>
      <c r="AM145" s="309"/>
      <c r="AN145" s="338"/>
      <c r="AO145" s="21"/>
      <c r="AP145" s="25"/>
      <c r="AQ145" s="309"/>
      <c r="AR145" s="19"/>
      <c r="AS145" s="21"/>
      <c r="AT145" s="25"/>
      <c r="AU145" s="522">
        <f t="shared" ref="AU145:AU208" si="9">(AA145+AE145+AI145+AM145+AQ145)</f>
        <v>21038</v>
      </c>
      <c r="AV145" s="311">
        <f t="shared" ref="AV145:AV208" si="10">AU145-Z145</f>
        <v>20082</v>
      </c>
      <c r="AW145" s="305"/>
      <c r="AX145" s="291"/>
      <c r="AY145" s="291"/>
      <c r="AZ145" s="291"/>
      <c r="BA145" s="291"/>
      <c r="BB145" s="291"/>
      <c r="BC145" s="291"/>
      <c r="BD145" s="291"/>
      <c r="BE145" s="291"/>
      <c r="BF145" s="291"/>
      <c r="BG145" s="291"/>
      <c r="BH145" s="291"/>
      <c r="BI145" s="291"/>
      <c r="BJ145" s="291"/>
      <c r="BK145" s="291"/>
      <c r="BL145" s="291"/>
      <c r="BM145" s="291"/>
      <c r="BN145" s="291"/>
      <c r="BO145" s="291"/>
      <c r="BP145" s="291"/>
      <c r="BQ145" s="291"/>
      <c r="BR145" s="291"/>
      <c r="BS145" s="291"/>
      <c r="BT145" s="291"/>
      <c r="BU145" s="291"/>
      <c r="BV145" s="291"/>
      <c r="BW145" s="291"/>
      <c r="BX145" s="291"/>
      <c r="BY145" s="291"/>
      <c r="BZ145" s="291"/>
      <c r="CA145" s="291"/>
      <c r="CB145" s="291"/>
      <c r="CC145" s="291"/>
      <c r="CD145" s="291"/>
      <c r="CE145" s="291"/>
      <c r="CF145" s="291"/>
      <c r="CG145" s="291"/>
      <c r="CH145" s="291"/>
      <c r="CI145" s="291"/>
      <c r="CJ145" s="291"/>
      <c r="CK145" s="291"/>
      <c r="CL145" s="291"/>
      <c r="CM145" s="291"/>
      <c r="CN145" s="291"/>
      <c r="CO145" s="291"/>
      <c r="CP145" s="291"/>
      <c r="CQ145" s="291"/>
      <c r="CR145" s="291"/>
      <c r="CS145" s="291"/>
      <c r="CT145" s="291"/>
      <c r="CU145" s="291"/>
      <c r="CV145" s="291"/>
      <c r="CW145" s="291"/>
      <c r="CX145" s="291"/>
      <c r="CY145" s="291"/>
      <c r="CZ145" s="291"/>
      <c r="DA145" s="291"/>
      <c r="DB145" s="291"/>
      <c r="DC145" s="291"/>
      <c r="DD145" s="291"/>
      <c r="DE145" s="291"/>
      <c r="DF145" s="291"/>
      <c r="DG145" s="291"/>
      <c r="DH145" s="291"/>
      <c r="DI145" s="291"/>
      <c r="DJ145" s="291"/>
      <c r="DK145" s="291"/>
      <c r="DL145" s="291"/>
      <c r="DM145" s="291"/>
      <c r="DN145" s="291"/>
      <c r="DO145" s="291"/>
      <c r="DP145" s="291"/>
      <c r="DQ145" s="291"/>
      <c r="DR145" s="291"/>
      <c r="DS145" s="291"/>
      <c r="DT145" s="291"/>
      <c r="DU145" s="291"/>
      <c r="DV145" s="291"/>
      <c r="DW145" s="291"/>
      <c r="DX145" s="291"/>
      <c r="DY145" s="291"/>
      <c r="DZ145" s="291"/>
      <c r="EA145" s="291"/>
      <c r="EB145" s="291"/>
      <c r="EC145" s="291"/>
      <c r="ED145" s="291"/>
      <c r="EE145" s="291"/>
      <c r="EF145" s="291"/>
      <c r="EG145" s="291"/>
      <c r="EH145" s="291"/>
      <c r="EI145" s="291"/>
      <c r="EJ145" s="291"/>
      <c r="EK145" s="291"/>
      <c r="EL145" s="291"/>
      <c r="EM145" s="291"/>
      <c r="EN145" s="291"/>
      <c r="EO145" s="291"/>
      <c r="EP145" s="291"/>
      <c r="EQ145" s="291"/>
      <c r="ER145" s="291"/>
      <c r="ES145" s="291"/>
      <c r="ET145" s="291"/>
      <c r="EU145" s="291"/>
      <c r="EV145" s="291"/>
      <c r="EW145" s="291"/>
      <c r="EX145" s="291"/>
      <c r="EY145" s="291"/>
      <c r="EZ145" s="291"/>
      <c r="FA145" s="291"/>
      <c r="FB145" s="291"/>
      <c r="FC145" s="291"/>
      <c r="FD145" s="291"/>
      <c r="FE145" s="291"/>
      <c r="FF145" s="291"/>
      <c r="FG145" s="291"/>
      <c r="FH145" s="291"/>
      <c r="FI145" s="291"/>
      <c r="FJ145" s="291"/>
      <c r="FK145" s="291"/>
      <c r="FL145" s="291"/>
      <c r="FM145" s="291"/>
      <c r="FN145" s="291"/>
      <c r="FO145" s="291"/>
      <c r="FP145" s="291"/>
      <c r="FQ145" s="291"/>
      <c r="FR145" s="291"/>
      <c r="FS145" s="291"/>
      <c r="FT145" s="291"/>
      <c r="FU145" s="291"/>
      <c r="FV145" s="291"/>
      <c r="FW145" s="291"/>
      <c r="FX145" s="291"/>
      <c r="FY145" s="291"/>
      <c r="FZ145" s="291"/>
      <c r="GA145" s="291"/>
      <c r="GB145" s="291"/>
      <c r="GC145" s="291"/>
      <c r="GD145" s="291"/>
      <c r="GE145" s="291"/>
      <c r="GF145" s="291"/>
      <c r="GG145" s="291"/>
      <c r="GH145" s="291"/>
      <c r="GI145" s="291"/>
      <c r="GJ145" s="291"/>
      <c r="GK145" s="291"/>
      <c r="GL145" s="291"/>
      <c r="GM145" s="291"/>
      <c r="GN145" s="291"/>
      <c r="GO145" s="291"/>
      <c r="GP145" s="291"/>
      <c r="GQ145" s="291"/>
      <c r="GR145" s="291"/>
      <c r="GS145" s="291"/>
      <c r="GT145" s="291"/>
      <c r="GU145" s="291"/>
      <c r="GV145" s="291"/>
      <c r="GW145" s="291"/>
      <c r="GX145" s="291"/>
      <c r="GY145" s="291"/>
      <c r="GZ145" s="291"/>
      <c r="HA145" s="291"/>
      <c r="HB145" s="291"/>
      <c r="HC145" s="291"/>
      <c r="HD145" s="291"/>
      <c r="HE145" s="291"/>
      <c r="HF145" s="291"/>
      <c r="HG145" s="291"/>
      <c r="HH145" s="291"/>
      <c r="HI145" s="291"/>
      <c r="HJ145" s="291"/>
      <c r="HK145" s="291"/>
      <c r="HL145" s="291"/>
      <c r="HM145" s="291"/>
      <c r="HN145" s="291"/>
      <c r="HO145" s="291"/>
      <c r="HP145" s="291"/>
      <c r="HQ145" s="291"/>
      <c r="HR145" s="291"/>
      <c r="HS145" s="291"/>
      <c r="HT145" s="291"/>
      <c r="HU145" s="291"/>
      <c r="HV145" s="291"/>
      <c r="HW145" s="291"/>
      <c r="HX145" s="291"/>
      <c r="HY145" s="291"/>
      <c r="HZ145" s="291"/>
      <c r="IA145" s="291"/>
      <c r="IB145" s="291"/>
      <c r="IC145" s="291"/>
      <c r="ID145" s="291"/>
      <c r="IE145" s="291"/>
      <c r="IF145" s="291"/>
      <c r="IG145" s="291"/>
      <c r="IH145" s="291"/>
      <c r="II145" s="291"/>
      <c r="IJ145" s="291"/>
      <c r="IK145" s="291"/>
      <c r="IL145" s="291"/>
      <c r="IM145" s="291"/>
      <c r="IN145" s="291"/>
      <c r="IO145" s="291"/>
      <c r="IP145" s="291"/>
      <c r="IQ145" s="291"/>
      <c r="IR145" s="291"/>
      <c r="IS145" s="291"/>
      <c r="IT145" s="291"/>
      <c r="IU145" s="291"/>
      <c r="IV145" s="291"/>
      <c r="IW145" s="291"/>
      <c r="IX145" s="291"/>
      <c r="IY145" s="291"/>
      <c r="IZ145" s="291"/>
      <c r="JA145" s="291"/>
      <c r="JB145" s="291"/>
      <c r="JC145" s="291"/>
      <c r="JD145" s="291"/>
      <c r="JE145" s="291"/>
      <c r="JF145" s="291"/>
      <c r="JG145" s="291"/>
      <c r="JH145" s="291"/>
      <c r="JI145" s="291"/>
      <c r="JJ145" s="291"/>
      <c r="JK145" s="291"/>
      <c r="JL145" s="291"/>
      <c r="JM145" s="291"/>
      <c r="JN145" s="291"/>
      <c r="JO145" s="291"/>
      <c r="JP145" s="291"/>
      <c r="JQ145" s="291"/>
      <c r="JR145" s="291"/>
      <c r="JS145" s="291"/>
      <c r="JT145" s="291"/>
      <c r="JU145" s="291"/>
      <c r="JV145" s="291"/>
      <c r="JW145" s="291"/>
      <c r="JX145" s="291"/>
      <c r="JY145" s="291"/>
      <c r="JZ145" s="291"/>
      <c r="KA145" s="291"/>
      <c r="KB145" s="291"/>
      <c r="KC145" s="291"/>
      <c r="KD145" s="291"/>
      <c r="KE145" s="291"/>
      <c r="KF145" s="291"/>
      <c r="KG145" s="291"/>
      <c r="KH145" s="291"/>
      <c r="KI145" s="291"/>
      <c r="KJ145" s="291"/>
      <c r="KK145" s="291"/>
      <c r="KL145" s="291"/>
      <c r="KM145" s="291"/>
      <c r="KN145" s="291"/>
      <c r="KO145" s="291"/>
      <c r="KP145" s="291"/>
      <c r="KQ145" s="291"/>
      <c r="KR145" s="291"/>
      <c r="KS145" s="291"/>
      <c r="KT145" s="291"/>
      <c r="KU145" s="291"/>
      <c r="KV145" s="291"/>
      <c r="KW145" s="291"/>
      <c r="KX145" s="291"/>
      <c r="KY145" s="291"/>
      <c r="KZ145" s="291"/>
      <c r="LA145" s="291"/>
      <c r="LB145" s="291"/>
      <c r="LC145" s="291"/>
      <c r="LD145" s="291"/>
      <c r="LE145" s="291"/>
      <c r="LF145" s="291"/>
      <c r="LG145" s="291"/>
      <c r="LH145" s="291"/>
      <c r="LI145" s="291"/>
      <c r="LJ145" s="291"/>
      <c r="LK145" s="291"/>
      <c r="LL145" s="291"/>
      <c r="LM145" s="291"/>
      <c r="LN145" s="291"/>
      <c r="LO145" s="291"/>
      <c r="LP145" s="291"/>
      <c r="LQ145" s="291"/>
      <c r="LR145" s="291"/>
      <c r="LS145" s="291"/>
      <c r="LT145" s="291"/>
      <c r="LU145" s="291"/>
      <c r="LV145" s="291"/>
      <c r="LW145" s="291"/>
      <c r="LX145" s="291"/>
      <c r="LY145" s="291"/>
      <c r="LZ145" s="291"/>
      <c r="MA145" s="291"/>
      <c r="MB145" s="291"/>
      <c r="MC145" s="291"/>
      <c r="MD145" s="291"/>
      <c r="ME145" s="291"/>
      <c r="MF145" s="291"/>
      <c r="MG145" s="291"/>
      <c r="MH145" s="291"/>
      <c r="MI145" s="291"/>
      <c r="MJ145" s="291"/>
      <c r="MK145" s="291"/>
      <c r="ML145" s="291"/>
      <c r="MM145" s="291"/>
      <c r="MN145" s="291"/>
      <c r="MO145" s="291"/>
      <c r="MP145" s="291"/>
      <c r="MQ145" s="291"/>
      <c r="MR145" s="291"/>
      <c r="MS145" s="291"/>
      <c r="MT145" s="291"/>
      <c r="MU145" s="291"/>
      <c r="MV145" s="291"/>
      <c r="MW145" s="291"/>
      <c r="MX145" s="291"/>
      <c r="MY145" s="291"/>
      <c r="MZ145" s="291"/>
      <c r="NA145" s="291"/>
      <c r="NB145" s="291"/>
      <c r="NC145" s="291"/>
      <c r="ND145" s="291"/>
      <c r="NE145" s="291"/>
      <c r="NF145" s="291"/>
      <c r="NG145" s="291"/>
      <c r="NH145" s="291"/>
      <c r="NI145" s="291"/>
      <c r="NJ145" s="291"/>
      <c r="NK145" s="291"/>
      <c r="NL145" s="291"/>
      <c r="NM145" s="291"/>
      <c r="NN145" s="291"/>
      <c r="NO145" s="291"/>
      <c r="NP145" s="291"/>
      <c r="NQ145" s="291"/>
      <c r="NR145" s="291"/>
      <c r="NS145" s="291"/>
      <c r="NT145" s="291"/>
      <c r="NU145" s="291"/>
      <c r="NV145" s="291"/>
      <c r="NW145" s="291"/>
      <c r="NX145" s="291"/>
      <c r="NY145" s="291"/>
      <c r="NZ145" s="291"/>
      <c r="OA145" s="291"/>
      <c r="OB145" s="291"/>
      <c r="OC145" s="291"/>
      <c r="OD145" s="291"/>
      <c r="OE145" s="291"/>
      <c r="OF145" s="291"/>
      <c r="OG145" s="291"/>
      <c r="OH145" s="291"/>
      <c r="OI145" s="291"/>
      <c r="OJ145" s="291"/>
      <c r="OK145" s="291"/>
      <c r="OL145" s="291"/>
      <c r="OM145" s="291"/>
      <c r="ON145" s="291"/>
      <c r="OO145" s="291"/>
      <c r="OP145" s="291"/>
      <c r="OQ145" s="291"/>
      <c r="OR145" s="291"/>
      <c r="OS145" s="291"/>
      <c r="OT145" s="291"/>
      <c r="OU145" s="291"/>
      <c r="OV145" s="291"/>
      <c r="OW145" s="291"/>
    </row>
    <row r="146" spans="1:413" s="257" customFormat="1" hidden="1" x14ac:dyDescent="0.2">
      <c r="A146" s="291"/>
      <c r="B146" s="524">
        <f t="shared" ref="B146:B209" si="11">+B145+1</f>
        <v>130</v>
      </c>
      <c r="C146" s="510" t="s">
        <v>38</v>
      </c>
      <c r="D146" s="511">
        <v>30369628</v>
      </c>
      <c r="E146" s="511"/>
      <c r="F146" s="512" t="s">
        <v>1290</v>
      </c>
      <c r="G146" s="513" t="s">
        <v>1250</v>
      </c>
      <c r="H146" s="514" t="s">
        <v>1094</v>
      </c>
      <c r="I146" s="515" t="s">
        <v>1118</v>
      </c>
      <c r="J146" s="346" t="s">
        <v>43</v>
      </c>
      <c r="K146" s="526">
        <v>80191</v>
      </c>
      <c r="L146" s="527">
        <v>0</v>
      </c>
      <c r="M146" s="528">
        <v>3752</v>
      </c>
      <c r="N146" s="519">
        <v>0</v>
      </c>
      <c r="O146" s="519">
        <v>0</v>
      </c>
      <c r="P146" s="519">
        <v>0</v>
      </c>
      <c r="Q146" s="519">
        <v>0</v>
      </c>
      <c r="R146" s="519">
        <v>0</v>
      </c>
      <c r="S146" s="520">
        <v>0</v>
      </c>
      <c r="T146" s="18"/>
      <c r="U146" s="18"/>
      <c r="V146" s="18"/>
      <c r="W146" s="18"/>
      <c r="X146" s="18"/>
      <c r="Y146" s="18"/>
      <c r="Z146" s="18">
        <f t="shared" si="8"/>
        <v>0</v>
      </c>
      <c r="AA146" s="309">
        <v>39214</v>
      </c>
      <c r="AB146" s="19">
        <v>5</v>
      </c>
      <c r="AC146" s="521">
        <v>44224</v>
      </c>
      <c r="AD146" s="25">
        <v>44251</v>
      </c>
      <c r="AE146" s="309">
        <v>-39213</v>
      </c>
      <c r="AF146" s="314">
        <v>50</v>
      </c>
      <c r="AG146" s="315">
        <v>44356</v>
      </c>
      <c r="AH146" s="315">
        <v>44377</v>
      </c>
      <c r="AI146" s="309"/>
      <c r="AJ146" s="338"/>
      <c r="AK146" s="315"/>
      <c r="AL146" s="316"/>
      <c r="AM146" s="309"/>
      <c r="AN146" s="338"/>
      <c r="AO146" s="21"/>
      <c r="AP146" s="25"/>
      <c r="AQ146" s="309"/>
      <c r="AR146" s="19"/>
      <c r="AS146" s="21"/>
      <c r="AT146" s="25"/>
      <c r="AU146" s="522">
        <f t="shared" si="9"/>
        <v>1</v>
      </c>
      <c r="AV146" s="311">
        <f t="shared" si="10"/>
        <v>1</v>
      </c>
      <c r="AW146" s="305"/>
      <c r="AX146" s="291"/>
      <c r="AY146" s="291"/>
      <c r="AZ146" s="291"/>
      <c r="BA146" s="291"/>
      <c r="BB146" s="291"/>
      <c r="BC146" s="291"/>
      <c r="BD146" s="291"/>
      <c r="BE146" s="291"/>
      <c r="BF146" s="291"/>
      <c r="BG146" s="291"/>
      <c r="BH146" s="291"/>
      <c r="BI146" s="291"/>
      <c r="BJ146" s="291"/>
      <c r="BK146" s="291"/>
      <c r="BL146" s="291"/>
      <c r="BM146" s="291"/>
      <c r="BN146" s="291"/>
      <c r="BO146" s="291"/>
      <c r="BP146" s="291"/>
      <c r="BQ146" s="291"/>
      <c r="BR146" s="291"/>
      <c r="BS146" s="291"/>
      <c r="BT146" s="291"/>
      <c r="BU146" s="291"/>
      <c r="BV146" s="291"/>
      <c r="BW146" s="291"/>
      <c r="BX146" s="291"/>
      <c r="BY146" s="291"/>
      <c r="BZ146" s="291"/>
      <c r="CA146" s="291"/>
      <c r="CB146" s="291"/>
      <c r="CC146" s="291"/>
      <c r="CD146" s="291"/>
      <c r="CE146" s="291"/>
      <c r="CF146" s="291"/>
      <c r="CG146" s="291"/>
      <c r="CH146" s="291"/>
      <c r="CI146" s="291"/>
      <c r="CJ146" s="291"/>
      <c r="CK146" s="291"/>
      <c r="CL146" s="291"/>
      <c r="CM146" s="291"/>
      <c r="CN146" s="291"/>
      <c r="CO146" s="291"/>
      <c r="CP146" s="291"/>
      <c r="CQ146" s="291"/>
      <c r="CR146" s="291"/>
      <c r="CS146" s="291"/>
      <c r="CT146" s="291"/>
      <c r="CU146" s="291"/>
      <c r="CV146" s="291"/>
      <c r="CW146" s="291"/>
      <c r="CX146" s="291"/>
      <c r="CY146" s="291"/>
      <c r="CZ146" s="291"/>
      <c r="DA146" s="291"/>
      <c r="DB146" s="291"/>
      <c r="DC146" s="291"/>
      <c r="DD146" s="291"/>
      <c r="DE146" s="291"/>
      <c r="DF146" s="291"/>
      <c r="DG146" s="291"/>
      <c r="DH146" s="291"/>
      <c r="DI146" s="291"/>
      <c r="DJ146" s="291"/>
      <c r="DK146" s="291"/>
      <c r="DL146" s="291"/>
      <c r="DM146" s="291"/>
      <c r="DN146" s="291"/>
      <c r="DO146" s="291"/>
      <c r="DP146" s="291"/>
      <c r="DQ146" s="291"/>
      <c r="DR146" s="291"/>
      <c r="DS146" s="291"/>
      <c r="DT146" s="291"/>
      <c r="DU146" s="291"/>
      <c r="DV146" s="291"/>
      <c r="DW146" s="291"/>
      <c r="DX146" s="291"/>
      <c r="DY146" s="291"/>
      <c r="DZ146" s="291"/>
      <c r="EA146" s="291"/>
      <c r="EB146" s="291"/>
      <c r="EC146" s="291"/>
      <c r="ED146" s="291"/>
      <c r="EE146" s="291"/>
      <c r="EF146" s="291"/>
      <c r="EG146" s="291"/>
      <c r="EH146" s="291"/>
      <c r="EI146" s="291"/>
      <c r="EJ146" s="291"/>
      <c r="EK146" s="291"/>
      <c r="EL146" s="291"/>
      <c r="EM146" s="291"/>
      <c r="EN146" s="291"/>
      <c r="EO146" s="291"/>
      <c r="EP146" s="291"/>
      <c r="EQ146" s="291"/>
      <c r="ER146" s="291"/>
      <c r="ES146" s="291"/>
      <c r="ET146" s="291"/>
      <c r="EU146" s="291"/>
      <c r="EV146" s="291"/>
      <c r="EW146" s="291"/>
      <c r="EX146" s="291"/>
      <c r="EY146" s="291"/>
      <c r="EZ146" s="291"/>
      <c r="FA146" s="291"/>
      <c r="FB146" s="291"/>
      <c r="FC146" s="291"/>
      <c r="FD146" s="291"/>
      <c r="FE146" s="291"/>
      <c r="FF146" s="291"/>
      <c r="FG146" s="291"/>
      <c r="FH146" s="291"/>
      <c r="FI146" s="291"/>
      <c r="FJ146" s="291"/>
      <c r="FK146" s="291"/>
      <c r="FL146" s="291"/>
      <c r="FM146" s="291"/>
      <c r="FN146" s="291"/>
      <c r="FO146" s="291"/>
      <c r="FP146" s="291"/>
      <c r="FQ146" s="291"/>
      <c r="FR146" s="291"/>
      <c r="FS146" s="291"/>
      <c r="FT146" s="291"/>
      <c r="FU146" s="291"/>
      <c r="FV146" s="291"/>
      <c r="FW146" s="291"/>
      <c r="FX146" s="291"/>
      <c r="FY146" s="291"/>
      <c r="FZ146" s="291"/>
      <c r="GA146" s="291"/>
      <c r="GB146" s="291"/>
      <c r="GC146" s="291"/>
      <c r="GD146" s="291"/>
      <c r="GE146" s="291"/>
      <c r="GF146" s="291"/>
      <c r="GG146" s="291"/>
      <c r="GH146" s="291"/>
      <c r="GI146" s="291"/>
      <c r="GJ146" s="291"/>
      <c r="GK146" s="291"/>
      <c r="GL146" s="291"/>
      <c r="GM146" s="291"/>
      <c r="GN146" s="291"/>
      <c r="GO146" s="291"/>
      <c r="GP146" s="291"/>
      <c r="GQ146" s="291"/>
      <c r="GR146" s="291"/>
      <c r="GS146" s="291"/>
      <c r="GT146" s="291"/>
      <c r="GU146" s="291"/>
      <c r="GV146" s="291"/>
      <c r="GW146" s="291"/>
      <c r="GX146" s="291"/>
      <c r="GY146" s="291"/>
      <c r="GZ146" s="291"/>
      <c r="HA146" s="291"/>
      <c r="HB146" s="291"/>
      <c r="HC146" s="291"/>
      <c r="HD146" s="291"/>
      <c r="HE146" s="291"/>
      <c r="HF146" s="291"/>
      <c r="HG146" s="291"/>
      <c r="HH146" s="291"/>
      <c r="HI146" s="291"/>
      <c r="HJ146" s="291"/>
      <c r="HK146" s="291"/>
      <c r="HL146" s="291"/>
      <c r="HM146" s="291"/>
      <c r="HN146" s="291"/>
      <c r="HO146" s="291"/>
      <c r="HP146" s="291"/>
      <c r="HQ146" s="291"/>
      <c r="HR146" s="291"/>
      <c r="HS146" s="291"/>
      <c r="HT146" s="291"/>
      <c r="HU146" s="291"/>
      <c r="HV146" s="291"/>
      <c r="HW146" s="291"/>
      <c r="HX146" s="291"/>
      <c r="HY146" s="291"/>
      <c r="HZ146" s="291"/>
      <c r="IA146" s="291"/>
      <c r="IB146" s="291"/>
      <c r="IC146" s="291"/>
      <c r="ID146" s="291"/>
      <c r="IE146" s="291"/>
      <c r="IF146" s="291"/>
      <c r="IG146" s="291"/>
      <c r="IH146" s="291"/>
      <c r="II146" s="291"/>
      <c r="IJ146" s="291"/>
      <c r="IK146" s="291"/>
      <c r="IL146" s="291"/>
      <c r="IM146" s="291"/>
      <c r="IN146" s="291"/>
      <c r="IO146" s="291"/>
      <c r="IP146" s="291"/>
      <c r="IQ146" s="291"/>
      <c r="IR146" s="291"/>
      <c r="IS146" s="291"/>
      <c r="IT146" s="291"/>
      <c r="IU146" s="291"/>
      <c r="IV146" s="291"/>
      <c r="IW146" s="291"/>
      <c r="IX146" s="291"/>
      <c r="IY146" s="291"/>
      <c r="IZ146" s="291"/>
      <c r="JA146" s="291"/>
      <c r="JB146" s="291"/>
      <c r="JC146" s="291"/>
      <c r="JD146" s="291"/>
      <c r="JE146" s="291"/>
      <c r="JF146" s="291"/>
      <c r="JG146" s="291"/>
      <c r="JH146" s="291"/>
      <c r="JI146" s="291"/>
      <c r="JJ146" s="291"/>
      <c r="JK146" s="291"/>
      <c r="JL146" s="291"/>
      <c r="JM146" s="291"/>
      <c r="JN146" s="291"/>
      <c r="JO146" s="291"/>
      <c r="JP146" s="291"/>
      <c r="JQ146" s="291"/>
      <c r="JR146" s="291"/>
      <c r="JS146" s="291"/>
      <c r="JT146" s="291"/>
      <c r="JU146" s="291"/>
      <c r="JV146" s="291"/>
      <c r="JW146" s="291"/>
      <c r="JX146" s="291"/>
      <c r="JY146" s="291"/>
      <c r="JZ146" s="291"/>
      <c r="KA146" s="291"/>
      <c r="KB146" s="291"/>
      <c r="KC146" s="291"/>
      <c r="KD146" s="291"/>
      <c r="KE146" s="291"/>
      <c r="KF146" s="291"/>
      <c r="KG146" s="291"/>
      <c r="KH146" s="291"/>
      <c r="KI146" s="291"/>
      <c r="KJ146" s="291"/>
      <c r="KK146" s="291"/>
      <c r="KL146" s="291"/>
      <c r="KM146" s="291"/>
      <c r="KN146" s="291"/>
      <c r="KO146" s="291"/>
      <c r="KP146" s="291"/>
      <c r="KQ146" s="291"/>
      <c r="KR146" s="291"/>
      <c r="KS146" s="291"/>
      <c r="KT146" s="291"/>
      <c r="KU146" s="291"/>
      <c r="KV146" s="291"/>
      <c r="KW146" s="291"/>
      <c r="KX146" s="291"/>
      <c r="KY146" s="291"/>
      <c r="KZ146" s="291"/>
      <c r="LA146" s="291"/>
      <c r="LB146" s="291"/>
      <c r="LC146" s="291"/>
      <c r="LD146" s="291"/>
      <c r="LE146" s="291"/>
      <c r="LF146" s="291"/>
      <c r="LG146" s="291"/>
      <c r="LH146" s="291"/>
      <c r="LI146" s="291"/>
      <c r="LJ146" s="291"/>
      <c r="LK146" s="291"/>
      <c r="LL146" s="291"/>
      <c r="LM146" s="291"/>
      <c r="LN146" s="291"/>
      <c r="LO146" s="291"/>
      <c r="LP146" s="291"/>
      <c r="LQ146" s="291"/>
      <c r="LR146" s="291"/>
      <c r="LS146" s="291"/>
      <c r="LT146" s="291"/>
      <c r="LU146" s="291"/>
      <c r="LV146" s="291"/>
      <c r="LW146" s="291"/>
      <c r="LX146" s="291"/>
      <c r="LY146" s="291"/>
      <c r="LZ146" s="291"/>
      <c r="MA146" s="291"/>
      <c r="MB146" s="291"/>
      <c r="MC146" s="291"/>
      <c r="MD146" s="291"/>
      <c r="ME146" s="291"/>
      <c r="MF146" s="291"/>
      <c r="MG146" s="291"/>
      <c r="MH146" s="291"/>
      <c r="MI146" s="291"/>
      <c r="MJ146" s="291"/>
      <c r="MK146" s="291"/>
      <c r="ML146" s="291"/>
      <c r="MM146" s="291"/>
      <c r="MN146" s="291"/>
      <c r="MO146" s="291"/>
      <c r="MP146" s="291"/>
      <c r="MQ146" s="291"/>
      <c r="MR146" s="291"/>
      <c r="MS146" s="291"/>
      <c r="MT146" s="291"/>
      <c r="MU146" s="291"/>
      <c r="MV146" s="291"/>
      <c r="MW146" s="291"/>
      <c r="MX146" s="291"/>
      <c r="MY146" s="291"/>
      <c r="MZ146" s="291"/>
      <c r="NA146" s="291"/>
      <c r="NB146" s="291"/>
      <c r="NC146" s="291"/>
      <c r="ND146" s="291"/>
      <c r="NE146" s="291"/>
      <c r="NF146" s="291"/>
      <c r="NG146" s="291"/>
      <c r="NH146" s="291"/>
      <c r="NI146" s="291"/>
      <c r="NJ146" s="291"/>
      <c r="NK146" s="291"/>
      <c r="NL146" s="291"/>
      <c r="NM146" s="291"/>
      <c r="NN146" s="291"/>
      <c r="NO146" s="291"/>
      <c r="NP146" s="291"/>
      <c r="NQ146" s="291"/>
      <c r="NR146" s="291"/>
      <c r="NS146" s="291"/>
      <c r="NT146" s="291"/>
      <c r="NU146" s="291"/>
      <c r="NV146" s="291"/>
      <c r="NW146" s="291"/>
      <c r="NX146" s="291"/>
      <c r="NY146" s="291"/>
      <c r="NZ146" s="291"/>
      <c r="OA146" s="291"/>
      <c r="OB146" s="291"/>
      <c r="OC146" s="291"/>
      <c r="OD146" s="291"/>
      <c r="OE146" s="291"/>
      <c r="OF146" s="291"/>
      <c r="OG146" s="291"/>
      <c r="OH146" s="291"/>
      <c r="OI146" s="291"/>
      <c r="OJ146" s="291"/>
      <c r="OK146" s="291"/>
      <c r="OL146" s="291"/>
      <c r="OM146" s="291"/>
      <c r="ON146" s="291"/>
      <c r="OO146" s="291"/>
      <c r="OP146" s="291"/>
      <c r="OQ146" s="291"/>
      <c r="OR146" s="291"/>
      <c r="OS146" s="291"/>
      <c r="OT146" s="291"/>
      <c r="OU146" s="291"/>
      <c r="OV146" s="291"/>
      <c r="OW146" s="291"/>
    </row>
    <row r="147" spans="1:413" s="257" customFormat="1" hidden="1" x14ac:dyDescent="0.2">
      <c r="A147" s="291"/>
      <c r="B147" s="524">
        <f t="shared" si="11"/>
        <v>131</v>
      </c>
      <c r="C147" s="510" t="s">
        <v>38</v>
      </c>
      <c r="D147" s="511" t="s">
        <v>1291</v>
      </c>
      <c r="E147" s="511"/>
      <c r="F147" s="512" t="s">
        <v>1292</v>
      </c>
      <c r="G147" s="513" t="s">
        <v>897</v>
      </c>
      <c r="H147" s="514" t="s">
        <v>1098</v>
      </c>
      <c r="I147" s="515" t="s">
        <v>1293</v>
      </c>
      <c r="J147" s="346"/>
      <c r="K147" s="526">
        <v>11325885</v>
      </c>
      <c r="L147" s="527">
        <v>0</v>
      </c>
      <c r="M147" s="528">
        <v>2314087</v>
      </c>
      <c r="N147" s="520">
        <v>0</v>
      </c>
      <c r="O147" s="520">
        <v>0</v>
      </c>
      <c r="P147" s="520">
        <v>0</v>
      </c>
      <c r="Q147" s="520">
        <v>0</v>
      </c>
      <c r="R147" s="520">
        <v>0</v>
      </c>
      <c r="S147" s="520">
        <v>0</v>
      </c>
      <c r="T147" s="18"/>
      <c r="U147" s="18"/>
      <c r="V147" s="18"/>
      <c r="W147" s="18"/>
      <c r="X147" s="18"/>
      <c r="Y147" s="18"/>
      <c r="Z147" s="18">
        <f t="shared" si="8"/>
        <v>0</v>
      </c>
      <c r="AA147" s="309">
        <v>1</v>
      </c>
      <c r="AB147" s="19">
        <v>50</v>
      </c>
      <c r="AC147" s="521">
        <v>44356</v>
      </c>
      <c r="AD147" s="25">
        <v>44377</v>
      </c>
      <c r="AE147" s="309"/>
      <c r="AF147" s="314"/>
      <c r="AG147" s="315"/>
      <c r="AH147" s="316"/>
      <c r="AI147" s="309"/>
      <c r="AJ147" s="338"/>
      <c r="AK147" s="315"/>
      <c r="AL147" s="316"/>
      <c r="AM147" s="309"/>
      <c r="AN147" s="338"/>
      <c r="AO147" s="21"/>
      <c r="AP147" s="25"/>
      <c r="AQ147" s="309"/>
      <c r="AR147" s="19"/>
      <c r="AS147" s="21"/>
      <c r="AT147" s="25"/>
      <c r="AU147" s="522">
        <f t="shared" si="9"/>
        <v>1</v>
      </c>
      <c r="AV147" s="311">
        <f t="shared" si="10"/>
        <v>1</v>
      </c>
      <c r="AW147" s="305"/>
      <c r="AX147" s="291"/>
      <c r="AY147" s="291"/>
      <c r="AZ147" s="291"/>
      <c r="BA147" s="291"/>
      <c r="BB147" s="291"/>
      <c r="BC147" s="291"/>
      <c r="BD147" s="291"/>
      <c r="BE147" s="291"/>
      <c r="BF147" s="291"/>
      <c r="BG147" s="291"/>
      <c r="BH147" s="291"/>
      <c r="BI147" s="291"/>
      <c r="BJ147" s="291"/>
      <c r="BK147" s="291"/>
      <c r="BL147" s="291"/>
      <c r="BM147" s="291"/>
      <c r="BN147" s="291"/>
      <c r="BO147" s="291"/>
      <c r="BP147" s="291"/>
      <c r="BQ147" s="291"/>
      <c r="BR147" s="291"/>
      <c r="BS147" s="291"/>
      <c r="BT147" s="291"/>
      <c r="BU147" s="291"/>
      <c r="BV147" s="291"/>
      <c r="BW147" s="291"/>
      <c r="BX147" s="291"/>
      <c r="BY147" s="291"/>
      <c r="BZ147" s="291"/>
      <c r="CA147" s="291"/>
      <c r="CB147" s="291"/>
      <c r="CC147" s="291"/>
      <c r="CD147" s="291"/>
      <c r="CE147" s="291"/>
      <c r="CF147" s="291"/>
      <c r="CG147" s="291"/>
      <c r="CH147" s="291"/>
      <c r="CI147" s="291"/>
      <c r="CJ147" s="291"/>
      <c r="CK147" s="291"/>
      <c r="CL147" s="291"/>
      <c r="CM147" s="291"/>
      <c r="CN147" s="291"/>
      <c r="CO147" s="291"/>
      <c r="CP147" s="291"/>
      <c r="CQ147" s="291"/>
      <c r="CR147" s="291"/>
      <c r="CS147" s="291"/>
      <c r="CT147" s="291"/>
      <c r="CU147" s="291"/>
      <c r="CV147" s="291"/>
      <c r="CW147" s="291"/>
      <c r="CX147" s="291"/>
      <c r="CY147" s="291"/>
      <c r="CZ147" s="291"/>
      <c r="DA147" s="291"/>
      <c r="DB147" s="291"/>
      <c r="DC147" s="291"/>
      <c r="DD147" s="291"/>
      <c r="DE147" s="291"/>
      <c r="DF147" s="291"/>
      <c r="DG147" s="291"/>
      <c r="DH147" s="291"/>
      <c r="DI147" s="291"/>
      <c r="DJ147" s="291"/>
      <c r="DK147" s="291"/>
      <c r="DL147" s="291"/>
      <c r="DM147" s="291"/>
      <c r="DN147" s="291"/>
      <c r="DO147" s="291"/>
      <c r="DP147" s="291"/>
      <c r="DQ147" s="291"/>
      <c r="DR147" s="291"/>
      <c r="DS147" s="291"/>
      <c r="DT147" s="291"/>
      <c r="DU147" s="291"/>
      <c r="DV147" s="291"/>
      <c r="DW147" s="291"/>
      <c r="DX147" s="291"/>
      <c r="DY147" s="291"/>
      <c r="DZ147" s="291"/>
      <c r="EA147" s="291"/>
      <c r="EB147" s="291"/>
      <c r="EC147" s="291"/>
      <c r="ED147" s="291"/>
      <c r="EE147" s="291"/>
      <c r="EF147" s="291"/>
      <c r="EG147" s="291"/>
      <c r="EH147" s="291"/>
      <c r="EI147" s="291"/>
      <c r="EJ147" s="291"/>
      <c r="EK147" s="291"/>
      <c r="EL147" s="291"/>
      <c r="EM147" s="291"/>
      <c r="EN147" s="291"/>
      <c r="EO147" s="291"/>
      <c r="EP147" s="291"/>
      <c r="EQ147" s="291"/>
      <c r="ER147" s="291"/>
      <c r="ES147" s="291"/>
      <c r="ET147" s="291"/>
      <c r="EU147" s="291"/>
      <c r="EV147" s="291"/>
      <c r="EW147" s="291"/>
      <c r="EX147" s="291"/>
      <c r="EY147" s="291"/>
      <c r="EZ147" s="291"/>
      <c r="FA147" s="291"/>
      <c r="FB147" s="291"/>
      <c r="FC147" s="291"/>
      <c r="FD147" s="291"/>
      <c r="FE147" s="291"/>
      <c r="FF147" s="291"/>
      <c r="FG147" s="291"/>
      <c r="FH147" s="291"/>
      <c r="FI147" s="291"/>
      <c r="FJ147" s="291"/>
      <c r="FK147" s="291"/>
      <c r="FL147" s="291"/>
      <c r="FM147" s="291"/>
      <c r="FN147" s="291"/>
      <c r="FO147" s="291"/>
      <c r="FP147" s="291"/>
      <c r="FQ147" s="291"/>
      <c r="FR147" s="291"/>
      <c r="FS147" s="291"/>
      <c r="FT147" s="291"/>
      <c r="FU147" s="291"/>
      <c r="FV147" s="291"/>
      <c r="FW147" s="291"/>
      <c r="FX147" s="291"/>
      <c r="FY147" s="291"/>
      <c r="FZ147" s="291"/>
      <c r="GA147" s="291"/>
      <c r="GB147" s="291"/>
      <c r="GC147" s="291"/>
      <c r="GD147" s="291"/>
      <c r="GE147" s="291"/>
      <c r="GF147" s="291"/>
      <c r="GG147" s="291"/>
      <c r="GH147" s="291"/>
      <c r="GI147" s="291"/>
      <c r="GJ147" s="291"/>
      <c r="GK147" s="291"/>
      <c r="GL147" s="291"/>
      <c r="GM147" s="291"/>
      <c r="GN147" s="291"/>
      <c r="GO147" s="291"/>
      <c r="GP147" s="291"/>
      <c r="GQ147" s="291"/>
      <c r="GR147" s="291"/>
      <c r="GS147" s="291"/>
      <c r="GT147" s="291"/>
      <c r="GU147" s="291"/>
      <c r="GV147" s="291"/>
      <c r="GW147" s="291"/>
      <c r="GX147" s="291"/>
      <c r="GY147" s="291"/>
      <c r="GZ147" s="291"/>
      <c r="HA147" s="291"/>
      <c r="HB147" s="291"/>
      <c r="HC147" s="291"/>
      <c r="HD147" s="291"/>
      <c r="HE147" s="291"/>
      <c r="HF147" s="291"/>
      <c r="HG147" s="291"/>
      <c r="HH147" s="291"/>
      <c r="HI147" s="291"/>
      <c r="HJ147" s="291"/>
      <c r="HK147" s="291"/>
      <c r="HL147" s="291"/>
      <c r="HM147" s="291"/>
      <c r="HN147" s="291"/>
      <c r="HO147" s="291"/>
      <c r="HP147" s="291"/>
      <c r="HQ147" s="291"/>
      <c r="HR147" s="291"/>
      <c r="HS147" s="291"/>
      <c r="HT147" s="291"/>
      <c r="HU147" s="291"/>
      <c r="HV147" s="291"/>
      <c r="HW147" s="291"/>
      <c r="HX147" s="291"/>
      <c r="HY147" s="291"/>
      <c r="HZ147" s="291"/>
      <c r="IA147" s="291"/>
      <c r="IB147" s="291"/>
      <c r="IC147" s="291"/>
      <c r="ID147" s="291"/>
      <c r="IE147" s="291"/>
      <c r="IF147" s="291"/>
      <c r="IG147" s="291"/>
      <c r="IH147" s="291"/>
      <c r="II147" s="291"/>
      <c r="IJ147" s="291"/>
      <c r="IK147" s="291"/>
      <c r="IL147" s="291"/>
      <c r="IM147" s="291"/>
      <c r="IN147" s="291"/>
      <c r="IO147" s="291"/>
      <c r="IP147" s="291"/>
      <c r="IQ147" s="291"/>
      <c r="IR147" s="291"/>
      <c r="IS147" s="291"/>
      <c r="IT147" s="291"/>
      <c r="IU147" s="291"/>
      <c r="IV147" s="291"/>
      <c r="IW147" s="291"/>
      <c r="IX147" s="291"/>
      <c r="IY147" s="291"/>
      <c r="IZ147" s="291"/>
      <c r="JA147" s="291"/>
      <c r="JB147" s="291"/>
      <c r="JC147" s="291"/>
      <c r="JD147" s="291"/>
      <c r="JE147" s="291"/>
      <c r="JF147" s="291"/>
      <c r="JG147" s="291"/>
      <c r="JH147" s="291"/>
      <c r="JI147" s="291"/>
      <c r="JJ147" s="291"/>
      <c r="JK147" s="291"/>
      <c r="JL147" s="291"/>
      <c r="JM147" s="291"/>
      <c r="JN147" s="291"/>
      <c r="JO147" s="291"/>
      <c r="JP147" s="291"/>
      <c r="JQ147" s="291"/>
      <c r="JR147" s="291"/>
      <c r="JS147" s="291"/>
      <c r="JT147" s="291"/>
      <c r="JU147" s="291"/>
      <c r="JV147" s="291"/>
      <c r="JW147" s="291"/>
      <c r="JX147" s="291"/>
      <c r="JY147" s="291"/>
      <c r="JZ147" s="291"/>
      <c r="KA147" s="291"/>
      <c r="KB147" s="291"/>
      <c r="KC147" s="291"/>
      <c r="KD147" s="291"/>
      <c r="KE147" s="291"/>
      <c r="KF147" s="291"/>
      <c r="KG147" s="291"/>
      <c r="KH147" s="291"/>
      <c r="KI147" s="291"/>
      <c r="KJ147" s="291"/>
      <c r="KK147" s="291"/>
      <c r="KL147" s="291"/>
      <c r="KM147" s="291"/>
      <c r="KN147" s="291"/>
      <c r="KO147" s="291"/>
      <c r="KP147" s="291"/>
      <c r="KQ147" s="291"/>
      <c r="KR147" s="291"/>
      <c r="KS147" s="291"/>
      <c r="KT147" s="291"/>
      <c r="KU147" s="291"/>
      <c r="KV147" s="291"/>
      <c r="KW147" s="291"/>
      <c r="KX147" s="291"/>
      <c r="KY147" s="291"/>
      <c r="KZ147" s="291"/>
      <c r="LA147" s="291"/>
      <c r="LB147" s="291"/>
      <c r="LC147" s="291"/>
      <c r="LD147" s="291"/>
      <c r="LE147" s="291"/>
      <c r="LF147" s="291"/>
      <c r="LG147" s="291"/>
      <c r="LH147" s="291"/>
      <c r="LI147" s="291"/>
      <c r="LJ147" s="291"/>
      <c r="LK147" s="291"/>
      <c r="LL147" s="291"/>
      <c r="LM147" s="291"/>
      <c r="LN147" s="291"/>
      <c r="LO147" s="291"/>
      <c r="LP147" s="291"/>
      <c r="LQ147" s="291"/>
      <c r="LR147" s="291"/>
      <c r="LS147" s="291"/>
      <c r="LT147" s="291"/>
      <c r="LU147" s="291"/>
      <c r="LV147" s="291"/>
      <c r="LW147" s="291"/>
      <c r="LX147" s="291"/>
      <c r="LY147" s="291"/>
      <c r="LZ147" s="291"/>
      <c r="MA147" s="291"/>
      <c r="MB147" s="291"/>
      <c r="MC147" s="291"/>
      <c r="MD147" s="291"/>
      <c r="ME147" s="291"/>
      <c r="MF147" s="291"/>
      <c r="MG147" s="291"/>
      <c r="MH147" s="291"/>
      <c r="MI147" s="291"/>
      <c r="MJ147" s="291"/>
      <c r="MK147" s="291"/>
      <c r="ML147" s="291"/>
      <c r="MM147" s="291"/>
      <c r="MN147" s="291"/>
      <c r="MO147" s="291"/>
      <c r="MP147" s="291"/>
      <c r="MQ147" s="291"/>
      <c r="MR147" s="291"/>
      <c r="MS147" s="291"/>
      <c r="MT147" s="291"/>
      <c r="MU147" s="291"/>
      <c r="MV147" s="291"/>
      <c r="MW147" s="291"/>
      <c r="MX147" s="291"/>
      <c r="MY147" s="291"/>
      <c r="MZ147" s="291"/>
      <c r="NA147" s="291"/>
      <c r="NB147" s="291"/>
      <c r="NC147" s="291"/>
      <c r="ND147" s="291"/>
      <c r="NE147" s="291"/>
      <c r="NF147" s="291"/>
      <c r="NG147" s="291"/>
      <c r="NH147" s="291"/>
      <c r="NI147" s="291"/>
      <c r="NJ147" s="291"/>
      <c r="NK147" s="291"/>
      <c r="NL147" s="291"/>
      <c r="NM147" s="291"/>
      <c r="NN147" s="291"/>
      <c r="NO147" s="291"/>
      <c r="NP147" s="291"/>
      <c r="NQ147" s="291"/>
      <c r="NR147" s="291"/>
      <c r="NS147" s="291"/>
      <c r="NT147" s="291"/>
      <c r="NU147" s="291"/>
      <c r="NV147" s="291"/>
      <c r="NW147" s="291"/>
      <c r="NX147" s="291"/>
      <c r="NY147" s="291"/>
      <c r="NZ147" s="291"/>
      <c r="OA147" s="291"/>
      <c r="OB147" s="291"/>
      <c r="OC147" s="291"/>
      <c r="OD147" s="291"/>
      <c r="OE147" s="291"/>
      <c r="OF147" s="291"/>
      <c r="OG147" s="291"/>
      <c r="OH147" s="291"/>
      <c r="OI147" s="291"/>
      <c r="OJ147" s="291"/>
      <c r="OK147" s="291"/>
      <c r="OL147" s="291"/>
      <c r="OM147" s="291"/>
      <c r="ON147" s="291"/>
      <c r="OO147" s="291"/>
      <c r="OP147" s="291"/>
      <c r="OQ147" s="291"/>
      <c r="OR147" s="291"/>
      <c r="OS147" s="291"/>
      <c r="OT147" s="291"/>
      <c r="OU147" s="291"/>
      <c r="OV147" s="291"/>
      <c r="OW147" s="291"/>
    </row>
    <row r="148" spans="1:413" s="257" customFormat="1" hidden="1" x14ac:dyDescent="0.2">
      <c r="A148" s="291"/>
      <c r="B148" s="524">
        <f t="shared" si="11"/>
        <v>132</v>
      </c>
      <c r="C148" s="510" t="s">
        <v>38</v>
      </c>
      <c r="D148" s="511">
        <v>30377222</v>
      </c>
      <c r="E148" s="511"/>
      <c r="F148" s="512" t="s">
        <v>1294</v>
      </c>
      <c r="G148" s="513" t="s">
        <v>45</v>
      </c>
      <c r="H148" s="514" t="s">
        <v>1094</v>
      </c>
      <c r="I148" s="515" t="s">
        <v>1189</v>
      </c>
      <c r="J148" s="346" t="s">
        <v>43</v>
      </c>
      <c r="K148" s="526">
        <v>674526</v>
      </c>
      <c r="L148" s="527">
        <v>0</v>
      </c>
      <c r="M148" s="528">
        <v>608762</v>
      </c>
      <c r="N148" s="520">
        <v>0</v>
      </c>
      <c r="O148" s="520">
        <v>0</v>
      </c>
      <c r="P148" s="520">
        <v>0</v>
      </c>
      <c r="Q148" s="520">
        <v>0</v>
      </c>
      <c r="R148" s="520">
        <v>0</v>
      </c>
      <c r="S148" s="520">
        <v>0</v>
      </c>
      <c r="T148" s="18"/>
      <c r="U148" s="18"/>
      <c r="V148" s="18"/>
      <c r="W148" s="18"/>
      <c r="X148" s="18"/>
      <c r="Y148" s="18"/>
      <c r="Z148" s="18">
        <f t="shared" si="8"/>
        <v>0</v>
      </c>
      <c r="AA148" s="309">
        <v>58002</v>
      </c>
      <c r="AB148" s="19">
        <v>3</v>
      </c>
      <c r="AC148" s="521">
        <v>44222</v>
      </c>
      <c r="AD148" s="25">
        <v>44225</v>
      </c>
      <c r="AE148" s="309"/>
      <c r="AF148" s="314"/>
      <c r="AG148" s="315"/>
      <c r="AH148" s="316"/>
      <c r="AI148" s="309"/>
      <c r="AJ148" s="338"/>
      <c r="AK148" s="315"/>
      <c r="AL148" s="316"/>
      <c r="AM148" s="309"/>
      <c r="AN148" s="338"/>
      <c r="AO148" s="21"/>
      <c r="AP148" s="25"/>
      <c r="AQ148" s="309"/>
      <c r="AR148" s="19"/>
      <c r="AS148" s="21"/>
      <c r="AT148" s="25"/>
      <c r="AU148" s="522">
        <f t="shared" si="9"/>
        <v>58002</v>
      </c>
      <c r="AV148" s="311">
        <f t="shared" si="10"/>
        <v>58002</v>
      </c>
      <c r="AW148" s="305"/>
      <c r="AX148" s="291"/>
      <c r="AY148" s="291"/>
      <c r="AZ148" s="291"/>
      <c r="BA148" s="291"/>
      <c r="BB148" s="291"/>
      <c r="BC148" s="291"/>
      <c r="BD148" s="291"/>
      <c r="BE148" s="291"/>
      <c r="BF148" s="291"/>
      <c r="BG148" s="291"/>
      <c r="BH148" s="291"/>
      <c r="BI148" s="291"/>
      <c r="BJ148" s="291"/>
      <c r="BK148" s="291"/>
      <c r="BL148" s="291"/>
      <c r="BM148" s="291"/>
      <c r="BN148" s="291"/>
      <c r="BO148" s="291"/>
      <c r="BP148" s="291"/>
      <c r="BQ148" s="291"/>
      <c r="BR148" s="291"/>
      <c r="BS148" s="291"/>
      <c r="BT148" s="291"/>
      <c r="BU148" s="291"/>
      <c r="BV148" s="291"/>
      <c r="BW148" s="291"/>
      <c r="BX148" s="291"/>
      <c r="BY148" s="291"/>
      <c r="BZ148" s="291"/>
      <c r="CA148" s="291"/>
      <c r="CB148" s="291"/>
      <c r="CC148" s="291"/>
      <c r="CD148" s="291"/>
      <c r="CE148" s="291"/>
      <c r="CF148" s="291"/>
      <c r="CG148" s="291"/>
      <c r="CH148" s="291"/>
      <c r="CI148" s="291"/>
      <c r="CJ148" s="291"/>
      <c r="CK148" s="291"/>
      <c r="CL148" s="291"/>
      <c r="CM148" s="291"/>
      <c r="CN148" s="291"/>
      <c r="CO148" s="291"/>
      <c r="CP148" s="291"/>
      <c r="CQ148" s="291"/>
      <c r="CR148" s="291"/>
      <c r="CS148" s="291"/>
      <c r="CT148" s="291"/>
      <c r="CU148" s="291"/>
      <c r="CV148" s="291"/>
      <c r="CW148" s="291"/>
      <c r="CX148" s="291"/>
      <c r="CY148" s="291"/>
      <c r="CZ148" s="291"/>
      <c r="DA148" s="291"/>
      <c r="DB148" s="291"/>
      <c r="DC148" s="291"/>
      <c r="DD148" s="291"/>
      <c r="DE148" s="291"/>
      <c r="DF148" s="291"/>
      <c r="DG148" s="291"/>
      <c r="DH148" s="291"/>
      <c r="DI148" s="291"/>
      <c r="DJ148" s="291"/>
      <c r="DK148" s="291"/>
      <c r="DL148" s="291"/>
      <c r="DM148" s="291"/>
      <c r="DN148" s="291"/>
      <c r="DO148" s="291"/>
      <c r="DP148" s="291"/>
      <c r="DQ148" s="291"/>
      <c r="DR148" s="291"/>
      <c r="DS148" s="291"/>
      <c r="DT148" s="291"/>
      <c r="DU148" s="291"/>
      <c r="DV148" s="291"/>
      <c r="DW148" s="291"/>
      <c r="DX148" s="291"/>
      <c r="DY148" s="291"/>
      <c r="DZ148" s="291"/>
      <c r="EA148" s="291"/>
      <c r="EB148" s="291"/>
      <c r="EC148" s="291"/>
      <c r="ED148" s="291"/>
      <c r="EE148" s="291"/>
      <c r="EF148" s="291"/>
      <c r="EG148" s="291"/>
      <c r="EH148" s="291"/>
      <c r="EI148" s="291"/>
      <c r="EJ148" s="291"/>
      <c r="EK148" s="291"/>
      <c r="EL148" s="291"/>
      <c r="EM148" s="291"/>
      <c r="EN148" s="291"/>
      <c r="EO148" s="291"/>
      <c r="EP148" s="291"/>
      <c r="EQ148" s="291"/>
      <c r="ER148" s="291"/>
      <c r="ES148" s="291"/>
      <c r="ET148" s="291"/>
      <c r="EU148" s="291"/>
      <c r="EV148" s="291"/>
      <c r="EW148" s="291"/>
      <c r="EX148" s="291"/>
      <c r="EY148" s="291"/>
      <c r="EZ148" s="291"/>
      <c r="FA148" s="291"/>
      <c r="FB148" s="291"/>
      <c r="FC148" s="291"/>
      <c r="FD148" s="291"/>
      <c r="FE148" s="291"/>
      <c r="FF148" s="291"/>
      <c r="FG148" s="291"/>
      <c r="FH148" s="291"/>
      <c r="FI148" s="291"/>
      <c r="FJ148" s="291"/>
      <c r="FK148" s="291"/>
      <c r="FL148" s="291"/>
      <c r="FM148" s="291"/>
      <c r="FN148" s="291"/>
      <c r="FO148" s="291"/>
      <c r="FP148" s="291"/>
      <c r="FQ148" s="291"/>
      <c r="FR148" s="291"/>
      <c r="FS148" s="291"/>
      <c r="FT148" s="291"/>
      <c r="FU148" s="291"/>
      <c r="FV148" s="291"/>
      <c r="FW148" s="291"/>
      <c r="FX148" s="291"/>
      <c r="FY148" s="291"/>
      <c r="FZ148" s="291"/>
      <c r="GA148" s="291"/>
      <c r="GB148" s="291"/>
      <c r="GC148" s="291"/>
      <c r="GD148" s="291"/>
      <c r="GE148" s="291"/>
      <c r="GF148" s="291"/>
      <c r="GG148" s="291"/>
      <c r="GH148" s="291"/>
      <c r="GI148" s="291"/>
      <c r="GJ148" s="291"/>
      <c r="GK148" s="291"/>
      <c r="GL148" s="291"/>
      <c r="GM148" s="291"/>
      <c r="GN148" s="291"/>
      <c r="GO148" s="291"/>
      <c r="GP148" s="291"/>
      <c r="GQ148" s="291"/>
      <c r="GR148" s="291"/>
      <c r="GS148" s="291"/>
      <c r="GT148" s="291"/>
      <c r="GU148" s="291"/>
      <c r="GV148" s="291"/>
      <c r="GW148" s="291"/>
      <c r="GX148" s="291"/>
      <c r="GY148" s="291"/>
      <c r="GZ148" s="291"/>
      <c r="HA148" s="291"/>
      <c r="HB148" s="291"/>
      <c r="HC148" s="291"/>
      <c r="HD148" s="291"/>
      <c r="HE148" s="291"/>
      <c r="HF148" s="291"/>
      <c r="HG148" s="291"/>
      <c r="HH148" s="291"/>
      <c r="HI148" s="291"/>
      <c r="HJ148" s="291"/>
      <c r="HK148" s="291"/>
      <c r="HL148" s="291"/>
      <c r="HM148" s="291"/>
      <c r="HN148" s="291"/>
      <c r="HO148" s="291"/>
      <c r="HP148" s="291"/>
      <c r="HQ148" s="291"/>
      <c r="HR148" s="291"/>
      <c r="HS148" s="291"/>
      <c r="HT148" s="291"/>
      <c r="HU148" s="291"/>
      <c r="HV148" s="291"/>
      <c r="HW148" s="291"/>
      <c r="HX148" s="291"/>
      <c r="HY148" s="291"/>
      <c r="HZ148" s="291"/>
      <c r="IA148" s="291"/>
      <c r="IB148" s="291"/>
      <c r="IC148" s="291"/>
      <c r="ID148" s="291"/>
      <c r="IE148" s="291"/>
      <c r="IF148" s="291"/>
      <c r="IG148" s="291"/>
      <c r="IH148" s="291"/>
      <c r="II148" s="291"/>
      <c r="IJ148" s="291"/>
      <c r="IK148" s="291"/>
      <c r="IL148" s="291"/>
      <c r="IM148" s="291"/>
      <c r="IN148" s="291"/>
      <c r="IO148" s="291"/>
      <c r="IP148" s="291"/>
      <c r="IQ148" s="291"/>
      <c r="IR148" s="291"/>
      <c r="IS148" s="291"/>
      <c r="IT148" s="291"/>
      <c r="IU148" s="291"/>
      <c r="IV148" s="291"/>
      <c r="IW148" s="291"/>
      <c r="IX148" s="291"/>
      <c r="IY148" s="291"/>
      <c r="IZ148" s="291"/>
      <c r="JA148" s="291"/>
      <c r="JB148" s="291"/>
      <c r="JC148" s="291"/>
      <c r="JD148" s="291"/>
      <c r="JE148" s="291"/>
      <c r="JF148" s="291"/>
      <c r="JG148" s="291"/>
      <c r="JH148" s="291"/>
      <c r="JI148" s="291"/>
      <c r="JJ148" s="291"/>
      <c r="JK148" s="291"/>
      <c r="JL148" s="291"/>
      <c r="JM148" s="291"/>
      <c r="JN148" s="291"/>
      <c r="JO148" s="291"/>
      <c r="JP148" s="291"/>
      <c r="JQ148" s="291"/>
      <c r="JR148" s="291"/>
      <c r="JS148" s="291"/>
      <c r="JT148" s="291"/>
      <c r="JU148" s="291"/>
      <c r="JV148" s="291"/>
      <c r="JW148" s="291"/>
      <c r="JX148" s="291"/>
      <c r="JY148" s="291"/>
      <c r="JZ148" s="291"/>
      <c r="KA148" s="291"/>
      <c r="KB148" s="291"/>
      <c r="KC148" s="291"/>
      <c r="KD148" s="291"/>
      <c r="KE148" s="291"/>
      <c r="KF148" s="291"/>
      <c r="KG148" s="291"/>
      <c r="KH148" s="291"/>
      <c r="KI148" s="291"/>
      <c r="KJ148" s="291"/>
      <c r="KK148" s="291"/>
      <c r="KL148" s="291"/>
      <c r="KM148" s="291"/>
      <c r="KN148" s="291"/>
      <c r="KO148" s="291"/>
      <c r="KP148" s="291"/>
      <c r="KQ148" s="291"/>
      <c r="KR148" s="291"/>
      <c r="KS148" s="291"/>
      <c r="KT148" s="291"/>
      <c r="KU148" s="291"/>
      <c r="KV148" s="291"/>
      <c r="KW148" s="291"/>
      <c r="KX148" s="291"/>
      <c r="KY148" s="291"/>
      <c r="KZ148" s="291"/>
      <c r="LA148" s="291"/>
      <c r="LB148" s="291"/>
      <c r="LC148" s="291"/>
      <c r="LD148" s="291"/>
      <c r="LE148" s="291"/>
      <c r="LF148" s="291"/>
      <c r="LG148" s="291"/>
      <c r="LH148" s="291"/>
      <c r="LI148" s="291"/>
      <c r="LJ148" s="291"/>
      <c r="LK148" s="291"/>
      <c r="LL148" s="291"/>
      <c r="LM148" s="291"/>
      <c r="LN148" s="291"/>
      <c r="LO148" s="291"/>
      <c r="LP148" s="291"/>
      <c r="LQ148" s="291"/>
      <c r="LR148" s="291"/>
      <c r="LS148" s="291"/>
      <c r="LT148" s="291"/>
      <c r="LU148" s="291"/>
      <c r="LV148" s="291"/>
      <c r="LW148" s="291"/>
      <c r="LX148" s="291"/>
      <c r="LY148" s="291"/>
      <c r="LZ148" s="291"/>
      <c r="MA148" s="291"/>
      <c r="MB148" s="291"/>
      <c r="MC148" s="291"/>
      <c r="MD148" s="291"/>
      <c r="ME148" s="291"/>
      <c r="MF148" s="291"/>
      <c r="MG148" s="291"/>
      <c r="MH148" s="291"/>
      <c r="MI148" s="291"/>
      <c r="MJ148" s="291"/>
      <c r="MK148" s="291"/>
      <c r="ML148" s="291"/>
      <c r="MM148" s="291"/>
      <c r="MN148" s="291"/>
      <c r="MO148" s="291"/>
      <c r="MP148" s="291"/>
      <c r="MQ148" s="291"/>
      <c r="MR148" s="291"/>
      <c r="MS148" s="291"/>
      <c r="MT148" s="291"/>
      <c r="MU148" s="291"/>
      <c r="MV148" s="291"/>
      <c r="MW148" s="291"/>
      <c r="MX148" s="291"/>
      <c r="MY148" s="291"/>
      <c r="MZ148" s="291"/>
      <c r="NA148" s="291"/>
      <c r="NB148" s="291"/>
      <c r="NC148" s="291"/>
      <c r="ND148" s="291"/>
      <c r="NE148" s="291"/>
      <c r="NF148" s="291"/>
      <c r="NG148" s="291"/>
      <c r="NH148" s="291"/>
      <c r="NI148" s="291"/>
      <c r="NJ148" s="291"/>
      <c r="NK148" s="291"/>
      <c r="NL148" s="291"/>
      <c r="NM148" s="291"/>
      <c r="NN148" s="291"/>
      <c r="NO148" s="291"/>
      <c r="NP148" s="291"/>
      <c r="NQ148" s="291"/>
      <c r="NR148" s="291"/>
      <c r="NS148" s="291"/>
      <c r="NT148" s="291"/>
      <c r="NU148" s="291"/>
      <c r="NV148" s="291"/>
      <c r="NW148" s="291"/>
      <c r="NX148" s="291"/>
      <c r="NY148" s="291"/>
      <c r="NZ148" s="291"/>
      <c r="OA148" s="291"/>
      <c r="OB148" s="291"/>
      <c r="OC148" s="291"/>
      <c r="OD148" s="291"/>
      <c r="OE148" s="291"/>
      <c r="OF148" s="291"/>
      <c r="OG148" s="291"/>
      <c r="OH148" s="291"/>
      <c r="OI148" s="291"/>
      <c r="OJ148" s="291"/>
      <c r="OK148" s="291"/>
      <c r="OL148" s="291"/>
      <c r="OM148" s="291"/>
      <c r="ON148" s="291"/>
      <c r="OO148" s="291"/>
      <c r="OP148" s="291"/>
      <c r="OQ148" s="291"/>
      <c r="OR148" s="291"/>
      <c r="OS148" s="291"/>
      <c r="OT148" s="291"/>
      <c r="OU148" s="291"/>
      <c r="OV148" s="291"/>
      <c r="OW148" s="291"/>
    </row>
    <row r="149" spans="1:413" s="257" customFormat="1" hidden="1" x14ac:dyDescent="0.2">
      <c r="A149" s="291"/>
      <c r="B149" s="524">
        <f t="shared" si="11"/>
        <v>133</v>
      </c>
      <c r="C149" s="510" t="s">
        <v>38</v>
      </c>
      <c r="D149" s="511" t="s">
        <v>1295</v>
      </c>
      <c r="E149" s="511"/>
      <c r="F149" s="512" t="s">
        <v>1296</v>
      </c>
      <c r="G149" s="513" t="s">
        <v>45</v>
      </c>
      <c r="H149" s="514" t="s">
        <v>1098</v>
      </c>
      <c r="I149" s="515" t="s">
        <v>1203</v>
      </c>
      <c r="J149" s="346"/>
      <c r="K149" s="526">
        <v>4027065</v>
      </c>
      <c r="L149" s="527">
        <v>0</v>
      </c>
      <c r="M149" s="528">
        <v>3897419</v>
      </c>
      <c r="N149" s="520">
        <v>0</v>
      </c>
      <c r="O149" s="520">
        <v>0</v>
      </c>
      <c r="P149" s="520">
        <v>0</v>
      </c>
      <c r="Q149" s="520">
        <v>0</v>
      </c>
      <c r="R149" s="520">
        <v>0</v>
      </c>
      <c r="S149" s="520">
        <v>0</v>
      </c>
      <c r="T149" s="18"/>
      <c r="U149" s="18"/>
      <c r="V149" s="18"/>
      <c r="W149" s="18"/>
      <c r="X149" s="18"/>
      <c r="Y149" s="18"/>
      <c r="Z149" s="18">
        <f t="shared" si="8"/>
        <v>0</v>
      </c>
      <c r="AA149" s="309">
        <v>125148</v>
      </c>
      <c r="AB149" s="19">
        <v>25</v>
      </c>
      <c r="AC149" s="521">
        <v>44314</v>
      </c>
      <c r="AD149" s="25">
        <v>44326</v>
      </c>
      <c r="AE149" s="309"/>
      <c r="AF149" s="314"/>
      <c r="AG149" s="315"/>
      <c r="AH149" s="316"/>
      <c r="AI149" s="309"/>
      <c r="AJ149" s="338"/>
      <c r="AK149" s="315"/>
      <c r="AL149" s="316"/>
      <c r="AM149" s="309"/>
      <c r="AN149" s="338"/>
      <c r="AO149" s="21"/>
      <c r="AP149" s="25"/>
      <c r="AQ149" s="309"/>
      <c r="AR149" s="19"/>
      <c r="AS149" s="21"/>
      <c r="AT149" s="25"/>
      <c r="AU149" s="522">
        <f t="shared" si="9"/>
        <v>125148</v>
      </c>
      <c r="AV149" s="311">
        <f t="shared" si="10"/>
        <v>125148</v>
      </c>
      <c r="AW149" s="305"/>
      <c r="AX149" s="291"/>
      <c r="AY149" s="291"/>
      <c r="AZ149" s="291"/>
      <c r="BA149" s="291"/>
      <c r="BB149" s="291"/>
      <c r="BC149" s="291"/>
      <c r="BD149" s="291"/>
      <c r="BE149" s="291"/>
      <c r="BF149" s="291"/>
      <c r="BG149" s="291"/>
      <c r="BH149" s="291"/>
      <c r="BI149" s="291"/>
      <c r="BJ149" s="291"/>
      <c r="BK149" s="291"/>
      <c r="BL149" s="291"/>
      <c r="BM149" s="291"/>
      <c r="BN149" s="291"/>
      <c r="BO149" s="291"/>
      <c r="BP149" s="291"/>
      <c r="BQ149" s="291"/>
      <c r="BR149" s="291"/>
      <c r="BS149" s="291"/>
      <c r="BT149" s="291"/>
      <c r="BU149" s="291"/>
      <c r="BV149" s="291"/>
      <c r="BW149" s="291"/>
      <c r="BX149" s="291"/>
      <c r="BY149" s="291"/>
      <c r="BZ149" s="291"/>
      <c r="CA149" s="291"/>
      <c r="CB149" s="291"/>
      <c r="CC149" s="291"/>
      <c r="CD149" s="291"/>
      <c r="CE149" s="291"/>
      <c r="CF149" s="291"/>
      <c r="CG149" s="291"/>
      <c r="CH149" s="291"/>
      <c r="CI149" s="291"/>
      <c r="CJ149" s="291"/>
      <c r="CK149" s="291"/>
      <c r="CL149" s="291"/>
      <c r="CM149" s="291"/>
      <c r="CN149" s="291"/>
      <c r="CO149" s="291"/>
      <c r="CP149" s="291"/>
      <c r="CQ149" s="291"/>
      <c r="CR149" s="291"/>
      <c r="CS149" s="291"/>
      <c r="CT149" s="291"/>
      <c r="CU149" s="291"/>
      <c r="CV149" s="291"/>
      <c r="CW149" s="291"/>
      <c r="CX149" s="291"/>
      <c r="CY149" s="291"/>
      <c r="CZ149" s="291"/>
      <c r="DA149" s="291"/>
      <c r="DB149" s="291"/>
      <c r="DC149" s="291"/>
      <c r="DD149" s="291"/>
      <c r="DE149" s="291"/>
      <c r="DF149" s="291"/>
      <c r="DG149" s="291"/>
      <c r="DH149" s="291"/>
      <c r="DI149" s="291"/>
      <c r="DJ149" s="291"/>
      <c r="DK149" s="291"/>
      <c r="DL149" s="291"/>
      <c r="DM149" s="291"/>
      <c r="DN149" s="291"/>
      <c r="DO149" s="291"/>
      <c r="DP149" s="291"/>
      <c r="DQ149" s="291"/>
      <c r="DR149" s="291"/>
      <c r="DS149" s="291"/>
      <c r="DT149" s="291"/>
      <c r="DU149" s="291"/>
      <c r="DV149" s="291"/>
      <c r="DW149" s="291"/>
      <c r="DX149" s="291"/>
      <c r="DY149" s="291"/>
      <c r="DZ149" s="291"/>
      <c r="EA149" s="291"/>
      <c r="EB149" s="291"/>
      <c r="EC149" s="291"/>
      <c r="ED149" s="291"/>
      <c r="EE149" s="291"/>
      <c r="EF149" s="291"/>
      <c r="EG149" s="291"/>
      <c r="EH149" s="291"/>
      <c r="EI149" s="291"/>
      <c r="EJ149" s="291"/>
      <c r="EK149" s="291"/>
      <c r="EL149" s="291"/>
      <c r="EM149" s="291"/>
      <c r="EN149" s="291"/>
      <c r="EO149" s="291"/>
      <c r="EP149" s="291"/>
      <c r="EQ149" s="291"/>
      <c r="ER149" s="291"/>
      <c r="ES149" s="291"/>
      <c r="ET149" s="291"/>
      <c r="EU149" s="291"/>
      <c r="EV149" s="291"/>
      <c r="EW149" s="291"/>
      <c r="EX149" s="291"/>
      <c r="EY149" s="291"/>
      <c r="EZ149" s="291"/>
      <c r="FA149" s="291"/>
      <c r="FB149" s="291"/>
      <c r="FC149" s="291"/>
      <c r="FD149" s="291"/>
      <c r="FE149" s="291"/>
      <c r="FF149" s="291"/>
      <c r="FG149" s="291"/>
      <c r="FH149" s="291"/>
      <c r="FI149" s="291"/>
      <c r="FJ149" s="291"/>
      <c r="FK149" s="291"/>
      <c r="FL149" s="291"/>
      <c r="FM149" s="291"/>
      <c r="FN149" s="291"/>
      <c r="FO149" s="291"/>
      <c r="FP149" s="291"/>
      <c r="FQ149" s="291"/>
      <c r="FR149" s="291"/>
      <c r="FS149" s="291"/>
      <c r="FT149" s="291"/>
      <c r="FU149" s="291"/>
      <c r="FV149" s="291"/>
      <c r="FW149" s="291"/>
      <c r="FX149" s="291"/>
      <c r="FY149" s="291"/>
      <c r="FZ149" s="291"/>
      <c r="GA149" s="291"/>
      <c r="GB149" s="291"/>
      <c r="GC149" s="291"/>
      <c r="GD149" s="291"/>
      <c r="GE149" s="291"/>
      <c r="GF149" s="291"/>
      <c r="GG149" s="291"/>
      <c r="GH149" s="291"/>
      <c r="GI149" s="291"/>
      <c r="GJ149" s="291"/>
      <c r="GK149" s="291"/>
      <c r="GL149" s="291"/>
      <c r="GM149" s="291"/>
      <c r="GN149" s="291"/>
      <c r="GO149" s="291"/>
      <c r="GP149" s="291"/>
      <c r="GQ149" s="291"/>
      <c r="GR149" s="291"/>
      <c r="GS149" s="291"/>
      <c r="GT149" s="291"/>
      <c r="GU149" s="291"/>
      <c r="GV149" s="291"/>
      <c r="GW149" s="291"/>
      <c r="GX149" s="291"/>
      <c r="GY149" s="291"/>
      <c r="GZ149" s="291"/>
      <c r="HA149" s="291"/>
      <c r="HB149" s="291"/>
      <c r="HC149" s="291"/>
      <c r="HD149" s="291"/>
      <c r="HE149" s="291"/>
      <c r="HF149" s="291"/>
      <c r="HG149" s="291"/>
      <c r="HH149" s="291"/>
      <c r="HI149" s="291"/>
      <c r="HJ149" s="291"/>
      <c r="HK149" s="291"/>
      <c r="HL149" s="291"/>
      <c r="HM149" s="291"/>
      <c r="HN149" s="291"/>
      <c r="HO149" s="291"/>
      <c r="HP149" s="291"/>
      <c r="HQ149" s="291"/>
      <c r="HR149" s="291"/>
      <c r="HS149" s="291"/>
      <c r="HT149" s="291"/>
      <c r="HU149" s="291"/>
      <c r="HV149" s="291"/>
      <c r="HW149" s="291"/>
      <c r="HX149" s="291"/>
      <c r="HY149" s="291"/>
      <c r="HZ149" s="291"/>
      <c r="IA149" s="291"/>
      <c r="IB149" s="291"/>
      <c r="IC149" s="291"/>
      <c r="ID149" s="291"/>
      <c r="IE149" s="291"/>
      <c r="IF149" s="291"/>
      <c r="IG149" s="291"/>
      <c r="IH149" s="291"/>
      <c r="II149" s="291"/>
      <c r="IJ149" s="291"/>
      <c r="IK149" s="291"/>
      <c r="IL149" s="291"/>
      <c r="IM149" s="291"/>
      <c r="IN149" s="291"/>
      <c r="IO149" s="291"/>
      <c r="IP149" s="291"/>
      <c r="IQ149" s="291"/>
      <c r="IR149" s="291"/>
      <c r="IS149" s="291"/>
      <c r="IT149" s="291"/>
      <c r="IU149" s="291"/>
      <c r="IV149" s="291"/>
      <c r="IW149" s="291"/>
      <c r="IX149" s="291"/>
      <c r="IY149" s="291"/>
      <c r="IZ149" s="291"/>
      <c r="JA149" s="291"/>
      <c r="JB149" s="291"/>
      <c r="JC149" s="291"/>
      <c r="JD149" s="291"/>
      <c r="JE149" s="291"/>
      <c r="JF149" s="291"/>
      <c r="JG149" s="291"/>
      <c r="JH149" s="291"/>
      <c r="JI149" s="291"/>
      <c r="JJ149" s="291"/>
      <c r="JK149" s="291"/>
      <c r="JL149" s="291"/>
      <c r="JM149" s="291"/>
      <c r="JN149" s="291"/>
      <c r="JO149" s="291"/>
      <c r="JP149" s="291"/>
      <c r="JQ149" s="291"/>
      <c r="JR149" s="291"/>
      <c r="JS149" s="291"/>
      <c r="JT149" s="291"/>
      <c r="JU149" s="291"/>
      <c r="JV149" s="291"/>
      <c r="JW149" s="291"/>
      <c r="JX149" s="291"/>
      <c r="JY149" s="291"/>
      <c r="JZ149" s="291"/>
      <c r="KA149" s="291"/>
      <c r="KB149" s="291"/>
      <c r="KC149" s="291"/>
      <c r="KD149" s="291"/>
      <c r="KE149" s="291"/>
      <c r="KF149" s="291"/>
      <c r="KG149" s="291"/>
      <c r="KH149" s="291"/>
      <c r="KI149" s="291"/>
      <c r="KJ149" s="291"/>
      <c r="KK149" s="291"/>
      <c r="KL149" s="291"/>
      <c r="KM149" s="291"/>
      <c r="KN149" s="291"/>
      <c r="KO149" s="291"/>
      <c r="KP149" s="291"/>
      <c r="KQ149" s="291"/>
      <c r="KR149" s="291"/>
      <c r="KS149" s="291"/>
      <c r="KT149" s="291"/>
      <c r="KU149" s="291"/>
      <c r="KV149" s="291"/>
      <c r="KW149" s="291"/>
      <c r="KX149" s="291"/>
      <c r="KY149" s="291"/>
      <c r="KZ149" s="291"/>
      <c r="LA149" s="291"/>
      <c r="LB149" s="291"/>
      <c r="LC149" s="291"/>
      <c r="LD149" s="291"/>
      <c r="LE149" s="291"/>
      <c r="LF149" s="291"/>
      <c r="LG149" s="291"/>
      <c r="LH149" s="291"/>
      <c r="LI149" s="291"/>
      <c r="LJ149" s="291"/>
      <c r="LK149" s="291"/>
      <c r="LL149" s="291"/>
      <c r="LM149" s="291"/>
      <c r="LN149" s="291"/>
      <c r="LO149" s="291"/>
      <c r="LP149" s="291"/>
      <c r="LQ149" s="291"/>
      <c r="LR149" s="291"/>
      <c r="LS149" s="291"/>
      <c r="LT149" s="291"/>
      <c r="LU149" s="291"/>
      <c r="LV149" s="291"/>
      <c r="LW149" s="291"/>
      <c r="LX149" s="291"/>
      <c r="LY149" s="291"/>
      <c r="LZ149" s="291"/>
      <c r="MA149" s="291"/>
      <c r="MB149" s="291"/>
      <c r="MC149" s="291"/>
      <c r="MD149" s="291"/>
      <c r="ME149" s="291"/>
      <c r="MF149" s="291"/>
      <c r="MG149" s="291"/>
      <c r="MH149" s="291"/>
      <c r="MI149" s="291"/>
      <c r="MJ149" s="291"/>
      <c r="MK149" s="291"/>
      <c r="ML149" s="291"/>
      <c r="MM149" s="291"/>
      <c r="MN149" s="291"/>
      <c r="MO149" s="291"/>
      <c r="MP149" s="291"/>
      <c r="MQ149" s="291"/>
      <c r="MR149" s="291"/>
      <c r="MS149" s="291"/>
      <c r="MT149" s="291"/>
      <c r="MU149" s="291"/>
      <c r="MV149" s="291"/>
      <c r="MW149" s="291"/>
      <c r="MX149" s="291"/>
      <c r="MY149" s="291"/>
      <c r="MZ149" s="291"/>
      <c r="NA149" s="291"/>
      <c r="NB149" s="291"/>
      <c r="NC149" s="291"/>
      <c r="ND149" s="291"/>
      <c r="NE149" s="291"/>
      <c r="NF149" s="291"/>
      <c r="NG149" s="291"/>
      <c r="NH149" s="291"/>
      <c r="NI149" s="291"/>
      <c r="NJ149" s="291"/>
      <c r="NK149" s="291"/>
      <c r="NL149" s="291"/>
      <c r="NM149" s="291"/>
      <c r="NN149" s="291"/>
      <c r="NO149" s="291"/>
      <c r="NP149" s="291"/>
      <c r="NQ149" s="291"/>
      <c r="NR149" s="291"/>
      <c r="NS149" s="291"/>
      <c r="NT149" s="291"/>
      <c r="NU149" s="291"/>
      <c r="NV149" s="291"/>
      <c r="NW149" s="291"/>
      <c r="NX149" s="291"/>
      <c r="NY149" s="291"/>
      <c r="NZ149" s="291"/>
      <c r="OA149" s="291"/>
      <c r="OB149" s="291"/>
      <c r="OC149" s="291"/>
      <c r="OD149" s="291"/>
      <c r="OE149" s="291"/>
      <c r="OF149" s="291"/>
      <c r="OG149" s="291"/>
      <c r="OH149" s="291"/>
      <c r="OI149" s="291"/>
      <c r="OJ149" s="291"/>
      <c r="OK149" s="291"/>
      <c r="OL149" s="291"/>
      <c r="OM149" s="291"/>
      <c r="ON149" s="291"/>
      <c r="OO149" s="291"/>
      <c r="OP149" s="291"/>
      <c r="OQ149" s="291"/>
      <c r="OR149" s="291"/>
      <c r="OS149" s="291"/>
      <c r="OT149" s="291"/>
      <c r="OU149" s="291"/>
      <c r="OV149" s="291"/>
      <c r="OW149" s="291"/>
    </row>
    <row r="150" spans="1:413" s="257" customFormat="1" ht="22.5" hidden="1" x14ac:dyDescent="0.2">
      <c r="A150" s="291"/>
      <c r="B150" s="524">
        <f t="shared" si="11"/>
        <v>134</v>
      </c>
      <c r="C150" s="510" t="s">
        <v>38</v>
      </c>
      <c r="D150" s="511">
        <v>30379323</v>
      </c>
      <c r="E150" s="511"/>
      <c r="F150" s="512" t="s">
        <v>1297</v>
      </c>
      <c r="G150" s="513" t="s">
        <v>46</v>
      </c>
      <c r="H150" s="514" t="s">
        <v>1094</v>
      </c>
      <c r="I150" s="515" t="s">
        <v>1248</v>
      </c>
      <c r="J150" s="346" t="s">
        <v>42</v>
      </c>
      <c r="K150" s="526">
        <v>101295</v>
      </c>
      <c r="L150" s="527">
        <v>0</v>
      </c>
      <c r="M150" s="528">
        <v>1</v>
      </c>
      <c r="N150" s="520">
        <v>0</v>
      </c>
      <c r="O150" s="520">
        <v>0</v>
      </c>
      <c r="P150" s="520">
        <v>0</v>
      </c>
      <c r="Q150" s="520">
        <v>0</v>
      </c>
      <c r="R150" s="520">
        <v>0</v>
      </c>
      <c r="S150" s="520">
        <v>22534</v>
      </c>
      <c r="T150" s="18"/>
      <c r="U150" s="18"/>
      <c r="V150" s="18"/>
      <c r="W150" s="18"/>
      <c r="X150" s="18"/>
      <c r="Y150" s="18"/>
      <c r="Z150" s="18">
        <f t="shared" si="8"/>
        <v>22534</v>
      </c>
      <c r="AA150" s="309">
        <v>90136</v>
      </c>
      <c r="AB150" s="19">
        <v>5</v>
      </c>
      <c r="AC150" s="521">
        <v>44224</v>
      </c>
      <c r="AD150" s="25">
        <v>44251</v>
      </c>
      <c r="AE150" s="309">
        <v>-80021</v>
      </c>
      <c r="AF150" s="314">
        <v>50</v>
      </c>
      <c r="AG150" s="315">
        <v>44356</v>
      </c>
      <c r="AH150" s="315">
        <v>44377</v>
      </c>
      <c r="AI150" s="309"/>
      <c r="AJ150" s="338"/>
      <c r="AK150" s="315"/>
      <c r="AL150" s="316"/>
      <c r="AM150" s="309"/>
      <c r="AN150" s="338"/>
      <c r="AO150" s="21"/>
      <c r="AP150" s="25"/>
      <c r="AQ150" s="309"/>
      <c r="AR150" s="19"/>
      <c r="AS150" s="21"/>
      <c r="AT150" s="25"/>
      <c r="AU150" s="522">
        <f t="shared" si="9"/>
        <v>10115</v>
      </c>
      <c r="AV150" s="311">
        <f t="shared" si="10"/>
        <v>-12419</v>
      </c>
      <c r="AW150" s="305"/>
      <c r="AX150" s="291"/>
      <c r="AY150" s="291"/>
      <c r="AZ150" s="291"/>
      <c r="BA150" s="291"/>
      <c r="BB150" s="291"/>
      <c r="BC150" s="291"/>
      <c r="BD150" s="291"/>
      <c r="BE150" s="291"/>
      <c r="BF150" s="291"/>
      <c r="BG150" s="291"/>
      <c r="BH150" s="291"/>
      <c r="BI150" s="291"/>
      <c r="BJ150" s="291"/>
      <c r="BK150" s="291"/>
      <c r="BL150" s="291"/>
      <c r="BM150" s="291"/>
      <c r="BN150" s="291"/>
      <c r="BO150" s="291"/>
      <c r="BP150" s="291"/>
      <c r="BQ150" s="291"/>
      <c r="BR150" s="291"/>
      <c r="BS150" s="291"/>
      <c r="BT150" s="291"/>
      <c r="BU150" s="291"/>
      <c r="BV150" s="291"/>
      <c r="BW150" s="291"/>
      <c r="BX150" s="291"/>
      <c r="BY150" s="291"/>
      <c r="BZ150" s="291"/>
      <c r="CA150" s="291"/>
      <c r="CB150" s="291"/>
      <c r="CC150" s="291"/>
      <c r="CD150" s="291"/>
      <c r="CE150" s="291"/>
      <c r="CF150" s="291"/>
      <c r="CG150" s="291"/>
      <c r="CH150" s="291"/>
      <c r="CI150" s="291"/>
      <c r="CJ150" s="291"/>
      <c r="CK150" s="291"/>
      <c r="CL150" s="291"/>
      <c r="CM150" s="291"/>
      <c r="CN150" s="291"/>
      <c r="CO150" s="291"/>
      <c r="CP150" s="291"/>
      <c r="CQ150" s="291"/>
      <c r="CR150" s="291"/>
      <c r="CS150" s="291"/>
      <c r="CT150" s="291"/>
      <c r="CU150" s="291"/>
      <c r="CV150" s="291"/>
      <c r="CW150" s="291"/>
      <c r="CX150" s="291"/>
      <c r="CY150" s="291"/>
      <c r="CZ150" s="291"/>
      <c r="DA150" s="291"/>
      <c r="DB150" s="291"/>
      <c r="DC150" s="291"/>
      <c r="DD150" s="291"/>
      <c r="DE150" s="291"/>
      <c r="DF150" s="291"/>
      <c r="DG150" s="291"/>
      <c r="DH150" s="291"/>
      <c r="DI150" s="291"/>
      <c r="DJ150" s="291"/>
      <c r="DK150" s="291"/>
      <c r="DL150" s="291"/>
      <c r="DM150" s="291"/>
      <c r="DN150" s="291"/>
      <c r="DO150" s="291"/>
      <c r="DP150" s="291"/>
      <c r="DQ150" s="291"/>
      <c r="DR150" s="291"/>
      <c r="DS150" s="291"/>
      <c r="DT150" s="291"/>
      <c r="DU150" s="291"/>
      <c r="DV150" s="291"/>
      <c r="DW150" s="291"/>
      <c r="DX150" s="291"/>
      <c r="DY150" s="291"/>
      <c r="DZ150" s="291"/>
      <c r="EA150" s="291"/>
      <c r="EB150" s="291"/>
      <c r="EC150" s="291"/>
      <c r="ED150" s="291"/>
      <c r="EE150" s="291"/>
      <c r="EF150" s="291"/>
      <c r="EG150" s="291"/>
      <c r="EH150" s="291"/>
      <c r="EI150" s="291"/>
      <c r="EJ150" s="291"/>
      <c r="EK150" s="291"/>
      <c r="EL150" s="291"/>
      <c r="EM150" s="291"/>
      <c r="EN150" s="291"/>
      <c r="EO150" s="291"/>
      <c r="EP150" s="291"/>
      <c r="EQ150" s="291"/>
      <c r="ER150" s="291"/>
      <c r="ES150" s="291"/>
      <c r="ET150" s="291"/>
      <c r="EU150" s="291"/>
      <c r="EV150" s="291"/>
      <c r="EW150" s="291"/>
      <c r="EX150" s="291"/>
      <c r="EY150" s="291"/>
      <c r="EZ150" s="291"/>
      <c r="FA150" s="291"/>
      <c r="FB150" s="291"/>
      <c r="FC150" s="291"/>
      <c r="FD150" s="291"/>
      <c r="FE150" s="291"/>
      <c r="FF150" s="291"/>
      <c r="FG150" s="291"/>
      <c r="FH150" s="291"/>
      <c r="FI150" s="291"/>
      <c r="FJ150" s="291"/>
      <c r="FK150" s="291"/>
      <c r="FL150" s="291"/>
      <c r="FM150" s="291"/>
      <c r="FN150" s="291"/>
      <c r="FO150" s="291"/>
      <c r="FP150" s="291"/>
      <c r="FQ150" s="291"/>
      <c r="FR150" s="291"/>
      <c r="FS150" s="291"/>
      <c r="FT150" s="291"/>
      <c r="FU150" s="291"/>
      <c r="FV150" s="291"/>
      <c r="FW150" s="291"/>
      <c r="FX150" s="291"/>
      <c r="FY150" s="291"/>
      <c r="FZ150" s="291"/>
      <c r="GA150" s="291"/>
      <c r="GB150" s="291"/>
      <c r="GC150" s="291"/>
      <c r="GD150" s="291"/>
      <c r="GE150" s="291"/>
      <c r="GF150" s="291"/>
      <c r="GG150" s="291"/>
      <c r="GH150" s="291"/>
      <c r="GI150" s="291"/>
      <c r="GJ150" s="291"/>
      <c r="GK150" s="291"/>
      <c r="GL150" s="291"/>
      <c r="GM150" s="291"/>
      <c r="GN150" s="291"/>
      <c r="GO150" s="291"/>
      <c r="GP150" s="291"/>
      <c r="GQ150" s="291"/>
      <c r="GR150" s="291"/>
      <c r="GS150" s="291"/>
      <c r="GT150" s="291"/>
      <c r="GU150" s="291"/>
      <c r="GV150" s="291"/>
      <c r="GW150" s="291"/>
      <c r="GX150" s="291"/>
      <c r="GY150" s="291"/>
      <c r="GZ150" s="291"/>
      <c r="HA150" s="291"/>
      <c r="HB150" s="291"/>
      <c r="HC150" s="291"/>
      <c r="HD150" s="291"/>
      <c r="HE150" s="291"/>
      <c r="HF150" s="291"/>
      <c r="HG150" s="291"/>
      <c r="HH150" s="291"/>
      <c r="HI150" s="291"/>
      <c r="HJ150" s="291"/>
      <c r="HK150" s="291"/>
      <c r="HL150" s="291"/>
      <c r="HM150" s="291"/>
      <c r="HN150" s="291"/>
      <c r="HO150" s="291"/>
      <c r="HP150" s="291"/>
      <c r="HQ150" s="291"/>
      <c r="HR150" s="291"/>
      <c r="HS150" s="291"/>
      <c r="HT150" s="291"/>
      <c r="HU150" s="291"/>
      <c r="HV150" s="291"/>
      <c r="HW150" s="291"/>
      <c r="HX150" s="291"/>
      <c r="HY150" s="291"/>
      <c r="HZ150" s="291"/>
      <c r="IA150" s="291"/>
      <c r="IB150" s="291"/>
      <c r="IC150" s="291"/>
      <c r="ID150" s="291"/>
      <c r="IE150" s="291"/>
      <c r="IF150" s="291"/>
      <c r="IG150" s="291"/>
      <c r="IH150" s="291"/>
      <c r="II150" s="291"/>
      <c r="IJ150" s="291"/>
      <c r="IK150" s="291"/>
      <c r="IL150" s="291"/>
      <c r="IM150" s="291"/>
      <c r="IN150" s="291"/>
      <c r="IO150" s="291"/>
      <c r="IP150" s="291"/>
      <c r="IQ150" s="291"/>
      <c r="IR150" s="291"/>
      <c r="IS150" s="291"/>
      <c r="IT150" s="291"/>
      <c r="IU150" s="291"/>
      <c r="IV150" s="291"/>
      <c r="IW150" s="291"/>
      <c r="IX150" s="291"/>
      <c r="IY150" s="291"/>
      <c r="IZ150" s="291"/>
      <c r="JA150" s="291"/>
      <c r="JB150" s="291"/>
      <c r="JC150" s="291"/>
      <c r="JD150" s="291"/>
      <c r="JE150" s="291"/>
      <c r="JF150" s="291"/>
      <c r="JG150" s="291"/>
      <c r="JH150" s="291"/>
      <c r="JI150" s="291"/>
      <c r="JJ150" s="291"/>
      <c r="JK150" s="291"/>
      <c r="JL150" s="291"/>
      <c r="JM150" s="291"/>
      <c r="JN150" s="291"/>
      <c r="JO150" s="291"/>
      <c r="JP150" s="291"/>
      <c r="JQ150" s="291"/>
      <c r="JR150" s="291"/>
      <c r="JS150" s="291"/>
      <c r="JT150" s="291"/>
      <c r="JU150" s="291"/>
      <c r="JV150" s="291"/>
      <c r="JW150" s="291"/>
      <c r="JX150" s="291"/>
      <c r="JY150" s="291"/>
      <c r="JZ150" s="291"/>
      <c r="KA150" s="291"/>
      <c r="KB150" s="291"/>
      <c r="KC150" s="291"/>
      <c r="KD150" s="291"/>
      <c r="KE150" s="291"/>
      <c r="KF150" s="291"/>
      <c r="KG150" s="291"/>
      <c r="KH150" s="291"/>
      <c r="KI150" s="291"/>
      <c r="KJ150" s="291"/>
      <c r="KK150" s="291"/>
      <c r="KL150" s="291"/>
      <c r="KM150" s="291"/>
      <c r="KN150" s="291"/>
      <c r="KO150" s="291"/>
      <c r="KP150" s="291"/>
      <c r="KQ150" s="291"/>
      <c r="KR150" s="291"/>
      <c r="KS150" s="291"/>
      <c r="KT150" s="291"/>
      <c r="KU150" s="291"/>
      <c r="KV150" s="291"/>
      <c r="KW150" s="291"/>
      <c r="KX150" s="291"/>
      <c r="KY150" s="291"/>
      <c r="KZ150" s="291"/>
      <c r="LA150" s="291"/>
      <c r="LB150" s="291"/>
      <c r="LC150" s="291"/>
      <c r="LD150" s="291"/>
      <c r="LE150" s="291"/>
      <c r="LF150" s="291"/>
      <c r="LG150" s="291"/>
      <c r="LH150" s="291"/>
      <c r="LI150" s="291"/>
      <c r="LJ150" s="291"/>
      <c r="LK150" s="291"/>
      <c r="LL150" s="291"/>
      <c r="LM150" s="291"/>
      <c r="LN150" s="291"/>
      <c r="LO150" s="291"/>
      <c r="LP150" s="291"/>
      <c r="LQ150" s="291"/>
      <c r="LR150" s="291"/>
      <c r="LS150" s="291"/>
      <c r="LT150" s="291"/>
      <c r="LU150" s="291"/>
      <c r="LV150" s="291"/>
      <c r="LW150" s="291"/>
      <c r="LX150" s="291"/>
      <c r="LY150" s="291"/>
      <c r="LZ150" s="291"/>
      <c r="MA150" s="291"/>
      <c r="MB150" s="291"/>
      <c r="MC150" s="291"/>
      <c r="MD150" s="291"/>
      <c r="ME150" s="291"/>
      <c r="MF150" s="291"/>
      <c r="MG150" s="291"/>
      <c r="MH150" s="291"/>
      <c r="MI150" s="291"/>
      <c r="MJ150" s="291"/>
      <c r="MK150" s="291"/>
      <c r="ML150" s="291"/>
      <c r="MM150" s="291"/>
      <c r="MN150" s="291"/>
      <c r="MO150" s="291"/>
      <c r="MP150" s="291"/>
      <c r="MQ150" s="291"/>
      <c r="MR150" s="291"/>
      <c r="MS150" s="291"/>
      <c r="MT150" s="291"/>
      <c r="MU150" s="291"/>
      <c r="MV150" s="291"/>
      <c r="MW150" s="291"/>
      <c r="MX150" s="291"/>
      <c r="MY150" s="291"/>
      <c r="MZ150" s="291"/>
      <c r="NA150" s="291"/>
      <c r="NB150" s="291"/>
      <c r="NC150" s="291"/>
      <c r="ND150" s="291"/>
      <c r="NE150" s="291"/>
      <c r="NF150" s="291"/>
      <c r="NG150" s="291"/>
      <c r="NH150" s="291"/>
      <c r="NI150" s="291"/>
      <c r="NJ150" s="291"/>
      <c r="NK150" s="291"/>
      <c r="NL150" s="291"/>
      <c r="NM150" s="291"/>
      <c r="NN150" s="291"/>
      <c r="NO150" s="291"/>
      <c r="NP150" s="291"/>
      <c r="NQ150" s="291"/>
      <c r="NR150" s="291"/>
      <c r="NS150" s="291"/>
      <c r="NT150" s="291"/>
      <c r="NU150" s="291"/>
      <c r="NV150" s="291"/>
      <c r="NW150" s="291"/>
      <c r="NX150" s="291"/>
      <c r="NY150" s="291"/>
      <c r="NZ150" s="291"/>
      <c r="OA150" s="291"/>
      <c r="OB150" s="291"/>
      <c r="OC150" s="291"/>
      <c r="OD150" s="291"/>
      <c r="OE150" s="291"/>
      <c r="OF150" s="291"/>
      <c r="OG150" s="291"/>
      <c r="OH150" s="291"/>
      <c r="OI150" s="291"/>
      <c r="OJ150" s="291"/>
      <c r="OK150" s="291"/>
      <c r="OL150" s="291"/>
      <c r="OM150" s="291"/>
      <c r="ON150" s="291"/>
      <c r="OO150" s="291"/>
      <c r="OP150" s="291"/>
      <c r="OQ150" s="291"/>
      <c r="OR150" s="291"/>
      <c r="OS150" s="291"/>
      <c r="OT150" s="291"/>
      <c r="OU150" s="291"/>
      <c r="OV150" s="291"/>
      <c r="OW150" s="291"/>
    </row>
    <row r="151" spans="1:413" s="257" customFormat="1" hidden="1" x14ac:dyDescent="0.2">
      <c r="A151" s="291"/>
      <c r="B151" s="524">
        <f t="shared" si="11"/>
        <v>135</v>
      </c>
      <c r="C151" s="510" t="s">
        <v>38</v>
      </c>
      <c r="D151" s="511">
        <v>30384722</v>
      </c>
      <c r="E151" s="511"/>
      <c r="F151" s="512" t="s">
        <v>1298</v>
      </c>
      <c r="G151" s="513" t="s">
        <v>45</v>
      </c>
      <c r="H151" s="514" t="s">
        <v>1094</v>
      </c>
      <c r="I151" s="515" t="s">
        <v>1150</v>
      </c>
      <c r="J151" s="346" t="s">
        <v>43</v>
      </c>
      <c r="K151" s="526">
        <v>5394037</v>
      </c>
      <c r="L151" s="527">
        <v>0</v>
      </c>
      <c r="M151" s="528">
        <v>626074</v>
      </c>
      <c r="N151" s="520">
        <v>0</v>
      </c>
      <c r="O151" s="520">
        <v>0</v>
      </c>
      <c r="P151" s="520">
        <v>0</v>
      </c>
      <c r="Q151" s="520">
        <v>0</v>
      </c>
      <c r="R151" s="520">
        <v>0</v>
      </c>
      <c r="S151" s="520">
        <v>0</v>
      </c>
      <c r="T151" s="18"/>
      <c r="U151" s="18"/>
      <c r="V151" s="18"/>
      <c r="W151" s="18"/>
      <c r="X151" s="18"/>
      <c r="Y151" s="18"/>
      <c r="Z151" s="18">
        <f t="shared" si="8"/>
        <v>0</v>
      </c>
      <c r="AA151" s="309">
        <v>125093</v>
      </c>
      <c r="AB151" s="19">
        <v>3</v>
      </c>
      <c r="AC151" s="521">
        <v>44222</v>
      </c>
      <c r="AD151" s="25">
        <v>44225</v>
      </c>
      <c r="AE151" s="309"/>
      <c r="AF151" s="314"/>
      <c r="AG151" s="315"/>
      <c r="AH151" s="316"/>
      <c r="AI151" s="309"/>
      <c r="AJ151" s="338"/>
      <c r="AK151" s="315"/>
      <c r="AL151" s="316"/>
      <c r="AM151" s="309"/>
      <c r="AN151" s="338"/>
      <c r="AO151" s="21"/>
      <c r="AP151" s="25"/>
      <c r="AQ151" s="309"/>
      <c r="AR151" s="19"/>
      <c r="AS151" s="21"/>
      <c r="AT151" s="25"/>
      <c r="AU151" s="522">
        <f t="shared" si="9"/>
        <v>125093</v>
      </c>
      <c r="AV151" s="311">
        <f t="shared" si="10"/>
        <v>125093</v>
      </c>
      <c r="AW151" s="305"/>
      <c r="AX151" s="291"/>
      <c r="AY151" s="291"/>
      <c r="AZ151" s="291"/>
      <c r="BA151" s="291"/>
      <c r="BB151" s="291"/>
      <c r="BC151" s="291"/>
      <c r="BD151" s="291"/>
      <c r="BE151" s="291"/>
      <c r="BF151" s="291"/>
      <c r="BG151" s="291"/>
      <c r="BH151" s="291"/>
      <c r="BI151" s="291"/>
      <c r="BJ151" s="291"/>
      <c r="BK151" s="291"/>
      <c r="BL151" s="291"/>
      <c r="BM151" s="291"/>
      <c r="BN151" s="291"/>
      <c r="BO151" s="291"/>
      <c r="BP151" s="291"/>
      <c r="BQ151" s="291"/>
      <c r="BR151" s="291"/>
      <c r="BS151" s="291"/>
      <c r="BT151" s="291"/>
      <c r="BU151" s="291"/>
      <c r="BV151" s="291"/>
      <c r="BW151" s="291"/>
      <c r="BX151" s="291"/>
      <c r="BY151" s="291"/>
      <c r="BZ151" s="291"/>
      <c r="CA151" s="291"/>
      <c r="CB151" s="291"/>
      <c r="CC151" s="291"/>
      <c r="CD151" s="291"/>
      <c r="CE151" s="291"/>
      <c r="CF151" s="291"/>
      <c r="CG151" s="291"/>
      <c r="CH151" s="291"/>
      <c r="CI151" s="291"/>
      <c r="CJ151" s="291"/>
      <c r="CK151" s="291"/>
      <c r="CL151" s="291"/>
      <c r="CM151" s="291"/>
      <c r="CN151" s="291"/>
      <c r="CO151" s="291"/>
      <c r="CP151" s="291"/>
      <c r="CQ151" s="291"/>
      <c r="CR151" s="291"/>
      <c r="CS151" s="291"/>
      <c r="CT151" s="291"/>
      <c r="CU151" s="291"/>
      <c r="CV151" s="291"/>
      <c r="CW151" s="291"/>
      <c r="CX151" s="291"/>
      <c r="CY151" s="291"/>
      <c r="CZ151" s="291"/>
      <c r="DA151" s="291"/>
      <c r="DB151" s="291"/>
      <c r="DC151" s="291"/>
      <c r="DD151" s="291"/>
      <c r="DE151" s="291"/>
      <c r="DF151" s="291"/>
      <c r="DG151" s="291"/>
      <c r="DH151" s="291"/>
      <c r="DI151" s="291"/>
      <c r="DJ151" s="291"/>
      <c r="DK151" s="291"/>
      <c r="DL151" s="291"/>
      <c r="DM151" s="291"/>
      <c r="DN151" s="291"/>
      <c r="DO151" s="291"/>
      <c r="DP151" s="291"/>
      <c r="DQ151" s="291"/>
      <c r="DR151" s="291"/>
      <c r="DS151" s="291"/>
      <c r="DT151" s="291"/>
      <c r="DU151" s="291"/>
      <c r="DV151" s="291"/>
      <c r="DW151" s="291"/>
      <c r="DX151" s="291"/>
      <c r="DY151" s="291"/>
      <c r="DZ151" s="291"/>
      <c r="EA151" s="291"/>
      <c r="EB151" s="291"/>
      <c r="EC151" s="291"/>
      <c r="ED151" s="291"/>
      <c r="EE151" s="291"/>
      <c r="EF151" s="291"/>
      <c r="EG151" s="291"/>
      <c r="EH151" s="291"/>
      <c r="EI151" s="291"/>
      <c r="EJ151" s="291"/>
      <c r="EK151" s="291"/>
      <c r="EL151" s="291"/>
      <c r="EM151" s="291"/>
      <c r="EN151" s="291"/>
      <c r="EO151" s="291"/>
      <c r="EP151" s="291"/>
      <c r="EQ151" s="291"/>
      <c r="ER151" s="291"/>
      <c r="ES151" s="291"/>
      <c r="ET151" s="291"/>
      <c r="EU151" s="291"/>
      <c r="EV151" s="291"/>
      <c r="EW151" s="291"/>
      <c r="EX151" s="291"/>
      <c r="EY151" s="291"/>
      <c r="EZ151" s="291"/>
      <c r="FA151" s="291"/>
      <c r="FB151" s="291"/>
      <c r="FC151" s="291"/>
      <c r="FD151" s="291"/>
      <c r="FE151" s="291"/>
      <c r="FF151" s="291"/>
      <c r="FG151" s="291"/>
      <c r="FH151" s="291"/>
      <c r="FI151" s="291"/>
      <c r="FJ151" s="291"/>
      <c r="FK151" s="291"/>
      <c r="FL151" s="291"/>
      <c r="FM151" s="291"/>
      <c r="FN151" s="291"/>
      <c r="FO151" s="291"/>
      <c r="FP151" s="291"/>
      <c r="FQ151" s="291"/>
      <c r="FR151" s="291"/>
      <c r="FS151" s="291"/>
      <c r="FT151" s="291"/>
      <c r="FU151" s="291"/>
      <c r="FV151" s="291"/>
      <c r="FW151" s="291"/>
      <c r="FX151" s="291"/>
      <c r="FY151" s="291"/>
      <c r="FZ151" s="291"/>
      <c r="GA151" s="291"/>
      <c r="GB151" s="291"/>
      <c r="GC151" s="291"/>
      <c r="GD151" s="291"/>
      <c r="GE151" s="291"/>
      <c r="GF151" s="291"/>
      <c r="GG151" s="291"/>
      <c r="GH151" s="291"/>
      <c r="GI151" s="291"/>
      <c r="GJ151" s="291"/>
      <c r="GK151" s="291"/>
      <c r="GL151" s="291"/>
      <c r="GM151" s="291"/>
      <c r="GN151" s="291"/>
      <c r="GO151" s="291"/>
      <c r="GP151" s="291"/>
      <c r="GQ151" s="291"/>
      <c r="GR151" s="291"/>
      <c r="GS151" s="291"/>
      <c r="GT151" s="291"/>
      <c r="GU151" s="291"/>
      <c r="GV151" s="291"/>
      <c r="GW151" s="291"/>
      <c r="GX151" s="291"/>
      <c r="GY151" s="291"/>
      <c r="GZ151" s="291"/>
      <c r="HA151" s="291"/>
      <c r="HB151" s="291"/>
      <c r="HC151" s="291"/>
      <c r="HD151" s="291"/>
      <c r="HE151" s="291"/>
      <c r="HF151" s="291"/>
      <c r="HG151" s="291"/>
      <c r="HH151" s="291"/>
      <c r="HI151" s="291"/>
      <c r="HJ151" s="291"/>
      <c r="HK151" s="291"/>
      <c r="HL151" s="291"/>
      <c r="HM151" s="291"/>
      <c r="HN151" s="291"/>
      <c r="HO151" s="291"/>
      <c r="HP151" s="291"/>
      <c r="HQ151" s="291"/>
      <c r="HR151" s="291"/>
      <c r="HS151" s="291"/>
      <c r="HT151" s="291"/>
      <c r="HU151" s="291"/>
      <c r="HV151" s="291"/>
      <c r="HW151" s="291"/>
      <c r="HX151" s="291"/>
      <c r="HY151" s="291"/>
      <c r="HZ151" s="291"/>
      <c r="IA151" s="291"/>
      <c r="IB151" s="291"/>
      <c r="IC151" s="291"/>
      <c r="ID151" s="291"/>
      <c r="IE151" s="291"/>
      <c r="IF151" s="291"/>
      <c r="IG151" s="291"/>
      <c r="IH151" s="291"/>
      <c r="II151" s="291"/>
      <c r="IJ151" s="291"/>
      <c r="IK151" s="291"/>
      <c r="IL151" s="291"/>
      <c r="IM151" s="291"/>
      <c r="IN151" s="291"/>
      <c r="IO151" s="291"/>
      <c r="IP151" s="291"/>
      <c r="IQ151" s="291"/>
      <c r="IR151" s="291"/>
      <c r="IS151" s="291"/>
      <c r="IT151" s="291"/>
      <c r="IU151" s="291"/>
      <c r="IV151" s="291"/>
      <c r="IW151" s="291"/>
      <c r="IX151" s="291"/>
      <c r="IY151" s="291"/>
      <c r="IZ151" s="291"/>
      <c r="JA151" s="291"/>
      <c r="JB151" s="291"/>
      <c r="JC151" s="291"/>
      <c r="JD151" s="291"/>
      <c r="JE151" s="291"/>
      <c r="JF151" s="291"/>
      <c r="JG151" s="291"/>
      <c r="JH151" s="291"/>
      <c r="JI151" s="291"/>
      <c r="JJ151" s="291"/>
      <c r="JK151" s="291"/>
      <c r="JL151" s="291"/>
      <c r="JM151" s="291"/>
      <c r="JN151" s="291"/>
      <c r="JO151" s="291"/>
      <c r="JP151" s="291"/>
      <c r="JQ151" s="291"/>
      <c r="JR151" s="291"/>
      <c r="JS151" s="291"/>
      <c r="JT151" s="291"/>
      <c r="JU151" s="291"/>
      <c r="JV151" s="291"/>
      <c r="JW151" s="291"/>
      <c r="JX151" s="291"/>
      <c r="JY151" s="291"/>
      <c r="JZ151" s="291"/>
      <c r="KA151" s="291"/>
      <c r="KB151" s="291"/>
      <c r="KC151" s="291"/>
      <c r="KD151" s="291"/>
      <c r="KE151" s="291"/>
      <c r="KF151" s="291"/>
      <c r="KG151" s="291"/>
      <c r="KH151" s="291"/>
      <c r="KI151" s="291"/>
      <c r="KJ151" s="291"/>
      <c r="KK151" s="291"/>
      <c r="KL151" s="291"/>
      <c r="KM151" s="291"/>
      <c r="KN151" s="291"/>
      <c r="KO151" s="291"/>
      <c r="KP151" s="291"/>
      <c r="KQ151" s="291"/>
      <c r="KR151" s="291"/>
      <c r="KS151" s="291"/>
      <c r="KT151" s="291"/>
      <c r="KU151" s="291"/>
      <c r="KV151" s="291"/>
      <c r="KW151" s="291"/>
      <c r="KX151" s="291"/>
      <c r="KY151" s="291"/>
      <c r="KZ151" s="291"/>
      <c r="LA151" s="291"/>
      <c r="LB151" s="291"/>
      <c r="LC151" s="291"/>
      <c r="LD151" s="291"/>
      <c r="LE151" s="291"/>
      <c r="LF151" s="291"/>
      <c r="LG151" s="291"/>
      <c r="LH151" s="291"/>
      <c r="LI151" s="291"/>
      <c r="LJ151" s="291"/>
      <c r="LK151" s="291"/>
      <c r="LL151" s="291"/>
      <c r="LM151" s="291"/>
      <c r="LN151" s="291"/>
      <c r="LO151" s="291"/>
      <c r="LP151" s="291"/>
      <c r="LQ151" s="291"/>
      <c r="LR151" s="291"/>
      <c r="LS151" s="291"/>
      <c r="LT151" s="291"/>
      <c r="LU151" s="291"/>
      <c r="LV151" s="291"/>
      <c r="LW151" s="291"/>
      <c r="LX151" s="291"/>
      <c r="LY151" s="291"/>
      <c r="LZ151" s="291"/>
      <c r="MA151" s="291"/>
      <c r="MB151" s="291"/>
      <c r="MC151" s="291"/>
      <c r="MD151" s="291"/>
      <c r="ME151" s="291"/>
      <c r="MF151" s="291"/>
      <c r="MG151" s="291"/>
      <c r="MH151" s="291"/>
      <c r="MI151" s="291"/>
      <c r="MJ151" s="291"/>
      <c r="MK151" s="291"/>
      <c r="ML151" s="291"/>
      <c r="MM151" s="291"/>
      <c r="MN151" s="291"/>
      <c r="MO151" s="291"/>
      <c r="MP151" s="291"/>
      <c r="MQ151" s="291"/>
      <c r="MR151" s="291"/>
      <c r="MS151" s="291"/>
      <c r="MT151" s="291"/>
      <c r="MU151" s="291"/>
      <c r="MV151" s="291"/>
      <c r="MW151" s="291"/>
      <c r="MX151" s="291"/>
      <c r="MY151" s="291"/>
      <c r="MZ151" s="291"/>
      <c r="NA151" s="291"/>
      <c r="NB151" s="291"/>
      <c r="NC151" s="291"/>
      <c r="ND151" s="291"/>
      <c r="NE151" s="291"/>
      <c r="NF151" s="291"/>
      <c r="NG151" s="291"/>
      <c r="NH151" s="291"/>
      <c r="NI151" s="291"/>
      <c r="NJ151" s="291"/>
      <c r="NK151" s="291"/>
      <c r="NL151" s="291"/>
      <c r="NM151" s="291"/>
      <c r="NN151" s="291"/>
      <c r="NO151" s="291"/>
      <c r="NP151" s="291"/>
      <c r="NQ151" s="291"/>
      <c r="NR151" s="291"/>
      <c r="NS151" s="291"/>
      <c r="NT151" s="291"/>
      <c r="NU151" s="291"/>
      <c r="NV151" s="291"/>
      <c r="NW151" s="291"/>
      <c r="NX151" s="291"/>
      <c r="NY151" s="291"/>
      <c r="NZ151" s="291"/>
      <c r="OA151" s="291"/>
      <c r="OB151" s="291"/>
      <c r="OC151" s="291"/>
      <c r="OD151" s="291"/>
      <c r="OE151" s="291"/>
      <c r="OF151" s="291"/>
      <c r="OG151" s="291"/>
      <c r="OH151" s="291"/>
      <c r="OI151" s="291"/>
      <c r="OJ151" s="291"/>
      <c r="OK151" s="291"/>
      <c r="OL151" s="291"/>
      <c r="OM151" s="291"/>
      <c r="ON151" s="291"/>
      <c r="OO151" s="291"/>
      <c r="OP151" s="291"/>
      <c r="OQ151" s="291"/>
      <c r="OR151" s="291"/>
      <c r="OS151" s="291"/>
      <c r="OT151" s="291"/>
      <c r="OU151" s="291"/>
      <c r="OV151" s="291"/>
      <c r="OW151" s="291"/>
    </row>
    <row r="152" spans="1:413" s="257" customFormat="1" hidden="1" x14ac:dyDescent="0.2">
      <c r="A152" s="291"/>
      <c r="B152" s="524">
        <f t="shared" si="11"/>
        <v>136</v>
      </c>
      <c r="C152" s="510" t="s">
        <v>38</v>
      </c>
      <c r="D152" s="511">
        <v>30389026</v>
      </c>
      <c r="E152" s="511"/>
      <c r="F152" s="512" t="s">
        <v>1299</v>
      </c>
      <c r="G152" s="513" t="s">
        <v>46</v>
      </c>
      <c r="H152" s="514" t="s">
        <v>1094</v>
      </c>
      <c r="I152" s="515" t="s">
        <v>1159</v>
      </c>
      <c r="J152" s="346" t="s">
        <v>42</v>
      </c>
      <c r="K152" s="526">
        <v>50441</v>
      </c>
      <c r="L152" s="527">
        <v>28166</v>
      </c>
      <c r="M152" s="528">
        <v>0</v>
      </c>
      <c r="N152" s="520">
        <v>0</v>
      </c>
      <c r="O152" s="520">
        <v>0</v>
      </c>
      <c r="P152" s="520">
        <v>0</v>
      </c>
      <c r="Q152" s="520">
        <v>0</v>
      </c>
      <c r="R152" s="520">
        <v>0</v>
      </c>
      <c r="S152" s="520">
        <v>0</v>
      </c>
      <c r="T152" s="18"/>
      <c r="U152" s="18"/>
      <c r="V152" s="18"/>
      <c r="W152" s="18"/>
      <c r="X152" s="18"/>
      <c r="Y152" s="18"/>
      <c r="Z152" s="18">
        <f t="shared" si="8"/>
        <v>0</v>
      </c>
      <c r="AA152" s="309">
        <v>22275</v>
      </c>
      <c r="AB152" s="19">
        <v>5</v>
      </c>
      <c r="AC152" s="521">
        <v>44224</v>
      </c>
      <c r="AD152" s="25">
        <v>44251</v>
      </c>
      <c r="AE152" s="309"/>
      <c r="AF152" s="314"/>
      <c r="AG152" s="315"/>
      <c r="AH152" s="316"/>
      <c r="AI152" s="309"/>
      <c r="AJ152" s="338"/>
      <c r="AK152" s="315"/>
      <c r="AL152" s="316"/>
      <c r="AM152" s="309"/>
      <c r="AN152" s="338"/>
      <c r="AO152" s="21"/>
      <c r="AP152" s="25"/>
      <c r="AQ152" s="309"/>
      <c r="AR152" s="19"/>
      <c r="AS152" s="21"/>
      <c r="AT152" s="25"/>
      <c r="AU152" s="522">
        <f t="shared" si="9"/>
        <v>22275</v>
      </c>
      <c r="AV152" s="311">
        <f t="shared" si="10"/>
        <v>22275</v>
      </c>
      <c r="AW152" s="305"/>
      <c r="AX152" s="291"/>
      <c r="AY152" s="291"/>
      <c r="AZ152" s="291"/>
      <c r="BA152" s="291"/>
      <c r="BB152" s="291"/>
      <c r="BC152" s="291"/>
      <c r="BD152" s="291"/>
      <c r="BE152" s="291"/>
      <c r="BF152" s="291"/>
      <c r="BG152" s="291"/>
      <c r="BH152" s="291"/>
      <c r="BI152" s="291"/>
      <c r="BJ152" s="291"/>
      <c r="BK152" s="291"/>
      <c r="BL152" s="291"/>
      <c r="BM152" s="291"/>
      <c r="BN152" s="291"/>
      <c r="BO152" s="291"/>
      <c r="BP152" s="291"/>
      <c r="BQ152" s="291"/>
      <c r="BR152" s="291"/>
      <c r="BS152" s="291"/>
      <c r="BT152" s="291"/>
      <c r="BU152" s="291"/>
      <c r="BV152" s="291"/>
      <c r="BW152" s="291"/>
      <c r="BX152" s="291"/>
      <c r="BY152" s="291"/>
      <c r="BZ152" s="291"/>
      <c r="CA152" s="291"/>
      <c r="CB152" s="291"/>
      <c r="CC152" s="291"/>
      <c r="CD152" s="291"/>
      <c r="CE152" s="291"/>
      <c r="CF152" s="291"/>
      <c r="CG152" s="291"/>
      <c r="CH152" s="291"/>
      <c r="CI152" s="291"/>
      <c r="CJ152" s="291"/>
      <c r="CK152" s="291"/>
      <c r="CL152" s="291"/>
      <c r="CM152" s="291"/>
      <c r="CN152" s="291"/>
      <c r="CO152" s="291"/>
      <c r="CP152" s="291"/>
      <c r="CQ152" s="291"/>
      <c r="CR152" s="291"/>
      <c r="CS152" s="291"/>
      <c r="CT152" s="291"/>
      <c r="CU152" s="291"/>
      <c r="CV152" s="291"/>
      <c r="CW152" s="291"/>
      <c r="CX152" s="291"/>
      <c r="CY152" s="291"/>
      <c r="CZ152" s="291"/>
      <c r="DA152" s="291"/>
      <c r="DB152" s="291"/>
      <c r="DC152" s="291"/>
      <c r="DD152" s="291"/>
      <c r="DE152" s="291"/>
      <c r="DF152" s="291"/>
      <c r="DG152" s="291"/>
      <c r="DH152" s="291"/>
      <c r="DI152" s="291"/>
      <c r="DJ152" s="291"/>
      <c r="DK152" s="291"/>
      <c r="DL152" s="291"/>
      <c r="DM152" s="291"/>
      <c r="DN152" s="291"/>
      <c r="DO152" s="291"/>
      <c r="DP152" s="291"/>
      <c r="DQ152" s="291"/>
      <c r="DR152" s="291"/>
      <c r="DS152" s="291"/>
      <c r="DT152" s="291"/>
      <c r="DU152" s="291"/>
      <c r="DV152" s="291"/>
      <c r="DW152" s="291"/>
      <c r="DX152" s="291"/>
      <c r="DY152" s="291"/>
      <c r="DZ152" s="291"/>
      <c r="EA152" s="291"/>
      <c r="EB152" s="291"/>
      <c r="EC152" s="291"/>
      <c r="ED152" s="291"/>
      <c r="EE152" s="291"/>
      <c r="EF152" s="291"/>
      <c r="EG152" s="291"/>
      <c r="EH152" s="291"/>
      <c r="EI152" s="291"/>
      <c r="EJ152" s="291"/>
      <c r="EK152" s="291"/>
      <c r="EL152" s="291"/>
      <c r="EM152" s="291"/>
      <c r="EN152" s="291"/>
      <c r="EO152" s="291"/>
      <c r="EP152" s="291"/>
      <c r="EQ152" s="291"/>
      <c r="ER152" s="291"/>
      <c r="ES152" s="291"/>
      <c r="ET152" s="291"/>
      <c r="EU152" s="291"/>
      <c r="EV152" s="291"/>
      <c r="EW152" s="291"/>
      <c r="EX152" s="291"/>
      <c r="EY152" s="291"/>
      <c r="EZ152" s="291"/>
      <c r="FA152" s="291"/>
      <c r="FB152" s="291"/>
      <c r="FC152" s="291"/>
      <c r="FD152" s="291"/>
      <c r="FE152" s="291"/>
      <c r="FF152" s="291"/>
      <c r="FG152" s="291"/>
      <c r="FH152" s="291"/>
      <c r="FI152" s="291"/>
      <c r="FJ152" s="291"/>
      <c r="FK152" s="291"/>
      <c r="FL152" s="291"/>
      <c r="FM152" s="291"/>
      <c r="FN152" s="291"/>
      <c r="FO152" s="291"/>
      <c r="FP152" s="291"/>
      <c r="FQ152" s="291"/>
      <c r="FR152" s="291"/>
      <c r="FS152" s="291"/>
      <c r="FT152" s="291"/>
      <c r="FU152" s="291"/>
      <c r="FV152" s="291"/>
      <c r="FW152" s="291"/>
      <c r="FX152" s="291"/>
      <c r="FY152" s="291"/>
      <c r="FZ152" s="291"/>
      <c r="GA152" s="291"/>
      <c r="GB152" s="291"/>
      <c r="GC152" s="291"/>
      <c r="GD152" s="291"/>
      <c r="GE152" s="291"/>
      <c r="GF152" s="291"/>
      <c r="GG152" s="291"/>
      <c r="GH152" s="291"/>
      <c r="GI152" s="291"/>
      <c r="GJ152" s="291"/>
      <c r="GK152" s="291"/>
      <c r="GL152" s="291"/>
      <c r="GM152" s="291"/>
      <c r="GN152" s="291"/>
      <c r="GO152" s="291"/>
      <c r="GP152" s="291"/>
      <c r="GQ152" s="291"/>
      <c r="GR152" s="291"/>
      <c r="GS152" s="291"/>
      <c r="GT152" s="291"/>
      <c r="GU152" s="291"/>
      <c r="GV152" s="291"/>
      <c r="GW152" s="291"/>
      <c r="GX152" s="291"/>
      <c r="GY152" s="291"/>
      <c r="GZ152" s="291"/>
      <c r="HA152" s="291"/>
      <c r="HB152" s="291"/>
      <c r="HC152" s="291"/>
      <c r="HD152" s="291"/>
      <c r="HE152" s="291"/>
      <c r="HF152" s="291"/>
      <c r="HG152" s="291"/>
      <c r="HH152" s="291"/>
      <c r="HI152" s="291"/>
      <c r="HJ152" s="291"/>
      <c r="HK152" s="291"/>
      <c r="HL152" s="291"/>
      <c r="HM152" s="291"/>
      <c r="HN152" s="291"/>
      <c r="HO152" s="291"/>
      <c r="HP152" s="291"/>
      <c r="HQ152" s="291"/>
      <c r="HR152" s="291"/>
      <c r="HS152" s="291"/>
      <c r="HT152" s="291"/>
      <c r="HU152" s="291"/>
      <c r="HV152" s="291"/>
      <c r="HW152" s="291"/>
      <c r="HX152" s="291"/>
      <c r="HY152" s="291"/>
      <c r="HZ152" s="291"/>
      <c r="IA152" s="291"/>
      <c r="IB152" s="291"/>
      <c r="IC152" s="291"/>
      <c r="ID152" s="291"/>
      <c r="IE152" s="291"/>
      <c r="IF152" s="291"/>
      <c r="IG152" s="291"/>
      <c r="IH152" s="291"/>
      <c r="II152" s="291"/>
      <c r="IJ152" s="291"/>
      <c r="IK152" s="291"/>
      <c r="IL152" s="291"/>
      <c r="IM152" s="291"/>
      <c r="IN152" s="291"/>
      <c r="IO152" s="291"/>
      <c r="IP152" s="291"/>
      <c r="IQ152" s="291"/>
      <c r="IR152" s="291"/>
      <c r="IS152" s="291"/>
      <c r="IT152" s="291"/>
      <c r="IU152" s="291"/>
      <c r="IV152" s="291"/>
      <c r="IW152" s="291"/>
      <c r="IX152" s="291"/>
      <c r="IY152" s="291"/>
      <c r="IZ152" s="291"/>
      <c r="JA152" s="291"/>
      <c r="JB152" s="291"/>
      <c r="JC152" s="291"/>
      <c r="JD152" s="291"/>
      <c r="JE152" s="291"/>
      <c r="JF152" s="291"/>
      <c r="JG152" s="291"/>
      <c r="JH152" s="291"/>
      <c r="JI152" s="291"/>
      <c r="JJ152" s="291"/>
      <c r="JK152" s="291"/>
      <c r="JL152" s="291"/>
      <c r="JM152" s="291"/>
      <c r="JN152" s="291"/>
      <c r="JO152" s="291"/>
      <c r="JP152" s="291"/>
      <c r="JQ152" s="291"/>
      <c r="JR152" s="291"/>
      <c r="JS152" s="291"/>
      <c r="JT152" s="291"/>
      <c r="JU152" s="291"/>
      <c r="JV152" s="291"/>
      <c r="JW152" s="291"/>
      <c r="JX152" s="291"/>
      <c r="JY152" s="291"/>
      <c r="JZ152" s="291"/>
      <c r="KA152" s="291"/>
      <c r="KB152" s="291"/>
      <c r="KC152" s="291"/>
      <c r="KD152" s="291"/>
      <c r="KE152" s="291"/>
      <c r="KF152" s="291"/>
      <c r="KG152" s="291"/>
      <c r="KH152" s="291"/>
      <c r="KI152" s="291"/>
      <c r="KJ152" s="291"/>
      <c r="KK152" s="291"/>
      <c r="KL152" s="291"/>
      <c r="KM152" s="291"/>
      <c r="KN152" s="291"/>
      <c r="KO152" s="291"/>
      <c r="KP152" s="291"/>
      <c r="KQ152" s="291"/>
      <c r="KR152" s="291"/>
      <c r="KS152" s="291"/>
      <c r="KT152" s="291"/>
      <c r="KU152" s="291"/>
      <c r="KV152" s="291"/>
      <c r="KW152" s="291"/>
      <c r="KX152" s="291"/>
      <c r="KY152" s="291"/>
      <c r="KZ152" s="291"/>
      <c r="LA152" s="291"/>
      <c r="LB152" s="291"/>
      <c r="LC152" s="291"/>
      <c r="LD152" s="291"/>
      <c r="LE152" s="291"/>
      <c r="LF152" s="291"/>
      <c r="LG152" s="291"/>
      <c r="LH152" s="291"/>
      <c r="LI152" s="291"/>
      <c r="LJ152" s="291"/>
      <c r="LK152" s="291"/>
      <c r="LL152" s="291"/>
      <c r="LM152" s="291"/>
      <c r="LN152" s="291"/>
      <c r="LO152" s="291"/>
      <c r="LP152" s="291"/>
      <c r="LQ152" s="291"/>
      <c r="LR152" s="291"/>
      <c r="LS152" s="291"/>
      <c r="LT152" s="291"/>
      <c r="LU152" s="291"/>
      <c r="LV152" s="291"/>
      <c r="LW152" s="291"/>
      <c r="LX152" s="291"/>
      <c r="LY152" s="291"/>
      <c r="LZ152" s="291"/>
      <c r="MA152" s="291"/>
      <c r="MB152" s="291"/>
      <c r="MC152" s="291"/>
      <c r="MD152" s="291"/>
      <c r="ME152" s="291"/>
      <c r="MF152" s="291"/>
      <c r="MG152" s="291"/>
      <c r="MH152" s="291"/>
      <c r="MI152" s="291"/>
      <c r="MJ152" s="291"/>
      <c r="MK152" s="291"/>
      <c r="ML152" s="291"/>
      <c r="MM152" s="291"/>
      <c r="MN152" s="291"/>
      <c r="MO152" s="291"/>
      <c r="MP152" s="291"/>
      <c r="MQ152" s="291"/>
      <c r="MR152" s="291"/>
      <c r="MS152" s="291"/>
      <c r="MT152" s="291"/>
      <c r="MU152" s="291"/>
      <c r="MV152" s="291"/>
      <c r="MW152" s="291"/>
      <c r="MX152" s="291"/>
      <c r="MY152" s="291"/>
      <c r="MZ152" s="291"/>
      <c r="NA152" s="291"/>
      <c r="NB152" s="291"/>
      <c r="NC152" s="291"/>
      <c r="ND152" s="291"/>
      <c r="NE152" s="291"/>
      <c r="NF152" s="291"/>
      <c r="NG152" s="291"/>
      <c r="NH152" s="291"/>
      <c r="NI152" s="291"/>
      <c r="NJ152" s="291"/>
      <c r="NK152" s="291"/>
      <c r="NL152" s="291"/>
      <c r="NM152" s="291"/>
      <c r="NN152" s="291"/>
      <c r="NO152" s="291"/>
      <c r="NP152" s="291"/>
      <c r="NQ152" s="291"/>
      <c r="NR152" s="291"/>
      <c r="NS152" s="291"/>
      <c r="NT152" s="291"/>
      <c r="NU152" s="291"/>
      <c r="NV152" s="291"/>
      <c r="NW152" s="291"/>
      <c r="NX152" s="291"/>
      <c r="NY152" s="291"/>
      <c r="NZ152" s="291"/>
      <c r="OA152" s="291"/>
      <c r="OB152" s="291"/>
      <c r="OC152" s="291"/>
      <c r="OD152" s="291"/>
      <c r="OE152" s="291"/>
      <c r="OF152" s="291"/>
      <c r="OG152" s="291"/>
      <c r="OH152" s="291"/>
      <c r="OI152" s="291"/>
      <c r="OJ152" s="291"/>
      <c r="OK152" s="291"/>
      <c r="OL152" s="291"/>
      <c r="OM152" s="291"/>
      <c r="ON152" s="291"/>
      <c r="OO152" s="291"/>
      <c r="OP152" s="291"/>
      <c r="OQ152" s="291"/>
      <c r="OR152" s="291"/>
      <c r="OS152" s="291"/>
      <c r="OT152" s="291"/>
      <c r="OU152" s="291"/>
      <c r="OV152" s="291"/>
      <c r="OW152" s="291"/>
    </row>
    <row r="153" spans="1:413" s="257" customFormat="1" ht="22.5" hidden="1" x14ac:dyDescent="0.2">
      <c r="A153" s="291"/>
      <c r="B153" s="524">
        <f t="shared" si="11"/>
        <v>137</v>
      </c>
      <c r="C153" s="510" t="s">
        <v>38</v>
      </c>
      <c r="D153" s="511">
        <v>30391825</v>
      </c>
      <c r="E153" s="511"/>
      <c r="F153" s="512" t="s">
        <v>1300</v>
      </c>
      <c r="G153" s="513" t="s">
        <v>46</v>
      </c>
      <c r="H153" s="514" t="s">
        <v>1094</v>
      </c>
      <c r="I153" s="515" t="s">
        <v>1245</v>
      </c>
      <c r="J153" s="346" t="s">
        <v>43</v>
      </c>
      <c r="K153" s="526">
        <v>411102</v>
      </c>
      <c r="L153" s="527">
        <v>0</v>
      </c>
      <c r="M153" s="528">
        <v>405602</v>
      </c>
      <c r="N153" s="520">
        <v>0</v>
      </c>
      <c r="O153" s="520">
        <v>0</v>
      </c>
      <c r="P153" s="520">
        <v>0</v>
      </c>
      <c r="Q153" s="520">
        <v>0</v>
      </c>
      <c r="R153" s="520">
        <v>0</v>
      </c>
      <c r="S153" s="520">
        <v>3500</v>
      </c>
      <c r="T153" s="18"/>
      <c r="U153" s="18"/>
      <c r="V153" s="18"/>
      <c r="W153" s="18"/>
      <c r="X153" s="18"/>
      <c r="Y153" s="18"/>
      <c r="Z153" s="18">
        <f t="shared" si="8"/>
        <v>3500</v>
      </c>
      <c r="AA153" s="309">
        <v>3502</v>
      </c>
      <c r="AB153" s="19">
        <v>15</v>
      </c>
      <c r="AC153" s="521">
        <v>44259</v>
      </c>
      <c r="AD153" s="25">
        <v>44274</v>
      </c>
      <c r="AE153" s="309">
        <v>33</v>
      </c>
      <c r="AF153" s="314">
        <v>50</v>
      </c>
      <c r="AG153" s="315">
        <v>44356</v>
      </c>
      <c r="AH153" s="315">
        <v>44377</v>
      </c>
      <c r="AI153" s="309"/>
      <c r="AJ153" s="338"/>
      <c r="AK153" s="315"/>
      <c r="AL153" s="316"/>
      <c r="AM153" s="309"/>
      <c r="AN153" s="338"/>
      <c r="AO153" s="21"/>
      <c r="AP153" s="25"/>
      <c r="AQ153" s="309"/>
      <c r="AR153" s="19"/>
      <c r="AS153" s="21"/>
      <c r="AT153" s="25"/>
      <c r="AU153" s="522">
        <f t="shared" si="9"/>
        <v>3535</v>
      </c>
      <c r="AV153" s="311">
        <f t="shared" si="10"/>
        <v>35</v>
      </c>
      <c r="AW153" s="305"/>
      <c r="AX153" s="291"/>
      <c r="AY153" s="291"/>
      <c r="AZ153" s="291"/>
      <c r="BA153" s="291"/>
      <c r="BB153" s="291"/>
      <c r="BC153" s="291"/>
      <c r="BD153" s="291"/>
      <c r="BE153" s="291"/>
      <c r="BF153" s="291"/>
      <c r="BG153" s="291"/>
      <c r="BH153" s="291"/>
      <c r="BI153" s="291"/>
      <c r="BJ153" s="291"/>
      <c r="BK153" s="291"/>
      <c r="BL153" s="291"/>
      <c r="BM153" s="291"/>
      <c r="BN153" s="291"/>
      <c r="BO153" s="291"/>
      <c r="BP153" s="291"/>
      <c r="BQ153" s="291"/>
      <c r="BR153" s="291"/>
      <c r="BS153" s="291"/>
      <c r="BT153" s="291"/>
      <c r="BU153" s="291"/>
      <c r="BV153" s="291"/>
      <c r="BW153" s="291"/>
      <c r="BX153" s="291"/>
      <c r="BY153" s="291"/>
      <c r="BZ153" s="291"/>
      <c r="CA153" s="291"/>
      <c r="CB153" s="291"/>
      <c r="CC153" s="291"/>
      <c r="CD153" s="291"/>
      <c r="CE153" s="291"/>
      <c r="CF153" s="291"/>
      <c r="CG153" s="291"/>
      <c r="CH153" s="291"/>
      <c r="CI153" s="291"/>
      <c r="CJ153" s="291"/>
      <c r="CK153" s="291"/>
      <c r="CL153" s="291"/>
      <c r="CM153" s="291"/>
      <c r="CN153" s="291"/>
      <c r="CO153" s="291"/>
      <c r="CP153" s="291"/>
      <c r="CQ153" s="291"/>
      <c r="CR153" s="291"/>
      <c r="CS153" s="291"/>
      <c r="CT153" s="291"/>
      <c r="CU153" s="291"/>
      <c r="CV153" s="291"/>
      <c r="CW153" s="291"/>
      <c r="CX153" s="291"/>
      <c r="CY153" s="291"/>
      <c r="CZ153" s="291"/>
      <c r="DA153" s="291"/>
      <c r="DB153" s="291"/>
      <c r="DC153" s="291"/>
      <c r="DD153" s="291"/>
      <c r="DE153" s="291"/>
      <c r="DF153" s="291"/>
      <c r="DG153" s="291"/>
      <c r="DH153" s="291"/>
      <c r="DI153" s="291"/>
      <c r="DJ153" s="291"/>
      <c r="DK153" s="291"/>
      <c r="DL153" s="291"/>
      <c r="DM153" s="291"/>
      <c r="DN153" s="291"/>
      <c r="DO153" s="291"/>
      <c r="DP153" s="291"/>
      <c r="DQ153" s="291"/>
      <c r="DR153" s="291"/>
      <c r="DS153" s="291"/>
      <c r="DT153" s="291"/>
      <c r="DU153" s="291"/>
      <c r="DV153" s="291"/>
      <c r="DW153" s="291"/>
      <c r="DX153" s="291"/>
      <c r="DY153" s="291"/>
      <c r="DZ153" s="291"/>
      <c r="EA153" s="291"/>
      <c r="EB153" s="291"/>
      <c r="EC153" s="291"/>
      <c r="ED153" s="291"/>
      <c r="EE153" s="291"/>
      <c r="EF153" s="291"/>
      <c r="EG153" s="291"/>
      <c r="EH153" s="291"/>
      <c r="EI153" s="291"/>
      <c r="EJ153" s="291"/>
      <c r="EK153" s="291"/>
      <c r="EL153" s="291"/>
      <c r="EM153" s="291"/>
      <c r="EN153" s="291"/>
      <c r="EO153" s="291"/>
      <c r="EP153" s="291"/>
      <c r="EQ153" s="291"/>
      <c r="ER153" s="291"/>
      <c r="ES153" s="291"/>
      <c r="ET153" s="291"/>
      <c r="EU153" s="291"/>
      <c r="EV153" s="291"/>
      <c r="EW153" s="291"/>
      <c r="EX153" s="291"/>
      <c r="EY153" s="291"/>
      <c r="EZ153" s="291"/>
      <c r="FA153" s="291"/>
      <c r="FB153" s="291"/>
      <c r="FC153" s="291"/>
      <c r="FD153" s="291"/>
      <c r="FE153" s="291"/>
      <c r="FF153" s="291"/>
      <c r="FG153" s="291"/>
      <c r="FH153" s="291"/>
      <c r="FI153" s="291"/>
      <c r="FJ153" s="291"/>
      <c r="FK153" s="291"/>
      <c r="FL153" s="291"/>
      <c r="FM153" s="291"/>
      <c r="FN153" s="291"/>
      <c r="FO153" s="291"/>
      <c r="FP153" s="291"/>
      <c r="FQ153" s="291"/>
      <c r="FR153" s="291"/>
      <c r="FS153" s="291"/>
      <c r="FT153" s="291"/>
      <c r="FU153" s="291"/>
      <c r="FV153" s="291"/>
      <c r="FW153" s="291"/>
      <c r="FX153" s="291"/>
      <c r="FY153" s="291"/>
      <c r="FZ153" s="291"/>
      <c r="GA153" s="291"/>
      <c r="GB153" s="291"/>
      <c r="GC153" s="291"/>
      <c r="GD153" s="291"/>
      <c r="GE153" s="291"/>
      <c r="GF153" s="291"/>
      <c r="GG153" s="291"/>
      <c r="GH153" s="291"/>
      <c r="GI153" s="291"/>
      <c r="GJ153" s="291"/>
      <c r="GK153" s="291"/>
      <c r="GL153" s="291"/>
      <c r="GM153" s="291"/>
      <c r="GN153" s="291"/>
      <c r="GO153" s="291"/>
      <c r="GP153" s="291"/>
      <c r="GQ153" s="291"/>
      <c r="GR153" s="291"/>
      <c r="GS153" s="291"/>
      <c r="GT153" s="291"/>
      <c r="GU153" s="291"/>
      <c r="GV153" s="291"/>
      <c r="GW153" s="291"/>
      <c r="GX153" s="291"/>
      <c r="GY153" s="291"/>
      <c r="GZ153" s="291"/>
      <c r="HA153" s="291"/>
      <c r="HB153" s="291"/>
      <c r="HC153" s="291"/>
      <c r="HD153" s="291"/>
      <c r="HE153" s="291"/>
      <c r="HF153" s="291"/>
      <c r="HG153" s="291"/>
      <c r="HH153" s="291"/>
      <c r="HI153" s="291"/>
      <c r="HJ153" s="291"/>
      <c r="HK153" s="291"/>
      <c r="HL153" s="291"/>
      <c r="HM153" s="291"/>
      <c r="HN153" s="291"/>
      <c r="HO153" s="291"/>
      <c r="HP153" s="291"/>
      <c r="HQ153" s="291"/>
      <c r="HR153" s="291"/>
      <c r="HS153" s="291"/>
      <c r="HT153" s="291"/>
      <c r="HU153" s="291"/>
      <c r="HV153" s="291"/>
      <c r="HW153" s="291"/>
      <c r="HX153" s="291"/>
      <c r="HY153" s="291"/>
      <c r="HZ153" s="291"/>
      <c r="IA153" s="291"/>
      <c r="IB153" s="291"/>
      <c r="IC153" s="291"/>
      <c r="ID153" s="291"/>
      <c r="IE153" s="291"/>
      <c r="IF153" s="291"/>
      <c r="IG153" s="291"/>
      <c r="IH153" s="291"/>
      <c r="II153" s="291"/>
      <c r="IJ153" s="291"/>
      <c r="IK153" s="291"/>
      <c r="IL153" s="291"/>
      <c r="IM153" s="291"/>
      <c r="IN153" s="291"/>
      <c r="IO153" s="291"/>
      <c r="IP153" s="291"/>
      <c r="IQ153" s="291"/>
      <c r="IR153" s="291"/>
      <c r="IS153" s="291"/>
      <c r="IT153" s="291"/>
      <c r="IU153" s="291"/>
      <c r="IV153" s="291"/>
      <c r="IW153" s="291"/>
      <c r="IX153" s="291"/>
      <c r="IY153" s="291"/>
      <c r="IZ153" s="291"/>
      <c r="JA153" s="291"/>
      <c r="JB153" s="291"/>
      <c r="JC153" s="291"/>
      <c r="JD153" s="291"/>
      <c r="JE153" s="291"/>
      <c r="JF153" s="291"/>
      <c r="JG153" s="291"/>
      <c r="JH153" s="291"/>
      <c r="JI153" s="291"/>
      <c r="JJ153" s="291"/>
      <c r="JK153" s="291"/>
      <c r="JL153" s="291"/>
      <c r="JM153" s="291"/>
      <c r="JN153" s="291"/>
      <c r="JO153" s="291"/>
      <c r="JP153" s="291"/>
      <c r="JQ153" s="291"/>
      <c r="JR153" s="291"/>
      <c r="JS153" s="291"/>
      <c r="JT153" s="291"/>
      <c r="JU153" s="291"/>
      <c r="JV153" s="291"/>
      <c r="JW153" s="291"/>
      <c r="JX153" s="291"/>
      <c r="JY153" s="291"/>
      <c r="JZ153" s="291"/>
      <c r="KA153" s="291"/>
      <c r="KB153" s="291"/>
      <c r="KC153" s="291"/>
      <c r="KD153" s="291"/>
      <c r="KE153" s="291"/>
      <c r="KF153" s="291"/>
      <c r="KG153" s="291"/>
      <c r="KH153" s="291"/>
      <c r="KI153" s="291"/>
      <c r="KJ153" s="291"/>
      <c r="KK153" s="291"/>
      <c r="KL153" s="291"/>
      <c r="KM153" s="291"/>
      <c r="KN153" s="291"/>
      <c r="KO153" s="291"/>
      <c r="KP153" s="291"/>
      <c r="KQ153" s="291"/>
      <c r="KR153" s="291"/>
      <c r="KS153" s="291"/>
      <c r="KT153" s="291"/>
      <c r="KU153" s="291"/>
      <c r="KV153" s="291"/>
      <c r="KW153" s="291"/>
      <c r="KX153" s="291"/>
      <c r="KY153" s="291"/>
      <c r="KZ153" s="291"/>
      <c r="LA153" s="291"/>
      <c r="LB153" s="291"/>
      <c r="LC153" s="291"/>
      <c r="LD153" s="291"/>
      <c r="LE153" s="291"/>
      <c r="LF153" s="291"/>
      <c r="LG153" s="291"/>
      <c r="LH153" s="291"/>
      <c r="LI153" s="291"/>
      <c r="LJ153" s="291"/>
      <c r="LK153" s="291"/>
      <c r="LL153" s="291"/>
      <c r="LM153" s="291"/>
      <c r="LN153" s="291"/>
      <c r="LO153" s="291"/>
      <c r="LP153" s="291"/>
      <c r="LQ153" s="291"/>
      <c r="LR153" s="291"/>
      <c r="LS153" s="291"/>
      <c r="LT153" s="291"/>
      <c r="LU153" s="291"/>
      <c r="LV153" s="291"/>
      <c r="LW153" s="291"/>
      <c r="LX153" s="291"/>
      <c r="LY153" s="291"/>
      <c r="LZ153" s="291"/>
      <c r="MA153" s="291"/>
      <c r="MB153" s="291"/>
      <c r="MC153" s="291"/>
      <c r="MD153" s="291"/>
      <c r="ME153" s="291"/>
      <c r="MF153" s="291"/>
      <c r="MG153" s="291"/>
      <c r="MH153" s="291"/>
      <c r="MI153" s="291"/>
      <c r="MJ153" s="291"/>
      <c r="MK153" s="291"/>
      <c r="ML153" s="291"/>
      <c r="MM153" s="291"/>
      <c r="MN153" s="291"/>
      <c r="MO153" s="291"/>
      <c r="MP153" s="291"/>
      <c r="MQ153" s="291"/>
      <c r="MR153" s="291"/>
      <c r="MS153" s="291"/>
      <c r="MT153" s="291"/>
      <c r="MU153" s="291"/>
      <c r="MV153" s="291"/>
      <c r="MW153" s="291"/>
      <c r="MX153" s="291"/>
      <c r="MY153" s="291"/>
      <c r="MZ153" s="291"/>
      <c r="NA153" s="291"/>
      <c r="NB153" s="291"/>
      <c r="NC153" s="291"/>
      <c r="ND153" s="291"/>
      <c r="NE153" s="291"/>
      <c r="NF153" s="291"/>
      <c r="NG153" s="291"/>
      <c r="NH153" s="291"/>
      <c r="NI153" s="291"/>
      <c r="NJ153" s="291"/>
      <c r="NK153" s="291"/>
      <c r="NL153" s="291"/>
      <c r="NM153" s="291"/>
      <c r="NN153" s="291"/>
      <c r="NO153" s="291"/>
      <c r="NP153" s="291"/>
      <c r="NQ153" s="291"/>
      <c r="NR153" s="291"/>
      <c r="NS153" s="291"/>
      <c r="NT153" s="291"/>
      <c r="NU153" s="291"/>
      <c r="NV153" s="291"/>
      <c r="NW153" s="291"/>
      <c r="NX153" s="291"/>
      <c r="NY153" s="291"/>
      <c r="NZ153" s="291"/>
      <c r="OA153" s="291"/>
      <c r="OB153" s="291"/>
      <c r="OC153" s="291"/>
      <c r="OD153" s="291"/>
      <c r="OE153" s="291"/>
      <c r="OF153" s="291"/>
      <c r="OG153" s="291"/>
      <c r="OH153" s="291"/>
      <c r="OI153" s="291"/>
      <c r="OJ153" s="291"/>
      <c r="OK153" s="291"/>
      <c r="OL153" s="291"/>
      <c r="OM153" s="291"/>
      <c r="ON153" s="291"/>
      <c r="OO153" s="291"/>
      <c r="OP153" s="291"/>
      <c r="OQ153" s="291"/>
      <c r="OR153" s="291"/>
      <c r="OS153" s="291"/>
      <c r="OT153" s="291"/>
      <c r="OU153" s="291"/>
      <c r="OV153" s="291"/>
      <c r="OW153" s="291"/>
    </row>
    <row r="154" spans="1:413" s="257" customFormat="1" hidden="1" x14ac:dyDescent="0.2">
      <c r="A154" s="291"/>
      <c r="B154" s="524">
        <f t="shared" si="11"/>
        <v>138</v>
      </c>
      <c r="C154" s="510" t="s">
        <v>38</v>
      </c>
      <c r="D154" s="511">
        <v>30407385</v>
      </c>
      <c r="E154" s="511"/>
      <c r="F154" s="512" t="s">
        <v>1301</v>
      </c>
      <c r="G154" s="513" t="s">
        <v>46</v>
      </c>
      <c r="H154" s="514" t="s">
        <v>1094</v>
      </c>
      <c r="I154" s="515" t="s">
        <v>1180</v>
      </c>
      <c r="J154" s="346" t="s">
        <v>42</v>
      </c>
      <c r="K154" s="526">
        <v>523290</v>
      </c>
      <c r="L154" s="527">
        <v>470883</v>
      </c>
      <c r="M154" s="528">
        <v>0</v>
      </c>
      <c r="N154" s="520">
        <v>0</v>
      </c>
      <c r="O154" s="520">
        <v>0</v>
      </c>
      <c r="P154" s="520">
        <v>0</v>
      </c>
      <c r="Q154" s="520">
        <v>0</v>
      </c>
      <c r="R154" s="520">
        <v>0</v>
      </c>
      <c r="S154" s="520">
        <v>0</v>
      </c>
      <c r="T154" s="18"/>
      <c r="U154" s="18"/>
      <c r="V154" s="18"/>
      <c r="W154" s="18"/>
      <c r="X154" s="18"/>
      <c r="Y154" s="18"/>
      <c r="Z154" s="18">
        <f t="shared" si="8"/>
        <v>0</v>
      </c>
      <c r="AA154" s="309">
        <v>52407</v>
      </c>
      <c r="AB154" s="19">
        <v>11</v>
      </c>
      <c r="AC154" s="521">
        <v>44237</v>
      </c>
      <c r="AD154" s="25">
        <v>44251</v>
      </c>
      <c r="AE154" s="309"/>
      <c r="AF154" s="314"/>
      <c r="AG154" s="315"/>
      <c r="AH154" s="316"/>
      <c r="AI154" s="309"/>
      <c r="AJ154" s="338"/>
      <c r="AK154" s="315"/>
      <c r="AL154" s="316"/>
      <c r="AM154" s="309"/>
      <c r="AN154" s="338"/>
      <c r="AO154" s="21"/>
      <c r="AP154" s="25"/>
      <c r="AQ154" s="309"/>
      <c r="AR154" s="19"/>
      <c r="AS154" s="21"/>
      <c r="AT154" s="25"/>
      <c r="AU154" s="522">
        <f t="shared" si="9"/>
        <v>52407</v>
      </c>
      <c r="AV154" s="311">
        <f t="shared" si="10"/>
        <v>52407</v>
      </c>
      <c r="AW154" s="305"/>
      <c r="AX154" s="291"/>
      <c r="AY154" s="291"/>
      <c r="AZ154" s="291"/>
      <c r="BA154" s="291"/>
      <c r="BB154" s="291"/>
      <c r="BC154" s="291"/>
      <c r="BD154" s="291"/>
      <c r="BE154" s="291"/>
      <c r="BF154" s="291"/>
      <c r="BG154" s="291"/>
      <c r="BH154" s="291"/>
      <c r="BI154" s="291"/>
      <c r="BJ154" s="291"/>
      <c r="BK154" s="291"/>
      <c r="BL154" s="291"/>
      <c r="BM154" s="291"/>
      <c r="BN154" s="291"/>
      <c r="BO154" s="291"/>
      <c r="BP154" s="291"/>
      <c r="BQ154" s="291"/>
      <c r="BR154" s="291"/>
      <c r="BS154" s="291"/>
      <c r="BT154" s="291"/>
      <c r="BU154" s="291"/>
      <c r="BV154" s="291"/>
      <c r="BW154" s="291"/>
      <c r="BX154" s="291"/>
      <c r="BY154" s="291"/>
      <c r="BZ154" s="291"/>
      <c r="CA154" s="291"/>
      <c r="CB154" s="291"/>
      <c r="CC154" s="291"/>
      <c r="CD154" s="291"/>
      <c r="CE154" s="291"/>
      <c r="CF154" s="291"/>
      <c r="CG154" s="291"/>
      <c r="CH154" s="291"/>
      <c r="CI154" s="291"/>
      <c r="CJ154" s="291"/>
      <c r="CK154" s="291"/>
      <c r="CL154" s="291"/>
      <c r="CM154" s="291"/>
      <c r="CN154" s="291"/>
      <c r="CO154" s="291"/>
      <c r="CP154" s="291"/>
      <c r="CQ154" s="291"/>
      <c r="CR154" s="291"/>
      <c r="CS154" s="291"/>
      <c r="CT154" s="291"/>
      <c r="CU154" s="291"/>
      <c r="CV154" s="291"/>
      <c r="CW154" s="291"/>
      <c r="CX154" s="291"/>
      <c r="CY154" s="291"/>
      <c r="CZ154" s="291"/>
      <c r="DA154" s="291"/>
      <c r="DB154" s="291"/>
      <c r="DC154" s="291"/>
      <c r="DD154" s="291"/>
      <c r="DE154" s="291"/>
      <c r="DF154" s="291"/>
      <c r="DG154" s="291"/>
      <c r="DH154" s="291"/>
      <c r="DI154" s="291"/>
      <c r="DJ154" s="291"/>
      <c r="DK154" s="291"/>
      <c r="DL154" s="291"/>
      <c r="DM154" s="291"/>
      <c r="DN154" s="291"/>
      <c r="DO154" s="291"/>
      <c r="DP154" s="291"/>
      <c r="DQ154" s="291"/>
      <c r="DR154" s="291"/>
      <c r="DS154" s="291"/>
      <c r="DT154" s="291"/>
      <c r="DU154" s="291"/>
      <c r="DV154" s="291"/>
      <c r="DW154" s="291"/>
      <c r="DX154" s="291"/>
      <c r="DY154" s="291"/>
      <c r="DZ154" s="291"/>
      <c r="EA154" s="291"/>
      <c r="EB154" s="291"/>
      <c r="EC154" s="291"/>
      <c r="ED154" s="291"/>
      <c r="EE154" s="291"/>
      <c r="EF154" s="291"/>
      <c r="EG154" s="291"/>
      <c r="EH154" s="291"/>
      <c r="EI154" s="291"/>
      <c r="EJ154" s="291"/>
      <c r="EK154" s="291"/>
      <c r="EL154" s="291"/>
      <c r="EM154" s="291"/>
      <c r="EN154" s="291"/>
      <c r="EO154" s="291"/>
      <c r="EP154" s="291"/>
      <c r="EQ154" s="291"/>
      <c r="ER154" s="291"/>
      <c r="ES154" s="291"/>
      <c r="ET154" s="291"/>
      <c r="EU154" s="291"/>
      <c r="EV154" s="291"/>
      <c r="EW154" s="291"/>
      <c r="EX154" s="291"/>
      <c r="EY154" s="291"/>
      <c r="EZ154" s="291"/>
      <c r="FA154" s="291"/>
      <c r="FB154" s="291"/>
      <c r="FC154" s="291"/>
      <c r="FD154" s="291"/>
      <c r="FE154" s="291"/>
      <c r="FF154" s="291"/>
      <c r="FG154" s="291"/>
      <c r="FH154" s="291"/>
      <c r="FI154" s="291"/>
      <c r="FJ154" s="291"/>
      <c r="FK154" s="291"/>
      <c r="FL154" s="291"/>
      <c r="FM154" s="291"/>
      <c r="FN154" s="291"/>
      <c r="FO154" s="291"/>
      <c r="FP154" s="291"/>
      <c r="FQ154" s="291"/>
      <c r="FR154" s="291"/>
      <c r="FS154" s="291"/>
      <c r="FT154" s="291"/>
      <c r="FU154" s="291"/>
      <c r="FV154" s="291"/>
      <c r="FW154" s="291"/>
      <c r="FX154" s="291"/>
      <c r="FY154" s="291"/>
      <c r="FZ154" s="291"/>
      <c r="GA154" s="291"/>
      <c r="GB154" s="291"/>
      <c r="GC154" s="291"/>
      <c r="GD154" s="291"/>
      <c r="GE154" s="291"/>
      <c r="GF154" s="291"/>
      <c r="GG154" s="291"/>
      <c r="GH154" s="291"/>
      <c r="GI154" s="291"/>
      <c r="GJ154" s="291"/>
      <c r="GK154" s="291"/>
      <c r="GL154" s="291"/>
      <c r="GM154" s="291"/>
      <c r="GN154" s="291"/>
      <c r="GO154" s="291"/>
      <c r="GP154" s="291"/>
      <c r="GQ154" s="291"/>
      <c r="GR154" s="291"/>
      <c r="GS154" s="291"/>
      <c r="GT154" s="291"/>
      <c r="GU154" s="291"/>
      <c r="GV154" s="291"/>
      <c r="GW154" s="291"/>
      <c r="GX154" s="291"/>
      <c r="GY154" s="291"/>
      <c r="GZ154" s="291"/>
      <c r="HA154" s="291"/>
      <c r="HB154" s="291"/>
      <c r="HC154" s="291"/>
      <c r="HD154" s="291"/>
      <c r="HE154" s="291"/>
      <c r="HF154" s="291"/>
      <c r="HG154" s="291"/>
      <c r="HH154" s="291"/>
      <c r="HI154" s="291"/>
      <c r="HJ154" s="291"/>
      <c r="HK154" s="291"/>
      <c r="HL154" s="291"/>
      <c r="HM154" s="291"/>
      <c r="HN154" s="291"/>
      <c r="HO154" s="291"/>
      <c r="HP154" s="291"/>
      <c r="HQ154" s="291"/>
      <c r="HR154" s="291"/>
      <c r="HS154" s="291"/>
      <c r="HT154" s="291"/>
      <c r="HU154" s="291"/>
      <c r="HV154" s="291"/>
      <c r="HW154" s="291"/>
      <c r="HX154" s="291"/>
      <c r="HY154" s="291"/>
      <c r="HZ154" s="291"/>
      <c r="IA154" s="291"/>
      <c r="IB154" s="291"/>
      <c r="IC154" s="291"/>
      <c r="ID154" s="291"/>
      <c r="IE154" s="291"/>
      <c r="IF154" s="291"/>
      <c r="IG154" s="291"/>
      <c r="IH154" s="291"/>
      <c r="II154" s="291"/>
      <c r="IJ154" s="291"/>
      <c r="IK154" s="291"/>
      <c r="IL154" s="291"/>
      <c r="IM154" s="291"/>
      <c r="IN154" s="291"/>
      <c r="IO154" s="291"/>
      <c r="IP154" s="291"/>
      <c r="IQ154" s="291"/>
      <c r="IR154" s="291"/>
      <c r="IS154" s="291"/>
      <c r="IT154" s="291"/>
      <c r="IU154" s="291"/>
      <c r="IV154" s="291"/>
      <c r="IW154" s="291"/>
      <c r="IX154" s="291"/>
      <c r="IY154" s="291"/>
      <c r="IZ154" s="291"/>
      <c r="JA154" s="291"/>
      <c r="JB154" s="291"/>
      <c r="JC154" s="291"/>
      <c r="JD154" s="291"/>
      <c r="JE154" s="291"/>
      <c r="JF154" s="291"/>
      <c r="JG154" s="291"/>
      <c r="JH154" s="291"/>
      <c r="JI154" s="291"/>
      <c r="JJ154" s="291"/>
      <c r="JK154" s="291"/>
      <c r="JL154" s="291"/>
      <c r="JM154" s="291"/>
      <c r="JN154" s="291"/>
      <c r="JO154" s="291"/>
      <c r="JP154" s="291"/>
      <c r="JQ154" s="291"/>
      <c r="JR154" s="291"/>
      <c r="JS154" s="291"/>
      <c r="JT154" s="291"/>
      <c r="JU154" s="291"/>
      <c r="JV154" s="291"/>
      <c r="JW154" s="291"/>
      <c r="JX154" s="291"/>
      <c r="JY154" s="291"/>
      <c r="JZ154" s="291"/>
      <c r="KA154" s="291"/>
      <c r="KB154" s="291"/>
      <c r="KC154" s="291"/>
      <c r="KD154" s="291"/>
      <c r="KE154" s="291"/>
      <c r="KF154" s="291"/>
      <c r="KG154" s="291"/>
      <c r="KH154" s="291"/>
      <c r="KI154" s="291"/>
      <c r="KJ154" s="291"/>
      <c r="KK154" s="291"/>
      <c r="KL154" s="291"/>
      <c r="KM154" s="291"/>
      <c r="KN154" s="291"/>
      <c r="KO154" s="291"/>
      <c r="KP154" s="291"/>
      <c r="KQ154" s="291"/>
      <c r="KR154" s="291"/>
      <c r="KS154" s="291"/>
      <c r="KT154" s="291"/>
      <c r="KU154" s="291"/>
      <c r="KV154" s="291"/>
      <c r="KW154" s="291"/>
      <c r="KX154" s="291"/>
      <c r="KY154" s="291"/>
      <c r="KZ154" s="291"/>
      <c r="LA154" s="291"/>
      <c r="LB154" s="291"/>
      <c r="LC154" s="291"/>
      <c r="LD154" s="291"/>
      <c r="LE154" s="291"/>
      <c r="LF154" s="291"/>
      <c r="LG154" s="291"/>
      <c r="LH154" s="291"/>
      <c r="LI154" s="291"/>
      <c r="LJ154" s="291"/>
      <c r="LK154" s="291"/>
      <c r="LL154" s="291"/>
      <c r="LM154" s="291"/>
      <c r="LN154" s="291"/>
      <c r="LO154" s="291"/>
      <c r="LP154" s="291"/>
      <c r="LQ154" s="291"/>
      <c r="LR154" s="291"/>
      <c r="LS154" s="291"/>
      <c r="LT154" s="291"/>
      <c r="LU154" s="291"/>
      <c r="LV154" s="291"/>
      <c r="LW154" s="291"/>
      <c r="LX154" s="291"/>
      <c r="LY154" s="291"/>
      <c r="LZ154" s="291"/>
      <c r="MA154" s="291"/>
      <c r="MB154" s="291"/>
      <c r="MC154" s="291"/>
      <c r="MD154" s="291"/>
      <c r="ME154" s="291"/>
      <c r="MF154" s="291"/>
      <c r="MG154" s="291"/>
      <c r="MH154" s="291"/>
      <c r="MI154" s="291"/>
      <c r="MJ154" s="291"/>
      <c r="MK154" s="291"/>
      <c r="ML154" s="291"/>
      <c r="MM154" s="291"/>
      <c r="MN154" s="291"/>
      <c r="MO154" s="291"/>
      <c r="MP154" s="291"/>
      <c r="MQ154" s="291"/>
      <c r="MR154" s="291"/>
      <c r="MS154" s="291"/>
      <c r="MT154" s="291"/>
      <c r="MU154" s="291"/>
      <c r="MV154" s="291"/>
      <c r="MW154" s="291"/>
      <c r="MX154" s="291"/>
      <c r="MY154" s="291"/>
      <c r="MZ154" s="291"/>
      <c r="NA154" s="291"/>
      <c r="NB154" s="291"/>
      <c r="NC154" s="291"/>
      <c r="ND154" s="291"/>
      <c r="NE154" s="291"/>
      <c r="NF154" s="291"/>
      <c r="NG154" s="291"/>
      <c r="NH154" s="291"/>
      <c r="NI154" s="291"/>
      <c r="NJ154" s="291"/>
      <c r="NK154" s="291"/>
      <c r="NL154" s="291"/>
      <c r="NM154" s="291"/>
      <c r="NN154" s="291"/>
      <c r="NO154" s="291"/>
      <c r="NP154" s="291"/>
      <c r="NQ154" s="291"/>
      <c r="NR154" s="291"/>
      <c r="NS154" s="291"/>
      <c r="NT154" s="291"/>
      <c r="NU154" s="291"/>
      <c r="NV154" s="291"/>
      <c r="NW154" s="291"/>
      <c r="NX154" s="291"/>
      <c r="NY154" s="291"/>
      <c r="NZ154" s="291"/>
      <c r="OA154" s="291"/>
      <c r="OB154" s="291"/>
      <c r="OC154" s="291"/>
      <c r="OD154" s="291"/>
      <c r="OE154" s="291"/>
      <c r="OF154" s="291"/>
      <c r="OG154" s="291"/>
      <c r="OH154" s="291"/>
      <c r="OI154" s="291"/>
      <c r="OJ154" s="291"/>
      <c r="OK154" s="291"/>
      <c r="OL154" s="291"/>
      <c r="OM154" s="291"/>
      <c r="ON154" s="291"/>
      <c r="OO154" s="291"/>
      <c r="OP154" s="291"/>
      <c r="OQ154" s="291"/>
      <c r="OR154" s="291"/>
      <c r="OS154" s="291"/>
      <c r="OT154" s="291"/>
      <c r="OU154" s="291"/>
      <c r="OV154" s="291"/>
      <c r="OW154" s="291"/>
    </row>
    <row r="155" spans="1:413" s="257" customFormat="1" hidden="1" x14ac:dyDescent="0.2">
      <c r="A155" s="291"/>
      <c r="B155" s="524">
        <f t="shared" si="11"/>
        <v>139</v>
      </c>
      <c r="C155" s="510" t="s">
        <v>38</v>
      </c>
      <c r="D155" s="511">
        <v>30422522</v>
      </c>
      <c r="E155" s="511"/>
      <c r="F155" s="512" t="s">
        <v>1302</v>
      </c>
      <c r="G155" s="513" t="s">
        <v>45</v>
      </c>
      <c r="H155" s="514" t="s">
        <v>1094</v>
      </c>
      <c r="I155" s="515" t="s">
        <v>1245</v>
      </c>
      <c r="J155" s="346" t="s">
        <v>42</v>
      </c>
      <c r="K155" s="526">
        <v>739488</v>
      </c>
      <c r="L155" s="527">
        <v>0</v>
      </c>
      <c r="M155" s="528">
        <v>639486</v>
      </c>
      <c r="N155" s="520">
        <v>0</v>
      </c>
      <c r="O155" s="520">
        <v>0</v>
      </c>
      <c r="P155" s="520">
        <v>0</v>
      </c>
      <c r="Q155" s="520">
        <v>0</v>
      </c>
      <c r="R155" s="520">
        <v>0</v>
      </c>
      <c r="S155" s="520">
        <v>0</v>
      </c>
      <c r="T155" s="18"/>
      <c r="U155" s="18"/>
      <c r="V155" s="18"/>
      <c r="W155" s="18"/>
      <c r="X155" s="18"/>
      <c r="Y155" s="18"/>
      <c r="Z155" s="18">
        <f t="shared" si="8"/>
        <v>0</v>
      </c>
      <c r="AA155" s="309">
        <v>100002</v>
      </c>
      <c r="AB155" s="19">
        <v>11</v>
      </c>
      <c r="AC155" s="521">
        <v>44237</v>
      </c>
      <c r="AD155" s="25">
        <v>44251</v>
      </c>
      <c r="AE155" s="309"/>
      <c r="AF155" s="314"/>
      <c r="AG155" s="315"/>
      <c r="AH155" s="316"/>
      <c r="AI155" s="309"/>
      <c r="AJ155" s="338"/>
      <c r="AK155" s="315"/>
      <c r="AL155" s="316"/>
      <c r="AM155" s="309"/>
      <c r="AN155" s="338"/>
      <c r="AO155" s="21"/>
      <c r="AP155" s="25"/>
      <c r="AQ155" s="309"/>
      <c r="AR155" s="19"/>
      <c r="AS155" s="21"/>
      <c r="AT155" s="25"/>
      <c r="AU155" s="522">
        <f t="shared" si="9"/>
        <v>100002</v>
      </c>
      <c r="AV155" s="311">
        <f t="shared" si="10"/>
        <v>100002</v>
      </c>
      <c r="AW155" s="305"/>
      <c r="AX155" s="291"/>
      <c r="AY155" s="291"/>
      <c r="AZ155" s="291"/>
      <c r="BA155" s="291"/>
      <c r="BB155" s="291"/>
      <c r="BC155" s="291"/>
      <c r="BD155" s="291"/>
      <c r="BE155" s="291"/>
      <c r="BF155" s="291"/>
      <c r="BG155" s="291"/>
      <c r="BH155" s="291"/>
      <c r="BI155" s="291"/>
      <c r="BJ155" s="291"/>
      <c r="BK155" s="291"/>
      <c r="BL155" s="291"/>
      <c r="BM155" s="291"/>
      <c r="BN155" s="291"/>
      <c r="BO155" s="291"/>
      <c r="BP155" s="291"/>
      <c r="BQ155" s="291"/>
      <c r="BR155" s="291"/>
      <c r="BS155" s="291"/>
      <c r="BT155" s="291"/>
      <c r="BU155" s="291"/>
      <c r="BV155" s="291"/>
      <c r="BW155" s="291"/>
      <c r="BX155" s="291"/>
      <c r="BY155" s="291"/>
      <c r="BZ155" s="291"/>
      <c r="CA155" s="291"/>
      <c r="CB155" s="291"/>
      <c r="CC155" s="291"/>
      <c r="CD155" s="291"/>
      <c r="CE155" s="291"/>
      <c r="CF155" s="291"/>
      <c r="CG155" s="291"/>
      <c r="CH155" s="291"/>
      <c r="CI155" s="291"/>
      <c r="CJ155" s="291"/>
      <c r="CK155" s="291"/>
      <c r="CL155" s="291"/>
      <c r="CM155" s="291"/>
      <c r="CN155" s="291"/>
      <c r="CO155" s="291"/>
      <c r="CP155" s="291"/>
      <c r="CQ155" s="291"/>
      <c r="CR155" s="291"/>
      <c r="CS155" s="291"/>
      <c r="CT155" s="291"/>
      <c r="CU155" s="291"/>
      <c r="CV155" s="291"/>
      <c r="CW155" s="291"/>
      <c r="CX155" s="291"/>
      <c r="CY155" s="291"/>
      <c r="CZ155" s="291"/>
      <c r="DA155" s="291"/>
      <c r="DB155" s="291"/>
      <c r="DC155" s="291"/>
      <c r="DD155" s="291"/>
      <c r="DE155" s="291"/>
      <c r="DF155" s="291"/>
      <c r="DG155" s="291"/>
      <c r="DH155" s="291"/>
      <c r="DI155" s="291"/>
      <c r="DJ155" s="291"/>
      <c r="DK155" s="291"/>
      <c r="DL155" s="291"/>
      <c r="DM155" s="291"/>
      <c r="DN155" s="291"/>
      <c r="DO155" s="291"/>
      <c r="DP155" s="291"/>
      <c r="DQ155" s="291"/>
      <c r="DR155" s="291"/>
      <c r="DS155" s="291"/>
      <c r="DT155" s="291"/>
      <c r="DU155" s="291"/>
      <c r="DV155" s="291"/>
      <c r="DW155" s="291"/>
      <c r="DX155" s="291"/>
      <c r="DY155" s="291"/>
      <c r="DZ155" s="291"/>
      <c r="EA155" s="291"/>
      <c r="EB155" s="291"/>
      <c r="EC155" s="291"/>
      <c r="ED155" s="291"/>
      <c r="EE155" s="291"/>
      <c r="EF155" s="291"/>
      <c r="EG155" s="291"/>
      <c r="EH155" s="291"/>
      <c r="EI155" s="291"/>
      <c r="EJ155" s="291"/>
      <c r="EK155" s="291"/>
      <c r="EL155" s="291"/>
      <c r="EM155" s="291"/>
      <c r="EN155" s="291"/>
      <c r="EO155" s="291"/>
      <c r="EP155" s="291"/>
      <c r="EQ155" s="291"/>
      <c r="ER155" s="291"/>
      <c r="ES155" s="291"/>
      <c r="ET155" s="291"/>
      <c r="EU155" s="291"/>
      <c r="EV155" s="291"/>
      <c r="EW155" s="291"/>
      <c r="EX155" s="291"/>
      <c r="EY155" s="291"/>
      <c r="EZ155" s="291"/>
      <c r="FA155" s="291"/>
      <c r="FB155" s="291"/>
      <c r="FC155" s="291"/>
      <c r="FD155" s="291"/>
      <c r="FE155" s="291"/>
      <c r="FF155" s="291"/>
      <c r="FG155" s="291"/>
      <c r="FH155" s="291"/>
      <c r="FI155" s="291"/>
      <c r="FJ155" s="291"/>
      <c r="FK155" s="291"/>
      <c r="FL155" s="291"/>
      <c r="FM155" s="291"/>
      <c r="FN155" s="291"/>
      <c r="FO155" s="291"/>
      <c r="FP155" s="291"/>
      <c r="FQ155" s="291"/>
      <c r="FR155" s="291"/>
      <c r="FS155" s="291"/>
      <c r="FT155" s="291"/>
      <c r="FU155" s="291"/>
      <c r="FV155" s="291"/>
      <c r="FW155" s="291"/>
      <c r="FX155" s="291"/>
      <c r="FY155" s="291"/>
      <c r="FZ155" s="291"/>
      <c r="GA155" s="291"/>
      <c r="GB155" s="291"/>
      <c r="GC155" s="291"/>
      <c r="GD155" s="291"/>
      <c r="GE155" s="291"/>
      <c r="GF155" s="291"/>
      <c r="GG155" s="291"/>
      <c r="GH155" s="291"/>
      <c r="GI155" s="291"/>
      <c r="GJ155" s="291"/>
      <c r="GK155" s="291"/>
      <c r="GL155" s="291"/>
      <c r="GM155" s="291"/>
      <c r="GN155" s="291"/>
      <c r="GO155" s="291"/>
      <c r="GP155" s="291"/>
      <c r="GQ155" s="291"/>
      <c r="GR155" s="291"/>
      <c r="GS155" s="291"/>
      <c r="GT155" s="291"/>
      <c r="GU155" s="291"/>
      <c r="GV155" s="291"/>
      <c r="GW155" s="291"/>
      <c r="GX155" s="291"/>
      <c r="GY155" s="291"/>
      <c r="GZ155" s="291"/>
      <c r="HA155" s="291"/>
      <c r="HB155" s="291"/>
      <c r="HC155" s="291"/>
      <c r="HD155" s="291"/>
      <c r="HE155" s="291"/>
      <c r="HF155" s="291"/>
      <c r="HG155" s="291"/>
      <c r="HH155" s="291"/>
      <c r="HI155" s="291"/>
      <c r="HJ155" s="291"/>
      <c r="HK155" s="291"/>
      <c r="HL155" s="291"/>
      <c r="HM155" s="291"/>
      <c r="HN155" s="291"/>
      <c r="HO155" s="291"/>
      <c r="HP155" s="291"/>
      <c r="HQ155" s="291"/>
      <c r="HR155" s="291"/>
      <c r="HS155" s="291"/>
      <c r="HT155" s="291"/>
      <c r="HU155" s="291"/>
      <c r="HV155" s="291"/>
      <c r="HW155" s="291"/>
      <c r="HX155" s="291"/>
      <c r="HY155" s="291"/>
      <c r="HZ155" s="291"/>
      <c r="IA155" s="291"/>
      <c r="IB155" s="291"/>
      <c r="IC155" s="291"/>
      <c r="ID155" s="291"/>
      <c r="IE155" s="291"/>
      <c r="IF155" s="291"/>
      <c r="IG155" s="291"/>
      <c r="IH155" s="291"/>
      <c r="II155" s="291"/>
      <c r="IJ155" s="291"/>
      <c r="IK155" s="291"/>
      <c r="IL155" s="291"/>
      <c r="IM155" s="291"/>
      <c r="IN155" s="291"/>
      <c r="IO155" s="291"/>
      <c r="IP155" s="291"/>
      <c r="IQ155" s="291"/>
      <c r="IR155" s="291"/>
      <c r="IS155" s="291"/>
      <c r="IT155" s="291"/>
      <c r="IU155" s="291"/>
      <c r="IV155" s="291"/>
      <c r="IW155" s="291"/>
      <c r="IX155" s="291"/>
      <c r="IY155" s="291"/>
      <c r="IZ155" s="291"/>
      <c r="JA155" s="291"/>
      <c r="JB155" s="291"/>
      <c r="JC155" s="291"/>
      <c r="JD155" s="291"/>
      <c r="JE155" s="291"/>
      <c r="JF155" s="291"/>
      <c r="JG155" s="291"/>
      <c r="JH155" s="291"/>
      <c r="JI155" s="291"/>
      <c r="JJ155" s="291"/>
      <c r="JK155" s="291"/>
      <c r="JL155" s="291"/>
      <c r="JM155" s="291"/>
      <c r="JN155" s="291"/>
      <c r="JO155" s="291"/>
      <c r="JP155" s="291"/>
      <c r="JQ155" s="291"/>
      <c r="JR155" s="291"/>
      <c r="JS155" s="291"/>
      <c r="JT155" s="291"/>
      <c r="JU155" s="291"/>
      <c r="JV155" s="291"/>
      <c r="JW155" s="291"/>
      <c r="JX155" s="291"/>
      <c r="JY155" s="291"/>
      <c r="JZ155" s="291"/>
      <c r="KA155" s="291"/>
      <c r="KB155" s="291"/>
      <c r="KC155" s="291"/>
      <c r="KD155" s="291"/>
      <c r="KE155" s="291"/>
      <c r="KF155" s="291"/>
      <c r="KG155" s="291"/>
      <c r="KH155" s="291"/>
      <c r="KI155" s="291"/>
      <c r="KJ155" s="291"/>
      <c r="KK155" s="291"/>
      <c r="KL155" s="291"/>
      <c r="KM155" s="291"/>
      <c r="KN155" s="291"/>
      <c r="KO155" s="291"/>
      <c r="KP155" s="291"/>
      <c r="KQ155" s="291"/>
      <c r="KR155" s="291"/>
      <c r="KS155" s="291"/>
      <c r="KT155" s="291"/>
      <c r="KU155" s="291"/>
      <c r="KV155" s="291"/>
      <c r="KW155" s="291"/>
      <c r="KX155" s="291"/>
      <c r="KY155" s="291"/>
      <c r="KZ155" s="291"/>
      <c r="LA155" s="291"/>
      <c r="LB155" s="291"/>
      <c r="LC155" s="291"/>
      <c r="LD155" s="291"/>
      <c r="LE155" s="291"/>
      <c r="LF155" s="291"/>
      <c r="LG155" s="291"/>
      <c r="LH155" s="291"/>
      <c r="LI155" s="291"/>
      <c r="LJ155" s="291"/>
      <c r="LK155" s="291"/>
      <c r="LL155" s="291"/>
      <c r="LM155" s="291"/>
      <c r="LN155" s="291"/>
      <c r="LO155" s="291"/>
      <c r="LP155" s="291"/>
      <c r="LQ155" s="291"/>
      <c r="LR155" s="291"/>
      <c r="LS155" s="291"/>
      <c r="LT155" s="291"/>
      <c r="LU155" s="291"/>
      <c r="LV155" s="291"/>
      <c r="LW155" s="291"/>
      <c r="LX155" s="291"/>
      <c r="LY155" s="291"/>
      <c r="LZ155" s="291"/>
      <c r="MA155" s="291"/>
      <c r="MB155" s="291"/>
      <c r="MC155" s="291"/>
      <c r="MD155" s="291"/>
      <c r="ME155" s="291"/>
      <c r="MF155" s="291"/>
      <c r="MG155" s="291"/>
      <c r="MH155" s="291"/>
      <c r="MI155" s="291"/>
      <c r="MJ155" s="291"/>
      <c r="MK155" s="291"/>
      <c r="ML155" s="291"/>
      <c r="MM155" s="291"/>
      <c r="MN155" s="291"/>
      <c r="MO155" s="291"/>
      <c r="MP155" s="291"/>
      <c r="MQ155" s="291"/>
      <c r="MR155" s="291"/>
      <c r="MS155" s="291"/>
      <c r="MT155" s="291"/>
      <c r="MU155" s="291"/>
      <c r="MV155" s="291"/>
      <c r="MW155" s="291"/>
      <c r="MX155" s="291"/>
      <c r="MY155" s="291"/>
      <c r="MZ155" s="291"/>
      <c r="NA155" s="291"/>
      <c r="NB155" s="291"/>
      <c r="NC155" s="291"/>
      <c r="ND155" s="291"/>
      <c r="NE155" s="291"/>
      <c r="NF155" s="291"/>
      <c r="NG155" s="291"/>
      <c r="NH155" s="291"/>
      <c r="NI155" s="291"/>
      <c r="NJ155" s="291"/>
      <c r="NK155" s="291"/>
      <c r="NL155" s="291"/>
      <c r="NM155" s="291"/>
      <c r="NN155" s="291"/>
      <c r="NO155" s="291"/>
      <c r="NP155" s="291"/>
      <c r="NQ155" s="291"/>
      <c r="NR155" s="291"/>
      <c r="NS155" s="291"/>
      <c r="NT155" s="291"/>
      <c r="NU155" s="291"/>
      <c r="NV155" s="291"/>
      <c r="NW155" s="291"/>
      <c r="NX155" s="291"/>
      <c r="NY155" s="291"/>
      <c r="NZ155" s="291"/>
      <c r="OA155" s="291"/>
      <c r="OB155" s="291"/>
      <c r="OC155" s="291"/>
      <c r="OD155" s="291"/>
      <c r="OE155" s="291"/>
      <c r="OF155" s="291"/>
      <c r="OG155" s="291"/>
      <c r="OH155" s="291"/>
      <c r="OI155" s="291"/>
      <c r="OJ155" s="291"/>
      <c r="OK155" s="291"/>
      <c r="OL155" s="291"/>
      <c r="OM155" s="291"/>
      <c r="ON155" s="291"/>
      <c r="OO155" s="291"/>
      <c r="OP155" s="291"/>
      <c r="OQ155" s="291"/>
      <c r="OR155" s="291"/>
      <c r="OS155" s="291"/>
      <c r="OT155" s="291"/>
      <c r="OU155" s="291"/>
      <c r="OV155" s="291"/>
      <c r="OW155" s="291"/>
    </row>
    <row r="156" spans="1:413" s="257" customFormat="1" hidden="1" x14ac:dyDescent="0.2">
      <c r="A156" s="291"/>
      <c r="B156" s="524">
        <f t="shared" si="11"/>
        <v>140</v>
      </c>
      <c r="C156" s="510" t="s">
        <v>38</v>
      </c>
      <c r="D156" s="511">
        <v>30422827</v>
      </c>
      <c r="E156" s="511"/>
      <c r="F156" s="512" t="s">
        <v>1303</v>
      </c>
      <c r="G156" s="513" t="s">
        <v>45</v>
      </c>
      <c r="H156" s="514" t="s">
        <v>1094</v>
      </c>
      <c r="I156" s="515" t="s">
        <v>1134</v>
      </c>
      <c r="J156" s="346" t="s">
        <v>42</v>
      </c>
      <c r="K156" s="526">
        <v>651002</v>
      </c>
      <c r="L156" s="527">
        <v>164784</v>
      </c>
      <c r="M156" s="528">
        <v>0</v>
      </c>
      <c r="N156" s="519">
        <v>0</v>
      </c>
      <c r="O156" s="519">
        <v>36298</v>
      </c>
      <c r="P156" s="519">
        <v>51623</v>
      </c>
      <c r="Q156" s="519">
        <v>0</v>
      </c>
      <c r="R156" s="519">
        <v>89879</v>
      </c>
      <c r="S156" s="520">
        <v>43578</v>
      </c>
      <c r="T156" s="18"/>
      <c r="U156" s="18"/>
      <c r="V156" s="18"/>
      <c r="W156" s="18"/>
      <c r="X156" s="18"/>
      <c r="Y156" s="18"/>
      <c r="Z156" s="18">
        <f t="shared" si="8"/>
        <v>221378</v>
      </c>
      <c r="AA156" s="309">
        <v>486218</v>
      </c>
      <c r="AB156" s="19">
        <v>11</v>
      </c>
      <c r="AC156" s="521">
        <v>44237</v>
      </c>
      <c r="AD156" s="25">
        <v>44251</v>
      </c>
      <c r="AE156" s="309"/>
      <c r="AF156" s="314"/>
      <c r="AG156" s="315"/>
      <c r="AH156" s="316"/>
      <c r="AI156" s="309"/>
      <c r="AJ156" s="338"/>
      <c r="AK156" s="315"/>
      <c r="AL156" s="316"/>
      <c r="AM156" s="309"/>
      <c r="AN156" s="338"/>
      <c r="AO156" s="21"/>
      <c r="AP156" s="25"/>
      <c r="AQ156" s="309"/>
      <c r="AR156" s="19"/>
      <c r="AS156" s="21"/>
      <c r="AT156" s="25"/>
      <c r="AU156" s="522">
        <f t="shared" si="9"/>
        <v>486218</v>
      </c>
      <c r="AV156" s="311">
        <f t="shared" si="10"/>
        <v>264840</v>
      </c>
      <c r="AW156" s="305"/>
      <c r="AX156" s="291"/>
      <c r="AY156" s="291"/>
      <c r="AZ156" s="291"/>
      <c r="BA156" s="291"/>
      <c r="BB156" s="291"/>
      <c r="BC156" s="291"/>
      <c r="BD156" s="291"/>
      <c r="BE156" s="291"/>
      <c r="BF156" s="291"/>
      <c r="BG156" s="291"/>
      <c r="BH156" s="291"/>
      <c r="BI156" s="291"/>
      <c r="BJ156" s="291"/>
      <c r="BK156" s="291"/>
      <c r="BL156" s="291"/>
      <c r="BM156" s="291"/>
      <c r="BN156" s="291"/>
      <c r="BO156" s="291"/>
      <c r="BP156" s="291"/>
      <c r="BQ156" s="291"/>
      <c r="BR156" s="291"/>
      <c r="BS156" s="291"/>
      <c r="BT156" s="291"/>
      <c r="BU156" s="291"/>
      <c r="BV156" s="291"/>
      <c r="BW156" s="291"/>
      <c r="BX156" s="291"/>
      <c r="BY156" s="291"/>
      <c r="BZ156" s="291"/>
      <c r="CA156" s="291"/>
      <c r="CB156" s="291"/>
      <c r="CC156" s="291"/>
      <c r="CD156" s="291"/>
      <c r="CE156" s="291"/>
      <c r="CF156" s="291"/>
      <c r="CG156" s="291"/>
      <c r="CH156" s="291"/>
      <c r="CI156" s="291"/>
      <c r="CJ156" s="291"/>
      <c r="CK156" s="291"/>
      <c r="CL156" s="291"/>
      <c r="CM156" s="291"/>
      <c r="CN156" s="291"/>
      <c r="CO156" s="291"/>
      <c r="CP156" s="291"/>
      <c r="CQ156" s="291"/>
      <c r="CR156" s="291"/>
      <c r="CS156" s="291"/>
      <c r="CT156" s="291"/>
      <c r="CU156" s="291"/>
      <c r="CV156" s="291"/>
      <c r="CW156" s="291"/>
      <c r="CX156" s="291"/>
      <c r="CY156" s="291"/>
      <c r="CZ156" s="291"/>
      <c r="DA156" s="291"/>
      <c r="DB156" s="291"/>
      <c r="DC156" s="291"/>
      <c r="DD156" s="291"/>
      <c r="DE156" s="291"/>
      <c r="DF156" s="291"/>
      <c r="DG156" s="291"/>
      <c r="DH156" s="291"/>
      <c r="DI156" s="291"/>
      <c r="DJ156" s="291"/>
      <c r="DK156" s="291"/>
      <c r="DL156" s="291"/>
      <c r="DM156" s="291"/>
      <c r="DN156" s="291"/>
      <c r="DO156" s="291"/>
      <c r="DP156" s="291"/>
      <c r="DQ156" s="291"/>
      <c r="DR156" s="291"/>
      <c r="DS156" s="291"/>
      <c r="DT156" s="291"/>
      <c r="DU156" s="291"/>
      <c r="DV156" s="291"/>
      <c r="DW156" s="291"/>
      <c r="DX156" s="291"/>
      <c r="DY156" s="291"/>
      <c r="DZ156" s="291"/>
      <c r="EA156" s="291"/>
      <c r="EB156" s="291"/>
      <c r="EC156" s="291"/>
      <c r="ED156" s="291"/>
      <c r="EE156" s="291"/>
      <c r="EF156" s="291"/>
      <c r="EG156" s="291"/>
      <c r="EH156" s="291"/>
      <c r="EI156" s="291"/>
      <c r="EJ156" s="291"/>
      <c r="EK156" s="291"/>
      <c r="EL156" s="291"/>
      <c r="EM156" s="291"/>
      <c r="EN156" s="291"/>
      <c r="EO156" s="291"/>
      <c r="EP156" s="291"/>
      <c r="EQ156" s="291"/>
      <c r="ER156" s="291"/>
      <c r="ES156" s="291"/>
      <c r="ET156" s="291"/>
      <c r="EU156" s="291"/>
      <c r="EV156" s="291"/>
      <c r="EW156" s="291"/>
      <c r="EX156" s="291"/>
      <c r="EY156" s="291"/>
      <c r="EZ156" s="291"/>
      <c r="FA156" s="291"/>
      <c r="FB156" s="291"/>
      <c r="FC156" s="291"/>
      <c r="FD156" s="291"/>
      <c r="FE156" s="291"/>
      <c r="FF156" s="291"/>
      <c r="FG156" s="291"/>
      <c r="FH156" s="291"/>
      <c r="FI156" s="291"/>
      <c r="FJ156" s="291"/>
      <c r="FK156" s="291"/>
      <c r="FL156" s="291"/>
      <c r="FM156" s="291"/>
      <c r="FN156" s="291"/>
      <c r="FO156" s="291"/>
      <c r="FP156" s="291"/>
      <c r="FQ156" s="291"/>
      <c r="FR156" s="291"/>
      <c r="FS156" s="291"/>
      <c r="FT156" s="291"/>
      <c r="FU156" s="291"/>
      <c r="FV156" s="291"/>
      <c r="FW156" s="291"/>
      <c r="FX156" s="291"/>
      <c r="FY156" s="291"/>
      <c r="FZ156" s="291"/>
      <c r="GA156" s="291"/>
      <c r="GB156" s="291"/>
      <c r="GC156" s="291"/>
      <c r="GD156" s="291"/>
      <c r="GE156" s="291"/>
      <c r="GF156" s="291"/>
      <c r="GG156" s="291"/>
      <c r="GH156" s="291"/>
      <c r="GI156" s="291"/>
      <c r="GJ156" s="291"/>
      <c r="GK156" s="291"/>
      <c r="GL156" s="291"/>
      <c r="GM156" s="291"/>
      <c r="GN156" s="291"/>
      <c r="GO156" s="291"/>
      <c r="GP156" s="291"/>
      <c r="GQ156" s="291"/>
      <c r="GR156" s="291"/>
      <c r="GS156" s="291"/>
      <c r="GT156" s="291"/>
      <c r="GU156" s="291"/>
      <c r="GV156" s="291"/>
      <c r="GW156" s="291"/>
      <c r="GX156" s="291"/>
      <c r="GY156" s="291"/>
      <c r="GZ156" s="291"/>
      <c r="HA156" s="291"/>
      <c r="HB156" s="291"/>
      <c r="HC156" s="291"/>
      <c r="HD156" s="291"/>
      <c r="HE156" s="291"/>
      <c r="HF156" s="291"/>
      <c r="HG156" s="291"/>
      <c r="HH156" s="291"/>
      <c r="HI156" s="291"/>
      <c r="HJ156" s="291"/>
      <c r="HK156" s="291"/>
      <c r="HL156" s="291"/>
      <c r="HM156" s="291"/>
      <c r="HN156" s="291"/>
      <c r="HO156" s="291"/>
      <c r="HP156" s="291"/>
      <c r="HQ156" s="291"/>
      <c r="HR156" s="291"/>
      <c r="HS156" s="291"/>
      <c r="HT156" s="291"/>
      <c r="HU156" s="291"/>
      <c r="HV156" s="291"/>
      <c r="HW156" s="291"/>
      <c r="HX156" s="291"/>
      <c r="HY156" s="291"/>
      <c r="HZ156" s="291"/>
      <c r="IA156" s="291"/>
      <c r="IB156" s="291"/>
      <c r="IC156" s="291"/>
      <c r="ID156" s="291"/>
      <c r="IE156" s="291"/>
      <c r="IF156" s="291"/>
      <c r="IG156" s="291"/>
      <c r="IH156" s="291"/>
      <c r="II156" s="291"/>
      <c r="IJ156" s="291"/>
      <c r="IK156" s="291"/>
      <c r="IL156" s="291"/>
      <c r="IM156" s="291"/>
      <c r="IN156" s="291"/>
      <c r="IO156" s="291"/>
      <c r="IP156" s="291"/>
      <c r="IQ156" s="291"/>
      <c r="IR156" s="291"/>
      <c r="IS156" s="291"/>
      <c r="IT156" s="291"/>
      <c r="IU156" s="291"/>
      <c r="IV156" s="291"/>
      <c r="IW156" s="291"/>
      <c r="IX156" s="291"/>
      <c r="IY156" s="291"/>
      <c r="IZ156" s="291"/>
      <c r="JA156" s="291"/>
      <c r="JB156" s="291"/>
      <c r="JC156" s="291"/>
      <c r="JD156" s="291"/>
      <c r="JE156" s="291"/>
      <c r="JF156" s="291"/>
      <c r="JG156" s="291"/>
      <c r="JH156" s="291"/>
      <c r="JI156" s="291"/>
      <c r="JJ156" s="291"/>
      <c r="JK156" s="291"/>
      <c r="JL156" s="291"/>
      <c r="JM156" s="291"/>
      <c r="JN156" s="291"/>
      <c r="JO156" s="291"/>
      <c r="JP156" s="291"/>
      <c r="JQ156" s="291"/>
      <c r="JR156" s="291"/>
      <c r="JS156" s="291"/>
      <c r="JT156" s="291"/>
      <c r="JU156" s="291"/>
      <c r="JV156" s="291"/>
      <c r="JW156" s="291"/>
      <c r="JX156" s="291"/>
      <c r="JY156" s="291"/>
      <c r="JZ156" s="291"/>
      <c r="KA156" s="291"/>
      <c r="KB156" s="291"/>
      <c r="KC156" s="291"/>
      <c r="KD156" s="291"/>
      <c r="KE156" s="291"/>
      <c r="KF156" s="291"/>
      <c r="KG156" s="291"/>
      <c r="KH156" s="291"/>
      <c r="KI156" s="291"/>
      <c r="KJ156" s="291"/>
      <c r="KK156" s="291"/>
      <c r="KL156" s="291"/>
      <c r="KM156" s="291"/>
      <c r="KN156" s="291"/>
      <c r="KO156" s="291"/>
      <c r="KP156" s="291"/>
      <c r="KQ156" s="291"/>
      <c r="KR156" s="291"/>
      <c r="KS156" s="291"/>
      <c r="KT156" s="291"/>
      <c r="KU156" s="291"/>
      <c r="KV156" s="291"/>
      <c r="KW156" s="291"/>
      <c r="KX156" s="291"/>
      <c r="KY156" s="291"/>
      <c r="KZ156" s="291"/>
      <c r="LA156" s="291"/>
      <c r="LB156" s="291"/>
      <c r="LC156" s="291"/>
      <c r="LD156" s="291"/>
      <c r="LE156" s="291"/>
      <c r="LF156" s="291"/>
      <c r="LG156" s="291"/>
      <c r="LH156" s="291"/>
      <c r="LI156" s="291"/>
      <c r="LJ156" s="291"/>
      <c r="LK156" s="291"/>
      <c r="LL156" s="291"/>
      <c r="LM156" s="291"/>
      <c r="LN156" s="291"/>
      <c r="LO156" s="291"/>
      <c r="LP156" s="291"/>
      <c r="LQ156" s="291"/>
      <c r="LR156" s="291"/>
      <c r="LS156" s="291"/>
      <c r="LT156" s="291"/>
      <c r="LU156" s="291"/>
      <c r="LV156" s="291"/>
      <c r="LW156" s="291"/>
      <c r="LX156" s="291"/>
      <c r="LY156" s="291"/>
      <c r="LZ156" s="291"/>
      <c r="MA156" s="291"/>
      <c r="MB156" s="291"/>
      <c r="MC156" s="291"/>
      <c r="MD156" s="291"/>
      <c r="ME156" s="291"/>
      <c r="MF156" s="291"/>
      <c r="MG156" s="291"/>
      <c r="MH156" s="291"/>
      <c r="MI156" s="291"/>
      <c r="MJ156" s="291"/>
      <c r="MK156" s="291"/>
      <c r="ML156" s="291"/>
      <c r="MM156" s="291"/>
      <c r="MN156" s="291"/>
      <c r="MO156" s="291"/>
      <c r="MP156" s="291"/>
      <c r="MQ156" s="291"/>
      <c r="MR156" s="291"/>
      <c r="MS156" s="291"/>
      <c r="MT156" s="291"/>
      <c r="MU156" s="291"/>
      <c r="MV156" s="291"/>
      <c r="MW156" s="291"/>
      <c r="MX156" s="291"/>
      <c r="MY156" s="291"/>
      <c r="MZ156" s="291"/>
      <c r="NA156" s="291"/>
      <c r="NB156" s="291"/>
      <c r="NC156" s="291"/>
      <c r="ND156" s="291"/>
      <c r="NE156" s="291"/>
      <c r="NF156" s="291"/>
      <c r="NG156" s="291"/>
      <c r="NH156" s="291"/>
      <c r="NI156" s="291"/>
      <c r="NJ156" s="291"/>
      <c r="NK156" s="291"/>
      <c r="NL156" s="291"/>
      <c r="NM156" s="291"/>
      <c r="NN156" s="291"/>
      <c r="NO156" s="291"/>
      <c r="NP156" s="291"/>
      <c r="NQ156" s="291"/>
      <c r="NR156" s="291"/>
      <c r="NS156" s="291"/>
      <c r="NT156" s="291"/>
      <c r="NU156" s="291"/>
      <c r="NV156" s="291"/>
      <c r="NW156" s="291"/>
      <c r="NX156" s="291"/>
      <c r="NY156" s="291"/>
      <c r="NZ156" s="291"/>
      <c r="OA156" s="291"/>
      <c r="OB156" s="291"/>
      <c r="OC156" s="291"/>
      <c r="OD156" s="291"/>
      <c r="OE156" s="291"/>
      <c r="OF156" s="291"/>
      <c r="OG156" s="291"/>
      <c r="OH156" s="291"/>
      <c r="OI156" s="291"/>
      <c r="OJ156" s="291"/>
      <c r="OK156" s="291"/>
      <c r="OL156" s="291"/>
      <c r="OM156" s="291"/>
      <c r="ON156" s="291"/>
      <c r="OO156" s="291"/>
      <c r="OP156" s="291"/>
      <c r="OQ156" s="291"/>
      <c r="OR156" s="291"/>
      <c r="OS156" s="291"/>
      <c r="OT156" s="291"/>
      <c r="OU156" s="291"/>
      <c r="OV156" s="291"/>
      <c r="OW156" s="291"/>
    </row>
    <row r="157" spans="1:413" s="257" customFormat="1" hidden="1" x14ac:dyDescent="0.2">
      <c r="A157" s="291"/>
      <c r="B157" s="524">
        <f t="shared" si="11"/>
        <v>141</v>
      </c>
      <c r="C157" s="510" t="s">
        <v>38</v>
      </c>
      <c r="D157" s="511">
        <v>30433475</v>
      </c>
      <c r="E157" s="511"/>
      <c r="F157" s="512" t="s">
        <v>1304</v>
      </c>
      <c r="G157" s="513" t="s">
        <v>45</v>
      </c>
      <c r="H157" s="514" t="s">
        <v>1094</v>
      </c>
      <c r="I157" s="515" t="s">
        <v>1225</v>
      </c>
      <c r="J157" s="346" t="s">
        <v>43</v>
      </c>
      <c r="K157" s="526">
        <v>856929</v>
      </c>
      <c r="L157" s="527">
        <v>0</v>
      </c>
      <c r="M157" s="528">
        <v>743632</v>
      </c>
      <c r="N157" s="520">
        <v>0</v>
      </c>
      <c r="O157" s="520">
        <v>0</v>
      </c>
      <c r="P157" s="520">
        <v>0</v>
      </c>
      <c r="Q157" s="520">
        <v>0</v>
      </c>
      <c r="R157" s="520">
        <v>0</v>
      </c>
      <c r="S157" s="520">
        <v>0</v>
      </c>
      <c r="T157" s="18"/>
      <c r="U157" s="18"/>
      <c r="V157" s="18"/>
      <c r="W157" s="18"/>
      <c r="X157" s="18"/>
      <c r="Y157" s="18"/>
      <c r="Z157" s="18">
        <f t="shared" si="8"/>
        <v>0</v>
      </c>
      <c r="AA157" s="309">
        <v>113180</v>
      </c>
      <c r="AB157" s="19">
        <v>3</v>
      </c>
      <c r="AC157" s="521">
        <v>44222</v>
      </c>
      <c r="AD157" s="25">
        <v>44225</v>
      </c>
      <c r="AE157" s="309"/>
      <c r="AF157" s="314"/>
      <c r="AG157" s="315"/>
      <c r="AH157" s="316"/>
      <c r="AI157" s="309"/>
      <c r="AJ157" s="338"/>
      <c r="AK157" s="315"/>
      <c r="AL157" s="316"/>
      <c r="AM157" s="309"/>
      <c r="AN157" s="338"/>
      <c r="AO157" s="21"/>
      <c r="AP157" s="25"/>
      <c r="AQ157" s="309"/>
      <c r="AR157" s="19"/>
      <c r="AS157" s="21"/>
      <c r="AT157" s="25"/>
      <c r="AU157" s="522">
        <f t="shared" si="9"/>
        <v>113180</v>
      </c>
      <c r="AV157" s="311">
        <f t="shared" si="10"/>
        <v>113180</v>
      </c>
      <c r="AW157" s="305"/>
      <c r="AX157" s="291"/>
      <c r="AY157" s="291"/>
      <c r="AZ157" s="291"/>
      <c r="BA157" s="291"/>
      <c r="BB157" s="291"/>
      <c r="BC157" s="291"/>
      <c r="BD157" s="291"/>
      <c r="BE157" s="291"/>
      <c r="BF157" s="291"/>
      <c r="BG157" s="291"/>
      <c r="BH157" s="291"/>
      <c r="BI157" s="291"/>
      <c r="BJ157" s="291"/>
      <c r="BK157" s="291"/>
      <c r="BL157" s="291"/>
      <c r="BM157" s="291"/>
      <c r="BN157" s="291"/>
      <c r="BO157" s="291"/>
      <c r="BP157" s="291"/>
      <c r="BQ157" s="291"/>
      <c r="BR157" s="291"/>
      <c r="BS157" s="291"/>
      <c r="BT157" s="291"/>
      <c r="BU157" s="291"/>
      <c r="BV157" s="291"/>
      <c r="BW157" s="291"/>
      <c r="BX157" s="291"/>
      <c r="BY157" s="291"/>
      <c r="BZ157" s="291"/>
      <c r="CA157" s="291"/>
      <c r="CB157" s="291"/>
      <c r="CC157" s="291"/>
      <c r="CD157" s="291"/>
      <c r="CE157" s="291"/>
      <c r="CF157" s="291"/>
      <c r="CG157" s="291"/>
      <c r="CH157" s="291"/>
      <c r="CI157" s="291"/>
      <c r="CJ157" s="291"/>
      <c r="CK157" s="291"/>
      <c r="CL157" s="291"/>
      <c r="CM157" s="291"/>
      <c r="CN157" s="291"/>
      <c r="CO157" s="291"/>
      <c r="CP157" s="291"/>
      <c r="CQ157" s="291"/>
      <c r="CR157" s="291"/>
      <c r="CS157" s="291"/>
      <c r="CT157" s="291"/>
      <c r="CU157" s="291"/>
      <c r="CV157" s="291"/>
      <c r="CW157" s="291"/>
      <c r="CX157" s="291"/>
      <c r="CY157" s="291"/>
      <c r="CZ157" s="291"/>
      <c r="DA157" s="291"/>
      <c r="DB157" s="291"/>
      <c r="DC157" s="291"/>
      <c r="DD157" s="291"/>
      <c r="DE157" s="291"/>
      <c r="DF157" s="291"/>
      <c r="DG157" s="291"/>
      <c r="DH157" s="291"/>
      <c r="DI157" s="291"/>
      <c r="DJ157" s="291"/>
      <c r="DK157" s="291"/>
      <c r="DL157" s="291"/>
      <c r="DM157" s="291"/>
      <c r="DN157" s="291"/>
      <c r="DO157" s="291"/>
      <c r="DP157" s="291"/>
      <c r="DQ157" s="291"/>
      <c r="DR157" s="291"/>
      <c r="DS157" s="291"/>
      <c r="DT157" s="291"/>
      <c r="DU157" s="291"/>
      <c r="DV157" s="291"/>
      <c r="DW157" s="291"/>
      <c r="DX157" s="291"/>
      <c r="DY157" s="291"/>
      <c r="DZ157" s="291"/>
      <c r="EA157" s="291"/>
      <c r="EB157" s="291"/>
      <c r="EC157" s="291"/>
      <c r="ED157" s="291"/>
      <c r="EE157" s="291"/>
      <c r="EF157" s="291"/>
      <c r="EG157" s="291"/>
      <c r="EH157" s="291"/>
      <c r="EI157" s="291"/>
      <c r="EJ157" s="291"/>
      <c r="EK157" s="291"/>
      <c r="EL157" s="291"/>
      <c r="EM157" s="291"/>
      <c r="EN157" s="291"/>
      <c r="EO157" s="291"/>
      <c r="EP157" s="291"/>
      <c r="EQ157" s="291"/>
      <c r="ER157" s="291"/>
      <c r="ES157" s="291"/>
      <c r="ET157" s="291"/>
      <c r="EU157" s="291"/>
      <c r="EV157" s="291"/>
      <c r="EW157" s="291"/>
      <c r="EX157" s="291"/>
      <c r="EY157" s="291"/>
      <c r="EZ157" s="291"/>
      <c r="FA157" s="291"/>
      <c r="FB157" s="291"/>
      <c r="FC157" s="291"/>
      <c r="FD157" s="291"/>
      <c r="FE157" s="291"/>
      <c r="FF157" s="291"/>
      <c r="FG157" s="291"/>
      <c r="FH157" s="291"/>
      <c r="FI157" s="291"/>
      <c r="FJ157" s="291"/>
      <c r="FK157" s="291"/>
      <c r="FL157" s="291"/>
      <c r="FM157" s="291"/>
      <c r="FN157" s="291"/>
      <c r="FO157" s="291"/>
      <c r="FP157" s="291"/>
      <c r="FQ157" s="291"/>
      <c r="FR157" s="291"/>
      <c r="FS157" s="291"/>
      <c r="FT157" s="291"/>
      <c r="FU157" s="291"/>
      <c r="FV157" s="291"/>
      <c r="FW157" s="291"/>
      <c r="FX157" s="291"/>
      <c r="FY157" s="291"/>
      <c r="FZ157" s="291"/>
      <c r="GA157" s="291"/>
      <c r="GB157" s="291"/>
      <c r="GC157" s="291"/>
      <c r="GD157" s="291"/>
      <c r="GE157" s="291"/>
      <c r="GF157" s="291"/>
      <c r="GG157" s="291"/>
      <c r="GH157" s="291"/>
      <c r="GI157" s="291"/>
      <c r="GJ157" s="291"/>
      <c r="GK157" s="291"/>
      <c r="GL157" s="291"/>
      <c r="GM157" s="291"/>
      <c r="GN157" s="291"/>
      <c r="GO157" s="291"/>
      <c r="GP157" s="291"/>
      <c r="GQ157" s="291"/>
      <c r="GR157" s="291"/>
      <c r="GS157" s="291"/>
      <c r="GT157" s="291"/>
      <c r="GU157" s="291"/>
      <c r="GV157" s="291"/>
      <c r="GW157" s="291"/>
      <c r="GX157" s="291"/>
      <c r="GY157" s="291"/>
      <c r="GZ157" s="291"/>
      <c r="HA157" s="291"/>
      <c r="HB157" s="291"/>
      <c r="HC157" s="291"/>
      <c r="HD157" s="291"/>
      <c r="HE157" s="291"/>
      <c r="HF157" s="291"/>
      <c r="HG157" s="291"/>
      <c r="HH157" s="291"/>
      <c r="HI157" s="291"/>
      <c r="HJ157" s="291"/>
      <c r="HK157" s="291"/>
      <c r="HL157" s="291"/>
      <c r="HM157" s="291"/>
      <c r="HN157" s="291"/>
      <c r="HO157" s="291"/>
      <c r="HP157" s="291"/>
      <c r="HQ157" s="291"/>
      <c r="HR157" s="291"/>
      <c r="HS157" s="291"/>
      <c r="HT157" s="291"/>
      <c r="HU157" s="291"/>
      <c r="HV157" s="291"/>
      <c r="HW157" s="291"/>
      <c r="HX157" s="291"/>
      <c r="HY157" s="291"/>
      <c r="HZ157" s="291"/>
      <c r="IA157" s="291"/>
      <c r="IB157" s="291"/>
      <c r="IC157" s="291"/>
      <c r="ID157" s="291"/>
      <c r="IE157" s="291"/>
      <c r="IF157" s="291"/>
      <c r="IG157" s="291"/>
      <c r="IH157" s="291"/>
      <c r="II157" s="291"/>
      <c r="IJ157" s="291"/>
      <c r="IK157" s="291"/>
      <c r="IL157" s="291"/>
      <c r="IM157" s="291"/>
      <c r="IN157" s="291"/>
      <c r="IO157" s="291"/>
      <c r="IP157" s="291"/>
      <c r="IQ157" s="291"/>
      <c r="IR157" s="291"/>
      <c r="IS157" s="291"/>
      <c r="IT157" s="291"/>
      <c r="IU157" s="291"/>
      <c r="IV157" s="291"/>
      <c r="IW157" s="291"/>
      <c r="IX157" s="291"/>
      <c r="IY157" s="291"/>
      <c r="IZ157" s="291"/>
      <c r="JA157" s="291"/>
      <c r="JB157" s="291"/>
      <c r="JC157" s="291"/>
      <c r="JD157" s="291"/>
      <c r="JE157" s="291"/>
      <c r="JF157" s="291"/>
      <c r="JG157" s="291"/>
      <c r="JH157" s="291"/>
      <c r="JI157" s="291"/>
      <c r="JJ157" s="291"/>
      <c r="JK157" s="291"/>
      <c r="JL157" s="291"/>
      <c r="JM157" s="291"/>
      <c r="JN157" s="291"/>
      <c r="JO157" s="291"/>
      <c r="JP157" s="291"/>
      <c r="JQ157" s="291"/>
      <c r="JR157" s="291"/>
      <c r="JS157" s="291"/>
      <c r="JT157" s="291"/>
      <c r="JU157" s="291"/>
      <c r="JV157" s="291"/>
      <c r="JW157" s="291"/>
      <c r="JX157" s="291"/>
      <c r="JY157" s="291"/>
      <c r="JZ157" s="291"/>
      <c r="KA157" s="291"/>
      <c r="KB157" s="291"/>
      <c r="KC157" s="291"/>
      <c r="KD157" s="291"/>
      <c r="KE157" s="291"/>
      <c r="KF157" s="291"/>
      <c r="KG157" s="291"/>
      <c r="KH157" s="291"/>
      <c r="KI157" s="291"/>
      <c r="KJ157" s="291"/>
      <c r="KK157" s="291"/>
      <c r="KL157" s="291"/>
      <c r="KM157" s="291"/>
      <c r="KN157" s="291"/>
      <c r="KO157" s="291"/>
      <c r="KP157" s="291"/>
      <c r="KQ157" s="291"/>
      <c r="KR157" s="291"/>
      <c r="KS157" s="291"/>
      <c r="KT157" s="291"/>
      <c r="KU157" s="291"/>
      <c r="KV157" s="291"/>
      <c r="KW157" s="291"/>
      <c r="KX157" s="291"/>
      <c r="KY157" s="291"/>
      <c r="KZ157" s="291"/>
      <c r="LA157" s="291"/>
      <c r="LB157" s="291"/>
      <c r="LC157" s="291"/>
      <c r="LD157" s="291"/>
      <c r="LE157" s="291"/>
      <c r="LF157" s="291"/>
      <c r="LG157" s="291"/>
      <c r="LH157" s="291"/>
      <c r="LI157" s="291"/>
      <c r="LJ157" s="291"/>
      <c r="LK157" s="291"/>
      <c r="LL157" s="291"/>
      <c r="LM157" s="291"/>
      <c r="LN157" s="291"/>
      <c r="LO157" s="291"/>
      <c r="LP157" s="291"/>
      <c r="LQ157" s="291"/>
      <c r="LR157" s="291"/>
      <c r="LS157" s="291"/>
      <c r="LT157" s="291"/>
      <c r="LU157" s="291"/>
      <c r="LV157" s="291"/>
      <c r="LW157" s="291"/>
      <c r="LX157" s="291"/>
      <c r="LY157" s="291"/>
      <c r="LZ157" s="291"/>
      <c r="MA157" s="291"/>
      <c r="MB157" s="291"/>
      <c r="MC157" s="291"/>
      <c r="MD157" s="291"/>
      <c r="ME157" s="291"/>
      <c r="MF157" s="291"/>
      <c r="MG157" s="291"/>
      <c r="MH157" s="291"/>
      <c r="MI157" s="291"/>
      <c r="MJ157" s="291"/>
      <c r="MK157" s="291"/>
      <c r="ML157" s="291"/>
      <c r="MM157" s="291"/>
      <c r="MN157" s="291"/>
      <c r="MO157" s="291"/>
      <c r="MP157" s="291"/>
      <c r="MQ157" s="291"/>
      <c r="MR157" s="291"/>
      <c r="MS157" s="291"/>
      <c r="MT157" s="291"/>
      <c r="MU157" s="291"/>
      <c r="MV157" s="291"/>
      <c r="MW157" s="291"/>
      <c r="MX157" s="291"/>
      <c r="MY157" s="291"/>
      <c r="MZ157" s="291"/>
      <c r="NA157" s="291"/>
      <c r="NB157" s="291"/>
      <c r="NC157" s="291"/>
      <c r="ND157" s="291"/>
      <c r="NE157" s="291"/>
      <c r="NF157" s="291"/>
      <c r="NG157" s="291"/>
      <c r="NH157" s="291"/>
      <c r="NI157" s="291"/>
      <c r="NJ157" s="291"/>
      <c r="NK157" s="291"/>
      <c r="NL157" s="291"/>
      <c r="NM157" s="291"/>
      <c r="NN157" s="291"/>
      <c r="NO157" s="291"/>
      <c r="NP157" s="291"/>
      <c r="NQ157" s="291"/>
      <c r="NR157" s="291"/>
      <c r="NS157" s="291"/>
      <c r="NT157" s="291"/>
      <c r="NU157" s="291"/>
      <c r="NV157" s="291"/>
      <c r="NW157" s="291"/>
      <c r="NX157" s="291"/>
      <c r="NY157" s="291"/>
      <c r="NZ157" s="291"/>
      <c r="OA157" s="291"/>
      <c r="OB157" s="291"/>
      <c r="OC157" s="291"/>
      <c r="OD157" s="291"/>
      <c r="OE157" s="291"/>
      <c r="OF157" s="291"/>
      <c r="OG157" s="291"/>
      <c r="OH157" s="291"/>
      <c r="OI157" s="291"/>
      <c r="OJ157" s="291"/>
      <c r="OK157" s="291"/>
      <c r="OL157" s="291"/>
      <c r="OM157" s="291"/>
      <c r="ON157" s="291"/>
      <c r="OO157" s="291"/>
      <c r="OP157" s="291"/>
      <c r="OQ157" s="291"/>
      <c r="OR157" s="291"/>
      <c r="OS157" s="291"/>
      <c r="OT157" s="291"/>
      <c r="OU157" s="291"/>
      <c r="OV157" s="291"/>
      <c r="OW157" s="291"/>
    </row>
    <row r="158" spans="1:413" s="257" customFormat="1" hidden="1" x14ac:dyDescent="0.2">
      <c r="A158" s="291"/>
      <c r="B158" s="524">
        <f t="shared" si="11"/>
        <v>142</v>
      </c>
      <c r="C158" s="510" t="s">
        <v>38</v>
      </c>
      <c r="D158" s="511">
        <v>30435474</v>
      </c>
      <c r="E158" s="511"/>
      <c r="F158" s="512" t="s">
        <v>1305</v>
      </c>
      <c r="G158" s="513" t="s">
        <v>1250</v>
      </c>
      <c r="H158" s="514" t="s">
        <v>1094</v>
      </c>
      <c r="I158" s="515" t="s">
        <v>1159</v>
      </c>
      <c r="J158" s="346" t="s">
        <v>42</v>
      </c>
      <c r="K158" s="526">
        <v>94700</v>
      </c>
      <c r="L158" s="527">
        <v>83942</v>
      </c>
      <c r="M158" s="528">
        <v>0</v>
      </c>
      <c r="N158" s="520">
        <v>0</v>
      </c>
      <c r="O158" s="520">
        <v>0</v>
      </c>
      <c r="P158" s="520">
        <v>0</v>
      </c>
      <c r="Q158" s="520">
        <v>0</v>
      </c>
      <c r="R158" s="520">
        <v>0</v>
      </c>
      <c r="S158" s="520">
        <v>0</v>
      </c>
      <c r="T158" s="18"/>
      <c r="U158" s="18"/>
      <c r="V158" s="18"/>
      <c r="W158" s="18"/>
      <c r="X158" s="18"/>
      <c r="Y158" s="18"/>
      <c r="Z158" s="18">
        <f t="shared" si="8"/>
        <v>0</v>
      </c>
      <c r="AA158" s="309">
        <v>10758</v>
      </c>
      <c r="AB158" s="19">
        <v>5</v>
      </c>
      <c r="AC158" s="521">
        <v>44224</v>
      </c>
      <c r="AD158" s="25">
        <v>44251</v>
      </c>
      <c r="AE158" s="309">
        <v>-10758</v>
      </c>
      <c r="AF158" s="314">
        <v>50</v>
      </c>
      <c r="AG158" s="315">
        <v>44356</v>
      </c>
      <c r="AH158" s="315">
        <v>44377</v>
      </c>
      <c r="AI158" s="309"/>
      <c r="AJ158" s="338"/>
      <c r="AK158" s="315"/>
      <c r="AL158" s="316"/>
      <c r="AM158" s="309"/>
      <c r="AN158" s="338"/>
      <c r="AO158" s="21"/>
      <c r="AP158" s="25"/>
      <c r="AQ158" s="309"/>
      <c r="AR158" s="19"/>
      <c r="AS158" s="21"/>
      <c r="AT158" s="25"/>
      <c r="AU158" s="522">
        <f t="shared" si="9"/>
        <v>0</v>
      </c>
      <c r="AV158" s="311">
        <f t="shared" si="10"/>
        <v>0</v>
      </c>
      <c r="AW158" s="305"/>
      <c r="AX158" s="291"/>
      <c r="AY158" s="291"/>
      <c r="AZ158" s="291"/>
      <c r="BA158" s="291"/>
      <c r="BB158" s="291"/>
      <c r="BC158" s="291"/>
      <c r="BD158" s="291"/>
      <c r="BE158" s="291"/>
      <c r="BF158" s="291"/>
      <c r="BG158" s="291"/>
      <c r="BH158" s="291"/>
      <c r="BI158" s="291"/>
      <c r="BJ158" s="291"/>
      <c r="BK158" s="291"/>
      <c r="BL158" s="291"/>
      <c r="BM158" s="291"/>
      <c r="BN158" s="291"/>
      <c r="BO158" s="291"/>
      <c r="BP158" s="291"/>
      <c r="BQ158" s="291"/>
      <c r="BR158" s="291"/>
      <c r="BS158" s="291"/>
      <c r="BT158" s="291"/>
      <c r="BU158" s="291"/>
      <c r="BV158" s="291"/>
      <c r="BW158" s="291"/>
      <c r="BX158" s="291"/>
      <c r="BY158" s="291"/>
      <c r="BZ158" s="291"/>
      <c r="CA158" s="291"/>
      <c r="CB158" s="291"/>
      <c r="CC158" s="291"/>
      <c r="CD158" s="291"/>
      <c r="CE158" s="291"/>
      <c r="CF158" s="291"/>
      <c r="CG158" s="291"/>
      <c r="CH158" s="291"/>
      <c r="CI158" s="291"/>
      <c r="CJ158" s="291"/>
      <c r="CK158" s="291"/>
      <c r="CL158" s="291"/>
      <c r="CM158" s="291"/>
      <c r="CN158" s="291"/>
      <c r="CO158" s="291"/>
      <c r="CP158" s="291"/>
      <c r="CQ158" s="291"/>
      <c r="CR158" s="291"/>
      <c r="CS158" s="291"/>
      <c r="CT158" s="291"/>
      <c r="CU158" s="291"/>
      <c r="CV158" s="291"/>
      <c r="CW158" s="291"/>
      <c r="CX158" s="291"/>
      <c r="CY158" s="291"/>
      <c r="CZ158" s="291"/>
      <c r="DA158" s="291"/>
      <c r="DB158" s="291"/>
      <c r="DC158" s="291"/>
      <c r="DD158" s="291"/>
      <c r="DE158" s="291"/>
      <c r="DF158" s="291"/>
      <c r="DG158" s="291"/>
      <c r="DH158" s="291"/>
      <c r="DI158" s="291"/>
      <c r="DJ158" s="291"/>
      <c r="DK158" s="291"/>
      <c r="DL158" s="291"/>
      <c r="DM158" s="291"/>
      <c r="DN158" s="291"/>
      <c r="DO158" s="291"/>
      <c r="DP158" s="291"/>
      <c r="DQ158" s="291"/>
      <c r="DR158" s="291"/>
      <c r="DS158" s="291"/>
      <c r="DT158" s="291"/>
      <c r="DU158" s="291"/>
      <c r="DV158" s="291"/>
      <c r="DW158" s="291"/>
      <c r="DX158" s="291"/>
      <c r="DY158" s="291"/>
      <c r="DZ158" s="291"/>
      <c r="EA158" s="291"/>
      <c r="EB158" s="291"/>
      <c r="EC158" s="291"/>
      <c r="ED158" s="291"/>
      <c r="EE158" s="291"/>
      <c r="EF158" s="291"/>
      <c r="EG158" s="291"/>
      <c r="EH158" s="291"/>
      <c r="EI158" s="291"/>
      <c r="EJ158" s="291"/>
      <c r="EK158" s="291"/>
      <c r="EL158" s="291"/>
      <c r="EM158" s="291"/>
      <c r="EN158" s="291"/>
      <c r="EO158" s="291"/>
      <c r="EP158" s="291"/>
      <c r="EQ158" s="291"/>
      <c r="ER158" s="291"/>
      <c r="ES158" s="291"/>
      <c r="ET158" s="291"/>
      <c r="EU158" s="291"/>
      <c r="EV158" s="291"/>
      <c r="EW158" s="291"/>
      <c r="EX158" s="291"/>
      <c r="EY158" s="291"/>
      <c r="EZ158" s="291"/>
      <c r="FA158" s="291"/>
      <c r="FB158" s="291"/>
      <c r="FC158" s="291"/>
      <c r="FD158" s="291"/>
      <c r="FE158" s="291"/>
      <c r="FF158" s="291"/>
      <c r="FG158" s="291"/>
      <c r="FH158" s="291"/>
      <c r="FI158" s="291"/>
      <c r="FJ158" s="291"/>
      <c r="FK158" s="291"/>
      <c r="FL158" s="291"/>
      <c r="FM158" s="291"/>
      <c r="FN158" s="291"/>
      <c r="FO158" s="291"/>
      <c r="FP158" s="291"/>
      <c r="FQ158" s="291"/>
      <c r="FR158" s="291"/>
      <c r="FS158" s="291"/>
      <c r="FT158" s="291"/>
      <c r="FU158" s="291"/>
      <c r="FV158" s="291"/>
      <c r="FW158" s="291"/>
      <c r="FX158" s="291"/>
      <c r="FY158" s="291"/>
      <c r="FZ158" s="291"/>
      <c r="GA158" s="291"/>
      <c r="GB158" s="291"/>
      <c r="GC158" s="291"/>
      <c r="GD158" s="291"/>
      <c r="GE158" s="291"/>
      <c r="GF158" s="291"/>
      <c r="GG158" s="291"/>
      <c r="GH158" s="291"/>
      <c r="GI158" s="291"/>
      <c r="GJ158" s="291"/>
      <c r="GK158" s="291"/>
      <c r="GL158" s="291"/>
      <c r="GM158" s="291"/>
      <c r="GN158" s="291"/>
      <c r="GO158" s="291"/>
      <c r="GP158" s="291"/>
      <c r="GQ158" s="291"/>
      <c r="GR158" s="291"/>
      <c r="GS158" s="291"/>
      <c r="GT158" s="291"/>
      <c r="GU158" s="291"/>
      <c r="GV158" s="291"/>
      <c r="GW158" s="291"/>
      <c r="GX158" s="291"/>
      <c r="GY158" s="291"/>
      <c r="GZ158" s="291"/>
      <c r="HA158" s="291"/>
      <c r="HB158" s="291"/>
      <c r="HC158" s="291"/>
      <c r="HD158" s="291"/>
      <c r="HE158" s="291"/>
      <c r="HF158" s="291"/>
      <c r="HG158" s="291"/>
      <c r="HH158" s="291"/>
      <c r="HI158" s="291"/>
      <c r="HJ158" s="291"/>
      <c r="HK158" s="291"/>
      <c r="HL158" s="291"/>
      <c r="HM158" s="291"/>
      <c r="HN158" s="291"/>
      <c r="HO158" s="291"/>
      <c r="HP158" s="291"/>
      <c r="HQ158" s="291"/>
      <c r="HR158" s="291"/>
      <c r="HS158" s="291"/>
      <c r="HT158" s="291"/>
      <c r="HU158" s="291"/>
      <c r="HV158" s="291"/>
      <c r="HW158" s="291"/>
      <c r="HX158" s="291"/>
      <c r="HY158" s="291"/>
      <c r="HZ158" s="291"/>
      <c r="IA158" s="291"/>
      <c r="IB158" s="291"/>
      <c r="IC158" s="291"/>
      <c r="ID158" s="291"/>
      <c r="IE158" s="291"/>
      <c r="IF158" s="291"/>
      <c r="IG158" s="291"/>
      <c r="IH158" s="291"/>
      <c r="II158" s="291"/>
      <c r="IJ158" s="291"/>
      <c r="IK158" s="291"/>
      <c r="IL158" s="291"/>
      <c r="IM158" s="291"/>
      <c r="IN158" s="291"/>
      <c r="IO158" s="291"/>
      <c r="IP158" s="291"/>
      <c r="IQ158" s="291"/>
      <c r="IR158" s="291"/>
      <c r="IS158" s="291"/>
      <c r="IT158" s="291"/>
      <c r="IU158" s="291"/>
      <c r="IV158" s="291"/>
      <c r="IW158" s="291"/>
      <c r="IX158" s="291"/>
      <c r="IY158" s="291"/>
      <c r="IZ158" s="291"/>
      <c r="JA158" s="291"/>
      <c r="JB158" s="291"/>
      <c r="JC158" s="291"/>
      <c r="JD158" s="291"/>
      <c r="JE158" s="291"/>
      <c r="JF158" s="291"/>
      <c r="JG158" s="291"/>
      <c r="JH158" s="291"/>
      <c r="JI158" s="291"/>
      <c r="JJ158" s="291"/>
      <c r="JK158" s="291"/>
      <c r="JL158" s="291"/>
      <c r="JM158" s="291"/>
      <c r="JN158" s="291"/>
      <c r="JO158" s="291"/>
      <c r="JP158" s="291"/>
      <c r="JQ158" s="291"/>
      <c r="JR158" s="291"/>
      <c r="JS158" s="291"/>
      <c r="JT158" s="291"/>
      <c r="JU158" s="291"/>
      <c r="JV158" s="291"/>
      <c r="JW158" s="291"/>
      <c r="JX158" s="291"/>
      <c r="JY158" s="291"/>
      <c r="JZ158" s="291"/>
      <c r="KA158" s="291"/>
      <c r="KB158" s="291"/>
      <c r="KC158" s="291"/>
      <c r="KD158" s="291"/>
      <c r="KE158" s="291"/>
      <c r="KF158" s="291"/>
      <c r="KG158" s="291"/>
      <c r="KH158" s="291"/>
      <c r="KI158" s="291"/>
      <c r="KJ158" s="291"/>
      <c r="KK158" s="291"/>
      <c r="KL158" s="291"/>
      <c r="KM158" s="291"/>
      <c r="KN158" s="291"/>
      <c r="KO158" s="291"/>
      <c r="KP158" s="291"/>
      <c r="KQ158" s="291"/>
      <c r="KR158" s="291"/>
      <c r="KS158" s="291"/>
      <c r="KT158" s="291"/>
      <c r="KU158" s="291"/>
      <c r="KV158" s="291"/>
      <c r="KW158" s="291"/>
      <c r="KX158" s="291"/>
      <c r="KY158" s="291"/>
      <c r="KZ158" s="291"/>
      <c r="LA158" s="291"/>
      <c r="LB158" s="291"/>
      <c r="LC158" s="291"/>
      <c r="LD158" s="291"/>
      <c r="LE158" s="291"/>
      <c r="LF158" s="291"/>
      <c r="LG158" s="291"/>
      <c r="LH158" s="291"/>
      <c r="LI158" s="291"/>
      <c r="LJ158" s="291"/>
      <c r="LK158" s="291"/>
      <c r="LL158" s="291"/>
      <c r="LM158" s="291"/>
      <c r="LN158" s="291"/>
      <c r="LO158" s="291"/>
      <c r="LP158" s="291"/>
      <c r="LQ158" s="291"/>
      <c r="LR158" s="291"/>
      <c r="LS158" s="291"/>
      <c r="LT158" s="291"/>
      <c r="LU158" s="291"/>
      <c r="LV158" s="291"/>
      <c r="LW158" s="291"/>
      <c r="LX158" s="291"/>
      <c r="LY158" s="291"/>
      <c r="LZ158" s="291"/>
      <c r="MA158" s="291"/>
      <c r="MB158" s="291"/>
      <c r="MC158" s="291"/>
      <c r="MD158" s="291"/>
      <c r="ME158" s="291"/>
      <c r="MF158" s="291"/>
      <c r="MG158" s="291"/>
      <c r="MH158" s="291"/>
      <c r="MI158" s="291"/>
      <c r="MJ158" s="291"/>
      <c r="MK158" s="291"/>
      <c r="ML158" s="291"/>
      <c r="MM158" s="291"/>
      <c r="MN158" s="291"/>
      <c r="MO158" s="291"/>
      <c r="MP158" s="291"/>
      <c r="MQ158" s="291"/>
      <c r="MR158" s="291"/>
      <c r="MS158" s="291"/>
      <c r="MT158" s="291"/>
      <c r="MU158" s="291"/>
      <c r="MV158" s="291"/>
      <c r="MW158" s="291"/>
      <c r="MX158" s="291"/>
      <c r="MY158" s="291"/>
      <c r="MZ158" s="291"/>
      <c r="NA158" s="291"/>
      <c r="NB158" s="291"/>
      <c r="NC158" s="291"/>
      <c r="ND158" s="291"/>
      <c r="NE158" s="291"/>
      <c r="NF158" s="291"/>
      <c r="NG158" s="291"/>
      <c r="NH158" s="291"/>
      <c r="NI158" s="291"/>
      <c r="NJ158" s="291"/>
      <c r="NK158" s="291"/>
      <c r="NL158" s="291"/>
      <c r="NM158" s="291"/>
      <c r="NN158" s="291"/>
      <c r="NO158" s="291"/>
      <c r="NP158" s="291"/>
      <c r="NQ158" s="291"/>
      <c r="NR158" s="291"/>
      <c r="NS158" s="291"/>
      <c r="NT158" s="291"/>
      <c r="NU158" s="291"/>
      <c r="NV158" s="291"/>
      <c r="NW158" s="291"/>
      <c r="NX158" s="291"/>
      <c r="NY158" s="291"/>
      <c r="NZ158" s="291"/>
      <c r="OA158" s="291"/>
      <c r="OB158" s="291"/>
      <c r="OC158" s="291"/>
      <c r="OD158" s="291"/>
      <c r="OE158" s="291"/>
      <c r="OF158" s="291"/>
      <c r="OG158" s="291"/>
      <c r="OH158" s="291"/>
      <c r="OI158" s="291"/>
      <c r="OJ158" s="291"/>
      <c r="OK158" s="291"/>
      <c r="OL158" s="291"/>
      <c r="OM158" s="291"/>
      <c r="ON158" s="291"/>
      <c r="OO158" s="291"/>
      <c r="OP158" s="291"/>
      <c r="OQ158" s="291"/>
      <c r="OR158" s="291"/>
      <c r="OS158" s="291"/>
      <c r="OT158" s="291"/>
      <c r="OU158" s="291"/>
      <c r="OV158" s="291"/>
      <c r="OW158" s="291"/>
    </row>
    <row r="159" spans="1:413" s="257" customFormat="1" hidden="1" x14ac:dyDescent="0.2">
      <c r="A159" s="291"/>
      <c r="B159" s="524">
        <f t="shared" si="11"/>
        <v>143</v>
      </c>
      <c r="C159" s="510" t="s">
        <v>38</v>
      </c>
      <c r="D159" s="511">
        <v>30436372</v>
      </c>
      <c r="E159" s="511"/>
      <c r="F159" s="512" t="s">
        <v>1306</v>
      </c>
      <c r="G159" s="513" t="s">
        <v>45</v>
      </c>
      <c r="H159" s="514" t="s">
        <v>1094</v>
      </c>
      <c r="I159" s="515" t="s">
        <v>1127</v>
      </c>
      <c r="J159" s="346" t="s">
        <v>43</v>
      </c>
      <c r="K159" s="526">
        <v>1773631</v>
      </c>
      <c r="L159" s="527">
        <v>0</v>
      </c>
      <c r="M159" s="528">
        <v>1356203</v>
      </c>
      <c r="N159" s="519">
        <v>0</v>
      </c>
      <c r="O159" s="519">
        <v>0</v>
      </c>
      <c r="P159" s="519">
        <v>0</v>
      </c>
      <c r="Q159" s="519">
        <v>0</v>
      </c>
      <c r="R159" s="519">
        <v>0</v>
      </c>
      <c r="S159" s="520">
        <v>0</v>
      </c>
      <c r="T159" s="18"/>
      <c r="U159" s="18"/>
      <c r="V159" s="18"/>
      <c r="W159" s="18"/>
      <c r="X159" s="18"/>
      <c r="Y159" s="18"/>
      <c r="Z159" s="18">
        <f t="shared" si="8"/>
        <v>0</v>
      </c>
      <c r="AA159" s="309">
        <v>105000</v>
      </c>
      <c r="AB159" s="19">
        <v>15</v>
      </c>
      <c r="AC159" s="521">
        <v>44259</v>
      </c>
      <c r="AD159" s="25">
        <v>44274</v>
      </c>
      <c r="AE159" s="309"/>
      <c r="AF159" s="314"/>
      <c r="AG159" s="315"/>
      <c r="AH159" s="316"/>
      <c r="AI159" s="309"/>
      <c r="AJ159" s="338"/>
      <c r="AK159" s="315"/>
      <c r="AL159" s="316"/>
      <c r="AM159" s="309"/>
      <c r="AN159" s="338"/>
      <c r="AO159" s="21"/>
      <c r="AP159" s="25"/>
      <c r="AQ159" s="309"/>
      <c r="AR159" s="19"/>
      <c r="AS159" s="21"/>
      <c r="AT159" s="25"/>
      <c r="AU159" s="522">
        <f t="shared" si="9"/>
        <v>105000</v>
      </c>
      <c r="AV159" s="311">
        <f t="shared" si="10"/>
        <v>105000</v>
      </c>
      <c r="AW159" s="305"/>
      <c r="AX159" s="291"/>
      <c r="AY159" s="291"/>
      <c r="AZ159" s="291"/>
      <c r="BA159" s="291"/>
      <c r="BB159" s="291"/>
      <c r="BC159" s="291"/>
      <c r="BD159" s="291"/>
      <c r="BE159" s="291"/>
      <c r="BF159" s="291"/>
      <c r="BG159" s="291"/>
      <c r="BH159" s="291"/>
      <c r="BI159" s="291"/>
      <c r="BJ159" s="291"/>
      <c r="BK159" s="291"/>
      <c r="BL159" s="291"/>
      <c r="BM159" s="291"/>
      <c r="BN159" s="291"/>
      <c r="BO159" s="291"/>
      <c r="BP159" s="291"/>
      <c r="BQ159" s="291"/>
      <c r="BR159" s="291"/>
      <c r="BS159" s="291"/>
      <c r="BT159" s="291"/>
      <c r="BU159" s="291"/>
      <c r="BV159" s="291"/>
      <c r="BW159" s="291"/>
      <c r="BX159" s="291"/>
      <c r="BY159" s="291"/>
      <c r="BZ159" s="291"/>
      <c r="CA159" s="291"/>
      <c r="CB159" s="291"/>
      <c r="CC159" s="291"/>
      <c r="CD159" s="291"/>
      <c r="CE159" s="291"/>
      <c r="CF159" s="291"/>
      <c r="CG159" s="291"/>
      <c r="CH159" s="291"/>
      <c r="CI159" s="291"/>
      <c r="CJ159" s="291"/>
      <c r="CK159" s="291"/>
      <c r="CL159" s="291"/>
      <c r="CM159" s="291"/>
      <c r="CN159" s="291"/>
      <c r="CO159" s="291"/>
      <c r="CP159" s="291"/>
      <c r="CQ159" s="291"/>
      <c r="CR159" s="291"/>
      <c r="CS159" s="291"/>
      <c r="CT159" s="291"/>
      <c r="CU159" s="291"/>
      <c r="CV159" s="291"/>
      <c r="CW159" s="291"/>
      <c r="CX159" s="291"/>
      <c r="CY159" s="291"/>
      <c r="CZ159" s="291"/>
      <c r="DA159" s="291"/>
      <c r="DB159" s="291"/>
      <c r="DC159" s="291"/>
      <c r="DD159" s="291"/>
      <c r="DE159" s="291"/>
      <c r="DF159" s="291"/>
      <c r="DG159" s="291"/>
      <c r="DH159" s="291"/>
      <c r="DI159" s="291"/>
      <c r="DJ159" s="291"/>
      <c r="DK159" s="291"/>
      <c r="DL159" s="291"/>
      <c r="DM159" s="291"/>
      <c r="DN159" s="291"/>
      <c r="DO159" s="291"/>
      <c r="DP159" s="291"/>
      <c r="DQ159" s="291"/>
      <c r="DR159" s="291"/>
      <c r="DS159" s="291"/>
      <c r="DT159" s="291"/>
      <c r="DU159" s="291"/>
      <c r="DV159" s="291"/>
      <c r="DW159" s="291"/>
      <c r="DX159" s="291"/>
      <c r="DY159" s="291"/>
      <c r="DZ159" s="291"/>
      <c r="EA159" s="291"/>
      <c r="EB159" s="291"/>
      <c r="EC159" s="291"/>
      <c r="ED159" s="291"/>
      <c r="EE159" s="291"/>
      <c r="EF159" s="291"/>
      <c r="EG159" s="291"/>
      <c r="EH159" s="291"/>
      <c r="EI159" s="291"/>
      <c r="EJ159" s="291"/>
      <c r="EK159" s="291"/>
      <c r="EL159" s="291"/>
      <c r="EM159" s="291"/>
      <c r="EN159" s="291"/>
      <c r="EO159" s="291"/>
      <c r="EP159" s="291"/>
      <c r="EQ159" s="291"/>
      <c r="ER159" s="291"/>
      <c r="ES159" s="291"/>
      <c r="ET159" s="291"/>
      <c r="EU159" s="291"/>
      <c r="EV159" s="291"/>
      <c r="EW159" s="291"/>
      <c r="EX159" s="291"/>
      <c r="EY159" s="291"/>
      <c r="EZ159" s="291"/>
      <c r="FA159" s="291"/>
      <c r="FB159" s="291"/>
      <c r="FC159" s="291"/>
      <c r="FD159" s="291"/>
      <c r="FE159" s="291"/>
      <c r="FF159" s="291"/>
      <c r="FG159" s="291"/>
      <c r="FH159" s="291"/>
      <c r="FI159" s="291"/>
      <c r="FJ159" s="291"/>
      <c r="FK159" s="291"/>
      <c r="FL159" s="291"/>
      <c r="FM159" s="291"/>
      <c r="FN159" s="291"/>
      <c r="FO159" s="291"/>
      <c r="FP159" s="291"/>
      <c r="FQ159" s="291"/>
      <c r="FR159" s="291"/>
      <c r="FS159" s="291"/>
      <c r="FT159" s="291"/>
      <c r="FU159" s="291"/>
      <c r="FV159" s="291"/>
      <c r="FW159" s="291"/>
      <c r="FX159" s="291"/>
      <c r="FY159" s="291"/>
      <c r="FZ159" s="291"/>
      <c r="GA159" s="291"/>
      <c r="GB159" s="291"/>
      <c r="GC159" s="291"/>
      <c r="GD159" s="291"/>
      <c r="GE159" s="291"/>
      <c r="GF159" s="291"/>
      <c r="GG159" s="291"/>
      <c r="GH159" s="291"/>
      <c r="GI159" s="291"/>
      <c r="GJ159" s="291"/>
      <c r="GK159" s="291"/>
      <c r="GL159" s="291"/>
      <c r="GM159" s="291"/>
      <c r="GN159" s="291"/>
      <c r="GO159" s="291"/>
      <c r="GP159" s="291"/>
      <c r="GQ159" s="291"/>
      <c r="GR159" s="291"/>
      <c r="GS159" s="291"/>
      <c r="GT159" s="291"/>
      <c r="GU159" s="291"/>
      <c r="GV159" s="291"/>
      <c r="GW159" s="291"/>
      <c r="GX159" s="291"/>
      <c r="GY159" s="291"/>
      <c r="GZ159" s="291"/>
      <c r="HA159" s="291"/>
      <c r="HB159" s="291"/>
      <c r="HC159" s="291"/>
      <c r="HD159" s="291"/>
      <c r="HE159" s="291"/>
      <c r="HF159" s="291"/>
      <c r="HG159" s="291"/>
      <c r="HH159" s="291"/>
      <c r="HI159" s="291"/>
      <c r="HJ159" s="291"/>
      <c r="HK159" s="291"/>
      <c r="HL159" s="291"/>
      <c r="HM159" s="291"/>
      <c r="HN159" s="291"/>
      <c r="HO159" s="291"/>
      <c r="HP159" s="291"/>
      <c r="HQ159" s="291"/>
      <c r="HR159" s="291"/>
      <c r="HS159" s="291"/>
      <c r="HT159" s="291"/>
      <c r="HU159" s="291"/>
      <c r="HV159" s="291"/>
      <c r="HW159" s="291"/>
      <c r="HX159" s="291"/>
      <c r="HY159" s="291"/>
      <c r="HZ159" s="291"/>
      <c r="IA159" s="291"/>
      <c r="IB159" s="291"/>
      <c r="IC159" s="291"/>
      <c r="ID159" s="291"/>
      <c r="IE159" s="291"/>
      <c r="IF159" s="291"/>
      <c r="IG159" s="291"/>
      <c r="IH159" s="291"/>
      <c r="II159" s="291"/>
      <c r="IJ159" s="291"/>
      <c r="IK159" s="291"/>
      <c r="IL159" s="291"/>
      <c r="IM159" s="291"/>
      <c r="IN159" s="291"/>
      <c r="IO159" s="291"/>
      <c r="IP159" s="291"/>
      <c r="IQ159" s="291"/>
      <c r="IR159" s="291"/>
      <c r="IS159" s="291"/>
      <c r="IT159" s="291"/>
      <c r="IU159" s="291"/>
      <c r="IV159" s="291"/>
      <c r="IW159" s="291"/>
      <c r="IX159" s="291"/>
      <c r="IY159" s="291"/>
      <c r="IZ159" s="291"/>
      <c r="JA159" s="291"/>
      <c r="JB159" s="291"/>
      <c r="JC159" s="291"/>
      <c r="JD159" s="291"/>
      <c r="JE159" s="291"/>
      <c r="JF159" s="291"/>
      <c r="JG159" s="291"/>
      <c r="JH159" s="291"/>
      <c r="JI159" s="291"/>
      <c r="JJ159" s="291"/>
      <c r="JK159" s="291"/>
      <c r="JL159" s="291"/>
      <c r="JM159" s="291"/>
      <c r="JN159" s="291"/>
      <c r="JO159" s="291"/>
      <c r="JP159" s="291"/>
      <c r="JQ159" s="291"/>
      <c r="JR159" s="291"/>
      <c r="JS159" s="291"/>
      <c r="JT159" s="291"/>
      <c r="JU159" s="291"/>
      <c r="JV159" s="291"/>
      <c r="JW159" s="291"/>
      <c r="JX159" s="291"/>
      <c r="JY159" s="291"/>
      <c r="JZ159" s="291"/>
      <c r="KA159" s="291"/>
      <c r="KB159" s="291"/>
      <c r="KC159" s="291"/>
      <c r="KD159" s="291"/>
      <c r="KE159" s="291"/>
      <c r="KF159" s="291"/>
      <c r="KG159" s="291"/>
      <c r="KH159" s="291"/>
      <c r="KI159" s="291"/>
      <c r="KJ159" s="291"/>
      <c r="KK159" s="291"/>
      <c r="KL159" s="291"/>
      <c r="KM159" s="291"/>
      <c r="KN159" s="291"/>
      <c r="KO159" s="291"/>
      <c r="KP159" s="291"/>
      <c r="KQ159" s="291"/>
      <c r="KR159" s="291"/>
      <c r="KS159" s="291"/>
      <c r="KT159" s="291"/>
      <c r="KU159" s="291"/>
      <c r="KV159" s="291"/>
      <c r="KW159" s="291"/>
      <c r="KX159" s="291"/>
      <c r="KY159" s="291"/>
      <c r="KZ159" s="291"/>
      <c r="LA159" s="291"/>
      <c r="LB159" s="291"/>
      <c r="LC159" s="291"/>
      <c r="LD159" s="291"/>
      <c r="LE159" s="291"/>
      <c r="LF159" s="291"/>
      <c r="LG159" s="291"/>
      <c r="LH159" s="291"/>
      <c r="LI159" s="291"/>
      <c r="LJ159" s="291"/>
      <c r="LK159" s="291"/>
      <c r="LL159" s="291"/>
      <c r="LM159" s="291"/>
      <c r="LN159" s="291"/>
      <c r="LO159" s="291"/>
      <c r="LP159" s="291"/>
      <c r="LQ159" s="291"/>
      <c r="LR159" s="291"/>
      <c r="LS159" s="291"/>
      <c r="LT159" s="291"/>
      <c r="LU159" s="291"/>
      <c r="LV159" s="291"/>
      <c r="LW159" s="291"/>
      <c r="LX159" s="291"/>
      <c r="LY159" s="291"/>
      <c r="LZ159" s="291"/>
      <c r="MA159" s="291"/>
      <c r="MB159" s="291"/>
      <c r="MC159" s="291"/>
      <c r="MD159" s="291"/>
      <c r="ME159" s="291"/>
      <c r="MF159" s="291"/>
      <c r="MG159" s="291"/>
      <c r="MH159" s="291"/>
      <c r="MI159" s="291"/>
      <c r="MJ159" s="291"/>
      <c r="MK159" s="291"/>
      <c r="ML159" s="291"/>
      <c r="MM159" s="291"/>
      <c r="MN159" s="291"/>
      <c r="MO159" s="291"/>
      <c r="MP159" s="291"/>
      <c r="MQ159" s="291"/>
      <c r="MR159" s="291"/>
      <c r="MS159" s="291"/>
      <c r="MT159" s="291"/>
      <c r="MU159" s="291"/>
      <c r="MV159" s="291"/>
      <c r="MW159" s="291"/>
      <c r="MX159" s="291"/>
      <c r="MY159" s="291"/>
      <c r="MZ159" s="291"/>
      <c r="NA159" s="291"/>
      <c r="NB159" s="291"/>
      <c r="NC159" s="291"/>
      <c r="ND159" s="291"/>
      <c r="NE159" s="291"/>
      <c r="NF159" s="291"/>
      <c r="NG159" s="291"/>
      <c r="NH159" s="291"/>
      <c r="NI159" s="291"/>
      <c r="NJ159" s="291"/>
      <c r="NK159" s="291"/>
      <c r="NL159" s="291"/>
      <c r="NM159" s="291"/>
      <c r="NN159" s="291"/>
      <c r="NO159" s="291"/>
      <c r="NP159" s="291"/>
      <c r="NQ159" s="291"/>
      <c r="NR159" s="291"/>
      <c r="NS159" s="291"/>
      <c r="NT159" s="291"/>
      <c r="NU159" s="291"/>
      <c r="NV159" s="291"/>
      <c r="NW159" s="291"/>
      <c r="NX159" s="291"/>
      <c r="NY159" s="291"/>
      <c r="NZ159" s="291"/>
      <c r="OA159" s="291"/>
      <c r="OB159" s="291"/>
      <c r="OC159" s="291"/>
      <c r="OD159" s="291"/>
      <c r="OE159" s="291"/>
      <c r="OF159" s="291"/>
      <c r="OG159" s="291"/>
      <c r="OH159" s="291"/>
      <c r="OI159" s="291"/>
      <c r="OJ159" s="291"/>
      <c r="OK159" s="291"/>
      <c r="OL159" s="291"/>
      <c r="OM159" s="291"/>
      <c r="ON159" s="291"/>
      <c r="OO159" s="291"/>
      <c r="OP159" s="291"/>
      <c r="OQ159" s="291"/>
      <c r="OR159" s="291"/>
      <c r="OS159" s="291"/>
      <c r="OT159" s="291"/>
      <c r="OU159" s="291"/>
      <c r="OV159" s="291"/>
      <c r="OW159" s="291"/>
    </row>
    <row r="160" spans="1:413" s="257" customFormat="1" hidden="1" x14ac:dyDescent="0.2">
      <c r="A160" s="291"/>
      <c r="B160" s="524">
        <f t="shared" si="11"/>
        <v>144</v>
      </c>
      <c r="C160" s="510" t="s">
        <v>38</v>
      </c>
      <c r="D160" s="511">
        <v>30441475</v>
      </c>
      <c r="E160" s="511"/>
      <c r="F160" s="512" t="s">
        <v>1307</v>
      </c>
      <c r="G160" s="513" t="s">
        <v>1250</v>
      </c>
      <c r="H160" s="514" t="s">
        <v>1094</v>
      </c>
      <c r="I160" s="515" t="s">
        <v>1138</v>
      </c>
      <c r="J160" s="346" t="s">
        <v>42</v>
      </c>
      <c r="K160" s="526">
        <v>89400</v>
      </c>
      <c r="L160" s="527">
        <v>13553</v>
      </c>
      <c r="M160" s="528">
        <v>1</v>
      </c>
      <c r="N160" s="520">
        <v>0</v>
      </c>
      <c r="O160" s="520">
        <v>0</v>
      </c>
      <c r="P160" s="520">
        <v>6627</v>
      </c>
      <c r="Q160" s="520">
        <v>0</v>
      </c>
      <c r="R160" s="520">
        <v>0</v>
      </c>
      <c r="S160" s="520">
        <v>42140</v>
      </c>
      <c r="T160" s="18"/>
      <c r="U160" s="18"/>
      <c r="V160" s="18"/>
      <c r="W160" s="18"/>
      <c r="X160" s="18"/>
      <c r="Y160" s="18"/>
      <c r="Z160" s="18">
        <f t="shared" si="8"/>
        <v>48767</v>
      </c>
      <c r="AA160" s="309">
        <v>75846</v>
      </c>
      <c r="AB160" s="19">
        <v>5</v>
      </c>
      <c r="AC160" s="521">
        <v>44224</v>
      </c>
      <c r="AD160" s="25">
        <v>44251</v>
      </c>
      <c r="AE160" s="309">
        <v>-19882</v>
      </c>
      <c r="AF160" s="314">
        <v>50</v>
      </c>
      <c r="AG160" s="315">
        <v>44356</v>
      </c>
      <c r="AH160" s="315">
        <v>44377</v>
      </c>
      <c r="AI160" s="309"/>
      <c r="AJ160" s="338"/>
      <c r="AK160" s="315"/>
      <c r="AL160" s="316"/>
      <c r="AM160" s="309"/>
      <c r="AN160" s="338"/>
      <c r="AO160" s="21"/>
      <c r="AP160" s="25"/>
      <c r="AQ160" s="309"/>
      <c r="AR160" s="19"/>
      <c r="AS160" s="21"/>
      <c r="AT160" s="25"/>
      <c r="AU160" s="522">
        <f t="shared" si="9"/>
        <v>55964</v>
      </c>
      <c r="AV160" s="311">
        <f t="shared" si="10"/>
        <v>7197</v>
      </c>
      <c r="AW160" s="305"/>
      <c r="AX160" s="291"/>
      <c r="AY160" s="291"/>
      <c r="AZ160" s="291"/>
      <c r="BA160" s="291"/>
      <c r="BB160" s="291"/>
      <c r="BC160" s="291"/>
      <c r="BD160" s="291"/>
      <c r="BE160" s="291"/>
      <c r="BF160" s="291"/>
      <c r="BG160" s="291"/>
      <c r="BH160" s="291"/>
      <c r="BI160" s="291"/>
      <c r="BJ160" s="291"/>
      <c r="BK160" s="291"/>
      <c r="BL160" s="291"/>
      <c r="BM160" s="291"/>
      <c r="BN160" s="291"/>
      <c r="BO160" s="291"/>
      <c r="BP160" s="291"/>
      <c r="BQ160" s="291"/>
      <c r="BR160" s="291"/>
      <c r="BS160" s="291"/>
      <c r="BT160" s="291"/>
      <c r="BU160" s="291"/>
      <c r="BV160" s="291"/>
      <c r="BW160" s="291"/>
      <c r="BX160" s="291"/>
      <c r="BY160" s="291"/>
      <c r="BZ160" s="291"/>
      <c r="CA160" s="291"/>
      <c r="CB160" s="291"/>
      <c r="CC160" s="291"/>
      <c r="CD160" s="291"/>
      <c r="CE160" s="291"/>
      <c r="CF160" s="291"/>
      <c r="CG160" s="291"/>
      <c r="CH160" s="291"/>
      <c r="CI160" s="291"/>
      <c r="CJ160" s="291"/>
      <c r="CK160" s="291"/>
      <c r="CL160" s="291"/>
      <c r="CM160" s="291"/>
      <c r="CN160" s="291"/>
      <c r="CO160" s="291"/>
      <c r="CP160" s="291"/>
      <c r="CQ160" s="291"/>
      <c r="CR160" s="291"/>
      <c r="CS160" s="291"/>
      <c r="CT160" s="291"/>
      <c r="CU160" s="291"/>
      <c r="CV160" s="291"/>
      <c r="CW160" s="291"/>
      <c r="CX160" s="291"/>
      <c r="CY160" s="291"/>
      <c r="CZ160" s="291"/>
      <c r="DA160" s="291"/>
      <c r="DB160" s="291"/>
      <c r="DC160" s="291"/>
      <c r="DD160" s="291"/>
      <c r="DE160" s="291"/>
      <c r="DF160" s="291"/>
      <c r="DG160" s="291"/>
      <c r="DH160" s="291"/>
      <c r="DI160" s="291"/>
      <c r="DJ160" s="291"/>
      <c r="DK160" s="291"/>
      <c r="DL160" s="291"/>
      <c r="DM160" s="291"/>
      <c r="DN160" s="291"/>
      <c r="DO160" s="291"/>
      <c r="DP160" s="291"/>
      <c r="DQ160" s="291"/>
      <c r="DR160" s="291"/>
      <c r="DS160" s="291"/>
      <c r="DT160" s="291"/>
      <c r="DU160" s="291"/>
      <c r="DV160" s="291"/>
      <c r="DW160" s="291"/>
      <c r="DX160" s="291"/>
      <c r="DY160" s="291"/>
      <c r="DZ160" s="291"/>
      <c r="EA160" s="291"/>
      <c r="EB160" s="291"/>
      <c r="EC160" s="291"/>
      <c r="ED160" s="291"/>
      <c r="EE160" s="291"/>
      <c r="EF160" s="291"/>
      <c r="EG160" s="291"/>
      <c r="EH160" s="291"/>
      <c r="EI160" s="291"/>
      <c r="EJ160" s="291"/>
      <c r="EK160" s="291"/>
      <c r="EL160" s="291"/>
      <c r="EM160" s="291"/>
      <c r="EN160" s="291"/>
      <c r="EO160" s="291"/>
      <c r="EP160" s="291"/>
      <c r="EQ160" s="291"/>
      <c r="ER160" s="291"/>
      <c r="ES160" s="291"/>
      <c r="ET160" s="291"/>
      <c r="EU160" s="291"/>
      <c r="EV160" s="291"/>
      <c r="EW160" s="291"/>
      <c r="EX160" s="291"/>
      <c r="EY160" s="291"/>
      <c r="EZ160" s="291"/>
      <c r="FA160" s="291"/>
      <c r="FB160" s="291"/>
      <c r="FC160" s="291"/>
      <c r="FD160" s="291"/>
      <c r="FE160" s="291"/>
      <c r="FF160" s="291"/>
      <c r="FG160" s="291"/>
      <c r="FH160" s="291"/>
      <c r="FI160" s="291"/>
      <c r="FJ160" s="291"/>
      <c r="FK160" s="291"/>
      <c r="FL160" s="291"/>
      <c r="FM160" s="291"/>
      <c r="FN160" s="291"/>
      <c r="FO160" s="291"/>
      <c r="FP160" s="291"/>
      <c r="FQ160" s="291"/>
      <c r="FR160" s="291"/>
      <c r="FS160" s="291"/>
      <c r="FT160" s="291"/>
      <c r="FU160" s="291"/>
      <c r="FV160" s="291"/>
      <c r="FW160" s="291"/>
      <c r="FX160" s="291"/>
      <c r="FY160" s="291"/>
      <c r="FZ160" s="291"/>
      <c r="GA160" s="291"/>
      <c r="GB160" s="291"/>
      <c r="GC160" s="291"/>
      <c r="GD160" s="291"/>
      <c r="GE160" s="291"/>
      <c r="GF160" s="291"/>
      <c r="GG160" s="291"/>
      <c r="GH160" s="291"/>
      <c r="GI160" s="291"/>
      <c r="GJ160" s="291"/>
      <c r="GK160" s="291"/>
      <c r="GL160" s="291"/>
      <c r="GM160" s="291"/>
      <c r="GN160" s="291"/>
      <c r="GO160" s="291"/>
      <c r="GP160" s="291"/>
      <c r="GQ160" s="291"/>
      <c r="GR160" s="291"/>
      <c r="GS160" s="291"/>
      <c r="GT160" s="291"/>
      <c r="GU160" s="291"/>
      <c r="GV160" s="291"/>
      <c r="GW160" s="291"/>
      <c r="GX160" s="291"/>
      <c r="GY160" s="291"/>
      <c r="GZ160" s="291"/>
      <c r="HA160" s="291"/>
      <c r="HB160" s="291"/>
      <c r="HC160" s="291"/>
      <c r="HD160" s="291"/>
      <c r="HE160" s="291"/>
      <c r="HF160" s="291"/>
      <c r="HG160" s="291"/>
      <c r="HH160" s="291"/>
      <c r="HI160" s="291"/>
      <c r="HJ160" s="291"/>
      <c r="HK160" s="291"/>
      <c r="HL160" s="291"/>
      <c r="HM160" s="291"/>
      <c r="HN160" s="291"/>
      <c r="HO160" s="291"/>
      <c r="HP160" s="291"/>
      <c r="HQ160" s="291"/>
      <c r="HR160" s="291"/>
      <c r="HS160" s="291"/>
      <c r="HT160" s="291"/>
      <c r="HU160" s="291"/>
      <c r="HV160" s="291"/>
      <c r="HW160" s="291"/>
      <c r="HX160" s="291"/>
      <c r="HY160" s="291"/>
      <c r="HZ160" s="291"/>
      <c r="IA160" s="291"/>
      <c r="IB160" s="291"/>
      <c r="IC160" s="291"/>
      <c r="ID160" s="291"/>
      <c r="IE160" s="291"/>
      <c r="IF160" s="291"/>
      <c r="IG160" s="291"/>
      <c r="IH160" s="291"/>
      <c r="II160" s="291"/>
      <c r="IJ160" s="291"/>
      <c r="IK160" s="291"/>
      <c r="IL160" s="291"/>
      <c r="IM160" s="291"/>
      <c r="IN160" s="291"/>
      <c r="IO160" s="291"/>
      <c r="IP160" s="291"/>
      <c r="IQ160" s="291"/>
      <c r="IR160" s="291"/>
      <c r="IS160" s="291"/>
      <c r="IT160" s="291"/>
      <c r="IU160" s="291"/>
      <c r="IV160" s="291"/>
      <c r="IW160" s="291"/>
      <c r="IX160" s="291"/>
      <c r="IY160" s="291"/>
      <c r="IZ160" s="291"/>
      <c r="JA160" s="291"/>
      <c r="JB160" s="291"/>
      <c r="JC160" s="291"/>
      <c r="JD160" s="291"/>
      <c r="JE160" s="291"/>
      <c r="JF160" s="291"/>
      <c r="JG160" s="291"/>
      <c r="JH160" s="291"/>
      <c r="JI160" s="291"/>
      <c r="JJ160" s="291"/>
      <c r="JK160" s="291"/>
      <c r="JL160" s="291"/>
      <c r="JM160" s="291"/>
      <c r="JN160" s="291"/>
      <c r="JO160" s="291"/>
      <c r="JP160" s="291"/>
      <c r="JQ160" s="291"/>
      <c r="JR160" s="291"/>
      <c r="JS160" s="291"/>
      <c r="JT160" s="291"/>
      <c r="JU160" s="291"/>
      <c r="JV160" s="291"/>
      <c r="JW160" s="291"/>
      <c r="JX160" s="291"/>
      <c r="JY160" s="291"/>
      <c r="JZ160" s="291"/>
      <c r="KA160" s="291"/>
      <c r="KB160" s="291"/>
      <c r="KC160" s="291"/>
      <c r="KD160" s="291"/>
      <c r="KE160" s="291"/>
      <c r="KF160" s="291"/>
      <c r="KG160" s="291"/>
      <c r="KH160" s="291"/>
      <c r="KI160" s="291"/>
      <c r="KJ160" s="291"/>
      <c r="KK160" s="291"/>
      <c r="KL160" s="291"/>
      <c r="KM160" s="291"/>
      <c r="KN160" s="291"/>
      <c r="KO160" s="291"/>
      <c r="KP160" s="291"/>
      <c r="KQ160" s="291"/>
      <c r="KR160" s="291"/>
      <c r="KS160" s="291"/>
      <c r="KT160" s="291"/>
      <c r="KU160" s="291"/>
      <c r="KV160" s="291"/>
      <c r="KW160" s="291"/>
      <c r="KX160" s="291"/>
      <c r="KY160" s="291"/>
      <c r="KZ160" s="291"/>
      <c r="LA160" s="291"/>
      <c r="LB160" s="291"/>
      <c r="LC160" s="291"/>
      <c r="LD160" s="291"/>
      <c r="LE160" s="291"/>
      <c r="LF160" s="291"/>
      <c r="LG160" s="291"/>
      <c r="LH160" s="291"/>
      <c r="LI160" s="291"/>
      <c r="LJ160" s="291"/>
      <c r="LK160" s="291"/>
      <c r="LL160" s="291"/>
      <c r="LM160" s="291"/>
      <c r="LN160" s="291"/>
      <c r="LO160" s="291"/>
      <c r="LP160" s="291"/>
      <c r="LQ160" s="291"/>
      <c r="LR160" s="291"/>
      <c r="LS160" s="291"/>
      <c r="LT160" s="291"/>
      <c r="LU160" s="291"/>
      <c r="LV160" s="291"/>
      <c r="LW160" s="291"/>
      <c r="LX160" s="291"/>
      <c r="LY160" s="291"/>
      <c r="LZ160" s="291"/>
      <c r="MA160" s="291"/>
      <c r="MB160" s="291"/>
      <c r="MC160" s="291"/>
      <c r="MD160" s="291"/>
      <c r="ME160" s="291"/>
      <c r="MF160" s="291"/>
      <c r="MG160" s="291"/>
      <c r="MH160" s="291"/>
      <c r="MI160" s="291"/>
      <c r="MJ160" s="291"/>
      <c r="MK160" s="291"/>
      <c r="ML160" s="291"/>
      <c r="MM160" s="291"/>
      <c r="MN160" s="291"/>
      <c r="MO160" s="291"/>
      <c r="MP160" s="291"/>
      <c r="MQ160" s="291"/>
      <c r="MR160" s="291"/>
      <c r="MS160" s="291"/>
      <c r="MT160" s="291"/>
      <c r="MU160" s="291"/>
      <c r="MV160" s="291"/>
      <c r="MW160" s="291"/>
      <c r="MX160" s="291"/>
      <c r="MY160" s="291"/>
      <c r="MZ160" s="291"/>
      <c r="NA160" s="291"/>
      <c r="NB160" s="291"/>
      <c r="NC160" s="291"/>
      <c r="ND160" s="291"/>
      <c r="NE160" s="291"/>
      <c r="NF160" s="291"/>
      <c r="NG160" s="291"/>
      <c r="NH160" s="291"/>
      <c r="NI160" s="291"/>
      <c r="NJ160" s="291"/>
      <c r="NK160" s="291"/>
      <c r="NL160" s="291"/>
      <c r="NM160" s="291"/>
      <c r="NN160" s="291"/>
      <c r="NO160" s="291"/>
      <c r="NP160" s="291"/>
      <c r="NQ160" s="291"/>
      <c r="NR160" s="291"/>
      <c r="NS160" s="291"/>
      <c r="NT160" s="291"/>
      <c r="NU160" s="291"/>
      <c r="NV160" s="291"/>
      <c r="NW160" s="291"/>
      <c r="NX160" s="291"/>
      <c r="NY160" s="291"/>
      <c r="NZ160" s="291"/>
      <c r="OA160" s="291"/>
      <c r="OB160" s="291"/>
      <c r="OC160" s="291"/>
      <c r="OD160" s="291"/>
      <c r="OE160" s="291"/>
      <c r="OF160" s="291"/>
      <c r="OG160" s="291"/>
      <c r="OH160" s="291"/>
      <c r="OI160" s="291"/>
      <c r="OJ160" s="291"/>
      <c r="OK160" s="291"/>
      <c r="OL160" s="291"/>
      <c r="OM160" s="291"/>
      <c r="ON160" s="291"/>
      <c r="OO160" s="291"/>
      <c r="OP160" s="291"/>
      <c r="OQ160" s="291"/>
      <c r="OR160" s="291"/>
      <c r="OS160" s="291"/>
      <c r="OT160" s="291"/>
      <c r="OU160" s="291"/>
      <c r="OV160" s="291"/>
      <c r="OW160" s="291"/>
    </row>
    <row r="161" spans="1:413" s="257" customFormat="1" ht="22.5" hidden="1" x14ac:dyDescent="0.2">
      <c r="A161" s="291"/>
      <c r="B161" s="524">
        <f t="shared" si="11"/>
        <v>145</v>
      </c>
      <c r="C161" s="510" t="s">
        <v>38</v>
      </c>
      <c r="D161" s="511">
        <v>30446872</v>
      </c>
      <c r="E161" s="511"/>
      <c r="F161" s="512" t="s">
        <v>1308</v>
      </c>
      <c r="G161" s="513" t="s">
        <v>1250</v>
      </c>
      <c r="H161" s="514" t="s">
        <v>1094</v>
      </c>
      <c r="I161" s="515" t="s">
        <v>1118</v>
      </c>
      <c r="J161" s="346" t="s">
        <v>43</v>
      </c>
      <c r="K161" s="526">
        <v>94479</v>
      </c>
      <c r="L161" s="527">
        <v>0</v>
      </c>
      <c r="M161" s="528">
        <v>2079</v>
      </c>
      <c r="N161" s="519">
        <v>0</v>
      </c>
      <c r="O161" s="519">
        <v>0</v>
      </c>
      <c r="P161" s="519">
        <v>0</v>
      </c>
      <c r="Q161" s="519">
        <v>0</v>
      </c>
      <c r="R161" s="519">
        <v>0</v>
      </c>
      <c r="S161" s="520">
        <v>0</v>
      </c>
      <c r="T161" s="18"/>
      <c r="U161" s="18"/>
      <c r="V161" s="18"/>
      <c r="W161" s="18"/>
      <c r="X161" s="18"/>
      <c r="Y161" s="18"/>
      <c r="Z161" s="18">
        <f t="shared" si="8"/>
        <v>0</v>
      </c>
      <c r="AA161" s="309">
        <v>43125</v>
      </c>
      <c r="AB161" s="19">
        <v>5</v>
      </c>
      <c r="AC161" s="521">
        <v>44224</v>
      </c>
      <c r="AD161" s="25">
        <v>44251</v>
      </c>
      <c r="AE161" s="309">
        <v>-23325</v>
      </c>
      <c r="AF161" s="314">
        <v>50</v>
      </c>
      <c r="AG161" s="315">
        <v>44356</v>
      </c>
      <c r="AH161" s="315">
        <v>44377</v>
      </c>
      <c r="AI161" s="309"/>
      <c r="AJ161" s="338"/>
      <c r="AK161" s="315"/>
      <c r="AL161" s="316"/>
      <c r="AM161" s="309"/>
      <c r="AN161" s="338"/>
      <c r="AO161" s="21"/>
      <c r="AP161" s="25"/>
      <c r="AQ161" s="309"/>
      <c r="AR161" s="19"/>
      <c r="AS161" s="21"/>
      <c r="AT161" s="25"/>
      <c r="AU161" s="522">
        <f t="shared" si="9"/>
        <v>19800</v>
      </c>
      <c r="AV161" s="311">
        <f t="shared" si="10"/>
        <v>19800</v>
      </c>
      <c r="AW161" s="305"/>
      <c r="AX161" s="291"/>
      <c r="AY161" s="291"/>
      <c r="AZ161" s="291"/>
      <c r="BA161" s="291"/>
      <c r="BB161" s="291"/>
      <c r="BC161" s="291"/>
      <c r="BD161" s="291"/>
      <c r="BE161" s="291"/>
      <c r="BF161" s="291"/>
      <c r="BG161" s="291"/>
      <c r="BH161" s="291"/>
      <c r="BI161" s="291"/>
      <c r="BJ161" s="291"/>
      <c r="BK161" s="291"/>
      <c r="BL161" s="291"/>
      <c r="BM161" s="291"/>
      <c r="BN161" s="291"/>
      <c r="BO161" s="291"/>
      <c r="BP161" s="291"/>
      <c r="BQ161" s="291"/>
      <c r="BR161" s="291"/>
      <c r="BS161" s="291"/>
      <c r="BT161" s="291"/>
      <c r="BU161" s="291"/>
      <c r="BV161" s="291"/>
      <c r="BW161" s="291"/>
      <c r="BX161" s="291"/>
      <c r="BY161" s="291"/>
      <c r="BZ161" s="291"/>
      <c r="CA161" s="291"/>
      <c r="CB161" s="291"/>
      <c r="CC161" s="291"/>
      <c r="CD161" s="291"/>
      <c r="CE161" s="291"/>
      <c r="CF161" s="291"/>
      <c r="CG161" s="291"/>
      <c r="CH161" s="291"/>
      <c r="CI161" s="291"/>
      <c r="CJ161" s="291"/>
      <c r="CK161" s="291"/>
      <c r="CL161" s="291"/>
      <c r="CM161" s="291"/>
      <c r="CN161" s="291"/>
      <c r="CO161" s="291"/>
      <c r="CP161" s="291"/>
      <c r="CQ161" s="291"/>
      <c r="CR161" s="291"/>
      <c r="CS161" s="291"/>
      <c r="CT161" s="291"/>
      <c r="CU161" s="291"/>
      <c r="CV161" s="291"/>
      <c r="CW161" s="291"/>
      <c r="CX161" s="291"/>
      <c r="CY161" s="291"/>
      <c r="CZ161" s="291"/>
      <c r="DA161" s="291"/>
      <c r="DB161" s="291"/>
      <c r="DC161" s="291"/>
      <c r="DD161" s="291"/>
      <c r="DE161" s="291"/>
      <c r="DF161" s="291"/>
      <c r="DG161" s="291"/>
      <c r="DH161" s="291"/>
      <c r="DI161" s="291"/>
      <c r="DJ161" s="291"/>
      <c r="DK161" s="291"/>
      <c r="DL161" s="291"/>
      <c r="DM161" s="291"/>
      <c r="DN161" s="291"/>
      <c r="DO161" s="291"/>
      <c r="DP161" s="291"/>
      <c r="DQ161" s="291"/>
      <c r="DR161" s="291"/>
      <c r="DS161" s="291"/>
      <c r="DT161" s="291"/>
      <c r="DU161" s="291"/>
      <c r="DV161" s="291"/>
      <c r="DW161" s="291"/>
      <c r="DX161" s="291"/>
      <c r="DY161" s="291"/>
      <c r="DZ161" s="291"/>
      <c r="EA161" s="291"/>
      <c r="EB161" s="291"/>
      <c r="EC161" s="291"/>
      <c r="ED161" s="291"/>
      <c r="EE161" s="291"/>
      <c r="EF161" s="291"/>
      <c r="EG161" s="291"/>
      <c r="EH161" s="291"/>
      <c r="EI161" s="291"/>
      <c r="EJ161" s="291"/>
      <c r="EK161" s="291"/>
      <c r="EL161" s="291"/>
      <c r="EM161" s="291"/>
      <c r="EN161" s="291"/>
      <c r="EO161" s="291"/>
      <c r="EP161" s="291"/>
      <c r="EQ161" s="291"/>
      <c r="ER161" s="291"/>
      <c r="ES161" s="291"/>
      <c r="ET161" s="291"/>
      <c r="EU161" s="291"/>
      <c r="EV161" s="291"/>
      <c r="EW161" s="291"/>
      <c r="EX161" s="291"/>
      <c r="EY161" s="291"/>
      <c r="EZ161" s="291"/>
      <c r="FA161" s="291"/>
      <c r="FB161" s="291"/>
      <c r="FC161" s="291"/>
      <c r="FD161" s="291"/>
      <c r="FE161" s="291"/>
      <c r="FF161" s="291"/>
      <c r="FG161" s="291"/>
      <c r="FH161" s="291"/>
      <c r="FI161" s="291"/>
      <c r="FJ161" s="291"/>
      <c r="FK161" s="291"/>
      <c r="FL161" s="291"/>
      <c r="FM161" s="291"/>
      <c r="FN161" s="291"/>
      <c r="FO161" s="291"/>
      <c r="FP161" s="291"/>
      <c r="FQ161" s="291"/>
      <c r="FR161" s="291"/>
      <c r="FS161" s="291"/>
      <c r="FT161" s="291"/>
      <c r="FU161" s="291"/>
      <c r="FV161" s="291"/>
      <c r="FW161" s="291"/>
      <c r="FX161" s="291"/>
      <c r="FY161" s="291"/>
      <c r="FZ161" s="291"/>
      <c r="GA161" s="291"/>
      <c r="GB161" s="291"/>
      <c r="GC161" s="291"/>
      <c r="GD161" s="291"/>
      <c r="GE161" s="291"/>
      <c r="GF161" s="291"/>
      <c r="GG161" s="291"/>
      <c r="GH161" s="291"/>
      <c r="GI161" s="291"/>
      <c r="GJ161" s="291"/>
      <c r="GK161" s="291"/>
      <c r="GL161" s="291"/>
      <c r="GM161" s="291"/>
      <c r="GN161" s="291"/>
      <c r="GO161" s="291"/>
      <c r="GP161" s="291"/>
      <c r="GQ161" s="291"/>
      <c r="GR161" s="291"/>
      <c r="GS161" s="291"/>
      <c r="GT161" s="291"/>
      <c r="GU161" s="291"/>
      <c r="GV161" s="291"/>
      <c r="GW161" s="291"/>
      <c r="GX161" s="291"/>
      <c r="GY161" s="291"/>
      <c r="GZ161" s="291"/>
      <c r="HA161" s="291"/>
      <c r="HB161" s="291"/>
      <c r="HC161" s="291"/>
      <c r="HD161" s="291"/>
      <c r="HE161" s="291"/>
      <c r="HF161" s="291"/>
      <c r="HG161" s="291"/>
      <c r="HH161" s="291"/>
      <c r="HI161" s="291"/>
      <c r="HJ161" s="291"/>
      <c r="HK161" s="291"/>
      <c r="HL161" s="291"/>
      <c r="HM161" s="291"/>
      <c r="HN161" s="291"/>
      <c r="HO161" s="291"/>
      <c r="HP161" s="291"/>
      <c r="HQ161" s="291"/>
      <c r="HR161" s="291"/>
      <c r="HS161" s="291"/>
      <c r="HT161" s="291"/>
      <c r="HU161" s="291"/>
      <c r="HV161" s="291"/>
      <c r="HW161" s="291"/>
      <c r="HX161" s="291"/>
      <c r="HY161" s="291"/>
      <c r="HZ161" s="291"/>
      <c r="IA161" s="291"/>
      <c r="IB161" s="291"/>
      <c r="IC161" s="291"/>
      <c r="ID161" s="291"/>
      <c r="IE161" s="291"/>
      <c r="IF161" s="291"/>
      <c r="IG161" s="291"/>
      <c r="IH161" s="291"/>
      <c r="II161" s="291"/>
      <c r="IJ161" s="291"/>
      <c r="IK161" s="291"/>
      <c r="IL161" s="291"/>
      <c r="IM161" s="291"/>
      <c r="IN161" s="291"/>
      <c r="IO161" s="291"/>
      <c r="IP161" s="291"/>
      <c r="IQ161" s="291"/>
      <c r="IR161" s="291"/>
      <c r="IS161" s="291"/>
      <c r="IT161" s="291"/>
      <c r="IU161" s="291"/>
      <c r="IV161" s="291"/>
      <c r="IW161" s="291"/>
      <c r="IX161" s="291"/>
      <c r="IY161" s="291"/>
      <c r="IZ161" s="291"/>
      <c r="JA161" s="291"/>
      <c r="JB161" s="291"/>
      <c r="JC161" s="291"/>
      <c r="JD161" s="291"/>
      <c r="JE161" s="291"/>
      <c r="JF161" s="291"/>
      <c r="JG161" s="291"/>
      <c r="JH161" s="291"/>
      <c r="JI161" s="291"/>
      <c r="JJ161" s="291"/>
      <c r="JK161" s="291"/>
      <c r="JL161" s="291"/>
      <c r="JM161" s="291"/>
      <c r="JN161" s="291"/>
      <c r="JO161" s="291"/>
      <c r="JP161" s="291"/>
      <c r="JQ161" s="291"/>
      <c r="JR161" s="291"/>
      <c r="JS161" s="291"/>
      <c r="JT161" s="291"/>
      <c r="JU161" s="291"/>
      <c r="JV161" s="291"/>
      <c r="JW161" s="291"/>
      <c r="JX161" s="291"/>
      <c r="JY161" s="291"/>
      <c r="JZ161" s="291"/>
      <c r="KA161" s="291"/>
      <c r="KB161" s="291"/>
      <c r="KC161" s="291"/>
      <c r="KD161" s="291"/>
      <c r="KE161" s="291"/>
      <c r="KF161" s="291"/>
      <c r="KG161" s="291"/>
      <c r="KH161" s="291"/>
      <c r="KI161" s="291"/>
      <c r="KJ161" s="291"/>
      <c r="KK161" s="291"/>
      <c r="KL161" s="291"/>
      <c r="KM161" s="291"/>
      <c r="KN161" s="291"/>
      <c r="KO161" s="291"/>
      <c r="KP161" s="291"/>
      <c r="KQ161" s="291"/>
      <c r="KR161" s="291"/>
      <c r="KS161" s="291"/>
      <c r="KT161" s="291"/>
      <c r="KU161" s="291"/>
      <c r="KV161" s="291"/>
      <c r="KW161" s="291"/>
      <c r="KX161" s="291"/>
      <c r="KY161" s="291"/>
      <c r="KZ161" s="291"/>
      <c r="LA161" s="291"/>
      <c r="LB161" s="291"/>
      <c r="LC161" s="291"/>
      <c r="LD161" s="291"/>
      <c r="LE161" s="291"/>
      <c r="LF161" s="291"/>
      <c r="LG161" s="291"/>
      <c r="LH161" s="291"/>
      <c r="LI161" s="291"/>
      <c r="LJ161" s="291"/>
      <c r="LK161" s="291"/>
      <c r="LL161" s="291"/>
      <c r="LM161" s="291"/>
      <c r="LN161" s="291"/>
      <c r="LO161" s="291"/>
      <c r="LP161" s="291"/>
      <c r="LQ161" s="291"/>
      <c r="LR161" s="291"/>
      <c r="LS161" s="291"/>
      <c r="LT161" s="291"/>
      <c r="LU161" s="291"/>
      <c r="LV161" s="291"/>
      <c r="LW161" s="291"/>
      <c r="LX161" s="291"/>
      <c r="LY161" s="291"/>
      <c r="LZ161" s="291"/>
      <c r="MA161" s="291"/>
      <c r="MB161" s="291"/>
      <c r="MC161" s="291"/>
      <c r="MD161" s="291"/>
      <c r="ME161" s="291"/>
      <c r="MF161" s="291"/>
      <c r="MG161" s="291"/>
      <c r="MH161" s="291"/>
      <c r="MI161" s="291"/>
      <c r="MJ161" s="291"/>
      <c r="MK161" s="291"/>
      <c r="ML161" s="291"/>
      <c r="MM161" s="291"/>
      <c r="MN161" s="291"/>
      <c r="MO161" s="291"/>
      <c r="MP161" s="291"/>
      <c r="MQ161" s="291"/>
      <c r="MR161" s="291"/>
      <c r="MS161" s="291"/>
      <c r="MT161" s="291"/>
      <c r="MU161" s="291"/>
      <c r="MV161" s="291"/>
      <c r="MW161" s="291"/>
      <c r="MX161" s="291"/>
      <c r="MY161" s="291"/>
      <c r="MZ161" s="291"/>
      <c r="NA161" s="291"/>
      <c r="NB161" s="291"/>
      <c r="NC161" s="291"/>
      <c r="ND161" s="291"/>
      <c r="NE161" s="291"/>
      <c r="NF161" s="291"/>
      <c r="NG161" s="291"/>
      <c r="NH161" s="291"/>
      <c r="NI161" s="291"/>
      <c r="NJ161" s="291"/>
      <c r="NK161" s="291"/>
      <c r="NL161" s="291"/>
      <c r="NM161" s="291"/>
      <c r="NN161" s="291"/>
      <c r="NO161" s="291"/>
      <c r="NP161" s="291"/>
      <c r="NQ161" s="291"/>
      <c r="NR161" s="291"/>
      <c r="NS161" s="291"/>
      <c r="NT161" s="291"/>
      <c r="NU161" s="291"/>
      <c r="NV161" s="291"/>
      <c r="NW161" s="291"/>
      <c r="NX161" s="291"/>
      <c r="NY161" s="291"/>
      <c r="NZ161" s="291"/>
      <c r="OA161" s="291"/>
      <c r="OB161" s="291"/>
      <c r="OC161" s="291"/>
      <c r="OD161" s="291"/>
      <c r="OE161" s="291"/>
      <c r="OF161" s="291"/>
      <c r="OG161" s="291"/>
      <c r="OH161" s="291"/>
      <c r="OI161" s="291"/>
      <c r="OJ161" s="291"/>
      <c r="OK161" s="291"/>
      <c r="OL161" s="291"/>
      <c r="OM161" s="291"/>
      <c r="ON161" s="291"/>
      <c r="OO161" s="291"/>
      <c r="OP161" s="291"/>
      <c r="OQ161" s="291"/>
      <c r="OR161" s="291"/>
      <c r="OS161" s="291"/>
      <c r="OT161" s="291"/>
      <c r="OU161" s="291"/>
      <c r="OV161" s="291"/>
      <c r="OW161" s="291"/>
    </row>
    <row r="162" spans="1:413" s="257" customFormat="1" hidden="1" x14ac:dyDescent="0.2">
      <c r="A162" s="291"/>
      <c r="B162" s="524">
        <f t="shared" si="11"/>
        <v>146</v>
      </c>
      <c r="C162" s="510" t="s">
        <v>38</v>
      </c>
      <c r="D162" s="511">
        <v>30450779</v>
      </c>
      <c r="E162" s="511"/>
      <c r="F162" s="512" t="s">
        <v>1309</v>
      </c>
      <c r="G162" s="513" t="s">
        <v>45</v>
      </c>
      <c r="H162" s="514" t="s">
        <v>1094</v>
      </c>
      <c r="I162" s="515" t="s">
        <v>1120</v>
      </c>
      <c r="J162" s="346" t="s">
        <v>42</v>
      </c>
      <c r="K162" s="526">
        <v>1926223</v>
      </c>
      <c r="L162" s="527">
        <v>891666</v>
      </c>
      <c r="M162" s="528">
        <v>234557</v>
      </c>
      <c r="N162" s="520">
        <v>0</v>
      </c>
      <c r="O162" s="520">
        <v>0</v>
      </c>
      <c r="P162" s="520">
        <v>0</v>
      </c>
      <c r="Q162" s="520">
        <v>0</v>
      </c>
      <c r="R162" s="520">
        <v>0</v>
      </c>
      <c r="S162" s="520">
        <v>0</v>
      </c>
      <c r="T162" s="18"/>
      <c r="U162" s="18"/>
      <c r="V162" s="18"/>
      <c r="W162" s="18"/>
      <c r="X162" s="18"/>
      <c r="Y162" s="18"/>
      <c r="Z162" s="18">
        <f t="shared" si="8"/>
        <v>0</v>
      </c>
      <c r="AA162" s="309">
        <v>800000</v>
      </c>
      <c r="AB162" s="19">
        <v>9</v>
      </c>
      <c r="AC162" s="521">
        <v>44232</v>
      </c>
      <c r="AD162" s="25">
        <v>44251</v>
      </c>
      <c r="AE162" s="309"/>
      <c r="AF162" s="314"/>
      <c r="AG162" s="315"/>
      <c r="AH162" s="316"/>
      <c r="AI162" s="309"/>
      <c r="AJ162" s="338"/>
      <c r="AK162" s="315"/>
      <c r="AL162" s="316"/>
      <c r="AM162" s="309"/>
      <c r="AN162" s="338"/>
      <c r="AO162" s="21"/>
      <c r="AP162" s="25"/>
      <c r="AQ162" s="309"/>
      <c r="AR162" s="19"/>
      <c r="AS162" s="21"/>
      <c r="AT162" s="25"/>
      <c r="AU162" s="522">
        <f t="shared" si="9"/>
        <v>800000</v>
      </c>
      <c r="AV162" s="311">
        <f t="shared" si="10"/>
        <v>800000</v>
      </c>
      <c r="AW162" s="305"/>
      <c r="AX162" s="291"/>
      <c r="AY162" s="291"/>
      <c r="AZ162" s="291"/>
      <c r="BA162" s="291"/>
      <c r="BB162" s="291"/>
      <c r="BC162" s="291"/>
      <c r="BD162" s="291"/>
      <c r="BE162" s="291"/>
      <c r="BF162" s="291"/>
      <c r="BG162" s="291"/>
      <c r="BH162" s="291"/>
      <c r="BI162" s="291"/>
      <c r="BJ162" s="291"/>
      <c r="BK162" s="291"/>
      <c r="BL162" s="291"/>
      <c r="BM162" s="291"/>
      <c r="BN162" s="291"/>
      <c r="BO162" s="291"/>
      <c r="BP162" s="291"/>
      <c r="BQ162" s="291"/>
      <c r="BR162" s="291"/>
      <c r="BS162" s="291"/>
      <c r="BT162" s="291"/>
      <c r="BU162" s="291"/>
      <c r="BV162" s="291"/>
      <c r="BW162" s="291"/>
      <c r="BX162" s="291"/>
      <c r="BY162" s="291"/>
      <c r="BZ162" s="291"/>
      <c r="CA162" s="291"/>
      <c r="CB162" s="291"/>
      <c r="CC162" s="291"/>
      <c r="CD162" s="291"/>
      <c r="CE162" s="291"/>
      <c r="CF162" s="291"/>
      <c r="CG162" s="291"/>
      <c r="CH162" s="291"/>
      <c r="CI162" s="291"/>
      <c r="CJ162" s="291"/>
      <c r="CK162" s="291"/>
      <c r="CL162" s="291"/>
      <c r="CM162" s="291"/>
      <c r="CN162" s="291"/>
      <c r="CO162" s="291"/>
      <c r="CP162" s="291"/>
      <c r="CQ162" s="291"/>
      <c r="CR162" s="291"/>
      <c r="CS162" s="291"/>
      <c r="CT162" s="291"/>
      <c r="CU162" s="291"/>
      <c r="CV162" s="291"/>
      <c r="CW162" s="291"/>
      <c r="CX162" s="291"/>
      <c r="CY162" s="291"/>
      <c r="CZ162" s="291"/>
      <c r="DA162" s="291"/>
      <c r="DB162" s="291"/>
      <c r="DC162" s="291"/>
      <c r="DD162" s="291"/>
      <c r="DE162" s="291"/>
      <c r="DF162" s="291"/>
      <c r="DG162" s="291"/>
      <c r="DH162" s="291"/>
      <c r="DI162" s="291"/>
      <c r="DJ162" s="291"/>
      <c r="DK162" s="291"/>
      <c r="DL162" s="291"/>
      <c r="DM162" s="291"/>
      <c r="DN162" s="291"/>
      <c r="DO162" s="291"/>
      <c r="DP162" s="291"/>
      <c r="DQ162" s="291"/>
      <c r="DR162" s="291"/>
      <c r="DS162" s="291"/>
      <c r="DT162" s="291"/>
      <c r="DU162" s="291"/>
      <c r="DV162" s="291"/>
      <c r="DW162" s="291"/>
      <c r="DX162" s="291"/>
      <c r="DY162" s="291"/>
      <c r="DZ162" s="291"/>
      <c r="EA162" s="291"/>
      <c r="EB162" s="291"/>
      <c r="EC162" s="291"/>
      <c r="ED162" s="291"/>
      <c r="EE162" s="291"/>
      <c r="EF162" s="291"/>
      <c r="EG162" s="291"/>
      <c r="EH162" s="291"/>
      <c r="EI162" s="291"/>
      <c r="EJ162" s="291"/>
      <c r="EK162" s="291"/>
      <c r="EL162" s="291"/>
      <c r="EM162" s="291"/>
      <c r="EN162" s="291"/>
      <c r="EO162" s="291"/>
      <c r="EP162" s="291"/>
      <c r="EQ162" s="291"/>
      <c r="ER162" s="291"/>
      <c r="ES162" s="291"/>
      <c r="ET162" s="291"/>
      <c r="EU162" s="291"/>
      <c r="EV162" s="291"/>
      <c r="EW162" s="291"/>
      <c r="EX162" s="291"/>
      <c r="EY162" s="291"/>
      <c r="EZ162" s="291"/>
      <c r="FA162" s="291"/>
      <c r="FB162" s="291"/>
      <c r="FC162" s="291"/>
      <c r="FD162" s="291"/>
      <c r="FE162" s="291"/>
      <c r="FF162" s="291"/>
      <c r="FG162" s="291"/>
      <c r="FH162" s="291"/>
      <c r="FI162" s="291"/>
      <c r="FJ162" s="291"/>
      <c r="FK162" s="291"/>
      <c r="FL162" s="291"/>
      <c r="FM162" s="291"/>
      <c r="FN162" s="291"/>
      <c r="FO162" s="291"/>
      <c r="FP162" s="291"/>
      <c r="FQ162" s="291"/>
      <c r="FR162" s="291"/>
      <c r="FS162" s="291"/>
      <c r="FT162" s="291"/>
      <c r="FU162" s="291"/>
      <c r="FV162" s="291"/>
      <c r="FW162" s="291"/>
      <c r="FX162" s="291"/>
      <c r="FY162" s="291"/>
      <c r="FZ162" s="291"/>
      <c r="GA162" s="291"/>
      <c r="GB162" s="291"/>
      <c r="GC162" s="291"/>
      <c r="GD162" s="291"/>
      <c r="GE162" s="291"/>
      <c r="GF162" s="291"/>
      <c r="GG162" s="291"/>
      <c r="GH162" s="291"/>
      <c r="GI162" s="291"/>
      <c r="GJ162" s="291"/>
      <c r="GK162" s="291"/>
      <c r="GL162" s="291"/>
      <c r="GM162" s="291"/>
      <c r="GN162" s="291"/>
      <c r="GO162" s="291"/>
      <c r="GP162" s="291"/>
      <c r="GQ162" s="291"/>
      <c r="GR162" s="291"/>
      <c r="GS162" s="291"/>
      <c r="GT162" s="291"/>
      <c r="GU162" s="291"/>
      <c r="GV162" s="291"/>
      <c r="GW162" s="291"/>
      <c r="GX162" s="291"/>
      <c r="GY162" s="291"/>
      <c r="GZ162" s="291"/>
      <c r="HA162" s="291"/>
      <c r="HB162" s="291"/>
      <c r="HC162" s="291"/>
      <c r="HD162" s="291"/>
      <c r="HE162" s="291"/>
      <c r="HF162" s="291"/>
      <c r="HG162" s="291"/>
      <c r="HH162" s="291"/>
      <c r="HI162" s="291"/>
      <c r="HJ162" s="291"/>
      <c r="HK162" s="291"/>
      <c r="HL162" s="291"/>
      <c r="HM162" s="291"/>
      <c r="HN162" s="291"/>
      <c r="HO162" s="291"/>
      <c r="HP162" s="291"/>
      <c r="HQ162" s="291"/>
      <c r="HR162" s="291"/>
      <c r="HS162" s="291"/>
      <c r="HT162" s="291"/>
      <c r="HU162" s="291"/>
      <c r="HV162" s="291"/>
      <c r="HW162" s="291"/>
      <c r="HX162" s="291"/>
      <c r="HY162" s="291"/>
      <c r="HZ162" s="291"/>
      <c r="IA162" s="291"/>
      <c r="IB162" s="291"/>
      <c r="IC162" s="291"/>
      <c r="ID162" s="291"/>
      <c r="IE162" s="291"/>
      <c r="IF162" s="291"/>
      <c r="IG162" s="291"/>
      <c r="IH162" s="291"/>
      <c r="II162" s="291"/>
      <c r="IJ162" s="291"/>
      <c r="IK162" s="291"/>
      <c r="IL162" s="291"/>
      <c r="IM162" s="291"/>
      <c r="IN162" s="291"/>
      <c r="IO162" s="291"/>
      <c r="IP162" s="291"/>
      <c r="IQ162" s="291"/>
      <c r="IR162" s="291"/>
      <c r="IS162" s="291"/>
      <c r="IT162" s="291"/>
      <c r="IU162" s="291"/>
      <c r="IV162" s="291"/>
      <c r="IW162" s="291"/>
      <c r="IX162" s="291"/>
      <c r="IY162" s="291"/>
      <c r="IZ162" s="291"/>
      <c r="JA162" s="291"/>
      <c r="JB162" s="291"/>
      <c r="JC162" s="291"/>
      <c r="JD162" s="291"/>
      <c r="JE162" s="291"/>
      <c r="JF162" s="291"/>
      <c r="JG162" s="291"/>
      <c r="JH162" s="291"/>
      <c r="JI162" s="291"/>
      <c r="JJ162" s="291"/>
      <c r="JK162" s="291"/>
      <c r="JL162" s="291"/>
      <c r="JM162" s="291"/>
      <c r="JN162" s="291"/>
      <c r="JO162" s="291"/>
      <c r="JP162" s="291"/>
      <c r="JQ162" s="291"/>
      <c r="JR162" s="291"/>
      <c r="JS162" s="291"/>
      <c r="JT162" s="291"/>
      <c r="JU162" s="291"/>
      <c r="JV162" s="291"/>
      <c r="JW162" s="291"/>
      <c r="JX162" s="291"/>
      <c r="JY162" s="291"/>
      <c r="JZ162" s="291"/>
      <c r="KA162" s="291"/>
      <c r="KB162" s="291"/>
      <c r="KC162" s="291"/>
      <c r="KD162" s="291"/>
      <c r="KE162" s="291"/>
      <c r="KF162" s="291"/>
      <c r="KG162" s="291"/>
      <c r="KH162" s="291"/>
      <c r="KI162" s="291"/>
      <c r="KJ162" s="291"/>
      <c r="KK162" s="291"/>
      <c r="KL162" s="291"/>
      <c r="KM162" s="291"/>
      <c r="KN162" s="291"/>
      <c r="KO162" s="291"/>
      <c r="KP162" s="291"/>
      <c r="KQ162" s="291"/>
      <c r="KR162" s="291"/>
      <c r="KS162" s="291"/>
      <c r="KT162" s="291"/>
      <c r="KU162" s="291"/>
      <c r="KV162" s="291"/>
      <c r="KW162" s="291"/>
      <c r="KX162" s="291"/>
      <c r="KY162" s="291"/>
      <c r="KZ162" s="291"/>
      <c r="LA162" s="291"/>
      <c r="LB162" s="291"/>
      <c r="LC162" s="291"/>
      <c r="LD162" s="291"/>
      <c r="LE162" s="291"/>
      <c r="LF162" s="291"/>
      <c r="LG162" s="291"/>
      <c r="LH162" s="291"/>
      <c r="LI162" s="291"/>
      <c r="LJ162" s="291"/>
      <c r="LK162" s="291"/>
      <c r="LL162" s="291"/>
      <c r="LM162" s="291"/>
      <c r="LN162" s="291"/>
      <c r="LO162" s="291"/>
      <c r="LP162" s="291"/>
      <c r="LQ162" s="291"/>
      <c r="LR162" s="291"/>
      <c r="LS162" s="291"/>
      <c r="LT162" s="291"/>
      <c r="LU162" s="291"/>
      <c r="LV162" s="291"/>
      <c r="LW162" s="291"/>
      <c r="LX162" s="291"/>
      <c r="LY162" s="291"/>
      <c r="LZ162" s="291"/>
      <c r="MA162" s="291"/>
      <c r="MB162" s="291"/>
      <c r="MC162" s="291"/>
      <c r="MD162" s="291"/>
      <c r="ME162" s="291"/>
      <c r="MF162" s="291"/>
      <c r="MG162" s="291"/>
      <c r="MH162" s="291"/>
      <c r="MI162" s="291"/>
      <c r="MJ162" s="291"/>
      <c r="MK162" s="291"/>
      <c r="ML162" s="291"/>
      <c r="MM162" s="291"/>
      <c r="MN162" s="291"/>
      <c r="MO162" s="291"/>
      <c r="MP162" s="291"/>
      <c r="MQ162" s="291"/>
      <c r="MR162" s="291"/>
      <c r="MS162" s="291"/>
      <c r="MT162" s="291"/>
      <c r="MU162" s="291"/>
      <c r="MV162" s="291"/>
      <c r="MW162" s="291"/>
      <c r="MX162" s="291"/>
      <c r="MY162" s="291"/>
      <c r="MZ162" s="291"/>
      <c r="NA162" s="291"/>
      <c r="NB162" s="291"/>
      <c r="NC162" s="291"/>
      <c r="ND162" s="291"/>
      <c r="NE162" s="291"/>
      <c r="NF162" s="291"/>
      <c r="NG162" s="291"/>
      <c r="NH162" s="291"/>
      <c r="NI162" s="291"/>
      <c r="NJ162" s="291"/>
      <c r="NK162" s="291"/>
      <c r="NL162" s="291"/>
      <c r="NM162" s="291"/>
      <c r="NN162" s="291"/>
      <c r="NO162" s="291"/>
      <c r="NP162" s="291"/>
      <c r="NQ162" s="291"/>
      <c r="NR162" s="291"/>
      <c r="NS162" s="291"/>
      <c r="NT162" s="291"/>
      <c r="NU162" s="291"/>
      <c r="NV162" s="291"/>
      <c r="NW162" s="291"/>
      <c r="NX162" s="291"/>
      <c r="NY162" s="291"/>
      <c r="NZ162" s="291"/>
      <c r="OA162" s="291"/>
      <c r="OB162" s="291"/>
      <c r="OC162" s="291"/>
      <c r="OD162" s="291"/>
      <c r="OE162" s="291"/>
      <c r="OF162" s="291"/>
      <c r="OG162" s="291"/>
      <c r="OH162" s="291"/>
      <c r="OI162" s="291"/>
      <c r="OJ162" s="291"/>
      <c r="OK162" s="291"/>
      <c r="OL162" s="291"/>
      <c r="OM162" s="291"/>
      <c r="ON162" s="291"/>
      <c r="OO162" s="291"/>
      <c r="OP162" s="291"/>
      <c r="OQ162" s="291"/>
      <c r="OR162" s="291"/>
      <c r="OS162" s="291"/>
      <c r="OT162" s="291"/>
      <c r="OU162" s="291"/>
      <c r="OV162" s="291"/>
      <c r="OW162" s="291"/>
    </row>
    <row r="163" spans="1:413" s="257" customFormat="1" hidden="1" x14ac:dyDescent="0.2">
      <c r="A163" s="291"/>
      <c r="B163" s="524">
        <f t="shared" si="11"/>
        <v>147</v>
      </c>
      <c r="C163" s="510" t="s">
        <v>38</v>
      </c>
      <c r="D163" s="511">
        <v>30452080</v>
      </c>
      <c r="E163" s="511"/>
      <c r="F163" s="512" t="s">
        <v>1310</v>
      </c>
      <c r="G163" s="513" t="s">
        <v>45</v>
      </c>
      <c r="H163" s="514" t="s">
        <v>1094</v>
      </c>
      <c r="I163" s="515" t="s">
        <v>1127</v>
      </c>
      <c r="J163" s="346" t="s">
        <v>42</v>
      </c>
      <c r="K163" s="526">
        <v>3223520</v>
      </c>
      <c r="L163" s="527">
        <v>568387</v>
      </c>
      <c r="M163" s="528">
        <v>1055132</v>
      </c>
      <c r="N163" s="520">
        <v>0</v>
      </c>
      <c r="O163" s="520">
        <v>0</v>
      </c>
      <c r="P163" s="520">
        <v>471783</v>
      </c>
      <c r="Q163" s="520">
        <v>149127</v>
      </c>
      <c r="R163" s="520">
        <v>64452</v>
      </c>
      <c r="S163" s="520">
        <v>0</v>
      </c>
      <c r="T163" s="18"/>
      <c r="U163" s="18"/>
      <c r="V163" s="18"/>
      <c r="W163" s="18"/>
      <c r="X163" s="18"/>
      <c r="Y163" s="18"/>
      <c r="Z163" s="18">
        <f t="shared" si="8"/>
        <v>685362</v>
      </c>
      <c r="AA163" s="309">
        <v>1600001</v>
      </c>
      <c r="AB163" s="19">
        <v>11</v>
      </c>
      <c r="AC163" s="521">
        <v>44237</v>
      </c>
      <c r="AD163" s="25">
        <v>44251</v>
      </c>
      <c r="AE163" s="309">
        <v>600000</v>
      </c>
      <c r="AF163" s="314">
        <v>39</v>
      </c>
      <c r="AG163" s="315">
        <v>44334</v>
      </c>
      <c r="AH163" s="315">
        <v>44342</v>
      </c>
      <c r="AI163" s="309"/>
      <c r="AJ163" s="338"/>
      <c r="AK163" s="315"/>
      <c r="AL163" s="316"/>
      <c r="AM163" s="309"/>
      <c r="AN163" s="338"/>
      <c r="AO163" s="21"/>
      <c r="AP163" s="25"/>
      <c r="AQ163" s="309"/>
      <c r="AR163" s="19"/>
      <c r="AS163" s="21"/>
      <c r="AT163" s="25"/>
      <c r="AU163" s="522">
        <f t="shared" si="9"/>
        <v>2200001</v>
      </c>
      <c r="AV163" s="311">
        <f t="shared" si="10"/>
        <v>1514639</v>
      </c>
      <c r="AW163" s="305"/>
      <c r="AX163" s="291"/>
      <c r="AY163" s="291"/>
      <c r="AZ163" s="291"/>
      <c r="BA163" s="291"/>
      <c r="BB163" s="291"/>
      <c r="BC163" s="291"/>
      <c r="BD163" s="291"/>
      <c r="BE163" s="291"/>
      <c r="BF163" s="291"/>
      <c r="BG163" s="291"/>
      <c r="BH163" s="291"/>
      <c r="BI163" s="291"/>
      <c r="BJ163" s="291"/>
      <c r="BK163" s="291"/>
      <c r="BL163" s="291"/>
      <c r="BM163" s="291"/>
      <c r="BN163" s="291"/>
      <c r="BO163" s="291"/>
      <c r="BP163" s="291"/>
      <c r="BQ163" s="291"/>
      <c r="BR163" s="291"/>
      <c r="BS163" s="291"/>
      <c r="BT163" s="291"/>
      <c r="BU163" s="291"/>
      <c r="BV163" s="291"/>
      <c r="BW163" s="291"/>
      <c r="BX163" s="291"/>
      <c r="BY163" s="291"/>
      <c r="BZ163" s="291"/>
      <c r="CA163" s="291"/>
      <c r="CB163" s="291"/>
      <c r="CC163" s="291"/>
      <c r="CD163" s="291"/>
      <c r="CE163" s="291"/>
      <c r="CF163" s="291"/>
      <c r="CG163" s="291"/>
      <c r="CH163" s="291"/>
      <c r="CI163" s="291"/>
      <c r="CJ163" s="291"/>
      <c r="CK163" s="291"/>
      <c r="CL163" s="291"/>
      <c r="CM163" s="291"/>
      <c r="CN163" s="291"/>
      <c r="CO163" s="291"/>
      <c r="CP163" s="291"/>
      <c r="CQ163" s="291"/>
      <c r="CR163" s="291"/>
      <c r="CS163" s="291"/>
      <c r="CT163" s="291"/>
      <c r="CU163" s="291"/>
      <c r="CV163" s="291"/>
      <c r="CW163" s="291"/>
      <c r="CX163" s="291"/>
      <c r="CY163" s="291"/>
      <c r="CZ163" s="291"/>
      <c r="DA163" s="291"/>
      <c r="DB163" s="291"/>
      <c r="DC163" s="291"/>
      <c r="DD163" s="291"/>
      <c r="DE163" s="291"/>
      <c r="DF163" s="291"/>
      <c r="DG163" s="291"/>
      <c r="DH163" s="291"/>
      <c r="DI163" s="291"/>
      <c r="DJ163" s="291"/>
      <c r="DK163" s="291"/>
      <c r="DL163" s="291"/>
      <c r="DM163" s="291"/>
      <c r="DN163" s="291"/>
      <c r="DO163" s="291"/>
      <c r="DP163" s="291"/>
      <c r="DQ163" s="291"/>
      <c r="DR163" s="291"/>
      <c r="DS163" s="291"/>
      <c r="DT163" s="291"/>
      <c r="DU163" s="291"/>
      <c r="DV163" s="291"/>
      <c r="DW163" s="291"/>
      <c r="DX163" s="291"/>
      <c r="DY163" s="291"/>
      <c r="DZ163" s="291"/>
      <c r="EA163" s="291"/>
      <c r="EB163" s="291"/>
      <c r="EC163" s="291"/>
      <c r="ED163" s="291"/>
      <c r="EE163" s="291"/>
      <c r="EF163" s="291"/>
      <c r="EG163" s="291"/>
      <c r="EH163" s="291"/>
      <c r="EI163" s="291"/>
      <c r="EJ163" s="291"/>
      <c r="EK163" s="291"/>
      <c r="EL163" s="291"/>
      <c r="EM163" s="291"/>
      <c r="EN163" s="291"/>
      <c r="EO163" s="291"/>
      <c r="EP163" s="291"/>
      <c r="EQ163" s="291"/>
      <c r="ER163" s="291"/>
      <c r="ES163" s="291"/>
      <c r="ET163" s="291"/>
      <c r="EU163" s="291"/>
      <c r="EV163" s="291"/>
      <c r="EW163" s="291"/>
      <c r="EX163" s="291"/>
      <c r="EY163" s="291"/>
      <c r="EZ163" s="291"/>
      <c r="FA163" s="291"/>
      <c r="FB163" s="291"/>
      <c r="FC163" s="291"/>
      <c r="FD163" s="291"/>
      <c r="FE163" s="291"/>
      <c r="FF163" s="291"/>
      <c r="FG163" s="291"/>
      <c r="FH163" s="291"/>
      <c r="FI163" s="291"/>
      <c r="FJ163" s="291"/>
      <c r="FK163" s="291"/>
      <c r="FL163" s="291"/>
      <c r="FM163" s="291"/>
      <c r="FN163" s="291"/>
      <c r="FO163" s="291"/>
      <c r="FP163" s="291"/>
      <c r="FQ163" s="291"/>
      <c r="FR163" s="291"/>
      <c r="FS163" s="291"/>
      <c r="FT163" s="291"/>
      <c r="FU163" s="291"/>
      <c r="FV163" s="291"/>
      <c r="FW163" s="291"/>
      <c r="FX163" s="291"/>
      <c r="FY163" s="291"/>
      <c r="FZ163" s="291"/>
      <c r="GA163" s="291"/>
      <c r="GB163" s="291"/>
      <c r="GC163" s="291"/>
      <c r="GD163" s="291"/>
      <c r="GE163" s="291"/>
      <c r="GF163" s="291"/>
      <c r="GG163" s="291"/>
      <c r="GH163" s="291"/>
      <c r="GI163" s="291"/>
      <c r="GJ163" s="291"/>
      <c r="GK163" s="291"/>
      <c r="GL163" s="291"/>
      <c r="GM163" s="291"/>
      <c r="GN163" s="291"/>
      <c r="GO163" s="291"/>
      <c r="GP163" s="291"/>
      <c r="GQ163" s="291"/>
      <c r="GR163" s="291"/>
      <c r="GS163" s="291"/>
      <c r="GT163" s="291"/>
      <c r="GU163" s="291"/>
      <c r="GV163" s="291"/>
      <c r="GW163" s="291"/>
      <c r="GX163" s="291"/>
      <c r="GY163" s="291"/>
      <c r="GZ163" s="291"/>
      <c r="HA163" s="291"/>
      <c r="HB163" s="291"/>
      <c r="HC163" s="291"/>
      <c r="HD163" s="291"/>
      <c r="HE163" s="291"/>
      <c r="HF163" s="291"/>
      <c r="HG163" s="291"/>
      <c r="HH163" s="291"/>
      <c r="HI163" s="291"/>
      <c r="HJ163" s="291"/>
      <c r="HK163" s="291"/>
      <c r="HL163" s="291"/>
      <c r="HM163" s="291"/>
      <c r="HN163" s="291"/>
      <c r="HO163" s="291"/>
      <c r="HP163" s="291"/>
      <c r="HQ163" s="291"/>
      <c r="HR163" s="291"/>
      <c r="HS163" s="291"/>
      <c r="HT163" s="291"/>
      <c r="HU163" s="291"/>
      <c r="HV163" s="291"/>
      <c r="HW163" s="291"/>
      <c r="HX163" s="291"/>
      <c r="HY163" s="291"/>
      <c r="HZ163" s="291"/>
      <c r="IA163" s="291"/>
      <c r="IB163" s="291"/>
      <c r="IC163" s="291"/>
      <c r="ID163" s="291"/>
      <c r="IE163" s="291"/>
      <c r="IF163" s="291"/>
      <c r="IG163" s="291"/>
      <c r="IH163" s="291"/>
      <c r="II163" s="291"/>
      <c r="IJ163" s="291"/>
      <c r="IK163" s="291"/>
      <c r="IL163" s="291"/>
      <c r="IM163" s="291"/>
      <c r="IN163" s="291"/>
      <c r="IO163" s="291"/>
      <c r="IP163" s="291"/>
      <c r="IQ163" s="291"/>
      <c r="IR163" s="291"/>
      <c r="IS163" s="291"/>
      <c r="IT163" s="291"/>
      <c r="IU163" s="291"/>
      <c r="IV163" s="291"/>
      <c r="IW163" s="291"/>
      <c r="IX163" s="291"/>
      <c r="IY163" s="291"/>
      <c r="IZ163" s="291"/>
      <c r="JA163" s="291"/>
      <c r="JB163" s="291"/>
      <c r="JC163" s="291"/>
      <c r="JD163" s="291"/>
      <c r="JE163" s="291"/>
      <c r="JF163" s="291"/>
      <c r="JG163" s="291"/>
      <c r="JH163" s="291"/>
      <c r="JI163" s="291"/>
      <c r="JJ163" s="291"/>
      <c r="JK163" s="291"/>
      <c r="JL163" s="291"/>
      <c r="JM163" s="291"/>
      <c r="JN163" s="291"/>
      <c r="JO163" s="291"/>
      <c r="JP163" s="291"/>
      <c r="JQ163" s="291"/>
      <c r="JR163" s="291"/>
      <c r="JS163" s="291"/>
      <c r="JT163" s="291"/>
      <c r="JU163" s="291"/>
      <c r="JV163" s="291"/>
      <c r="JW163" s="291"/>
      <c r="JX163" s="291"/>
      <c r="JY163" s="291"/>
      <c r="JZ163" s="291"/>
      <c r="KA163" s="291"/>
      <c r="KB163" s="291"/>
      <c r="KC163" s="291"/>
      <c r="KD163" s="291"/>
      <c r="KE163" s="291"/>
      <c r="KF163" s="291"/>
      <c r="KG163" s="291"/>
      <c r="KH163" s="291"/>
      <c r="KI163" s="291"/>
      <c r="KJ163" s="291"/>
      <c r="KK163" s="291"/>
      <c r="KL163" s="291"/>
      <c r="KM163" s="291"/>
      <c r="KN163" s="291"/>
      <c r="KO163" s="291"/>
      <c r="KP163" s="291"/>
      <c r="KQ163" s="291"/>
      <c r="KR163" s="291"/>
      <c r="KS163" s="291"/>
      <c r="KT163" s="291"/>
      <c r="KU163" s="291"/>
      <c r="KV163" s="291"/>
      <c r="KW163" s="291"/>
      <c r="KX163" s="291"/>
      <c r="KY163" s="291"/>
      <c r="KZ163" s="291"/>
      <c r="LA163" s="291"/>
      <c r="LB163" s="291"/>
      <c r="LC163" s="291"/>
      <c r="LD163" s="291"/>
      <c r="LE163" s="291"/>
      <c r="LF163" s="291"/>
      <c r="LG163" s="291"/>
      <c r="LH163" s="291"/>
      <c r="LI163" s="291"/>
      <c r="LJ163" s="291"/>
      <c r="LK163" s="291"/>
      <c r="LL163" s="291"/>
      <c r="LM163" s="291"/>
      <c r="LN163" s="291"/>
      <c r="LO163" s="291"/>
      <c r="LP163" s="291"/>
      <c r="LQ163" s="291"/>
      <c r="LR163" s="291"/>
      <c r="LS163" s="291"/>
      <c r="LT163" s="291"/>
      <c r="LU163" s="291"/>
      <c r="LV163" s="291"/>
      <c r="LW163" s="291"/>
      <c r="LX163" s="291"/>
      <c r="LY163" s="291"/>
      <c r="LZ163" s="291"/>
      <c r="MA163" s="291"/>
      <c r="MB163" s="291"/>
      <c r="MC163" s="291"/>
      <c r="MD163" s="291"/>
      <c r="ME163" s="291"/>
      <c r="MF163" s="291"/>
      <c r="MG163" s="291"/>
      <c r="MH163" s="291"/>
      <c r="MI163" s="291"/>
      <c r="MJ163" s="291"/>
      <c r="MK163" s="291"/>
      <c r="ML163" s="291"/>
      <c r="MM163" s="291"/>
      <c r="MN163" s="291"/>
      <c r="MO163" s="291"/>
      <c r="MP163" s="291"/>
      <c r="MQ163" s="291"/>
      <c r="MR163" s="291"/>
      <c r="MS163" s="291"/>
      <c r="MT163" s="291"/>
      <c r="MU163" s="291"/>
      <c r="MV163" s="291"/>
      <c r="MW163" s="291"/>
      <c r="MX163" s="291"/>
      <c r="MY163" s="291"/>
      <c r="MZ163" s="291"/>
      <c r="NA163" s="291"/>
      <c r="NB163" s="291"/>
      <c r="NC163" s="291"/>
      <c r="ND163" s="291"/>
      <c r="NE163" s="291"/>
      <c r="NF163" s="291"/>
      <c r="NG163" s="291"/>
      <c r="NH163" s="291"/>
      <c r="NI163" s="291"/>
      <c r="NJ163" s="291"/>
      <c r="NK163" s="291"/>
      <c r="NL163" s="291"/>
      <c r="NM163" s="291"/>
      <c r="NN163" s="291"/>
      <c r="NO163" s="291"/>
      <c r="NP163" s="291"/>
      <c r="NQ163" s="291"/>
      <c r="NR163" s="291"/>
      <c r="NS163" s="291"/>
      <c r="NT163" s="291"/>
      <c r="NU163" s="291"/>
      <c r="NV163" s="291"/>
      <c r="NW163" s="291"/>
      <c r="NX163" s="291"/>
      <c r="NY163" s="291"/>
      <c r="NZ163" s="291"/>
      <c r="OA163" s="291"/>
      <c r="OB163" s="291"/>
      <c r="OC163" s="291"/>
      <c r="OD163" s="291"/>
      <c r="OE163" s="291"/>
      <c r="OF163" s="291"/>
      <c r="OG163" s="291"/>
      <c r="OH163" s="291"/>
      <c r="OI163" s="291"/>
      <c r="OJ163" s="291"/>
      <c r="OK163" s="291"/>
      <c r="OL163" s="291"/>
      <c r="OM163" s="291"/>
      <c r="ON163" s="291"/>
      <c r="OO163" s="291"/>
      <c r="OP163" s="291"/>
      <c r="OQ163" s="291"/>
      <c r="OR163" s="291"/>
      <c r="OS163" s="291"/>
      <c r="OT163" s="291"/>
      <c r="OU163" s="291"/>
      <c r="OV163" s="291"/>
      <c r="OW163" s="291"/>
    </row>
    <row r="164" spans="1:413" s="257" customFormat="1" hidden="1" x14ac:dyDescent="0.2">
      <c r="A164" s="291"/>
      <c r="B164" s="524">
        <f t="shared" si="11"/>
        <v>148</v>
      </c>
      <c r="C164" s="510" t="s">
        <v>38</v>
      </c>
      <c r="D164" s="511">
        <v>30452474</v>
      </c>
      <c r="E164" s="511"/>
      <c r="F164" s="512" t="s">
        <v>1311</v>
      </c>
      <c r="G164" s="513" t="s">
        <v>45</v>
      </c>
      <c r="H164" s="514" t="s">
        <v>1094</v>
      </c>
      <c r="I164" s="515" t="s">
        <v>1101</v>
      </c>
      <c r="J164" s="346" t="s">
        <v>42</v>
      </c>
      <c r="K164" s="526">
        <v>260120</v>
      </c>
      <c r="L164" s="527">
        <v>92613</v>
      </c>
      <c r="M164" s="528">
        <v>0</v>
      </c>
      <c r="N164" s="520">
        <v>0</v>
      </c>
      <c r="O164" s="520">
        <v>0</v>
      </c>
      <c r="P164" s="520">
        <v>0</v>
      </c>
      <c r="Q164" s="520">
        <v>0</v>
      </c>
      <c r="R164" s="520">
        <v>0</v>
      </c>
      <c r="S164" s="520">
        <v>0</v>
      </c>
      <c r="T164" s="18"/>
      <c r="U164" s="18"/>
      <c r="V164" s="18"/>
      <c r="W164" s="18"/>
      <c r="X164" s="18"/>
      <c r="Y164" s="18"/>
      <c r="Z164" s="18">
        <f t="shared" si="8"/>
        <v>0</v>
      </c>
      <c r="AA164" s="309">
        <v>1000</v>
      </c>
      <c r="AB164" s="19">
        <v>9</v>
      </c>
      <c r="AC164" s="521">
        <v>44232</v>
      </c>
      <c r="AD164" s="25">
        <v>44251</v>
      </c>
      <c r="AE164" s="309"/>
      <c r="AF164" s="314"/>
      <c r="AG164" s="315"/>
      <c r="AH164" s="316"/>
      <c r="AI164" s="309"/>
      <c r="AJ164" s="338"/>
      <c r="AK164" s="315"/>
      <c r="AL164" s="316"/>
      <c r="AM164" s="309"/>
      <c r="AN164" s="338"/>
      <c r="AO164" s="21"/>
      <c r="AP164" s="25"/>
      <c r="AQ164" s="309"/>
      <c r="AR164" s="19"/>
      <c r="AS164" s="21"/>
      <c r="AT164" s="25"/>
      <c r="AU164" s="522">
        <f t="shared" si="9"/>
        <v>1000</v>
      </c>
      <c r="AV164" s="311">
        <f t="shared" si="10"/>
        <v>1000</v>
      </c>
      <c r="AW164" s="305"/>
      <c r="AX164" s="291"/>
      <c r="AY164" s="291"/>
      <c r="AZ164" s="291"/>
      <c r="BA164" s="291"/>
      <c r="BB164" s="291"/>
      <c r="BC164" s="291"/>
      <c r="BD164" s="291"/>
      <c r="BE164" s="291"/>
      <c r="BF164" s="291"/>
      <c r="BG164" s="291"/>
      <c r="BH164" s="291"/>
      <c r="BI164" s="291"/>
      <c r="BJ164" s="291"/>
      <c r="BK164" s="291"/>
      <c r="BL164" s="291"/>
      <c r="BM164" s="291"/>
      <c r="BN164" s="291"/>
      <c r="BO164" s="291"/>
      <c r="BP164" s="291"/>
      <c r="BQ164" s="291"/>
      <c r="BR164" s="291"/>
      <c r="BS164" s="291"/>
      <c r="BT164" s="291"/>
      <c r="BU164" s="291"/>
      <c r="BV164" s="291"/>
      <c r="BW164" s="291"/>
      <c r="BX164" s="291"/>
      <c r="BY164" s="291"/>
      <c r="BZ164" s="291"/>
      <c r="CA164" s="291"/>
      <c r="CB164" s="291"/>
      <c r="CC164" s="291"/>
      <c r="CD164" s="291"/>
      <c r="CE164" s="291"/>
      <c r="CF164" s="291"/>
      <c r="CG164" s="291"/>
      <c r="CH164" s="291"/>
      <c r="CI164" s="291"/>
      <c r="CJ164" s="291"/>
      <c r="CK164" s="291"/>
      <c r="CL164" s="291"/>
      <c r="CM164" s="291"/>
      <c r="CN164" s="291"/>
      <c r="CO164" s="291"/>
      <c r="CP164" s="291"/>
      <c r="CQ164" s="291"/>
      <c r="CR164" s="291"/>
      <c r="CS164" s="291"/>
      <c r="CT164" s="291"/>
      <c r="CU164" s="291"/>
      <c r="CV164" s="291"/>
      <c r="CW164" s="291"/>
      <c r="CX164" s="291"/>
      <c r="CY164" s="291"/>
      <c r="CZ164" s="291"/>
      <c r="DA164" s="291"/>
      <c r="DB164" s="291"/>
      <c r="DC164" s="291"/>
      <c r="DD164" s="291"/>
      <c r="DE164" s="291"/>
      <c r="DF164" s="291"/>
      <c r="DG164" s="291"/>
      <c r="DH164" s="291"/>
      <c r="DI164" s="291"/>
      <c r="DJ164" s="291"/>
      <c r="DK164" s="291"/>
      <c r="DL164" s="291"/>
      <c r="DM164" s="291"/>
      <c r="DN164" s="291"/>
      <c r="DO164" s="291"/>
      <c r="DP164" s="291"/>
      <c r="DQ164" s="291"/>
      <c r="DR164" s="291"/>
      <c r="DS164" s="291"/>
      <c r="DT164" s="291"/>
      <c r="DU164" s="291"/>
      <c r="DV164" s="291"/>
      <c r="DW164" s="291"/>
      <c r="DX164" s="291"/>
      <c r="DY164" s="291"/>
      <c r="DZ164" s="291"/>
      <c r="EA164" s="291"/>
      <c r="EB164" s="291"/>
      <c r="EC164" s="291"/>
      <c r="ED164" s="291"/>
      <c r="EE164" s="291"/>
      <c r="EF164" s="291"/>
      <c r="EG164" s="291"/>
      <c r="EH164" s="291"/>
      <c r="EI164" s="291"/>
      <c r="EJ164" s="291"/>
      <c r="EK164" s="291"/>
      <c r="EL164" s="291"/>
      <c r="EM164" s="291"/>
      <c r="EN164" s="291"/>
      <c r="EO164" s="291"/>
      <c r="EP164" s="291"/>
      <c r="EQ164" s="291"/>
      <c r="ER164" s="291"/>
      <c r="ES164" s="291"/>
      <c r="ET164" s="291"/>
      <c r="EU164" s="291"/>
      <c r="EV164" s="291"/>
      <c r="EW164" s="291"/>
      <c r="EX164" s="291"/>
      <c r="EY164" s="291"/>
      <c r="EZ164" s="291"/>
      <c r="FA164" s="291"/>
      <c r="FB164" s="291"/>
      <c r="FC164" s="291"/>
      <c r="FD164" s="291"/>
      <c r="FE164" s="291"/>
      <c r="FF164" s="291"/>
      <c r="FG164" s="291"/>
      <c r="FH164" s="291"/>
      <c r="FI164" s="291"/>
      <c r="FJ164" s="291"/>
      <c r="FK164" s="291"/>
      <c r="FL164" s="291"/>
      <c r="FM164" s="291"/>
      <c r="FN164" s="291"/>
      <c r="FO164" s="291"/>
      <c r="FP164" s="291"/>
      <c r="FQ164" s="291"/>
      <c r="FR164" s="291"/>
      <c r="FS164" s="291"/>
      <c r="FT164" s="291"/>
      <c r="FU164" s="291"/>
      <c r="FV164" s="291"/>
      <c r="FW164" s="291"/>
      <c r="FX164" s="291"/>
      <c r="FY164" s="291"/>
      <c r="FZ164" s="291"/>
      <c r="GA164" s="291"/>
      <c r="GB164" s="291"/>
      <c r="GC164" s="291"/>
      <c r="GD164" s="291"/>
      <c r="GE164" s="291"/>
      <c r="GF164" s="291"/>
      <c r="GG164" s="291"/>
      <c r="GH164" s="291"/>
      <c r="GI164" s="291"/>
      <c r="GJ164" s="291"/>
      <c r="GK164" s="291"/>
      <c r="GL164" s="291"/>
      <c r="GM164" s="291"/>
      <c r="GN164" s="291"/>
      <c r="GO164" s="291"/>
      <c r="GP164" s="291"/>
      <c r="GQ164" s="291"/>
      <c r="GR164" s="291"/>
      <c r="GS164" s="291"/>
      <c r="GT164" s="291"/>
      <c r="GU164" s="291"/>
      <c r="GV164" s="291"/>
      <c r="GW164" s="291"/>
      <c r="GX164" s="291"/>
      <c r="GY164" s="291"/>
      <c r="GZ164" s="291"/>
      <c r="HA164" s="291"/>
      <c r="HB164" s="291"/>
      <c r="HC164" s="291"/>
      <c r="HD164" s="291"/>
      <c r="HE164" s="291"/>
      <c r="HF164" s="291"/>
      <c r="HG164" s="291"/>
      <c r="HH164" s="291"/>
      <c r="HI164" s="291"/>
      <c r="HJ164" s="291"/>
      <c r="HK164" s="291"/>
      <c r="HL164" s="291"/>
      <c r="HM164" s="291"/>
      <c r="HN164" s="291"/>
      <c r="HO164" s="291"/>
      <c r="HP164" s="291"/>
      <c r="HQ164" s="291"/>
      <c r="HR164" s="291"/>
      <c r="HS164" s="291"/>
      <c r="HT164" s="291"/>
      <c r="HU164" s="291"/>
      <c r="HV164" s="291"/>
      <c r="HW164" s="291"/>
      <c r="HX164" s="291"/>
      <c r="HY164" s="291"/>
      <c r="HZ164" s="291"/>
      <c r="IA164" s="291"/>
      <c r="IB164" s="291"/>
      <c r="IC164" s="291"/>
      <c r="ID164" s="291"/>
      <c r="IE164" s="291"/>
      <c r="IF164" s="291"/>
      <c r="IG164" s="291"/>
      <c r="IH164" s="291"/>
      <c r="II164" s="291"/>
      <c r="IJ164" s="291"/>
      <c r="IK164" s="291"/>
      <c r="IL164" s="291"/>
      <c r="IM164" s="291"/>
      <c r="IN164" s="291"/>
      <c r="IO164" s="291"/>
      <c r="IP164" s="291"/>
      <c r="IQ164" s="291"/>
      <c r="IR164" s="291"/>
      <c r="IS164" s="291"/>
      <c r="IT164" s="291"/>
      <c r="IU164" s="291"/>
      <c r="IV164" s="291"/>
      <c r="IW164" s="291"/>
      <c r="IX164" s="291"/>
      <c r="IY164" s="291"/>
      <c r="IZ164" s="291"/>
      <c r="JA164" s="291"/>
      <c r="JB164" s="291"/>
      <c r="JC164" s="291"/>
      <c r="JD164" s="291"/>
      <c r="JE164" s="291"/>
      <c r="JF164" s="291"/>
      <c r="JG164" s="291"/>
      <c r="JH164" s="291"/>
      <c r="JI164" s="291"/>
      <c r="JJ164" s="291"/>
      <c r="JK164" s="291"/>
      <c r="JL164" s="291"/>
      <c r="JM164" s="291"/>
      <c r="JN164" s="291"/>
      <c r="JO164" s="291"/>
      <c r="JP164" s="291"/>
      <c r="JQ164" s="291"/>
      <c r="JR164" s="291"/>
      <c r="JS164" s="291"/>
      <c r="JT164" s="291"/>
      <c r="JU164" s="291"/>
      <c r="JV164" s="291"/>
      <c r="JW164" s="291"/>
      <c r="JX164" s="291"/>
      <c r="JY164" s="291"/>
      <c r="JZ164" s="291"/>
      <c r="KA164" s="291"/>
      <c r="KB164" s="291"/>
      <c r="KC164" s="291"/>
      <c r="KD164" s="291"/>
      <c r="KE164" s="291"/>
      <c r="KF164" s="291"/>
      <c r="KG164" s="291"/>
      <c r="KH164" s="291"/>
      <c r="KI164" s="291"/>
      <c r="KJ164" s="291"/>
      <c r="KK164" s="291"/>
      <c r="KL164" s="291"/>
      <c r="KM164" s="291"/>
      <c r="KN164" s="291"/>
      <c r="KO164" s="291"/>
      <c r="KP164" s="291"/>
      <c r="KQ164" s="291"/>
      <c r="KR164" s="291"/>
      <c r="KS164" s="291"/>
      <c r="KT164" s="291"/>
      <c r="KU164" s="291"/>
      <c r="KV164" s="291"/>
      <c r="KW164" s="291"/>
      <c r="KX164" s="291"/>
      <c r="KY164" s="291"/>
      <c r="KZ164" s="291"/>
      <c r="LA164" s="291"/>
      <c r="LB164" s="291"/>
      <c r="LC164" s="291"/>
      <c r="LD164" s="291"/>
      <c r="LE164" s="291"/>
      <c r="LF164" s="291"/>
      <c r="LG164" s="291"/>
      <c r="LH164" s="291"/>
      <c r="LI164" s="291"/>
      <c r="LJ164" s="291"/>
      <c r="LK164" s="291"/>
      <c r="LL164" s="291"/>
      <c r="LM164" s="291"/>
      <c r="LN164" s="291"/>
      <c r="LO164" s="291"/>
      <c r="LP164" s="291"/>
      <c r="LQ164" s="291"/>
      <c r="LR164" s="291"/>
      <c r="LS164" s="291"/>
      <c r="LT164" s="291"/>
      <c r="LU164" s="291"/>
      <c r="LV164" s="291"/>
      <c r="LW164" s="291"/>
      <c r="LX164" s="291"/>
      <c r="LY164" s="291"/>
      <c r="LZ164" s="291"/>
      <c r="MA164" s="291"/>
      <c r="MB164" s="291"/>
      <c r="MC164" s="291"/>
      <c r="MD164" s="291"/>
      <c r="ME164" s="291"/>
      <c r="MF164" s="291"/>
      <c r="MG164" s="291"/>
      <c r="MH164" s="291"/>
      <c r="MI164" s="291"/>
      <c r="MJ164" s="291"/>
      <c r="MK164" s="291"/>
      <c r="ML164" s="291"/>
      <c r="MM164" s="291"/>
      <c r="MN164" s="291"/>
      <c r="MO164" s="291"/>
      <c r="MP164" s="291"/>
      <c r="MQ164" s="291"/>
      <c r="MR164" s="291"/>
      <c r="MS164" s="291"/>
      <c r="MT164" s="291"/>
      <c r="MU164" s="291"/>
      <c r="MV164" s="291"/>
      <c r="MW164" s="291"/>
      <c r="MX164" s="291"/>
      <c r="MY164" s="291"/>
      <c r="MZ164" s="291"/>
      <c r="NA164" s="291"/>
      <c r="NB164" s="291"/>
      <c r="NC164" s="291"/>
      <c r="ND164" s="291"/>
      <c r="NE164" s="291"/>
      <c r="NF164" s="291"/>
      <c r="NG164" s="291"/>
      <c r="NH164" s="291"/>
      <c r="NI164" s="291"/>
      <c r="NJ164" s="291"/>
      <c r="NK164" s="291"/>
      <c r="NL164" s="291"/>
      <c r="NM164" s="291"/>
      <c r="NN164" s="291"/>
      <c r="NO164" s="291"/>
      <c r="NP164" s="291"/>
      <c r="NQ164" s="291"/>
      <c r="NR164" s="291"/>
      <c r="NS164" s="291"/>
      <c r="NT164" s="291"/>
      <c r="NU164" s="291"/>
      <c r="NV164" s="291"/>
      <c r="NW164" s="291"/>
      <c r="NX164" s="291"/>
      <c r="NY164" s="291"/>
      <c r="NZ164" s="291"/>
      <c r="OA164" s="291"/>
      <c r="OB164" s="291"/>
      <c r="OC164" s="291"/>
      <c r="OD164" s="291"/>
      <c r="OE164" s="291"/>
      <c r="OF164" s="291"/>
      <c r="OG164" s="291"/>
      <c r="OH164" s="291"/>
      <c r="OI164" s="291"/>
      <c r="OJ164" s="291"/>
      <c r="OK164" s="291"/>
      <c r="OL164" s="291"/>
      <c r="OM164" s="291"/>
      <c r="ON164" s="291"/>
      <c r="OO164" s="291"/>
      <c r="OP164" s="291"/>
      <c r="OQ164" s="291"/>
      <c r="OR164" s="291"/>
      <c r="OS164" s="291"/>
      <c r="OT164" s="291"/>
      <c r="OU164" s="291"/>
      <c r="OV164" s="291"/>
      <c r="OW164" s="291"/>
    </row>
    <row r="165" spans="1:413" s="257" customFormat="1" hidden="1" x14ac:dyDescent="0.2">
      <c r="A165" s="291"/>
      <c r="B165" s="524">
        <f t="shared" si="11"/>
        <v>149</v>
      </c>
      <c r="C165" s="510" t="s">
        <v>38</v>
      </c>
      <c r="D165" s="511">
        <v>30452477</v>
      </c>
      <c r="E165" s="511"/>
      <c r="F165" s="512" t="s">
        <v>1312</v>
      </c>
      <c r="G165" s="513" t="s">
        <v>45</v>
      </c>
      <c r="H165" s="514" t="s">
        <v>1094</v>
      </c>
      <c r="I165" s="515" t="s">
        <v>1313</v>
      </c>
      <c r="J165" s="346" t="s">
        <v>42</v>
      </c>
      <c r="K165" s="526">
        <v>153543</v>
      </c>
      <c r="L165" s="527">
        <v>2498</v>
      </c>
      <c r="M165" s="528">
        <v>25777</v>
      </c>
      <c r="N165" s="520">
        <v>0</v>
      </c>
      <c r="O165" s="520">
        <v>0</v>
      </c>
      <c r="P165" s="520">
        <v>0</v>
      </c>
      <c r="Q165" s="520">
        <v>0</v>
      </c>
      <c r="R165" s="520">
        <v>0</v>
      </c>
      <c r="S165" s="520">
        <v>0</v>
      </c>
      <c r="T165" s="18"/>
      <c r="U165" s="18"/>
      <c r="V165" s="18"/>
      <c r="W165" s="18"/>
      <c r="X165" s="18"/>
      <c r="Y165" s="18"/>
      <c r="Z165" s="18">
        <f t="shared" si="8"/>
        <v>0</v>
      </c>
      <c r="AA165" s="309">
        <v>125000</v>
      </c>
      <c r="AB165" s="19">
        <v>9</v>
      </c>
      <c r="AC165" s="521">
        <v>44232</v>
      </c>
      <c r="AD165" s="25">
        <v>44251</v>
      </c>
      <c r="AE165" s="309"/>
      <c r="AF165" s="314"/>
      <c r="AG165" s="315"/>
      <c r="AH165" s="316"/>
      <c r="AI165" s="309"/>
      <c r="AJ165" s="338"/>
      <c r="AK165" s="315"/>
      <c r="AL165" s="316"/>
      <c r="AM165" s="309"/>
      <c r="AN165" s="338"/>
      <c r="AO165" s="21"/>
      <c r="AP165" s="25"/>
      <c r="AQ165" s="309"/>
      <c r="AR165" s="19"/>
      <c r="AS165" s="21"/>
      <c r="AT165" s="25"/>
      <c r="AU165" s="522">
        <f t="shared" si="9"/>
        <v>125000</v>
      </c>
      <c r="AV165" s="311">
        <f t="shared" si="10"/>
        <v>125000</v>
      </c>
      <c r="AW165" s="305"/>
      <c r="AX165" s="291"/>
      <c r="AY165" s="291"/>
      <c r="AZ165" s="291"/>
      <c r="BA165" s="291"/>
      <c r="BB165" s="291"/>
      <c r="BC165" s="291"/>
      <c r="BD165" s="291"/>
      <c r="BE165" s="291"/>
      <c r="BF165" s="291"/>
      <c r="BG165" s="291"/>
      <c r="BH165" s="291"/>
      <c r="BI165" s="291"/>
      <c r="BJ165" s="291"/>
      <c r="BK165" s="291"/>
      <c r="BL165" s="291"/>
      <c r="BM165" s="291"/>
      <c r="BN165" s="291"/>
      <c r="BO165" s="291"/>
      <c r="BP165" s="291"/>
      <c r="BQ165" s="291"/>
      <c r="BR165" s="291"/>
      <c r="BS165" s="291"/>
      <c r="BT165" s="291"/>
      <c r="BU165" s="291"/>
      <c r="BV165" s="291"/>
      <c r="BW165" s="291"/>
      <c r="BX165" s="291"/>
      <c r="BY165" s="291"/>
      <c r="BZ165" s="291"/>
      <c r="CA165" s="291"/>
      <c r="CB165" s="291"/>
      <c r="CC165" s="291"/>
      <c r="CD165" s="291"/>
      <c r="CE165" s="291"/>
      <c r="CF165" s="291"/>
      <c r="CG165" s="291"/>
      <c r="CH165" s="291"/>
      <c r="CI165" s="291"/>
      <c r="CJ165" s="291"/>
      <c r="CK165" s="291"/>
      <c r="CL165" s="291"/>
      <c r="CM165" s="291"/>
      <c r="CN165" s="291"/>
      <c r="CO165" s="291"/>
      <c r="CP165" s="291"/>
      <c r="CQ165" s="291"/>
      <c r="CR165" s="291"/>
      <c r="CS165" s="291"/>
      <c r="CT165" s="291"/>
      <c r="CU165" s="291"/>
      <c r="CV165" s="291"/>
      <c r="CW165" s="291"/>
      <c r="CX165" s="291"/>
      <c r="CY165" s="291"/>
      <c r="CZ165" s="291"/>
      <c r="DA165" s="291"/>
      <c r="DB165" s="291"/>
      <c r="DC165" s="291"/>
      <c r="DD165" s="291"/>
      <c r="DE165" s="291"/>
      <c r="DF165" s="291"/>
      <c r="DG165" s="291"/>
      <c r="DH165" s="291"/>
      <c r="DI165" s="291"/>
      <c r="DJ165" s="291"/>
      <c r="DK165" s="291"/>
      <c r="DL165" s="291"/>
      <c r="DM165" s="291"/>
      <c r="DN165" s="291"/>
      <c r="DO165" s="291"/>
      <c r="DP165" s="291"/>
      <c r="DQ165" s="291"/>
      <c r="DR165" s="291"/>
      <c r="DS165" s="291"/>
      <c r="DT165" s="291"/>
      <c r="DU165" s="291"/>
      <c r="DV165" s="291"/>
      <c r="DW165" s="291"/>
      <c r="DX165" s="291"/>
      <c r="DY165" s="291"/>
      <c r="DZ165" s="291"/>
      <c r="EA165" s="291"/>
      <c r="EB165" s="291"/>
      <c r="EC165" s="291"/>
      <c r="ED165" s="291"/>
      <c r="EE165" s="291"/>
      <c r="EF165" s="291"/>
      <c r="EG165" s="291"/>
      <c r="EH165" s="291"/>
      <c r="EI165" s="291"/>
      <c r="EJ165" s="291"/>
      <c r="EK165" s="291"/>
      <c r="EL165" s="291"/>
      <c r="EM165" s="291"/>
      <c r="EN165" s="291"/>
      <c r="EO165" s="291"/>
      <c r="EP165" s="291"/>
      <c r="EQ165" s="291"/>
      <c r="ER165" s="291"/>
      <c r="ES165" s="291"/>
      <c r="ET165" s="291"/>
      <c r="EU165" s="291"/>
      <c r="EV165" s="291"/>
      <c r="EW165" s="291"/>
      <c r="EX165" s="291"/>
      <c r="EY165" s="291"/>
      <c r="EZ165" s="291"/>
      <c r="FA165" s="291"/>
      <c r="FB165" s="291"/>
      <c r="FC165" s="291"/>
      <c r="FD165" s="291"/>
      <c r="FE165" s="291"/>
      <c r="FF165" s="291"/>
      <c r="FG165" s="291"/>
      <c r="FH165" s="291"/>
      <c r="FI165" s="291"/>
      <c r="FJ165" s="291"/>
      <c r="FK165" s="291"/>
      <c r="FL165" s="291"/>
      <c r="FM165" s="291"/>
      <c r="FN165" s="291"/>
      <c r="FO165" s="291"/>
      <c r="FP165" s="291"/>
      <c r="FQ165" s="291"/>
      <c r="FR165" s="291"/>
      <c r="FS165" s="291"/>
      <c r="FT165" s="291"/>
      <c r="FU165" s="291"/>
      <c r="FV165" s="291"/>
      <c r="FW165" s="291"/>
      <c r="FX165" s="291"/>
      <c r="FY165" s="291"/>
      <c r="FZ165" s="291"/>
      <c r="GA165" s="291"/>
      <c r="GB165" s="291"/>
      <c r="GC165" s="291"/>
      <c r="GD165" s="291"/>
      <c r="GE165" s="291"/>
      <c r="GF165" s="291"/>
      <c r="GG165" s="291"/>
      <c r="GH165" s="291"/>
      <c r="GI165" s="291"/>
      <c r="GJ165" s="291"/>
      <c r="GK165" s="291"/>
      <c r="GL165" s="291"/>
      <c r="GM165" s="291"/>
      <c r="GN165" s="291"/>
      <c r="GO165" s="291"/>
      <c r="GP165" s="291"/>
      <c r="GQ165" s="291"/>
      <c r="GR165" s="291"/>
      <c r="GS165" s="291"/>
      <c r="GT165" s="291"/>
      <c r="GU165" s="291"/>
      <c r="GV165" s="291"/>
      <c r="GW165" s="291"/>
      <c r="GX165" s="291"/>
      <c r="GY165" s="291"/>
      <c r="GZ165" s="291"/>
      <c r="HA165" s="291"/>
      <c r="HB165" s="291"/>
      <c r="HC165" s="291"/>
      <c r="HD165" s="291"/>
      <c r="HE165" s="291"/>
      <c r="HF165" s="291"/>
      <c r="HG165" s="291"/>
      <c r="HH165" s="291"/>
      <c r="HI165" s="291"/>
      <c r="HJ165" s="291"/>
      <c r="HK165" s="291"/>
      <c r="HL165" s="291"/>
      <c r="HM165" s="291"/>
      <c r="HN165" s="291"/>
      <c r="HO165" s="291"/>
      <c r="HP165" s="291"/>
      <c r="HQ165" s="291"/>
      <c r="HR165" s="291"/>
      <c r="HS165" s="291"/>
      <c r="HT165" s="291"/>
      <c r="HU165" s="291"/>
      <c r="HV165" s="291"/>
      <c r="HW165" s="291"/>
      <c r="HX165" s="291"/>
      <c r="HY165" s="291"/>
      <c r="HZ165" s="291"/>
      <c r="IA165" s="291"/>
      <c r="IB165" s="291"/>
      <c r="IC165" s="291"/>
      <c r="ID165" s="291"/>
      <c r="IE165" s="291"/>
      <c r="IF165" s="291"/>
      <c r="IG165" s="291"/>
      <c r="IH165" s="291"/>
      <c r="II165" s="291"/>
      <c r="IJ165" s="291"/>
      <c r="IK165" s="291"/>
      <c r="IL165" s="291"/>
      <c r="IM165" s="291"/>
      <c r="IN165" s="291"/>
      <c r="IO165" s="291"/>
      <c r="IP165" s="291"/>
      <c r="IQ165" s="291"/>
      <c r="IR165" s="291"/>
      <c r="IS165" s="291"/>
      <c r="IT165" s="291"/>
      <c r="IU165" s="291"/>
      <c r="IV165" s="291"/>
      <c r="IW165" s="291"/>
      <c r="IX165" s="291"/>
      <c r="IY165" s="291"/>
      <c r="IZ165" s="291"/>
      <c r="JA165" s="291"/>
      <c r="JB165" s="291"/>
      <c r="JC165" s="291"/>
      <c r="JD165" s="291"/>
      <c r="JE165" s="291"/>
      <c r="JF165" s="291"/>
      <c r="JG165" s="291"/>
      <c r="JH165" s="291"/>
      <c r="JI165" s="291"/>
      <c r="JJ165" s="291"/>
      <c r="JK165" s="291"/>
      <c r="JL165" s="291"/>
      <c r="JM165" s="291"/>
      <c r="JN165" s="291"/>
      <c r="JO165" s="291"/>
      <c r="JP165" s="291"/>
      <c r="JQ165" s="291"/>
      <c r="JR165" s="291"/>
      <c r="JS165" s="291"/>
      <c r="JT165" s="291"/>
      <c r="JU165" s="291"/>
      <c r="JV165" s="291"/>
      <c r="JW165" s="291"/>
      <c r="JX165" s="291"/>
      <c r="JY165" s="291"/>
      <c r="JZ165" s="291"/>
      <c r="KA165" s="291"/>
      <c r="KB165" s="291"/>
      <c r="KC165" s="291"/>
      <c r="KD165" s="291"/>
      <c r="KE165" s="291"/>
      <c r="KF165" s="291"/>
      <c r="KG165" s="291"/>
      <c r="KH165" s="291"/>
      <c r="KI165" s="291"/>
      <c r="KJ165" s="291"/>
      <c r="KK165" s="291"/>
      <c r="KL165" s="291"/>
      <c r="KM165" s="291"/>
      <c r="KN165" s="291"/>
      <c r="KO165" s="291"/>
      <c r="KP165" s="291"/>
      <c r="KQ165" s="291"/>
      <c r="KR165" s="291"/>
      <c r="KS165" s="291"/>
      <c r="KT165" s="291"/>
      <c r="KU165" s="291"/>
      <c r="KV165" s="291"/>
      <c r="KW165" s="291"/>
      <c r="KX165" s="291"/>
      <c r="KY165" s="291"/>
      <c r="KZ165" s="291"/>
      <c r="LA165" s="291"/>
      <c r="LB165" s="291"/>
      <c r="LC165" s="291"/>
      <c r="LD165" s="291"/>
      <c r="LE165" s="291"/>
      <c r="LF165" s="291"/>
      <c r="LG165" s="291"/>
      <c r="LH165" s="291"/>
      <c r="LI165" s="291"/>
      <c r="LJ165" s="291"/>
      <c r="LK165" s="291"/>
      <c r="LL165" s="291"/>
      <c r="LM165" s="291"/>
      <c r="LN165" s="291"/>
      <c r="LO165" s="291"/>
      <c r="LP165" s="291"/>
      <c r="LQ165" s="291"/>
      <c r="LR165" s="291"/>
      <c r="LS165" s="291"/>
      <c r="LT165" s="291"/>
      <c r="LU165" s="291"/>
      <c r="LV165" s="291"/>
      <c r="LW165" s="291"/>
      <c r="LX165" s="291"/>
      <c r="LY165" s="291"/>
      <c r="LZ165" s="291"/>
      <c r="MA165" s="291"/>
      <c r="MB165" s="291"/>
      <c r="MC165" s="291"/>
      <c r="MD165" s="291"/>
      <c r="ME165" s="291"/>
      <c r="MF165" s="291"/>
      <c r="MG165" s="291"/>
      <c r="MH165" s="291"/>
      <c r="MI165" s="291"/>
      <c r="MJ165" s="291"/>
      <c r="MK165" s="291"/>
      <c r="ML165" s="291"/>
      <c r="MM165" s="291"/>
      <c r="MN165" s="291"/>
      <c r="MO165" s="291"/>
      <c r="MP165" s="291"/>
      <c r="MQ165" s="291"/>
      <c r="MR165" s="291"/>
      <c r="MS165" s="291"/>
      <c r="MT165" s="291"/>
      <c r="MU165" s="291"/>
      <c r="MV165" s="291"/>
      <c r="MW165" s="291"/>
      <c r="MX165" s="291"/>
      <c r="MY165" s="291"/>
      <c r="MZ165" s="291"/>
      <c r="NA165" s="291"/>
      <c r="NB165" s="291"/>
      <c r="NC165" s="291"/>
      <c r="ND165" s="291"/>
      <c r="NE165" s="291"/>
      <c r="NF165" s="291"/>
      <c r="NG165" s="291"/>
      <c r="NH165" s="291"/>
      <c r="NI165" s="291"/>
      <c r="NJ165" s="291"/>
      <c r="NK165" s="291"/>
      <c r="NL165" s="291"/>
      <c r="NM165" s="291"/>
      <c r="NN165" s="291"/>
      <c r="NO165" s="291"/>
      <c r="NP165" s="291"/>
      <c r="NQ165" s="291"/>
      <c r="NR165" s="291"/>
      <c r="NS165" s="291"/>
      <c r="NT165" s="291"/>
      <c r="NU165" s="291"/>
      <c r="NV165" s="291"/>
      <c r="NW165" s="291"/>
      <c r="NX165" s="291"/>
      <c r="NY165" s="291"/>
      <c r="NZ165" s="291"/>
      <c r="OA165" s="291"/>
      <c r="OB165" s="291"/>
      <c r="OC165" s="291"/>
      <c r="OD165" s="291"/>
      <c r="OE165" s="291"/>
      <c r="OF165" s="291"/>
      <c r="OG165" s="291"/>
      <c r="OH165" s="291"/>
      <c r="OI165" s="291"/>
      <c r="OJ165" s="291"/>
      <c r="OK165" s="291"/>
      <c r="OL165" s="291"/>
      <c r="OM165" s="291"/>
      <c r="ON165" s="291"/>
      <c r="OO165" s="291"/>
      <c r="OP165" s="291"/>
      <c r="OQ165" s="291"/>
      <c r="OR165" s="291"/>
      <c r="OS165" s="291"/>
      <c r="OT165" s="291"/>
      <c r="OU165" s="291"/>
      <c r="OV165" s="291"/>
      <c r="OW165" s="291"/>
    </row>
    <row r="166" spans="1:413" s="257" customFormat="1" hidden="1" x14ac:dyDescent="0.2">
      <c r="A166" s="291"/>
      <c r="B166" s="524">
        <f t="shared" si="11"/>
        <v>150</v>
      </c>
      <c r="C166" s="510" t="s">
        <v>38</v>
      </c>
      <c r="D166" s="511">
        <v>30452525</v>
      </c>
      <c r="E166" s="511"/>
      <c r="F166" s="512" t="s">
        <v>1314</v>
      </c>
      <c r="G166" s="513" t="s">
        <v>45</v>
      </c>
      <c r="H166" s="514" t="s">
        <v>1094</v>
      </c>
      <c r="I166" s="515" t="s">
        <v>1313</v>
      </c>
      <c r="J166" s="346" t="s">
        <v>42</v>
      </c>
      <c r="K166" s="526">
        <v>231472</v>
      </c>
      <c r="L166" s="527">
        <v>2498</v>
      </c>
      <c r="M166" s="528">
        <v>68706</v>
      </c>
      <c r="N166" s="520">
        <v>0</v>
      </c>
      <c r="O166" s="520">
        <v>0</v>
      </c>
      <c r="P166" s="520">
        <v>0</v>
      </c>
      <c r="Q166" s="520">
        <v>0</v>
      </c>
      <c r="R166" s="520">
        <v>0</v>
      </c>
      <c r="S166" s="520">
        <v>0</v>
      </c>
      <c r="T166" s="18"/>
      <c r="U166" s="18"/>
      <c r="V166" s="18"/>
      <c r="W166" s="18"/>
      <c r="X166" s="18"/>
      <c r="Y166" s="18"/>
      <c r="Z166" s="18">
        <f t="shared" si="8"/>
        <v>0</v>
      </c>
      <c r="AA166" s="309">
        <v>160000</v>
      </c>
      <c r="AB166" s="19">
        <v>9</v>
      </c>
      <c r="AC166" s="521">
        <v>44232</v>
      </c>
      <c r="AD166" s="25">
        <v>44251</v>
      </c>
      <c r="AE166" s="309"/>
      <c r="AF166" s="314"/>
      <c r="AG166" s="315"/>
      <c r="AH166" s="316"/>
      <c r="AI166" s="309"/>
      <c r="AJ166" s="338"/>
      <c r="AK166" s="315"/>
      <c r="AL166" s="316"/>
      <c r="AM166" s="309"/>
      <c r="AN166" s="338"/>
      <c r="AO166" s="21"/>
      <c r="AP166" s="25"/>
      <c r="AQ166" s="309"/>
      <c r="AR166" s="19"/>
      <c r="AS166" s="21"/>
      <c r="AT166" s="25"/>
      <c r="AU166" s="522">
        <f t="shared" si="9"/>
        <v>160000</v>
      </c>
      <c r="AV166" s="311">
        <f t="shared" si="10"/>
        <v>160000</v>
      </c>
      <c r="AW166" s="305"/>
      <c r="AX166" s="291"/>
      <c r="AY166" s="291"/>
      <c r="AZ166" s="291"/>
      <c r="BA166" s="291"/>
      <c r="BB166" s="291"/>
      <c r="BC166" s="291"/>
      <c r="BD166" s="291"/>
      <c r="BE166" s="291"/>
      <c r="BF166" s="291"/>
      <c r="BG166" s="291"/>
      <c r="BH166" s="291"/>
      <c r="BI166" s="291"/>
      <c r="BJ166" s="291"/>
      <c r="BK166" s="291"/>
      <c r="BL166" s="291"/>
      <c r="BM166" s="291"/>
      <c r="BN166" s="291"/>
      <c r="BO166" s="291"/>
      <c r="BP166" s="291"/>
      <c r="BQ166" s="291"/>
      <c r="BR166" s="291"/>
      <c r="BS166" s="291"/>
      <c r="BT166" s="291"/>
      <c r="BU166" s="291"/>
      <c r="BV166" s="291"/>
      <c r="BW166" s="291"/>
      <c r="BX166" s="291"/>
      <c r="BY166" s="291"/>
      <c r="BZ166" s="291"/>
      <c r="CA166" s="291"/>
      <c r="CB166" s="291"/>
      <c r="CC166" s="291"/>
      <c r="CD166" s="291"/>
      <c r="CE166" s="291"/>
      <c r="CF166" s="291"/>
      <c r="CG166" s="291"/>
      <c r="CH166" s="291"/>
      <c r="CI166" s="291"/>
      <c r="CJ166" s="291"/>
      <c r="CK166" s="291"/>
      <c r="CL166" s="291"/>
      <c r="CM166" s="291"/>
      <c r="CN166" s="291"/>
      <c r="CO166" s="291"/>
      <c r="CP166" s="291"/>
      <c r="CQ166" s="291"/>
      <c r="CR166" s="291"/>
      <c r="CS166" s="291"/>
      <c r="CT166" s="291"/>
      <c r="CU166" s="291"/>
      <c r="CV166" s="291"/>
      <c r="CW166" s="291"/>
      <c r="CX166" s="291"/>
      <c r="CY166" s="291"/>
      <c r="CZ166" s="291"/>
      <c r="DA166" s="291"/>
      <c r="DB166" s="291"/>
      <c r="DC166" s="291"/>
      <c r="DD166" s="291"/>
      <c r="DE166" s="291"/>
      <c r="DF166" s="291"/>
      <c r="DG166" s="291"/>
      <c r="DH166" s="291"/>
      <c r="DI166" s="291"/>
      <c r="DJ166" s="291"/>
      <c r="DK166" s="291"/>
      <c r="DL166" s="291"/>
      <c r="DM166" s="291"/>
      <c r="DN166" s="291"/>
      <c r="DO166" s="291"/>
      <c r="DP166" s="291"/>
      <c r="DQ166" s="291"/>
      <c r="DR166" s="291"/>
      <c r="DS166" s="291"/>
      <c r="DT166" s="291"/>
      <c r="DU166" s="291"/>
      <c r="DV166" s="291"/>
      <c r="DW166" s="291"/>
      <c r="DX166" s="291"/>
      <c r="DY166" s="291"/>
      <c r="DZ166" s="291"/>
      <c r="EA166" s="291"/>
      <c r="EB166" s="291"/>
      <c r="EC166" s="291"/>
      <c r="ED166" s="291"/>
      <c r="EE166" s="291"/>
      <c r="EF166" s="291"/>
      <c r="EG166" s="291"/>
      <c r="EH166" s="291"/>
      <c r="EI166" s="291"/>
      <c r="EJ166" s="291"/>
      <c r="EK166" s="291"/>
      <c r="EL166" s="291"/>
      <c r="EM166" s="291"/>
      <c r="EN166" s="291"/>
      <c r="EO166" s="291"/>
      <c r="EP166" s="291"/>
      <c r="EQ166" s="291"/>
      <c r="ER166" s="291"/>
      <c r="ES166" s="291"/>
      <c r="ET166" s="291"/>
      <c r="EU166" s="291"/>
      <c r="EV166" s="291"/>
      <c r="EW166" s="291"/>
      <c r="EX166" s="291"/>
      <c r="EY166" s="291"/>
      <c r="EZ166" s="291"/>
      <c r="FA166" s="291"/>
      <c r="FB166" s="291"/>
      <c r="FC166" s="291"/>
      <c r="FD166" s="291"/>
      <c r="FE166" s="291"/>
      <c r="FF166" s="291"/>
      <c r="FG166" s="291"/>
      <c r="FH166" s="291"/>
      <c r="FI166" s="291"/>
      <c r="FJ166" s="291"/>
      <c r="FK166" s="291"/>
      <c r="FL166" s="291"/>
      <c r="FM166" s="291"/>
      <c r="FN166" s="291"/>
      <c r="FO166" s="291"/>
      <c r="FP166" s="291"/>
      <c r="FQ166" s="291"/>
      <c r="FR166" s="291"/>
      <c r="FS166" s="291"/>
      <c r="FT166" s="291"/>
      <c r="FU166" s="291"/>
      <c r="FV166" s="291"/>
      <c r="FW166" s="291"/>
      <c r="FX166" s="291"/>
      <c r="FY166" s="291"/>
      <c r="FZ166" s="291"/>
      <c r="GA166" s="291"/>
      <c r="GB166" s="291"/>
      <c r="GC166" s="291"/>
      <c r="GD166" s="291"/>
      <c r="GE166" s="291"/>
      <c r="GF166" s="291"/>
      <c r="GG166" s="291"/>
      <c r="GH166" s="291"/>
      <c r="GI166" s="291"/>
      <c r="GJ166" s="291"/>
      <c r="GK166" s="291"/>
      <c r="GL166" s="291"/>
      <c r="GM166" s="291"/>
      <c r="GN166" s="291"/>
      <c r="GO166" s="291"/>
      <c r="GP166" s="291"/>
      <c r="GQ166" s="291"/>
      <c r="GR166" s="291"/>
      <c r="GS166" s="291"/>
      <c r="GT166" s="291"/>
      <c r="GU166" s="291"/>
      <c r="GV166" s="291"/>
      <c r="GW166" s="291"/>
      <c r="GX166" s="291"/>
      <c r="GY166" s="291"/>
      <c r="GZ166" s="291"/>
      <c r="HA166" s="291"/>
      <c r="HB166" s="291"/>
      <c r="HC166" s="291"/>
      <c r="HD166" s="291"/>
      <c r="HE166" s="291"/>
      <c r="HF166" s="291"/>
      <c r="HG166" s="291"/>
      <c r="HH166" s="291"/>
      <c r="HI166" s="291"/>
      <c r="HJ166" s="291"/>
      <c r="HK166" s="291"/>
      <c r="HL166" s="291"/>
      <c r="HM166" s="291"/>
      <c r="HN166" s="291"/>
      <c r="HO166" s="291"/>
      <c r="HP166" s="291"/>
      <c r="HQ166" s="291"/>
      <c r="HR166" s="291"/>
      <c r="HS166" s="291"/>
      <c r="HT166" s="291"/>
      <c r="HU166" s="291"/>
      <c r="HV166" s="291"/>
      <c r="HW166" s="291"/>
      <c r="HX166" s="291"/>
      <c r="HY166" s="291"/>
      <c r="HZ166" s="291"/>
      <c r="IA166" s="291"/>
      <c r="IB166" s="291"/>
      <c r="IC166" s="291"/>
      <c r="ID166" s="291"/>
      <c r="IE166" s="291"/>
      <c r="IF166" s="291"/>
      <c r="IG166" s="291"/>
      <c r="IH166" s="291"/>
      <c r="II166" s="291"/>
      <c r="IJ166" s="291"/>
      <c r="IK166" s="291"/>
      <c r="IL166" s="291"/>
      <c r="IM166" s="291"/>
      <c r="IN166" s="291"/>
      <c r="IO166" s="291"/>
      <c r="IP166" s="291"/>
      <c r="IQ166" s="291"/>
      <c r="IR166" s="291"/>
      <c r="IS166" s="291"/>
      <c r="IT166" s="291"/>
      <c r="IU166" s="291"/>
      <c r="IV166" s="291"/>
      <c r="IW166" s="291"/>
      <c r="IX166" s="291"/>
      <c r="IY166" s="291"/>
      <c r="IZ166" s="291"/>
      <c r="JA166" s="291"/>
      <c r="JB166" s="291"/>
      <c r="JC166" s="291"/>
      <c r="JD166" s="291"/>
      <c r="JE166" s="291"/>
      <c r="JF166" s="291"/>
      <c r="JG166" s="291"/>
      <c r="JH166" s="291"/>
      <c r="JI166" s="291"/>
      <c r="JJ166" s="291"/>
      <c r="JK166" s="291"/>
      <c r="JL166" s="291"/>
      <c r="JM166" s="291"/>
      <c r="JN166" s="291"/>
      <c r="JO166" s="291"/>
      <c r="JP166" s="291"/>
      <c r="JQ166" s="291"/>
      <c r="JR166" s="291"/>
      <c r="JS166" s="291"/>
      <c r="JT166" s="291"/>
      <c r="JU166" s="291"/>
      <c r="JV166" s="291"/>
      <c r="JW166" s="291"/>
      <c r="JX166" s="291"/>
      <c r="JY166" s="291"/>
      <c r="JZ166" s="291"/>
      <c r="KA166" s="291"/>
      <c r="KB166" s="291"/>
      <c r="KC166" s="291"/>
      <c r="KD166" s="291"/>
      <c r="KE166" s="291"/>
      <c r="KF166" s="291"/>
      <c r="KG166" s="291"/>
      <c r="KH166" s="291"/>
      <c r="KI166" s="291"/>
      <c r="KJ166" s="291"/>
      <c r="KK166" s="291"/>
      <c r="KL166" s="291"/>
      <c r="KM166" s="291"/>
      <c r="KN166" s="291"/>
      <c r="KO166" s="291"/>
      <c r="KP166" s="291"/>
      <c r="KQ166" s="291"/>
      <c r="KR166" s="291"/>
      <c r="KS166" s="291"/>
      <c r="KT166" s="291"/>
      <c r="KU166" s="291"/>
      <c r="KV166" s="291"/>
      <c r="KW166" s="291"/>
      <c r="KX166" s="291"/>
      <c r="KY166" s="291"/>
      <c r="KZ166" s="291"/>
      <c r="LA166" s="291"/>
      <c r="LB166" s="291"/>
      <c r="LC166" s="291"/>
      <c r="LD166" s="291"/>
      <c r="LE166" s="291"/>
      <c r="LF166" s="291"/>
      <c r="LG166" s="291"/>
      <c r="LH166" s="291"/>
      <c r="LI166" s="291"/>
      <c r="LJ166" s="291"/>
      <c r="LK166" s="291"/>
      <c r="LL166" s="291"/>
      <c r="LM166" s="291"/>
      <c r="LN166" s="291"/>
      <c r="LO166" s="291"/>
      <c r="LP166" s="291"/>
      <c r="LQ166" s="291"/>
      <c r="LR166" s="291"/>
      <c r="LS166" s="291"/>
      <c r="LT166" s="291"/>
      <c r="LU166" s="291"/>
      <c r="LV166" s="291"/>
      <c r="LW166" s="291"/>
      <c r="LX166" s="291"/>
      <c r="LY166" s="291"/>
      <c r="LZ166" s="291"/>
      <c r="MA166" s="291"/>
      <c r="MB166" s="291"/>
      <c r="MC166" s="291"/>
      <c r="MD166" s="291"/>
      <c r="ME166" s="291"/>
      <c r="MF166" s="291"/>
      <c r="MG166" s="291"/>
      <c r="MH166" s="291"/>
      <c r="MI166" s="291"/>
      <c r="MJ166" s="291"/>
      <c r="MK166" s="291"/>
      <c r="ML166" s="291"/>
      <c r="MM166" s="291"/>
      <c r="MN166" s="291"/>
      <c r="MO166" s="291"/>
      <c r="MP166" s="291"/>
      <c r="MQ166" s="291"/>
      <c r="MR166" s="291"/>
      <c r="MS166" s="291"/>
      <c r="MT166" s="291"/>
      <c r="MU166" s="291"/>
      <c r="MV166" s="291"/>
      <c r="MW166" s="291"/>
      <c r="MX166" s="291"/>
      <c r="MY166" s="291"/>
      <c r="MZ166" s="291"/>
      <c r="NA166" s="291"/>
      <c r="NB166" s="291"/>
      <c r="NC166" s="291"/>
      <c r="ND166" s="291"/>
      <c r="NE166" s="291"/>
      <c r="NF166" s="291"/>
      <c r="NG166" s="291"/>
      <c r="NH166" s="291"/>
      <c r="NI166" s="291"/>
      <c r="NJ166" s="291"/>
      <c r="NK166" s="291"/>
      <c r="NL166" s="291"/>
      <c r="NM166" s="291"/>
      <c r="NN166" s="291"/>
      <c r="NO166" s="291"/>
      <c r="NP166" s="291"/>
      <c r="NQ166" s="291"/>
      <c r="NR166" s="291"/>
      <c r="NS166" s="291"/>
      <c r="NT166" s="291"/>
      <c r="NU166" s="291"/>
      <c r="NV166" s="291"/>
      <c r="NW166" s="291"/>
      <c r="NX166" s="291"/>
      <c r="NY166" s="291"/>
      <c r="NZ166" s="291"/>
      <c r="OA166" s="291"/>
      <c r="OB166" s="291"/>
      <c r="OC166" s="291"/>
      <c r="OD166" s="291"/>
      <c r="OE166" s="291"/>
      <c r="OF166" s="291"/>
      <c r="OG166" s="291"/>
      <c r="OH166" s="291"/>
      <c r="OI166" s="291"/>
      <c r="OJ166" s="291"/>
      <c r="OK166" s="291"/>
      <c r="OL166" s="291"/>
      <c r="OM166" s="291"/>
      <c r="ON166" s="291"/>
      <c r="OO166" s="291"/>
      <c r="OP166" s="291"/>
      <c r="OQ166" s="291"/>
      <c r="OR166" s="291"/>
      <c r="OS166" s="291"/>
      <c r="OT166" s="291"/>
      <c r="OU166" s="291"/>
      <c r="OV166" s="291"/>
      <c r="OW166" s="291"/>
    </row>
    <row r="167" spans="1:413" s="257" customFormat="1" hidden="1" x14ac:dyDescent="0.2">
      <c r="A167" s="291"/>
      <c r="B167" s="524">
        <f t="shared" si="11"/>
        <v>151</v>
      </c>
      <c r="C167" s="510" t="s">
        <v>38</v>
      </c>
      <c r="D167" s="511">
        <v>30452722</v>
      </c>
      <c r="E167" s="511"/>
      <c r="F167" s="512" t="s">
        <v>1315</v>
      </c>
      <c r="G167" s="513" t="s">
        <v>45</v>
      </c>
      <c r="H167" s="514" t="s">
        <v>1094</v>
      </c>
      <c r="I167" s="515" t="s">
        <v>1316</v>
      </c>
      <c r="J167" s="346" t="s">
        <v>42</v>
      </c>
      <c r="K167" s="526">
        <v>857469</v>
      </c>
      <c r="L167" s="527">
        <v>142376</v>
      </c>
      <c r="M167" s="528">
        <v>714093</v>
      </c>
      <c r="N167" s="520">
        <v>0</v>
      </c>
      <c r="O167" s="520">
        <v>0</v>
      </c>
      <c r="P167" s="520">
        <v>0</v>
      </c>
      <c r="Q167" s="520">
        <v>0</v>
      </c>
      <c r="R167" s="520">
        <v>0</v>
      </c>
      <c r="S167" s="520">
        <v>0</v>
      </c>
      <c r="T167" s="18"/>
      <c r="U167" s="18"/>
      <c r="V167" s="18"/>
      <c r="W167" s="18"/>
      <c r="X167" s="18"/>
      <c r="Y167" s="18"/>
      <c r="Z167" s="18">
        <f t="shared" si="8"/>
        <v>0</v>
      </c>
      <c r="AA167" s="309">
        <v>1000</v>
      </c>
      <c r="AB167" s="19">
        <v>9</v>
      </c>
      <c r="AC167" s="521">
        <v>44232</v>
      </c>
      <c r="AD167" s="25">
        <v>44251</v>
      </c>
      <c r="AE167" s="309"/>
      <c r="AF167" s="314"/>
      <c r="AG167" s="315"/>
      <c r="AH167" s="316"/>
      <c r="AI167" s="309"/>
      <c r="AJ167" s="338"/>
      <c r="AK167" s="315"/>
      <c r="AL167" s="316"/>
      <c r="AM167" s="309"/>
      <c r="AN167" s="338"/>
      <c r="AO167" s="21"/>
      <c r="AP167" s="25"/>
      <c r="AQ167" s="309"/>
      <c r="AR167" s="19"/>
      <c r="AS167" s="21"/>
      <c r="AT167" s="25"/>
      <c r="AU167" s="522">
        <f t="shared" si="9"/>
        <v>1000</v>
      </c>
      <c r="AV167" s="311">
        <f t="shared" si="10"/>
        <v>1000</v>
      </c>
      <c r="AW167" s="305"/>
      <c r="AX167" s="291"/>
      <c r="AY167" s="291"/>
      <c r="AZ167" s="291"/>
      <c r="BA167" s="291"/>
      <c r="BB167" s="291"/>
      <c r="BC167" s="291"/>
      <c r="BD167" s="291"/>
      <c r="BE167" s="291"/>
      <c r="BF167" s="291"/>
      <c r="BG167" s="291"/>
      <c r="BH167" s="291"/>
      <c r="BI167" s="291"/>
      <c r="BJ167" s="291"/>
      <c r="BK167" s="291"/>
      <c r="BL167" s="291"/>
      <c r="BM167" s="291"/>
      <c r="BN167" s="291"/>
      <c r="BO167" s="291"/>
      <c r="BP167" s="291"/>
      <c r="BQ167" s="291"/>
      <c r="BR167" s="291"/>
      <c r="BS167" s="291"/>
      <c r="BT167" s="291"/>
      <c r="BU167" s="291"/>
      <c r="BV167" s="291"/>
      <c r="BW167" s="291"/>
      <c r="BX167" s="291"/>
      <c r="BY167" s="291"/>
      <c r="BZ167" s="291"/>
      <c r="CA167" s="291"/>
      <c r="CB167" s="291"/>
      <c r="CC167" s="291"/>
      <c r="CD167" s="291"/>
      <c r="CE167" s="291"/>
      <c r="CF167" s="291"/>
      <c r="CG167" s="291"/>
      <c r="CH167" s="291"/>
      <c r="CI167" s="291"/>
      <c r="CJ167" s="291"/>
      <c r="CK167" s="291"/>
      <c r="CL167" s="291"/>
      <c r="CM167" s="291"/>
      <c r="CN167" s="291"/>
      <c r="CO167" s="291"/>
      <c r="CP167" s="291"/>
      <c r="CQ167" s="291"/>
      <c r="CR167" s="291"/>
      <c r="CS167" s="291"/>
      <c r="CT167" s="291"/>
      <c r="CU167" s="291"/>
      <c r="CV167" s="291"/>
      <c r="CW167" s="291"/>
      <c r="CX167" s="291"/>
      <c r="CY167" s="291"/>
      <c r="CZ167" s="291"/>
      <c r="DA167" s="291"/>
      <c r="DB167" s="291"/>
      <c r="DC167" s="291"/>
      <c r="DD167" s="291"/>
      <c r="DE167" s="291"/>
      <c r="DF167" s="291"/>
      <c r="DG167" s="291"/>
      <c r="DH167" s="291"/>
      <c r="DI167" s="291"/>
      <c r="DJ167" s="291"/>
      <c r="DK167" s="291"/>
      <c r="DL167" s="291"/>
      <c r="DM167" s="291"/>
      <c r="DN167" s="291"/>
      <c r="DO167" s="291"/>
      <c r="DP167" s="291"/>
      <c r="DQ167" s="291"/>
      <c r="DR167" s="291"/>
      <c r="DS167" s="291"/>
      <c r="DT167" s="291"/>
      <c r="DU167" s="291"/>
      <c r="DV167" s="291"/>
      <c r="DW167" s="291"/>
      <c r="DX167" s="291"/>
      <c r="DY167" s="291"/>
      <c r="DZ167" s="291"/>
      <c r="EA167" s="291"/>
      <c r="EB167" s="291"/>
      <c r="EC167" s="291"/>
      <c r="ED167" s="291"/>
      <c r="EE167" s="291"/>
      <c r="EF167" s="291"/>
      <c r="EG167" s="291"/>
      <c r="EH167" s="291"/>
      <c r="EI167" s="291"/>
      <c r="EJ167" s="291"/>
      <c r="EK167" s="291"/>
      <c r="EL167" s="291"/>
      <c r="EM167" s="291"/>
      <c r="EN167" s="291"/>
      <c r="EO167" s="291"/>
      <c r="EP167" s="291"/>
      <c r="EQ167" s="291"/>
      <c r="ER167" s="291"/>
      <c r="ES167" s="291"/>
      <c r="ET167" s="291"/>
      <c r="EU167" s="291"/>
      <c r="EV167" s="291"/>
      <c r="EW167" s="291"/>
      <c r="EX167" s="291"/>
      <c r="EY167" s="291"/>
      <c r="EZ167" s="291"/>
      <c r="FA167" s="291"/>
      <c r="FB167" s="291"/>
      <c r="FC167" s="291"/>
      <c r="FD167" s="291"/>
      <c r="FE167" s="291"/>
      <c r="FF167" s="291"/>
      <c r="FG167" s="291"/>
      <c r="FH167" s="291"/>
      <c r="FI167" s="291"/>
      <c r="FJ167" s="291"/>
      <c r="FK167" s="291"/>
      <c r="FL167" s="291"/>
      <c r="FM167" s="291"/>
      <c r="FN167" s="291"/>
      <c r="FO167" s="291"/>
      <c r="FP167" s="291"/>
      <c r="FQ167" s="291"/>
      <c r="FR167" s="291"/>
      <c r="FS167" s="291"/>
      <c r="FT167" s="291"/>
      <c r="FU167" s="291"/>
      <c r="FV167" s="291"/>
      <c r="FW167" s="291"/>
      <c r="FX167" s="291"/>
      <c r="FY167" s="291"/>
      <c r="FZ167" s="291"/>
      <c r="GA167" s="291"/>
      <c r="GB167" s="291"/>
      <c r="GC167" s="291"/>
      <c r="GD167" s="291"/>
      <c r="GE167" s="291"/>
      <c r="GF167" s="291"/>
      <c r="GG167" s="291"/>
      <c r="GH167" s="291"/>
      <c r="GI167" s="291"/>
      <c r="GJ167" s="291"/>
      <c r="GK167" s="291"/>
      <c r="GL167" s="291"/>
      <c r="GM167" s="291"/>
      <c r="GN167" s="291"/>
      <c r="GO167" s="291"/>
      <c r="GP167" s="291"/>
      <c r="GQ167" s="291"/>
      <c r="GR167" s="291"/>
      <c r="GS167" s="291"/>
      <c r="GT167" s="291"/>
      <c r="GU167" s="291"/>
      <c r="GV167" s="291"/>
      <c r="GW167" s="291"/>
      <c r="GX167" s="291"/>
      <c r="GY167" s="291"/>
      <c r="GZ167" s="291"/>
      <c r="HA167" s="291"/>
      <c r="HB167" s="291"/>
      <c r="HC167" s="291"/>
      <c r="HD167" s="291"/>
      <c r="HE167" s="291"/>
      <c r="HF167" s="291"/>
      <c r="HG167" s="291"/>
      <c r="HH167" s="291"/>
      <c r="HI167" s="291"/>
      <c r="HJ167" s="291"/>
      <c r="HK167" s="291"/>
      <c r="HL167" s="291"/>
      <c r="HM167" s="291"/>
      <c r="HN167" s="291"/>
      <c r="HO167" s="291"/>
      <c r="HP167" s="291"/>
      <c r="HQ167" s="291"/>
      <c r="HR167" s="291"/>
      <c r="HS167" s="291"/>
      <c r="HT167" s="291"/>
      <c r="HU167" s="291"/>
      <c r="HV167" s="291"/>
      <c r="HW167" s="291"/>
      <c r="HX167" s="291"/>
      <c r="HY167" s="291"/>
      <c r="HZ167" s="291"/>
      <c r="IA167" s="291"/>
      <c r="IB167" s="291"/>
      <c r="IC167" s="291"/>
      <c r="ID167" s="291"/>
      <c r="IE167" s="291"/>
      <c r="IF167" s="291"/>
      <c r="IG167" s="291"/>
      <c r="IH167" s="291"/>
      <c r="II167" s="291"/>
      <c r="IJ167" s="291"/>
      <c r="IK167" s="291"/>
      <c r="IL167" s="291"/>
      <c r="IM167" s="291"/>
      <c r="IN167" s="291"/>
      <c r="IO167" s="291"/>
      <c r="IP167" s="291"/>
      <c r="IQ167" s="291"/>
      <c r="IR167" s="291"/>
      <c r="IS167" s="291"/>
      <c r="IT167" s="291"/>
      <c r="IU167" s="291"/>
      <c r="IV167" s="291"/>
      <c r="IW167" s="291"/>
      <c r="IX167" s="291"/>
      <c r="IY167" s="291"/>
      <c r="IZ167" s="291"/>
      <c r="JA167" s="291"/>
      <c r="JB167" s="291"/>
      <c r="JC167" s="291"/>
      <c r="JD167" s="291"/>
      <c r="JE167" s="291"/>
      <c r="JF167" s="291"/>
      <c r="JG167" s="291"/>
      <c r="JH167" s="291"/>
      <c r="JI167" s="291"/>
      <c r="JJ167" s="291"/>
      <c r="JK167" s="291"/>
      <c r="JL167" s="291"/>
      <c r="JM167" s="291"/>
      <c r="JN167" s="291"/>
      <c r="JO167" s="291"/>
      <c r="JP167" s="291"/>
      <c r="JQ167" s="291"/>
      <c r="JR167" s="291"/>
      <c r="JS167" s="291"/>
      <c r="JT167" s="291"/>
      <c r="JU167" s="291"/>
      <c r="JV167" s="291"/>
      <c r="JW167" s="291"/>
      <c r="JX167" s="291"/>
      <c r="JY167" s="291"/>
      <c r="JZ167" s="291"/>
      <c r="KA167" s="291"/>
      <c r="KB167" s="291"/>
      <c r="KC167" s="291"/>
      <c r="KD167" s="291"/>
      <c r="KE167" s="291"/>
      <c r="KF167" s="291"/>
      <c r="KG167" s="291"/>
      <c r="KH167" s="291"/>
      <c r="KI167" s="291"/>
      <c r="KJ167" s="291"/>
      <c r="KK167" s="291"/>
      <c r="KL167" s="291"/>
      <c r="KM167" s="291"/>
      <c r="KN167" s="291"/>
      <c r="KO167" s="291"/>
      <c r="KP167" s="291"/>
      <c r="KQ167" s="291"/>
      <c r="KR167" s="291"/>
      <c r="KS167" s="291"/>
      <c r="KT167" s="291"/>
      <c r="KU167" s="291"/>
      <c r="KV167" s="291"/>
      <c r="KW167" s="291"/>
      <c r="KX167" s="291"/>
      <c r="KY167" s="291"/>
      <c r="KZ167" s="291"/>
      <c r="LA167" s="291"/>
      <c r="LB167" s="291"/>
      <c r="LC167" s="291"/>
      <c r="LD167" s="291"/>
      <c r="LE167" s="291"/>
      <c r="LF167" s="291"/>
      <c r="LG167" s="291"/>
      <c r="LH167" s="291"/>
      <c r="LI167" s="291"/>
      <c r="LJ167" s="291"/>
      <c r="LK167" s="291"/>
      <c r="LL167" s="291"/>
      <c r="LM167" s="291"/>
      <c r="LN167" s="291"/>
      <c r="LO167" s="291"/>
      <c r="LP167" s="291"/>
      <c r="LQ167" s="291"/>
      <c r="LR167" s="291"/>
      <c r="LS167" s="291"/>
      <c r="LT167" s="291"/>
      <c r="LU167" s="291"/>
      <c r="LV167" s="291"/>
      <c r="LW167" s="291"/>
      <c r="LX167" s="291"/>
      <c r="LY167" s="291"/>
      <c r="LZ167" s="291"/>
      <c r="MA167" s="291"/>
      <c r="MB167" s="291"/>
      <c r="MC167" s="291"/>
      <c r="MD167" s="291"/>
      <c r="ME167" s="291"/>
      <c r="MF167" s="291"/>
      <c r="MG167" s="291"/>
      <c r="MH167" s="291"/>
      <c r="MI167" s="291"/>
      <c r="MJ167" s="291"/>
      <c r="MK167" s="291"/>
      <c r="ML167" s="291"/>
      <c r="MM167" s="291"/>
      <c r="MN167" s="291"/>
      <c r="MO167" s="291"/>
      <c r="MP167" s="291"/>
      <c r="MQ167" s="291"/>
      <c r="MR167" s="291"/>
      <c r="MS167" s="291"/>
      <c r="MT167" s="291"/>
      <c r="MU167" s="291"/>
      <c r="MV167" s="291"/>
      <c r="MW167" s="291"/>
      <c r="MX167" s="291"/>
      <c r="MY167" s="291"/>
      <c r="MZ167" s="291"/>
      <c r="NA167" s="291"/>
      <c r="NB167" s="291"/>
      <c r="NC167" s="291"/>
      <c r="ND167" s="291"/>
      <c r="NE167" s="291"/>
      <c r="NF167" s="291"/>
      <c r="NG167" s="291"/>
      <c r="NH167" s="291"/>
      <c r="NI167" s="291"/>
      <c r="NJ167" s="291"/>
      <c r="NK167" s="291"/>
      <c r="NL167" s="291"/>
      <c r="NM167" s="291"/>
      <c r="NN167" s="291"/>
      <c r="NO167" s="291"/>
      <c r="NP167" s="291"/>
      <c r="NQ167" s="291"/>
      <c r="NR167" s="291"/>
      <c r="NS167" s="291"/>
      <c r="NT167" s="291"/>
      <c r="NU167" s="291"/>
      <c r="NV167" s="291"/>
      <c r="NW167" s="291"/>
      <c r="NX167" s="291"/>
      <c r="NY167" s="291"/>
      <c r="NZ167" s="291"/>
      <c r="OA167" s="291"/>
      <c r="OB167" s="291"/>
      <c r="OC167" s="291"/>
      <c r="OD167" s="291"/>
      <c r="OE167" s="291"/>
      <c r="OF167" s="291"/>
      <c r="OG167" s="291"/>
      <c r="OH167" s="291"/>
      <c r="OI167" s="291"/>
      <c r="OJ167" s="291"/>
      <c r="OK167" s="291"/>
      <c r="OL167" s="291"/>
      <c r="OM167" s="291"/>
      <c r="ON167" s="291"/>
      <c r="OO167" s="291"/>
      <c r="OP167" s="291"/>
      <c r="OQ167" s="291"/>
      <c r="OR167" s="291"/>
      <c r="OS167" s="291"/>
      <c r="OT167" s="291"/>
      <c r="OU167" s="291"/>
      <c r="OV167" s="291"/>
      <c r="OW167" s="291"/>
    </row>
    <row r="168" spans="1:413" s="257" customFormat="1" hidden="1" x14ac:dyDescent="0.2">
      <c r="A168" s="291"/>
      <c r="B168" s="524">
        <f t="shared" si="11"/>
        <v>152</v>
      </c>
      <c r="C168" s="510" t="s">
        <v>38</v>
      </c>
      <c r="D168" s="511">
        <v>30452822</v>
      </c>
      <c r="E168" s="511"/>
      <c r="F168" s="512" t="s">
        <v>1317</v>
      </c>
      <c r="G168" s="513" t="s">
        <v>45</v>
      </c>
      <c r="H168" s="514" t="s">
        <v>1094</v>
      </c>
      <c r="I168" s="515" t="s">
        <v>1245</v>
      </c>
      <c r="J168" s="346" t="s">
        <v>42</v>
      </c>
      <c r="K168" s="526">
        <v>897396</v>
      </c>
      <c r="L168" s="527">
        <v>634691</v>
      </c>
      <c r="M168" s="528">
        <v>261705</v>
      </c>
      <c r="N168" s="520">
        <v>0</v>
      </c>
      <c r="O168" s="520">
        <v>0</v>
      </c>
      <c r="P168" s="520">
        <v>0</v>
      </c>
      <c r="Q168" s="520">
        <v>0</v>
      </c>
      <c r="R168" s="520">
        <v>0</v>
      </c>
      <c r="S168" s="520">
        <v>0</v>
      </c>
      <c r="T168" s="18"/>
      <c r="U168" s="18"/>
      <c r="V168" s="18"/>
      <c r="W168" s="18"/>
      <c r="X168" s="18"/>
      <c r="Y168" s="18"/>
      <c r="Z168" s="18">
        <f t="shared" si="8"/>
        <v>0</v>
      </c>
      <c r="AA168" s="309">
        <v>1000</v>
      </c>
      <c r="AB168" s="19">
        <v>9</v>
      </c>
      <c r="AC168" s="521">
        <v>44232</v>
      </c>
      <c r="AD168" s="25">
        <v>44251</v>
      </c>
      <c r="AE168" s="309"/>
      <c r="AF168" s="314"/>
      <c r="AG168" s="315"/>
      <c r="AH168" s="316"/>
      <c r="AI168" s="309"/>
      <c r="AJ168" s="338"/>
      <c r="AK168" s="315"/>
      <c r="AL168" s="316"/>
      <c r="AM168" s="309"/>
      <c r="AN168" s="338"/>
      <c r="AO168" s="21"/>
      <c r="AP168" s="25"/>
      <c r="AQ168" s="309"/>
      <c r="AR168" s="19"/>
      <c r="AS168" s="21"/>
      <c r="AT168" s="25"/>
      <c r="AU168" s="522">
        <f t="shared" si="9"/>
        <v>1000</v>
      </c>
      <c r="AV168" s="311">
        <f t="shared" si="10"/>
        <v>1000</v>
      </c>
      <c r="AW168" s="305"/>
      <c r="AX168" s="291"/>
      <c r="AY168" s="291"/>
      <c r="AZ168" s="291"/>
      <c r="BA168" s="291"/>
      <c r="BB168" s="291"/>
      <c r="BC168" s="291"/>
      <c r="BD168" s="291"/>
      <c r="BE168" s="291"/>
      <c r="BF168" s="291"/>
      <c r="BG168" s="291"/>
      <c r="BH168" s="291"/>
      <c r="BI168" s="291"/>
      <c r="BJ168" s="291"/>
      <c r="BK168" s="291"/>
      <c r="BL168" s="291"/>
      <c r="BM168" s="291"/>
      <c r="BN168" s="291"/>
      <c r="BO168" s="291"/>
      <c r="BP168" s="291"/>
      <c r="BQ168" s="291"/>
      <c r="BR168" s="291"/>
      <c r="BS168" s="291"/>
      <c r="BT168" s="291"/>
      <c r="BU168" s="291"/>
      <c r="BV168" s="291"/>
      <c r="BW168" s="291"/>
      <c r="BX168" s="291"/>
      <c r="BY168" s="291"/>
      <c r="BZ168" s="291"/>
      <c r="CA168" s="291"/>
      <c r="CB168" s="291"/>
      <c r="CC168" s="291"/>
      <c r="CD168" s="291"/>
      <c r="CE168" s="291"/>
      <c r="CF168" s="291"/>
      <c r="CG168" s="291"/>
      <c r="CH168" s="291"/>
      <c r="CI168" s="291"/>
      <c r="CJ168" s="291"/>
      <c r="CK168" s="291"/>
      <c r="CL168" s="291"/>
      <c r="CM168" s="291"/>
      <c r="CN168" s="291"/>
      <c r="CO168" s="291"/>
      <c r="CP168" s="291"/>
      <c r="CQ168" s="291"/>
      <c r="CR168" s="291"/>
      <c r="CS168" s="291"/>
      <c r="CT168" s="291"/>
      <c r="CU168" s="291"/>
      <c r="CV168" s="291"/>
      <c r="CW168" s="291"/>
      <c r="CX168" s="291"/>
      <c r="CY168" s="291"/>
      <c r="CZ168" s="291"/>
      <c r="DA168" s="291"/>
      <c r="DB168" s="291"/>
      <c r="DC168" s="291"/>
      <c r="DD168" s="291"/>
      <c r="DE168" s="291"/>
      <c r="DF168" s="291"/>
      <c r="DG168" s="291"/>
      <c r="DH168" s="291"/>
      <c r="DI168" s="291"/>
      <c r="DJ168" s="291"/>
      <c r="DK168" s="291"/>
      <c r="DL168" s="291"/>
      <c r="DM168" s="291"/>
      <c r="DN168" s="291"/>
      <c r="DO168" s="291"/>
      <c r="DP168" s="291"/>
      <c r="DQ168" s="291"/>
      <c r="DR168" s="291"/>
      <c r="DS168" s="291"/>
      <c r="DT168" s="291"/>
      <c r="DU168" s="291"/>
      <c r="DV168" s="291"/>
      <c r="DW168" s="291"/>
      <c r="DX168" s="291"/>
      <c r="DY168" s="291"/>
      <c r="DZ168" s="291"/>
      <c r="EA168" s="291"/>
      <c r="EB168" s="291"/>
      <c r="EC168" s="291"/>
      <c r="ED168" s="291"/>
      <c r="EE168" s="291"/>
      <c r="EF168" s="291"/>
      <c r="EG168" s="291"/>
      <c r="EH168" s="291"/>
      <c r="EI168" s="291"/>
      <c r="EJ168" s="291"/>
      <c r="EK168" s="291"/>
      <c r="EL168" s="291"/>
      <c r="EM168" s="291"/>
      <c r="EN168" s="291"/>
      <c r="EO168" s="291"/>
      <c r="EP168" s="291"/>
      <c r="EQ168" s="291"/>
      <c r="ER168" s="291"/>
      <c r="ES168" s="291"/>
      <c r="ET168" s="291"/>
      <c r="EU168" s="291"/>
      <c r="EV168" s="291"/>
      <c r="EW168" s="291"/>
      <c r="EX168" s="291"/>
      <c r="EY168" s="291"/>
      <c r="EZ168" s="291"/>
      <c r="FA168" s="291"/>
      <c r="FB168" s="291"/>
      <c r="FC168" s="291"/>
      <c r="FD168" s="291"/>
      <c r="FE168" s="291"/>
      <c r="FF168" s="291"/>
      <c r="FG168" s="291"/>
      <c r="FH168" s="291"/>
      <c r="FI168" s="291"/>
      <c r="FJ168" s="291"/>
      <c r="FK168" s="291"/>
      <c r="FL168" s="291"/>
      <c r="FM168" s="291"/>
      <c r="FN168" s="291"/>
      <c r="FO168" s="291"/>
      <c r="FP168" s="291"/>
      <c r="FQ168" s="291"/>
      <c r="FR168" s="291"/>
      <c r="FS168" s="291"/>
      <c r="FT168" s="291"/>
      <c r="FU168" s="291"/>
      <c r="FV168" s="291"/>
      <c r="FW168" s="291"/>
      <c r="FX168" s="291"/>
      <c r="FY168" s="291"/>
      <c r="FZ168" s="291"/>
      <c r="GA168" s="291"/>
      <c r="GB168" s="291"/>
      <c r="GC168" s="291"/>
      <c r="GD168" s="291"/>
      <c r="GE168" s="291"/>
      <c r="GF168" s="291"/>
      <c r="GG168" s="291"/>
      <c r="GH168" s="291"/>
      <c r="GI168" s="291"/>
      <c r="GJ168" s="291"/>
      <c r="GK168" s="291"/>
      <c r="GL168" s="291"/>
      <c r="GM168" s="291"/>
      <c r="GN168" s="291"/>
      <c r="GO168" s="291"/>
      <c r="GP168" s="291"/>
      <c r="GQ168" s="291"/>
      <c r="GR168" s="291"/>
      <c r="GS168" s="291"/>
      <c r="GT168" s="291"/>
      <c r="GU168" s="291"/>
      <c r="GV168" s="291"/>
      <c r="GW168" s="291"/>
      <c r="GX168" s="291"/>
      <c r="GY168" s="291"/>
      <c r="GZ168" s="291"/>
      <c r="HA168" s="291"/>
      <c r="HB168" s="291"/>
      <c r="HC168" s="291"/>
      <c r="HD168" s="291"/>
      <c r="HE168" s="291"/>
      <c r="HF168" s="291"/>
      <c r="HG168" s="291"/>
      <c r="HH168" s="291"/>
      <c r="HI168" s="291"/>
      <c r="HJ168" s="291"/>
      <c r="HK168" s="291"/>
      <c r="HL168" s="291"/>
      <c r="HM168" s="291"/>
      <c r="HN168" s="291"/>
      <c r="HO168" s="291"/>
      <c r="HP168" s="291"/>
      <c r="HQ168" s="291"/>
      <c r="HR168" s="291"/>
      <c r="HS168" s="291"/>
      <c r="HT168" s="291"/>
      <c r="HU168" s="291"/>
      <c r="HV168" s="291"/>
      <c r="HW168" s="291"/>
      <c r="HX168" s="291"/>
      <c r="HY168" s="291"/>
      <c r="HZ168" s="291"/>
      <c r="IA168" s="291"/>
      <c r="IB168" s="291"/>
      <c r="IC168" s="291"/>
      <c r="ID168" s="291"/>
      <c r="IE168" s="291"/>
      <c r="IF168" s="291"/>
      <c r="IG168" s="291"/>
      <c r="IH168" s="291"/>
      <c r="II168" s="291"/>
      <c r="IJ168" s="291"/>
      <c r="IK168" s="291"/>
      <c r="IL168" s="291"/>
      <c r="IM168" s="291"/>
      <c r="IN168" s="291"/>
      <c r="IO168" s="291"/>
      <c r="IP168" s="291"/>
      <c r="IQ168" s="291"/>
      <c r="IR168" s="291"/>
      <c r="IS168" s="291"/>
      <c r="IT168" s="291"/>
      <c r="IU168" s="291"/>
      <c r="IV168" s="291"/>
      <c r="IW168" s="291"/>
      <c r="IX168" s="291"/>
      <c r="IY168" s="291"/>
      <c r="IZ168" s="291"/>
      <c r="JA168" s="291"/>
      <c r="JB168" s="291"/>
      <c r="JC168" s="291"/>
      <c r="JD168" s="291"/>
      <c r="JE168" s="291"/>
      <c r="JF168" s="291"/>
      <c r="JG168" s="291"/>
      <c r="JH168" s="291"/>
      <c r="JI168" s="291"/>
      <c r="JJ168" s="291"/>
      <c r="JK168" s="291"/>
      <c r="JL168" s="291"/>
      <c r="JM168" s="291"/>
      <c r="JN168" s="291"/>
      <c r="JO168" s="291"/>
      <c r="JP168" s="291"/>
      <c r="JQ168" s="291"/>
      <c r="JR168" s="291"/>
      <c r="JS168" s="291"/>
      <c r="JT168" s="291"/>
      <c r="JU168" s="291"/>
      <c r="JV168" s="291"/>
      <c r="JW168" s="291"/>
      <c r="JX168" s="291"/>
      <c r="JY168" s="291"/>
      <c r="JZ168" s="291"/>
      <c r="KA168" s="291"/>
      <c r="KB168" s="291"/>
      <c r="KC168" s="291"/>
      <c r="KD168" s="291"/>
      <c r="KE168" s="291"/>
      <c r="KF168" s="291"/>
      <c r="KG168" s="291"/>
      <c r="KH168" s="291"/>
      <c r="KI168" s="291"/>
      <c r="KJ168" s="291"/>
      <c r="KK168" s="291"/>
      <c r="KL168" s="291"/>
      <c r="KM168" s="291"/>
      <c r="KN168" s="291"/>
      <c r="KO168" s="291"/>
      <c r="KP168" s="291"/>
      <c r="KQ168" s="291"/>
      <c r="KR168" s="291"/>
      <c r="KS168" s="291"/>
      <c r="KT168" s="291"/>
      <c r="KU168" s="291"/>
      <c r="KV168" s="291"/>
      <c r="KW168" s="291"/>
      <c r="KX168" s="291"/>
      <c r="KY168" s="291"/>
      <c r="KZ168" s="291"/>
      <c r="LA168" s="291"/>
      <c r="LB168" s="291"/>
      <c r="LC168" s="291"/>
      <c r="LD168" s="291"/>
      <c r="LE168" s="291"/>
      <c r="LF168" s="291"/>
      <c r="LG168" s="291"/>
      <c r="LH168" s="291"/>
      <c r="LI168" s="291"/>
      <c r="LJ168" s="291"/>
      <c r="LK168" s="291"/>
      <c r="LL168" s="291"/>
      <c r="LM168" s="291"/>
      <c r="LN168" s="291"/>
      <c r="LO168" s="291"/>
      <c r="LP168" s="291"/>
      <c r="LQ168" s="291"/>
      <c r="LR168" s="291"/>
      <c r="LS168" s="291"/>
      <c r="LT168" s="291"/>
      <c r="LU168" s="291"/>
      <c r="LV168" s="291"/>
      <c r="LW168" s="291"/>
      <c r="LX168" s="291"/>
      <c r="LY168" s="291"/>
      <c r="LZ168" s="291"/>
      <c r="MA168" s="291"/>
      <c r="MB168" s="291"/>
      <c r="MC168" s="291"/>
      <c r="MD168" s="291"/>
      <c r="ME168" s="291"/>
      <c r="MF168" s="291"/>
      <c r="MG168" s="291"/>
      <c r="MH168" s="291"/>
      <c r="MI168" s="291"/>
      <c r="MJ168" s="291"/>
      <c r="MK168" s="291"/>
      <c r="ML168" s="291"/>
      <c r="MM168" s="291"/>
      <c r="MN168" s="291"/>
      <c r="MO168" s="291"/>
      <c r="MP168" s="291"/>
      <c r="MQ168" s="291"/>
      <c r="MR168" s="291"/>
      <c r="MS168" s="291"/>
      <c r="MT168" s="291"/>
      <c r="MU168" s="291"/>
      <c r="MV168" s="291"/>
      <c r="MW168" s="291"/>
      <c r="MX168" s="291"/>
      <c r="MY168" s="291"/>
      <c r="MZ168" s="291"/>
      <c r="NA168" s="291"/>
      <c r="NB168" s="291"/>
      <c r="NC168" s="291"/>
      <c r="ND168" s="291"/>
      <c r="NE168" s="291"/>
      <c r="NF168" s="291"/>
      <c r="NG168" s="291"/>
      <c r="NH168" s="291"/>
      <c r="NI168" s="291"/>
      <c r="NJ168" s="291"/>
      <c r="NK168" s="291"/>
      <c r="NL168" s="291"/>
      <c r="NM168" s="291"/>
      <c r="NN168" s="291"/>
      <c r="NO168" s="291"/>
      <c r="NP168" s="291"/>
      <c r="NQ168" s="291"/>
      <c r="NR168" s="291"/>
      <c r="NS168" s="291"/>
      <c r="NT168" s="291"/>
      <c r="NU168" s="291"/>
      <c r="NV168" s="291"/>
      <c r="NW168" s="291"/>
      <c r="NX168" s="291"/>
      <c r="NY168" s="291"/>
      <c r="NZ168" s="291"/>
      <c r="OA168" s="291"/>
      <c r="OB168" s="291"/>
      <c r="OC168" s="291"/>
      <c r="OD168" s="291"/>
      <c r="OE168" s="291"/>
      <c r="OF168" s="291"/>
      <c r="OG168" s="291"/>
      <c r="OH168" s="291"/>
      <c r="OI168" s="291"/>
      <c r="OJ168" s="291"/>
      <c r="OK168" s="291"/>
      <c r="OL168" s="291"/>
      <c r="OM168" s="291"/>
      <c r="ON168" s="291"/>
      <c r="OO168" s="291"/>
      <c r="OP168" s="291"/>
      <c r="OQ168" s="291"/>
      <c r="OR168" s="291"/>
      <c r="OS168" s="291"/>
      <c r="OT168" s="291"/>
      <c r="OU168" s="291"/>
      <c r="OV168" s="291"/>
      <c r="OW168" s="291"/>
    </row>
    <row r="169" spans="1:413" s="257" customFormat="1" hidden="1" x14ac:dyDescent="0.2">
      <c r="A169" s="291"/>
      <c r="B169" s="524">
        <f t="shared" si="11"/>
        <v>153</v>
      </c>
      <c r="C169" s="510" t="s">
        <v>38</v>
      </c>
      <c r="D169" s="511">
        <v>30452825</v>
      </c>
      <c r="E169" s="511"/>
      <c r="F169" s="512" t="s">
        <v>1318</v>
      </c>
      <c r="G169" s="513" t="s">
        <v>45</v>
      </c>
      <c r="H169" s="514" t="s">
        <v>1094</v>
      </c>
      <c r="I169" s="515" t="s">
        <v>1157</v>
      </c>
      <c r="J169" s="346" t="s">
        <v>42</v>
      </c>
      <c r="K169" s="526">
        <v>182037</v>
      </c>
      <c r="L169" s="527">
        <v>104150</v>
      </c>
      <c r="M169" s="528">
        <v>76887</v>
      </c>
      <c r="N169" s="520">
        <v>0</v>
      </c>
      <c r="O169" s="520">
        <v>0</v>
      </c>
      <c r="P169" s="520">
        <v>0</v>
      </c>
      <c r="Q169" s="520">
        <v>0</v>
      </c>
      <c r="R169" s="520">
        <v>0</v>
      </c>
      <c r="S169" s="520">
        <v>0</v>
      </c>
      <c r="T169" s="18"/>
      <c r="U169" s="18"/>
      <c r="V169" s="18"/>
      <c r="W169" s="18"/>
      <c r="X169" s="18"/>
      <c r="Y169" s="18"/>
      <c r="Z169" s="18">
        <f t="shared" si="8"/>
        <v>0</v>
      </c>
      <c r="AA169" s="309">
        <v>1000</v>
      </c>
      <c r="AB169" s="19">
        <v>9</v>
      </c>
      <c r="AC169" s="521">
        <v>44232</v>
      </c>
      <c r="AD169" s="25">
        <v>44251</v>
      </c>
      <c r="AE169" s="309"/>
      <c r="AF169" s="314"/>
      <c r="AG169" s="315"/>
      <c r="AH169" s="316"/>
      <c r="AI169" s="309"/>
      <c r="AJ169" s="338"/>
      <c r="AK169" s="315"/>
      <c r="AL169" s="316"/>
      <c r="AM169" s="309"/>
      <c r="AN169" s="338"/>
      <c r="AO169" s="21"/>
      <c r="AP169" s="25"/>
      <c r="AQ169" s="309"/>
      <c r="AR169" s="19"/>
      <c r="AS169" s="21"/>
      <c r="AT169" s="25"/>
      <c r="AU169" s="522">
        <f t="shared" si="9"/>
        <v>1000</v>
      </c>
      <c r="AV169" s="311">
        <f t="shared" si="10"/>
        <v>1000</v>
      </c>
      <c r="AW169" s="305"/>
      <c r="AX169" s="291"/>
      <c r="AY169" s="291"/>
      <c r="AZ169" s="291"/>
      <c r="BA169" s="291"/>
      <c r="BB169" s="291"/>
      <c r="BC169" s="291"/>
      <c r="BD169" s="291"/>
      <c r="BE169" s="291"/>
      <c r="BF169" s="291"/>
      <c r="BG169" s="291"/>
      <c r="BH169" s="291"/>
      <c r="BI169" s="291"/>
      <c r="BJ169" s="291"/>
      <c r="BK169" s="291"/>
      <c r="BL169" s="291"/>
      <c r="BM169" s="291"/>
      <c r="BN169" s="291"/>
      <c r="BO169" s="291"/>
      <c r="BP169" s="291"/>
      <c r="BQ169" s="291"/>
      <c r="BR169" s="291"/>
      <c r="BS169" s="291"/>
      <c r="BT169" s="291"/>
      <c r="BU169" s="291"/>
      <c r="BV169" s="291"/>
      <c r="BW169" s="291"/>
      <c r="BX169" s="291"/>
      <c r="BY169" s="291"/>
      <c r="BZ169" s="291"/>
      <c r="CA169" s="291"/>
      <c r="CB169" s="291"/>
      <c r="CC169" s="291"/>
      <c r="CD169" s="291"/>
      <c r="CE169" s="291"/>
      <c r="CF169" s="291"/>
      <c r="CG169" s="291"/>
      <c r="CH169" s="291"/>
      <c r="CI169" s="291"/>
      <c r="CJ169" s="291"/>
      <c r="CK169" s="291"/>
      <c r="CL169" s="291"/>
      <c r="CM169" s="291"/>
      <c r="CN169" s="291"/>
      <c r="CO169" s="291"/>
      <c r="CP169" s="291"/>
      <c r="CQ169" s="291"/>
      <c r="CR169" s="291"/>
      <c r="CS169" s="291"/>
      <c r="CT169" s="291"/>
      <c r="CU169" s="291"/>
      <c r="CV169" s="291"/>
      <c r="CW169" s="291"/>
      <c r="CX169" s="291"/>
      <c r="CY169" s="291"/>
      <c r="CZ169" s="291"/>
      <c r="DA169" s="291"/>
      <c r="DB169" s="291"/>
      <c r="DC169" s="291"/>
      <c r="DD169" s="291"/>
      <c r="DE169" s="291"/>
      <c r="DF169" s="291"/>
      <c r="DG169" s="291"/>
      <c r="DH169" s="291"/>
      <c r="DI169" s="291"/>
      <c r="DJ169" s="291"/>
      <c r="DK169" s="291"/>
      <c r="DL169" s="291"/>
      <c r="DM169" s="291"/>
      <c r="DN169" s="291"/>
      <c r="DO169" s="291"/>
      <c r="DP169" s="291"/>
      <c r="DQ169" s="291"/>
      <c r="DR169" s="291"/>
      <c r="DS169" s="291"/>
      <c r="DT169" s="291"/>
      <c r="DU169" s="291"/>
      <c r="DV169" s="291"/>
      <c r="DW169" s="291"/>
      <c r="DX169" s="291"/>
      <c r="DY169" s="291"/>
      <c r="DZ169" s="291"/>
      <c r="EA169" s="291"/>
      <c r="EB169" s="291"/>
      <c r="EC169" s="291"/>
      <c r="ED169" s="291"/>
      <c r="EE169" s="291"/>
      <c r="EF169" s="291"/>
      <c r="EG169" s="291"/>
      <c r="EH169" s="291"/>
      <c r="EI169" s="291"/>
      <c r="EJ169" s="291"/>
      <c r="EK169" s="291"/>
      <c r="EL169" s="291"/>
      <c r="EM169" s="291"/>
      <c r="EN169" s="291"/>
      <c r="EO169" s="291"/>
      <c r="EP169" s="291"/>
      <c r="EQ169" s="291"/>
      <c r="ER169" s="291"/>
      <c r="ES169" s="291"/>
      <c r="ET169" s="291"/>
      <c r="EU169" s="291"/>
      <c r="EV169" s="291"/>
      <c r="EW169" s="291"/>
      <c r="EX169" s="291"/>
      <c r="EY169" s="291"/>
      <c r="EZ169" s="291"/>
      <c r="FA169" s="291"/>
      <c r="FB169" s="291"/>
      <c r="FC169" s="291"/>
      <c r="FD169" s="291"/>
      <c r="FE169" s="291"/>
      <c r="FF169" s="291"/>
      <c r="FG169" s="291"/>
      <c r="FH169" s="291"/>
      <c r="FI169" s="291"/>
      <c r="FJ169" s="291"/>
      <c r="FK169" s="291"/>
      <c r="FL169" s="291"/>
      <c r="FM169" s="291"/>
      <c r="FN169" s="291"/>
      <c r="FO169" s="291"/>
      <c r="FP169" s="291"/>
      <c r="FQ169" s="291"/>
      <c r="FR169" s="291"/>
      <c r="FS169" s="291"/>
      <c r="FT169" s="291"/>
      <c r="FU169" s="291"/>
      <c r="FV169" s="291"/>
      <c r="FW169" s="291"/>
      <c r="FX169" s="291"/>
      <c r="FY169" s="291"/>
      <c r="FZ169" s="291"/>
      <c r="GA169" s="291"/>
      <c r="GB169" s="291"/>
      <c r="GC169" s="291"/>
      <c r="GD169" s="291"/>
      <c r="GE169" s="291"/>
      <c r="GF169" s="291"/>
      <c r="GG169" s="291"/>
      <c r="GH169" s="291"/>
      <c r="GI169" s="291"/>
      <c r="GJ169" s="291"/>
      <c r="GK169" s="291"/>
      <c r="GL169" s="291"/>
      <c r="GM169" s="291"/>
      <c r="GN169" s="291"/>
      <c r="GO169" s="291"/>
      <c r="GP169" s="291"/>
      <c r="GQ169" s="291"/>
      <c r="GR169" s="291"/>
      <c r="GS169" s="291"/>
      <c r="GT169" s="291"/>
      <c r="GU169" s="291"/>
      <c r="GV169" s="291"/>
      <c r="GW169" s="291"/>
      <c r="GX169" s="291"/>
      <c r="GY169" s="291"/>
      <c r="GZ169" s="291"/>
      <c r="HA169" s="291"/>
      <c r="HB169" s="291"/>
      <c r="HC169" s="291"/>
      <c r="HD169" s="291"/>
      <c r="HE169" s="291"/>
      <c r="HF169" s="291"/>
      <c r="HG169" s="291"/>
      <c r="HH169" s="291"/>
      <c r="HI169" s="291"/>
      <c r="HJ169" s="291"/>
      <c r="HK169" s="291"/>
      <c r="HL169" s="291"/>
      <c r="HM169" s="291"/>
      <c r="HN169" s="291"/>
      <c r="HO169" s="291"/>
      <c r="HP169" s="291"/>
      <c r="HQ169" s="291"/>
      <c r="HR169" s="291"/>
      <c r="HS169" s="291"/>
      <c r="HT169" s="291"/>
      <c r="HU169" s="291"/>
      <c r="HV169" s="291"/>
      <c r="HW169" s="291"/>
      <c r="HX169" s="291"/>
      <c r="HY169" s="291"/>
      <c r="HZ169" s="291"/>
      <c r="IA169" s="291"/>
      <c r="IB169" s="291"/>
      <c r="IC169" s="291"/>
      <c r="ID169" s="291"/>
      <c r="IE169" s="291"/>
      <c r="IF169" s="291"/>
      <c r="IG169" s="291"/>
      <c r="IH169" s="291"/>
      <c r="II169" s="291"/>
      <c r="IJ169" s="291"/>
      <c r="IK169" s="291"/>
      <c r="IL169" s="291"/>
      <c r="IM169" s="291"/>
      <c r="IN169" s="291"/>
      <c r="IO169" s="291"/>
      <c r="IP169" s="291"/>
      <c r="IQ169" s="291"/>
      <c r="IR169" s="291"/>
      <c r="IS169" s="291"/>
      <c r="IT169" s="291"/>
      <c r="IU169" s="291"/>
      <c r="IV169" s="291"/>
      <c r="IW169" s="291"/>
      <c r="IX169" s="291"/>
      <c r="IY169" s="291"/>
      <c r="IZ169" s="291"/>
      <c r="JA169" s="291"/>
      <c r="JB169" s="291"/>
      <c r="JC169" s="291"/>
      <c r="JD169" s="291"/>
      <c r="JE169" s="291"/>
      <c r="JF169" s="291"/>
      <c r="JG169" s="291"/>
      <c r="JH169" s="291"/>
      <c r="JI169" s="291"/>
      <c r="JJ169" s="291"/>
      <c r="JK169" s="291"/>
      <c r="JL169" s="291"/>
      <c r="JM169" s="291"/>
      <c r="JN169" s="291"/>
      <c r="JO169" s="291"/>
      <c r="JP169" s="291"/>
      <c r="JQ169" s="291"/>
      <c r="JR169" s="291"/>
      <c r="JS169" s="291"/>
      <c r="JT169" s="291"/>
      <c r="JU169" s="291"/>
      <c r="JV169" s="291"/>
      <c r="JW169" s="291"/>
      <c r="JX169" s="291"/>
      <c r="JY169" s="291"/>
      <c r="JZ169" s="291"/>
      <c r="KA169" s="291"/>
      <c r="KB169" s="291"/>
      <c r="KC169" s="291"/>
      <c r="KD169" s="291"/>
      <c r="KE169" s="291"/>
      <c r="KF169" s="291"/>
      <c r="KG169" s="291"/>
      <c r="KH169" s="291"/>
      <c r="KI169" s="291"/>
      <c r="KJ169" s="291"/>
      <c r="KK169" s="291"/>
      <c r="KL169" s="291"/>
      <c r="KM169" s="291"/>
      <c r="KN169" s="291"/>
      <c r="KO169" s="291"/>
      <c r="KP169" s="291"/>
      <c r="KQ169" s="291"/>
      <c r="KR169" s="291"/>
      <c r="KS169" s="291"/>
      <c r="KT169" s="291"/>
      <c r="KU169" s="291"/>
      <c r="KV169" s="291"/>
      <c r="KW169" s="291"/>
      <c r="KX169" s="291"/>
      <c r="KY169" s="291"/>
      <c r="KZ169" s="291"/>
      <c r="LA169" s="291"/>
      <c r="LB169" s="291"/>
      <c r="LC169" s="291"/>
      <c r="LD169" s="291"/>
      <c r="LE169" s="291"/>
      <c r="LF169" s="291"/>
      <c r="LG169" s="291"/>
      <c r="LH169" s="291"/>
      <c r="LI169" s="291"/>
      <c r="LJ169" s="291"/>
      <c r="LK169" s="291"/>
      <c r="LL169" s="291"/>
      <c r="LM169" s="291"/>
      <c r="LN169" s="291"/>
      <c r="LO169" s="291"/>
      <c r="LP169" s="291"/>
      <c r="LQ169" s="291"/>
      <c r="LR169" s="291"/>
      <c r="LS169" s="291"/>
      <c r="LT169" s="291"/>
      <c r="LU169" s="291"/>
      <c r="LV169" s="291"/>
      <c r="LW169" s="291"/>
      <c r="LX169" s="291"/>
      <c r="LY169" s="291"/>
      <c r="LZ169" s="291"/>
      <c r="MA169" s="291"/>
      <c r="MB169" s="291"/>
      <c r="MC169" s="291"/>
      <c r="MD169" s="291"/>
      <c r="ME169" s="291"/>
      <c r="MF169" s="291"/>
      <c r="MG169" s="291"/>
      <c r="MH169" s="291"/>
      <c r="MI169" s="291"/>
      <c r="MJ169" s="291"/>
      <c r="MK169" s="291"/>
      <c r="ML169" s="291"/>
      <c r="MM169" s="291"/>
      <c r="MN169" s="291"/>
      <c r="MO169" s="291"/>
      <c r="MP169" s="291"/>
      <c r="MQ169" s="291"/>
      <c r="MR169" s="291"/>
      <c r="MS169" s="291"/>
      <c r="MT169" s="291"/>
      <c r="MU169" s="291"/>
      <c r="MV169" s="291"/>
      <c r="MW169" s="291"/>
      <c r="MX169" s="291"/>
      <c r="MY169" s="291"/>
      <c r="MZ169" s="291"/>
      <c r="NA169" s="291"/>
      <c r="NB169" s="291"/>
      <c r="NC169" s="291"/>
      <c r="ND169" s="291"/>
      <c r="NE169" s="291"/>
      <c r="NF169" s="291"/>
      <c r="NG169" s="291"/>
      <c r="NH169" s="291"/>
      <c r="NI169" s="291"/>
      <c r="NJ169" s="291"/>
      <c r="NK169" s="291"/>
      <c r="NL169" s="291"/>
      <c r="NM169" s="291"/>
      <c r="NN169" s="291"/>
      <c r="NO169" s="291"/>
      <c r="NP169" s="291"/>
      <c r="NQ169" s="291"/>
      <c r="NR169" s="291"/>
      <c r="NS169" s="291"/>
      <c r="NT169" s="291"/>
      <c r="NU169" s="291"/>
      <c r="NV169" s="291"/>
      <c r="NW169" s="291"/>
      <c r="NX169" s="291"/>
      <c r="NY169" s="291"/>
      <c r="NZ169" s="291"/>
      <c r="OA169" s="291"/>
      <c r="OB169" s="291"/>
      <c r="OC169" s="291"/>
      <c r="OD169" s="291"/>
      <c r="OE169" s="291"/>
      <c r="OF169" s="291"/>
      <c r="OG169" s="291"/>
      <c r="OH169" s="291"/>
      <c r="OI169" s="291"/>
      <c r="OJ169" s="291"/>
      <c r="OK169" s="291"/>
      <c r="OL169" s="291"/>
      <c r="OM169" s="291"/>
      <c r="ON169" s="291"/>
      <c r="OO169" s="291"/>
      <c r="OP169" s="291"/>
      <c r="OQ169" s="291"/>
      <c r="OR169" s="291"/>
      <c r="OS169" s="291"/>
      <c r="OT169" s="291"/>
      <c r="OU169" s="291"/>
      <c r="OV169" s="291"/>
      <c r="OW169" s="291"/>
    </row>
    <row r="170" spans="1:413" s="257" customFormat="1" hidden="1" x14ac:dyDescent="0.2">
      <c r="A170" s="291"/>
      <c r="B170" s="524">
        <f t="shared" si="11"/>
        <v>154</v>
      </c>
      <c r="C170" s="510" t="s">
        <v>38</v>
      </c>
      <c r="D170" s="511">
        <v>30452873</v>
      </c>
      <c r="E170" s="511"/>
      <c r="F170" s="512" t="s">
        <v>1319</v>
      </c>
      <c r="G170" s="513" t="s">
        <v>45</v>
      </c>
      <c r="H170" s="514" t="s">
        <v>1094</v>
      </c>
      <c r="I170" s="515" t="s">
        <v>1313</v>
      </c>
      <c r="J170" s="346" t="s">
        <v>42</v>
      </c>
      <c r="K170" s="526">
        <v>153185</v>
      </c>
      <c r="L170" s="527">
        <v>2498</v>
      </c>
      <c r="M170" s="528">
        <v>25419</v>
      </c>
      <c r="N170" s="520">
        <v>0</v>
      </c>
      <c r="O170" s="520">
        <v>0</v>
      </c>
      <c r="P170" s="520">
        <v>0</v>
      </c>
      <c r="Q170" s="520">
        <v>0</v>
      </c>
      <c r="R170" s="520">
        <v>0</v>
      </c>
      <c r="S170" s="520">
        <v>0</v>
      </c>
      <c r="T170" s="18"/>
      <c r="U170" s="18"/>
      <c r="V170" s="18"/>
      <c r="W170" s="18"/>
      <c r="X170" s="18"/>
      <c r="Y170" s="18"/>
      <c r="Z170" s="18">
        <f t="shared" si="8"/>
        <v>0</v>
      </c>
      <c r="AA170" s="309">
        <v>125000</v>
      </c>
      <c r="AB170" s="19">
        <v>9</v>
      </c>
      <c r="AC170" s="521">
        <v>44232</v>
      </c>
      <c r="AD170" s="25">
        <v>44251</v>
      </c>
      <c r="AE170" s="309"/>
      <c r="AF170" s="314"/>
      <c r="AG170" s="315"/>
      <c r="AH170" s="316"/>
      <c r="AI170" s="309"/>
      <c r="AJ170" s="338"/>
      <c r="AK170" s="315"/>
      <c r="AL170" s="316"/>
      <c r="AM170" s="309"/>
      <c r="AN170" s="338"/>
      <c r="AO170" s="21"/>
      <c r="AP170" s="25"/>
      <c r="AQ170" s="309"/>
      <c r="AR170" s="19"/>
      <c r="AS170" s="21"/>
      <c r="AT170" s="25"/>
      <c r="AU170" s="522">
        <f t="shared" si="9"/>
        <v>125000</v>
      </c>
      <c r="AV170" s="311">
        <f t="shared" si="10"/>
        <v>125000</v>
      </c>
      <c r="AW170" s="305"/>
      <c r="AX170" s="291"/>
      <c r="AY170" s="291"/>
      <c r="AZ170" s="291"/>
      <c r="BA170" s="291"/>
      <c r="BB170" s="291"/>
      <c r="BC170" s="291"/>
      <c r="BD170" s="291"/>
      <c r="BE170" s="291"/>
      <c r="BF170" s="291"/>
      <c r="BG170" s="291"/>
      <c r="BH170" s="291"/>
      <c r="BI170" s="291"/>
      <c r="BJ170" s="291"/>
      <c r="BK170" s="291"/>
      <c r="BL170" s="291"/>
      <c r="BM170" s="291"/>
      <c r="BN170" s="291"/>
      <c r="BO170" s="291"/>
      <c r="BP170" s="291"/>
      <c r="BQ170" s="291"/>
      <c r="BR170" s="291"/>
      <c r="BS170" s="291"/>
      <c r="BT170" s="291"/>
      <c r="BU170" s="291"/>
      <c r="BV170" s="291"/>
      <c r="BW170" s="291"/>
      <c r="BX170" s="291"/>
      <c r="BY170" s="291"/>
      <c r="BZ170" s="291"/>
      <c r="CA170" s="291"/>
      <c r="CB170" s="291"/>
      <c r="CC170" s="291"/>
      <c r="CD170" s="291"/>
      <c r="CE170" s="291"/>
      <c r="CF170" s="291"/>
      <c r="CG170" s="291"/>
      <c r="CH170" s="291"/>
      <c r="CI170" s="291"/>
      <c r="CJ170" s="291"/>
      <c r="CK170" s="291"/>
      <c r="CL170" s="291"/>
      <c r="CM170" s="291"/>
      <c r="CN170" s="291"/>
      <c r="CO170" s="291"/>
      <c r="CP170" s="291"/>
      <c r="CQ170" s="291"/>
      <c r="CR170" s="291"/>
      <c r="CS170" s="291"/>
      <c r="CT170" s="291"/>
      <c r="CU170" s="291"/>
      <c r="CV170" s="291"/>
      <c r="CW170" s="291"/>
      <c r="CX170" s="291"/>
      <c r="CY170" s="291"/>
      <c r="CZ170" s="291"/>
      <c r="DA170" s="291"/>
      <c r="DB170" s="291"/>
      <c r="DC170" s="291"/>
      <c r="DD170" s="291"/>
      <c r="DE170" s="291"/>
      <c r="DF170" s="291"/>
      <c r="DG170" s="291"/>
      <c r="DH170" s="291"/>
      <c r="DI170" s="291"/>
      <c r="DJ170" s="291"/>
      <c r="DK170" s="291"/>
      <c r="DL170" s="291"/>
      <c r="DM170" s="291"/>
      <c r="DN170" s="291"/>
      <c r="DO170" s="291"/>
      <c r="DP170" s="291"/>
      <c r="DQ170" s="291"/>
      <c r="DR170" s="291"/>
      <c r="DS170" s="291"/>
      <c r="DT170" s="291"/>
      <c r="DU170" s="291"/>
      <c r="DV170" s="291"/>
      <c r="DW170" s="291"/>
      <c r="DX170" s="291"/>
      <c r="DY170" s="291"/>
      <c r="DZ170" s="291"/>
      <c r="EA170" s="291"/>
      <c r="EB170" s="291"/>
      <c r="EC170" s="291"/>
      <c r="ED170" s="291"/>
      <c r="EE170" s="291"/>
      <c r="EF170" s="291"/>
      <c r="EG170" s="291"/>
      <c r="EH170" s="291"/>
      <c r="EI170" s="291"/>
      <c r="EJ170" s="291"/>
      <c r="EK170" s="291"/>
      <c r="EL170" s="291"/>
      <c r="EM170" s="291"/>
      <c r="EN170" s="291"/>
      <c r="EO170" s="291"/>
      <c r="EP170" s="291"/>
      <c r="EQ170" s="291"/>
      <c r="ER170" s="291"/>
      <c r="ES170" s="291"/>
      <c r="ET170" s="291"/>
      <c r="EU170" s="291"/>
      <c r="EV170" s="291"/>
      <c r="EW170" s="291"/>
      <c r="EX170" s="291"/>
      <c r="EY170" s="291"/>
      <c r="EZ170" s="291"/>
      <c r="FA170" s="291"/>
      <c r="FB170" s="291"/>
      <c r="FC170" s="291"/>
      <c r="FD170" s="291"/>
      <c r="FE170" s="291"/>
      <c r="FF170" s="291"/>
      <c r="FG170" s="291"/>
      <c r="FH170" s="291"/>
      <c r="FI170" s="291"/>
      <c r="FJ170" s="291"/>
      <c r="FK170" s="291"/>
      <c r="FL170" s="291"/>
      <c r="FM170" s="291"/>
      <c r="FN170" s="291"/>
      <c r="FO170" s="291"/>
      <c r="FP170" s="291"/>
      <c r="FQ170" s="291"/>
      <c r="FR170" s="291"/>
      <c r="FS170" s="291"/>
      <c r="FT170" s="291"/>
      <c r="FU170" s="291"/>
      <c r="FV170" s="291"/>
      <c r="FW170" s="291"/>
      <c r="FX170" s="291"/>
      <c r="FY170" s="291"/>
      <c r="FZ170" s="291"/>
      <c r="GA170" s="291"/>
      <c r="GB170" s="291"/>
      <c r="GC170" s="291"/>
      <c r="GD170" s="291"/>
      <c r="GE170" s="291"/>
      <c r="GF170" s="291"/>
      <c r="GG170" s="291"/>
      <c r="GH170" s="291"/>
      <c r="GI170" s="291"/>
      <c r="GJ170" s="291"/>
      <c r="GK170" s="291"/>
      <c r="GL170" s="291"/>
      <c r="GM170" s="291"/>
      <c r="GN170" s="291"/>
      <c r="GO170" s="291"/>
      <c r="GP170" s="291"/>
      <c r="GQ170" s="291"/>
      <c r="GR170" s="291"/>
      <c r="GS170" s="291"/>
      <c r="GT170" s="291"/>
      <c r="GU170" s="291"/>
      <c r="GV170" s="291"/>
      <c r="GW170" s="291"/>
      <c r="GX170" s="291"/>
      <c r="GY170" s="291"/>
      <c r="GZ170" s="291"/>
      <c r="HA170" s="291"/>
      <c r="HB170" s="291"/>
      <c r="HC170" s="291"/>
      <c r="HD170" s="291"/>
      <c r="HE170" s="291"/>
      <c r="HF170" s="291"/>
      <c r="HG170" s="291"/>
      <c r="HH170" s="291"/>
      <c r="HI170" s="291"/>
      <c r="HJ170" s="291"/>
      <c r="HK170" s="291"/>
      <c r="HL170" s="291"/>
      <c r="HM170" s="291"/>
      <c r="HN170" s="291"/>
      <c r="HO170" s="291"/>
      <c r="HP170" s="291"/>
      <c r="HQ170" s="291"/>
      <c r="HR170" s="291"/>
      <c r="HS170" s="291"/>
      <c r="HT170" s="291"/>
      <c r="HU170" s="291"/>
      <c r="HV170" s="291"/>
      <c r="HW170" s="291"/>
      <c r="HX170" s="291"/>
      <c r="HY170" s="291"/>
      <c r="HZ170" s="291"/>
      <c r="IA170" s="291"/>
      <c r="IB170" s="291"/>
      <c r="IC170" s="291"/>
      <c r="ID170" s="291"/>
      <c r="IE170" s="291"/>
      <c r="IF170" s="291"/>
      <c r="IG170" s="291"/>
      <c r="IH170" s="291"/>
      <c r="II170" s="291"/>
      <c r="IJ170" s="291"/>
      <c r="IK170" s="291"/>
      <c r="IL170" s="291"/>
      <c r="IM170" s="291"/>
      <c r="IN170" s="291"/>
      <c r="IO170" s="291"/>
      <c r="IP170" s="291"/>
      <c r="IQ170" s="291"/>
      <c r="IR170" s="291"/>
      <c r="IS170" s="291"/>
      <c r="IT170" s="291"/>
      <c r="IU170" s="291"/>
      <c r="IV170" s="291"/>
      <c r="IW170" s="291"/>
      <c r="IX170" s="291"/>
      <c r="IY170" s="291"/>
      <c r="IZ170" s="291"/>
      <c r="JA170" s="291"/>
      <c r="JB170" s="291"/>
      <c r="JC170" s="291"/>
      <c r="JD170" s="291"/>
      <c r="JE170" s="291"/>
      <c r="JF170" s="291"/>
      <c r="JG170" s="291"/>
      <c r="JH170" s="291"/>
      <c r="JI170" s="291"/>
      <c r="JJ170" s="291"/>
      <c r="JK170" s="291"/>
      <c r="JL170" s="291"/>
      <c r="JM170" s="291"/>
      <c r="JN170" s="291"/>
      <c r="JO170" s="291"/>
      <c r="JP170" s="291"/>
      <c r="JQ170" s="291"/>
      <c r="JR170" s="291"/>
      <c r="JS170" s="291"/>
      <c r="JT170" s="291"/>
      <c r="JU170" s="291"/>
      <c r="JV170" s="291"/>
      <c r="JW170" s="291"/>
      <c r="JX170" s="291"/>
      <c r="JY170" s="291"/>
      <c r="JZ170" s="291"/>
      <c r="KA170" s="291"/>
      <c r="KB170" s="291"/>
      <c r="KC170" s="291"/>
      <c r="KD170" s="291"/>
      <c r="KE170" s="291"/>
      <c r="KF170" s="291"/>
      <c r="KG170" s="291"/>
      <c r="KH170" s="291"/>
      <c r="KI170" s="291"/>
      <c r="KJ170" s="291"/>
      <c r="KK170" s="291"/>
      <c r="KL170" s="291"/>
      <c r="KM170" s="291"/>
      <c r="KN170" s="291"/>
      <c r="KO170" s="291"/>
      <c r="KP170" s="291"/>
      <c r="KQ170" s="291"/>
      <c r="KR170" s="291"/>
      <c r="KS170" s="291"/>
      <c r="KT170" s="291"/>
      <c r="KU170" s="291"/>
      <c r="KV170" s="291"/>
      <c r="KW170" s="291"/>
      <c r="KX170" s="291"/>
      <c r="KY170" s="291"/>
      <c r="KZ170" s="291"/>
      <c r="LA170" s="291"/>
      <c r="LB170" s="291"/>
      <c r="LC170" s="291"/>
      <c r="LD170" s="291"/>
      <c r="LE170" s="291"/>
      <c r="LF170" s="291"/>
      <c r="LG170" s="291"/>
      <c r="LH170" s="291"/>
      <c r="LI170" s="291"/>
      <c r="LJ170" s="291"/>
      <c r="LK170" s="291"/>
      <c r="LL170" s="291"/>
      <c r="LM170" s="291"/>
      <c r="LN170" s="291"/>
      <c r="LO170" s="291"/>
      <c r="LP170" s="291"/>
      <c r="LQ170" s="291"/>
      <c r="LR170" s="291"/>
      <c r="LS170" s="291"/>
      <c r="LT170" s="291"/>
      <c r="LU170" s="291"/>
      <c r="LV170" s="291"/>
      <c r="LW170" s="291"/>
      <c r="LX170" s="291"/>
      <c r="LY170" s="291"/>
      <c r="LZ170" s="291"/>
      <c r="MA170" s="291"/>
      <c r="MB170" s="291"/>
      <c r="MC170" s="291"/>
      <c r="MD170" s="291"/>
      <c r="ME170" s="291"/>
      <c r="MF170" s="291"/>
      <c r="MG170" s="291"/>
      <c r="MH170" s="291"/>
      <c r="MI170" s="291"/>
      <c r="MJ170" s="291"/>
      <c r="MK170" s="291"/>
      <c r="ML170" s="291"/>
      <c r="MM170" s="291"/>
      <c r="MN170" s="291"/>
      <c r="MO170" s="291"/>
      <c r="MP170" s="291"/>
      <c r="MQ170" s="291"/>
      <c r="MR170" s="291"/>
      <c r="MS170" s="291"/>
      <c r="MT170" s="291"/>
      <c r="MU170" s="291"/>
      <c r="MV170" s="291"/>
      <c r="MW170" s="291"/>
      <c r="MX170" s="291"/>
      <c r="MY170" s="291"/>
      <c r="MZ170" s="291"/>
      <c r="NA170" s="291"/>
      <c r="NB170" s="291"/>
      <c r="NC170" s="291"/>
      <c r="ND170" s="291"/>
      <c r="NE170" s="291"/>
      <c r="NF170" s="291"/>
      <c r="NG170" s="291"/>
      <c r="NH170" s="291"/>
      <c r="NI170" s="291"/>
      <c r="NJ170" s="291"/>
      <c r="NK170" s="291"/>
      <c r="NL170" s="291"/>
      <c r="NM170" s="291"/>
      <c r="NN170" s="291"/>
      <c r="NO170" s="291"/>
      <c r="NP170" s="291"/>
      <c r="NQ170" s="291"/>
      <c r="NR170" s="291"/>
      <c r="NS170" s="291"/>
      <c r="NT170" s="291"/>
      <c r="NU170" s="291"/>
      <c r="NV170" s="291"/>
      <c r="NW170" s="291"/>
      <c r="NX170" s="291"/>
      <c r="NY170" s="291"/>
      <c r="NZ170" s="291"/>
      <c r="OA170" s="291"/>
      <c r="OB170" s="291"/>
      <c r="OC170" s="291"/>
      <c r="OD170" s="291"/>
      <c r="OE170" s="291"/>
      <c r="OF170" s="291"/>
      <c r="OG170" s="291"/>
      <c r="OH170" s="291"/>
      <c r="OI170" s="291"/>
      <c r="OJ170" s="291"/>
      <c r="OK170" s="291"/>
      <c r="OL170" s="291"/>
      <c r="OM170" s="291"/>
      <c r="ON170" s="291"/>
      <c r="OO170" s="291"/>
      <c r="OP170" s="291"/>
      <c r="OQ170" s="291"/>
      <c r="OR170" s="291"/>
      <c r="OS170" s="291"/>
      <c r="OT170" s="291"/>
      <c r="OU170" s="291"/>
      <c r="OV170" s="291"/>
      <c r="OW170" s="291"/>
    </row>
    <row r="171" spans="1:413" s="257" customFormat="1" hidden="1" x14ac:dyDescent="0.2">
      <c r="A171" s="291"/>
      <c r="B171" s="524">
        <f t="shared" si="11"/>
        <v>155</v>
      </c>
      <c r="C171" s="510" t="s">
        <v>38</v>
      </c>
      <c r="D171" s="511">
        <v>30452874</v>
      </c>
      <c r="E171" s="511"/>
      <c r="F171" s="512" t="s">
        <v>1320</v>
      </c>
      <c r="G171" s="513" t="s">
        <v>45</v>
      </c>
      <c r="H171" s="514" t="s">
        <v>1094</v>
      </c>
      <c r="I171" s="515" t="s">
        <v>1171</v>
      </c>
      <c r="J171" s="346" t="s">
        <v>42</v>
      </c>
      <c r="K171" s="526">
        <v>312917</v>
      </c>
      <c r="L171" s="527">
        <v>205852</v>
      </c>
      <c r="M171" s="528">
        <v>106065</v>
      </c>
      <c r="N171" s="520">
        <v>0</v>
      </c>
      <c r="O171" s="520">
        <v>0</v>
      </c>
      <c r="P171" s="520">
        <v>0</v>
      </c>
      <c r="Q171" s="520">
        <v>0</v>
      </c>
      <c r="R171" s="520">
        <v>0</v>
      </c>
      <c r="S171" s="520">
        <v>0</v>
      </c>
      <c r="T171" s="18"/>
      <c r="U171" s="18"/>
      <c r="V171" s="18"/>
      <c r="W171" s="18"/>
      <c r="X171" s="18"/>
      <c r="Y171" s="18"/>
      <c r="Z171" s="18">
        <f t="shared" si="8"/>
        <v>0</v>
      </c>
      <c r="AA171" s="309">
        <v>1000</v>
      </c>
      <c r="AB171" s="19">
        <v>9</v>
      </c>
      <c r="AC171" s="521">
        <v>44232</v>
      </c>
      <c r="AD171" s="25">
        <v>44251</v>
      </c>
      <c r="AE171" s="309"/>
      <c r="AF171" s="314"/>
      <c r="AG171" s="315"/>
      <c r="AH171" s="316"/>
      <c r="AI171" s="309"/>
      <c r="AJ171" s="338"/>
      <c r="AK171" s="315"/>
      <c r="AL171" s="316"/>
      <c r="AM171" s="309"/>
      <c r="AN171" s="338"/>
      <c r="AO171" s="21"/>
      <c r="AP171" s="25"/>
      <c r="AQ171" s="309"/>
      <c r="AR171" s="19"/>
      <c r="AS171" s="21"/>
      <c r="AT171" s="25"/>
      <c r="AU171" s="522">
        <f t="shared" si="9"/>
        <v>1000</v>
      </c>
      <c r="AV171" s="311">
        <f t="shared" si="10"/>
        <v>1000</v>
      </c>
      <c r="AW171" s="305"/>
      <c r="AX171" s="291"/>
      <c r="AY171" s="291"/>
      <c r="AZ171" s="291"/>
      <c r="BA171" s="291"/>
      <c r="BB171" s="291"/>
      <c r="BC171" s="291"/>
      <c r="BD171" s="291"/>
      <c r="BE171" s="291"/>
      <c r="BF171" s="291"/>
      <c r="BG171" s="291"/>
      <c r="BH171" s="291"/>
      <c r="BI171" s="291"/>
      <c r="BJ171" s="291"/>
      <c r="BK171" s="291"/>
      <c r="BL171" s="291"/>
      <c r="BM171" s="291"/>
      <c r="BN171" s="291"/>
      <c r="BO171" s="291"/>
      <c r="BP171" s="291"/>
      <c r="BQ171" s="291"/>
      <c r="BR171" s="291"/>
      <c r="BS171" s="291"/>
      <c r="BT171" s="291"/>
      <c r="BU171" s="291"/>
      <c r="BV171" s="291"/>
      <c r="BW171" s="291"/>
      <c r="BX171" s="291"/>
      <c r="BY171" s="291"/>
      <c r="BZ171" s="291"/>
      <c r="CA171" s="291"/>
      <c r="CB171" s="291"/>
      <c r="CC171" s="291"/>
      <c r="CD171" s="291"/>
      <c r="CE171" s="291"/>
      <c r="CF171" s="291"/>
      <c r="CG171" s="291"/>
      <c r="CH171" s="291"/>
      <c r="CI171" s="291"/>
      <c r="CJ171" s="291"/>
      <c r="CK171" s="291"/>
      <c r="CL171" s="291"/>
      <c r="CM171" s="291"/>
      <c r="CN171" s="291"/>
      <c r="CO171" s="291"/>
      <c r="CP171" s="291"/>
      <c r="CQ171" s="291"/>
      <c r="CR171" s="291"/>
      <c r="CS171" s="291"/>
      <c r="CT171" s="291"/>
      <c r="CU171" s="291"/>
      <c r="CV171" s="291"/>
      <c r="CW171" s="291"/>
      <c r="CX171" s="291"/>
      <c r="CY171" s="291"/>
      <c r="CZ171" s="291"/>
      <c r="DA171" s="291"/>
      <c r="DB171" s="291"/>
      <c r="DC171" s="291"/>
      <c r="DD171" s="291"/>
      <c r="DE171" s="291"/>
      <c r="DF171" s="291"/>
      <c r="DG171" s="291"/>
      <c r="DH171" s="291"/>
      <c r="DI171" s="291"/>
      <c r="DJ171" s="291"/>
      <c r="DK171" s="291"/>
      <c r="DL171" s="291"/>
      <c r="DM171" s="291"/>
      <c r="DN171" s="291"/>
      <c r="DO171" s="291"/>
      <c r="DP171" s="291"/>
      <c r="DQ171" s="291"/>
      <c r="DR171" s="291"/>
      <c r="DS171" s="291"/>
      <c r="DT171" s="291"/>
      <c r="DU171" s="291"/>
      <c r="DV171" s="291"/>
      <c r="DW171" s="291"/>
      <c r="DX171" s="291"/>
      <c r="DY171" s="291"/>
      <c r="DZ171" s="291"/>
      <c r="EA171" s="291"/>
      <c r="EB171" s="291"/>
      <c r="EC171" s="291"/>
      <c r="ED171" s="291"/>
      <c r="EE171" s="291"/>
      <c r="EF171" s="291"/>
      <c r="EG171" s="291"/>
      <c r="EH171" s="291"/>
      <c r="EI171" s="291"/>
      <c r="EJ171" s="291"/>
      <c r="EK171" s="291"/>
      <c r="EL171" s="291"/>
      <c r="EM171" s="291"/>
      <c r="EN171" s="291"/>
      <c r="EO171" s="291"/>
      <c r="EP171" s="291"/>
      <c r="EQ171" s="291"/>
      <c r="ER171" s="291"/>
      <c r="ES171" s="291"/>
      <c r="ET171" s="291"/>
      <c r="EU171" s="291"/>
      <c r="EV171" s="291"/>
      <c r="EW171" s="291"/>
      <c r="EX171" s="291"/>
      <c r="EY171" s="291"/>
      <c r="EZ171" s="291"/>
      <c r="FA171" s="291"/>
      <c r="FB171" s="291"/>
      <c r="FC171" s="291"/>
      <c r="FD171" s="291"/>
      <c r="FE171" s="291"/>
      <c r="FF171" s="291"/>
      <c r="FG171" s="291"/>
      <c r="FH171" s="291"/>
      <c r="FI171" s="291"/>
      <c r="FJ171" s="291"/>
      <c r="FK171" s="291"/>
      <c r="FL171" s="291"/>
      <c r="FM171" s="291"/>
      <c r="FN171" s="291"/>
      <c r="FO171" s="291"/>
      <c r="FP171" s="291"/>
      <c r="FQ171" s="291"/>
      <c r="FR171" s="291"/>
      <c r="FS171" s="291"/>
      <c r="FT171" s="291"/>
      <c r="FU171" s="291"/>
      <c r="FV171" s="291"/>
      <c r="FW171" s="291"/>
      <c r="FX171" s="291"/>
      <c r="FY171" s="291"/>
      <c r="FZ171" s="291"/>
      <c r="GA171" s="291"/>
      <c r="GB171" s="291"/>
      <c r="GC171" s="291"/>
      <c r="GD171" s="291"/>
      <c r="GE171" s="291"/>
      <c r="GF171" s="291"/>
      <c r="GG171" s="291"/>
      <c r="GH171" s="291"/>
      <c r="GI171" s="291"/>
      <c r="GJ171" s="291"/>
      <c r="GK171" s="291"/>
      <c r="GL171" s="291"/>
      <c r="GM171" s="291"/>
      <c r="GN171" s="291"/>
      <c r="GO171" s="291"/>
      <c r="GP171" s="291"/>
      <c r="GQ171" s="291"/>
      <c r="GR171" s="291"/>
      <c r="GS171" s="291"/>
      <c r="GT171" s="291"/>
      <c r="GU171" s="291"/>
      <c r="GV171" s="291"/>
      <c r="GW171" s="291"/>
      <c r="GX171" s="291"/>
      <c r="GY171" s="291"/>
      <c r="GZ171" s="291"/>
      <c r="HA171" s="291"/>
      <c r="HB171" s="291"/>
      <c r="HC171" s="291"/>
      <c r="HD171" s="291"/>
      <c r="HE171" s="291"/>
      <c r="HF171" s="291"/>
      <c r="HG171" s="291"/>
      <c r="HH171" s="291"/>
      <c r="HI171" s="291"/>
      <c r="HJ171" s="291"/>
      <c r="HK171" s="291"/>
      <c r="HL171" s="291"/>
      <c r="HM171" s="291"/>
      <c r="HN171" s="291"/>
      <c r="HO171" s="291"/>
      <c r="HP171" s="291"/>
      <c r="HQ171" s="291"/>
      <c r="HR171" s="291"/>
      <c r="HS171" s="291"/>
      <c r="HT171" s="291"/>
      <c r="HU171" s="291"/>
      <c r="HV171" s="291"/>
      <c r="HW171" s="291"/>
      <c r="HX171" s="291"/>
      <c r="HY171" s="291"/>
      <c r="HZ171" s="291"/>
      <c r="IA171" s="291"/>
      <c r="IB171" s="291"/>
      <c r="IC171" s="291"/>
      <c r="ID171" s="291"/>
      <c r="IE171" s="291"/>
      <c r="IF171" s="291"/>
      <c r="IG171" s="291"/>
      <c r="IH171" s="291"/>
      <c r="II171" s="291"/>
      <c r="IJ171" s="291"/>
      <c r="IK171" s="291"/>
      <c r="IL171" s="291"/>
      <c r="IM171" s="291"/>
      <c r="IN171" s="291"/>
      <c r="IO171" s="291"/>
      <c r="IP171" s="291"/>
      <c r="IQ171" s="291"/>
      <c r="IR171" s="291"/>
      <c r="IS171" s="291"/>
      <c r="IT171" s="291"/>
      <c r="IU171" s="291"/>
      <c r="IV171" s="291"/>
      <c r="IW171" s="291"/>
      <c r="IX171" s="291"/>
      <c r="IY171" s="291"/>
      <c r="IZ171" s="291"/>
      <c r="JA171" s="291"/>
      <c r="JB171" s="291"/>
      <c r="JC171" s="291"/>
      <c r="JD171" s="291"/>
      <c r="JE171" s="291"/>
      <c r="JF171" s="291"/>
      <c r="JG171" s="291"/>
      <c r="JH171" s="291"/>
      <c r="JI171" s="291"/>
      <c r="JJ171" s="291"/>
      <c r="JK171" s="291"/>
      <c r="JL171" s="291"/>
      <c r="JM171" s="291"/>
      <c r="JN171" s="291"/>
      <c r="JO171" s="291"/>
      <c r="JP171" s="291"/>
      <c r="JQ171" s="291"/>
      <c r="JR171" s="291"/>
      <c r="JS171" s="291"/>
      <c r="JT171" s="291"/>
      <c r="JU171" s="291"/>
      <c r="JV171" s="291"/>
      <c r="JW171" s="291"/>
      <c r="JX171" s="291"/>
      <c r="JY171" s="291"/>
      <c r="JZ171" s="291"/>
      <c r="KA171" s="291"/>
      <c r="KB171" s="291"/>
      <c r="KC171" s="291"/>
      <c r="KD171" s="291"/>
      <c r="KE171" s="291"/>
      <c r="KF171" s="291"/>
      <c r="KG171" s="291"/>
      <c r="KH171" s="291"/>
      <c r="KI171" s="291"/>
      <c r="KJ171" s="291"/>
      <c r="KK171" s="291"/>
      <c r="KL171" s="291"/>
      <c r="KM171" s="291"/>
      <c r="KN171" s="291"/>
      <c r="KO171" s="291"/>
      <c r="KP171" s="291"/>
      <c r="KQ171" s="291"/>
      <c r="KR171" s="291"/>
      <c r="KS171" s="291"/>
      <c r="KT171" s="291"/>
      <c r="KU171" s="291"/>
      <c r="KV171" s="291"/>
      <c r="KW171" s="291"/>
      <c r="KX171" s="291"/>
      <c r="KY171" s="291"/>
      <c r="KZ171" s="291"/>
      <c r="LA171" s="291"/>
      <c r="LB171" s="291"/>
      <c r="LC171" s="291"/>
      <c r="LD171" s="291"/>
      <c r="LE171" s="291"/>
      <c r="LF171" s="291"/>
      <c r="LG171" s="291"/>
      <c r="LH171" s="291"/>
      <c r="LI171" s="291"/>
      <c r="LJ171" s="291"/>
      <c r="LK171" s="291"/>
      <c r="LL171" s="291"/>
      <c r="LM171" s="291"/>
      <c r="LN171" s="291"/>
      <c r="LO171" s="291"/>
      <c r="LP171" s="291"/>
      <c r="LQ171" s="291"/>
      <c r="LR171" s="291"/>
      <c r="LS171" s="291"/>
      <c r="LT171" s="291"/>
      <c r="LU171" s="291"/>
      <c r="LV171" s="291"/>
      <c r="LW171" s="291"/>
      <c r="LX171" s="291"/>
      <c r="LY171" s="291"/>
      <c r="LZ171" s="291"/>
      <c r="MA171" s="291"/>
      <c r="MB171" s="291"/>
      <c r="MC171" s="291"/>
      <c r="MD171" s="291"/>
      <c r="ME171" s="291"/>
      <c r="MF171" s="291"/>
      <c r="MG171" s="291"/>
      <c r="MH171" s="291"/>
      <c r="MI171" s="291"/>
      <c r="MJ171" s="291"/>
      <c r="MK171" s="291"/>
      <c r="ML171" s="291"/>
      <c r="MM171" s="291"/>
      <c r="MN171" s="291"/>
      <c r="MO171" s="291"/>
      <c r="MP171" s="291"/>
      <c r="MQ171" s="291"/>
      <c r="MR171" s="291"/>
      <c r="MS171" s="291"/>
      <c r="MT171" s="291"/>
      <c r="MU171" s="291"/>
      <c r="MV171" s="291"/>
      <c r="MW171" s="291"/>
      <c r="MX171" s="291"/>
      <c r="MY171" s="291"/>
      <c r="MZ171" s="291"/>
      <c r="NA171" s="291"/>
      <c r="NB171" s="291"/>
      <c r="NC171" s="291"/>
      <c r="ND171" s="291"/>
      <c r="NE171" s="291"/>
      <c r="NF171" s="291"/>
      <c r="NG171" s="291"/>
      <c r="NH171" s="291"/>
      <c r="NI171" s="291"/>
      <c r="NJ171" s="291"/>
      <c r="NK171" s="291"/>
      <c r="NL171" s="291"/>
      <c r="NM171" s="291"/>
      <c r="NN171" s="291"/>
      <c r="NO171" s="291"/>
      <c r="NP171" s="291"/>
      <c r="NQ171" s="291"/>
      <c r="NR171" s="291"/>
      <c r="NS171" s="291"/>
      <c r="NT171" s="291"/>
      <c r="NU171" s="291"/>
      <c r="NV171" s="291"/>
      <c r="NW171" s="291"/>
      <c r="NX171" s="291"/>
      <c r="NY171" s="291"/>
      <c r="NZ171" s="291"/>
      <c r="OA171" s="291"/>
      <c r="OB171" s="291"/>
      <c r="OC171" s="291"/>
      <c r="OD171" s="291"/>
      <c r="OE171" s="291"/>
      <c r="OF171" s="291"/>
      <c r="OG171" s="291"/>
      <c r="OH171" s="291"/>
      <c r="OI171" s="291"/>
      <c r="OJ171" s="291"/>
      <c r="OK171" s="291"/>
      <c r="OL171" s="291"/>
      <c r="OM171" s="291"/>
      <c r="ON171" s="291"/>
      <c r="OO171" s="291"/>
      <c r="OP171" s="291"/>
      <c r="OQ171" s="291"/>
      <c r="OR171" s="291"/>
      <c r="OS171" s="291"/>
      <c r="OT171" s="291"/>
      <c r="OU171" s="291"/>
      <c r="OV171" s="291"/>
      <c r="OW171" s="291"/>
    </row>
    <row r="172" spans="1:413" s="257" customFormat="1" hidden="1" x14ac:dyDescent="0.2">
      <c r="A172" s="291"/>
      <c r="B172" s="524">
        <f t="shared" si="11"/>
        <v>156</v>
      </c>
      <c r="C172" s="510" t="s">
        <v>38</v>
      </c>
      <c r="D172" s="511">
        <v>30452875</v>
      </c>
      <c r="E172" s="511"/>
      <c r="F172" s="512" t="s">
        <v>1321</v>
      </c>
      <c r="G172" s="513" t="s">
        <v>45</v>
      </c>
      <c r="H172" s="514" t="s">
        <v>1094</v>
      </c>
      <c r="I172" s="515" t="s">
        <v>1150</v>
      </c>
      <c r="J172" s="346" t="s">
        <v>43</v>
      </c>
      <c r="K172" s="526">
        <v>1179952</v>
      </c>
      <c r="L172" s="527">
        <v>2989</v>
      </c>
      <c r="M172" s="528">
        <v>1176648</v>
      </c>
      <c r="N172" s="520">
        <v>0</v>
      </c>
      <c r="O172" s="520">
        <v>0</v>
      </c>
      <c r="P172" s="520">
        <v>0</v>
      </c>
      <c r="Q172" s="520">
        <v>0</v>
      </c>
      <c r="R172" s="520">
        <v>0</v>
      </c>
      <c r="S172" s="520">
        <v>0</v>
      </c>
      <c r="T172" s="18"/>
      <c r="U172" s="18"/>
      <c r="V172" s="18"/>
      <c r="W172" s="18"/>
      <c r="X172" s="18"/>
      <c r="Y172" s="18"/>
      <c r="Z172" s="18">
        <f t="shared" si="8"/>
        <v>0</v>
      </c>
      <c r="AA172" s="309">
        <v>1</v>
      </c>
      <c r="AB172" s="19">
        <v>3</v>
      </c>
      <c r="AC172" s="521">
        <v>44222</v>
      </c>
      <c r="AD172" s="25">
        <v>44225</v>
      </c>
      <c r="AE172" s="309"/>
      <c r="AF172" s="314"/>
      <c r="AG172" s="315"/>
      <c r="AH172" s="316"/>
      <c r="AI172" s="309"/>
      <c r="AJ172" s="338"/>
      <c r="AK172" s="315"/>
      <c r="AL172" s="316"/>
      <c r="AM172" s="309"/>
      <c r="AN172" s="338"/>
      <c r="AO172" s="21"/>
      <c r="AP172" s="25"/>
      <c r="AQ172" s="309"/>
      <c r="AR172" s="19"/>
      <c r="AS172" s="21"/>
      <c r="AT172" s="25"/>
      <c r="AU172" s="522">
        <f t="shared" si="9"/>
        <v>1</v>
      </c>
      <c r="AV172" s="311">
        <f t="shared" si="10"/>
        <v>1</v>
      </c>
      <c r="AW172" s="305"/>
      <c r="AX172" s="291"/>
      <c r="AY172" s="291"/>
      <c r="AZ172" s="291"/>
      <c r="BA172" s="291"/>
      <c r="BB172" s="291"/>
      <c r="BC172" s="291"/>
      <c r="BD172" s="291"/>
      <c r="BE172" s="291"/>
      <c r="BF172" s="291"/>
      <c r="BG172" s="291"/>
      <c r="BH172" s="291"/>
      <c r="BI172" s="291"/>
      <c r="BJ172" s="291"/>
      <c r="BK172" s="291"/>
      <c r="BL172" s="291"/>
      <c r="BM172" s="291"/>
      <c r="BN172" s="291"/>
      <c r="BO172" s="291"/>
      <c r="BP172" s="291"/>
      <c r="BQ172" s="291"/>
      <c r="BR172" s="291"/>
      <c r="BS172" s="291"/>
      <c r="BT172" s="291"/>
      <c r="BU172" s="291"/>
      <c r="BV172" s="291"/>
      <c r="BW172" s="291"/>
      <c r="BX172" s="291"/>
      <c r="BY172" s="291"/>
      <c r="BZ172" s="291"/>
      <c r="CA172" s="291"/>
      <c r="CB172" s="291"/>
      <c r="CC172" s="291"/>
      <c r="CD172" s="291"/>
      <c r="CE172" s="291"/>
      <c r="CF172" s="291"/>
      <c r="CG172" s="291"/>
      <c r="CH172" s="291"/>
      <c r="CI172" s="291"/>
      <c r="CJ172" s="291"/>
      <c r="CK172" s="291"/>
      <c r="CL172" s="291"/>
      <c r="CM172" s="291"/>
      <c r="CN172" s="291"/>
      <c r="CO172" s="291"/>
      <c r="CP172" s="291"/>
      <c r="CQ172" s="291"/>
      <c r="CR172" s="291"/>
      <c r="CS172" s="291"/>
      <c r="CT172" s="291"/>
      <c r="CU172" s="291"/>
      <c r="CV172" s="291"/>
      <c r="CW172" s="291"/>
      <c r="CX172" s="291"/>
      <c r="CY172" s="291"/>
      <c r="CZ172" s="291"/>
      <c r="DA172" s="291"/>
      <c r="DB172" s="291"/>
      <c r="DC172" s="291"/>
      <c r="DD172" s="291"/>
      <c r="DE172" s="291"/>
      <c r="DF172" s="291"/>
      <c r="DG172" s="291"/>
      <c r="DH172" s="291"/>
      <c r="DI172" s="291"/>
      <c r="DJ172" s="291"/>
      <c r="DK172" s="291"/>
      <c r="DL172" s="291"/>
      <c r="DM172" s="291"/>
      <c r="DN172" s="291"/>
      <c r="DO172" s="291"/>
      <c r="DP172" s="291"/>
      <c r="DQ172" s="291"/>
      <c r="DR172" s="291"/>
      <c r="DS172" s="291"/>
      <c r="DT172" s="291"/>
      <c r="DU172" s="291"/>
      <c r="DV172" s="291"/>
      <c r="DW172" s="291"/>
      <c r="DX172" s="291"/>
      <c r="DY172" s="291"/>
      <c r="DZ172" s="291"/>
      <c r="EA172" s="291"/>
      <c r="EB172" s="291"/>
      <c r="EC172" s="291"/>
      <c r="ED172" s="291"/>
      <c r="EE172" s="291"/>
      <c r="EF172" s="291"/>
      <c r="EG172" s="291"/>
      <c r="EH172" s="291"/>
      <c r="EI172" s="291"/>
      <c r="EJ172" s="291"/>
      <c r="EK172" s="291"/>
      <c r="EL172" s="291"/>
      <c r="EM172" s="291"/>
      <c r="EN172" s="291"/>
      <c r="EO172" s="291"/>
      <c r="EP172" s="291"/>
      <c r="EQ172" s="291"/>
      <c r="ER172" s="291"/>
      <c r="ES172" s="291"/>
      <c r="ET172" s="291"/>
      <c r="EU172" s="291"/>
      <c r="EV172" s="291"/>
      <c r="EW172" s="291"/>
      <c r="EX172" s="291"/>
      <c r="EY172" s="291"/>
      <c r="EZ172" s="291"/>
      <c r="FA172" s="291"/>
      <c r="FB172" s="291"/>
      <c r="FC172" s="291"/>
      <c r="FD172" s="291"/>
      <c r="FE172" s="291"/>
      <c r="FF172" s="291"/>
      <c r="FG172" s="291"/>
      <c r="FH172" s="291"/>
      <c r="FI172" s="291"/>
      <c r="FJ172" s="291"/>
      <c r="FK172" s="291"/>
      <c r="FL172" s="291"/>
      <c r="FM172" s="291"/>
      <c r="FN172" s="291"/>
      <c r="FO172" s="291"/>
      <c r="FP172" s="291"/>
      <c r="FQ172" s="291"/>
      <c r="FR172" s="291"/>
      <c r="FS172" s="291"/>
      <c r="FT172" s="291"/>
      <c r="FU172" s="291"/>
      <c r="FV172" s="291"/>
      <c r="FW172" s="291"/>
      <c r="FX172" s="291"/>
      <c r="FY172" s="291"/>
      <c r="FZ172" s="291"/>
      <c r="GA172" s="291"/>
      <c r="GB172" s="291"/>
      <c r="GC172" s="291"/>
      <c r="GD172" s="291"/>
      <c r="GE172" s="291"/>
      <c r="GF172" s="291"/>
      <c r="GG172" s="291"/>
      <c r="GH172" s="291"/>
      <c r="GI172" s="291"/>
      <c r="GJ172" s="291"/>
      <c r="GK172" s="291"/>
      <c r="GL172" s="291"/>
      <c r="GM172" s="291"/>
      <c r="GN172" s="291"/>
      <c r="GO172" s="291"/>
      <c r="GP172" s="291"/>
      <c r="GQ172" s="291"/>
      <c r="GR172" s="291"/>
      <c r="GS172" s="291"/>
      <c r="GT172" s="291"/>
      <c r="GU172" s="291"/>
      <c r="GV172" s="291"/>
      <c r="GW172" s="291"/>
      <c r="GX172" s="291"/>
      <c r="GY172" s="291"/>
      <c r="GZ172" s="291"/>
      <c r="HA172" s="291"/>
      <c r="HB172" s="291"/>
      <c r="HC172" s="291"/>
      <c r="HD172" s="291"/>
      <c r="HE172" s="291"/>
      <c r="HF172" s="291"/>
      <c r="HG172" s="291"/>
      <c r="HH172" s="291"/>
      <c r="HI172" s="291"/>
      <c r="HJ172" s="291"/>
      <c r="HK172" s="291"/>
      <c r="HL172" s="291"/>
      <c r="HM172" s="291"/>
      <c r="HN172" s="291"/>
      <c r="HO172" s="291"/>
      <c r="HP172" s="291"/>
      <c r="HQ172" s="291"/>
      <c r="HR172" s="291"/>
      <c r="HS172" s="291"/>
      <c r="HT172" s="291"/>
      <c r="HU172" s="291"/>
      <c r="HV172" s="291"/>
      <c r="HW172" s="291"/>
      <c r="HX172" s="291"/>
      <c r="HY172" s="291"/>
      <c r="HZ172" s="291"/>
      <c r="IA172" s="291"/>
      <c r="IB172" s="291"/>
      <c r="IC172" s="291"/>
      <c r="ID172" s="291"/>
      <c r="IE172" s="291"/>
      <c r="IF172" s="291"/>
      <c r="IG172" s="291"/>
      <c r="IH172" s="291"/>
      <c r="II172" s="291"/>
      <c r="IJ172" s="291"/>
      <c r="IK172" s="291"/>
      <c r="IL172" s="291"/>
      <c r="IM172" s="291"/>
      <c r="IN172" s="291"/>
      <c r="IO172" s="291"/>
      <c r="IP172" s="291"/>
      <c r="IQ172" s="291"/>
      <c r="IR172" s="291"/>
      <c r="IS172" s="291"/>
      <c r="IT172" s="291"/>
      <c r="IU172" s="291"/>
      <c r="IV172" s="291"/>
      <c r="IW172" s="291"/>
      <c r="IX172" s="291"/>
      <c r="IY172" s="291"/>
      <c r="IZ172" s="291"/>
      <c r="JA172" s="291"/>
      <c r="JB172" s="291"/>
      <c r="JC172" s="291"/>
      <c r="JD172" s="291"/>
      <c r="JE172" s="291"/>
      <c r="JF172" s="291"/>
      <c r="JG172" s="291"/>
      <c r="JH172" s="291"/>
      <c r="JI172" s="291"/>
      <c r="JJ172" s="291"/>
      <c r="JK172" s="291"/>
      <c r="JL172" s="291"/>
      <c r="JM172" s="291"/>
      <c r="JN172" s="291"/>
      <c r="JO172" s="291"/>
      <c r="JP172" s="291"/>
      <c r="JQ172" s="291"/>
      <c r="JR172" s="291"/>
      <c r="JS172" s="291"/>
      <c r="JT172" s="291"/>
      <c r="JU172" s="291"/>
      <c r="JV172" s="291"/>
      <c r="JW172" s="291"/>
      <c r="JX172" s="291"/>
      <c r="JY172" s="291"/>
      <c r="JZ172" s="291"/>
      <c r="KA172" s="291"/>
      <c r="KB172" s="291"/>
      <c r="KC172" s="291"/>
      <c r="KD172" s="291"/>
      <c r="KE172" s="291"/>
      <c r="KF172" s="291"/>
      <c r="KG172" s="291"/>
      <c r="KH172" s="291"/>
      <c r="KI172" s="291"/>
      <c r="KJ172" s="291"/>
      <c r="KK172" s="291"/>
      <c r="KL172" s="291"/>
      <c r="KM172" s="291"/>
      <c r="KN172" s="291"/>
      <c r="KO172" s="291"/>
      <c r="KP172" s="291"/>
      <c r="KQ172" s="291"/>
      <c r="KR172" s="291"/>
      <c r="KS172" s="291"/>
      <c r="KT172" s="291"/>
      <c r="KU172" s="291"/>
      <c r="KV172" s="291"/>
      <c r="KW172" s="291"/>
      <c r="KX172" s="291"/>
      <c r="KY172" s="291"/>
      <c r="KZ172" s="291"/>
      <c r="LA172" s="291"/>
      <c r="LB172" s="291"/>
      <c r="LC172" s="291"/>
      <c r="LD172" s="291"/>
      <c r="LE172" s="291"/>
      <c r="LF172" s="291"/>
      <c r="LG172" s="291"/>
      <c r="LH172" s="291"/>
      <c r="LI172" s="291"/>
      <c r="LJ172" s="291"/>
      <c r="LK172" s="291"/>
      <c r="LL172" s="291"/>
      <c r="LM172" s="291"/>
      <c r="LN172" s="291"/>
      <c r="LO172" s="291"/>
      <c r="LP172" s="291"/>
      <c r="LQ172" s="291"/>
      <c r="LR172" s="291"/>
      <c r="LS172" s="291"/>
      <c r="LT172" s="291"/>
      <c r="LU172" s="291"/>
      <c r="LV172" s="291"/>
      <c r="LW172" s="291"/>
      <c r="LX172" s="291"/>
      <c r="LY172" s="291"/>
      <c r="LZ172" s="291"/>
      <c r="MA172" s="291"/>
      <c r="MB172" s="291"/>
      <c r="MC172" s="291"/>
      <c r="MD172" s="291"/>
      <c r="ME172" s="291"/>
      <c r="MF172" s="291"/>
      <c r="MG172" s="291"/>
      <c r="MH172" s="291"/>
      <c r="MI172" s="291"/>
      <c r="MJ172" s="291"/>
      <c r="MK172" s="291"/>
      <c r="ML172" s="291"/>
      <c r="MM172" s="291"/>
      <c r="MN172" s="291"/>
      <c r="MO172" s="291"/>
      <c r="MP172" s="291"/>
      <c r="MQ172" s="291"/>
      <c r="MR172" s="291"/>
      <c r="MS172" s="291"/>
      <c r="MT172" s="291"/>
      <c r="MU172" s="291"/>
      <c r="MV172" s="291"/>
      <c r="MW172" s="291"/>
      <c r="MX172" s="291"/>
      <c r="MY172" s="291"/>
      <c r="MZ172" s="291"/>
      <c r="NA172" s="291"/>
      <c r="NB172" s="291"/>
      <c r="NC172" s="291"/>
      <c r="ND172" s="291"/>
      <c r="NE172" s="291"/>
      <c r="NF172" s="291"/>
      <c r="NG172" s="291"/>
      <c r="NH172" s="291"/>
      <c r="NI172" s="291"/>
      <c r="NJ172" s="291"/>
      <c r="NK172" s="291"/>
      <c r="NL172" s="291"/>
      <c r="NM172" s="291"/>
      <c r="NN172" s="291"/>
      <c r="NO172" s="291"/>
      <c r="NP172" s="291"/>
      <c r="NQ172" s="291"/>
      <c r="NR172" s="291"/>
      <c r="NS172" s="291"/>
      <c r="NT172" s="291"/>
      <c r="NU172" s="291"/>
      <c r="NV172" s="291"/>
      <c r="NW172" s="291"/>
      <c r="NX172" s="291"/>
      <c r="NY172" s="291"/>
      <c r="NZ172" s="291"/>
      <c r="OA172" s="291"/>
      <c r="OB172" s="291"/>
      <c r="OC172" s="291"/>
      <c r="OD172" s="291"/>
      <c r="OE172" s="291"/>
      <c r="OF172" s="291"/>
      <c r="OG172" s="291"/>
      <c r="OH172" s="291"/>
      <c r="OI172" s="291"/>
      <c r="OJ172" s="291"/>
      <c r="OK172" s="291"/>
      <c r="OL172" s="291"/>
      <c r="OM172" s="291"/>
      <c r="ON172" s="291"/>
      <c r="OO172" s="291"/>
      <c r="OP172" s="291"/>
      <c r="OQ172" s="291"/>
      <c r="OR172" s="291"/>
      <c r="OS172" s="291"/>
      <c r="OT172" s="291"/>
      <c r="OU172" s="291"/>
      <c r="OV172" s="291"/>
      <c r="OW172" s="291"/>
    </row>
    <row r="173" spans="1:413" s="257" customFormat="1" hidden="1" x14ac:dyDescent="0.2">
      <c r="A173" s="291"/>
      <c r="B173" s="524">
        <f t="shared" si="11"/>
        <v>157</v>
      </c>
      <c r="C173" s="510" t="s">
        <v>38</v>
      </c>
      <c r="D173" s="511">
        <v>30452877</v>
      </c>
      <c r="E173" s="511"/>
      <c r="F173" s="512" t="s">
        <v>1322</v>
      </c>
      <c r="G173" s="513" t="s">
        <v>45</v>
      </c>
      <c r="H173" s="514" t="s">
        <v>1094</v>
      </c>
      <c r="I173" s="515" t="s">
        <v>1178</v>
      </c>
      <c r="J173" s="346" t="s">
        <v>42</v>
      </c>
      <c r="K173" s="526">
        <v>343986</v>
      </c>
      <c r="L173" s="527">
        <v>2489</v>
      </c>
      <c r="M173" s="528">
        <v>101219</v>
      </c>
      <c r="N173" s="520">
        <v>0</v>
      </c>
      <c r="O173" s="520">
        <v>0</v>
      </c>
      <c r="P173" s="520">
        <v>0</v>
      </c>
      <c r="Q173" s="520">
        <v>0</v>
      </c>
      <c r="R173" s="520">
        <v>0</v>
      </c>
      <c r="S173" s="520">
        <v>0</v>
      </c>
      <c r="T173" s="18"/>
      <c r="U173" s="18"/>
      <c r="V173" s="18"/>
      <c r="W173" s="18"/>
      <c r="X173" s="18"/>
      <c r="Y173" s="18"/>
      <c r="Z173" s="18">
        <f t="shared" si="8"/>
        <v>0</v>
      </c>
      <c r="AA173" s="309">
        <v>240000</v>
      </c>
      <c r="AB173" s="19">
        <v>9</v>
      </c>
      <c r="AC173" s="521">
        <v>44232</v>
      </c>
      <c r="AD173" s="25">
        <v>44251</v>
      </c>
      <c r="AE173" s="309"/>
      <c r="AF173" s="314"/>
      <c r="AG173" s="315"/>
      <c r="AH173" s="316"/>
      <c r="AI173" s="309"/>
      <c r="AJ173" s="338"/>
      <c r="AK173" s="315"/>
      <c r="AL173" s="316"/>
      <c r="AM173" s="309"/>
      <c r="AN173" s="338"/>
      <c r="AO173" s="21"/>
      <c r="AP173" s="25"/>
      <c r="AQ173" s="309"/>
      <c r="AR173" s="19"/>
      <c r="AS173" s="21"/>
      <c r="AT173" s="25"/>
      <c r="AU173" s="522">
        <f t="shared" si="9"/>
        <v>240000</v>
      </c>
      <c r="AV173" s="311">
        <f t="shared" si="10"/>
        <v>240000</v>
      </c>
      <c r="AW173" s="305"/>
      <c r="AX173" s="291"/>
      <c r="AY173" s="291"/>
      <c r="AZ173" s="291"/>
      <c r="BA173" s="291"/>
      <c r="BB173" s="291"/>
      <c r="BC173" s="291"/>
      <c r="BD173" s="291"/>
      <c r="BE173" s="291"/>
      <c r="BF173" s="291"/>
      <c r="BG173" s="291"/>
      <c r="BH173" s="291"/>
      <c r="BI173" s="291"/>
      <c r="BJ173" s="291"/>
      <c r="BK173" s="291"/>
      <c r="BL173" s="291"/>
      <c r="BM173" s="291"/>
      <c r="BN173" s="291"/>
      <c r="BO173" s="291"/>
      <c r="BP173" s="291"/>
      <c r="BQ173" s="291"/>
      <c r="BR173" s="291"/>
      <c r="BS173" s="291"/>
      <c r="BT173" s="291"/>
      <c r="BU173" s="291"/>
      <c r="BV173" s="291"/>
      <c r="BW173" s="291"/>
      <c r="BX173" s="291"/>
      <c r="BY173" s="291"/>
      <c r="BZ173" s="291"/>
      <c r="CA173" s="291"/>
      <c r="CB173" s="291"/>
      <c r="CC173" s="291"/>
      <c r="CD173" s="291"/>
      <c r="CE173" s="291"/>
      <c r="CF173" s="291"/>
      <c r="CG173" s="291"/>
      <c r="CH173" s="291"/>
      <c r="CI173" s="291"/>
      <c r="CJ173" s="291"/>
      <c r="CK173" s="291"/>
      <c r="CL173" s="291"/>
      <c r="CM173" s="291"/>
      <c r="CN173" s="291"/>
      <c r="CO173" s="291"/>
      <c r="CP173" s="291"/>
      <c r="CQ173" s="291"/>
      <c r="CR173" s="291"/>
      <c r="CS173" s="291"/>
      <c r="CT173" s="291"/>
      <c r="CU173" s="291"/>
      <c r="CV173" s="291"/>
      <c r="CW173" s="291"/>
      <c r="CX173" s="291"/>
      <c r="CY173" s="291"/>
      <c r="CZ173" s="291"/>
      <c r="DA173" s="291"/>
      <c r="DB173" s="291"/>
      <c r="DC173" s="291"/>
      <c r="DD173" s="291"/>
      <c r="DE173" s="291"/>
      <c r="DF173" s="291"/>
      <c r="DG173" s="291"/>
      <c r="DH173" s="291"/>
      <c r="DI173" s="291"/>
      <c r="DJ173" s="291"/>
      <c r="DK173" s="291"/>
      <c r="DL173" s="291"/>
      <c r="DM173" s="291"/>
      <c r="DN173" s="291"/>
      <c r="DO173" s="291"/>
      <c r="DP173" s="291"/>
      <c r="DQ173" s="291"/>
      <c r="DR173" s="291"/>
      <c r="DS173" s="291"/>
      <c r="DT173" s="291"/>
      <c r="DU173" s="291"/>
      <c r="DV173" s="291"/>
      <c r="DW173" s="291"/>
      <c r="DX173" s="291"/>
      <c r="DY173" s="291"/>
      <c r="DZ173" s="291"/>
      <c r="EA173" s="291"/>
      <c r="EB173" s="291"/>
      <c r="EC173" s="291"/>
      <c r="ED173" s="291"/>
      <c r="EE173" s="291"/>
      <c r="EF173" s="291"/>
      <c r="EG173" s="291"/>
      <c r="EH173" s="291"/>
      <c r="EI173" s="291"/>
      <c r="EJ173" s="291"/>
      <c r="EK173" s="291"/>
      <c r="EL173" s="291"/>
      <c r="EM173" s="291"/>
      <c r="EN173" s="291"/>
      <c r="EO173" s="291"/>
      <c r="EP173" s="291"/>
      <c r="EQ173" s="291"/>
      <c r="ER173" s="291"/>
      <c r="ES173" s="291"/>
      <c r="ET173" s="291"/>
      <c r="EU173" s="291"/>
      <c r="EV173" s="291"/>
      <c r="EW173" s="291"/>
      <c r="EX173" s="291"/>
      <c r="EY173" s="291"/>
      <c r="EZ173" s="291"/>
      <c r="FA173" s="291"/>
      <c r="FB173" s="291"/>
      <c r="FC173" s="291"/>
      <c r="FD173" s="291"/>
      <c r="FE173" s="291"/>
      <c r="FF173" s="291"/>
      <c r="FG173" s="291"/>
      <c r="FH173" s="291"/>
      <c r="FI173" s="291"/>
      <c r="FJ173" s="291"/>
      <c r="FK173" s="291"/>
      <c r="FL173" s="291"/>
      <c r="FM173" s="291"/>
      <c r="FN173" s="291"/>
      <c r="FO173" s="291"/>
      <c r="FP173" s="291"/>
      <c r="FQ173" s="291"/>
      <c r="FR173" s="291"/>
      <c r="FS173" s="291"/>
      <c r="FT173" s="291"/>
      <c r="FU173" s="291"/>
      <c r="FV173" s="291"/>
      <c r="FW173" s="291"/>
      <c r="FX173" s="291"/>
      <c r="FY173" s="291"/>
      <c r="FZ173" s="291"/>
      <c r="GA173" s="291"/>
      <c r="GB173" s="291"/>
      <c r="GC173" s="291"/>
      <c r="GD173" s="291"/>
      <c r="GE173" s="291"/>
      <c r="GF173" s="291"/>
      <c r="GG173" s="291"/>
      <c r="GH173" s="291"/>
      <c r="GI173" s="291"/>
      <c r="GJ173" s="291"/>
      <c r="GK173" s="291"/>
      <c r="GL173" s="291"/>
      <c r="GM173" s="291"/>
      <c r="GN173" s="291"/>
      <c r="GO173" s="291"/>
      <c r="GP173" s="291"/>
      <c r="GQ173" s="291"/>
      <c r="GR173" s="291"/>
      <c r="GS173" s="291"/>
      <c r="GT173" s="291"/>
      <c r="GU173" s="291"/>
      <c r="GV173" s="291"/>
      <c r="GW173" s="291"/>
      <c r="GX173" s="291"/>
      <c r="GY173" s="291"/>
      <c r="GZ173" s="291"/>
      <c r="HA173" s="291"/>
      <c r="HB173" s="291"/>
      <c r="HC173" s="291"/>
      <c r="HD173" s="291"/>
      <c r="HE173" s="291"/>
      <c r="HF173" s="291"/>
      <c r="HG173" s="291"/>
      <c r="HH173" s="291"/>
      <c r="HI173" s="291"/>
      <c r="HJ173" s="291"/>
      <c r="HK173" s="291"/>
      <c r="HL173" s="291"/>
      <c r="HM173" s="291"/>
      <c r="HN173" s="291"/>
      <c r="HO173" s="291"/>
      <c r="HP173" s="291"/>
      <c r="HQ173" s="291"/>
      <c r="HR173" s="291"/>
      <c r="HS173" s="291"/>
      <c r="HT173" s="291"/>
      <c r="HU173" s="291"/>
      <c r="HV173" s="291"/>
      <c r="HW173" s="291"/>
      <c r="HX173" s="291"/>
      <c r="HY173" s="291"/>
      <c r="HZ173" s="291"/>
      <c r="IA173" s="291"/>
      <c r="IB173" s="291"/>
      <c r="IC173" s="291"/>
      <c r="ID173" s="291"/>
      <c r="IE173" s="291"/>
      <c r="IF173" s="291"/>
      <c r="IG173" s="291"/>
      <c r="IH173" s="291"/>
      <c r="II173" s="291"/>
      <c r="IJ173" s="291"/>
      <c r="IK173" s="291"/>
      <c r="IL173" s="291"/>
      <c r="IM173" s="291"/>
      <c r="IN173" s="291"/>
      <c r="IO173" s="291"/>
      <c r="IP173" s="291"/>
      <c r="IQ173" s="291"/>
      <c r="IR173" s="291"/>
      <c r="IS173" s="291"/>
      <c r="IT173" s="291"/>
      <c r="IU173" s="291"/>
      <c r="IV173" s="291"/>
      <c r="IW173" s="291"/>
      <c r="IX173" s="291"/>
      <c r="IY173" s="291"/>
      <c r="IZ173" s="291"/>
      <c r="JA173" s="291"/>
      <c r="JB173" s="291"/>
      <c r="JC173" s="291"/>
      <c r="JD173" s="291"/>
      <c r="JE173" s="291"/>
      <c r="JF173" s="291"/>
      <c r="JG173" s="291"/>
      <c r="JH173" s="291"/>
      <c r="JI173" s="291"/>
      <c r="JJ173" s="291"/>
      <c r="JK173" s="291"/>
      <c r="JL173" s="291"/>
      <c r="JM173" s="291"/>
      <c r="JN173" s="291"/>
      <c r="JO173" s="291"/>
      <c r="JP173" s="291"/>
      <c r="JQ173" s="291"/>
      <c r="JR173" s="291"/>
      <c r="JS173" s="291"/>
      <c r="JT173" s="291"/>
      <c r="JU173" s="291"/>
      <c r="JV173" s="291"/>
      <c r="JW173" s="291"/>
      <c r="JX173" s="291"/>
      <c r="JY173" s="291"/>
      <c r="JZ173" s="291"/>
      <c r="KA173" s="291"/>
      <c r="KB173" s="291"/>
      <c r="KC173" s="291"/>
      <c r="KD173" s="291"/>
      <c r="KE173" s="291"/>
      <c r="KF173" s="291"/>
      <c r="KG173" s="291"/>
      <c r="KH173" s="291"/>
      <c r="KI173" s="291"/>
      <c r="KJ173" s="291"/>
      <c r="KK173" s="291"/>
      <c r="KL173" s="291"/>
      <c r="KM173" s="291"/>
      <c r="KN173" s="291"/>
      <c r="KO173" s="291"/>
      <c r="KP173" s="291"/>
      <c r="KQ173" s="291"/>
      <c r="KR173" s="291"/>
      <c r="KS173" s="291"/>
      <c r="KT173" s="291"/>
      <c r="KU173" s="291"/>
      <c r="KV173" s="291"/>
      <c r="KW173" s="291"/>
      <c r="KX173" s="291"/>
      <c r="KY173" s="291"/>
      <c r="KZ173" s="291"/>
      <c r="LA173" s="291"/>
      <c r="LB173" s="291"/>
      <c r="LC173" s="291"/>
      <c r="LD173" s="291"/>
      <c r="LE173" s="291"/>
      <c r="LF173" s="291"/>
      <c r="LG173" s="291"/>
      <c r="LH173" s="291"/>
      <c r="LI173" s="291"/>
      <c r="LJ173" s="291"/>
      <c r="LK173" s="291"/>
      <c r="LL173" s="291"/>
      <c r="LM173" s="291"/>
      <c r="LN173" s="291"/>
      <c r="LO173" s="291"/>
      <c r="LP173" s="291"/>
      <c r="LQ173" s="291"/>
      <c r="LR173" s="291"/>
      <c r="LS173" s="291"/>
      <c r="LT173" s="291"/>
      <c r="LU173" s="291"/>
      <c r="LV173" s="291"/>
      <c r="LW173" s="291"/>
      <c r="LX173" s="291"/>
      <c r="LY173" s="291"/>
      <c r="LZ173" s="291"/>
      <c r="MA173" s="291"/>
      <c r="MB173" s="291"/>
      <c r="MC173" s="291"/>
      <c r="MD173" s="291"/>
      <c r="ME173" s="291"/>
      <c r="MF173" s="291"/>
      <c r="MG173" s="291"/>
      <c r="MH173" s="291"/>
      <c r="MI173" s="291"/>
      <c r="MJ173" s="291"/>
      <c r="MK173" s="291"/>
      <c r="ML173" s="291"/>
      <c r="MM173" s="291"/>
      <c r="MN173" s="291"/>
      <c r="MO173" s="291"/>
      <c r="MP173" s="291"/>
      <c r="MQ173" s="291"/>
      <c r="MR173" s="291"/>
      <c r="MS173" s="291"/>
      <c r="MT173" s="291"/>
      <c r="MU173" s="291"/>
      <c r="MV173" s="291"/>
      <c r="MW173" s="291"/>
      <c r="MX173" s="291"/>
      <c r="MY173" s="291"/>
      <c r="MZ173" s="291"/>
      <c r="NA173" s="291"/>
      <c r="NB173" s="291"/>
      <c r="NC173" s="291"/>
      <c r="ND173" s="291"/>
      <c r="NE173" s="291"/>
      <c r="NF173" s="291"/>
      <c r="NG173" s="291"/>
      <c r="NH173" s="291"/>
      <c r="NI173" s="291"/>
      <c r="NJ173" s="291"/>
      <c r="NK173" s="291"/>
      <c r="NL173" s="291"/>
      <c r="NM173" s="291"/>
      <c r="NN173" s="291"/>
      <c r="NO173" s="291"/>
      <c r="NP173" s="291"/>
      <c r="NQ173" s="291"/>
      <c r="NR173" s="291"/>
      <c r="NS173" s="291"/>
      <c r="NT173" s="291"/>
      <c r="NU173" s="291"/>
      <c r="NV173" s="291"/>
      <c r="NW173" s="291"/>
      <c r="NX173" s="291"/>
      <c r="NY173" s="291"/>
      <c r="NZ173" s="291"/>
      <c r="OA173" s="291"/>
      <c r="OB173" s="291"/>
      <c r="OC173" s="291"/>
      <c r="OD173" s="291"/>
      <c r="OE173" s="291"/>
      <c r="OF173" s="291"/>
      <c r="OG173" s="291"/>
      <c r="OH173" s="291"/>
      <c r="OI173" s="291"/>
      <c r="OJ173" s="291"/>
      <c r="OK173" s="291"/>
      <c r="OL173" s="291"/>
      <c r="OM173" s="291"/>
      <c r="ON173" s="291"/>
      <c r="OO173" s="291"/>
      <c r="OP173" s="291"/>
      <c r="OQ173" s="291"/>
      <c r="OR173" s="291"/>
      <c r="OS173" s="291"/>
      <c r="OT173" s="291"/>
      <c r="OU173" s="291"/>
      <c r="OV173" s="291"/>
      <c r="OW173" s="291"/>
    </row>
    <row r="174" spans="1:413" s="257" customFormat="1" hidden="1" x14ac:dyDescent="0.2">
      <c r="A174" s="291"/>
      <c r="B174" s="524">
        <f t="shared" si="11"/>
        <v>158</v>
      </c>
      <c r="C174" s="510" t="s">
        <v>38</v>
      </c>
      <c r="D174" s="511">
        <v>30452973</v>
      </c>
      <c r="E174" s="511"/>
      <c r="F174" s="512" t="s">
        <v>1323</v>
      </c>
      <c r="G174" s="513" t="s">
        <v>45</v>
      </c>
      <c r="H174" s="514" t="s">
        <v>1094</v>
      </c>
      <c r="I174" s="515" t="s">
        <v>1116</v>
      </c>
      <c r="J174" s="346" t="s">
        <v>42</v>
      </c>
      <c r="K174" s="526">
        <v>647804</v>
      </c>
      <c r="L174" s="527">
        <v>514290</v>
      </c>
      <c r="M174" s="528">
        <v>132514</v>
      </c>
      <c r="N174" s="520">
        <v>0</v>
      </c>
      <c r="O174" s="520">
        <v>0</v>
      </c>
      <c r="P174" s="520">
        <v>0</v>
      </c>
      <c r="Q174" s="520">
        <v>0</v>
      </c>
      <c r="R174" s="520">
        <v>0</v>
      </c>
      <c r="S174" s="520">
        <v>0</v>
      </c>
      <c r="T174" s="18"/>
      <c r="U174" s="18"/>
      <c r="V174" s="18"/>
      <c r="W174" s="18"/>
      <c r="X174" s="18"/>
      <c r="Y174" s="18"/>
      <c r="Z174" s="18">
        <f t="shared" si="8"/>
        <v>0</v>
      </c>
      <c r="AA174" s="309">
        <v>1000</v>
      </c>
      <c r="AB174" s="19">
        <v>9</v>
      </c>
      <c r="AC174" s="521">
        <v>44232</v>
      </c>
      <c r="AD174" s="25">
        <v>44251</v>
      </c>
      <c r="AE174" s="309"/>
      <c r="AF174" s="314"/>
      <c r="AG174" s="315"/>
      <c r="AH174" s="316"/>
      <c r="AI174" s="309"/>
      <c r="AJ174" s="338"/>
      <c r="AK174" s="315"/>
      <c r="AL174" s="316"/>
      <c r="AM174" s="309"/>
      <c r="AN174" s="338"/>
      <c r="AO174" s="21"/>
      <c r="AP174" s="25"/>
      <c r="AQ174" s="309"/>
      <c r="AR174" s="19"/>
      <c r="AS174" s="21"/>
      <c r="AT174" s="25"/>
      <c r="AU174" s="522">
        <f t="shared" si="9"/>
        <v>1000</v>
      </c>
      <c r="AV174" s="311">
        <f t="shared" si="10"/>
        <v>1000</v>
      </c>
      <c r="AW174" s="305"/>
      <c r="AX174" s="291"/>
      <c r="AY174" s="291"/>
      <c r="AZ174" s="291"/>
      <c r="BA174" s="291"/>
      <c r="BB174" s="291"/>
      <c r="BC174" s="291"/>
      <c r="BD174" s="291"/>
      <c r="BE174" s="291"/>
      <c r="BF174" s="291"/>
      <c r="BG174" s="291"/>
      <c r="BH174" s="291"/>
      <c r="BI174" s="291"/>
      <c r="BJ174" s="291"/>
      <c r="BK174" s="291"/>
      <c r="BL174" s="291"/>
      <c r="BM174" s="291"/>
      <c r="BN174" s="291"/>
      <c r="BO174" s="291"/>
      <c r="BP174" s="291"/>
      <c r="BQ174" s="291"/>
      <c r="BR174" s="291"/>
      <c r="BS174" s="291"/>
      <c r="BT174" s="291"/>
      <c r="BU174" s="291"/>
      <c r="BV174" s="291"/>
      <c r="BW174" s="291"/>
      <c r="BX174" s="291"/>
      <c r="BY174" s="291"/>
      <c r="BZ174" s="291"/>
      <c r="CA174" s="291"/>
      <c r="CB174" s="291"/>
      <c r="CC174" s="291"/>
      <c r="CD174" s="291"/>
      <c r="CE174" s="291"/>
      <c r="CF174" s="291"/>
      <c r="CG174" s="291"/>
      <c r="CH174" s="291"/>
      <c r="CI174" s="291"/>
      <c r="CJ174" s="291"/>
      <c r="CK174" s="291"/>
      <c r="CL174" s="291"/>
      <c r="CM174" s="291"/>
      <c r="CN174" s="291"/>
      <c r="CO174" s="291"/>
      <c r="CP174" s="291"/>
      <c r="CQ174" s="291"/>
      <c r="CR174" s="291"/>
      <c r="CS174" s="291"/>
      <c r="CT174" s="291"/>
      <c r="CU174" s="291"/>
      <c r="CV174" s="291"/>
      <c r="CW174" s="291"/>
      <c r="CX174" s="291"/>
      <c r="CY174" s="291"/>
      <c r="CZ174" s="291"/>
      <c r="DA174" s="291"/>
      <c r="DB174" s="291"/>
      <c r="DC174" s="291"/>
      <c r="DD174" s="291"/>
      <c r="DE174" s="291"/>
      <c r="DF174" s="291"/>
      <c r="DG174" s="291"/>
      <c r="DH174" s="291"/>
      <c r="DI174" s="291"/>
      <c r="DJ174" s="291"/>
      <c r="DK174" s="291"/>
      <c r="DL174" s="291"/>
      <c r="DM174" s="291"/>
      <c r="DN174" s="291"/>
      <c r="DO174" s="291"/>
      <c r="DP174" s="291"/>
      <c r="DQ174" s="291"/>
      <c r="DR174" s="291"/>
      <c r="DS174" s="291"/>
      <c r="DT174" s="291"/>
      <c r="DU174" s="291"/>
      <c r="DV174" s="291"/>
      <c r="DW174" s="291"/>
      <c r="DX174" s="291"/>
      <c r="DY174" s="291"/>
      <c r="DZ174" s="291"/>
      <c r="EA174" s="291"/>
      <c r="EB174" s="291"/>
      <c r="EC174" s="291"/>
      <c r="ED174" s="291"/>
      <c r="EE174" s="291"/>
      <c r="EF174" s="291"/>
      <c r="EG174" s="291"/>
      <c r="EH174" s="291"/>
      <c r="EI174" s="291"/>
      <c r="EJ174" s="291"/>
      <c r="EK174" s="291"/>
      <c r="EL174" s="291"/>
      <c r="EM174" s="291"/>
      <c r="EN174" s="291"/>
      <c r="EO174" s="291"/>
      <c r="EP174" s="291"/>
      <c r="EQ174" s="291"/>
      <c r="ER174" s="291"/>
      <c r="ES174" s="291"/>
      <c r="ET174" s="291"/>
      <c r="EU174" s="291"/>
      <c r="EV174" s="291"/>
      <c r="EW174" s="291"/>
      <c r="EX174" s="291"/>
      <c r="EY174" s="291"/>
      <c r="EZ174" s="291"/>
      <c r="FA174" s="291"/>
      <c r="FB174" s="291"/>
      <c r="FC174" s="291"/>
      <c r="FD174" s="291"/>
      <c r="FE174" s="291"/>
      <c r="FF174" s="291"/>
      <c r="FG174" s="291"/>
      <c r="FH174" s="291"/>
      <c r="FI174" s="291"/>
      <c r="FJ174" s="291"/>
      <c r="FK174" s="291"/>
      <c r="FL174" s="291"/>
      <c r="FM174" s="291"/>
      <c r="FN174" s="291"/>
      <c r="FO174" s="291"/>
      <c r="FP174" s="291"/>
      <c r="FQ174" s="291"/>
      <c r="FR174" s="291"/>
      <c r="FS174" s="291"/>
      <c r="FT174" s="291"/>
      <c r="FU174" s="291"/>
      <c r="FV174" s="291"/>
      <c r="FW174" s="291"/>
      <c r="FX174" s="291"/>
      <c r="FY174" s="291"/>
      <c r="FZ174" s="291"/>
      <c r="GA174" s="291"/>
      <c r="GB174" s="291"/>
      <c r="GC174" s="291"/>
      <c r="GD174" s="291"/>
      <c r="GE174" s="291"/>
      <c r="GF174" s="291"/>
      <c r="GG174" s="291"/>
      <c r="GH174" s="291"/>
      <c r="GI174" s="291"/>
      <c r="GJ174" s="291"/>
      <c r="GK174" s="291"/>
      <c r="GL174" s="291"/>
      <c r="GM174" s="291"/>
      <c r="GN174" s="291"/>
      <c r="GO174" s="291"/>
      <c r="GP174" s="291"/>
      <c r="GQ174" s="291"/>
      <c r="GR174" s="291"/>
      <c r="GS174" s="291"/>
      <c r="GT174" s="291"/>
      <c r="GU174" s="291"/>
      <c r="GV174" s="291"/>
      <c r="GW174" s="291"/>
      <c r="GX174" s="291"/>
      <c r="GY174" s="291"/>
      <c r="GZ174" s="291"/>
      <c r="HA174" s="291"/>
      <c r="HB174" s="291"/>
      <c r="HC174" s="291"/>
      <c r="HD174" s="291"/>
      <c r="HE174" s="291"/>
      <c r="HF174" s="291"/>
      <c r="HG174" s="291"/>
      <c r="HH174" s="291"/>
      <c r="HI174" s="291"/>
      <c r="HJ174" s="291"/>
      <c r="HK174" s="291"/>
      <c r="HL174" s="291"/>
      <c r="HM174" s="291"/>
      <c r="HN174" s="291"/>
      <c r="HO174" s="291"/>
      <c r="HP174" s="291"/>
      <c r="HQ174" s="291"/>
      <c r="HR174" s="291"/>
      <c r="HS174" s="291"/>
      <c r="HT174" s="291"/>
      <c r="HU174" s="291"/>
      <c r="HV174" s="291"/>
      <c r="HW174" s="291"/>
      <c r="HX174" s="291"/>
      <c r="HY174" s="291"/>
      <c r="HZ174" s="291"/>
      <c r="IA174" s="291"/>
      <c r="IB174" s="291"/>
      <c r="IC174" s="291"/>
      <c r="ID174" s="291"/>
      <c r="IE174" s="291"/>
      <c r="IF174" s="291"/>
      <c r="IG174" s="291"/>
      <c r="IH174" s="291"/>
      <c r="II174" s="291"/>
      <c r="IJ174" s="291"/>
      <c r="IK174" s="291"/>
      <c r="IL174" s="291"/>
      <c r="IM174" s="291"/>
      <c r="IN174" s="291"/>
      <c r="IO174" s="291"/>
      <c r="IP174" s="291"/>
      <c r="IQ174" s="291"/>
      <c r="IR174" s="291"/>
      <c r="IS174" s="291"/>
      <c r="IT174" s="291"/>
      <c r="IU174" s="291"/>
      <c r="IV174" s="291"/>
      <c r="IW174" s="291"/>
      <c r="IX174" s="291"/>
      <c r="IY174" s="291"/>
      <c r="IZ174" s="291"/>
      <c r="JA174" s="291"/>
      <c r="JB174" s="291"/>
      <c r="JC174" s="291"/>
      <c r="JD174" s="291"/>
      <c r="JE174" s="291"/>
      <c r="JF174" s="291"/>
      <c r="JG174" s="291"/>
      <c r="JH174" s="291"/>
      <c r="JI174" s="291"/>
      <c r="JJ174" s="291"/>
      <c r="JK174" s="291"/>
      <c r="JL174" s="291"/>
      <c r="JM174" s="291"/>
      <c r="JN174" s="291"/>
      <c r="JO174" s="291"/>
      <c r="JP174" s="291"/>
      <c r="JQ174" s="291"/>
      <c r="JR174" s="291"/>
      <c r="JS174" s="291"/>
      <c r="JT174" s="291"/>
      <c r="JU174" s="291"/>
      <c r="JV174" s="291"/>
      <c r="JW174" s="291"/>
      <c r="JX174" s="291"/>
      <c r="JY174" s="291"/>
      <c r="JZ174" s="291"/>
      <c r="KA174" s="291"/>
      <c r="KB174" s="291"/>
      <c r="KC174" s="291"/>
      <c r="KD174" s="291"/>
      <c r="KE174" s="291"/>
      <c r="KF174" s="291"/>
      <c r="KG174" s="291"/>
      <c r="KH174" s="291"/>
      <c r="KI174" s="291"/>
      <c r="KJ174" s="291"/>
      <c r="KK174" s="291"/>
      <c r="KL174" s="291"/>
      <c r="KM174" s="291"/>
      <c r="KN174" s="291"/>
      <c r="KO174" s="291"/>
      <c r="KP174" s="291"/>
      <c r="KQ174" s="291"/>
      <c r="KR174" s="291"/>
      <c r="KS174" s="291"/>
      <c r="KT174" s="291"/>
      <c r="KU174" s="291"/>
      <c r="KV174" s="291"/>
      <c r="KW174" s="291"/>
      <c r="KX174" s="291"/>
      <c r="KY174" s="291"/>
      <c r="KZ174" s="291"/>
      <c r="LA174" s="291"/>
      <c r="LB174" s="291"/>
      <c r="LC174" s="291"/>
      <c r="LD174" s="291"/>
      <c r="LE174" s="291"/>
      <c r="LF174" s="291"/>
      <c r="LG174" s="291"/>
      <c r="LH174" s="291"/>
      <c r="LI174" s="291"/>
      <c r="LJ174" s="291"/>
      <c r="LK174" s="291"/>
      <c r="LL174" s="291"/>
      <c r="LM174" s="291"/>
      <c r="LN174" s="291"/>
      <c r="LO174" s="291"/>
      <c r="LP174" s="291"/>
      <c r="LQ174" s="291"/>
      <c r="LR174" s="291"/>
      <c r="LS174" s="291"/>
      <c r="LT174" s="291"/>
      <c r="LU174" s="291"/>
      <c r="LV174" s="291"/>
      <c r="LW174" s="291"/>
      <c r="LX174" s="291"/>
      <c r="LY174" s="291"/>
      <c r="LZ174" s="291"/>
      <c r="MA174" s="291"/>
      <c r="MB174" s="291"/>
      <c r="MC174" s="291"/>
      <c r="MD174" s="291"/>
      <c r="ME174" s="291"/>
      <c r="MF174" s="291"/>
      <c r="MG174" s="291"/>
      <c r="MH174" s="291"/>
      <c r="MI174" s="291"/>
      <c r="MJ174" s="291"/>
      <c r="MK174" s="291"/>
      <c r="ML174" s="291"/>
      <c r="MM174" s="291"/>
      <c r="MN174" s="291"/>
      <c r="MO174" s="291"/>
      <c r="MP174" s="291"/>
      <c r="MQ174" s="291"/>
      <c r="MR174" s="291"/>
      <c r="MS174" s="291"/>
      <c r="MT174" s="291"/>
      <c r="MU174" s="291"/>
      <c r="MV174" s="291"/>
      <c r="MW174" s="291"/>
      <c r="MX174" s="291"/>
      <c r="MY174" s="291"/>
      <c r="MZ174" s="291"/>
      <c r="NA174" s="291"/>
      <c r="NB174" s="291"/>
      <c r="NC174" s="291"/>
      <c r="ND174" s="291"/>
      <c r="NE174" s="291"/>
      <c r="NF174" s="291"/>
      <c r="NG174" s="291"/>
      <c r="NH174" s="291"/>
      <c r="NI174" s="291"/>
      <c r="NJ174" s="291"/>
      <c r="NK174" s="291"/>
      <c r="NL174" s="291"/>
      <c r="NM174" s="291"/>
      <c r="NN174" s="291"/>
      <c r="NO174" s="291"/>
      <c r="NP174" s="291"/>
      <c r="NQ174" s="291"/>
      <c r="NR174" s="291"/>
      <c r="NS174" s="291"/>
      <c r="NT174" s="291"/>
      <c r="NU174" s="291"/>
      <c r="NV174" s="291"/>
      <c r="NW174" s="291"/>
      <c r="NX174" s="291"/>
      <c r="NY174" s="291"/>
      <c r="NZ174" s="291"/>
      <c r="OA174" s="291"/>
      <c r="OB174" s="291"/>
      <c r="OC174" s="291"/>
      <c r="OD174" s="291"/>
      <c r="OE174" s="291"/>
      <c r="OF174" s="291"/>
      <c r="OG174" s="291"/>
      <c r="OH174" s="291"/>
      <c r="OI174" s="291"/>
      <c r="OJ174" s="291"/>
      <c r="OK174" s="291"/>
      <c r="OL174" s="291"/>
      <c r="OM174" s="291"/>
      <c r="ON174" s="291"/>
      <c r="OO174" s="291"/>
      <c r="OP174" s="291"/>
      <c r="OQ174" s="291"/>
      <c r="OR174" s="291"/>
      <c r="OS174" s="291"/>
      <c r="OT174" s="291"/>
      <c r="OU174" s="291"/>
      <c r="OV174" s="291"/>
      <c r="OW174" s="291"/>
    </row>
    <row r="175" spans="1:413" s="257" customFormat="1" hidden="1" x14ac:dyDescent="0.2">
      <c r="A175" s="291"/>
      <c r="B175" s="524">
        <f t="shared" si="11"/>
        <v>159</v>
      </c>
      <c r="C175" s="510" t="s">
        <v>38</v>
      </c>
      <c r="D175" s="511">
        <v>30453022</v>
      </c>
      <c r="E175" s="511"/>
      <c r="F175" s="512" t="s">
        <v>1324</v>
      </c>
      <c r="G175" s="513" t="s">
        <v>45</v>
      </c>
      <c r="H175" s="514" t="s">
        <v>1094</v>
      </c>
      <c r="I175" s="515" t="s">
        <v>1120</v>
      </c>
      <c r="J175" s="346" t="s">
        <v>43</v>
      </c>
      <c r="K175" s="526">
        <v>382766</v>
      </c>
      <c r="L175" s="527">
        <v>2498</v>
      </c>
      <c r="M175" s="528">
        <v>379999</v>
      </c>
      <c r="N175" s="520">
        <v>0</v>
      </c>
      <c r="O175" s="520">
        <v>0</v>
      </c>
      <c r="P175" s="520">
        <v>0</v>
      </c>
      <c r="Q175" s="520">
        <v>0</v>
      </c>
      <c r="R175" s="520">
        <v>0</v>
      </c>
      <c r="S175" s="520">
        <v>0</v>
      </c>
      <c r="T175" s="18"/>
      <c r="U175" s="18"/>
      <c r="V175" s="18"/>
      <c r="W175" s="18"/>
      <c r="X175" s="18"/>
      <c r="Y175" s="18"/>
      <c r="Z175" s="18">
        <f t="shared" si="8"/>
        <v>0</v>
      </c>
      <c r="AA175" s="309">
        <v>1</v>
      </c>
      <c r="AB175" s="19">
        <v>9</v>
      </c>
      <c r="AC175" s="521">
        <v>44232</v>
      </c>
      <c r="AD175" s="25">
        <v>44251</v>
      </c>
      <c r="AE175" s="309"/>
      <c r="AF175" s="314"/>
      <c r="AG175" s="315"/>
      <c r="AH175" s="316"/>
      <c r="AI175" s="309"/>
      <c r="AJ175" s="338"/>
      <c r="AK175" s="315"/>
      <c r="AL175" s="316"/>
      <c r="AM175" s="309"/>
      <c r="AN175" s="338"/>
      <c r="AO175" s="21"/>
      <c r="AP175" s="25"/>
      <c r="AQ175" s="309"/>
      <c r="AR175" s="19"/>
      <c r="AS175" s="21"/>
      <c r="AT175" s="25"/>
      <c r="AU175" s="522">
        <f t="shared" si="9"/>
        <v>1</v>
      </c>
      <c r="AV175" s="311">
        <f t="shared" si="10"/>
        <v>1</v>
      </c>
      <c r="AW175" s="305"/>
      <c r="AX175" s="291"/>
      <c r="AY175" s="291"/>
      <c r="AZ175" s="291"/>
      <c r="BA175" s="291"/>
      <c r="BB175" s="291"/>
      <c r="BC175" s="291"/>
      <c r="BD175" s="291"/>
      <c r="BE175" s="291"/>
      <c r="BF175" s="291"/>
      <c r="BG175" s="291"/>
      <c r="BH175" s="291"/>
      <c r="BI175" s="291"/>
      <c r="BJ175" s="291"/>
      <c r="BK175" s="291"/>
      <c r="BL175" s="291"/>
      <c r="BM175" s="291"/>
      <c r="BN175" s="291"/>
      <c r="BO175" s="291"/>
      <c r="BP175" s="291"/>
      <c r="BQ175" s="291"/>
      <c r="BR175" s="291"/>
      <c r="BS175" s="291"/>
      <c r="BT175" s="291"/>
      <c r="BU175" s="291"/>
      <c r="BV175" s="291"/>
      <c r="BW175" s="291"/>
      <c r="BX175" s="291"/>
      <c r="BY175" s="291"/>
      <c r="BZ175" s="291"/>
      <c r="CA175" s="291"/>
      <c r="CB175" s="291"/>
      <c r="CC175" s="291"/>
      <c r="CD175" s="291"/>
      <c r="CE175" s="291"/>
      <c r="CF175" s="291"/>
      <c r="CG175" s="291"/>
      <c r="CH175" s="291"/>
      <c r="CI175" s="291"/>
      <c r="CJ175" s="291"/>
      <c r="CK175" s="291"/>
      <c r="CL175" s="291"/>
      <c r="CM175" s="291"/>
      <c r="CN175" s="291"/>
      <c r="CO175" s="291"/>
      <c r="CP175" s="291"/>
      <c r="CQ175" s="291"/>
      <c r="CR175" s="291"/>
      <c r="CS175" s="291"/>
      <c r="CT175" s="291"/>
      <c r="CU175" s="291"/>
      <c r="CV175" s="291"/>
      <c r="CW175" s="291"/>
      <c r="CX175" s="291"/>
      <c r="CY175" s="291"/>
      <c r="CZ175" s="291"/>
      <c r="DA175" s="291"/>
      <c r="DB175" s="291"/>
      <c r="DC175" s="291"/>
      <c r="DD175" s="291"/>
      <c r="DE175" s="291"/>
      <c r="DF175" s="291"/>
      <c r="DG175" s="291"/>
      <c r="DH175" s="291"/>
      <c r="DI175" s="291"/>
      <c r="DJ175" s="291"/>
      <c r="DK175" s="291"/>
      <c r="DL175" s="291"/>
      <c r="DM175" s="291"/>
      <c r="DN175" s="291"/>
      <c r="DO175" s="291"/>
      <c r="DP175" s="291"/>
      <c r="DQ175" s="291"/>
      <c r="DR175" s="291"/>
      <c r="DS175" s="291"/>
      <c r="DT175" s="291"/>
      <c r="DU175" s="291"/>
      <c r="DV175" s="291"/>
      <c r="DW175" s="291"/>
      <c r="DX175" s="291"/>
      <c r="DY175" s="291"/>
      <c r="DZ175" s="291"/>
      <c r="EA175" s="291"/>
      <c r="EB175" s="291"/>
      <c r="EC175" s="291"/>
      <c r="ED175" s="291"/>
      <c r="EE175" s="291"/>
      <c r="EF175" s="291"/>
      <c r="EG175" s="291"/>
      <c r="EH175" s="291"/>
      <c r="EI175" s="291"/>
      <c r="EJ175" s="291"/>
      <c r="EK175" s="291"/>
      <c r="EL175" s="291"/>
      <c r="EM175" s="291"/>
      <c r="EN175" s="291"/>
      <c r="EO175" s="291"/>
      <c r="EP175" s="291"/>
      <c r="EQ175" s="291"/>
      <c r="ER175" s="291"/>
      <c r="ES175" s="291"/>
      <c r="ET175" s="291"/>
      <c r="EU175" s="291"/>
      <c r="EV175" s="291"/>
      <c r="EW175" s="291"/>
      <c r="EX175" s="291"/>
      <c r="EY175" s="291"/>
      <c r="EZ175" s="291"/>
      <c r="FA175" s="291"/>
      <c r="FB175" s="291"/>
      <c r="FC175" s="291"/>
      <c r="FD175" s="291"/>
      <c r="FE175" s="291"/>
      <c r="FF175" s="291"/>
      <c r="FG175" s="291"/>
      <c r="FH175" s="291"/>
      <c r="FI175" s="291"/>
      <c r="FJ175" s="291"/>
      <c r="FK175" s="291"/>
      <c r="FL175" s="291"/>
      <c r="FM175" s="291"/>
      <c r="FN175" s="291"/>
      <c r="FO175" s="291"/>
      <c r="FP175" s="291"/>
      <c r="FQ175" s="291"/>
      <c r="FR175" s="291"/>
      <c r="FS175" s="291"/>
      <c r="FT175" s="291"/>
      <c r="FU175" s="291"/>
      <c r="FV175" s="291"/>
      <c r="FW175" s="291"/>
      <c r="FX175" s="291"/>
      <c r="FY175" s="291"/>
      <c r="FZ175" s="291"/>
      <c r="GA175" s="291"/>
      <c r="GB175" s="291"/>
      <c r="GC175" s="291"/>
      <c r="GD175" s="291"/>
      <c r="GE175" s="291"/>
      <c r="GF175" s="291"/>
      <c r="GG175" s="291"/>
      <c r="GH175" s="291"/>
      <c r="GI175" s="291"/>
      <c r="GJ175" s="291"/>
      <c r="GK175" s="291"/>
      <c r="GL175" s="291"/>
      <c r="GM175" s="291"/>
      <c r="GN175" s="291"/>
      <c r="GO175" s="291"/>
      <c r="GP175" s="291"/>
      <c r="GQ175" s="291"/>
      <c r="GR175" s="291"/>
      <c r="GS175" s="291"/>
      <c r="GT175" s="291"/>
      <c r="GU175" s="291"/>
      <c r="GV175" s="291"/>
      <c r="GW175" s="291"/>
      <c r="GX175" s="291"/>
      <c r="GY175" s="291"/>
      <c r="GZ175" s="291"/>
      <c r="HA175" s="291"/>
      <c r="HB175" s="291"/>
      <c r="HC175" s="291"/>
      <c r="HD175" s="291"/>
      <c r="HE175" s="291"/>
      <c r="HF175" s="291"/>
      <c r="HG175" s="291"/>
      <c r="HH175" s="291"/>
      <c r="HI175" s="291"/>
      <c r="HJ175" s="291"/>
      <c r="HK175" s="291"/>
      <c r="HL175" s="291"/>
      <c r="HM175" s="291"/>
      <c r="HN175" s="291"/>
      <c r="HO175" s="291"/>
      <c r="HP175" s="291"/>
      <c r="HQ175" s="291"/>
      <c r="HR175" s="291"/>
      <c r="HS175" s="291"/>
      <c r="HT175" s="291"/>
      <c r="HU175" s="291"/>
      <c r="HV175" s="291"/>
      <c r="HW175" s="291"/>
      <c r="HX175" s="291"/>
      <c r="HY175" s="291"/>
      <c r="HZ175" s="291"/>
      <c r="IA175" s="291"/>
      <c r="IB175" s="291"/>
      <c r="IC175" s="291"/>
      <c r="ID175" s="291"/>
      <c r="IE175" s="291"/>
      <c r="IF175" s="291"/>
      <c r="IG175" s="291"/>
      <c r="IH175" s="291"/>
      <c r="II175" s="291"/>
      <c r="IJ175" s="291"/>
      <c r="IK175" s="291"/>
      <c r="IL175" s="291"/>
      <c r="IM175" s="291"/>
      <c r="IN175" s="291"/>
      <c r="IO175" s="291"/>
      <c r="IP175" s="291"/>
      <c r="IQ175" s="291"/>
      <c r="IR175" s="291"/>
      <c r="IS175" s="291"/>
      <c r="IT175" s="291"/>
      <c r="IU175" s="291"/>
      <c r="IV175" s="291"/>
      <c r="IW175" s="291"/>
      <c r="IX175" s="291"/>
      <c r="IY175" s="291"/>
      <c r="IZ175" s="291"/>
      <c r="JA175" s="291"/>
      <c r="JB175" s="291"/>
      <c r="JC175" s="291"/>
      <c r="JD175" s="291"/>
      <c r="JE175" s="291"/>
      <c r="JF175" s="291"/>
      <c r="JG175" s="291"/>
      <c r="JH175" s="291"/>
      <c r="JI175" s="291"/>
      <c r="JJ175" s="291"/>
      <c r="JK175" s="291"/>
      <c r="JL175" s="291"/>
      <c r="JM175" s="291"/>
      <c r="JN175" s="291"/>
      <c r="JO175" s="291"/>
      <c r="JP175" s="291"/>
      <c r="JQ175" s="291"/>
      <c r="JR175" s="291"/>
      <c r="JS175" s="291"/>
      <c r="JT175" s="291"/>
      <c r="JU175" s="291"/>
      <c r="JV175" s="291"/>
      <c r="JW175" s="291"/>
      <c r="JX175" s="291"/>
      <c r="JY175" s="291"/>
      <c r="JZ175" s="291"/>
      <c r="KA175" s="291"/>
      <c r="KB175" s="291"/>
      <c r="KC175" s="291"/>
      <c r="KD175" s="291"/>
      <c r="KE175" s="291"/>
      <c r="KF175" s="291"/>
      <c r="KG175" s="291"/>
      <c r="KH175" s="291"/>
      <c r="KI175" s="291"/>
      <c r="KJ175" s="291"/>
      <c r="KK175" s="291"/>
      <c r="KL175" s="291"/>
      <c r="KM175" s="291"/>
      <c r="KN175" s="291"/>
      <c r="KO175" s="291"/>
      <c r="KP175" s="291"/>
      <c r="KQ175" s="291"/>
      <c r="KR175" s="291"/>
      <c r="KS175" s="291"/>
      <c r="KT175" s="291"/>
      <c r="KU175" s="291"/>
      <c r="KV175" s="291"/>
      <c r="KW175" s="291"/>
      <c r="KX175" s="291"/>
      <c r="KY175" s="291"/>
      <c r="KZ175" s="291"/>
      <c r="LA175" s="291"/>
      <c r="LB175" s="291"/>
      <c r="LC175" s="291"/>
      <c r="LD175" s="291"/>
      <c r="LE175" s="291"/>
      <c r="LF175" s="291"/>
      <c r="LG175" s="291"/>
      <c r="LH175" s="291"/>
      <c r="LI175" s="291"/>
      <c r="LJ175" s="291"/>
      <c r="LK175" s="291"/>
      <c r="LL175" s="291"/>
      <c r="LM175" s="291"/>
      <c r="LN175" s="291"/>
      <c r="LO175" s="291"/>
      <c r="LP175" s="291"/>
      <c r="LQ175" s="291"/>
      <c r="LR175" s="291"/>
      <c r="LS175" s="291"/>
      <c r="LT175" s="291"/>
      <c r="LU175" s="291"/>
      <c r="LV175" s="291"/>
      <c r="LW175" s="291"/>
      <c r="LX175" s="291"/>
      <c r="LY175" s="291"/>
      <c r="LZ175" s="291"/>
      <c r="MA175" s="291"/>
      <c r="MB175" s="291"/>
      <c r="MC175" s="291"/>
      <c r="MD175" s="291"/>
      <c r="ME175" s="291"/>
      <c r="MF175" s="291"/>
      <c r="MG175" s="291"/>
      <c r="MH175" s="291"/>
      <c r="MI175" s="291"/>
      <c r="MJ175" s="291"/>
      <c r="MK175" s="291"/>
      <c r="ML175" s="291"/>
      <c r="MM175" s="291"/>
      <c r="MN175" s="291"/>
      <c r="MO175" s="291"/>
      <c r="MP175" s="291"/>
      <c r="MQ175" s="291"/>
      <c r="MR175" s="291"/>
      <c r="MS175" s="291"/>
      <c r="MT175" s="291"/>
      <c r="MU175" s="291"/>
      <c r="MV175" s="291"/>
      <c r="MW175" s="291"/>
      <c r="MX175" s="291"/>
      <c r="MY175" s="291"/>
      <c r="MZ175" s="291"/>
      <c r="NA175" s="291"/>
      <c r="NB175" s="291"/>
      <c r="NC175" s="291"/>
      <c r="ND175" s="291"/>
      <c r="NE175" s="291"/>
      <c r="NF175" s="291"/>
      <c r="NG175" s="291"/>
      <c r="NH175" s="291"/>
      <c r="NI175" s="291"/>
      <c r="NJ175" s="291"/>
      <c r="NK175" s="291"/>
      <c r="NL175" s="291"/>
      <c r="NM175" s="291"/>
      <c r="NN175" s="291"/>
      <c r="NO175" s="291"/>
      <c r="NP175" s="291"/>
      <c r="NQ175" s="291"/>
      <c r="NR175" s="291"/>
      <c r="NS175" s="291"/>
      <c r="NT175" s="291"/>
      <c r="NU175" s="291"/>
      <c r="NV175" s="291"/>
      <c r="NW175" s="291"/>
      <c r="NX175" s="291"/>
      <c r="NY175" s="291"/>
      <c r="NZ175" s="291"/>
      <c r="OA175" s="291"/>
      <c r="OB175" s="291"/>
      <c r="OC175" s="291"/>
      <c r="OD175" s="291"/>
      <c r="OE175" s="291"/>
      <c r="OF175" s="291"/>
      <c r="OG175" s="291"/>
      <c r="OH175" s="291"/>
      <c r="OI175" s="291"/>
      <c r="OJ175" s="291"/>
      <c r="OK175" s="291"/>
      <c r="OL175" s="291"/>
      <c r="OM175" s="291"/>
      <c r="ON175" s="291"/>
      <c r="OO175" s="291"/>
      <c r="OP175" s="291"/>
      <c r="OQ175" s="291"/>
      <c r="OR175" s="291"/>
      <c r="OS175" s="291"/>
      <c r="OT175" s="291"/>
      <c r="OU175" s="291"/>
      <c r="OV175" s="291"/>
      <c r="OW175" s="291"/>
    </row>
    <row r="176" spans="1:413" s="257" customFormat="1" hidden="1" x14ac:dyDescent="0.2">
      <c r="A176" s="291"/>
      <c r="B176" s="524">
        <f t="shared" si="11"/>
        <v>160</v>
      </c>
      <c r="C176" s="510" t="s">
        <v>38</v>
      </c>
      <c r="D176" s="511">
        <v>30454226</v>
      </c>
      <c r="E176" s="511"/>
      <c r="F176" s="512" t="s">
        <v>1325</v>
      </c>
      <c r="G176" s="513" t="s">
        <v>45</v>
      </c>
      <c r="H176" s="514" t="s">
        <v>1094</v>
      </c>
      <c r="I176" s="515" t="s">
        <v>1155</v>
      </c>
      <c r="J176" s="346" t="s">
        <v>42</v>
      </c>
      <c r="K176" s="526">
        <v>308264</v>
      </c>
      <c r="L176" s="527">
        <v>287390</v>
      </c>
      <c r="M176" s="528">
        <v>0</v>
      </c>
      <c r="N176" s="520">
        <v>0</v>
      </c>
      <c r="O176" s="520">
        <v>0</v>
      </c>
      <c r="P176" s="520">
        <v>0</v>
      </c>
      <c r="Q176" s="520">
        <v>0</v>
      </c>
      <c r="R176" s="520">
        <v>0</v>
      </c>
      <c r="S176" s="520">
        <v>0</v>
      </c>
      <c r="T176" s="18"/>
      <c r="U176" s="18"/>
      <c r="V176" s="18"/>
      <c r="W176" s="18"/>
      <c r="X176" s="18"/>
      <c r="Y176" s="18"/>
      <c r="Z176" s="18">
        <f t="shared" si="8"/>
        <v>0</v>
      </c>
      <c r="AA176" s="309">
        <v>19896</v>
      </c>
      <c r="AB176" s="19">
        <v>11</v>
      </c>
      <c r="AC176" s="521">
        <v>44237</v>
      </c>
      <c r="AD176" s="25">
        <v>44251</v>
      </c>
      <c r="AE176" s="309"/>
      <c r="AF176" s="314"/>
      <c r="AG176" s="315"/>
      <c r="AH176" s="316"/>
      <c r="AI176" s="309"/>
      <c r="AJ176" s="338"/>
      <c r="AK176" s="315"/>
      <c r="AL176" s="316"/>
      <c r="AM176" s="309"/>
      <c r="AN176" s="338"/>
      <c r="AO176" s="21"/>
      <c r="AP176" s="25"/>
      <c r="AQ176" s="309"/>
      <c r="AR176" s="19"/>
      <c r="AS176" s="21"/>
      <c r="AT176" s="25"/>
      <c r="AU176" s="522">
        <f t="shared" si="9"/>
        <v>19896</v>
      </c>
      <c r="AV176" s="311">
        <f t="shared" si="10"/>
        <v>19896</v>
      </c>
      <c r="AW176" s="305"/>
      <c r="AX176" s="291"/>
      <c r="AY176" s="291"/>
      <c r="AZ176" s="291"/>
      <c r="BA176" s="291"/>
      <c r="BB176" s="291"/>
      <c r="BC176" s="291"/>
      <c r="BD176" s="291"/>
      <c r="BE176" s="291"/>
      <c r="BF176" s="291"/>
      <c r="BG176" s="291"/>
      <c r="BH176" s="291"/>
      <c r="BI176" s="291"/>
      <c r="BJ176" s="291"/>
      <c r="BK176" s="291"/>
      <c r="BL176" s="291"/>
      <c r="BM176" s="291"/>
      <c r="BN176" s="291"/>
      <c r="BO176" s="291"/>
      <c r="BP176" s="291"/>
      <c r="BQ176" s="291"/>
      <c r="BR176" s="291"/>
      <c r="BS176" s="291"/>
      <c r="BT176" s="291"/>
      <c r="BU176" s="291"/>
      <c r="BV176" s="291"/>
      <c r="BW176" s="291"/>
      <c r="BX176" s="291"/>
      <c r="BY176" s="291"/>
      <c r="BZ176" s="291"/>
      <c r="CA176" s="291"/>
      <c r="CB176" s="291"/>
      <c r="CC176" s="291"/>
      <c r="CD176" s="291"/>
      <c r="CE176" s="291"/>
      <c r="CF176" s="291"/>
      <c r="CG176" s="291"/>
      <c r="CH176" s="291"/>
      <c r="CI176" s="291"/>
      <c r="CJ176" s="291"/>
      <c r="CK176" s="291"/>
      <c r="CL176" s="291"/>
      <c r="CM176" s="291"/>
      <c r="CN176" s="291"/>
      <c r="CO176" s="291"/>
      <c r="CP176" s="291"/>
      <c r="CQ176" s="291"/>
      <c r="CR176" s="291"/>
      <c r="CS176" s="291"/>
      <c r="CT176" s="291"/>
      <c r="CU176" s="291"/>
      <c r="CV176" s="291"/>
      <c r="CW176" s="291"/>
      <c r="CX176" s="291"/>
      <c r="CY176" s="291"/>
      <c r="CZ176" s="291"/>
      <c r="DA176" s="291"/>
      <c r="DB176" s="291"/>
      <c r="DC176" s="291"/>
      <c r="DD176" s="291"/>
      <c r="DE176" s="291"/>
      <c r="DF176" s="291"/>
      <c r="DG176" s="291"/>
      <c r="DH176" s="291"/>
      <c r="DI176" s="291"/>
      <c r="DJ176" s="291"/>
      <c r="DK176" s="291"/>
      <c r="DL176" s="291"/>
      <c r="DM176" s="291"/>
      <c r="DN176" s="291"/>
      <c r="DO176" s="291"/>
      <c r="DP176" s="291"/>
      <c r="DQ176" s="291"/>
      <c r="DR176" s="291"/>
      <c r="DS176" s="291"/>
      <c r="DT176" s="291"/>
      <c r="DU176" s="291"/>
      <c r="DV176" s="291"/>
      <c r="DW176" s="291"/>
      <c r="DX176" s="291"/>
      <c r="DY176" s="291"/>
      <c r="DZ176" s="291"/>
      <c r="EA176" s="291"/>
      <c r="EB176" s="291"/>
      <c r="EC176" s="291"/>
      <c r="ED176" s="291"/>
      <c r="EE176" s="291"/>
      <c r="EF176" s="291"/>
      <c r="EG176" s="291"/>
      <c r="EH176" s="291"/>
      <c r="EI176" s="291"/>
      <c r="EJ176" s="291"/>
      <c r="EK176" s="291"/>
      <c r="EL176" s="291"/>
      <c r="EM176" s="291"/>
      <c r="EN176" s="291"/>
      <c r="EO176" s="291"/>
      <c r="EP176" s="291"/>
      <c r="EQ176" s="291"/>
      <c r="ER176" s="291"/>
      <c r="ES176" s="291"/>
      <c r="ET176" s="291"/>
      <c r="EU176" s="291"/>
      <c r="EV176" s="291"/>
      <c r="EW176" s="291"/>
      <c r="EX176" s="291"/>
      <c r="EY176" s="291"/>
      <c r="EZ176" s="291"/>
      <c r="FA176" s="291"/>
      <c r="FB176" s="291"/>
      <c r="FC176" s="291"/>
      <c r="FD176" s="291"/>
      <c r="FE176" s="291"/>
      <c r="FF176" s="291"/>
      <c r="FG176" s="291"/>
      <c r="FH176" s="291"/>
      <c r="FI176" s="291"/>
      <c r="FJ176" s="291"/>
      <c r="FK176" s="291"/>
      <c r="FL176" s="291"/>
      <c r="FM176" s="291"/>
      <c r="FN176" s="291"/>
      <c r="FO176" s="291"/>
      <c r="FP176" s="291"/>
      <c r="FQ176" s="291"/>
      <c r="FR176" s="291"/>
      <c r="FS176" s="291"/>
      <c r="FT176" s="291"/>
      <c r="FU176" s="291"/>
      <c r="FV176" s="291"/>
      <c r="FW176" s="291"/>
      <c r="FX176" s="291"/>
      <c r="FY176" s="291"/>
      <c r="FZ176" s="291"/>
      <c r="GA176" s="291"/>
      <c r="GB176" s="291"/>
      <c r="GC176" s="291"/>
      <c r="GD176" s="291"/>
      <c r="GE176" s="291"/>
      <c r="GF176" s="291"/>
      <c r="GG176" s="291"/>
      <c r="GH176" s="291"/>
      <c r="GI176" s="291"/>
      <c r="GJ176" s="291"/>
      <c r="GK176" s="291"/>
      <c r="GL176" s="291"/>
      <c r="GM176" s="291"/>
      <c r="GN176" s="291"/>
      <c r="GO176" s="291"/>
      <c r="GP176" s="291"/>
      <c r="GQ176" s="291"/>
      <c r="GR176" s="291"/>
      <c r="GS176" s="291"/>
      <c r="GT176" s="291"/>
      <c r="GU176" s="291"/>
      <c r="GV176" s="291"/>
      <c r="GW176" s="291"/>
      <c r="GX176" s="291"/>
      <c r="GY176" s="291"/>
      <c r="GZ176" s="291"/>
      <c r="HA176" s="291"/>
      <c r="HB176" s="291"/>
      <c r="HC176" s="291"/>
      <c r="HD176" s="291"/>
      <c r="HE176" s="291"/>
      <c r="HF176" s="291"/>
      <c r="HG176" s="291"/>
      <c r="HH176" s="291"/>
      <c r="HI176" s="291"/>
      <c r="HJ176" s="291"/>
      <c r="HK176" s="291"/>
      <c r="HL176" s="291"/>
      <c r="HM176" s="291"/>
      <c r="HN176" s="291"/>
      <c r="HO176" s="291"/>
      <c r="HP176" s="291"/>
      <c r="HQ176" s="291"/>
      <c r="HR176" s="291"/>
      <c r="HS176" s="291"/>
      <c r="HT176" s="291"/>
      <c r="HU176" s="291"/>
      <c r="HV176" s="291"/>
      <c r="HW176" s="291"/>
      <c r="HX176" s="291"/>
      <c r="HY176" s="291"/>
      <c r="HZ176" s="291"/>
      <c r="IA176" s="291"/>
      <c r="IB176" s="291"/>
      <c r="IC176" s="291"/>
      <c r="ID176" s="291"/>
      <c r="IE176" s="291"/>
      <c r="IF176" s="291"/>
      <c r="IG176" s="291"/>
      <c r="IH176" s="291"/>
      <c r="II176" s="291"/>
      <c r="IJ176" s="291"/>
      <c r="IK176" s="291"/>
      <c r="IL176" s="291"/>
      <c r="IM176" s="291"/>
      <c r="IN176" s="291"/>
      <c r="IO176" s="291"/>
      <c r="IP176" s="291"/>
      <c r="IQ176" s="291"/>
      <c r="IR176" s="291"/>
      <c r="IS176" s="291"/>
      <c r="IT176" s="291"/>
      <c r="IU176" s="291"/>
      <c r="IV176" s="291"/>
      <c r="IW176" s="291"/>
      <c r="IX176" s="291"/>
      <c r="IY176" s="291"/>
      <c r="IZ176" s="291"/>
      <c r="JA176" s="291"/>
      <c r="JB176" s="291"/>
      <c r="JC176" s="291"/>
      <c r="JD176" s="291"/>
      <c r="JE176" s="291"/>
      <c r="JF176" s="291"/>
      <c r="JG176" s="291"/>
      <c r="JH176" s="291"/>
      <c r="JI176" s="291"/>
      <c r="JJ176" s="291"/>
      <c r="JK176" s="291"/>
      <c r="JL176" s="291"/>
      <c r="JM176" s="291"/>
      <c r="JN176" s="291"/>
      <c r="JO176" s="291"/>
      <c r="JP176" s="291"/>
      <c r="JQ176" s="291"/>
      <c r="JR176" s="291"/>
      <c r="JS176" s="291"/>
      <c r="JT176" s="291"/>
      <c r="JU176" s="291"/>
      <c r="JV176" s="291"/>
      <c r="JW176" s="291"/>
      <c r="JX176" s="291"/>
      <c r="JY176" s="291"/>
      <c r="JZ176" s="291"/>
      <c r="KA176" s="291"/>
      <c r="KB176" s="291"/>
      <c r="KC176" s="291"/>
      <c r="KD176" s="291"/>
      <c r="KE176" s="291"/>
      <c r="KF176" s="291"/>
      <c r="KG176" s="291"/>
      <c r="KH176" s="291"/>
      <c r="KI176" s="291"/>
      <c r="KJ176" s="291"/>
      <c r="KK176" s="291"/>
      <c r="KL176" s="291"/>
      <c r="KM176" s="291"/>
      <c r="KN176" s="291"/>
      <c r="KO176" s="291"/>
      <c r="KP176" s="291"/>
      <c r="KQ176" s="291"/>
      <c r="KR176" s="291"/>
      <c r="KS176" s="291"/>
      <c r="KT176" s="291"/>
      <c r="KU176" s="291"/>
      <c r="KV176" s="291"/>
      <c r="KW176" s="291"/>
      <c r="KX176" s="291"/>
      <c r="KY176" s="291"/>
      <c r="KZ176" s="291"/>
      <c r="LA176" s="291"/>
      <c r="LB176" s="291"/>
      <c r="LC176" s="291"/>
      <c r="LD176" s="291"/>
      <c r="LE176" s="291"/>
      <c r="LF176" s="291"/>
      <c r="LG176" s="291"/>
      <c r="LH176" s="291"/>
      <c r="LI176" s="291"/>
      <c r="LJ176" s="291"/>
      <c r="LK176" s="291"/>
      <c r="LL176" s="291"/>
      <c r="LM176" s="291"/>
      <c r="LN176" s="291"/>
      <c r="LO176" s="291"/>
      <c r="LP176" s="291"/>
      <c r="LQ176" s="291"/>
      <c r="LR176" s="291"/>
      <c r="LS176" s="291"/>
      <c r="LT176" s="291"/>
      <c r="LU176" s="291"/>
      <c r="LV176" s="291"/>
      <c r="LW176" s="291"/>
      <c r="LX176" s="291"/>
      <c r="LY176" s="291"/>
      <c r="LZ176" s="291"/>
      <c r="MA176" s="291"/>
      <c r="MB176" s="291"/>
      <c r="MC176" s="291"/>
      <c r="MD176" s="291"/>
      <c r="ME176" s="291"/>
      <c r="MF176" s="291"/>
      <c r="MG176" s="291"/>
      <c r="MH176" s="291"/>
      <c r="MI176" s="291"/>
      <c r="MJ176" s="291"/>
      <c r="MK176" s="291"/>
      <c r="ML176" s="291"/>
      <c r="MM176" s="291"/>
      <c r="MN176" s="291"/>
      <c r="MO176" s="291"/>
      <c r="MP176" s="291"/>
      <c r="MQ176" s="291"/>
      <c r="MR176" s="291"/>
      <c r="MS176" s="291"/>
      <c r="MT176" s="291"/>
      <c r="MU176" s="291"/>
      <c r="MV176" s="291"/>
      <c r="MW176" s="291"/>
      <c r="MX176" s="291"/>
      <c r="MY176" s="291"/>
      <c r="MZ176" s="291"/>
      <c r="NA176" s="291"/>
      <c r="NB176" s="291"/>
      <c r="NC176" s="291"/>
      <c r="ND176" s="291"/>
      <c r="NE176" s="291"/>
      <c r="NF176" s="291"/>
      <c r="NG176" s="291"/>
      <c r="NH176" s="291"/>
      <c r="NI176" s="291"/>
      <c r="NJ176" s="291"/>
      <c r="NK176" s="291"/>
      <c r="NL176" s="291"/>
      <c r="NM176" s="291"/>
      <c r="NN176" s="291"/>
      <c r="NO176" s="291"/>
      <c r="NP176" s="291"/>
      <c r="NQ176" s="291"/>
      <c r="NR176" s="291"/>
      <c r="NS176" s="291"/>
      <c r="NT176" s="291"/>
      <c r="NU176" s="291"/>
      <c r="NV176" s="291"/>
      <c r="NW176" s="291"/>
      <c r="NX176" s="291"/>
      <c r="NY176" s="291"/>
      <c r="NZ176" s="291"/>
      <c r="OA176" s="291"/>
      <c r="OB176" s="291"/>
      <c r="OC176" s="291"/>
      <c r="OD176" s="291"/>
      <c r="OE176" s="291"/>
      <c r="OF176" s="291"/>
      <c r="OG176" s="291"/>
      <c r="OH176" s="291"/>
      <c r="OI176" s="291"/>
      <c r="OJ176" s="291"/>
      <c r="OK176" s="291"/>
      <c r="OL176" s="291"/>
      <c r="OM176" s="291"/>
      <c r="ON176" s="291"/>
      <c r="OO176" s="291"/>
      <c r="OP176" s="291"/>
      <c r="OQ176" s="291"/>
      <c r="OR176" s="291"/>
      <c r="OS176" s="291"/>
      <c r="OT176" s="291"/>
      <c r="OU176" s="291"/>
      <c r="OV176" s="291"/>
      <c r="OW176" s="291"/>
    </row>
    <row r="177" spans="1:413" s="257" customFormat="1" hidden="1" x14ac:dyDescent="0.2">
      <c r="A177" s="291"/>
      <c r="B177" s="524">
        <f t="shared" si="11"/>
        <v>161</v>
      </c>
      <c r="C177" s="510" t="s">
        <v>38</v>
      </c>
      <c r="D177" s="511">
        <v>30454423</v>
      </c>
      <c r="E177" s="511"/>
      <c r="F177" s="512" t="s">
        <v>1326</v>
      </c>
      <c r="G177" s="513" t="s">
        <v>45</v>
      </c>
      <c r="H177" s="514" t="s">
        <v>1094</v>
      </c>
      <c r="I177" s="515" t="s">
        <v>1189</v>
      </c>
      <c r="J177" s="346" t="s">
        <v>43</v>
      </c>
      <c r="K177" s="526">
        <v>801828</v>
      </c>
      <c r="L177" s="527">
        <v>2966</v>
      </c>
      <c r="M177" s="528">
        <v>797525</v>
      </c>
      <c r="N177" s="520">
        <v>0</v>
      </c>
      <c r="O177" s="520">
        <v>0</v>
      </c>
      <c r="P177" s="520">
        <v>0</v>
      </c>
      <c r="Q177" s="520">
        <v>0</v>
      </c>
      <c r="R177" s="520">
        <v>0</v>
      </c>
      <c r="S177" s="520">
        <v>0</v>
      </c>
      <c r="T177" s="18"/>
      <c r="U177" s="18"/>
      <c r="V177" s="18"/>
      <c r="W177" s="18"/>
      <c r="X177" s="18"/>
      <c r="Y177" s="18"/>
      <c r="Z177" s="18">
        <f t="shared" si="8"/>
        <v>0</v>
      </c>
      <c r="AA177" s="309">
        <v>1000</v>
      </c>
      <c r="AB177" s="19">
        <v>3</v>
      </c>
      <c r="AC177" s="521">
        <v>44222</v>
      </c>
      <c r="AD177" s="25">
        <v>44225</v>
      </c>
      <c r="AE177" s="309"/>
      <c r="AF177" s="314"/>
      <c r="AG177" s="315"/>
      <c r="AH177" s="316"/>
      <c r="AI177" s="309"/>
      <c r="AJ177" s="338"/>
      <c r="AK177" s="315"/>
      <c r="AL177" s="316"/>
      <c r="AM177" s="309"/>
      <c r="AN177" s="338"/>
      <c r="AO177" s="21"/>
      <c r="AP177" s="25"/>
      <c r="AQ177" s="309"/>
      <c r="AR177" s="19"/>
      <c r="AS177" s="21"/>
      <c r="AT177" s="25"/>
      <c r="AU177" s="522">
        <f t="shared" si="9"/>
        <v>1000</v>
      </c>
      <c r="AV177" s="311">
        <f t="shared" si="10"/>
        <v>1000</v>
      </c>
      <c r="AW177" s="305"/>
      <c r="AX177" s="291"/>
      <c r="AY177" s="291"/>
      <c r="AZ177" s="291"/>
      <c r="BA177" s="291"/>
      <c r="BB177" s="291"/>
      <c r="BC177" s="291"/>
      <c r="BD177" s="291"/>
      <c r="BE177" s="291"/>
      <c r="BF177" s="291"/>
      <c r="BG177" s="291"/>
      <c r="BH177" s="291"/>
      <c r="BI177" s="291"/>
      <c r="BJ177" s="291"/>
      <c r="BK177" s="291"/>
      <c r="BL177" s="291"/>
      <c r="BM177" s="291"/>
      <c r="BN177" s="291"/>
      <c r="BO177" s="291"/>
      <c r="BP177" s="291"/>
      <c r="BQ177" s="291"/>
      <c r="BR177" s="291"/>
      <c r="BS177" s="291"/>
      <c r="BT177" s="291"/>
      <c r="BU177" s="291"/>
      <c r="BV177" s="291"/>
      <c r="BW177" s="291"/>
      <c r="BX177" s="291"/>
      <c r="BY177" s="291"/>
      <c r="BZ177" s="291"/>
      <c r="CA177" s="291"/>
      <c r="CB177" s="291"/>
      <c r="CC177" s="291"/>
      <c r="CD177" s="291"/>
      <c r="CE177" s="291"/>
      <c r="CF177" s="291"/>
      <c r="CG177" s="291"/>
      <c r="CH177" s="291"/>
      <c r="CI177" s="291"/>
      <c r="CJ177" s="291"/>
      <c r="CK177" s="291"/>
      <c r="CL177" s="291"/>
      <c r="CM177" s="291"/>
      <c r="CN177" s="291"/>
      <c r="CO177" s="291"/>
      <c r="CP177" s="291"/>
      <c r="CQ177" s="291"/>
      <c r="CR177" s="291"/>
      <c r="CS177" s="291"/>
      <c r="CT177" s="291"/>
      <c r="CU177" s="291"/>
      <c r="CV177" s="291"/>
      <c r="CW177" s="291"/>
      <c r="CX177" s="291"/>
      <c r="CY177" s="291"/>
      <c r="CZ177" s="291"/>
      <c r="DA177" s="291"/>
      <c r="DB177" s="291"/>
      <c r="DC177" s="291"/>
      <c r="DD177" s="291"/>
      <c r="DE177" s="291"/>
      <c r="DF177" s="291"/>
      <c r="DG177" s="291"/>
      <c r="DH177" s="291"/>
      <c r="DI177" s="291"/>
      <c r="DJ177" s="291"/>
      <c r="DK177" s="291"/>
      <c r="DL177" s="291"/>
      <c r="DM177" s="291"/>
      <c r="DN177" s="291"/>
      <c r="DO177" s="291"/>
      <c r="DP177" s="291"/>
      <c r="DQ177" s="291"/>
      <c r="DR177" s="291"/>
      <c r="DS177" s="291"/>
      <c r="DT177" s="291"/>
      <c r="DU177" s="291"/>
      <c r="DV177" s="291"/>
      <c r="DW177" s="291"/>
      <c r="DX177" s="291"/>
      <c r="DY177" s="291"/>
      <c r="DZ177" s="291"/>
      <c r="EA177" s="291"/>
      <c r="EB177" s="291"/>
      <c r="EC177" s="291"/>
      <c r="ED177" s="291"/>
      <c r="EE177" s="291"/>
      <c r="EF177" s="291"/>
      <c r="EG177" s="291"/>
      <c r="EH177" s="291"/>
      <c r="EI177" s="291"/>
      <c r="EJ177" s="291"/>
      <c r="EK177" s="291"/>
      <c r="EL177" s="291"/>
      <c r="EM177" s="291"/>
      <c r="EN177" s="291"/>
      <c r="EO177" s="291"/>
      <c r="EP177" s="291"/>
      <c r="EQ177" s="291"/>
      <c r="ER177" s="291"/>
      <c r="ES177" s="291"/>
      <c r="ET177" s="291"/>
      <c r="EU177" s="291"/>
      <c r="EV177" s="291"/>
      <c r="EW177" s="291"/>
      <c r="EX177" s="291"/>
      <c r="EY177" s="291"/>
      <c r="EZ177" s="291"/>
      <c r="FA177" s="291"/>
      <c r="FB177" s="291"/>
      <c r="FC177" s="291"/>
      <c r="FD177" s="291"/>
      <c r="FE177" s="291"/>
      <c r="FF177" s="291"/>
      <c r="FG177" s="291"/>
      <c r="FH177" s="291"/>
      <c r="FI177" s="291"/>
      <c r="FJ177" s="291"/>
      <c r="FK177" s="291"/>
      <c r="FL177" s="291"/>
      <c r="FM177" s="291"/>
      <c r="FN177" s="291"/>
      <c r="FO177" s="291"/>
      <c r="FP177" s="291"/>
      <c r="FQ177" s="291"/>
      <c r="FR177" s="291"/>
      <c r="FS177" s="291"/>
      <c r="FT177" s="291"/>
      <c r="FU177" s="291"/>
      <c r="FV177" s="291"/>
      <c r="FW177" s="291"/>
      <c r="FX177" s="291"/>
      <c r="FY177" s="291"/>
      <c r="FZ177" s="291"/>
      <c r="GA177" s="291"/>
      <c r="GB177" s="291"/>
      <c r="GC177" s="291"/>
      <c r="GD177" s="291"/>
      <c r="GE177" s="291"/>
      <c r="GF177" s="291"/>
      <c r="GG177" s="291"/>
      <c r="GH177" s="291"/>
      <c r="GI177" s="291"/>
      <c r="GJ177" s="291"/>
      <c r="GK177" s="291"/>
      <c r="GL177" s="291"/>
      <c r="GM177" s="291"/>
      <c r="GN177" s="291"/>
      <c r="GO177" s="291"/>
      <c r="GP177" s="291"/>
      <c r="GQ177" s="291"/>
      <c r="GR177" s="291"/>
      <c r="GS177" s="291"/>
      <c r="GT177" s="291"/>
      <c r="GU177" s="291"/>
      <c r="GV177" s="291"/>
      <c r="GW177" s="291"/>
      <c r="GX177" s="291"/>
      <c r="GY177" s="291"/>
      <c r="GZ177" s="291"/>
      <c r="HA177" s="291"/>
      <c r="HB177" s="291"/>
      <c r="HC177" s="291"/>
      <c r="HD177" s="291"/>
      <c r="HE177" s="291"/>
      <c r="HF177" s="291"/>
      <c r="HG177" s="291"/>
      <c r="HH177" s="291"/>
      <c r="HI177" s="291"/>
      <c r="HJ177" s="291"/>
      <c r="HK177" s="291"/>
      <c r="HL177" s="291"/>
      <c r="HM177" s="291"/>
      <c r="HN177" s="291"/>
      <c r="HO177" s="291"/>
      <c r="HP177" s="291"/>
      <c r="HQ177" s="291"/>
      <c r="HR177" s="291"/>
      <c r="HS177" s="291"/>
      <c r="HT177" s="291"/>
      <c r="HU177" s="291"/>
      <c r="HV177" s="291"/>
      <c r="HW177" s="291"/>
      <c r="HX177" s="291"/>
      <c r="HY177" s="291"/>
      <c r="HZ177" s="291"/>
      <c r="IA177" s="291"/>
      <c r="IB177" s="291"/>
      <c r="IC177" s="291"/>
      <c r="ID177" s="291"/>
      <c r="IE177" s="291"/>
      <c r="IF177" s="291"/>
      <c r="IG177" s="291"/>
      <c r="IH177" s="291"/>
      <c r="II177" s="291"/>
      <c r="IJ177" s="291"/>
      <c r="IK177" s="291"/>
      <c r="IL177" s="291"/>
      <c r="IM177" s="291"/>
      <c r="IN177" s="291"/>
      <c r="IO177" s="291"/>
      <c r="IP177" s="291"/>
      <c r="IQ177" s="291"/>
      <c r="IR177" s="291"/>
      <c r="IS177" s="291"/>
      <c r="IT177" s="291"/>
      <c r="IU177" s="291"/>
      <c r="IV177" s="291"/>
      <c r="IW177" s="291"/>
      <c r="IX177" s="291"/>
      <c r="IY177" s="291"/>
      <c r="IZ177" s="291"/>
      <c r="JA177" s="291"/>
      <c r="JB177" s="291"/>
      <c r="JC177" s="291"/>
      <c r="JD177" s="291"/>
      <c r="JE177" s="291"/>
      <c r="JF177" s="291"/>
      <c r="JG177" s="291"/>
      <c r="JH177" s="291"/>
      <c r="JI177" s="291"/>
      <c r="JJ177" s="291"/>
      <c r="JK177" s="291"/>
      <c r="JL177" s="291"/>
      <c r="JM177" s="291"/>
      <c r="JN177" s="291"/>
      <c r="JO177" s="291"/>
      <c r="JP177" s="291"/>
      <c r="JQ177" s="291"/>
      <c r="JR177" s="291"/>
      <c r="JS177" s="291"/>
      <c r="JT177" s="291"/>
      <c r="JU177" s="291"/>
      <c r="JV177" s="291"/>
      <c r="JW177" s="291"/>
      <c r="JX177" s="291"/>
      <c r="JY177" s="291"/>
      <c r="JZ177" s="291"/>
      <c r="KA177" s="291"/>
      <c r="KB177" s="291"/>
      <c r="KC177" s="291"/>
      <c r="KD177" s="291"/>
      <c r="KE177" s="291"/>
      <c r="KF177" s="291"/>
      <c r="KG177" s="291"/>
      <c r="KH177" s="291"/>
      <c r="KI177" s="291"/>
      <c r="KJ177" s="291"/>
      <c r="KK177" s="291"/>
      <c r="KL177" s="291"/>
      <c r="KM177" s="291"/>
      <c r="KN177" s="291"/>
      <c r="KO177" s="291"/>
      <c r="KP177" s="291"/>
      <c r="KQ177" s="291"/>
      <c r="KR177" s="291"/>
      <c r="KS177" s="291"/>
      <c r="KT177" s="291"/>
      <c r="KU177" s="291"/>
      <c r="KV177" s="291"/>
      <c r="KW177" s="291"/>
      <c r="KX177" s="291"/>
      <c r="KY177" s="291"/>
      <c r="KZ177" s="291"/>
      <c r="LA177" s="291"/>
      <c r="LB177" s="291"/>
      <c r="LC177" s="291"/>
      <c r="LD177" s="291"/>
      <c r="LE177" s="291"/>
      <c r="LF177" s="291"/>
      <c r="LG177" s="291"/>
      <c r="LH177" s="291"/>
      <c r="LI177" s="291"/>
      <c r="LJ177" s="291"/>
      <c r="LK177" s="291"/>
      <c r="LL177" s="291"/>
      <c r="LM177" s="291"/>
      <c r="LN177" s="291"/>
      <c r="LO177" s="291"/>
      <c r="LP177" s="291"/>
      <c r="LQ177" s="291"/>
      <c r="LR177" s="291"/>
      <c r="LS177" s="291"/>
      <c r="LT177" s="291"/>
      <c r="LU177" s="291"/>
      <c r="LV177" s="291"/>
      <c r="LW177" s="291"/>
      <c r="LX177" s="291"/>
      <c r="LY177" s="291"/>
      <c r="LZ177" s="291"/>
      <c r="MA177" s="291"/>
      <c r="MB177" s="291"/>
      <c r="MC177" s="291"/>
      <c r="MD177" s="291"/>
      <c r="ME177" s="291"/>
      <c r="MF177" s="291"/>
      <c r="MG177" s="291"/>
      <c r="MH177" s="291"/>
      <c r="MI177" s="291"/>
      <c r="MJ177" s="291"/>
      <c r="MK177" s="291"/>
      <c r="ML177" s="291"/>
      <c r="MM177" s="291"/>
      <c r="MN177" s="291"/>
      <c r="MO177" s="291"/>
      <c r="MP177" s="291"/>
      <c r="MQ177" s="291"/>
      <c r="MR177" s="291"/>
      <c r="MS177" s="291"/>
      <c r="MT177" s="291"/>
      <c r="MU177" s="291"/>
      <c r="MV177" s="291"/>
      <c r="MW177" s="291"/>
      <c r="MX177" s="291"/>
      <c r="MY177" s="291"/>
      <c r="MZ177" s="291"/>
      <c r="NA177" s="291"/>
      <c r="NB177" s="291"/>
      <c r="NC177" s="291"/>
      <c r="ND177" s="291"/>
      <c r="NE177" s="291"/>
      <c r="NF177" s="291"/>
      <c r="NG177" s="291"/>
      <c r="NH177" s="291"/>
      <c r="NI177" s="291"/>
      <c r="NJ177" s="291"/>
      <c r="NK177" s="291"/>
      <c r="NL177" s="291"/>
      <c r="NM177" s="291"/>
      <c r="NN177" s="291"/>
      <c r="NO177" s="291"/>
      <c r="NP177" s="291"/>
      <c r="NQ177" s="291"/>
      <c r="NR177" s="291"/>
      <c r="NS177" s="291"/>
      <c r="NT177" s="291"/>
      <c r="NU177" s="291"/>
      <c r="NV177" s="291"/>
      <c r="NW177" s="291"/>
      <c r="NX177" s="291"/>
      <c r="NY177" s="291"/>
      <c r="NZ177" s="291"/>
      <c r="OA177" s="291"/>
      <c r="OB177" s="291"/>
      <c r="OC177" s="291"/>
      <c r="OD177" s="291"/>
      <c r="OE177" s="291"/>
      <c r="OF177" s="291"/>
      <c r="OG177" s="291"/>
      <c r="OH177" s="291"/>
      <c r="OI177" s="291"/>
      <c r="OJ177" s="291"/>
      <c r="OK177" s="291"/>
      <c r="OL177" s="291"/>
      <c r="OM177" s="291"/>
      <c r="ON177" s="291"/>
      <c r="OO177" s="291"/>
      <c r="OP177" s="291"/>
      <c r="OQ177" s="291"/>
      <c r="OR177" s="291"/>
      <c r="OS177" s="291"/>
      <c r="OT177" s="291"/>
      <c r="OU177" s="291"/>
      <c r="OV177" s="291"/>
      <c r="OW177" s="291"/>
    </row>
    <row r="178" spans="1:413" s="257" customFormat="1" hidden="1" x14ac:dyDescent="0.2">
      <c r="A178" s="291"/>
      <c r="B178" s="524">
        <f t="shared" si="11"/>
        <v>162</v>
      </c>
      <c r="C178" s="510" t="s">
        <v>38</v>
      </c>
      <c r="D178" s="511">
        <v>30455672</v>
      </c>
      <c r="E178" s="511"/>
      <c r="F178" s="512" t="s">
        <v>1327</v>
      </c>
      <c r="G178" s="513" t="s">
        <v>45</v>
      </c>
      <c r="H178" s="514" t="s">
        <v>1094</v>
      </c>
      <c r="I178" s="515" t="s">
        <v>1129</v>
      </c>
      <c r="J178" s="346" t="s">
        <v>42</v>
      </c>
      <c r="K178" s="526">
        <v>768364</v>
      </c>
      <c r="L178" s="527">
        <v>448396</v>
      </c>
      <c r="M178" s="528">
        <v>0</v>
      </c>
      <c r="N178" s="519">
        <v>0</v>
      </c>
      <c r="O178" s="519">
        <v>69570</v>
      </c>
      <c r="P178" s="519">
        <v>46070</v>
      </c>
      <c r="Q178" s="519">
        <v>577</v>
      </c>
      <c r="R178" s="519">
        <v>107848</v>
      </c>
      <c r="S178" s="520">
        <v>264</v>
      </c>
      <c r="T178" s="18"/>
      <c r="U178" s="18"/>
      <c r="V178" s="18"/>
      <c r="W178" s="18"/>
      <c r="X178" s="18"/>
      <c r="Y178" s="18"/>
      <c r="Z178" s="18">
        <f t="shared" si="8"/>
        <v>224329</v>
      </c>
      <c r="AA178" s="309">
        <v>315291</v>
      </c>
      <c r="AB178" s="19">
        <v>11</v>
      </c>
      <c r="AC178" s="521">
        <v>44237</v>
      </c>
      <c r="AD178" s="25">
        <v>44251</v>
      </c>
      <c r="AE178" s="309"/>
      <c r="AF178" s="314"/>
      <c r="AG178" s="315"/>
      <c r="AH178" s="316"/>
      <c r="AI178" s="309"/>
      <c r="AJ178" s="338"/>
      <c r="AK178" s="315"/>
      <c r="AL178" s="316"/>
      <c r="AM178" s="309"/>
      <c r="AN178" s="338"/>
      <c r="AO178" s="21"/>
      <c r="AP178" s="25"/>
      <c r="AQ178" s="309"/>
      <c r="AR178" s="19"/>
      <c r="AS178" s="21"/>
      <c r="AT178" s="25"/>
      <c r="AU178" s="522">
        <f t="shared" si="9"/>
        <v>315291</v>
      </c>
      <c r="AV178" s="311">
        <f t="shared" si="10"/>
        <v>90962</v>
      </c>
      <c r="AW178" s="305"/>
      <c r="AX178" s="291"/>
      <c r="AY178" s="291"/>
      <c r="AZ178" s="291"/>
      <c r="BA178" s="291"/>
      <c r="BB178" s="291"/>
      <c r="BC178" s="291"/>
      <c r="BD178" s="291"/>
      <c r="BE178" s="291"/>
      <c r="BF178" s="291"/>
      <c r="BG178" s="291"/>
      <c r="BH178" s="291"/>
      <c r="BI178" s="291"/>
      <c r="BJ178" s="291"/>
      <c r="BK178" s="291"/>
      <c r="BL178" s="291"/>
      <c r="BM178" s="291"/>
      <c r="BN178" s="291"/>
      <c r="BO178" s="291"/>
      <c r="BP178" s="291"/>
      <c r="BQ178" s="291"/>
      <c r="BR178" s="291"/>
      <c r="BS178" s="291"/>
      <c r="BT178" s="291"/>
      <c r="BU178" s="291"/>
      <c r="BV178" s="291"/>
      <c r="BW178" s="291"/>
      <c r="BX178" s="291"/>
      <c r="BY178" s="291"/>
      <c r="BZ178" s="291"/>
      <c r="CA178" s="291"/>
      <c r="CB178" s="291"/>
      <c r="CC178" s="291"/>
      <c r="CD178" s="291"/>
      <c r="CE178" s="291"/>
      <c r="CF178" s="291"/>
      <c r="CG178" s="291"/>
      <c r="CH178" s="291"/>
      <c r="CI178" s="291"/>
      <c r="CJ178" s="291"/>
      <c r="CK178" s="291"/>
      <c r="CL178" s="291"/>
      <c r="CM178" s="291"/>
      <c r="CN178" s="291"/>
      <c r="CO178" s="291"/>
      <c r="CP178" s="291"/>
      <c r="CQ178" s="291"/>
      <c r="CR178" s="291"/>
      <c r="CS178" s="291"/>
      <c r="CT178" s="291"/>
      <c r="CU178" s="291"/>
      <c r="CV178" s="291"/>
      <c r="CW178" s="291"/>
      <c r="CX178" s="291"/>
      <c r="CY178" s="291"/>
      <c r="CZ178" s="291"/>
      <c r="DA178" s="291"/>
      <c r="DB178" s="291"/>
      <c r="DC178" s="291"/>
      <c r="DD178" s="291"/>
      <c r="DE178" s="291"/>
      <c r="DF178" s="291"/>
      <c r="DG178" s="291"/>
      <c r="DH178" s="291"/>
      <c r="DI178" s="291"/>
      <c r="DJ178" s="291"/>
      <c r="DK178" s="291"/>
      <c r="DL178" s="291"/>
      <c r="DM178" s="291"/>
      <c r="DN178" s="291"/>
      <c r="DO178" s="291"/>
      <c r="DP178" s="291"/>
      <c r="DQ178" s="291"/>
      <c r="DR178" s="291"/>
      <c r="DS178" s="291"/>
      <c r="DT178" s="291"/>
      <c r="DU178" s="291"/>
      <c r="DV178" s="291"/>
      <c r="DW178" s="291"/>
      <c r="DX178" s="291"/>
      <c r="DY178" s="291"/>
      <c r="DZ178" s="291"/>
      <c r="EA178" s="291"/>
      <c r="EB178" s="291"/>
      <c r="EC178" s="291"/>
      <c r="ED178" s="291"/>
      <c r="EE178" s="291"/>
      <c r="EF178" s="291"/>
      <c r="EG178" s="291"/>
      <c r="EH178" s="291"/>
      <c r="EI178" s="291"/>
      <c r="EJ178" s="291"/>
      <c r="EK178" s="291"/>
      <c r="EL178" s="291"/>
      <c r="EM178" s="291"/>
      <c r="EN178" s="291"/>
      <c r="EO178" s="291"/>
      <c r="EP178" s="291"/>
      <c r="EQ178" s="291"/>
      <c r="ER178" s="291"/>
      <c r="ES178" s="291"/>
      <c r="ET178" s="291"/>
      <c r="EU178" s="291"/>
      <c r="EV178" s="291"/>
      <c r="EW178" s="291"/>
      <c r="EX178" s="291"/>
      <c r="EY178" s="291"/>
      <c r="EZ178" s="291"/>
      <c r="FA178" s="291"/>
      <c r="FB178" s="291"/>
      <c r="FC178" s="291"/>
      <c r="FD178" s="291"/>
      <c r="FE178" s="291"/>
      <c r="FF178" s="291"/>
      <c r="FG178" s="291"/>
      <c r="FH178" s="291"/>
      <c r="FI178" s="291"/>
      <c r="FJ178" s="291"/>
      <c r="FK178" s="291"/>
      <c r="FL178" s="291"/>
      <c r="FM178" s="291"/>
      <c r="FN178" s="291"/>
      <c r="FO178" s="291"/>
      <c r="FP178" s="291"/>
      <c r="FQ178" s="291"/>
      <c r="FR178" s="291"/>
      <c r="FS178" s="291"/>
      <c r="FT178" s="291"/>
      <c r="FU178" s="291"/>
      <c r="FV178" s="291"/>
      <c r="FW178" s="291"/>
      <c r="FX178" s="291"/>
      <c r="FY178" s="291"/>
      <c r="FZ178" s="291"/>
      <c r="GA178" s="291"/>
      <c r="GB178" s="291"/>
      <c r="GC178" s="291"/>
      <c r="GD178" s="291"/>
      <c r="GE178" s="291"/>
      <c r="GF178" s="291"/>
      <c r="GG178" s="291"/>
      <c r="GH178" s="291"/>
      <c r="GI178" s="291"/>
      <c r="GJ178" s="291"/>
      <c r="GK178" s="291"/>
      <c r="GL178" s="291"/>
      <c r="GM178" s="291"/>
      <c r="GN178" s="291"/>
      <c r="GO178" s="291"/>
      <c r="GP178" s="291"/>
      <c r="GQ178" s="291"/>
      <c r="GR178" s="291"/>
      <c r="GS178" s="291"/>
      <c r="GT178" s="291"/>
      <c r="GU178" s="291"/>
      <c r="GV178" s="291"/>
      <c r="GW178" s="291"/>
      <c r="GX178" s="291"/>
      <c r="GY178" s="291"/>
      <c r="GZ178" s="291"/>
      <c r="HA178" s="291"/>
      <c r="HB178" s="291"/>
      <c r="HC178" s="291"/>
      <c r="HD178" s="291"/>
      <c r="HE178" s="291"/>
      <c r="HF178" s="291"/>
      <c r="HG178" s="291"/>
      <c r="HH178" s="291"/>
      <c r="HI178" s="291"/>
      <c r="HJ178" s="291"/>
      <c r="HK178" s="291"/>
      <c r="HL178" s="291"/>
      <c r="HM178" s="291"/>
      <c r="HN178" s="291"/>
      <c r="HO178" s="291"/>
      <c r="HP178" s="291"/>
      <c r="HQ178" s="291"/>
      <c r="HR178" s="291"/>
      <c r="HS178" s="291"/>
      <c r="HT178" s="291"/>
      <c r="HU178" s="291"/>
      <c r="HV178" s="291"/>
      <c r="HW178" s="291"/>
      <c r="HX178" s="291"/>
      <c r="HY178" s="291"/>
      <c r="HZ178" s="291"/>
      <c r="IA178" s="291"/>
      <c r="IB178" s="291"/>
      <c r="IC178" s="291"/>
      <c r="ID178" s="291"/>
      <c r="IE178" s="291"/>
      <c r="IF178" s="291"/>
      <c r="IG178" s="291"/>
      <c r="IH178" s="291"/>
      <c r="II178" s="291"/>
      <c r="IJ178" s="291"/>
      <c r="IK178" s="291"/>
      <c r="IL178" s="291"/>
      <c r="IM178" s="291"/>
      <c r="IN178" s="291"/>
      <c r="IO178" s="291"/>
      <c r="IP178" s="291"/>
      <c r="IQ178" s="291"/>
      <c r="IR178" s="291"/>
      <c r="IS178" s="291"/>
      <c r="IT178" s="291"/>
      <c r="IU178" s="291"/>
      <c r="IV178" s="291"/>
      <c r="IW178" s="291"/>
      <c r="IX178" s="291"/>
      <c r="IY178" s="291"/>
      <c r="IZ178" s="291"/>
      <c r="JA178" s="291"/>
      <c r="JB178" s="291"/>
      <c r="JC178" s="291"/>
      <c r="JD178" s="291"/>
      <c r="JE178" s="291"/>
      <c r="JF178" s="291"/>
      <c r="JG178" s="291"/>
      <c r="JH178" s="291"/>
      <c r="JI178" s="291"/>
      <c r="JJ178" s="291"/>
      <c r="JK178" s="291"/>
      <c r="JL178" s="291"/>
      <c r="JM178" s="291"/>
      <c r="JN178" s="291"/>
      <c r="JO178" s="291"/>
      <c r="JP178" s="291"/>
      <c r="JQ178" s="291"/>
      <c r="JR178" s="291"/>
      <c r="JS178" s="291"/>
      <c r="JT178" s="291"/>
      <c r="JU178" s="291"/>
      <c r="JV178" s="291"/>
      <c r="JW178" s="291"/>
      <c r="JX178" s="291"/>
      <c r="JY178" s="291"/>
      <c r="JZ178" s="291"/>
      <c r="KA178" s="291"/>
      <c r="KB178" s="291"/>
      <c r="KC178" s="291"/>
      <c r="KD178" s="291"/>
      <c r="KE178" s="291"/>
      <c r="KF178" s="291"/>
      <c r="KG178" s="291"/>
      <c r="KH178" s="291"/>
      <c r="KI178" s="291"/>
      <c r="KJ178" s="291"/>
      <c r="KK178" s="291"/>
      <c r="KL178" s="291"/>
      <c r="KM178" s="291"/>
      <c r="KN178" s="291"/>
      <c r="KO178" s="291"/>
      <c r="KP178" s="291"/>
      <c r="KQ178" s="291"/>
      <c r="KR178" s="291"/>
      <c r="KS178" s="291"/>
      <c r="KT178" s="291"/>
      <c r="KU178" s="291"/>
      <c r="KV178" s="291"/>
      <c r="KW178" s="291"/>
      <c r="KX178" s="291"/>
      <c r="KY178" s="291"/>
      <c r="KZ178" s="291"/>
      <c r="LA178" s="291"/>
      <c r="LB178" s="291"/>
      <c r="LC178" s="291"/>
      <c r="LD178" s="291"/>
      <c r="LE178" s="291"/>
      <c r="LF178" s="291"/>
      <c r="LG178" s="291"/>
      <c r="LH178" s="291"/>
      <c r="LI178" s="291"/>
      <c r="LJ178" s="291"/>
      <c r="LK178" s="291"/>
      <c r="LL178" s="291"/>
      <c r="LM178" s="291"/>
      <c r="LN178" s="291"/>
      <c r="LO178" s="291"/>
      <c r="LP178" s="291"/>
      <c r="LQ178" s="291"/>
      <c r="LR178" s="291"/>
      <c r="LS178" s="291"/>
      <c r="LT178" s="291"/>
      <c r="LU178" s="291"/>
      <c r="LV178" s="291"/>
      <c r="LW178" s="291"/>
      <c r="LX178" s="291"/>
      <c r="LY178" s="291"/>
      <c r="LZ178" s="291"/>
      <c r="MA178" s="291"/>
      <c r="MB178" s="291"/>
      <c r="MC178" s="291"/>
      <c r="MD178" s="291"/>
      <c r="ME178" s="291"/>
      <c r="MF178" s="291"/>
      <c r="MG178" s="291"/>
      <c r="MH178" s="291"/>
      <c r="MI178" s="291"/>
      <c r="MJ178" s="291"/>
      <c r="MK178" s="291"/>
      <c r="ML178" s="291"/>
      <c r="MM178" s="291"/>
      <c r="MN178" s="291"/>
      <c r="MO178" s="291"/>
      <c r="MP178" s="291"/>
      <c r="MQ178" s="291"/>
      <c r="MR178" s="291"/>
      <c r="MS178" s="291"/>
      <c r="MT178" s="291"/>
      <c r="MU178" s="291"/>
      <c r="MV178" s="291"/>
      <c r="MW178" s="291"/>
      <c r="MX178" s="291"/>
      <c r="MY178" s="291"/>
      <c r="MZ178" s="291"/>
      <c r="NA178" s="291"/>
      <c r="NB178" s="291"/>
      <c r="NC178" s="291"/>
      <c r="ND178" s="291"/>
      <c r="NE178" s="291"/>
      <c r="NF178" s="291"/>
      <c r="NG178" s="291"/>
      <c r="NH178" s="291"/>
      <c r="NI178" s="291"/>
      <c r="NJ178" s="291"/>
      <c r="NK178" s="291"/>
      <c r="NL178" s="291"/>
      <c r="NM178" s="291"/>
      <c r="NN178" s="291"/>
      <c r="NO178" s="291"/>
      <c r="NP178" s="291"/>
      <c r="NQ178" s="291"/>
      <c r="NR178" s="291"/>
      <c r="NS178" s="291"/>
      <c r="NT178" s="291"/>
      <c r="NU178" s="291"/>
      <c r="NV178" s="291"/>
      <c r="NW178" s="291"/>
      <c r="NX178" s="291"/>
      <c r="NY178" s="291"/>
      <c r="NZ178" s="291"/>
      <c r="OA178" s="291"/>
      <c r="OB178" s="291"/>
      <c r="OC178" s="291"/>
      <c r="OD178" s="291"/>
      <c r="OE178" s="291"/>
      <c r="OF178" s="291"/>
      <c r="OG178" s="291"/>
      <c r="OH178" s="291"/>
      <c r="OI178" s="291"/>
      <c r="OJ178" s="291"/>
      <c r="OK178" s="291"/>
      <c r="OL178" s="291"/>
      <c r="OM178" s="291"/>
      <c r="ON178" s="291"/>
      <c r="OO178" s="291"/>
      <c r="OP178" s="291"/>
      <c r="OQ178" s="291"/>
      <c r="OR178" s="291"/>
      <c r="OS178" s="291"/>
      <c r="OT178" s="291"/>
      <c r="OU178" s="291"/>
      <c r="OV178" s="291"/>
      <c r="OW178" s="291"/>
    </row>
    <row r="179" spans="1:413" s="257" customFormat="1" hidden="1" x14ac:dyDescent="0.2">
      <c r="A179" s="291"/>
      <c r="B179" s="524">
        <f t="shared" si="11"/>
        <v>163</v>
      </c>
      <c r="C179" s="510" t="s">
        <v>38</v>
      </c>
      <c r="D179" s="511">
        <v>30458537</v>
      </c>
      <c r="E179" s="511"/>
      <c r="F179" s="512" t="s">
        <v>1328</v>
      </c>
      <c r="G179" s="513" t="s">
        <v>45</v>
      </c>
      <c r="H179" s="514" t="s">
        <v>1094</v>
      </c>
      <c r="I179" s="515" t="s">
        <v>1313</v>
      </c>
      <c r="J179" s="346" t="s">
        <v>42</v>
      </c>
      <c r="K179" s="526">
        <v>1775313</v>
      </c>
      <c r="L179" s="527">
        <v>1666608</v>
      </c>
      <c r="M179" s="528">
        <v>0</v>
      </c>
      <c r="N179" s="520">
        <v>0</v>
      </c>
      <c r="O179" s="520">
        <v>0</v>
      </c>
      <c r="P179" s="520">
        <v>0</v>
      </c>
      <c r="Q179" s="520">
        <v>0</v>
      </c>
      <c r="R179" s="520">
        <v>0</v>
      </c>
      <c r="S179" s="520">
        <v>0</v>
      </c>
      <c r="T179" s="18"/>
      <c r="U179" s="18"/>
      <c r="V179" s="18"/>
      <c r="W179" s="18"/>
      <c r="X179" s="18"/>
      <c r="Y179" s="18"/>
      <c r="Z179" s="18">
        <f t="shared" si="8"/>
        <v>0</v>
      </c>
      <c r="AA179" s="309">
        <v>40617</v>
      </c>
      <c r="AB179" s="19">
        <v>15</v>
      </c>
      <c r="AC179" s="521">
        <v>44259</v>
      </c>
      <c r="AD179" s="25">
        <v>44274</v>
      </c>
      <c r="AE179" s="309"/>
      <c r="AF179" s="314"/>
      <c r="AG179" s="315"/>
      <c r="AH179" s="316"/>
      <c r="AI179" s="309"/>
      <c r="AJ179" s="338"/>
      <c r="AK179" s="315"/>
      <c r="AL179" s="316"/>
      <c r="AM179" s="309"/>
      <c r="AN179" s="338"/>
      <c r="AO179" s="21"/>
      <c r="AP179" s="25"/>
      <c r="AQ179" s="309"/>
      <c r="AR179" s="19"/>
      <c r="AS179" s="21"/>
      <c r="AT179" s="25"/>
      <c r="AU179" s="522">
        <f t="shared" si="9"/>
        <v>40617</v>
      </c>
      <c r="AV179" s="311">
        <f t="shared" si="10"/>
        <v>40617</v>
      </c>
      <c r="AW179" s="305"/>
      <c r="AX179" s="291"/>
      <c r="AY179" s="291"/>
      <c r="AZ179" s="291"/>
      <c r="BA179" s="291"/>
      <c r="BB179" s="291"/>
      <c r="BC179" s="291"/>
      <c r="BD179" s="291"/>
      <c r="BE179" s="291"/>
      <c r="BF179" s="291"/>
      <c r="BG179" s="291"/>
      <c r="BH179" s="291"/>
      <c r="BI179" s="291"/>
      <c r="BJ179" s="291"/>
      <c r="BK179" s="291"/>
      <c r="BL179" s="291"/>
      <c r="BM179" s="291"/>
      <c r="BN179" s="291"/>
      <c r="BO179" s="291"/>
      <c r="BP179" s="291"/>
      <c r="BQ179" s="291"/>
      <c r="BR179" s="291"/>
      <c r="BS179" s="291"/>
      <c r="BT179" s="291"/>
      <c r="BU179" s="291"/>
      <c r="BV179" s="291"/>
      <c r="BW179" s="291"/>
      <c r="BX179" s="291"/>
      <c r="BY179" s="291"/>
      <c r="BZ179" s="291"/>
      <c r="CA179" s="291"/>
      <c r="CB179" s="291"/>
      <c r="CC179" s="291"/>
      <c r="CD179" s="291"/>
      <c r="CE179" s="291"/>
      <c r="CF179" s="291"/>
      <c r="CG179" s="291"/>
      <c r="CH179" s="291"/>
      <c r="CI179" s="291"/>
      <c r="CJ179" s="291"/>
      <c r="CK179" s="291"/>
      <c r="CL179" s="291"/>
      <c r="CM179" s="291"/>
      <c r="CN179" s="291"/>
      <c r="CO179" s="291"/>
      <c r="CP179" s="291"/>
      <c r="CQ179" s="291"/>
      <c r="CR179" s="291"/>
      <c r="CS179" s="291"/>
      <c r="CT179" s="291"/>
      <c r="CU179" s="291"/>
      <c r="CV179" s="291"/>
      <c r="CW179" s="291"/>
      <c r="CX179" s="291"/>
      <c r="CY179" s="291"/>
      <c r="CZ179" s="291"/>
      <c r="DA179" s="291"/>
      <c r="DB179" s="291"/>
      <c r="DC179" s="291"/>
      <c r="DD179" s="291"/>
      <c r="DE179" s="291"/>
      <c r="DF179" s="291"/>
      <c r="DG179" s="291"/>
      <c r="DH179" s="291"/>
      <c r="DI179" s="291"/>
      <c r="DJ179" s="291"/>
      <c r="DK179" s="291"/>
      <c r="DL179" s="291"/>
      <c r="DM179" s="291"/>
      <c r="DN179" s="291"/>
      <c r="DO179" s="291"/>
      <c r="DP179" s="291"/>
      <c r="DQ179" s="291"/>
      <c r="DR179" s="291"/>
      <c r="DS179" s="291"/>
      <c r="DT179" s="291"/>
      <c r="DU179" s="291"/>
      <c r="DV179" s="291"/>
      <c r="DW179" s="291"/>
      <c r="DX179" s="291"/>
      <c r="DY179" s="291"/>
      <c r="DZ179" s="291"/>
      <c r="EA179" s="291"/>
      <c r="EB179" s="291"/>
      <c r="EC179" s="291"/>
      <c r="ED179" s="291"/>
      <c r="EE179" s="291"/>
      <c r="EF179" s="291"/>
      <c r="EG179" s="291"/>
      <c r="EH179" s="291"/>
      <c r="EI179" s="291"/>
      <c r="EJ179" s="291"/>
      <c r="EK179" s="291"/>
      <c r="EL179" s="291"/>
      <c r="EM179" s="291"/>
      <c r="EN179" s="291"/>
      <c r="EO179" s="291"/>
      <c r="EP179" s="291"/>
      <c r="EQ179" s="291"/>
      <c r="ER179" s="291"/>
      <c r="ES179" s="291"/>
      <c r="ET179" s="291"/>
      <c r="EU179" s="291"/>
      <c r="EV179" s="291"/>
      <c r="EW179" s="291"/>
      <c r="EX179" s="291"/>
      <c r="EY179" s="291"/>
      <c r="EZ179" s="291"/>
      <c r="FA179" s="291"/>
      <c r="FB179" s="291"/>
      <c r="FC179" s="291"/>
      <c r="FD179" s="291"/>
      <c r="FE179" s="291"/>
      <c r="FF179" s="291"/>
      <c r="FG179" s="291"/>
      <c r="FH179" s="291"/>
      <c r="FI179" s="291"/>
      <c r="FJ179" s="291"/>
      <c r="FK179" s="291"/>
      <c r="FL179" s="291"/>
      <c r="FM179" s="291"/>
      <c r="FN179" s="291"/>
      <c r="FO179" s="291"/>
      <c r="FP179" s="291"/>
      <c r="FQ179" s="291"/>
      <c r="FR179" s="291"/>
      <c r="FS179" s="291"/>
      <c r="FT179" s="291"/>
      <c r="FU179" s="291"/>
      <c r="FV179" s="291"/>
      <c r="FW179" s="291"/>
      <c r="FX179" s="291"/>
      <c r="FY179" s="291"/>
      <c r="FZ179" s="291"/>
      <c r="GA179" s="291"/>
      <c r="GB179" s="291"/>
      <c r="GC179" s="291"/>
      <c r="GD179" s="291"/>
      <c r="GE179" s="291"/>
      <c r="GF179" s="291"/>
      <c r="GG179" s="291"/>
      <c r="GH179" s="291"/>
      <c r="GI179" s="291"/>
      <c r="GJ179" s="291"/>
      <c r="GK179" s="291"/>
      <c r="GL179" s="291"/>
      <c r="GM179" s="291"/>
      <c r="GN179" s="291"/>
      <c r="GO179" s="291"/>
      <c r="GP179" s="291"/>
      <c r="GQ179" s="291"/>
      <c r="GR179" s="291"/>
      <c r="GS179" s="291"/>
      <c r="GT179" s="291"/>
      <c r="GU179" s="291"/>
      <c r="GV179" s="291"/>
      <c r="GW179" s="291"/>
      <c r="GX179" s="291"/>
      <c r="GY179" s="291"/>
      <c r="GZ179" s="291"/>
      <c r="HA179" s="291"/>
      <c r="HB179" s="291"/>
      <c r="HC179" s="291"/>
      <c r="HD179" s="291"/>
      <c r="HE179" s="291"/>
      <c r="HF179" s="291"/>
      <c r="HG179" s="291"/>
      <c r="HH179" s="291"/>
      <c r="HI179" s="291"/>
      <c r="HJ179" s="291"/>
      <c r="HK179" s="291"/>
      <c r="HL179" s="291"/>
      <c r="HM179" s="291"/>
      <c r="HN179" s="291"/>
      <c r="HO179" s="291"/>
      <c r="HP179" s="291"/>
      <c r="HQ179" s="291"/>
      <c r="HR179" s="291"/>
      <c r="HS179" s="291"/>
      <c r="HT179" s="291"/>
      <c r="HU179" s="291"/>
      <c r="HV179" s="291"/>
      <c r="HW179" s="291"/>
      <c r="HX179" s="291"/>
      <c r="HY179" s="291"/>
      <c r="HZ179" s="291"/>
      <c r="IA179" s="291"/>
      <c r="IB179" s="291"/>
      <c r="IC179" s="291"/>
      <c r="ID179" s="291"/>
      <c r="IE179" s="291"/>
      <c r="IF179" s="291"/>
      <c r="IG179" s="291"/>
      <c r="IH179" s="291"/>
      <c r="II179" s="291"/>
      <c r="IJ179" s="291"/>
      <c r="IK179" s="291"/>
      <c r="IL179" s="291"/>
      <c r="IM179" s="291"/>
      <c r="IN179" s="291"/>
      <c r="IO179" s="291"/>
      <c r="IP179" s="291"/>
      <c r="IQ179" s="291"/>
      <c r="IR179" s="291"/>
      <c r="IS179" s="291"/>
      <c r="IT179" s="291"/>
      <c r="IU179" s="291"/>
      <c r="IV179" s="291"/>
      <c r="IW179" s="291"/>
      <c r="IX179" s="291"/>
      <c r="IY179" s="291"/>
      <c r="IZ179" s="291"/>
      <c r="JA179" s="291"/>
      <c r="JB179" s="291"/>
      <c r="JC179" s="291"/>
      <c r="JD179" s="291"/>
      <c r="JE179" s="291"/>
      <c r="JF179" s="291"/>
      <c r="JG179" s="291"/>
      <c r="JH179" s="291"/>
      <c r="JI179" s="291"/>
      <c r="JJ179" s="291"/>
      <c r="JK179" s="291"/>
      <c r="JL179" s="291"/>
      <c r="JM179" s="291"/>
      <c r="JN179" s="291"/>
      <c r="JO179" s="291"/>
      <c r="JP179" s="291"/>
      <c r="JQ179" s="291"/>
      <c r="JR179" s="291"/>
      <c r="JS179" s="291"/>
      <c r="JT179" s="291"/>
      <c r="JU179" s="291"/>
      <c r="JV179" s="291"/>
      <c r="JW179" s="291"/>
      <c r="JX179" s="291"/>
      <c r="JY179" s="291"/>
      <c r="JZ179" s="291"/>
      <c r="KA179" s="291"/>
      <c r="KB179" s="291"/>
      <c r="KC179" s="291"/>
      <c r="KD179" s="291"/>
      <c r="KE179" s="291"/>
      <c r="KF179" s="291"/>
      <c r="KG179" s="291"/>
      <c r="KH179" s="291"/>
      <c r="KI179" s="291"/>
      <c r="KJ179" s="291"/>
      <c r="KK179" s="291"/>
      <c r="KL179" s="291"/>
      <c r="KM179" s="291"/>
      <c r="KN179" s="291"/>
      <c r="KO179" s="291"/>
      <c r="KP179" s="291"/>
      <c r="KQ179" s="291"/>
      <c r="KR179" s="291"/>
      <c r="KS179" s="291"/>
      <c r="KT179" s="291"/>
      <c r="KU179" s="291"/>
      <c r="KV179" s="291"/>
      <c r="KW179" s="291"/>
      <c r="KX179" s="291"/>
      <c r="KY179" s="291"/>
      <c r="KZ179" s="291"/>
      <c r="LA179" s="291"/>
      <c r="LB179" s="291"/>
      <c r="LC179" s="291"/>
      <c r="LD179" s="291"/>
      <c r="LE179" s="291"/>
      <c r="LF179" s="291"/>
      <c r="LG179" s="291"/>
      <c r="LH179" s="291"/>
      <c r="LI179" s="291"/>
      <c r="LJ179" s="291"/>
      <c r="LK179" s="291"/>
      <c r="LL179" s="291"/>
      <c r="LM179" s="291"/>
      <c r="LN179" s="291"/>
      <c r="LO179" s="291"/>
      <c r="LP179" s="291"/>
      <c r="LQ179" s="291"/>
      <c r="LR179" s="291"/>
      <c r="LS179" s="291"/>
      <c r="LT179" s="291"/>
      <c r="LU179" s="291"/>
      <c r="LV179" s="291"/>
      <c r="LW179" s="291"/>
      <c r="LX179" s="291"/>
      <c r="LY179" s="291"/>
      <c r="LZ179" s="291"/>
      <c r="MA179" s="291"/>
      <c r="MB179" s="291"/>
      <c r="MC179" s="291"/>
      <c r="MD179" s="291"/>
      <c r="ME179" s="291"/>
      <c r="MF179" s="291"/>
      <c r="MG179" s="291"/>
      <c r="MH179" s="291"/>
      <c r="MI179" s="291"/>
      <c r="MJ179" s="291"/>
      <c r="MK179" s="291"/>
      <c r="ML179" s="291"/>
      <c r="MM179" s="291"/>
      <c r="MN179" s="291"/>
      <c r="MO179" s="291"/>
      <c r="MP179" s="291"/>
      <c r="MQ179" s="291"/>
      <c r="MR179" s="291"/>
      <c r="MS179" s="291"/>
      <c r="MT179" s="291"/>
      <c r="MU179" s="291"/>
      <c r="MV179" s="291"/>
      <c r="MW179" s="291"/>
      <c r="MX179" s="291"/>
      <c r="MY179" s="291"/>
      <c r="MZ179" s="291"/>
      <c r="NA179" s="291"/>
      <c r="NB179" s="291"/>
      <c r="NC179" s="291"/>
      <c r="ND179" s="291"/>
      <c r="NE179" s="291"/>
      <c r="NF179" s="291"/>
      <c r="NG179" s="291"/>
      <c r="NH179" s="291"/>
      <c r="NI179" s="291"/>
      <c r="NJ179" s="291"/>
      <c r="NK179" s="291"/>
      <c r="NL179" s="291"/>
      <c r="NM179" s="291"/>
      <c r="NN179" s="291"/>
      <c r="NO179" s="291"/>
      <c r="NP179" s="291"/>
      <c r="NQ179" s="291"/>
      <c r="NR179" s="291"/>
      <c r="NS179" s="291"/>
      <c r="NT179" s="291"/>
      <c r="NU179" s="291"/>
      <c r="NV179" s="291"/>
      <c r="NW179" s="291"/>
      <c r="NX179" s="291"/>
      <c r="NY179" s="291"/>
      <c r="NZ179" s="291"/>
      <c r="OA179" s="291"/>
      <c r="OB179" s="291"/>
      <c r="OC179" s="291"/>
      <c r="OD179" s="291"/>
      <c r="OE179" s="291"/>
      <c r="OF179" s="291"/>
      <c r="OG179" s="291"/>
      <c r="OH179" s="291"/>
      <c r="OI179" s="291"/>
      <c r="OJ179" s="291"/>
      <c r="OK179" s="291"/>
      <c r="OL179" s="291"/>
      <c r="OM179" s="291"/>
      <c r="ON179" s="291"/>
      <c r="OO179" s="291"/>
      <c r="OP179" s="291"/>
      <c r="OQ179" s="291"/>
      <c r="OR179" s="291"/>
      <c r="OS179" s="291"/>
      <c r="OT179" s="291"/>
      <c r="OU179" s="291"/>
      <c r="OV179" s="291"/>
      <c r="OW179" s="291"/>
    </row>
    <row r="180" spans="1:413" s="257" customFormat="1" hidden="1" x14ac:dyDescent="0.2">
      <c r="A180" s="291"/>
      <c r="B180" s="524">
        <f t="shared" si="11"/>
        <v>164</v>
      </c>
      <c r="C180" s="510" t="s">
        <v>38</v>
      </c>
      <c r="D180" s="511">
        <v>30463384</v>
      </c>
      <c r="E180" s="511"/>
      <c r="F180" s="512" t="s">
        <v>1329</v>
      </c>
      <c r="G180" s="513" t="s">
        <v>46</v>
      </c>
      <c r="H180" s="514" t="s">
        <v>1094</v>
      </c>
      <c r="I180" s="515" t="s">
        <v>1120</v>
      </c>
      <c r="J180" s="346" t="s">
        <v>42</v>
      </c>
      <c r="K180" s="526">
        <v>131936</v>
      </c>
      <c r="L180" s="527">
        <v>87167</v>
      </c>
      <c r="M180" s="528">
        <v>0</v>
      </c>
      <c r="N180" s="520">
        <v>0</v>
      </c>
      <c r="O180" s="520">
        <v>0</v>
      </c>
      <c r="P180" s="520">
        <v>0</v>
      </c>
      <c r="Q180" s="520">
        <v>0</v>
      </c>
      <c r="R180" s="520">
        <v>0</v>
      </c>
      <c r="S180" s="520">
        <v>0</v>
      </c>
      <c r="T180" s="18"/>
      <c r="U180" s="18"/>
      <c r="V180" s="18"/>
      <c r="W180" s="18"/>
      <c r="X180" s="18"/>
      <c r="Y180" s="18"/>
      <c r="Z180" s="18">
        <f t="shared" si="8"/>
        <v>0</v>
      </c>
      <c r="AA180" s="309">
        <v>44769</v>
      </c>
      <c r="AB180" s="19">
        <v>11</v>
      </c>
      <c r="AC180" s="521">
        <v>44237</v>
      </c>
      <c r="AD180" s="25">
        <v>44251</v>
      </c>
      <c r="AE180" s="309"/>
      <c r="AF180" s="314"/>
      <c r="AG180" s="315"/>
      <c r="AH180" s="316"/>
      <c r="AI180" s="309"/>
      <c r="AJ180" s="338"/>
      <c r="AK180" s="315"/>
      <c r="AL180" s="316"/>
      <c r="AM180" s="309"/>
      <c r="AN180" s="338"/>
      <c r="AO180" s="21"/>
      <c r="AP180" s="25"/>
      <c r="AQ180" s="309"/>
      <c r="AR180" s="19"/>
      <c r="AS180" s="21"/>
      <c r="AT180" s="25"/>
      <c r="AU180" s="522">
        <f t="shared" si="9"/>
        <v>44769</v>
      </c>
      <c r="AV180" s="311">
        <f t="shared" si="10"/>
        <v>44769</v>
      </c>
      <c r="AW180" s="305"/>
      <c r="AX180" s="291"/>
      <c r="AY180" s="291"/>
      <c r="AZ180" s="291"/>
      <c r="BA180" s="291"/>
      <c r="BB180" s="291"/>
      <c r="BC180" s="291"/>
      <c r="BD180" s="291"/>
      <c r="BE180" s="291"/>
      <c r="BF180" s="291"/>
      <c r="BG180" s="291"/>
      <c r="BH180" s="291"/>
      <c r="BI180" s="291"/>
      <c r="BJ180" s="291"/>
      <c r="BK180" s="291"/>
      <c r="BL180" s="291"/>
      <c r="BM180" s="291"/>
      <c r="BN180" s="291"/>
      <c r="BO180" s="291"/>
      <c r="BP180" s="291"/>
      <c r="BQ180" s="291"/>
      <c r="BR180" s="291"/>
      <c r="BS180" s="291"/>
      <c r="BT180" s="291"/>
      <c r="BU180" s="291"/>
      <c r="BV180" s="291"/>
      <c r="BW180" s="291"/>
      <c r="BX180" s="291"/>
      <c r="BY180" s="291"/>
      <c r="BZ180" s="291"/>
      <c r="CA180" s="291"/>
      <c r="CB180" s="291"/>
      <c r="CC180" s="291"/>
      <c r="CD180" s="291"/>
      <c r="CE180" s="291"/>
      <c r="CF180" s="291"/>
      <c r="CG180" s="291"/>
      <c r="CH180" s="291"/>
      <c r="CI180" s="291"/>
      <c r="CJ180" s="291"/>
      <c r="CK180" s="291"/>
      <c r="CL180" s="291"/>
      <c r="CM180" s="291"/>
      <c r="CN180" s="291"/>
      <c r="CO180" s="291"/>
      <c r="CP180" s="291"/>
      <c r="CQ180" s="291"/>
      <c r="CR180" s="291"/>
      <c r="CS180" s="291"/>
      <c r="CT180" s="291"/>
      <c r="CU180" s="291"/>
      <c r="CV180" s="291"/>
      <c r="CW180" s="291"/>
      <c r="CX180" s="291"/>
      <c r="CY180" s="291"/>
      <c r="CZ180" s="291"/>
      <c r="DA180" s="291"/>
      <c r="DB180" s="291"/>
      <c r="DC180" s="291"/>
      <c r="DD180" s="291"/>
      <c r="DE180" s="291"/>
      <c r="DF180" s="291"/>
      <c r="DG180" s="291"/>
      <c r="DH180" s="291"/>
      <c r="DI180" s="291"/>
      <c r="DJ180" s="291"/>
      <c r="DK180" s="291"/>
      <c r="DL180" s="291"/>
      <c r="DM180" s="291"/>
      <c r="DN180" s="291"/>
      <c r="DO180" s="291"/>
      <c r="DP180" s="291"/>
      <c r="DQ180" s="291"/>
      <c r="DR180" s="291"/>
      <c r="DS180" s="291"/>
      <c r="DT180" s="291"/>
      <c r="DU180" s="291"/>
      <c r="DV180" s="291"/>
      <c r="DW180" s="291"/>
      <c r="DX180" s="291"/>
      <c r="DY180" s="291"/>
      <c r="DZ180" s="291"/>
      <c r="EA180" s="291"/>
      <c r="EB180" s="291"/>
      <c r="EC180" s="291"/>
      <c r="ED180" s="291"/>
      <c r="EE180" s="291"/>
      <c r="EF180" s="291"/>
      <c r="EG180" s="291"/>
      <c r="EH180" s="291"/>
      <c r="EI180" s="291"/>
      <c r="EJ180" s="291"/>
      <c r="EK180" s="291"/>
      <c r="EL180" s="291"/>
      <c r="EM180" s="291"/>
      <c r="EN180" s="291"/>
      <c r="EO180" s="291"/>
      <c r="EP180" s="291"/>
      <c r="EQ180" s="291"/>
      <c r="ER180" s="291"/>
      <c r="ES180" s="291"/>
      <c r="ET180" s="291"/>
      <c r="EU180" s="291"/>
      <c r="EV180" s="291"/>
      <c r="EW180" s="291"/>
      <c r="EX180" s="291"/>
      <c r="EY180" s="291"/>
      <c r="EZ180" s="291"/>
      <c r="FA180" s="291"/>
      <c r="FB180" s="291"/>
      <c r="FC180" s="291"/>
      <c r="FD180" s="291"/>
      <c r="FE180" s="291"/>
      <c r="FF180" s="291"/>
      <c r="FG180" s="291"/>
      <c r="FH180" s="291"/>
      <c r="FI180" s="291"/>
      <c r="FJ180" s="291"/>
      <c r="FK180" s="291"/>
      <c r="FL180" s="291"/>
      <c r="FM180" s="291"/>
      <c r="FN180" s="291"/>
      <c r="FO180" s="291"/>
      <c r="FP180" s="291"/>
      <c r="FQ180" s="291"/>
      <c r="FR180" s="291"/>
      <c r="FS180" s="291"/>
      <c r="FT180" s="291"/>
      <c r="FU180" s="291"/>
      <c r="FV180" s="291"/>
      <c r="FW180" s="291"/>
      <c r="FX180" s="291"/>
      <c r="FY180" s="291"/>
      <c r="FZ180" s="291"/>
      <c r="GA180" s="291"/>
      <c r="GB180" s="291"/>
      <c r="GC180" s="291"/>
      <c r="GD180" s="291"/>
      <c r="GE180" s="291"/>
      <c r="GF180" s="291"/>
      <c r="GG180" s="291"/>
      <c r="GH180" s="291"/>
      <c r="GI180" s="291"/>
      <c r="GJ180" s="291"/>
      <c r="GK180" s="291"/>
      <c r="GL180" s="291"/>
      <c r="GM180" s="291"/>
      <c r="GN180" s="291"/>
      <c r="GO180" s="291"/>
      <c r="GP180" s="291"/>
      <c r="GQ180" s="291"/>
      <c r="GR180" s="291"/>
      <c r="GS180" s="291"/>
      <c r="GT180" s="291"/>
      <c r="GU180" s="291"/>
      <c r="GV180" s="291"/>
      <c r="GW180" s="291"/>
      <c r="GX180" s="291"/>
      <c r="GY180" s="291"/>
      <c r="GZ180" s="291"/>
      <c r="HA180" s="291"/>
      <c r="HB180" s="291"/>
      <c r="HC180" s="291"/>
      <c r="HD180" s="291"/>
      <c r="HE180" s="291"/>
      <c r="HF180" s="291"/>
      <c r="HG180" s="291"/>
      <c r="HH180" s="291"/>
      <c r="HI180" s="291"/>
      <c r="HJ180" s="291"/>
      <c r="HK180" s="291"/>
      <c r="HL180" s="291"/>
      <c r="HM180" s="291"/>
      <c r="HN180" s="291"/>
      <c r="HO180" s="291"/>
      <c r="HP180" s="291"/>
      <c r="HQ180" s="291"/>
      <c r="HR180" s="291"/>
      <c r="HS180" s="291"/>
      <c r="HT180" s="291"/>
      <c r="HU180" s="291"/>
      <c r="HV180" s="291"/>
      <c r="HW180" s="291"/>
      <c r="HX180" s="291"/>
      <c r="HY180" s="291"/>
      <c r="HZ180" s="291"/>
      <c r="IA180" s="291"/>
      <c r="IB180" s="291"/>
      <c r="IC180" s="291"/>
      <c r="ID180" s="291"/>
      <c r="IE180" s="291"/>
      <c r="IF180" s="291"/>
      <c r="IG180" s="291"/>
      <c r="IH180" s="291"/>
      <c r="II180" s="291"/>
      <c r="IJ180" s="291"/>
      <c r="IK180" s="291"/>
      <c r="IL180" s="291"/>
      <c r="IM180" s="291"/>
      <c r="IN180" s="291"/>
      <c r="IO180" s="291"/>
      <c r="IP180" s="291"/>
      <c r="IQ180" s="291"/>
      <c r="IR180" s="291"/>
      <c r="IS180" s="291"/>
      <c r="IT180" s="291"/>
      <c r="IU180" s="291"/>
      <c r="IV180" s="291"/>
      <c r="IW180" s="291"/>
      <c r="IX180" s="291"/>
      <c r="IY180" s="291"/>
      <c r="IZ180" s="291"/>
      <c r="JA180" s="291"/>
      <c r="JB180" s="291"/>
      <c r="JC180" s="291"/>
      <c r="JD180" s="291"/>
      <c r="JE180" s="291"/>
      <c r="JF180" s="291"/>
      <c r="JG180" s="291"/>
      <c r="JH180" s="291"/>
      <c r="JI180" s="291"/>
      <c r="JJ180" s="291"/>
      <c r="JK180" s="291"/>
      <c r="JL180" s="291"/>
      <c r="JM180" s="291"/>
      <c r="JN180" s="291"/>
      <c r="JO180" s="291"/>
      <c r="JP180" s="291"/>
      <c r="JQ180" s="291"/>
      <c r="JR180" s="291"/>
      <c r="JS180" s="291"/>
      <c r="JT180" s="291"/>
      <c r="JU180" s="291"/>
      <c r="JV180" s="291"/>
      <c r="JW180" s="291"/>
      <c r="JX180" s="291"/>
      <c r="JY180" s="291"/>
      <c r="JZ180" s="291"/>
      <c r="KA180" s="291"/>
      <c r="KB180" s="291"/>
      <c r="KC180" s="291"/>
      <c r="KD180" s="291"/>
      <c r="KE180" s="291"/>
      <c r="KF180" s="291"/>
      <c r="KG180" s="291"/>
      <c r="KH180" s="291"/>
      <c r="KI180" s="291"/>
      <c r="KJ180" s="291"/>
      <c r="KK180" s="291"/>
      <c r="KL180" s="291"/>
      <c r="KM180" s="291"/>
      <c r="KN180" s="291"/>
      <c r="KO180" s="291"/>
      <c r="KP180" s="291"/>
      <c r="KQ180" s="291"/>
      <c r="KR180" s="291"/>
      <c r="KS180" s="291"/>
      <c r="KT180" s="291"/>
      <c r="KU180" s="291"/>
      <c r="KV180" s="291"/>
      <c r="KW180" s="291"/>
      <c r="KX180" s="291"/>
      <c r="KY180" s="291"/>
      <c r="KZ180" s="291"/>
      <c r="LA180" s="291"/>
      <c r="LB180" s="291"/>
      <c r="LC180" s="291"/>
      <c r="LD180" s="291"/>
      <c r="LE180" s="291"/>
      <c r="LF180" s="291"/>
      <c r="LG180" s="291"/>
      <c r="LH180" s="291"/>
      <c r="LI180" s="291"/>
      <c r="LJ180" s="291"/>
      <c r="LK180" s="291"/>
      <c r="LL180" s="291"/>
      <c r="LM180" s="291"/>
      <c r="LN180" s="291"/>
      <c r="LO180" s="291"/>
      <c r="LP180" s="291"/>
      <c r="LQ180" s="291"/>
      <c r="LR180" s="291"/>
      <c r="LS180" s="291"/>
      <c r="LT180" s="291"/>
      <c r="LU180" s="291"/>
      <c r="LV180" s="291"/>
      <c r="LW180" s="291"/>
      <c r="LX180" s="291"/>
      <c r="LY180" s="291"/>
      <c r="LZ180" s="291"/>
      <c r="MA180" s="291"/>
      <c r="MB180" s="291"/>
      <c r="MC180" s="291"/>
      <c r="MD180" s="291"/>
      <c r="ME180" s="291"/>
      <c r="MF180" s="291"/>
      <c r="MG180" s="291"/>
      <c r="MH180" s="291"/>
      <c r="MI180" s="291"/>
      <c r="MJ180" s="291"/>
      <c r="MK180" s="291"/>
      <c r="ML180" s="291"/>
      <c r="MM180" s="291"/>
      <c r="MN180" s="291"/>
      <c r="MO180" s="291"/>
      <c r="MP180" s="291"/>
      <c r="MQ180" s="291"/>
      <c r="MR180" s="291"/>
      <c r="MS180" s="291"/>
      <c r="MT180" s="291"/>
      <c r="MU180" s="291"/>
      <c r="MV180" s="291"/>
      <c r="MW180" s="291"/>
      <c r="MX180" s="291"/>
      <c r="MY180" s="291"/>
      <c r="MZ180" s="291"/>
      <c r="NA180" s="291"/>
      <c r="NB180" s="291"/>
      <c r="NC180" s="291"/>
      <c r="ND180" s="291"/>
      <c r="NE180" s="291"/>
      <c r="NF180" s="291"/>
      <c r="NG180" s="291"/>
      <c r="NH180" s="291"/>
      <c r="NI180" s="291"/>
      <c r="NJ180" s="291"/>
      <c r="NK180" s="291"/>
      <c r="NL180" s="291"/>
      <c r="NM180" s="291"/>
      <c r="NN180" s="291"/>
      <c r="NO180" s="291"/>
      <c r="NP180" s="291"/>
      <c r="NQ180" s="291"/>
      <c r="NR180" s="291"/>
      <c r="NS180" s="291"/>
      <c r="NT180" s="291"/>
      <c r="NU180" s="291"/>
      <c r="NV180" s="291"/>
      <c r="NW180" s="291"/>
      <c r="NX180" s="291"/>
      <c r="NY180" s="291"/>
      <c r="NZ180" s="291"/>
      <c r="OA180" s="291"/>
      <c r="OB180" s="291"/>
      <c r="OC180" s="291"/>
      <c r="OD180" s="291"/>
      <c r="OE180" s="291"/>
      <c r="OF180" s="291"/>
      <c r="OG180" s="291"/>
      <c r="OH180" s="291"/>
      <c r="OI180" s="291"/>
      <c r="OJ180" s="291"/>
      <c r="OK180" s="291"/>
      <c r="OL180" s="291"/>
      <c r="OM180" s="291"/>
      <c r="ON180" s="291"/>
      <c r="OO180" s="291"/>
      <c r="OP180" s="291"/>
      <c r="OQ180" s="291"/>
      <c r="OR180" s="291"/>
      <c r="OS180" s="291"/>
      <c r="OT180" s="291"/>
      <c r="OU180" s="291"/>
      <c r="OV180" s="291"/>
      <c r="OW180" s="291"/>
    </row>
    <row r="181" spans="1:413" s="257" customFormat="1" hidden="1" x14ac:dyDescent="0.2">
      <c r="A181" s="291"/>
      <c r="B181" s="524">
        <f t="shared" si="11"/>
        <v>165</v>
      </c>
      <c r="C181" s="510" t="s">
        <v>38</v>
      </c>
      <c r="D181" s="511">
        <v>30463801</v>
      </c>
      <c r="E181" s="511"/>
      <c r="F181" s="512" t="s">
        <v>1330</v>
      </c>
      <c r="G181" s="513" t="s">
        <v>45</v>
      </c>
      <c r="H181" s="514" t="s">
        <v>1094</v>
      </c>
      <c r="I181" s="515" t="s">
        <v>1178</v>
      </c>
      <c r="J181" s="346" t="s">
        <v>42</v>
      </c>
      <c r="K181" s="526">
        <v>1519701</v>
      </c>
      <c r="L181" s="527">
        <v>1445844</v>
      </c>
      <c r="M181" s="528">
        <v>0</v>
      </c>
      <c r="N181" s="520">
        <v>0</v>
      </c>
      <c r="O181" s="520">
        <v>0</v>
      </c>
      <c r="P181" s="520">
        <v>0</v>
      </c>
      <c r="Q181" s="520">
        <v>0</v>
      </c>
      <c r="R181" s="520">
        <v>73853</v>
      </c>
      <c r="S181" s="520">
        <v>0</v>
      </c>
      <c r="T181" s="18"/>
      <c r="U181" s="18"/>
      <c r="V181" s="18"/>
      <c r="W181" s="18"/>
      <c r="X181" s="18"/>
      <c r="Y181" s="18"/>
      <c r="Z181" s="18">
        <f t="shared" si="8"/>
        <v>73853</v>
      </c>
      <c r="AA181" s="309">
        <v>73857</v>
      </c>
      <c r="AB181" s="19">
        <v>11</v>
      </c>
      <c r="AC181" s="521">
        <v>44237</v>
      </c>
      <c r="AD181" s="25">
        <v>44251</v>
      </c>
      <c r="AE181" s="309"/>
      <c r="AF181" s="314"/>
      <c r="AG181" s="315"/>
      <c r="AH181" s="316"/>
      <c r="AI181" s="309"/>
      <c r="AJ181" s="338"/>
      <c r="AK181" s="315"/>
      <c r="AL181" s="316"/>
      <c r="AM181" s="309"/>
      <c r="AN181" s="338"/>
      <c r="AO181" s="21"/>
      <c r="AP181" s="25"/>
      <c r="AQ181" s="309"/>
      <c r="AR181" s="19"/>
      <c r="AS181" s="21"/>
      <c r="AT181" s="25"/>
      <c r="AU181" s="522">
        <f t="shared" si="9"/>
        <v>73857</v>
      </c>
      <c r="AV181" s="311">
        <f t="shared" si="10"/>
        <v>4</v>
      </c>
      <c r="AW181" s="305"/>
      <c r="AX181" s="291"/>
      <c r="AY181" s="291"/>
      <c r="AZ181" s="291"/>
      <c r="BA181" s="291"/>
      <c r="BB181" s="291"/>
      <c r="BC181" s="291"/>
      <c r="BD181" s="291"/>
      <c r="BE181" s="291"/>
      <c r="BF181" s="291"/>
      <c r="BG181" s="291"/>
      <c r="BH181" s="291"/>
      <c r="BI181" s="291"/>
      <c r="BJ181" s="291"/>
      <c r="BK181" s="291"/>
      <c r="BL181" s="291"/>
      <c r="BM181" s="291"/>
      <c r="BN181" s="291"/>
      <c r="BO181" s="291"/>
      <c r="BP181" s="291"/>
      <c r="BQ181" s="291"/>
      <c r="BR181" s="291"/>
      <c r="BS181" s="291"/>
      <c r="BT181" s="291"/>
      <c r="BU181" s="291"/>
      <c r="BV181" s="291"/>
      <c r="BW181" s="291"/>
      <c r="BX181" s="291"/>
      <c r="BY181" s="291"/>
      <c r="BZ181" s="291"/>
      <c r="CA181" s="291"/>
      <c r="CB181" s="291"/>
      <c r="CC181" s="291"/>
      <c r="CD181" s="291"/>
      <c r="CE181" s="291"/>
      <c r="CF181" s="291"/>
      <c r="CG181" s="291"/>
      <c r="CH181" s="291"/>
      <c r="CI181" s="291"/>
      <c r="CJ181" s="291"/>
      <c r="CK181" s="291"/>
      <c r="CL181" s="291"/>
      <c r="CM181" s="291"/>
      <c r="CN181" s="291"/>
      <c r="CO181" s="291"/>
      <c r="CP181" s="291"/>
      <c r="CQ181" s="291"/>
      <c r="CR181" s="291"/>
      <c r="CS181" s="291"/>
      <c r="CT181" s="291"/>
      <c r="CU181" s="291"/>
      <c r="CV181" s="291"/>
      <c r="CW181" s="291"/>
      <c r="CX181" s="291"/>
      <c r="CY181" s="291"/>
      <c r="CZ181" s="291"/>
      <c r="DA181" s="291"/>
      <c r="DB181" s="291"/>
      <c r="DC181" s="291"/>
      <c r="DD181" s="291"/>
      <c r="DE181" s="291"/>
      <c r="DF181" s="291"/>
      <c r="DG181" s="291"/>
      <c r="DH181" s="291"/>
      <c r="DI181" s="291"/>
      <c r="DJ181" s="291"/>
      <c r="DK181" s="291"/>
      <c r="DL181" s="291"/>
      <c r="DM181" s="291"/>
      <c r="DN181" s="291"/>
      <c r="DO181" s="291"/>
      <c r="DP181" s="291"/>
      <c r="DQ181" s="291"/>
      <c r="DR181" s="291"/>
      <c r="DS181" s="291"/>
      <c r="DT181" s="291"/>
      <c r="DU181" s="291"/>
      <c r="DV181" s="291"/>
      <c r="DW181" s="291"/>
      <c r="DX181" s="291"/>
      <c r="DY181" s="291"/>
      <c r="DZ181" s="291"/>
      <c r="EA181" s="291"/>
      <c r="EB181" s="291"/>
      <c r="EC181" s="291"/>
      <c r="ED181" s="291"/>
      <c r="EE181" s="291"/>
      <c r="EF181" s="291"/>
      <c r="EG181" s="291"/>
      <c r="EH181" s="291"/>
      <c r="EI181" s="291"/>
      <c r="EJ181" s="291"/>
      <c r="EK181" s="291"/>
      <c r="EL181" s="291"/>
      <c r="EM181" s="291"/>
      <c r="EN181" s="291"/>
      <c r="EO181" s="291"/>
      <c r="EP181" s="291"/>
      <c r="EQ181" s="291"/>
      <c r="ER181" s="291"/>
      <c r="ES181" s="291"/>
      <c r="ET181" s="291"/>
      <c r="EU181" s="291"/>
      <c r="EV181" s="291"/>
      <c r="EW181" s="291"/>
      <c r="EX181" s="291"/>
      <c r="EY181" s="291"/>
      <c r="EZ181" s="291"/>
      <c r="FA181" s="291"/>
      <c r="FB181" s="291"/>
      <c r="FC181" s="291"/>
      <c r="FD181" s="291"/>
      <c r="FE181" s="291"/>
      <c r="FF181" s="291"/>
      <c r="FG181" s="291"/>
      <c r="FH181" s="291"/>
      <c r="FI181" s="291"/>
      <c r="FJ181" s="291"/>
      <c r="FK181" s="291"/>
      <c r="FL181" s="291"/>
      <c r="FM181" s="291"/>
      <c r="FN181" s="291"/>
      <c r="FO181" s="291"/>
      <c r="FP181" s="291"/>
      <c r="FQ181" s="291"/>
      <c r="FR181" s="291"/>
      <c r="FS181" s="291"/>
      <c r="FT181" s="291"/>
      <c r="FU181" s="291"/>
      <c r="FV181" s="291"/>
      <c r="FW181" s="291"/>
      <c r="FX181" s="291"/>
      <c r="FY181" s="291"/>
      <c r="FZ181" s="291"/>
      <c r="GA181" s="291"/>
      <c r="GB181" s="291"/>
      <c r="GC181" s="291"/>
      <c r="GD181" s="291"/>
      <c r="GE181" s="291"/>
      <c r="GF181" s="291"/>
      <c r="GG181" s="291"/>
      <c r="GH181" s="291"/>
      <c r="GI181" s="291"/>
      <c r="GJ181" s="291"/>
      <c r="GK181" s="291"/>
      <c r="GL181" s="291"/>
      <c r="GM181" s="291"/>
      <c r="GN181" s="291"/>
      <c r="GO181" s="291"/>
      <c r="GP181" s="291"/>
      <c r="GQ181" s="291"/>
      <c r="GR181" s="291"/>
      <c r="GS181" s="291"/>
      <c r="GT181" s="291"/>
      <c r="GU181" s="291"/>
      <c r="GV181" s="291"/>
      <c r="GW181" s="291"/>
      <c r="GX181" s="291"/>
      <c r="GY181" s="291"/>
      <c r="GZ181" s="291"/>
      <c r="HA181" s="291"/>
      <c r="HB181" s="291"/>
      <c r="HC181" s="291"/>
      <c r="HD181" s="291"/>
      <c r="HE181" s="291"/>
      <c r="HF181" s="291"/>
      <c r="HG181" s="291"/>
      <c r="HH181" s="291"/>
      <c r="HI181" s="291"/>
      <c r="HJ181" s="291"/>
      <c r="HK181" s="291"/>
      <c r="HL181" s="291"/>
      <c r="HM181" s="291"/>
      <c r="HN181" s="291"/>
      <c r="HO181" s="291"/>
      <c r="HP181" s="291"/>
      <c r="HQ181" s="291"/>
      <c r="HR181" s="291"/>
      <c r="HS181" s="291"/>
      <c r="HT181" s="291"/>
      <c r="HU181" s="291"/>
      <c r="HV181" s="291"/>
      <c r="HW181" s="291"/>
      <c r="HX181" s="291"/>
      <c r="HY181" s="291"/>
      <c r="HZ181" s="291"/>
      <c r="IA181" s="291"/>
      <c r="IB181" s="291"/>
      <c r="IC181" s="291"/>
      <c r="ID181" s="291"/>
      <c r="IE181" s="291"/>
      <c r="IF181" s="291"/>
      <c r="IG181" s="291"/>
      <c r="IH181" s="291"/>
      <c r="II181" s="291"/>
      <c r="IJ181" s="291"/>
      <c r="IK181" s="291"/>
      <c r="IL181" s="291"/>
      <c r="IM181" s="291"/>
      <c r="IN181" s="291"/>
      <c r="IO181" s="291"/>
      <c r="IP181" s="291"/>
      <c r="IQ181" s="291"/>
      <c r="IR181" s="291"/>
      <c r="IS181" s="291"/>
      <c r="IT181" s="291"/>
      <c r="IU181" s="291"/>
      <c r="IV181" s="291"/>
      <c r="IW181" s="291"/>
      <c r="IX181" s="291"/>
      <c r="IY181" s="291"/>
      <c r="IZ181" s="291"/>
      <c r="JA181" s="291"/>
      <c r="JB181" s="291"/>
      <c r="JC181" s="291"/>
      <c r="JD181" s="291"/>
      <c r="JE181" s="291"/>
      <c r="JF181" s="291"/>
      <c r="JG181" s="291"/>
      <c r="JH181" s="291"/>
      <c r="JI181" s="291"/>
      <c r="JJ181" s="291"/>
      <c r="JK181" s="291"/>
      <c r="JL181" s="291"/>
      <c r="JM181" s="291"/>
      <c r="JN181" s="291"/>
      <c r="JO181" s="291"/>
      <c r="JP181" s="291"/>
      <c r="JQ181" s="291"/>
      <c r="JR181" s="291"/>
      <c r="JS181" s="291"/>
      <c r="JT181" s="291"/>
      <c r="JU181" s="291"/>
      <c r="JV181" s="291"/>
      <c r="JW181" s="291"/>
      <c r="JX181" s="291"/>
      <c r="JY181" s="291"/>
      <c r="JZ181" s="291"/>
      <c r="KA181" s="291"/>
      <c r="KB181" s="291"/>
      <c r="KC181" s="291"/>
      <c r="KD181" s="291"/>
      <c r="KE181" s="291"/>
      <c r="KF181" s="291"/>
      <c r="KG181" s="291"/>
      <c r="KH181" s="291"/>
      <c r="KI181" s="291"/>
      <c r="KJ181" s="291"/>
      <c r="KK181" s="291"/>
      <c r="KL181" s="291"/>
      <c r="KM181" s="291"/>
      <c r="KN181" s="291"/>
      <c r="KO181" s="291"/>
      <c r="KP181" s="291"/>
      <c r="KQ181" s="291"/>
      <c r="KR181" s="291"/>
      <c r="KS181" s="291"/>
      <c r="KT181" s="291"/>
      <c r="KU181" s="291"/>
      <c r="KV181" s="291"/>
      <c r="KW181" s="291"/>
      <c r="KX181" s="291"/>
      <c r="KY181" s="291"/>
      <c r="KZ181" s="291"/>
      <c r="LA181" s="291"/>
      <c r="LB181" s="291"/>
      <c r="LC181" s="291"/>
      <c r="LD181" s="291"/>
      <c r="LE181" s="291"/>
      <c r="LF181" s="291"/>
      <c r="LG181" s="291"/>
      <c r="LH181" s="291"/>
      <c r="LI181" s="291"/>
      <c r="LJ181" s="291"/>
      <c r="LK181" s="291"/>
      <c r="LL181" s="291"/>
      <c r="LM181" s="291"/>
      <c r="LN181" s="291"/>
      <c r="LO181" s="291"/>
      <c r="LP181" s="291"/>
      <c r="LQ181" s="291"/>
      <c r="LR181" s="291"/>
      <c r="LS181" s="291"/>
      <c r="LT181" s="291"/>
      <c r="LU181" s="291"/>
      <c r="LV181" s="291"/>
      <c r="LW181" s="291"/>
      <c r="LX181" s="291"/>
      <c r="LY181" s="291"/>
      <c r="LZ181" s="291"/>
      <c r="MA181" s="291"/>
      <c r="MB181" s="291"/>
      <c r="MC181" s="291"/>
      <c r="MD181" s="291"/>
      <c r="ME181" s="291"/>
      <c r="MF181" s="291"/>
      <c r="MG181" s="291"/>
      <c r="MH181" s="291"/>
      <c r="MI181" s="291"/>
      <c r="MJ181" s="291"/>
      <c r="MK181" s="291"/>
      <c r="ML181" s="291"/>
      <c r="MM181" s="291"/>
      <c r="MN181" s="291"/>
      <c r="MO181" s="291"/>
      <c r="MP181" s="291"/>
      <c r="MQ181" s="291"/>
      <c r="MR181" s="291"/>
      <c r="MS181" s="291"/>
      <c r="MT181" s="291"/>
      <c r="MU181" s="291"/>
      <c r="MV181" s="291"/>
      <c r="MW181" s="291"/>
      <c r="MX181" s="291"/>
      <c r="MY181" s="291"/>
      <c r="MZ181" s="291"/>
      <c r="NA181" s="291"/>
      <c r="NB181" s="291"/>
      <c r="NC181" s="291"/>
      <c r="ND181" s="291"/>
      <c r="NE181" s="291"/>
      <c r="NF181" s="291"/>
      <c r="NG181" s="291"/>
      <c r="NH181" s="291"/>
      <c r="NI181" s="291"/>
      <c r="NJ181" s="291"/>
      <c r="NK181" s="291"/>
      <c r="NL181" s="291"/>
      <c r="NM181" s="291"/>
      <c r="NN181" s="291"/>
      <c r="NO181" s="291"/>
      <c r="NP181" s="291"/>
      <c r="NQ181" s="291"/>
      <c r="NR181" s="291"/>
      <c r="NS181" s="291"/>
      <c r="NT181" s="291"/>
      <c r="NU181" s="291"/>
      <c r="NV181" s="291"/>
      <c r="NW181" s="291"/>
      <c r="NX181" s="291"/>
      <c r="NY181" s="291"/>
      <c r="NZ181" s="291"/>
      <c r="OA181" s="291"/>
      <c r="OB181" s="291"/>
      <c r="OC181" s="291"/>
      <c r="OD181" s="291"/>
      <c r="OE181" s="291"/>
      <c r="OF181" s="291"/>
      <c r="OG181" s="291"/>
      <c r="OH181" s="291"/>
      <c r="OI181" s="291"/>
      <c r="OJ181" s="291"/>
      <c r="OK181" s="291"/>
      <c r="OL181" s="291"/>
      <c r="OM181" s="291"/>
      <c r="ON181" s="291"/>
      <c r="OO181" s="291"/>
      <c r="OP181" s="291"/>
      <c r="OQ181" s="291"/>
      <c r="OR181" s="291"/>
      <c r="OS181" s="291"/>
      <c r="OT181" s="291"/>
      <c r="OU181" s="291"/>
      <c r="OV181" s="291"/>
      <c r="OW181" s="291"/>
    </row>
    <row r="182" spans="1:413" s="257" customFormat="1" hidden="1" x14ac:dyDescent="0.2">
      <c r="A182" s="291"/>
      <c r="B182" s="524">
        <f t="shared" si="11"/>
        <v>166</v>
      </c>
      <c r="C182" s="510" t="s">
        <v>38</v>
      </c>
      <c r="D182" s="511">
        <v>30464096</v>
      </c>
      <c r="E182" s="511"/>
      <c r="F182" s="512" t="s">
        <v>1331</v>
      </c>
      <c r="G182" s="513" t="s">
        <v>45</v>
      </c>
      <c r="H182" s="514" t="s">
        <v>1094</v>
      </c>
      <c r="I182" s="515" t="s">
        <v>1332</v>
      </c>
      <c r="J182" s="346" t="s">
        <v>43</v>
      </c>
      <c r="K182" s="526">
        <v>771913</v>
      </c>
      <c r="L182" s="527">
        <v>2989</v>
      </c>
      <c r="M182" s="528">
        <v>768608</v>
      </c>
      <c r="N182" s="520">
        <v>0</v>
      </c>
      <c r="O182" s="520">
        <v>0</v>
      </c>
      <c r="P182" s="520">
        <v>0</v>
      </c>
      <c r="Q182" s="520">
        <v>0</v>
      </c>
      <c r="R182" s="520">
        <v>0</v>
      </c>
      <c r="S182" s="520">
        <v>0</v>
      </c>
      <c r="T182" s="18"/>
      <c r="U182" s="18"/>
      <c r="V182" s="18"/>
      <c r="W182" s="18"/>
      <c r="X182" s="18"/>
      <c r="Y182" s="18"/>
      <c r="Z182" s="18">
        <f t="shared" si="8"/>
        <v>0</v>
      </c>
      <c r="AA182" s="309">
        <v>1</v>
      </c>
      <c r="AB182" s="19">
        <v>3</v>
      </c>
      <c r="AC182" s="521">
        <v>44222</v>
      </c>
      <c r="AD182" s="25">
        <v>44225</v>
      </c>
      <c r="AE182" s="309"/>
      <c r="AF182" s="314"/>
      <c r="AG182" s="315"/>
      <c r="AH182" s="316"/>
      <c r="AI182" s="309"/>
      <c r="AJ182" s="338"/>
      <c r="AK182" s="315"/>
      <c r="AL182" s="316"/>
      <c r="AM182" s="309"/>
      <c r="AN182" s="338"/>
      <c r="AO182" s="21"/>
      <c r="AP182" s="25"/>
      <c r="AQ182" s="309"/>
      <c r="AR182" s="19"/>
      <c r="AS182" s="21"/>
      <c r="AT182" s="25"/>
      <c r="AU182" s="522">
        <f t="shared" si="9"/>
        <v>1</v>
      </c>
      <c r="AV182" s="311">
        <f t="shared" si="10"/>
        <v>1</v>
      </c>
      <c r="AW182" s="305"/>
      <c r="AX182" s="291"/>
      <c r="AY182" s="291"/>
      <c r="AZ182" s="291"/>
      <c r="BA182" s="291"/>
      <c r="BB182" s="291"/>
      <c r="BC182" s="291"/>
      <c r="BD182" s="291"/>
      <c r="BE182" s="291"/>
      <c r="BF182" s="291"/>
      <c r="BG182" s="291"/>
      <c r="BH182" s="291"/>
      <c r="BI182" s="291"/>
      <c r="BJ182" s="291"/>
      <c r="BK182" s="291"/>
      <c r="BL182" s="291"/>
      <c r="BM182" s="291"/>
      <c r="BN182" s="291"/>
      <c r="BO182" s="291"/>
      <c r="BP182" s="291"/>
      <c r="BQ182" s="291"/>
      <c r="BR182" s="291"/>
      <c r="BS182" s="291"/>
      <c r="BT182" s="291"/>
      <c r="BU182" s="291"/>
      <c r="BV182" s="291"/>
      <c r="BW182" s="291"/>
      <c r="BX182" s="291"/>
      <c r="BY182" s="291"/>
      <c r="BZ182" s="291"/>
      <c r="CA182" s="291"/>
      <c r="CB182" s="291"/>
      <c r="CC182" s="291"/>
      <c r="CD182" s="291"/>
      <c r="CE182" s="291"/>
      <c r="CF182" s="291"/>
      <c r="CG182" s="291"/>
      <c r="CH182" s="291"/>
      <c r="CI182" s="291"/>
      <c r="CJ182" s="291"/>
      <c r="CK182" s="291"/>
      <c r="CL182" s="291"/>
      <c r="CM182" s="291"/>
      <c r="CN182" s="291"/>
      <c r="CO182" s="291"/>
      <c r="CP182" s="291"/>
      <c r="CQ182" s="291"/>
      <c r="CR182" s="291"/>
      <c r="CS182" s="291"/>
      <c r="CT182" s="291"/>
      <c r="CU182" s="291"/>
      <c r="CV182" s="291"/>
      <c r="CW182" s="291"/>
      <c r="CX182" s="291"/>
      <c r="CY182" s="291"/>
      <c r="CZ182" s="291"/>
      <c r="DA182" s="291"/>
      <c r="DB182" s="291"/>
      <c r="DC182" s="291"/>
      <c r="DD182" s="291"/>
      <c r="DE182" s="291"/>
      <c r="DF182" s="291"/>
      <c r="DG182" s="291"/>
      <c r="DH182" s="291"/>
      <c r="DI182" s="291"/>
      <c r="DJ182" s="291"/>
      <c r="DK182" s="291"/>
      <c r="DL182" s="291"/>
      <c r="DM182" s="291"/>
      <c r="DN182" s="291"/>
      <c r="DO182" s="291"/>
      <c r="DP182" s="291"/>
      <c r="DQ182" s="291"/>
      <c r="DR182" s="291"/>
      <c r="DS182" s="291"/>
      <c r="DT182" s="291"/>
      <c r="DU182" s="291"/>
      <c r="DV182" s="291"/>
      <c r="DW182" s="291"/>
      <c r="DX182" s="291"/>
      <c r="DY182" s="291"/>
      <c r="DZ182" s="291"/>
      <c r="EA182" s="291"/>
      <c r="EB182" s="291"/>
      <c r="EC182" s="291"/>
      <c r="ED182" s="291"/>
      <c r="EE182" s="291"/>
      <c r="EF182" s="291"/>
      <c r="EG182" s="291"/>
      <c r="EH182" s="291"/>
      <c r="EI182" s="291"/>
      <c r="EJ182" s="291"/>
      <c r="EK182" s="291"/>
      <c r="EL182" s="291"/>
      <c r="EM182" s="291"/>
      <c r="EN182" s="291"/>
      <c r="EO182" s="291"/>
      <c r="EP182" s="291"/>
      <c r="EQ182" s="291"/>
      <c r="ER182" s="291"/>
      <c r="ES182" s="291"/>
      <c r="ET182" s="291"/>
      <c r="EU182" s="291"/>
      <c r="EV182" s="291"/>
      <c r="EW182" s="291"/>
      <c r="EX182" s="291"/>
      <c r="EY182" s="291"/>
      <c r="EZ182" s="291"/>
      <c r="FA182" s="291"/>
      <c r="FB182" s="291"/>
      <c r="FC182" s="291"/>
      <c r="FD182" s="291"/>
      <c r="FE182" s="291"/>
      <c r="FF182" s="291"/>
      <c r="FG182" s="291"/>
      <c r="FH182" s="291"/>
      <c r="FI182" s="291"/>
      <c r="FJ182" s="291"/>
      <c r="FK182" s="291"/>
      <c r="FL182" s="291"/>
      <c r="FM182" s="291"/>
      <c r="FN182" s="291"/>
      <c r="FO182" s="291"/>
      <c r="FP182" s="291"/>
      <c r="FQ182" s="291"/>
      <c r="FR182" s="291"/>
      <c r="FS182" s="291"/>
      <c r="FT182" s="291"/>
      <c r="FU182" s="291"/>
      <c r="FV182" s="291"/>
      <c r="FW182" s="291"/>
      <c r="FX182" s="291"/>
      <c r="FY182" s="291"/>
      <c r="FZ182" s="291"/>
      <c r="GA182" s="291"/>
      <c r="GB182" s="291"/>
      <c r="GC182" s="291"/>
      <c r="GD182" s="291"/>
      <c r="GE182" s="291"/>
      <c r="GF182" s="291"/>
      <c r="GG182" s="291"/>
      <c r="GH182" s="291"/>
      <c r="GI182" s="291"/>
      <c r="GJ182" s="291"/>
      <c r="GK182" s="291"/>
      <c r="GL182" s="291"/>
      <c r="GM182" s="291"/>
      <c r="GN182" s="291"/>
      <c r="GO182" s="291"/>
      <c r="GP182" s="291"/>
      <c r="GQ182" s="291"/>
      <c r="GR182" s="291"/>
      <c r="GS182" s="291"/>
      <c r="GT182" s="291"/>
      <c r="GU182" s="291"/>
      <c r="GV182" s="291"/>
      <c r="GW182" s="291"/>
      <c r="GX182" s="291"/>
      <c r="GY182" s="291"/>
      <c r="GZ182" s="291"/>
      <c r="HA182" s="291"/>
      <c r="HB182" s="291"/>
      <c r="HC182" s="291"/>
      <c r="HD182" s="291"/>
      <c r="HE182" s="291"/>
      <c r="HF182" s="291"/>
      <c r="HG182" s="291"/>
      <c r="HH182" s="291"/>
      <c r="HI182" s="291"/>
      <c r="HJ182" s="291"/>
      <c r="HK182" s="291"/>
      <c r="HL182" s="291"/>
      <c r="HM182" s="291"/>
      <c r="HN182" s="291"/>
      <c r="HO182" s="291"/>
      <c r="HP182" s="291"/>
      <c r="HQ182" s="291"/>
      <c r="HR182" s="291"/>
      <c r="HS182" s="291"/>
      <c r="HT182" s="291"/>
      <c r="HU182" s="291"/>
      <c r="HV182" s="291"/>
      <c r="HW182" s="291"/>
      <c r="HX182" s="291"/>
      <c r="HY182" s="291"/>
      <c r="HZ182" s="291"/>
      <c r="IA182" s="291"/>
      <c r="IB182" s="291"/>
      <c r="IC182" s="291"/>
      <c r="ID182" s="291"/>
      <c r="IE182" s="291"/>
      <c r="IF182" s="291"/>
      <c r="IG182" s="291"/>
      <c r="IH182" s="291"/>
      <c r="II182" s="291"/>
      <c r="IJ182" s="291"/>
      <c r="IK182" s="291"/>
      <c r="IL182" s="291"/>
      <c r="IM182" s="291"/>
      <c r="IN182" s="291"/>
      <c r="IO182" s="291"/>
      <c r="IP182" s="291"/>
      <c r="IQ182" s="291"/>
      <c r="IR182" s="291"/>
      <c r="IS182" s="291"/>
      <c r="IT182" s="291"/>
      <c r="IU182" s="291"/>
      <c r="IV182" s="291"/>
      <c r="IW182" s="291"/>
      <c r="IX182" s="291"/>
      <c r="IY182" s="291"/>
      <c r="IZ182" s="291"/>
      <c r="JA182" s="291"/>
      <c r="JB182" s="291"/>
      <c r="JC182" s="291"/>
      <c r="JD182" s="291"/>
      <c r="JE182" s="291"/>
      <c r="JF182" s="291"/>
      <c r="JG182" s="291"/>
      <c r="JH182" s="291"/>
      <c r="JI182" s="291"/>
      <c r="JJ182" s="291"/>
      <c r="JK182" s="291"/>
      <c r="JL182" s="291"/>
      <c r="JM182" s="291"/>
      <c r="JN182" s="291"/>
      <c r="JO182" s="291"/>
      <c r="JP182" s="291"/>
      <c r="JQ182" s="291"/>
      <c r="JR182" s="291"/>
      <c r="JS182" s="291"/>
      <c r="JT182" s="291"/>
      <c r="JU182" s="291"/>
      <c r="JV182" s="291"/>
      <c r="JW182" s="291"/>
      <c r="JX182" s="291"/>
      <c r="JY182" s="291"/>
      <c r="JZ182" s="291"/>
      <c r="KA182" s="291"/>
      <c r="KB182" s="291"/>
      <c r="KC182" s="291"/>
      <c r="KD182" s="291"/>
      <c r="KE182" s="291"/>
      <c r="KF182" s="291"/>
      <c r="KG182" s="291"/>
      <c r="KH182" s="291"/>
      <c r="KI182" s="291"/>
      <c r="KJ182" s="291"/>
      <c r="KK182" s="291"/>
      <c r="KL182" s="291"/>
      <c r="KM182" s="291"/>
      <c r="KN182" s="291"/>
      <c r="KO182" s="291"/>
      <c r="KP182" s="291"/>
      <c r="KQ182" s="291"/>
      <c r="KR182" s="291"/>
      <c r="KS182" s="291"/>
      <c r="KT182" s="291"/>
      <c r="KU182" s="291"/>
      <c r="KV182" s="291"/>
      <c r="KW182" s="291"/>
      <c r="KX182" s="291"/>
      <c r="KY182" s="291"/>
      <c r="KZ182" s="291"/>
      <c r="LA182" s="291"/>
      <c r="LB182" s="291"/>
      <c r="LC182" s="291"/>
      <c r="LD182" s="291"/>
      <c r="LE182" s="291"/>
      <c r="LF182" s="291"/>
      <c r="LG182" s="291"/>
      <c r="LH182" s="291"/>
      <c r="LI182" s="291"/>
      <c r="LJ182" s="291"/>
      <c r="LK182" s="291"/>
      <c r="LL182" s="291"/>
      <c r="LM182" s="291"/>
      <c r="LN182" s="291"/>
      <c r="LO182" s="291"/>
      <c r="LP182" s="291"/>
      <c r="LQ182" s="291"/>
      <c r="LR182" s="291"/>
      <c r="LS182" s="291"/>
      <c r="LT182" s="291"/>
      <c r="LU182" s="291"/>
      <c r="LV182" s="291"/>
      <c r="LW182" s="291"/>
      <c r="LX182" s="291"/>
      <c r="LY182" s="291"/>
      <c r="LZ182" s="291"/>
      <c r="MA182" s="291"/>
      <c r="MB182" s="291"/>
      <c r="MC182" s="291"/>
      <c r="MD182" s="291"/>
      <c r="ME182" s="291"/>
      <c r="MF182" s="291"/>
      <c r="MG182" s="291"/>
      <c r="MH182" s="291"/>
      <c r="MI182" s="291"/>
      <c r="MJ182" s="291"/>
      <c r="MK182" s="291"/>
      <c r="ML182" s="291"/>
      <c r="MM182" s="291"/>
      <c r="MN182" s="291"/>
      <c r="MO182" s="291"/>
      <c r="MP182" s="291"/>
      <c r="MQ182" s="291"/>
      <c r="MR182" s="291"/>
      <c r="MS182" s="291"/>
      <c r="MT182" s="291"/>
      <c r="MU182" s="291"/>
      <c r="MV182" s="291"/>
      <c r="MW182" s="291"/>
      <c r="MX182" s="291"/>
      <c r="MY182" s="291"/>
      <c r="MZ182" s="291"/>
      <c r="NA182" s="291"/>
      <c r="NB182" s="291"/>
      <c r="NC182" s="291"/>
      <c r="ND182" s="291"/>
      <c r="NE182" s="291"/>
      <c r="NF182" s="291"/>
      <c r="NG182" s="291"/>
      <c r="NH182" s="291"/>
      <c r="NI182" s="291"/>
      <c r="NJ182" s="291"/>
      <c r="NK182" s="291"/>
      <c r="NL182" s="291"/>
      <c r="NM182" s="291"/>
      <c r="NN182" s="291"/>
      <c r="NO182" s="291"/>
      <c r="NP182" s="291"/>
      <c r="NQ182" s="291"/>
      <c r="NR182" s="291"/>
      <c r="NS182" s="291"/>
      <c r="NT182" s="291"/>
      <c r="NU182" s="291"/>
      <c r="NV182" s="291"/>
      <c r="NW182" s="291"/>
      <c r="NX182" s="291"/>
      <c r="NY182" s="291"/>
      <c r="NZ182" s="291"/>
      <c r="OA182" s="291"/>
      <c r="OB182" s="291"/>
      <c r="OC182" s="291"/>
      <c r="OD182" s="291"/>
      <c r="OE182" s="291"/>
      <c r="OF182" s="291"/>
      <c r="OG182" s="291"/>
      <c r="OH182" s="291"/>
      <c r="OI182" s="291"/>
      <c r="OJ182" s="291"/>
      <c r="OK182" s="291"/>
      <c r="OL182" s="291"/>
      <c r="OM182" s="291"/>
      <c r="ON182" s="291"/>
      <c r="OO182" s="291"/>
      <c r="OP182" s="291"/>
      <c r="OQ182" s="291"/>
      <c r="OR182" s="291"/>
      <c r="OS182" s="291"/>
      <c r="OT182" s="291"/>
      <c r="OU182" s="291"/>
      <c r="OV182" s="291"/>
      <c r="OW182" s="291"/>
    </row>
    <row r="183" spans="1:413" s="257" customFormat="1" hidden="1" x14ac:dyDescent="0.2">
      <c r="A183" s="291"/>
      <c r="B183" s="524">
        <f t="shared" si="11"/>
        <v>167</v>
      </c>
      <c r="C183" s="510" t="s">
        <v>38</v>
      </c>
      <c r="D183" s="511">
        <v>30464197</v>
      </c>
      <c r="E183" s="511"/>
      <c r="F183" s="512" t="s">
        <v>1333</v>
      </c>
      <c r="G183" s="513" t="s">
        <v>46</v>
      </c>
      <c r="H183" s="514" t="s">
        <v>1094</v>
      </c>
      <c r="I183" s="515" t="s">
        <v>1120</v>
      </c>
      <c r="J183" s="346" t="s">
        <v>42</v>
      </c>
      <c r="K183" s="526">
        <v>51277</v>
      </c>
      <c r="L183" s="527">
        <v>47297</v>
      </c>
      <c r="M183" s="528">
        <v>0</v>
      </c>
      <c r="N183" s="520">
        <v>0</v>
      </c>
      <c r="O183" s="520">
        <v>500</v>
      </c>
      <c r="P183" s="520">
        <v>0</v>
      </c>
      <c r="Q183" s="520">
        <v>0</v>
      </c>
      <c r="R183" s="520">
        <v>0</v>
      </c>
      <c r="S183" s="520">
        <v>3480</v>
      </c>
      <c r="T183" s="18"/>
      <c r="U183" s="18"/>
      <c r="V183" s="18"/>
      <c r="W183" s="18"/>
      <c r="X183" s="18"/>
      <c r="Y183" s="18"/>
      <c r="Z183" s="18">
        <f t="shared" si="8"/>
        <v>3980</v>
      </c>
      <c r="AA183" s="309">
        <v>3980</v>
      </c>
      <c r="AB183" s="19">
        <v>11</v>
      </c>
      <c r="AC183" s="521">
        <v>44237</v>
      </c>
      <c r="AD183" s="25">
        <v>44251</v>
      </c>
      <c r="AE183" s="309"/>
      <c r="AF183" s="314"/>
      <c r="AG183" s="315"/>
      <c r="AH183" s="316"/>
      <c r="AI183" s="309"/>
      <c r="AJ183" s="338"/>
      <c r="AK183" s="315"/>
      <c r="AL183" s="316"/>
      <c r="AM183" s="309"/>
      <c r="AN183" s="338"/>
      <c r="AO183" s="21"/>
      <c r="AP183" s="25"/>
      <c r="AQ183" s="309"/>
      <c r="AR183" s="19"/>
      <c r="AS183" s="21"/>
      <c r="AT183" s="25"/>
      <c r="AU183" s="522">
        <f t="shared" si="9"/>
        <v>3980</v>
      </c>
      <c r="AV183" s="311">
        <f t="shared" si="10"/>
        <v>0</v>
      </c>
      <c r="AW183" s="305"/>
      <c r="AX183" s="291"/>
      <c r="AY183" s="291"/>
      <c r="AZ183" s="291"/>
      <c r="BA183" s="291"/>
      <c r="BB183" s="291"/>
      <c r="BC183" s="291"/>
      <c r="BD183" s="291"/>
      <c r="BE183" s="291"/>
      <c r="BF183" s="291"/>
      <c r="BG183" s="291"/>
      <c r="BH183" s="291"/>
      <c r="BI183" s="291"/>
      <c r="BJ183" s="291"/>
      <c r="BK183" s="291"/>
      <c r="BL183" s="291"/>
      <c r="BM183" s="291"/>
      <c r="BN183" s="291"/>
      <c r="BO183" s="291"/>
      <c r="BP183" s="291"/>
      <c r="BQ183" s="291"/>
      <c r="BR183" s="291"/>
      <c r="BS183" s="291"/>
      <c r="BT183" s="291"/>
      <c r="BU183" s="291"/>
      <c r="BV183" s="291"/>
      <c r="BW183" s="291"/>
      <c r="BX183" s="291"/>
      <c r="BY183" s="291"/>
      <c r="BZ183" s="291"/>
      <c r="CA183" s="291"/>
      <c r="CB183" s="291"/>
      <c r="CC183" s="291"/>
      <c r="CD183" s="291"/>
      <c r="CE183" s="291"/>
      <c r="CF183" s="291"/>
      <c r="CG183" s="291"/>
      <c r="CH183" s="291"/>
      <c r="CI183" s="291"/>
      <c r="CJ183" s="291"/>
      <c r="CK183" s="291"/>
      <c r="CL183" s="291"/>
      <c r="CM183" s="291"/>
      <c r="CN183" s="291"/>
      <c r="CO183" s="291"/>
      <c r="CP183" s="291"/>
      <c r="CQ183" s="291"/>
      <c r="CR183" s="291"/>
      <c r="CS183" s="291"/>
      <c r="CT183" s="291"/>
      <c r="CU183" s="291"/>
      <c r="CV183" s="291"/>
      <c r="CW183" s="291"/>
      <c r="CX183" s="291"/>
      <c r="CY183" s="291"/>
      <c r="CZ183" s="291"/>
      <c r="DA183" s="291"/>
      <c r="DB183" s="291"/>
      <c r="DC183" s="291"/>
      <c r="DD183" s="291"/>
      <c r="DE183" s="291"/>
      <c r="DF183" s="291"/>
      <c r="DG183" s="291"/>
      <c r="DH183" s="291"/>
      <c r="DI183" s="291"/>
      <c r="DJ183" s="291"/>
      <c r="DK183" s="291"/>
      <c r="DL183" s="291"/>
      <c r="DM183" s="291"/>
      <c r="DN183" s="291"/>
      <c r="DO183" s="291"/>
      <c r="DP183" s="291"/>
      <c r="DQ183" s="291"/>
      <c r="DR183" s="291"/>
      <c r="DS183" s="291"/>
      <c r="DT183" s="291"/>
      <c r="DU183" s="291"/>
      <c r="DV183" s="291"/>
      <c r="DW183" s="291"/>
      <c r="DX183" s="291"/>
      <c r="DY183" s="291"/>
      <c r="DZ183" s="291"/>
      <c r="EA183" s="291"/>
      <c r="EB183" s="291"/>
      <c r="EC183" s="291"/>
      <c r="ED183" s="291"/>
      <c r="EE183" s="291"/>
      <c r="EF183" s="291"/>
      <c r="EG183" s="291"/>
      <c r="EH183" s="291"/>
      <c r="EI183" s="291"/>
      <c r="EJ183" s="291"/>
      <c r="EK183" s="291"/>
      <c r="EL183" s="291"/>
      <c r="EM183" s="291"/>
      <c r="EN183" s="291"/>
      <c r="EO183" s="291"/>
      <c r="EP183" s="291"/>
      <c r="EQ183" s="291"/>
      <c r="ER183" s="291"/>
      <c r="ES183" s="291"/>
      <c r="ET183" s="291"/>
      <c r="EU183" s="291"/>
      <c r="EV183" s="291"/>
      <c r="EW183" s="291"/>
      <c r="EX183" s="291"/>
      <c r="EY183" s="291"/>
      <c r="EZ183" s="291"/>
      <c r="FA183" s="291"/>
      <c r="FB183" s="291"/>
      <c r="FC183" s="291"/>
      <c r="FD183" s="291"/>
      <c r="FE183" s="291"/>
      <c r="FF183" s="291"/>
      <c r="FG183" s="291"/>
      <c r="FH183" s="291"/>
      <c r="FI183" s="291"/>
      <c r="FJ183" s="291"/>
      <c r="FK183" s="291"/>
      <c r="FL183" s="291"/>
      <c r="FM183" s="291"/>
      <c r="FN183" s="291"/>
      <c r="FO183" s="291"/>
      <c r="FP183" s="291"/>
      <c r="FQ183" s="291"/>
      <c r="FR183" s="291"/>
      <c r="FS183" s="291"/>
      <c r="FT183" s="291"/>
      <c r="FU183" s="291"/>
      <c r="FV183" s="291"/>
      <c r="FW183" s="291"/>
      <c r="FX183" s="291"/>
      <c r="FY183" s="291"/>
      <c r="FZ183" s="291"/>
      <c r="GA183" s="291"/>
      <c r="GB183" s="291"/>
      <c r="GC183" s="291"/>
      <c r="GD183" s="291"/>
      <c r="GE183" s="291"/>
      <c r="GF183" s="291"/>
      <c r="GG183" s="291"/>
      <c r="GH183" s="291"/>
      <c r="GI183" s="291"/>
      <c r="GJ183" s="291"/>
      <c r="GK183" s="291"/>
      <c r="GL183" s="291"/>
      <c r="GM183" s="291"/>
      <c r="GN183" s="291"/>
      <c r="GO183" s="291"/>
      <c r="GP183" s="291"/>
      <c r="GQ183" s="291"/>
      <c r="GR183" s="291"/>
      <c r="GS183" s="291"/>
      <c r="GT183" s="291"/>
      <c r="GU183" s="291"/>
      <c r="GV183" s="291"/>
      <c r="GW183" s="291"/>
      <c r="GX183" s="291"/>
      <c r="GY183" s="291"/>
      <c r="GZ183" s="291"/>
      <c r="HA183" s="291"/>
      <c r="HB183" s="291"/>
      <c r="HC183" s="291"/>
      <c r="HD183" s="291"/>
      <c r="HE183" s="291"/>
      <c r="HF183" s="291"/>
      <c r="HG183" s="291"/>
      <c r="HH183" s="291"/>
      <c r="HI183" s="291"/>
      <c r="HJ183" s="291"/>
      <c r="HK183" s="291"/>
      <c r="HL183" s="291"/>
      <c r="HM183" s="291"/>
      <c r="HN183" s="291"/>
      <c r="HO183" s="291"/>
      <c r="HP183" s="291"/>
      <c r="HQ183" s="291"/>
      <c r="HR183" s="291"/>
      <c r="HS183" s="291"/>
      <c r="HT183" s="291"/>
      <c r="HU183" s="291"/>
      <c r="HV183" s="291"/>
      <c r="HW183" s="291"/>
      <c r="HX183" s="291"/>
      <c r="HY183" s="291"/>
      <c r="HZ183" s="291"/>
      <c r="IA183" s="291"/>
      <c r="IB183" s="291"/>
      <c r="IC183" s="291"/>
      <c r="ID183" s="291"/>
      <c r="IE183" s="291"/>
      <c r="IF183" s="291"/>
      <c r="IG183" s="291"/>
      <c r="IH183" s="291"/>
      <c r="II183" s="291"/>
      <c r="IJ183" s="291"/>
      <c r="IK183" s="291"/>
      <c r="IL183" s="291"/>
      <c r="IM183" s="291"/>
      <c r="IN183" s="291"/>
      <c r="IO183" s="291"/>
      <c r="IP183" s="291"/>
      <c r="IQ183" s="291"/>
      <c r="IR183" s="291"/>
      <c r="IS183" s="291"/>
      <c r="IT183" s="291"/>
      <c r="IU183" s="291"/>
      <c r="IV183" s="291"/>
      <c r="IW183" s="291"/>
      <c r="IX183" s="291"/>
      <c r="IY183" s="291"/>
      <c r="IZ183" s="291"/>
      <c r="JA183" s="291"/>
      <c r="JB183" s="291"/>
      <c r="JC183" s="291"/>
      <c r="JD183" s="291"/>
      <c r="JE183" s="291"/>
      <c r="JF183" s="291"/>
      <c r="JG183" s="291"/>
      <c r="JH183" s="291"/>
      <c r="JI183" s="291"/>
      <c r="JJ183" s="291"/>
      <c r="JK183" s="291"/>
      <c r="JL183" s="291"/>
      <c r="JM183" s="291"/>
      <c r="JN183" s="291"/>
      <c r="JO183" s="291"/>
      <c r="JP183" s="291"/>
      <c r="JQ183" s="291"/>
      <c r="JR183" s="291"/>
      <c r="JS183" s="291"/>
      <c r="JT183" s="291"/>
      <c r="JU183" s="291"/>
      <c r="JV183" s="291"/>
      <c r="JW183" s="291"/>
      <c r="JX183" s="291"/>
      <c r="JY183" s="291"/>
      <c r="JZ183" s="291"/>
      <c r="KA183" s="291"/>
      <c r="KB183" s="291"/>
      <c r="KC183" s="291"/>
      <c r="KD183" s="291"/>
      <c r="KE183" s="291"/>
      <c r="KF183" s="291"/>
      <c r="KG183" s="291"/>
      <c r="KH183" s="291"/>
      <c r="KI183" s="291"/>
      <c r="KJ183" s="291"/>
      <c r="KK183" s="291"/>
      <c r="KL183" s="291"/>
      <c r="KM183" s="291"/>
      <c r="KN183" s="291"/>
      <c r="KO183" s="291"/>
      <c r="KP183" s="291"/>
      <c r="KQ183" s="291"/>
      <c r="KR183" s="291"/>
      <c r="KS183" s="291"/>
      <c r="KT183" s="291"/>
      <c r="KU183" s="291"/>
      <c r="KV183" s="291"/>
      <c r="KW183" s="291"/>
      <c r="KX183" s="291"/>
      <c r="KY183" s="291"/>
      <c r="KZ183" s="291"/>
      <c r="LA183" s="291"/>
      <c r="LB183" s="291"/>
      <c r="LC183" s="291"/>
      <c r="LD183" s="291"/>
      <c r="LE183" s="291"/>
      <c r="LF183" s="291"/>
      <c r="LG183" s="291"/>
      <c r="LH183" s="291"/>
      <c r="LI183" s="291"/>
      <c r="LJ183" s="291"/>
      <c r="LK183" s="291"/>
      <c r="LL183" s="291"/>
      <c r="LM183" s="291"/>
      <c r="LN183" s="291"/>
      <c r="LO183" s="291"/>
      <c r="LP183" s="291"/>
      <c r="LQ183" s="291"/>
      <c r="LR183" s="291"/>
      <c r="LS183" s="291"/>
      <c r="LT183" s="291"/>
      <c r="LU183" s="291"/>
      <c r="LV183" s="291"/>
      <c r="LW183" s="291"/>
      <c r="LX183" s="291"/>
      <c r="LY183" s="291"/>
      <c r="LZ183" s="291"/>
      <c r="MA183" s="291"/>
      <c r="MB183" s="291"/>
      <c r="MC183" s="291"/>
      <c r="MD183" s="291"/>
      <c r="ME183" s="291"/>
      <c r="MF183" s="291"/>
      <c r="MG183" s="291"/>
      <c r="MH183" s="291"/>
      <c r="MI183" s="291"/>
      <c r="MJ183" s="291"/>
      <c r="MK183" s="291"/>
      <c r="ML183" s="291"/>
      <c r="MM183" s="291"/>
      <c r="MN183" s="291"/>
      <c r="MO183" s="291"/>
      <c r="MP183" s="291"/>
      <c r="MQ183" s="291"/>
      <c r="MR183" s="291"/>
      <c r="MS183" s="291"/>
      <c r="MT183" s="291"/>
      <c r="MU183" s="291"/>
      <c r="MV183" s="291"/>
      <c r="MW183" s="291"/>
      <c r="MX183" s="291"/>
      <c r="MY183" s="291"/>
      <c r="MZ183" s="291"/>
      <c r="NA183" s="291"/>
      <c r="NB183" s="291"/>
      <c r="NC183" s="291"/>
      <c r="ND183" s="291"/>
      <c r="NE183" s="291"/>
      <c r="NF183" s="291"/>
      <c r="NG183" s="291"/>
      <c r="NH183" s="291"/>
      <c r="NI183" s="291"/>
      <c r="NJ183" s="291"/>
      <c r="NK183" s="291"/>
      <c r="NL183" s="291"/>
      <c r="NM183" s="291"/>
      <c r="NN183" s="291"/>
      <c r="NO183" s="291"/>
      <c r="NP183" s="291"/>
      <c r="NQ183" s="291"/>
      <c r="NR183" s="291"/>
      <c r="NS183" s="291"/>
      <c r="NT183" s="291"/>
      <c r="NU183" s="291"/>
      <c r="NV183" s="291"/>
      <c r="NW183" s="291"/>
      <c r="NX183" s="291"/>
      <c r="NY183" s="291"/>
      <c r="NZ183" s="291"/>
      <c r="OA183" s="291"/>
      <c r="OB183" s="291"/>
      <c r="OC183" s="291"/>
      <c r="OD183" s="291"/>
      <c r="OE183" s="291"/>
      <c r="OF183" s="291"/>
      <c r="OG183" s="291"/>
      <c r="OH183" s="291"/>
      <c r="OI183" s="291"/>
      <c r="OJ183" s="291"/>
      <c r="OK183" s="291"/>
      <c r="OL183" s="291"/>
      <c r="OM183" s="291"/>
      <c r="ON183" s="291"/>
      <c r="OO183" s="291"/>
      <c r="OP183" s="291"/>
      <c r="OQ183" s="291"/>
      <c r="OR183" s="291"/>
      <c r="OS183" s="291"/>
      <c r="OT183" s="291"/>
      <c r="OU183" s="291"/>
      <c r="OV183" s="291"/>
      <c r="OW183" s="291"/>
    </row>
    <row r="184" spans="1:413" s="276" customFormat="1" hidden="1" x14ac:dyDescent="0.2">
      <c r="A184" s="291"/>
      <c r="B184" s="530">
        <f t="shared" si="11"/>
        <v>168</v>
      </c>
      <c r="C184" s="510" t="s">
        <v>38</v>
      </c>
      <c r="D184" s="511">
        <v>30470443</v>
      </c>
      <c r="E184" s="511"/>
      <c r="F184" s="512" t="s">
        <v>1334</v>
      </c>
      <c r="G184" s="513" t="s">
        <v>45</v>
      </c>
      <c r="H184" s="514" t="s">
        <v>1094</v>
      </c>
      <c r="I184" s="515" t="s">
        <v>1134</v>
      </c>
      <c r="J184" s="346" t="s">
        <v>43</v>
      </c>
      <c r="K184" s="526">
        <v>593388</v>
      </c>
      <c r="L184" s="527">
        <v>0</v>
      </c>
      <c r="M184" s="528">
        <v>578720</v>
      </c>
      <c r="N184" s="520">
        <v>0</v>
      </c>
      <c r="O184" s="520">
        <v>0</v>
      </c>
      <c r="P184" s="520">
        <v>0</v>
      </c>
      <c r="Q184" s="520">
        <v>0</v>
      </c>
      <c r="R184" s="520">
        <v>3585</v>
      </c>
      <c r="S184" s="520">
        <v>0</v>
      </c>
      <c r="T184" s="57"/>
      <c r="U184" s="57"/>
      <c r="V184" s="57"/>
      <c r="W184" s="57"/>
      <c r="X184" s="57"/>
      <c r="Y184" s="57"/>
      <c r="Z184" s="57">
        <f t="shared" si="8"/>
        <v>3585</v>
      </c>
      <c r="AA184" s="309">
        <v>14587</v>
      </c>
      <c r="AB184" s="338">
        <v>3</v>
      </c>
      <c r="AC184" s="531">
        <v>44222</v>
      </c>
      <c r="AD184" s="316">
        <v>44225</v>
      </c>
      <c r="AE184" s="309">
        <v>399000</v>
      </c>
      <c r="AF184" s="314">
        <v>39</v>
      </c>
      <c r="AG184" s="315">
        <v>44334</v>
      </c>
      <c r="AH184" s="315">
        <v>44342</v>
      </c>
      <c r="AI184" s="309"/>
      <c r="AJ184" s="338"/>
      <c r="AK184" s="315"/>
      <c r="AL184" s="316"/>
      <c r="AM184" s="309"/>
      <c r="AN184" s="338"/>
      <c r="AO184" s="362"/>
      <c r="AP184" s="316"/>
      <c r="AQ184" s="309"/>
      <c r="AR184" s="338"/>
      <c r="AS184" s="362"/>
      <c r="AT184" s="316"/>
      <c r="AU184" s="522">
        <f t="shared" si="9"/>
        <v>413587</v>
      </c>
      <c r="AV184" s="311">
        <f t="shared" si="10"/>
        <v>410002</v>
      </c>
      <c r="AW184" s="305"/>
      <c r="AX184" s="291"/>
      <c r="AY184" s="291"/>
      <c r="AZ184" s="291"/>
      <c r="BA184" s="291"/>
      <c r="BB184" s="291"/>
      <c r="BC184" s="291"/>
      <c r="BD184" s="291"/>
      <c r="BE184" s="291"/>
      <c r="BF184" s="291"/>
      <c r="BG184" s="291"/>
      <c r="BH184" s="291"/>
      <c r="BI184" s="291"/>
      <c r="BJ184" s="291"/>
      <c r="BK184" s="291"/>
      <c r="BL184" s="291"/>
      <c r="BM184" s="291"/>
      <c r="BN184" s="291"/>
      <c r="BO184" s="291"/>
      <c r="BP184" s="291"/>
      <c r="BQ184" s="291"/>
      <c r="BR184" s="291"/>
      <c r="BS184" s="291"/>
      <c r="BT184" s="291"/>
      <c r="BU184" s="291"/>
      <c r="BV184" s="291"/>
      <c r="BW184" s="291"/>
      <c r="BX184" s="291"/>
      <c r="BY184" s="291"/>
      <c r="BZ184" s="291"/>
      <c r="CA184" s="291"/>
      <c r="CB184" s="291"/>
      <c r="CC184" s="291"/>
      <c r="CD184" s="291"/>
      <c r="CE184" s="291"/>
      <c r="CF184" s="291"/>
      <c r="CG184" s="291"/>
      <c r="CH184" s="291"/>
      <c r="CI184" s="291"/>
      <c r="CJ184" s="291"/>
      <c r="CK184" s="291"/>
      <c r="CL184" s="291"/>
      <c r="CM184" s="291"/>
      <c r="CN184" s="291"/>
      <c r="CO184" s="291"/>
      <c r="CP184" s="291"/>
      <c r="CQ184" s="291"/>
      <c r="CR184" s="291"/>
      <c r="CS184" s="291"/>
      <c r="CT184" s="291"/>
      <c r="CU184" s="291"/>
      <c r="CV184" s="291"/>
      <c r="CW184" s="291"/>
      <c r="CX184" s="291"/>
      <c r="CY184" s="291"/>
      <c r="CZ184" s="291"/>
      <c r="DA184" s="291"/>
      <c r="DB184" s="291"/>
      <c r="DC184" s="291"/>
      <c r="DD184" s="291"/>
      <c r="DE184" s="291"/>
      <c r="DF184" s="291"/>
      <c r="DG184" s="291"/>
      <c r="DH184" s="291"/>
      <c r="DI184" s="291"/>
      <c r="DJ184" s="291"/>
      <c r="DK184" s="291"/>
      <c r="DL184" s="291"/>
      <c r="DM184" s="291"/>
      <c r="DN184" s="291"/>
      <c r="DO184" s="291"/>
      <c r="DP184" s="291"/>
      <c r="DQ184" s="291"/>
      <c r="DR184" s="291"/>
      <c r="DS184" s="291"/>
      <c r="DT184" s="291"/>
      <c r="DU184" s="291"/>
      <c r="DV184" s="291"/>
      <c r="DW184" s="291"/>
      <c r="DX184" s="291"/>
      <c r="DY184" s="291"/>
      <c r="DZ184" s="291"/>
      <c r="EA184" s="291"/>
      <c r="EB184" s="291"/>
      <c r="EC184" s="291"/>
      <c r="ED184" s="291"/>
      <c r="EE184" s="291"/>
      <c r="EF184" s="291"/>
      <c r="EG184" s="291"/>
      <c r="EH184" s="291"/>
      <c r="EI184" s="291"/>
      <c r="EJ184" s="291"/>
      <c r="EK184" s="291"/>
      <c r="EL184" s="291"/>
      <c r="EM184" s="291"/>
      <c r="EN184" s="291"/>
      <c r="EO184" s="291"/>
      <c r="EP184" s="291"/>
      <c r="EQ184" s="291"/>
      <c r="ER184" s="291"/>
      <c r="ES184" s="291"/>
      <c r="ET184" s="291"/>
      <c r="EU184" s="291"/>
      <c r="EV184" s="291"/>
      <c r="EW184" s="291"/>
      <c r="EX184" s="291"/>
      <c r="EY184" s="291"/>
      <c r="EZ184" s="291"/>
      <c r="FA184" s="291"/>
      <c r="FB184" s="291"/>
      <c r="FC184" s="291"/>
      <c r="FD184" s="291"/>
      <c r="FE184" s="291"/>
      <c r="FF184" s="291"/>
      <c r="FG184" s="291"/>
      <c r="FH184" s="291"/>
      <c r="FI184" s="291"/>
      <c r="FJ184" s="291"/>
      <c r="FK184" s="291"/>
      <c r="FL184" s="291"/>
      <c r="FM184" s="291"/>
      <c r="FN184" s="291"/>
      <c r="FO184" s="291"/>
      <c r="FP184" s="291"/>
      <c r="FQ184" s="291"/>
      <c r="FR184" s="291"/>
      <c r="FS184" s="291"/>
      <c r="FT184" s="291"/>
      <c r="FU184" s="291"/>
      <c r="FV184" s="291"/>
      <c r="FW184" s="291"/>
      <c r="FX184" s="291"/>
      <c r="FY184" s="291"/>
      <c r="FZ184" s="291"/>
      <c r="GA184" s="291"/>
      <c r="GB184" s="291"/>
      <c r="GC184" s="291"/>
      <c r="GD184" s="291"/>
      <c r="GE184" s="291"/>
      <c r="GF184" s="291"/>
      <c r="GG184" s="291"/>
      <c r="GH184" s="291"/>
      <c r="GI184" s="291"/>
      <c r="GJ184" s="291"/>
      <c r="GK184" s="291"/>
      <c r="GL184" s="291"/>
      <c r="GM184" s="291"/>
      <c r="GN184" s="291"/>
      <c r="GO184" s="291"/>
      <c r="GP184" s="291"/>
      <c r="GQ184" s="291"/>
      <c r="GR184" s="291"/>
      <c r="GS184" s="291"/>
      <c r="GT184" s="291"/>
      <c r="GU184" s="291"/>
      <c r="GV184" s="291"/>
      <c r="GW184" s="291"/>
      <c r="GX184" s="291"/>
      <c r="GY184" s="291"/>
      <c r="GZ184" s="291"/>
      <c r="HA184" s="291"/>
      <c r="HB184" s="291"/>
      <c r="HC184" s="291"/>
      <c r="HD184" s="291"/>
      <c r="HE184" s="291"/>
      <c r="HF184" s="291"/>
      <c r="HG184" s="291"/>
      <c r="HH184" s="291"/>
      <c r="HI184" s="291"/>
      <c r="HJ184" s="291"/>
      <c r="HK184" s="291"/>
      <c r="HL184" s="291"/>
      <c r="HM184" s="291"/>
      <c r="HN184" s="291"/>
      <c r="HO184" s="291"/>
      <c r="HP184" s="291"/>
      <c r="HQ184" s="291"/>
      <c r="HR184" s="291"/>
      <c r="HS184" s="291"/>
      <c r="HT184" s="291"/>
      <c r="HU184" s="291"/>
      <c r="HV184" s="291"/>
      <c r="HW184" s="291"/>
      <c r="HX184" s="291"/>
      <c r="HY184" s="291"/>
      <c r="HZ184" s="291"/>
      <c r="IA184" s="291"/>
      <c r="IB184" s="291"/>
      <c r="IC184" s="291"/>
      <c r="ID184" s="291"/>
      <c r="IE184" s="291"/>
      <c r="IF184" s="291"/>
      <c r="IG184" s="291"/>
      <c r="IH184" s="291"/>
      <c r="II184" s="291"/>
      <c r="IJ184" s="291"/>
      <c r="IK184" s="291"/>
      <c r="IL184" s="291"/>
      <c r="IM184" s="291"/>
      <c r="IN184" s="291"/>
      <c r="IO184" s="291"/>
      <c r="IP184" s="291"/>
      <c r="IQ184" s="291"/>
      <c r="IR184" s="291"/>
      <c r="IS184" s="291"/>
      <c r="IT184" s="291"/>
      <c r="IU184" s="291"/>
      <c r="IV184" s="291"/>
      <c r="IW184" s="291"/>
      <c r="IX184" s="291"/>
      <c r="IY184" s="291"/>
      <c r="IZ184" s="291"/>
      <c r="JA184" s="291"/>
      <c r="JB184" s="291"/>
      <c r="JC184" s="291"/>
      <c r="JD184" s="291"/>
      <c r="JE184" s="291"/>
      <c r="JF184" s="291"/>
      <c r="JG184" s="291"/>
      <c r="JH184" s="291"/>
      <c r="JI184" s="291"/>
      <c r="JJ184" s="291"/>
      <c r="JK184" s="291"/>
      <c r="JL184" s="291"/>
      <c r="JM184" s="291"/>
      <c r="JN184" s="291"/>
      <c r="JO184" s="291"/>
      <c r="JP184" s="291"/>
      <c r="JQ184" s="291"/>
      <c r="JR184" s="291"/>
      <c r="JS184" s="291"/>
      <c r="JT184" s="291"/>
      <c r="JU184" s="291"/>
      <c r="JV184" s="291"/>
      <c r="JW184" s="291"/>
      <c r="JX184" s="291"/>
      <c r="JY184" s="291"/>
      <c r="JZ184" s="291"/>
      <c r="KA184" s="291"/>
      <c r="KB184" s="291"/>
      <c r="KC184" s="291"/>
      <c r="KD184" s="291"/>
      <c r="KE184" s="291"/>
      <c r="KF184" s="291"/>
      <c r="KG184" s="291"/>
      <c r="KH184" s="291"/>
      <c r="KI184" s="291"/>
      <c r="KJ184" s="291"/>
      <c r="KK184" s="291"/>
      <c r="KL184" s="291"/>
      <c r="KM184" s="291"/>
      <c r="KN184" s="291"/>
      <c r="KO184" s="291"/>
      <c r="KP184" s="291"/>
      <c r="KQ184" s="291"/>
      <c r="KR184" s="291"/>
      <c r="KS184" s="291"/>
      <c r="KT184" s="291"/>
      <c r="KU184" s="291"/>
      <c r="KV184" s="291"/>
      <c r="KW184" s="291"/>
      <c r="KX184" s="291"/>
      <c r="KY184" s="291"/>
      <c r="KZ184" s="291"/>
      <c r="LA184" s="291"/>
      <c r="LB184" s="291"/>
      <c r="LC184" s="291"/>
      <c r="LD184" s="291"/>
      <c r="LE184" s="291"/>
      <c r="LF184" s="291"/>
      <c r="LG184" s="291"/>
      <c r="LH184" s="291"/>
      <c r="LI184" s="291"/>
      <c r="LJ184" s="291"/>
      <c r="LK184" s="291"/>
      <c r="LL184" s="291"/>
      <c r="LM184" s="291"/>
      <c r="LN184" s="291"/>
      <c r="LO184" s="291"/>
      <c r="LP184" s="291"/>
      <c r="LQ184" s="291"/>
      <c r="LR184" s="291"/>
      <c r="LS184" s="291"/>
      <c r="LT184" s="291"/>
      <c r="LU184" s="291"/>
      <c r="LV184" s="291"/>
      <c r="LW184" s="291"/>
      <c r="LX184" s="291"/>
      <c r="LY184" s="291"/>
      <c r="LZ184" s="291"/>
      <c r="MA184" s="291"/>
      <c r="MB184" s="291"/>
      <c r="MC184" s="291"/>
      <c r="MD184" s="291"/>
      <c r="ME184" s="291"/>
      <c r="MF184" s="291"/>
      <c r="MG184" s="291"/>
      <c r="MH184" s="291"/>
      <c r="MI184" s="291"/>
      <c r="MJ184" s="291"/>
      <c r="MK184" s="291"/>
      <c r="ML184" s="291"/>
      <c r="MM184" s="291"/>
      <c r="MN184" s="291"/>
      <c r="MO184" s="291"/>
      <c r="MP184" s="291"/>
      <c r="MQ184" s="291"/>
      <c r="MR184" s="291"/>
      <c r="MS184" s="291"/>
      <c r="MT184" s="291"/>
      <c r="MU184" s="291"/>
      <c r="MV184" s="291"/>
      <c r="MW184" s="291"/>
      <c r="MX184" s="291"/>
      <c r="MY184" s="291"/>
      <c r="MZ184" s="291"/>
      <c r="NA184" s="291"/>
      <c r="NB184" s="291"/>
      <c r="NC184" s="291"/>
      <c r="ND184" s="291"/>
      <c r="NE184" s="291"/>
      <c r="NF184" s="291"/>
      <c r="NG184" s="291"/>
      <c r="NH184" s="291"/>
      <c r="NI184" s="291"/>
      <c r="NJ184" s="291"/>
      <c r="NK184" s="291"/>
      <c r="NL184" s="291"/>
      <c r="NM184" s="291"/>
      <c r="NN184" s="291"/>
      <c r="NO184" s="291"/>
      <c r="NP184" s="291"/>
      <c r="NQ184" s="291"/>
      <c r="NR184" s="291"/>
      <c r="NS184" s="291"/>
      <c r="NT184" s="291"/>
      <c r="NU184" s="291"/>
      <c r="NV184" s="291"/>
      <c r="NW184" s="291"/>
      <c r="NX184" s="291"/>
      <c r="NY184" s="291"/>
      <c r="NZ184" s="291"/>
      <c r="OA184" s="291"/>
      <c r="OB184" s="291"/>
      <c r="OC184" s="291"/>
      <c r="OD184" s="291"/>
      <c r="OE184" s="291"/>
      <c r="OF184" s="291"/>
      <c r="OG184" s="291"/>
      <c r="OH184" s="291"/>
      <c r="OI184" s="291"/>
      <c r="OJ184" s="291"/>
      <c r="OK184" s="291"/>
      <c r="OL184" s="291"/>
      <c r="OM184" s="291"/>
      <c r="ON184" s="291"/>
      <c r="OO184" s="291"/>
      <c r="OP184" s="291"/>
      <c r="OQ184" s="291"/>
      <c r="OR184" s="291"/>
      <c r="OS184" s="291"/>
      <c r="OT184" s="291"/>
      <c r="OU184" s="291"/>
      <c r="OV184" s="291"/>
      <c r="OW184" s="291"/>
    </row>
    <row r="185" spans="1:413" s="257" customFormat="1" hidden="1" x14ac:dyDescent="0.2">
      <c r="A185" s="291"/>
      <c r="B185" s="524">
        <f t="shared" si="11"/>
        <v>169</v>
      </c>
      <c r="C185" s="510" t="s">
        <v>38</v>
      </c>
      <c r="D185" s="511">
        <v>30470444</v>
      </c>
      <c r="E185" s="511"/>
      <c r="F185" s="512" t="s">
        <v>1335</v>
      </c>
      <c r="G185" s="513" t="s">
        <v>45</v>
      </c>
      <c r="H185" s="514" t="s">
        <v>1094</v>
      </c>
      <c r="I185" s="515" t="s">
        <v>1189</v>
      </c>
      <c r="J185" s="346" t="s">
        <v>43</v>
      </c>
      <c r="K185" s="526">
        <v>465807</v>
      </c>
      <c r="L185" s="527">
        <v>0</v>
      </c>
      <c r="M185" s="528">
        <v>402643</v>
      </c>
      <c r="N185" s="519">
        <v>0</v>
      </c>
      <c r="O185" s="519">
        <v>0</v>
      </c>
      <c r="P185" s="519">
        <v>0</v>
      </c>
      <c r="Q185" s="519">
        <v>0</v>
      </c>
      <c r="R185" s="519">
        <v>0</v>
      </c>
      <c r="S185" s="520">
        <v>0</v>
      </c>
      <c r="T185" s="18"/>
      <c r="U185" s="18"/>
      <c r="V185" s="18"/>
      <c r="W185" s="18"/>
      <c r="X185" s="18"/>
      <c r="Y185" s="18"/>
      <c r="Z185" s="18">
        <f t="shared" si="8"/>
        <v>0</v>
      </c>
      <c r="AA185" s="309">
        <v>17002</v>
      </c>
      <c r="AB185" s="19">
        <v>15</v>
      </c>
      <c r="AC185" s="521">
        <v>44259</v>
      </c>
      <c r="AD185" s="25">
        <v>44274</v>
      </c>
      <c r="AE185" s="309">
        <v>310000</v>
      </c>
      <c r="AF185" s="314">
        <v>39</v>
      </c>
      <c r="AG185" s="315">
        <v>44334</v>
      </c>
      <c r="AH185" s="316">
        <v>44342</v>
      </c>
      <c r="AI185" s="309">
        <v>1156</v>
      </c>
      <c r="AJ185" s="338">
        <v>50</v>
      </c>
      <c r="AK185" s="315">
        <v>44356</v>
      </c>
      <c r="AL185" s="316">
        <v>44377</v>
      </c>
      <c r="AM185" s="309"/>
      <c r="AN185" s="338"/>
      <c r="AO185" s="21"/>
      <c r="AP185" s="25"/>
      <c r="AQ185" s="309"/>
      <c r="AR185" s="19"/>
      <c r="AS185" s="21"/>
      <c r="AT185" s="25"/>
      <c r="AU185" s="522">
        <f t="shared" si="9"/>
        <v>328158</v>
      </c>
      <c r="AV185" s="311">
        <f t="shared" si="10"/>
        <v>328158</v>
      </c>
      <c r="AW185" s="305"/>
      <c r="AX185" s="291"/>
      <c r="AY185" s="291"/>
      <c r="AZ185" s="291"/>
      <c r="BA185" s="291"/>
      <c r="BB185" s="291"/>
      <c r="BC185" s="291"/>
      <c r="BD185" s="291"/>
      <c r="BE185" s="291"/>
      <c r="BF185" s="291"/>
      <c r="BG185" s="291"/>
      <c r="BH185" s="291"/>
      <c r="BI185" s="291"/>
      <c r="BJ185" s="291"/>
      <c r="BK185" s="291"/>
      <c r="BL185" s="291"/>
      <c r="BM185" s="291"/>
      <c r="BN185" s="291"/>
      <c r="BO185" s="291"/>
      <c r="BP185" s="291"/>
      <c r="BQ185" s="291"/>
      <c r="BR185" s="291"/>
      <c r="BS185" s="291"/>
      <c r="BT185" s="291"/>
      <c r="BU185" s="291"/>
      <c r="BV185" s="291"/>
      <c r="BW185" s="291"/>
      <c r="BX185" s="291"/>
      <c r="BY185" s="291"/>
      <c r="BZ185" s="291"/>
      <c r="CA185" s="291"/>
      <c r="CB185" s="291"/>
      <c r="CC185" s="291"/>
      <c r="CD185" s="291"/>
      <c r="CE185" s="291"/>
      <c r="CF185" s="291"/>
      <c r="CG185" s="291"/>
      <c r="CH185" s="291"/>
      <c r="CI185" s="291"/>
      <c r="CJ185" s="291"/>
      <c r="CK185" s="291"/>
      <c r="CL185" s="291"/>
      <c r="CM185" s="291"/>
      <c r="CN185" s="291"/>
      <c r="CO185" s="291"/>
      <c r="CP185" s="291"/>
      <c r="CQ185" s="291"/>
      <c r="CR185" s="291"/>
      <c r="CS185" s="291"/>
      <c r="CT185" s="291"/>
      <c r="CU185" s="291"/>
      <c r="CV185" s="291"/>
      <c r="CW185" s="291"/>
      <c r="CX185" s="291"/>
      <c r="CY185" s="291"/>
      <c r="CZ185" s="291"/>
      <c r="DA185" s="291"/>
      <c r="DB185" s="291"/>
      <c r="DC185" s="291"/>
      <c r="DD185" s="291"/>
      <c r="DE185" s="291"/>
      <c r="DF185" s="291"/>
      <c r="DG185" s="291"/>
      <c r="DH185" s="291"/>
      <c r="DI185" s="291"/>
      <c r="DJ185" s="291"/>
      <c r="DK185" s="291"/>
      <c r="DL185" s="291"/>
      <c r="DM185" s="291"/>
      <c r="DN185" s="291"/>
      <c r="DO185" s="291"/>
      <c r="DP185" s="291"/>
      <c r="DQ185" s="291"/>
      <c r="DR185" s="291"/>
      <c r="DS185" s="291"/>
      <c r="DT185" s="291"/>
      <c r="DU185" s="291"/>
      <c r="DV185" s="291"/>
      <c r="DW185" s="291"/>
      <c r="DX185" s="291"/>
      <c r="DY185" s="291"/>
      <c r="DZ185" s="291"/>
      <c r="EA185" s="291"/>
      <c r="EB185" s="291"/>
      <c r="EC185" s="291"/>
      <c r="ED185" s="291"/>
      <c r="EE185" s="291"/>
      <c r="EF185" s="291"/>
      <c r="EG185" s="291"/>
      <c r="EH185" s="291"/>
      <c r="EI185" s="291"/>
      <c r="EJ185" s="291"/>
      <c r="EK185" s="291"/>
      <c r="EL185" s="291"/>
      <c r="EM185" s="291"/>
      <c r="EN185" s="291"/>
      <c r="EO185" s="291"/>
      <c r="EP185" s="291"/>
      <c r="EQ185" s="291"/>
      <c r="ER185" s="291"/>
      <c r="ES185" s="291"/>
      <c r="ET185" s="291"/>
      <c r="EU185" s="291"/>
      <c r="EV185" s="291"/>
      <c r="EW185" s="291"/>
      <c r="EX185" s="291"/>
      <c r="EY185" s="291"/>
      <c r="EZ185" s="291"/>
      <c r="FA185" s="291"/>
      <c r="FB185" s="291"/>
      <c r="FC185" s="291"/>
      <c r="FD185" s="291"/>
      <c r="FE185" s="291"/>
      <c r="FF185" s="291"/>
      <c r="FG185" s="291"/>
      <c r="FH185" s="291"/>
      <c r="FI185" s="291"/>
      <c r="FJ185" s="291"/>
      <c r="FK185" s="291"/>
      <c r="FL185" s="291"/>
      <c r="FM185" s="291"/>
      <c r="FN185" s="291"/>
      <c r="FO185" s="291"/>
      <c r="FP185" s="291"/>
      <c r="FQ185" s="291"/>
      <c r="FR185" s="291"/>
      <c r="FS185" s="291"/>
      <c r="FT185" s="291"/>
      <c r="FU185" s="291"/>
      <c r="FV185" s="291"/>
      <c r="FW185" s="291"/>
      <c r="FX185" s="291"/>
      <c r="FY185" s="291"/>
      <c r="FZ185" s="291"/>
      <c r="GA185" s="291"/>
      <c r="GB185" s="291"/>
      <c r="GC185" s="291"/>
      <c r="GD185" s="291"/>
      <c r="GE185" s="291"/>
      <c r="GF185" s="291"/>
      <c r="GG185" s="291"/>
      <c r="GH185" s="291"/>
      <c r="GI185" s="291"/>
      <c r="GJ185" s="291"/>
      <c r="GK185" s="291"/>
      <c r="GL185" s="291"/>
      <c r="GM185" s="291"/>
      <c r="GN185" s="291"/>
      <c r="GO185" s="291"/>
      <c r="GP185" s="291"/>
      <c r="GQ185" s="291"/>
      <c r="GR185" s="291"/>
      <c r="GS185" s="291"/>
      <c r="GT185" s="291"/>
      <c r="GU185" s="291"/>
      <c r="GV185" s="291"/>
      <c r="GW185" s="291"/>
      <c r="GX185" s="291"/>
      <c r="GY185" s="291"/>
      <c r="GZ185" s="291"/>
      <c r="HA185" s="291"/>
      <c r="HB185" s="291"/>
      <c r="HC185" s="291"/>
      <c r="HD185" s="291"/>
      <c r="HE185" s="291"/>
      <c r="HF185" s="291"/>
      <c r="HG185" s="291"/>
      <c r="HH185" s="291"/>
      <c r="HI185" s="291"/>
      <c r="HJ185" s="291"/>
      <c r="HK185" s="291"/>
      <c r="HL185" s="291"/>
      <c r="HM185" s="291"/>
      <c r="HN185" s="291"/>
      <c r="HO185" s="291"/>
      <c r="HP185" s="291"/>
      <c r="HQ185" s="291"/>
      <c r="HR185" s="291"/>
      <c r="HS185" s="291"/>
      <c r="HT185" s="291"/>
      <c r="HU185" s="291"/>
      <c r="HV185" s="291"/>
      <c r="HW185" s="291"/>
      <c r="HX185" s="291"/>
      <c r="HY185" s="291"/>
      <c r="HZ185" s="291"/>
      <c r="IA185" s="291"/>
      <c r="IB185" s="291"/>
      <c r="IC185" s="291"/>
      <c r="ID185" s="291"/>
      <c r="IE185" s="291"/>
      <c r="IF185" s="291"/>
      <c r="IG185" s="291"/>
      <c r="IH185" s="291"/>
      <c r="II185" s="291"/>
      <c r="IJ185" s="291"/>
      <c r="IK185" s="291"/>
      <c r="IL185" s="291"/>
      <c r="IM185" s="291"/>
      <c r="IN185" s="291"/>
      <c r="IO185" s="291"/>
      <c r="IP185" s="291"/>
      <c r="IQ185" s="291"/>
      <c r="IR185" s="291"/>
      <c r="IS185" s="291"/>
      <c r="IT185" s="291"/>
      <c r="IU185" s="291"/>
      <c r="IV185" s="291"/>
      <c r="IW185" s="291"/>
      <c r="IX185" s="291"/>
      <c r="IY185" s="291"/>
      <c r="IZ185" s="291"/>
      <c r="JA185" s="291"/>
      <c r="JB185" s="291"/>
      <c r="JC185" s="291"/>
      <c r="JD185" s="291"/>
      <c r="JE185" s="291"/>
      <c r="JF185" s="291"/>
      <c r="JG185" s="291"/>
      <c r="JH185" s="291"/>
      <c r="JI185" s="291"/>
      <c r="JJ185" s="291"/>
      <c r="JK185" s="291"/>
      <c r="JL185" s="291"/>
      <c r="JM185" s="291"/>
      <c r="JN185" s="291"/>
      <c r="JO185" s="291"/>
      <c r="JP185" s="291"/>
      <c r="JQ185" s="291"/>
      <c r="JR185" s="291"/>
      <c r="JS185" s="291"/>
      <c r="JT185" s="291"/>
      <c r="JU185" s="291"/>
      <c r="JV185" s="291"/>
      <c r="JW185" s="291"/>
      <c r="JX185" s="291"/>
      <c r="JY185" s="291"/>
      <c r="JZ185" s="291"/>
      <c r="KA185" s="291"/>
      <c r="KB185" s="291"/>
      <c r="KC185" s="291"/>
      <c r="KD185" s="291"/>
      <c r="KE185" s="291"/>
      <c r="KF185" s="291"/>
      <c r="KG185" s="291"/>
      <c r="KH185" s="291"/>
      <c r="KI185" s="291"/>
      <c r="KJ185" s="291"/>
      <c r="KK185" s="291"/>
      <c r="KL185" s="291"/>
      <c r="KM185" s="291"/>
      <c r="KN185" s="291"/>
      <c r="KO185" s="291"/>
      <c r="KP185" s="291"/>
      <c r="KQ185" s="291"/>
      <c r="KR185" s="291"/>
      <c r="KS185" s="291"/>
      <c r="KT185" s="291"/>
      <c r="KU185" s="291"/>
      <c r="KV185" s="291"/>
      <c r="KW185" s="291"/>
      <c r="KX185" s="291"/>
      <c r="KY185" s="291"/>
      <c r="KZ185" s="291"/>
      <c r="LA185" s="291"/>
      <c r="LB185" s="291"/>
      <c r="LC185" s="291"/>
      <c r="LD185" s="291"/>
      <c r="LE185" s="291"/>
      <c r="LF185" s="291"/>
      <c r="LG185" s="291"/>
      <c r="LH185" s="291"/>
      <c r="LI185" s="291"/>
      <c r="LJ185" s="291"/>
      <c r="LK185" s="291"/>
      <c r="LL185" s="291"/>
      <c r="LM185" s="291"/>
      <c r="LN185" s="291"/>
      <c r="LO185" s="291"/>
      <c r="LP185" s="291"/>
      <c r="LQ185" s="291"/>
      <c r="LR185" s="291"/>
      <c r="LS185" s="291"/>
      <c r="LT185" s="291"/>
      <c r="LU185" s="291"/>
      <c r="LV185" s="291"/>
      <c r="LW185" s="291"/>
      <c r="LX185" s="291"/>
      <c r="LY185" s="291"/>
      <c r="LZ185" s="291"/>
      <c r="MA185" s="291"/>
      <c r="MB185" s="291"/>
      <c r="MC185" s="291"/>
      <c r="MD185" s="291"/>
      <c r="ME185" s="291"/>
      <c r="MF185" s="291"/>
      <c r="MG185" s="291"/>
      <c r="MH185" s="291"/>
      <c r="MI185" s="291"/>
      <c r="MJ185" s="291"/>
      <c r="MK185" s="291"/>
      <c r="ML185" s="291"/>
      <c r="MM185" s="291"/>
      <c r="MN185" s="291"/>
      <c r="MO185" s="291"/>
      <c r="MP185" s="291"/>
      <c r="MQ185" s="291"/>
      <c r="MR185" s="291"/>
      <c r="MS185" s="291"/>
      <c r="MT185" s="291"/>
      <c r="MU185" s="291"/>
      <c r="MV185" s="291"/>
      <c r="MW185" s="291"/>
      <c r="MX185" s="291"/>
      <c r="MY185" s="291"/>
      <c r="MZ185" s="291"/>
      <c r="NA185" s="291"/>
      <c r="NB185" s="291"/>
      <c r="NC185" s="291"/>
      <c r="ND185" s="291"/>
      <c r="NE185" s="291"/>
      <c r="NF185" s="291"/>
      <c r="NG185" s="291"/>
      <c r="NH185" s="291"/>
      <c r="NI185" s="291"/>
      <c r="NJ185" s="291"/>
      <c r="NK185" s="291"/>
      <c r="NL185" s="291"/>
      <c r="NM185" s="291"/>
      <c r="NN185" s="291"/>
      <c r="NO185" s="291"/>
      <c r="NP185" s="291"/>
      <c r="NQ185" s="291"/>
      <c r="NR185" s="291"/>
      <c r="NS185" s="291"/>
      <c r="NT185" s="291"/>
      <c r="NU185" s="291"/>
      <c r="NV185" s="291"/>
      <c r="NW185" s="291"/>
      <c r="NX185" s="291"/>
      <c r="NY185" s="291"/>
      <c r="NZ185" s="291"/>
      <c r="OA185" s="291"/>
      <c r="OB185" s="291"/>
      <c r="OC185" s="291"/>
      <c r="OD185" s="291"/>
      <c r="OE185" s="291"/>
      <c r="OF185" s="291"/>
      <c r="OG185" s="291"/>
      <c r="OH185" s="291"/>
      <c r="OI185" s="291"/>
      <c r="OJ185" s="291"/>
      <c r="OK185" s="291"/>
      <c r="OL185" s="291"/>
      <c r="OM185" s="291"/>
      <c r="ON185" s="291"/>
      <c r="OO185" s="291"/>
      <c r="OP185" s="291"/>
      <c r="OQ185" s="291"/>
      <c r="OR185" s="291"/>
      <c r="OS185" s="291"/>
      <c r="OT185" s="291"/>
      <c r="OU185" s="291"/>
      <c r="OV185" s="291"/>
      <c r="OW185" s="291"/>
    </row>
    <row r="186" spans="1:413" s="257" customFormat="1" hidden="1" x14ac:dyDescent="0.2">
      <c r="A186" s="291"/>
      <c r="B186" s="524">
        <f t="shared" si="11"/>
        <v>170</v>
      </c>
      <c r="C186" s="510" t="s">
        <v>38</v>
      </c>
      <c r="D186" s="511">
        <v>30470644</v>
      </c>
      <c r="E186" s="511"/>
      <c r="F186" s="512" t="s">
        <v>1336</v>
      </c>
      <c r="G186" s="513" t="s">
        <v>45</v>
      </c>
      <c r="H186" s="514" t="s">
        <v>1094</v>
      </c>
      <c r="I186" s="515" t="s">
        <v>1171</v>
      </c>
      <c r="J186" s="346" t="s">
        <v>42</v>
      </c>
      <c r="K186" s="526">
        <v>607307</v>
      </c>
      <c r="L186" s="527">
        <v>401434</v>
      </c>
      <c r="M186" s="528">
        <v>12799</v>
      </c>
      <c r="N186" s="520">
        <v>0</v>
      </c>
      <c r="O186" s="520">
        <v>113533</v>
      </c>
      <c r="P186" s="520">
        <v>0</v>
      </c>
      <c r="Q186" s="520">
        <v>79539</v>
      </c>
      <c r="R186" s="520">
        <v>0</v>
      </c>
      <c r="S186" s="520">
        <v>0</v>
      </c>
      <c r="T186" s="18"/>
      <c r="U186" s="18"/>
      <c r="V186" s="18"/>
      <c r="W186" s="18"/>
      <c r="X186" s="18"/>
      <c r="Y186" s="18"/>
      <c r="Z186" s="18">
        <f t="shared" si="8"/>
        <v>193072</v>
      </c>
      <c r="AA186" s="309">
        <v>193074</v>
      </c>
      <c r="AB186" s="19">
        <v>11</v>
      </c>
      <c r="AC186" s="521">
        <v>44237</v>
      </c>
      <c r="AD186" s="25">
        <v>44251</v>
      </c>
      <c r="AE186" s="309"/>
      <c r="AF186" s="314"/>
      <c r="AG186" s="315"/>
      <c r="AH186" s="316"/>
      <c r="AI186" s="309"/>
      <c r="AJ186" s="338"/>
      <c r="AK186" s="315"/>
      <c r="AL186" s="316"/>
      <c r="AM186" s="309"/>
      <c r="AN186" s="338"/>
      <c r="AO186" s="21"/>
      <c r="AP186" s="25"/>
      <c r="AQ186" s="309"/>
      <c r="AR186" s="19"/>
      <c r="AS186" s="21"/>
      <c r="AT186" s="25"/>
      <c r="AU186" s="522">
        <f t="shared" si="9"/>
        <v>193074</v>
      </c>
      <c r="AV186" s="311">
        <f t="shared" si="10"/>
        <v>2</v>
      </c>
      <c r="AW186" s="305"/>
      <c r="AX186" s="291"/>
      <c r="AY186" s="291"/>
      <c r="AZ186" s="291"/>
      <c r="BA186" s="291"/>
      <c r="BB186" s="291"/>
      <c r="BC186" s="291"/>
      <c r="BD186" s="291"/>
      <c r="BE186" s="291"/>
      <c r="BF186" s="291"/>
      <c r="BG186" s="291"/>
      <c r="BH186" s="291"/>
      <c r="BI186" s="291"/>
      <c r="BJ186" s="291"/>
      <c r="BK186" s="291"/>
      <c r="BL186" s="291"/>
      <c r="BM186" s="291"/>
      <c r="BN186" s="291"/>
      <c r="BO186" s="291"/>
      <c r="BP186" s="291"/>
      <c r="BQ186" s="291"/>
      <c r="BR186" s="291"/>
      <c r="BS186" s="291"/>
      <c r="BT186" s="291"/>
      <c r="BU186" s="291"/>
      <c r="BV186" s="291"/>
      <c r="BW186" s="291"/>
      <c r="BX186" s="291"/>
      <c r="BY186" s="291"/>
      <c r="BZ186" s="291"/>
      <c r="CA186" s="291"/>
      <c r="CB186" s="291"/>
      <c r="CC186" s="291"/>
      <c r="CD186" s="291"/>
      <c r="CE186" s="291"/>
      <c r="CF186" s="291"/>
      <c r="CG186" s="291"/>
      <c r="CH186" s="291"/>
      <c r="CI186" s="291"/>
      <c r="CJ186" s="291"/>
      <c r="CK186" s="291"/>
      <c r="CL186" s="291"/>
      <c r="CM186" s="291"/>
      <c r="CN186" s="291"/>
      <c r="CO186" s="291"/>
      <c r="CP186" s="291"/>
      <c r="CQ186" s="291"/>
      <c r="CR186" s="291"/>
      <c r="CS186" s="291"/>
      <c r="CT186" s="291"/>
      <c r="CU186" s="291"/>
      <c r="CV186" s="291"/>
      <c r="CW186" s="291"/>
      <c r="CX186" s="291"/>
      <c r="CY186" s="291"/>
      <c r="CZ186" s="291"/>
      <c r="DA186" s="291"/>
      <c r="DB186" s="291"/>
      <c r="DC186" s="291"/>
      <c r="DD186" s="291"/>
      <c r="DE186" s="291"/>
      <c r="DF186" s="291"/>
      <c r="DG186" s="291"/>
      <c r="DH186" s="291"/>
      <c r="DI186" s="291"/>
      <c r="DJ186" s="291"/>
      <c r="DK186" s="291"/>
      <c r="DL186" s="291"/>
      <c r="DM186" s="291"/>
      <c r="DN186" s="291"/>
      <c r="DO186" s="291"/>
      <c r="DP186" s="291"/>
      <c r="DQ186" s="291"/>
      <c r="DR186" s="291"/>
      <c r="DS186" s="291"/>
      <c r="DT186" s="291"/>
      <c r="DU186" s="291"/>
      <c r="DV186" s="291"/>
      <c r="DW186" s="291"/>
      <c r="DX186" s="291"/>
      <c r="DY186" s="291"/>
      <c r="DZ186" s="291"/>
      <c r="EA186" s="291"/>
      <c r="EB186" s="291"/>
      <c r="EC186" s="291"/>
      <c r="ED186" s="291"/>
      <c r="EE186" s="291"/>
      <c r="EF186" s="291"/>
      <c r="EG186" s="291"/>
      <c r="EH186" s="291"/>
      <c r="EI186" s="291"/>
      <c r="EJ186" s="291"/>
      <c r="EK186" s="291"/>
      <c r="EL186" s="291"/>
      <c r="EM186" s="291"/>
      <c r="EN186" s="291"/>
      <c r="EO186" s="291"/>
      <c r="EP186" s="291"/>
      <c r="EQ186" s="291"/>
      <c r="ER186" s="291"/>
      <c r="ES186" s="291"/>
      <c r="ET186" s="291"/>
      <c r="EU186" s="291"/>
      <c r="EV186" s="291"/>
      <c r="EW186" s="291"/>
      <c r="EX186" s="291"/>
      <c r="EY186" s="291"/>
      <c r="EZ186" s="291"/>
      <c r="FA186" s="291"/>
      <c r="FB186" s="291"/>
      <c r="FC186" s="291"/>
      <c r="FD186" s="291"/>
      <c r="FE186" s="291"/>
      <c r="FF186" s="291"/>
      <c r="FG186" s="291"/>
      <c r="FH186" s="291"/>
      <c r="FI186" s="291"/>
      <c r="FJ186" s="291"/>
      <c r="FK186" s="291"/>
      <c r="FL186" s="291"/>
      <c r="FM186" s="291"/>
      <c r="FN186" s="291"/>
      <c r="FO186" s="291"/>
      <c r="FP186" s="291"/>
      <c r="FQ186" s="291"/>
      <c r="FR186" s="291"/>
      <c r="FS186" s="291"/>
      <c r="FT186" s="291"/>
      <c r="FU186" s="291"/>
      <c r="FV186" s="291"/>
      <c r="FW186" s="291"/>
      <c r="FX186" s="291"/>
      <c r="FY186" s="291"/>
      <c r="FZ186" s="291"/>
      <c r="GA186" s="291"/>
      <c r="GB186" s="291"/>
      <c r="GC186" s="291"/>
      <c r="GD186" s="291"/>
      <c r="GE186" s="291"/>
      <c r="GF186" s="291"/>
      <c r="GG186" s="291"/>
      <c r="GH186" s="291"/>
      <c r="GI186" s="291"/>
      <c r="GJ186" s="291"/>
      <c r="GK186" s="291"/>
      <c r="GL186" s="291"/>
      <c r="GM186" s="291"/>
      <c r="GN186" s="291"/>
      <c r="GO186" s="291"/>
      <c r="GP186" s="291"/>
      <c r="GQ186" s="291"/>
      <c r="GR186" s="291"/>
      <c r="GS186" s="291"/>
      <c r="GT186" s="291"/>
      <c r="GU186" s="291"/>
      <c r="GV186" s="291"/>
      <c r="GW186" s="291"/>
      <c r="GX186" s="291"/>
      <c r="GY186" s="291"/>
      <c r="GZ186" s="291"/>
      <c r="HA186" s="291"/>
      <c r="HB186" s="291"/>
      <c r="HC186" s="291"/>
      <c r="HD186" s="291"/>
      <c r="HE186" s="291"/>
      <c r="HF186" s="291"/>
      <c r="HG186" s="291"/>
      <c r="HH186" s="291"/>
      <c r="HI186" s="291"/>
      <c r="HJ186" s="291"/>
      <c r="HK186" s="291"/>
      <c r="HL186" s="291"/>
      <c r="HM186" s="291"/>
      <c r="HN186" s="291"/>
      <c r="HO186" s="291"/>
      <c r="HP186" s="291"/>
      <c r="HQ186" s="291"/>
      <c r="HR186" s="291"/>
      <c r="HS186" s="291"/>
      <c r="HT186" s="291"/>
      <c r="HU186" s="291"/>
      <c r="HV186" s="291"/>
      <c r="HW186" s="291"/>
      <c r="HX186" s="291"/>
      <c r="HY186" s="291"/>
      <c r="HZ186" s="291"/>
      <c r="IA186" s="291"/>
      <c r="IB186" s="291"/>
      <c r="IC186" s="291"/>
      <c r="ID186" s="291"/>
      <c r="IE186" s="291"/>
      <c r="IF186" s="291"/>
      <c r="IG186" s="291"/>
      <c r="IH186" s="291"/>
      <c r="II186" s="291"/>
      <c r="IJ186" s="291"/>
      <c r="IK186" s="291"/>
      <c r="IL186" s="291"/>
      <c r="IM186" s="291"/>
      <c r="IN186" s="291"/>
      <c r="IO186" s="291"/>
      <c r="IP186" s="291"/>
      <c r="IQ186" s="291"/>
      <c r="IR186" s="291"/>
      <c r="IS186" s="291"/>
      <c r="IT186" s="291"/>
      <c r="IU186" s="291"/>
      <c r="IV186" s="291"/>
      <c r="IW186" s="291"/>
      <c r="IX186" s="291"/>
      <c r="IY186" s="291"/>
      <c r="IZ186" s="291"/>
      <c r="JA186" s="291"/>
      <c r="JB186" s="291"/>
      <c r="JC186" s="291"/>
      <c r="JD186" s="291"/>
      <c r="JE186" s="291"/>
      <c r="JF186" s="291"/>
      <c r="JG186" s="291"/>
      <c r="JH186" s="291"/>
      <c r="JI186" s="291"/>
      <c r="JJ186" s="291"/>
      <c r="JK186" s="291"/>
      <c r="JL186" s="291"/>
      <c r="JM186" s="291"/>
      <c r="JN186" s="291"/>
      <c r="JO186" s="291"/>
      <c r="JP186" s="291"/>
      <c r="JQ186" s="291"/>
      <c r="JR186" s="291"/>
      <c r="JS186" s="291"/>
      <c r="JT186" s="291"/>
      <c r="JU186" s="291"/>
      <c r="JV186" s="291"/>
      <c r="JW186" s="291"/>
      <c r="JX186" s="291"/>
      <c r="JY186" s="291"/>
      <c r="JZ186" s="291"/>
      <c r="KA186" s="291"/>
      <c r="KB186" s="291"/>
      <c r="KC186" s="291"/>
      <c r="KD186" s="291"/>
      <c r="KE186" s="291"/>
      <c r="KF186" s="291"/>
      <c r="KG186" s="291"/>
      <c r="KH186" s="291"/>
      <c r="KI186" s="291"/>
      <c r="KJ186" s="291"/>
      <c r="KK186" s="291"/>
      <c r="KL186" s="291"/>
      <c r="KM186" s="291"/>
      <c r="KN186" s="291"/>
      <c r="KO186" s="291"/>
      <c r="KP186" s="291"/>
      <c r="KQ186" s="291"/>
      <c r="KR186" s="291"/>
      <c r="KS186" s="291"/>
      <c r="KT186" s="291"/>
      <c r="KU186" s="291"/>
      <c r="KV186" s="291"/>
      <c r="KW186" s="291"/>
      <c r="KX186" s="291"/>
      <c r="KY186" s="291"/>
      <c r="KZ186" s="291"/>
      <c r="LA186" s="291"/>
      <c r="LB186" s="291"/>
      <c r="LC186" s="291"/>
      <c r="LD186" s="291"/>
      <c r="LE186" s="291"/>
      <c r="LF186" s="291"/>
      <c r="LG186" s="291"/>
      <c r="LH186" s="291"/>
      <c r="LI186" s="291"/>
      <c r="LJ186" s="291"/>
      <c r="LK186" s="291"/>
      <c r="LL186" s="291"/>
      <c r="LM186" s="291"/>
      <c r="LN186" s="291"/>
      <c r="LO186" s="291"/>
      <c r="LP186" s="291"/>
      <c r="LQ186" s="291"/>
      <c r="LR186" s="291"/>
      <c r="LS186" s="291"/>
      <c r="LT186" s="291"/>
      <c r="LU186" s="291"/>
      <c r="LV186" s="291"/>
      <c r="LW186" s="291"/>
      <c r="LX186" s="291"/>
      <c r="LY186" s="291"/>
      <c r="LZ186" s="291"/>
      <c r="MA186" s="291"/>
      <c r="MB186" s="291"/>
      <c r="MC186" s="291"/>
      <c r="MD186" s="291"/>
      <c r="ME186" s="291"/>
      <c r="MF186" s="291"/>
      <c r="MG186" s="291"/>
      <c r="MH186" s="291"/>
      <c r="MI186" s="291"/>
      <c r="MJ186" s="291"/>
      <c r="MK186" s="291"/>
      <c r="ML186" s="291"/>
      <c r="MM186" s="291"/>
      <c r="MN186" s="291"/>
      <c r="MO186" s="291"/>
      <c r="MP186" s="291"/>
      <c r="MQ186" s="291"/>
      <c r="MR186" s="291"/>
      <c r="MS186" s="291"/>
      <c r="MT186" s="291"/>
      <c r="MU186" s="291"/>
      <c r="MV186" s="291"/>
      <c r="MW186" s="291"/>
      <c r="MX186" s="291"/>
      <c r="MY186" s="291"/>
      <c r="MZ186" s="291"/>
      <c r="NA186" s="291"/>
      <c r="NB186" s="291"/>
      <c r="NC186" s="291"/>
      <c r="ND186" s="291"/>
      <c r="NE186" s="291"/>
      <c r="NF186" s="291"/>
      <c r="NG186" s="291"/>
      <c r="NH186" s="291"/>
      <c r="NI186" s="291"/>
      <c r="NJ186" s="291"/>
      <c r="NK186" s="291"/>
      <c r="NL186" s="291"/>
      <c r="NM186" s="291"/>
      <c r="NN186" s="291"/>
      <c r="NO186" s="291"/>
      <c r="NP186" s="291"/>
      <c r="NQ186" s="291"/>
      <c r="NR186" s="291"/>
      <c r="NS186" s="291"/>
      <c r="NT186" s="291"/>
      <c r="NU186" s="291"/>
      <c r="NV186" s="291"/>
      <c r="NW186" s="291"/>
      <c r="NX186" s="291"/>
      <c r="NY186" s="291"/>
      <c r="NZ186" s="291"/>
      <c r="OA186" s="291"/>
      <c r="OB186" s="291"/>
      <c r="OC186" s="291"/>
      <c r="OD186" s="291"/>
      <c r="OE186" s="291"/>
      <c r="OF186" s="291"/>
      <c r="OG186" s="291"/>
      <c r="OH186" s="291"/>
      <c r="OI186" s="291"/>
      <c r="OJ186" s="291"/>
      <c r="OK186" s="291"/>
      <c r="OL186" s="291"/>
      <c r="OM186" s="291"/>
      <c r="ON186" s="291"/>
      <c r="OO186" s="291"/>
      <c r="OP186" s="291"/>
      <c r="OQ186" s="291"/>
      <c r="OR186" s="291"/>
      <c r="OS186" s="291"/>
      <c r="OT186" s="291"/>
      <c r="OU186" s="291"/>
      <c r="OV186" s="291"/>
      <c r="OW186" s="291"/>
    </row>
    <row r="187" spans="1:413" s="257" customFormat="1" ht="22.5" hidden="1" x14ac:dyDescent="0.2">
      <c r="A187" s="291"/>
      <c r="B187" s="524">
        <f t="shared" si="11"/>
        <v>171</v>
      </c>
      <c r="C187" s="510" t="s">
        <v>38</v>
      </c>
      <c r="D187" s="511">
        <v>30471635</v>
      </c>
      <c r="E187" s="511"/>
      <c r="F187" s="512" t="s">
        <v>1337</v>
      </c>
      <c r="G187" s="513" t="s">
        <v>1250</v>
      </c>
      <c r="H187" s="514" t="s">
        <v>1094</v>
      </c>
      <c r="I187" s="515" t="s">
        <v>1118</v>
      </c>
      <c r="J187" s="346" t="s">
        <v>43</v>
      </c>
      <c r="K187" s="526">
        <v>87495</v>
      </c>
      <c r="L187" s="527">
        <v>0</v>
      </c>
      <c r="M187" s="528">
        <v>1926</v>
      </c>
      <c r="N187" s="519">
        <v>0</v>
      </c>
      <c r="O187" s="519">
        <v>0</v>
      </c>
      <c r="P187" s="519">
        <v>0</v>
      </c>
      <c r="Q187" s="519">
        <v>0</v>
      </c>
      <c r="R187" s="519">
        <v>0</v>
      </c>
      <c r="S187" s="520">
        <v>0</v>
      </c>
      <c r="T187" s="18"/>
      <c r="U187" s="18"/>
      <c r="V187" s="18"/>
      <c r="W187" s="18"/>
      <c r="X187" s="18"/>
      <c r="Y187" s="18"/>
      <c r="Z187" s="18">
        <f t="shared" si="8"/>
        <v>0</v>
      </c>
      <c r="AA187" s="309">
        <v>42785</v>
      </c>
      <c r="AB187" s="19">
        <v>5</v>
      </c>
      <c r="AC187" s="521">
        <v>44224</v>
      </c>
      <c r="AD187" s="25">
        <v>44251</v>
      </c>
      <c r="AE187" s="309">
        <v>-22985</v>
      </c>
      <c r="AF187" s="314">
        <v>50</v>
      </c>
      <c r="AG187" s="315">
        <v>44356</v>
      </c>
      <c r="AH187" s="315">
        <v>44377</v>
      </c>
      <c r="AI187" s="309"/>
      <c r="AJ187" s="338"/>
      <c r="AK187" s="315"/>
      <c r="AL187" s="316"/>
      <c r="AM187" s="309"/>
      <c r="AN187" s="338"/>
      <c r="AO187" s="21"/>
      <c r="AP187" s="25"/>
      <c r="AQ187" s="309"/>
      <c r="AR187" s="19"/>
      <c r="AS187" s="21"/>
      <c r="AT187" s="25"/>
      <c r="AU187" s="522">
        <f t="shared" si="9"/>
        <v>19800</v>
      </c>
      <c r="AV187" s="311">
        <f t="shared" si="10"/>
        <v>19800</v>
      </c>
      <c r="AW187" s="305"/>
      <c r="AX187" s="291"/>
      <c r="AY187" s="291"/>
      <c r="AZ187" s="291"/>
      <c r="BA187" s="291"/>
      <c r="BB187" s="291"/>
      <c r="BC187" s="291"/>
      <c r="BD187" s="291"/>
      <c r="BE187" s="291"/>
      <c r="BF187" s="291"/>
      <c r="BG187" s="291"/>
      <c r="BH187" s="291"/>
      <c r="BI187" s="291"/>
      <c r="BJ187" s="291"/>
      <c r="BK187" s="291"/>
      <c r="BL187" s="291"/>
      <c r="BM187" s="291"/>
      <c r="BN187" s="291"/>
      <c r="BO187" s="291"/>
      <c r="BP187" s="291"/>
      <c r="BQ187" s="291"/>
      <c r="BR187" s="291"/>
      <c r="BS187" s="291"/>
      <c r="BT187" s="291"/>
      <c r="BU187" s="291"/>
      <c r="BV187" s="291"/>
      <c r="BW187" s="291"/>
      <c r="BX187" s="291"/>
      <c r="BY187" s="291"/>
      <c r="BZ187" s="291"/>
      <c r="CA187" s="291"/>
      <c r="CB187" s="291"/>
      <c r="CC187" s="291"/>
      <c r="CD187" s="291"/>
      <c r="CE187" s="291"/>
      <c r="CF187" s="291"/>
      <c r="CG187" s="291"/>
      <c r="CH187" s="291"/>
      <c r="CI187" s="291"/>
      <c r="CJ187" s="291"/>
      <c r="CK187" s="291"/>
      <c r="CL187" s="291"/>
      <c r="CM187" s="291"/>
      <c r="CN187" s="291"/>
      <c r="CO187" s="291"/>
      <c r="CP187" s="291"/>
      <c r="CQ187" s="291"/>
      <c r="CR187" s="291"/>
      <c r="CS187" s="291"/>
      <c r="CT187" s="291"/>
      <c r="CU187" s="291"/>
      <c r="CV187" s="291"/>
      <c r="CW187" s="291"/>
      <c r="CX187" s="291"/>
      <c r="CY187" s="291"/>
      <c r="CZ187" s="291"/>
      <c r="DA187" s="291"/>
      <c r="DB187" s="291"/>
      <c r="DC187" s="291"/>
      <c r="DD187" s="291"/>
      <c r="DE187" s="291"/>
      <c r="DF187" s="291"/>
      <c r="DG187" s="291"/>
      <c r="DH187" s="291"/>
      <c r="DI187" s="291"/>
      <c r="DJ187" s="291"/>
      <c r="DK187" s="291"/>
      <c r="DL187" s="291"/>
      <c r="DM187" s="291"/>
      <c r="DN187" s="291"/>
      <c r="DO187" s="291"/>
      <c r="DP187" s="291"/>
      <c r="DQ187" s="291"/>
      <c r="DR187" s="291"/>
      <c r="DS187" s="291"/>
      <c r="DT187" s="291"/>
      <c r="DU187" s="291"/>
      <c r="DV187" s="291"/>
      <c r="DW187" s="291"/>
      <c r="DX187" s="291"/>
      <c r="DY187" s="291"/>
      <c r="DZ187" s="291"/>
      <c r="EA187" s="291"/>
      <c r="EB187" s="291"/>
      <c r="EC187" s="291"/>
      <c r="ED187" s="291"/>
      <c r="EE187" s="291"/>
      <c r="EF187" s="291"/>
      <c r="EG187" s="291"/>
      <c r="EH187" s="291"/>
      <c r="EI187" s="291"/>
      <c r="EJ187" s="291"/>
      <c r="EK187" s="291"/>
      <c r="EL187" s="291"/>
      <c r="EM187" s="291"/>
      <c r="EN187" s="291"/>
      <c r="EO187" s="291"/>
      <c r="EP187" s="291"/>
      <c r="EQ187" s="291"/>
      <c r="ER187" s="291"/>
      <c r="ES187" s="291"/>
      <c r="ET187" s="291"/>
      <c r="EU187" s="291"/>
      <c r="EV187" s="291"/>
      <c r="EW187" s="291"/>
      <c r="EX187" s="291"/>
      <c r="EY187" s="291"/>
      <c r="EZ187" s="291"/>
      <c r="FA187" s="291"/>
      <c r="FB187" s="291"/>
      <c r="FC187" s="291"/>
      <c r="FD187" s="291"/>
      <c r="FE187" s="291"/>
      <c r="FF187" s="291"/>
      <c r="FG187" s="291"/>
      <c r="FH187" s="291"/>
      <c r="FI187" s="291"/>
      <c r="FJ187" s="291"/>
      <c r="FK187" s="291"/>
      <c r="FL187" s="291"/>
      <c r="FM187" s="291"/>
      <c r="FN187" s="291"/>
      <c r="FO187" s="291"/>
      <c r="FP187" s="291"/>
      <c r="FQ187" s="291"/>
      <c r="FR187" s="291"/>
      <c r="FS187" s="291"/>
      <c r="FT187" s="291"/>
      <c r="FU187" s="291"/>
      <c r="FV187" s="291"/>
      <c r="FW187" s="291"/>
      <c r="FX187" s="291"/>
      <c r="FY187" s="291"/>
      <c r="FZ187" s="291"/>
      <c r="GA187" s="291"/>
      <c r="GB187" s="291"/>
      <c r="GC187" s="291"/>
      <c r="GD187" s="291"/>
      <c r="GE187" s="291"/>
      <c r="GF187" s="291"/>
      <c r="GG187" s="291"/>
      <c r="GH187" s="291"/>
      <c r="GI187" s="291"/>
      <c r="GJ187" s="291"/>
      <c r="GK187" s="291"/>
      <c r="GL187" s="291"/>
      <c r="GM187" s="291"/>
      <c r="GN187" s="291"/>
      <c r="GO187" s="291"/>
      <c r="GP187" s="291"/>
      <c r="GQ187" s="291"/>
      <c r="GR187" s="291"/>
      <c r="GS187" s="291"/>
      <c r="GT187" s="291"/>
      <c r="GU187" s="291"/>
      <c r="GV187" s="291"/>
      <c r="GW187" s="291"/>
      <c r="GX187" s="291"/>
      <c r="GY187" s="291"/>
      <c r="GZ187" s="291"/>
      <c r="HA187" s="291"/>
      <c r="HB187" s="291"/>
      <c r="HC187" s="291"/>
      <c r="HD187" s="291"/>
      <c r="HE187" s="291"/>
      <c r="HF187" s="291"/>
      <c r="HG187" s="291"/>
      <c r="HH187" s="291"/>
      <c r="HI187" s="291"/>
      <c r="HJ187" s="291"/>
      <c r="HK187" s="291"/>
      <c r="HL187" s="291"/>
      <c r="HM187" s="291"/>
      <c r="HN187" s="291"/>
      <c r="HO187" s="291"/>
      <c r="HP187" s="291"/>
      <c r="HQ187" s="291"/>
      <c r="HR187" s="291"/>
      <c r="HS187" s="291"/>
      <c r="HT187" s="291"/>
      <c r="HU187" s="291"/>
      <c r="HV187" s="291"/>
      <c r="HW187" s="291"/>
      <c r="HX187" s="291"/>
      <c r="HY187" s="291"/>
      <c r="HZ187" s="291"/>
      <c r="IA187" s="291"/>
      <c r="IB187" s="291"/>
      <c r="IC187" s="291"/>
      <c r="ID187" s="291"/>
      <c r="IE187" s="291"/>
      <c r="IF187" s="291"/>
      <c r="IG187" s="291"/>
      <c r="IH187" s="291"/>
      <c r="II187" s="291"/>
      <c r="IJ187" s="291"/>
      <c r="IK187" s="291"/>
      <c r="IL187" s="291"/>
      <c r="IM187" s="291"/>
      <c r="IN187" s="291"/>
      <c r="IO187" s="291"/>
      <c r="IP187" s="291"/>
      <c r="IQ187" s="291"/>
      <c r="IR187" s="291"/>
      <c r="IS187" s="291"/>
      <c r="IT187" s="291"/>
      <c r="IU187" s="291"/>
      <c r="IV187" s="291"/>
      <c r="IW187" s="291"/>
      <c r="IX187" s="291"/>
      <c r="IY187" s="291"/>
      <c r="IZ187" s="291"/>
      <c r="JA187" s="291"/>
      <c r="JB187" s="291"/>
      <c r="JC187" s="291"/>
      <c r="JD187" s="291"/>
      <c r="JE187" s="291"/>
      <c r="JF187" s="291"/>
      <c r="JG187" s="291"/>
      <c r="JH187" s="291"/>
      <c r="JI187" s="291"/>
      <c r="JJ187" s="291"/>
      <c r="JK187" s="291"/>
      <c r="JL187" s="291"/>
      <c r="JM187" s="291"/>
      <c r="JN187" s="291"/>
      <c r="JO187" s="291"/>
      <c r="JP187" s="291"/>
      <c r="JQ187" s="291"/>
      <c r="JR187" s="291"/>
      <c r="JS187" s="291"/>
      <c r="JT187" s="291"/>
      <c r="JU187" s="291"/>
      <c r="JV187" s="291"/>
      <c r="JW187" s="291"/>
      <c r="JX187" s="291"/>
      <c r="JY187" s="291"/>
      <c r="JZ187" s="291"/>
      <c r="KA187" s="291"/>
      <c r="KB187" s="291"/>
      <c r="KC187" s="291"/>
      <c r="KD187" s="291"/>
      <c r="KE187" s="291"/>
      <c r="KF187" s="291"/>
      <c r="KG187" s="291"/>
      <c r="KH187" s="291"/>
      <c r="KI187" s="291"/>
      <c r="KJ187" s="291"/>
      <c r="KK187" s="291"/>
      <c r="KL187" s="291"/>
      <c r="KM187" s="291"/>
      <c r="KN187" s="291"/>
      <c r="KO187" s="291"/>
      <c r="KP187" s="291"/>
      <c r="KQ187" s="291"/>
      <c r="KR187" s="291"/>
      <c r="KS187" s="291"/>
      <c r="KT187" s="291"/>
      <c r="KU187" s="291"/>
      <c r="KV187" s="291"/>
      <c r="KW187" s="291"/>
      <c r="KX187" s="291"/>
      <c r="KY187" s="291"/>
      <c r="KZ187" s="291"/>
      <c r="LA187" s="291"/>
      <c r="LB187" s="291"/>
      <c r="LC187" s="291"/>
      <c r="LD187" s="291"/>
      <c r="LE187" s="291"/>
      <c r="LF187" s="291"/>
      <c r="LG187" s="291"/>
      <c r="LH187" s="291"/>
      <c r="LI187" s="291"/>
      <c r="LJ187" s="291"/>
      <c r="LK187" s="291"/>
      <c r="LL187" s="291"/>
      <c r="LM187" s="291"/>
      <c r="LN187" s="291"/>
      <c r="LO187" s="291"/>
      <c r="LP187" s="291"/>
      <c r="LQ187" s="291"/>
      <c r="LR187" s="291"/>
      <c r="LS187" s="291"/>
      <c r="LT187" s="291"/>
      <c r="LU187" s="291"/>
      <c r="LV187" s="291"/>
      <c r="LW187" s="291"/>
      <c r="LX187" s="291"/>
      <c r="LY187" s="291"/>
      <c r="LZ187" s="291"/>
      <c r="MA187" s="291"/>
      <c r="MB187" s="291"/>
      <c r="MC187" s="291"/>
      <c r="MD187" s="291"/>
      <c r="ME187" s="291"/>
      <c r="MF187" s="291"/>
      <c r="MG187" s="291"/>
      <c r="MH187" s="291"/>
      <c r="MI187" s="291"/>
      <c r="MJ187" s="291"/>
      <c r="MK187" s="291"/>
      <c r="ML187" s="291"/>
      <c r="MM187" s="291"/>
      <c r="MN187" s="291"/>
      <c r="MO187" s="291"/>
      <c r="MP187" s="291"/>
      <c r="MQ187" s="291"/>
      <c r="MR187" s="291"/>
      <c r="MS187" s="291"/>
      <c r="MT187" s="291"/>
      <c r="MU187" s="291"/>
      <c r="MV187" s="291"/>
      <c r="MW187" s="291"/>
      <c r="MX187" s="291"/>
      <c r="MY187" s="291"/>
      <c r="MZ187" s="291"/>
      <c r="NA187" s="291"/>
      <c r="NB187" s="291"/>
      <c r="NC187" s="291"/>
      <c r="ND187" s="291"/>
      <c r="NE187" s="291"/>
      <c r="NF187" s="291"/>
      <c r="NG187" s="291"/>
      <c r="NH187" s="291"/>
      <c r="NI187" s="291"/>
      <c r="NJ187" s="291"/>
      <c r="NK187" s="291"/>
      <c r="NL187" s="291"/>
      <c r="NM187" s="291"/>
      <c r="NN187" s="291"/>
      <c r="NO187" s="291"/>
      <c r="NP187" s="291"/>
      <c r="NQ187" s="291"/>
      <c r="NR187" s="291"/>
      <c r="NS187" s="291"/>
      <c r="NT187" s="291"/>
      <c r="NU187" s="291"/>
      <c r="NV187" s="291"/>
      <c r="NW187" s="291"/>
      <c r="NX187" s="291"/>
      <c r="NY187" s="291"/>
      <c r="NZ187" s="291"/>
      <c r="OA187" s="291"/>
      <c r="OB187" s="291"/>
      <c r="OC187" s="291"/>
      <c r="OD187" s="291"/>
      <c r="OE187" s="291"/>
      <c r="OF187" s="291"/>
      <c r="OG187" s="291"/>
      <c r="OH187" s="291"/>
      <c r="OI187" s="291"/>
      <c r="OJ187" s="291"/>
      <c r="OK187" s="291"/>
      <c r="OL187" s="291"/>
      <c r="OM187" s="291"/>
      <c r="ON187" s="291"/>
      <c r="OO187" s="291"/>
      <c r="OP187" s="291"/>
      <c r="OQ187" s="291"/>
      <c r="OR187" s="291"/>
      <c r="OS187" s="291"/>
      <c r="OT187" s="291"/>
      <c r="OU187" s="291"/>
      <c r="OV187" s="291"/>
      <c r="OW187" s="291"/>
    </row>
    <row r="188" spans="1:413" s="257" customFormat="1" hidden="1" x14ac:dyDescent="0.2">
      <c r="A188" s="291"/>
      <c r="B188" s="524">
        <f t="shared" si="11"/>
        <v>172</v>
      </c>
      <c r="C188" s="510" t="s">
        <v>38</v>
      </c>
      <c r="D188" s="511">
        <v>30475049</v>
      </c>
      <c r="E188" s="511"/>
      <c r="F188" s="512" t="s">
        <v>1338</v>
      </c>
      <c r="G188" s="513" t="s">
        <v>46</v>
      </c>
      <c r="H188" s="514" t="s">
        <v>1094</v>
      </c>
      <c r="I188" s="515" t="s">
        <v>1142</v>
      </c>
      <c r="J188" s="346" t="s">
        <v>42</v>
      </c>
      <c r="K188" s="526">
        <v>180780</v>
      </c>
      <c r="L188" s="527">
        <v>31405</v>
      </c>
      <c r="M188" s="528">
        <v>0</v>
      </c>
      <c r="N188" s="520">
        <v>0</v>
      </c>
      <c r="O188" s="520">
        <v>24825</v>
      </c>
      <c r="P188" s="520">
        <v>3000</v>
      </c>
      <c r="Q188" s="520">
        <v>1500</v>
      </c>
      <c r="R188" s="520">
        <v>31301</v>
      </c>
      <c r="S188" s="520">
        <v>1500</v>
      </c>
      <c r="T188" s="18"/>
      <c r="U188" s="18"/>
      <c r="V188" s="18"/>
      <c r="W188" s="18"/>
      <c r="X188" s="18"/>
      <c r="Y188" s="18"/>
      <c r="Z188" s="18">
        <f t="shared" si="8"/>
        <v>62126</v>
      </c>
      <c r="AA188" s="309">
        <v>149375</v>
      </c>
      <c r="AB188" s="19">
        <v>11</v>
      </c>
      <c r="AC188" s="521">
        <v>44237</v>
      </c>
      <c r="AD188" s="25">
        <v>44251</v>
      </c>
      <c r="AE188" s="309"/>
      <c r="AF188" s="314"/>
      <c r="AG188" s="315"/>
      <c r="AH188" s="316"/>
      <c r="AI188" s="309"/>
      <c r="AJ188" s="338"/>
      <c r="AK188" s="315"/>
      <c r="AL188" s="316"/>
      <c r="AM188" s="309"/>
      <c r="AN188" s="338"/>
      <c r="AO188" s="21"/>
      <c r="AP188" s="25"/>
      <c r="AQ188" s="309"/>
      <c r="AR188" s="19"/>
      <c r="AS188" s="21"/>
      <c r="AT188" s="25"/>
      <c r="AU188" s="522">
        <f t="shared" si="9"/>
        <v>149375</v>
      </c>
      <c r="AV188" s="311">
        <f t="shared" si="10"/>
        <v>87249</v>
      </c>
      <c r="AW188" s="305"/>
      <c r="AX188" s="291"/>
      <c r="AY188" s="291"/>
      <c r="AZ188" s="291"/>
      <c r="BA188" s="291"/>
      <c r="BB188" s="291"/>
      <c r="BC188" s="291"/>
      <c r="BD188" s="291"/>
      <c r="BE188" s="291"/>
      <c r="BF188" s="291"/>
      <c r="BG188" s="291"/>
      <c r="BH188" s="291"/>
      <c r="BI188" s="291"/>
      <c r="BJ188" s="291"/>
      <c r="BK188" s="291"/>
      <c r="BL188" s="291"/>
      <c r="BM188" s="291"/>
      <c r="BN188" s="291"/>
      <c r="BO188" s="291"/>
      <c r="BP188" s="291"/>
      <c r="BQ188" s="291"/>
      <c r="BR188" s="291"/>
      <c r="BS188" s="291"/>
      <c r="BT188" s="291"/>
      <c r="BU188" s="291"/>
      <c r="BV188" s="291"/>
      <c r="BW188" s="291"/>
      <c r="BX188" s="291"/>
      <c r="BY188" s="291"/>
      <c r="BZ188" s="291"/>
      <c r="CA188" s="291"/>
      <c r="CB188" s="291"/>
      <c r="CC188" s="291"/>
      <c r="CD188" s="291"/>
      <c r="CE188" s="291"/>
      <c r="CF188" s="291"/>
      <c r="CG188" s="291"/>
      <c r="CH188" s="291"/>
      <c r="CI188" s="291"/>
      <c r="CJ188" s="291"/>
      <c r="CK188" s="291"/>
      <c r="CL188" s="291"/>
      <c r="CM188" s="291"/>
      <c r="CN188" s="291"/>
      <c r="CO188" s="291"/>
      <c r="CP188" s="291"/>
      <c r="CQ188" s="291"/>
      <c r="CR188" s="291"/>
      <c r="CS188" s="291"/>
      <c r="CT188" s="291"/>
      <c r="CU188" s="291"/>
      <c r="CV188" s="291"/>
      <c r="CW188" s="291"/>
      <c r="CX188" s="291"/>
      <c r="CY188" s="291"/>
      <c r="CZ188" s="291"/>
      <c r="DA188" s="291"/>
      <c r="DB188" s="291"/>
      <c r="DC188" s="291"/>
      <c r="DD188" s="291"/>
      <c r="DE188" s="291"/>
      <c r="DF188" s="291"/>
      <c r="DG188" s="291"/>
      <c r="DH188" s="291"/>
      <c r="DI188" s="291"/>
      <c r="DJ188" s="291"/>
      <c r="DK188" s="291"/>
      <c r="DL188" s="291"/>
      <c r="DM188" s="291"/>
      <c r="DN188" s="291"/>
      <c r="DO188" s="291"/>
      <c r="DP188" s="291"/>
      <c r="DQ188" s="291"/>
      <c r="DR188" s="291"/>
      <c r="DS188" s="291"/>
      <c r="DT188" s="291"/>
      <c r="DU188" s="291"/>
      <c r="DV188" s="291"/>
      <c r="DW188" s="291"/>
      <c r="DX188" s="291"/>
      <c r="DY188" s="291"/>
      <c r="DZ188" s="291"/>
      <c r="EA188" s="291"/>
      <c r="EB188" s="291"/>
      <c r="EC188" s="291"/>
      <c r="ED188" s="291"/>
      <c r="EE188" s="291"/>
      <c r="EF188" s="291"/>
      <c r="EG188" s="291"/>
      <c r="EH188" s="291"/>
      <c r="EI188" s="291"/>
      <c r="EJ188" s="291"/>
      <c r="EK188" s="291"/>
      <c r="EL188" s="291"/>
      <c r="EM188" s="291"/>
      <c r="EN188" s="291"/>
      <c r="EO188" s="291"/>
      <c r="EP188" s="291"/>
      <c r="EQ188" s="291"/>
      <c r="ER188" s="291"/>
      <c r="ES188" s="291"/>
      <c r="ET188" s="291"/>
      <c r="EU188" s="291"/>
      <c r="EV188" s="291"/>
      <c r="EW188" s="291"/>
      <c r="EX188" s="291"/>
      <c r="EY188" s="291"/>
      <c r="EZ188" s="291"/>
      <c r="FA188" s="291"/>
      <c r="FB188" s="291"/>
      <c r="FC188" s="291"/>
      <c r="FD188" s="291"/>
      <c r="FE188" s="291"/>
      <c r="FF188" s="291"/>
      <c r="FG188" s="291"/>
      <c r="FH188" s="291"/>
      <c r="FI188" s="291"/>
      <c r="FJ188" s="291"/>
      <c r="FK188" s="291"/>
      <c r="FL188" s="291"/>
      <c r="FM188" s="291"/>
      <c r="FN188" s="291"/>
      <c r="FO188" s="291"/>
      <c r="FP188" s="291"/>
      <c r="FQ188" s="291"/>
      <c r="FR188" s="291"/>
      <c r="FS188" s="291"/>
      <c r="FT188" s="291"/>
      <c r="FU188" s="291"/>
      <c r="FV188" s="291"/>
      <c r="FW188" s="291"/>
      <c r="FX188" s="291"/>
      <c r="FY188" s="291"/>
      <c r="FZ188" s="291"/>
      <c r="GA188" s="291"/>
      <c r="GB188" s="291"/>
      <c r="GC188" s="291"/>
      <c r="GD188" s="291"/>
      <c r="GE188" s="291"/>
      <c r="GF188" s="291"/>
      <c r="GG188" s="291"/>
      <c r="GH188" s="291"/>
      <c r="GI188" s="291"/>
      <c r="GJ188" s="291"/>
      <c r="GK188" s="291"/>
      <c r="GL188" s="291"/>
      <c r="GM188" s="291"/>
      <c r="GN188" s="291"/>
      <c r="GO188" s="291"/>
      <c r="GP188" s="291"/>
      <c r="GQ188" s="291"/>
      <c r="GR188" s="291"/>
      <c r="GS188" s="291"/>
      <c r="GT188" s="291"/>
      <c r="GU188" s="291"/>
      <c r="GV188" s="291"/>
      <c r="GW188" s="291"/>
      <c r="GX188" s="291"/>
      <c r="GY188" s="291"/>
      <c r="GZ188" s="291"/>
      <c r="HA188" s="291"/>
      <c r="HB188" s="291"/>
      <c r="HC188" s="291"/>
      <c r="HD188" s="291"/>
      <c r="HE188" s="291"/>
      <c r="HF188" s="291"/>
      <c r="HG188" s="291"/>
      <c r="HH188" s="291"/>
      <c r="HI188" s="291"/>
      <c r="HJ188" s="291"/>
      <c r="HK188" s="291"/>
      <c r="HL188" s="291"/>
      <c r="HM188" s="291"/>
      <c r="HN188" s="291"/>
      <c r="HO188" s="291"/>
      <c r="HP188" s="291"/>
      <c r="HQ188" s="291"/>
      <c r="HR188" s="291"/>
      <c r="HS188" s="291"/>
      <c r="HT188" s="291"/>
      <c r="HU188" s="291"/>
      <c r="HV188" s="291"/>
      <c r="HW188" s="291"/>
      <c r="HX188" s="291"/>
      <c r="HY188" s="291"/>
      <c r="HZ188" s="291"/>
      <c r="IA188" s="291"/>
      <c r="IB188" s="291"/>
      <c r="IC188" s="291"/>
      <c r="ID188" s="291"/>
      <c r="IE188" s="291"/>
      <c r="IF188" s="291"/>
      <c r="IG188" s="291"/>
      <c r="IH188" s="291"/>
      <c r="II188" s="291"/>
      <c r="IJ188" s="291"/>
      <c r="IK188" s="291"/>
      <c r="IL188" s="291"/>
      <c r="IM188" s="291"/>
      <c r="IN188" s="291"/>
      <c r="IO188" s="291"/>
      <c r="IP188" s="291"/>
      <c r="IQ188" s="291"/>
      <c r="IR188" s="291"/>
      <c r="IS188" s="291"/>
      <c r="IT188" s="291"/>
      <c r="IU188" s="291"/>
      <c r="IV188" s="291"/>
      <c r="IW188" s="291"/>
      <c r="IX188" s="291"/>
      <c r="IY188" s="291"/>
      <c r="IZ188" s="291"/>
      <c r="JA188" s="291"/>
      <c r="JB188" s="291"/>
      <c r="JC188" s="291"/>
      <c r="JD188" s="291"/>
      <c r="JE188" s="291"/>
      <c r="JF188" s="291"/>
      <c r="JG188" s="291"/>
      <c r="JH188" s="291"/>
      <c r="JI188" s="291"/>
      <c r="JJ188" s="291"/>
      <c r="JK188" s="291"/>
      <c r="JL188" s="291"/>
      <c r="JM188" s="291"/>
      <c r="JN188" s="291"/>
      <c r="JO188" s="291"/>
      <c r="JP188" s="291"/>
      <c r="JQ188" s="291"/>
      <c r="JR188" s="291"/>
      <c r="JS188" s="291"/>
      <c r="JT188" s="291"/>
      <c r="JU188" s="291"/>
      <c r="JV188" s="291"/>
      <c r="JW188" s="291"/>
      <c r="JX188" s="291"/>
      <c r="JY188" s="291"/>
      <c r="JZ188" s="291"/>
      <c r="KA188" s="291"/>
      <c r="KB188" s="291"/>
      <c r="KC188" s="291"/>
      <c r="KD188" s="291"/>
      <c r="KE188" s="291"/>
      <c r="KF188" s="291"/>
      <c r="KG188" s="291"/>
      <c r="KH188" s="291"/>
      <c r="KI188" s="291"/>
      <c r="KJ188" s="291"/>
      <c r="KK188" s="291"/>
      <c r="KL188" s="291"/>
      <c r="KM188" s="291"/>
      <c r="KN188" s="291"/>
      <c r="KO188" s="291"/>
      <c r="KP188" s="291"/>
      <c r="KQ188" s="291"/>
      <c r="KR188" s="291"/>
      <c r="KS188" s="291"/>
      <c r="KT188" s="291"/>
      <c r="KU188" s="291"/>
      <c r="KV188" s="291"/>
      <c r="KW188" s="291"/>
      <c r="KX188" s="291"/>
      <c r="KY188" s="291"/>
      <c r="KZ188" s="291"/>
      <c r="LA188" s="291"/>
      <c r="LB188" s="291"/>
      <c r="LC188" s="291"/>
      <c r="LD188" s="291"/>
      <c r="LE188" s="291"/>
      <c r="LF188" s="291"/>
      <c r="LG188" s="291"/>
      <c r="LH188" s="291"/>
      <c r="LI188" s="291"/>
      <c r="LJ188" s="291"/>
      <c r="LK188" s="291"/>
      <c r="LL188" s="291"/>
      <c r="LM188" s="291"/>
      <c r="LN188" s="291"/>
      <c r="LO188" s="291"/>
      <c r="LP188" s="291"/>
      <c r="LQ188" s="291"/>
      <c r="LR188" s="291"/>
      <c r="LS188" s="291"/>
      <c r="LT188" s="291"/>
      <c r="LU188" s="291"/>
      <c r="LV188" s="291"/>
      <c r="LW188" s="291"/>
      <c r="LX188" s="291"/>
      <c r="LY188" s="291"/>
      <c r="LZ188" s="291"/>
      <c r="MA188" s="291"/>
      <c r="MB188" s="291"/>
      <c r="MC188" s="291"/>
      <c r="MD188" s="291"/>
      <c r="ME188" s="291"/>
      <c r="MF188" s="291"/>
      <c r="MG188" s="291"/>
      <c r="MH188" s="291"/>
      <c r="MI188" s="291"/>
      <c r="MJ188" s="291"/>
      <c r="MK188" s="291"/>
      <c r="ML188" s="291"/>
      <c r="MM188" s="291"/>
      <c r="MN188" s="291"/>
      <c r="MO188" s="291"/>
      <c r="MP188" s="291"/>
      <c r="MQ188" s="291"/>
      <c r="MR188" s="291"/>
      <c r="MS188" s="291"/>
      <c r="MT188" s="291"/>
      <c r="MU188" s="291"/>
      <c r="MV188" s="291"/>
      <c r="MW188" s="291"/>
      <c r="MX188" s="291"/>
      <c r="MY188" s="291"/>
      <c r="MZ188" s="291"/>
      <c r="NA188" s="291"/>
      <c r="NB188" s="291"/>
      <c r="NC188" s="291"/>
      <c r="ND188" s="291"/>
      <c r="NE188" s="291"/>
      <c r="NF188" s="291"/>
      <c r="NG188" s="291"/>
      <c r="NH188" s="291"/>
      <c r="NI188" s="291"/>
      <c r="NJ188" s="291"/>
      <c r="NK188" s="291"/>
      <c r="NL188" s="291"/>
      <c r="NM188" s="291"/>
      <c r="NN188" s="291"/>
      <c r="NO188" s="291"/>
      <c r="NP188" s="291"/>
      <c r="NQ188" s="291"/>
      <c r="NR188" s="291"/>
      <c r="NS188" s="291"/>
      <c r="NT188" s="291"/>
      <c r="NU188" s="291"/>
      <c r="NV188" s="291"/>
      <c r="NW188" s="291"/>
      <c r="NX188" s="291"/>
      <c r="NY188" s="291"/>
      <c r="NZ188" s="291"/>
      <c r="OA188" s="291"/>
      <c r="OB188" s="291"/>
      <c r="OC188" s="291"/>
      <c r="OD188" s="291"/>
      <c r="OE188" s="291"/>
      <c r="OF188" s="291"/>
      <c r="OG188" s="291"/>
      <c r="OH188" s="291"/>
      <c r="OI188" s="291"/>
      <c r="OJ188" s="291"/>
      <c r="OK188" s="291"/>
      <c r="OL188" s="291"/>
      <c r="OM188" s="291"/>
      <c r="ON188" s="291"/>
      <c r="OO188" s="291"/>
      <c r="OP188" s="291"/>
      <c r="OQ188" s="291"/>
      <c r="OR188" s="291"/>
      <c r="OS188" s="291"/>
      <c r="OT188" s="291"/>
      <c r="OU188" s="291"/>
      <c r="OV188" s="291"/>
      <c r="OW188" s="291"/>
    </row>
    <row r="189" spans="1:413" s="257" customFormat="1" ht="22.5" hidden="1" x14ac:dyDescent="0.2">
      <c r="A189" s="291"/>
      <c r="B189" s="524">
        <f t="shared" si="11"/>
        <v>173</v>
      </c>
      <c r="C189" s="510" t="s">
        <v>38</v>
      </c>
      <c r="D189" s="511">
        <v>30480896</v>
      </c>
      <c r="E189" s="511"/>
      <c r="F189" s="512" t="s">
        <v>1339</v>
      </c>
      <c r="G189" s="513" t="s">
        <v>46</v>
      </c>
      <c r="H189" s="514" t="s">
        <v>1094</v>
      </c>
      <c r="I189" s="515" t="s">
        <v>1142</v>
      </c>
      <c r="J189" s="346" t="s">
        <v>43</v>
      </c>
      <c r="K189" s="526">
        <v>225723</v>
      </c>
      <c r="L189" s="527">
        <v>0</v>
      </c>
      <c r="M189" s="528">
        <v>120406</v>
      </c>
      <c r="N189" s="520">
        <v>0</v>
      </c>
      <c r="O189" s="520">
        <v>0</v>
      </c>
      <c r="P189" s="520">
        <v>0</v>
      </c>
      <c r="Q189" s="520">
        <v>0</v>
      </c>
      <c r="R189" s="520">
        <v>0</v>
      </c>
      <c r="S189" s="520">
        <v>0</v>
      </c>
      <c r="T189" s="18"/>
      <c r="U189" s="18"/>
      <c r="V189" s="18"/>
      <c r="W189" s="18"/>
      <c r="X189" s="18"/>
      <c r="Y189" s="18"/>
      <c r="Z189" s="18">
        <f t="shared" si="8"/>
        <v>0</v>
      </c>
      <c r="AA189" s="309">
        <v>102250</v>
      </c>
      <c r="AB189" s="19">
        <v>3</v>
      </c>
      <c r="AC189" s="521">
        <v>44222</v>
      </c>
      <c r="AD189" s="25">
        <v>44225</v>
      </c>
      <c r="AE189" s="309"/>
      <c r="AF189" s="314"/>
      <c r="AG189" s="315"/>
      <c r="AH189" s="316"/>
      <c r="AI189" s="309"/>
      <c r="AJ189" s="338"/>
      <c r="AK189" s="315"/>
      <c r="AL189" s="316"/>
      <c r="AM189" s="309"/>
      <c r="AN189" s="338"/>
      <c r="AO189" s="21"/>
      <c r="AP189" s="25"/>
      <c r="AQ189" s="309"/>
      <c r="AR189" s="19"/>
      <c r="AS189" s="21"/>
      <c r="AT189" s="25"/>
      <c r="AU189" s="522">
        <f t="shared" si="9"/>
        <v>102250</v>
      </c>
      <c r="AV189" s="311">
        <f t="shared" si="10"/>
        <v>102250</v>
      </c>
      <c r="AW189" s="305"/>
      <c r="AX189" s="291"/>
      <c r="AY189" s="291"/>
      <c r="AZ189" s="291"/>
      <c r="BA189" s="291"/>
      <c r="BB189" s="291"/>
      <c r="BC189" s="291"/>
      <c r="BD189" s="291"/>
      <c r="BE189" s="291"/>
      <c r="BF189" s="291"/>
      <c r="BG189" s="291"/>
      <c r="BH189" s="291"/>
      <c r="BI189" s="291"/>
      <c r="BJ189" s="291"/>
      <c r="BK189" s="291"/>
      <c r="BL189" s="291"/>
      <c r="BM189" s="291"/>
      <c r="BN189" s="291"/>
      <c r="BO189" s="291"/>
      <c r="BP189" s="291"/>
      <c r="BQ189" s="291"/>
      <c r="BR189" s="291"/>
      <c r="BS189" s="291"/>
      <c r="BT189" s="291"/>
      <c r="BU189" s="291"/>
      <c r="BV189" s="291"/>
      <c r="BW189" s="291"/>
      <c r="BX189" s="291"/>
      <c r="BY189" s="291"/>
      <c r="BZ189" s="291"/>
      <c r="CA189" s="291"/>
      <c r="CB189" s="291"/>
      <c r="CC189" s="291"/>
      <c r="CD189" s="291"/>
      <c r="CE189" s="291"/>
      <c r="CF189" s="291"/>
      <c r="CG189" s="291"/>
      <c r="CH189" s="291"/>
      <c r="CI189" s="291"/>
      <c r="CJ189" s="291"/>
      <c r="CK189" s="291"/>
      <c r="CL189" s="291"/>
      <c r="CM189" s="291"/>
      <c r="CN189" s="291"/>
      <c r="CO189" s="291"/>
      <c r="CP189" s="291"/>
      <c r="CQ189" s="291"/>
      <c r="CR189" s="291"/>
      <c r="CS189" s="291"/>
      <c r="CT189" s="291"/>
      <c r="CU189" s="291"/>
      <c r="CV189" s="291"/>
      <c r="CW189" s="291"/>
      <c r="CX189" s="291"/>
      <c r="CY189" s="291"/>
      <c r="CZ189" s="291"/>
      <c r="DA189" s="291"/>
      <c r="DB189" s="291"/>
      <c r="DC189" s="291"/>
      <c r="DD189" s="291"/>
      <c r="DE189" s="291"/>
      <c r="DF189" s="291"/>
      <c r="DG189" s="291"/>
      <c r="DH189" s="291"/>
      <c r="DI189" s="291"/>
      <c r="DJ189" s="291"/>
      <c r="DK189" s="291"/>
      <c r="DL189" s="291"/>
      <c r="DM189" s="291"/>
      <c r="DN189" s="291"/>
      <c r="DO189" s="291"/>
      <c r="DP189" s="291"/>
      <c r="DQ189" s="291"/>
      <c r="DR189" s="291"/>
      <c r="DS189" s="291"/>
      <c r="DT189" s="291"/>
      <c r="DU189" s="291"/>
      <c r="DV189" s="291"/>
      <c r="DW189" s="291"/>
      <c r="DX189" s="291"/>
      <c r="DY189" s="291"/>
      <c r="DZ189" s="291"/>
      <c r="EA189" s="291"/>
      <c r="EB189" s="291"/>
      <c r="EC189" s="291"/>
      <c r="ED189" s="291"/>
      <c r="EE189" s="291"/>
      <c r="EF189" s="291"/>
      <c r="EG189" s="291"/>
      <c r="EH189" s="291"/>
      <c r="EI189" s="291"/>
      <c r="EJ189" s="291"/>
      <c r="EK189" s="291"/>
      <c r="EL189" s="291"/>
      <c r="EM189" s="291"/>
      <c r="EN189" s="291"/>
      <c r="EO189" s="291"/>
      <c r="EP189" s="291"/>
      <c r="EQ189" s="291"/>
      <c r="ER189" s="291"/>
      <c r="ES189" s="291"/>
      <c r="ET189" s="291"/>
      <c r="EU189" s="291"/>
      <c r="EV189" s="291"/>
      <c r="EW189" s="291"/>
      <c r="EX189" s="291"/>
      <c r="EY189" s="291"/>
      <c r="EZ189" s="291"/>
      <c r="FA189" s="291"/>
      <c r="FB189" s="291"/>
      <c r="FC189" s="291"/>
      <c r="FD189" s="291"/>
      <c r="FE189" s="291"/>
      <c r="FF189" s="291"/>
      <c r="FG189" s="291"/>
      <c r="FH189" s="291"/>
      <c r="FI189" s="291"/>
      <c r="FJ189" s="291"/>
      <c r="FK189" s="291"/>
      <c r="FL189" s="291"/>
      <c r="FM189" s="291"/>
      <c r="FN189" s="291"/>
      <c r="FO189" s="291"/>
      <c r="FP189" s="291"/>
      <c r="FQ189" s="291"/>
      <c r="FR189" s="291"/>
      <c r="FS189" s="291"/>
      <c r="FT189" s="291"/>
      <c r="FU189" s="291"/>
      <c r="FV189" s="291"/>
      <c r="FW189" s="291"/>
      <c r="FX189" s="291"/>
      <c r="FY189" s="291"/>
      <c r="FZ189" s="291"/>
      <c r="GA189" s="291"/>
      <c r="GB189" s="291"/>
      <c r="GC189" s="291"/>
      <c r="GD189" s="291"/>
      <c r="GE189" s="291"/>
      <c r="GF189" s="291"/>
      <c r="GG189" s="291"/>
      <c r="GH189" s="291"/>
      <c r="GI189" s="291"/>
      <c r="GJ189" s="291"/>
      <c r="GK189" s="291"/>
      <c r="GL189" s="291"/>
      <c r="GM189" s="291"/>
      <c r="GN189" s="291"/>
      <c r="GO189" s="291"/>
      <c r="GP189" s="291"/>
      <c r="GQ189" s="291"/>
      <c r="GR189" s="291"/>
      <c r="GS189" s="291"/>
      <c r="GT189" s="291"/>
      <c r="GU189" s="291"/>
      <c r="GV189" s="291"/>
      <c r="GW189" s="291"/>
      <c r="GX189" s="291"/>
      <c r="GY189" s="291"/>
      <c r="GZ189" s="291"/>
      <c r="HA189" s="291"/>
      <c r="HB189" s="291"/>
      <c r="HC189" s="291"/>
      <c r="HD189" s="291"/>
      <c r="HE189" s="291"/>
      <c r="HF189" s="291"/>
      <c r="HG189" s="291"/>
      <c r="HH189" s="291"/>
      <c r="HI189" s="291"/>
      <c r="HJ189" s="291"/>
      <c r="HK189" s="291"/>
      <c r="HL189" s="291"/>
      <c r="HM189" s="291"/>
      <c r="HN189" s="291"/>
      <c r="HO189" s="291"/>
      <c r="HP189" s="291"/>
      <c r="HQ189" s="291"/>
      <c r="HR189" s="291"/>
      <c r="HS189" s="291"/>
      <c r="HT189" s="291"/>
      <c r="HU189" s="291"/>
      <c r="HV189" s="291"/>
      <c r="HW189" s="291"/>
      <c r="HX189" s="291"/>
      <c r="HY189" s="291"/>
      <c r="HZ189" s="291"/>
      <c r="IA189" s="291"/>
      <c r="IB189" s="291"/>
      <c r="IC189" s="291"/>
      <c r="ID189" s="291"/>
      <c r="IE189" s="291"/>
      <c r="IF189" s="291"/>
      <c r="IG189" s="291"/>
      <c r="IH189" s="291"/>
      <c r="II189" s="291"/>
      <c r="IJ189" s="291"/>
      <c r="IK189" s="291"/>
      <c r="IL189" s="291"/>
      <c r="IM189" s="291"/>
      <c r="IN189" s="291"/>
      <c r="IO189" s="291"/>
      <c r="IP189" s="291"/>
      <c r="IQ189" s="291"/>
      <c r="IR189" s="291"/>
      <c r="IS189" s="291"/>
      <c r="IT189" s="291"/>
      <c r="IU189" s="291"/>
      <c r="IV189" s="291"/>
      <c r="IW189" s="291"/>
      <c r="IX189" s="291"/>
      <c r="IY189" s="291"/>
      <c r="IZ189" s="291"/>
      <c r="JA189" s="291"/>
      <c r="JB189" s="291"/>
      <c r="JC189" s="291"/>
      <c r="JD189" s="291"/>
      <c r="JE189" s="291"/>
      <c r="JF189" s="291"/>
      <c r="JG189" s="291"/>
      <c r="JH189" s="291"/>
      <c r="JI189" s="291"/>
      <c r="JJ189" s="291"/>
      <c r="JK189" s="291"/>
      <c r="JL189" s="291"/>
      <c r="JM189" s="291"/>
      <c r="JN189" s="291"/>
      <c r="JO189" s="291"/>
      <c r="JP189" s="291"/>
      <c r="JQ189" s="291"/>
      <c r="JR189" s="291"/>
      <c r="JS189" s="291"/>
      <c r="JT189" s="291"/>
      <c r="JU189" s="291"/>
      <c r="JV189" s="291"/>
      <c r="JW189" s="291"/>
      <c r="JX189" s="291"/>
      <c r="JY189" s="291"/>
      <c r="JZ189" s="291"/>
      <c r="KA189" s="291"/>
      <c r="KB189" s="291"/>
      <c r="KC189" s="291"/>
      <c r="KD189" s="291"/>
      <c r="KE189" s="291"/>
      <c r="KF189" s="291"/>
      <c r="KG189" s="291"/>
      <c r="KH189" s="291"/>
      <c r="KI189" s="291"/>
      <c r="KJ189" s="291"/>
      <c r="KK189" s="291"/>
      <c r="KL189" s="291"/>
      <c r="KM189" s="291"/>
      <c r="KN189" s="291"/>
      <c r="KO189" s="291"/>
      <c r="KP189" s="291"/>
      <c r="KQ189" s="291"/>
      <c r="KR189" s="291"/>
      <c r="KS189" s="291"/>
      <c r="KT189" s="291"/>
      <c r="KU189" s="291"/>
      <c r="KV189" s="291"/>
      <c r="KW189" s="291"/>
      <c r="KX189" s="291"/>
      <c r="KY189" s="291"/>
      <c r="KZ189" s="291"/>
      <c r="LA189" s="291"/>
      <c r="LB189" s="291"/>
      <c r="LC189" s="291"/>
      <c r="LD189" s="291"/>
      <c r="LE189" s="291"/>
      <c r="LF189" s="291"/>
      <c r="LG189" s="291"/>
      <c r="LH189" s="291"/>
      <c r="LI189" s="291"/>
      <c r="LJ189" s="291"/>
      <c r="LK189" s="291"/>
      <c r="LL189" s="291"/>
      <c r="LM189" s="291"/>
      <c r="LN189" s="291"/>
      <c r="LO189" s="291"/>
      <c r="LP189" s="291"/>
      <c r="LQ189" s="291"/>
      <c r="LR189" s="291"/>
      <c r="LS189" s="291"/>
      <c r="LT189" s="291"/>
      <c r="LU189" s="291"/>
      <c r="LV189" s="291"/>
      <c r="LW189" s="291"/>
      <c r="LX189" s="291"/>
      <c r="LY189" s="291"/>
      <c r="LZ189" s="291"/>
      <c r="MA189" s="291"/>
      <c r="MB189" s="291"/>
      <c r="MC189" s="291"/>
      <c r="MD189" s="291"/>
      <c r="ME189" s="291"/>
      <c r="MF189" s="291"/>
      <c r="MG189" s="291"/>
      <c r="MH189" s="291"/>
      <c r="MI189" s="291"/>
      <c r="MJ189" s="291"/>
      <c r="MK189" s="291"/>
      <c r="ML189" s="291"/>
      <c r="MM189" s="291"/>
      <c r="MN189" s="291"/>
      <c r="MO189" s="291"/>
      <c r="MP189" s="291"/>
      <c r="MQ189" s="291"/>
      <c r="MR189" s="291"/>
      <c r="MS189" s="291"/>
      <c r="MT189" s="291"/>
      <c r="MU189" s="291"/>
      <c r="MV189" s="291"/>
      <c r="MW189" s="291"/>
      <c r="MX189" s="291"/>
      <c r="MY189" s="291"/>
      <c r="MZ189" s="291"/>
      <c r="NA189" s="291"/>
      <c r="NB189" s="291"/>
      <c r="NC189" s="291"/>
      <c r="ND189" s="291"/>
      <c r="NE189" s="291"/>
      <c r="NF189" s="291"/>
      <c r="NG189" s="291"/>
      <c r="NH189" s="291"/>
      <c r="NI189" s="291"/>
      <c r="NJ189" s="291"/>
      <c r="NK189" s="291"/>
      <c r="NL189" s="291"/>
      <c r="NM189" s="291"/>
      <c r="NN189" s="291"/>
      <c r="NO189" s="291"/>
      <c r="NP189" s="291"/>
      <c r="NQ189" s="291"/>
      <c r="NR189" s="291"/>
      <c r="NS189" s="291"/>
      <c r="NT189" s="291"/>
      <c r="NU189" s="291"/>
      <c r="NV189" s="291"/>
      <c r="NW189" s="291"/>
      <c r="NX189" s="291"/>
      <c r="NY189" s="291"/>
      <c r="NZ189" s="291"/>
      <c r="OA189" s="291"/>
      <c r="OB189" s="291"/>
      <c r="OC189" s="291"/>
      <c r="OD189" s="291"/>
      <c r="OE189" s="291"/>
      <c r="OF189" s="291"/>
      <c r="OG189" s="291"/>
      <c r="OH189" s="291"/>
      <c r="OI189" s="291"/>
      <c r="OJ189" s="291"/>
      <c r="OK189" s="291"/>
      <c r="OL189" s="291"/>
      <c r="OM189" s="291"/>
      <c r="ON189" s="291"/>
      <c r="OO189" s="291"/>
      <c r="OP189" s="291"/>
      <c r="OQ189" s="291"/>
      <c r="OR189" s="291"/>
      <c r="OS189" s="291"/>
      <c r="OT189" s="291"/>
      <c r="OU189" s="291"/>
      <c r="OV189" s="291"/>
      <c r="OW189" s="291"/>
    </row>
    <row r="190" spans="1:413" s="276" customFormat="1" hidden="1" x14ac:dyDescent="0.2">
      <c r="A190" s="291"/>
      <c r="B190" s="530">
        <f t="shared" si="11"/>
        <v>174</v>
      </c>
      <c r="C190" s="510" t="s">
        <v>38</v>
      </c>
      <c r="D190" s="511">
        <v>30482103</v>
      </c>
      <c r="E190" s="511"/>
      <c r="F190" s="512" t="s">
        <v>1340</v>
      </c>
      <c r="G190" s="513" t="s">
        <v>46</v>
      </c>
      <c r="H190" s="514" t="s">
        <v>1094</v>
      </c>
      <c r="I190" s="515" t="s">
        <v>1171</v>
      </c>
      <c r="J190" s="346" t="s">
        <v>43</v>
      </c>
      <c r="K190" s="526">
        <v>247594</v>
      </c>
      <c r="L190" s="527">
        <v>0</v>
      </c>
      <c r="M190" s="528">
        <v>28169</v>
      </c>
      <c r="N190" s="519">
        <v>0</v>
      </c>
      <c r="O190" s="519">
        <v>0</v>
      </c>
      <c r="P190" s="519">
        <v>0</v>
      </c>
      <c r="Q190" s="519">
        <v>0</v>
      </c>
      <c r="R190" s="519">
        <v>4000</v>
      </c>
      <c r="S190" s="520">
        <v>0</v>
      </c>
      <c r="T190" s="57"/>
      <c r="U190" s="57"/>
      <c r="V190" s="57"/>
      <c r="W190" s="57"/>
      <c r="X190" s="57"/>
      <c r="Y190" s="57"/>
      <c r="Z190" s="57">
        <f t="shared" si="8"/>
        <v>4000</v>
      </c>
      <c r="AA190" s="309">
        <v>104000</v>
      </c>
      <c r="AB190" s="338">
        <v>15</v>
      </c>
      <c r="AC190" s="531">
        <v>44259</v>
      </c>
      <c r="AD190" s="316">
        <v>44274</v>
      </c>
      <c r="AE190" s="309">
        <v>701</v>
      </c>
      <c r="AF190" s="314">
        <v>50</v>
      </c>
      <c r="AG190" s="315">
        <v>44356</v>
      </c>
      <c r="AH190" s="315">
        <v>44377</v>
      </c>
      <c r="AI190" s="309"/>
      <c r="AJ190" s="338"/>
      <c r="AK190" s="315"/>
      <c r="AL190" s="316"/>
      <c r="AM190" s="309"/>
      <c r="AN190" s="338"/>
      <c r="AO190" s="362"/>
      <c r="AP190" s="316"/>
      <c r="AQ190" s="309"/>
      <c r="AR190" s="338"/>
      <c r="AS190" s="362"/>
      <c r="AT190" s="316"/>
      <c r="AU190" s="522">
        <f t="shared" si="9"/>
        <v>104701</v>
      </c>
      <c r="AV190" s="311">
        <f t="shared" si="10"/>
        <v>100701</v>
      </c>
      <c r="AW190" s="305"/>
      <c r="AX190" s="291"/>
      <c r="AY190" s="291"/>
      <c r="AZ190" s="291"/>
      <c r="BA190" s="291"/>
      <c r="BB190" s="291"/>
      <c r="BC190" s="291"/>
      <c r="BD190" s="291"/>
      <c r="BE190" s="291"/>
      <c r="BF190" s="291"/>
      <c r="BG190" s="291"/>
      <c r="BH190" s="291"/>
      <c r="BI190" s="291"/>
      <c r="BJ190" s="291"/>
      <c r="BK190" s="291"/>
      <c r="BL190" s="291"/>
      <c r="BM190" s="291"/>
      <c r="BN190" s="291"/>
      <c r="BO190" s="291"/>
      <c r="BP190" s="291"/>
      <c r="BQ190" s="291"/>
      <c r="BR190" s="291"/>
      <c r="BS190" s="291"/>
      <c r="BT190" s="291"/>
      <c r="BU190" s="291"/>
      <c r="BV190" s="291"/>
      <c r="BW190" s="291"/>
      <c r="BX190" s="291"/>
      <c r="BY190" s="291"/>
      <c r="BZ190" s="291"/>
      <c r="CA190" s="291"/>
      <c r="CB190" s="291"/>
      <c r="CC190" s="291"/>
      <c r="CD190" s="291"/>
      <c r="CE190" s="291"/>
      <c r="CF190" s="291"/>
      <c r="CG190" s="291"/>
      <c r="CH190" s="291"/>
      <c r="CI190" s="291"/>
      <c r="CJ190" s="291"/>
      <c r="CK190" s="291"/>
      <c r="CL190" s="291"/>
      <c r="CM190" s="291"/>
      <c r="CN190" s="291"/>
      <c r="CO190" s="291"/>
      <c r="CP190" s="291"/>
      <c r="CQ190" s="291"/>
      <c r="CR190" s="291"/>
      <c r="CS190" s="291"/>
      <c r="CT190" s="291"/>
      <c r="CU190" s="291"/>
      <c r="CV190" s="291"/>
      <c r="CW190" s="291"/>
      <c r="CX190" s="291"/>
      <c r="CY190" s="291"/>
      <c r="CZ190" s="291"/>
      <c r="DA190" s="291"/>
      <c r="DB190" s="291"/>
      <c r="DC190" s="291"/>
      <c r="DD190" s="291"/>
      <c r="DE190" s="291"/>
      <c r="DF190" s="291"/>
      <c r="DG190" s="291"/>
      <c r="DH190" s="291"/>
      <c r="DI190" s="291"/>
      <c r="DJ190" s="291"/>
      <c r="DK190" s="291"/>
      <c r="DL190" s="291"/>
      <c r="DM190" s="291"/>
      <c r="DN190" s="291"/>
      <c r="DO190" s="291"/>
      <c r="DP190" s="291"/>
      <c r="DQ190" s="291"/>
      <c r="DR190" s="291"/>
      <c r="DS190" s="291"/>
      <c r="DT190" s="291"/>
      <c r="DU190" s="291"/>
      <c r="DV190" s="291"/>
      <c r="DW190" s="291"/>
      <c r="DX190" s="291"/>
      <c r="DY190" s="291"/>
      <c r="DZ190" s="291"/>
      <c r="EA190" s="291"/>
      <c r="EB190" s="291"/>
      <c r="EC190" s="291"/>
      <c r="ED190" s="291"/>
      <c r="EE190" s="291"/>
      <c r="EF190" s="291"/>
      <c r="EG190" s="291"/>
      <c r="EH190" s="291"/>
      <c r="EI190" s="291"/>
      <c r="EJ190" s="291"/>
      <c r="EK190" s="291"/>
      <c r="EL190" s="291"/>
      <c r="EM190" s="291"/>
      <c r="EN190" s="291"/>
      <c r="EO190" s="291"/>
      <c r="EP190" s="291"/>
      <c r="EQ190" s="291"/>
      <c r="ER190" s="291"/>
      <c r="ES190" s="291"/>
      <c r="ET190" s="291"/>
      <c r="EU190" s="291"/>
      <c r="EV190" s="291"/>
      <c r="EW190" s="291"/>
      <c r="EX190" s="291"/>
      <c r="EY190" s="291"/>
      <c r="EZ190" s="291"/>
      <c r="FA190" s="291"/>
      <c r="FB190" s="291"/>
      <c r="FC190" s="291"/>
      <c r="FD190" s="291"/>
      <c r="FE190" s="291"/>
      <c r="FF190" s="291"/>
      <c r="FG190" s="291"/>
      <c r="FH190" s="291"/>
      <c r="FI190" s="291"/>
      <c r="FJ190" s="291"/>
      <c r="FK190" s="291"/>
      <c r="FL190" s="291"/>
      <c r="FM190" s="291"/>
      <c r="FN190" s="291"/>
      <c r="FO190" s="291"/>
      <c r="FP190" s="291"/>
      <c r="FQ190" s="291"/>
      <c r="FR190" s="291"/>
      <c r="FS190" s="291"/>
      <c r="FT190" s="291"/>
      <c r="FU190" s="291"/>
      <c r="FV190" s="291"/>
      <c r="FW190" s="291"/>
      <c r="FX190" s="291"/>
      <c r="FY190" s="291"/>
      <c r="FZ190" s="291"/>
      <c r="GA190" s="291"/>
      <c r="GB190" s="291"/>
      <c r="GC190" s="291"/>
      <c r="GD190" s="291"/>
      <c r="GE190" s="291"/>
      <c r="GF190" s="291"/>
      <c r="GG190" s="291"/>
      <c r="GH190" s="291"/>
      <c r="GI190" s="291"/>
      <c r="GJ190" s="291"/>
      <c r="GK190" s="291"/>
      <c r="GL190" s="291"/>
      <c r="GM190" s="291"/>
      <c r="GN190" s="291"/>
      <c r="GO190" s="291"/>
      <c r="GP190" s="291"/>
      <c r="GQ190" s="291"/>
      <c r="GR190" s="291"/>
      <c r="GS190" s="291"/>
      <c r="GT190" s="291"/>
      <c r="GU190" s="291"/>
      <c r="GV190" s="291"/>
      <c r="GW190" s="291"/>
      <c r="GX190" s="291"/>
      <c r="GY190" s="291"/>
      <c r="GZ190" s="291"/>
      <c r="HA190" s="291"/>
      <c r="HB190" s="291"/>
      <c r="HC190" s="291"/>
      <c r="HD190" s="291"/>
      <c r="HE190" s="291"/>
      <c r="HF190" s="291"/>
      <c r="HG190" s="291"/>
      <c r="HH190" s="291"/>
      <c r="HI190" s="291"/>
      <c r="HJ190" s="291"/>
      <c r="HK190" s="291"/>
      <c r="HL190" s="291"/>
      <c r="HM190" s="291"/>
      <c r="HN190" s="291"/>
      <c r="HO190" s="291"/>
      <c r="HP190" s="291"/>
      <c r="HQ190" s="291"/>
      <c r="HR190" s="291"/>
      <c r="HS190" s="291"/>
      <c r="HT190" s="291"/>
      <c r="HU190" s="291"/>
      <c r="HV190" s="291"/>
      <c r="HW190" s="291"/>
      <c r="HX190" s="291"/>
      <c r="HY190" s="291"/>
      <c r="HZ190" s="291"/>
      <c r="IA190" s="291"/>
      <c r="IB190" s="291"/>
      <c r="IC190" s="291"/>
      <c r="ID190" s="291"/>
      <c r="IE190" s="291"/>
      <c r="IF190" s="291"/>
      <c r="IG190" s="291"/>
      <c r="IH190" s="291"/>
      <c r="II190" s="291"/>
      <c r="IJ190" s="291"/>
      <c r="IK190" s="291"/>
      <c r="IL190" s="291"/>
      <c r="IM190" s="291"/>
      <c r="IN190" s="291"/>
      <c r="IO190" s="291"/>
      <c r="IP190" s="291"/>
      <c r="IQ190" s="291"/>
      <c r="IR190" s="291"/>
      <c r="IS190" s="291"/>
      <c r="IT190" s="291"/>
      <c r="IU190" s="291"/>
      <c r="IV190" s="291"/>
      <c r="IW190" s="291"/>
      <c r="IX190" s="291"/>
      <c r="IY190" s="291"/>
      <c r="IZ190" s="291"/>
      <c r="JA190" s="291"/>
      <c r="JB190" s="291"/>
      <c r="JC190" s="291"/>
      <c r="JD190" s="291"/>
      <c r="JE190" s="291"/>
      <c r="JF190" s="291"/>
      <c r="JG190" s="291"/>
      <c r="JH190" s="291"/>
      <c r="JI190" s="291"/>
      <c r="JJ190" s="291"/>
      <c r="JK190" s="291"/>
      <c r="JL190" s="291"/>
      <c r="JM190" s="291"/>
      <c r="JN190" s="291"/>
      <c r="JO190" s="291"/>
      <c r="JP190" s="291"/>
      <c r="JQ190" s="291"/>
      <c r="JR190" s="291"/>
      <c r="JS190" s="291"/>
      <c r="JT190" s="291"/>
      <c r="JU190" s="291"/>
      <c r="JV190" s="291"/>
      <c r="JW190" s="291"/>
      <c r="JX190" s="291"/>
      <c r="JY190" s="291"/>
      <c r="JZ190" s="291"/>
      <c r="KA190" s="291"/>
      <c r="KB190" s="291"/>
      <c r="KC190" s="291"/>
      <c r="KD190" s="291"/>
      <c r="KE190" s="291"/>
      <c r="KF190" s="291"/>
      <c r="KG190" s="291"/>
      <c r="KH190" s="291"/>
      <c r="KI190" s="291"/>
      <c r="KJ190" s="291"/>
      <c r="KK190" s="291"/>
      <c r="KL190" s="291"/>
      <c r="KM190" s="291"/>
      <c r="KN190" s="291"/>
      <c r="KO190" s="291"/>
      <c r="KP190" s="291"/>
      <c r="KQ190" s="291"/>
      <c r="KR190" s="291"/>
      <c r="KS190" s="291"/>
      <c r="KT190" s="291"/>
      <c r="KU190" s="291"/>
      <c r="KV190" s="291"/>
      <c r="KW190" s="291"/>
      <c r="KX190" s="291"/>
      <c r="KY190" s="291"/>
      <c r="KZ190" s="291"/>
      <c r="LA190" s="291"/>
      <c r="LB190" s="291"/>
      <c r="LC190" s="291"/>
      <c r="LD190" s="291"/>
      <c r="LE190" s="291"/>
      <c r="LF190" s="291"/>
      <c r="LG190" s="291"/>
      <c r="LH190" s="291"/>
      <c r="LI190" s="291"/>
      <c r="LJ190" s="291"/>
      <c r="LK190" s="291"/>
      <c r="LL190" s="291"/>
      <c r="LM190" s="291"/>
      <c r="LN190" s="291"/>
      <c r="LO190" s="291"/>
      <c r="LP190" s="291"/>
      <c r="LQ190" s="291"/>
      <c r="LR190" s="291"/>
      <c r="LS190" s="291"/>
      <c r="LT190" s="291"/>
      <c r="LU190" s="291"/>
      <c r="LV190" s="291"/>
      <c r="LW190" s="291"/>
      <c r="LX190" s="291"/>
      <c r="LY190" s="291"/>
      <c r="LZ190" s="291"/>
      <c r="MA190" s="291"/>
      <c r="MB190" s="291"/>
      <c r="MC190" s="291"/>
      <c r="MD190" s="291"/>
      <c r="ME190" s="291"/>
      <c r="MF190" s="291"/>
      <c r="MG190" s="291"/>
      <c r="MH190" s="291"/>
      <c r="MI190" s="291"/>
      <c r="MJ190" s="291"/>
      <c r="MK190" s="291"/>
      <c r="ML190" s="291"/>
      <c r="MM190" s="291"/>
      <c r="MN190" s="291"/>
      <c r="MO190" s="291"/>
      <c r="MP190" s="291"/>
      <c r="MQ190" s="291"/>
      <c r="MR190" s="291"/>
      <c r="MS190" s="291"/>
      <c r="MT190" s="291"/>
      <c r="MU190" s="291"/>
      <c r="MV190" s="291"/>
      <c r="MW190" s="291"/>
      <c r="MX190" s="291"/>
      <c r="MY190" s="291"/>
      <c r="MZ190" s="291"/>
      <c r="NA190" s="291"/>
      <c r="NB190" s="291"/>
      <c r="NC190" s="291"/>
      <c r="ND190" s="291"/>
      <c r="NE190" s="291"/>
      <c r="NF190" s="291"/>
      <c r="NG190" s="291"/>
      <c r="NH190" s="291"/>
      <c r="NI190" s="291"/>
      <c r="NJ190" s="291"/>
      <c r="NK190" s="291"/>
      <c r="NL190" s="291"/>
      <c r="NM190" s="291"/>
      <c r="NN190" s="291"/>
      <c r="NO190" s="291"/>
      <c r="NP190" s="291"/>
      <c r="NQ190" s="291"/>
      <c r="NR190" s="291"/>
      <c r="NS190" s="291"/>
      <c r="NT190" s="291"/>
      <c r="NU190" s="291"/>
      <c r="NV190" s="291"/>
      <c r="NW190" s="291"/>
      <c r="NX190" s="291"/>
      <c r="NY190" s="291"/>
      <c r="NZ190" s="291"/>
      <c r="OA190" s="291"/>
      <c r="OB190" s="291"/>
      <c r="OC190" s="291"/>
      <c r="OD190" s="291"/>
      <c r="OE190" s="291"/>
      <c r="OF190" s="291"/>
      <c r="OG190" s="291"/>
      <c r="OH190" s="291"/>
      <c r="OI190" s="291"/>
      <c r="OJ190" s="291"/>
      <c r="OK190" s="291"/>
      <c r="OL190" s="291"/>
      <c r="OM190" s="291"/>
      <c r="ON190" s="291"/>
      <c r="OO190" s="291"/>
      <c r="OP190" s="291"/>
      <c r="OQ190" s="291"/>
      <c r="OR190" s="291"/>
      <c r="OS190" s="291"/>
      <c r="OT190" s="291"/>
      <c r="OU190" s="291"/>
      <c r="OV190" s="291"/>
      <c r="OW190" s="291"/>
    </row>
    <row r="191" spans="1:413" s="257" customFormat="1" hidden="1" x14ac:dyDescent="0.2">
      <c r="A191" s="291"/>
      <c r="B191" s="524">
        <f t="shared" si="11"/>
        <v>175</v>
      </c>
      <c r="C191" s="510" t="s">
        <v>38</v>
      </c>
      <c r="D191" s="511">
        <v>30484568</v>
      </c>
      <c r="E191" s="511"/>
      <c r="F191" s="512" t="s">
        <v>1341</v>
      </c>
      <c r="G191" s="513" t="s">
        <v>46</v>
      </c>
      <c r="H191" s="514" t="s">
        <v>1094</v>
      </c>
      <c r="I191" s="515" t="s">
        <v>1134</v>
      </c>
      <c r="J191" s="346" t="s">
        <v>42</v>
      </c>
      <c r="K191" s="526">
        <v>228565</v>
      </c>
      <c r="L191" s="527">
        <v>161259</v>
      </c>
      <c r="M191" s="528">
        <v>0</v>
      </c>
      <c r="N191" s="520">
        <v>0</v>
      </c>
      <c r="O191" s="520">
        <v>1500</v>
      </c>
      <c r="P191" s="520">
        <v>3000</v>
      </c>
      <c r="Q191" s="520">
        <v>1500</v>
      </c>
      <c r="R191" s="520">
        <v>36015</v>
      </c>
      <c r="S191" s="520">
        <v>0</v>
      </c>
      <c r="T191" s="18"/>
      <c r="U191" s="18"/>
      <c r="V191" s="18"/>
      <c r="W191" s="18"/>
      <c r="X191" s="18"/>
      <c r="Y191" s="18"/>
      <c r="Z191" s="18">
        <f t="shared" si="8"/>
        <v>42015</v>
      </c>
      <c r="AA191" s="309">
        <v>67200</v>
      </c>
      <c r="AB191" s="19">
        <v>11</v>
      </c>
      <c r="AC191" s="521">
        <v>44237</v>
      </c>
      <c r="AD191" s="25">
        <v>44251</v>
      </c>
      <c r="AE191" s="309"/>
      <c r="AF191" s="314"/>
      <c r="AG191" s="315"/>
      <c r="AH191" s="316"/>
      <c r="AI191" s="309"/>
      <c r="AJ191" s="338"/>
      <c r="AK191" s="315"/>
      <c r="AL191" s="316"/>
      <c r="AM191" s="309"/>
      <c r="AN191" s="338"/>
      <c r="AO191" s="21"/>
      <c r="AP191" s="25"/>
      <c r="AQ191" s="309"/>
      <c r="AR191" s="19"/>
      <c r="AS191" s="21"/>
      <c r="AT191" s="25"/>
      <c r="AU191" s="522">
        <f t="shared" si="9"/>
        <v>67200</v>
      </c>
      <c r="AV191" s="311">
        <f t="shared" si="10"/>
        <v>25185</v>
      </c>
      <c r="AW191" s="305"/>
      <c r="AX191" s="291"/>
      <c r="AY191" s="291"/>
      <c r="AZ191" s="291"/>
      <c r="BA191" s="291"/>
      <c r="BB191" s="291"/>
      <c r="BC191" s="291"/>
      <c r="BD191" s="291"/>
      <c r="BE191" s="291"/>
      <c r="BF191" s="291"/>
      <c r="BG191" s="291"/>
      <c r="BH191" s="291"/>
      <c r="BI191" s="291"/>
      <c r="BJ191" s="291"/>
      <c r="BK191" s="291"/>
      <c r="BL191" s="291"/>
      <c r="BM191" s="291"/>
      <c r="BN191" s="291"/>
      <c r="BO191" s="291"/>
      <c r="BP191" s="291"/>
      <c r="BQ191" s="291"/>
      <c r="BR191" s="291"/>
      <c r="BS191" s="291"/>
      <c r="BT191" s="291"/>
      <c r="BU191" s="291"/>
      <c r="BV191" s="291"/>
      <c r="BW191" s="291"/>
      <c r="BX191" s="291"/>
      <c r="BY191" s="291"/>
      <c r="BZ191" s="291"/>
      <c r="CA191" s="291"/>
      <c r="CB191" s="291"/>
      <c r="CC191" s="291"/>
      <c r="CD191" s="291"/>
      <c r="CE191" s="291"/>
      <c r="CF191" s="291"/>
      <c r="CG191" s="291"/>
      <c r="CH191" s="291"/>
      <c r="CI191" s="291"/>
      <c r="CJ191" s="291"/>
      <c r="CK191" s="291"/>
      <c r="CL191" s="291"/>
      <c r="CM191" s="291"/>
      <c r="CN191" s="291"/>
      <c r="CO191" s="291"/>
      <c r="CP191" s="291"/>
      <c r="CQ191" s="291"/>
      <c r="CR191" s="291"/>
      <c r="CS191" s="291"/>
      <c r="CT191" s="291"/>
      <c r="CU191" s="291"/>
      <c r="CV191" s="291"/>
      <c r="CW191" s="291"/>
      <c r="CX191" s="291"/>
      <c r="CY191" s="291"/>
      <c r="CZ191" s="291"/>
      <c r="DA191" s="291"/>
      <c r="DB191" s="291"/>
      <c r="DC191" s="291"/>
      <c r="DD191" s="291"/>
      <c r="DE191" s="291"/>
      <c r="DF191" s="291"/>
      <c r="DG191" s="291"/>
      <c r="DH191" s="291"/>
      <c r="DI191" s="291"/>
      <c r="DJ191" s="291"/>
      <c r="DK191" s="291"/>
      <c r="DL191" s="291"/>
      <c r="DM191" s="291"/>
      <c r="DN191" s="291"/>
      <c r="DO191" s="291"/>
      <c r="DP191" s="291"/>
      <c r="DQ191" s="291"/>
      <c r="DR191" s="291"/>
      <c r="DS191" s="291"/>
      <c r="DT191" s="291"/>
      <c r="DU191" s="291"/>
      <c r="DV191" s="291"/>
      <c r="DW191" s="291"/>
      <c r="DX191" s="291"/>
      <c r="DY191" s="291"/>
      <c r="DZ191" s="291"/>
      <c r="EA191" s="291"/>
      <c r="EB191" s="291"/>
      <c r="EC191" s="291"/>
      <c r="ED191" s="291"/>
      <c r="EE191" s="291"/>
      <c r="EF191" s="291"/>
      <c r="EG191" s="291"/>
      <c r="EH191" s="291"/>
      <c r="EI191" s="291"/>
      <c r="EJ191" s="291"/>
      <c r="EK191" s="291"/>
      <c r="EL191" s="291"/>
      <c r="EM191" s="291"/>
      <c r="EN191" s="291"/>
      <c r="EO191" s="291"/>
      <c r="EP191" s="291"/>
      <c r="EQ191" s="291"/>
      <c r="ER191" s="291"/>
      <c r="ES191" s="291"/>
      <c r="ET191" s="291"/>
      <c r="EU191" s="291"/>
      <c r="EV191" s="291"/>
      <c r="EW191" s="291"/>
      <c r="EX191" s="291"/>
      <c r="EY191" s="291"/>
      <c r="EZ191" s="291"/>
      <c r="FA191" s="291"/>
      <c r="FB191" s="291"/>
      <c r="FC191" s="291"/>
      <c r="FD191" s="291"/>
      <c r="FE191" s="291"/>
      <c r="FF191" s="291"/>
      <c r="FG191" s="291"/>
      <c r="FH191" s="291"/>
      <c r="FI191" s="291"/>
      <c r="FJ191" s="291"/>
      <c r="FK191" s="291"/>
      <c r="FL191" s="291"/>
      <c r="FM191" s="291"/>
      <c r="FN191" s="291"/>
      <c r="FO191" s="291"/>
      <c r="FP191" s="291"/>
      <c r="FQ191" s="291"/>
      <c r="FR191" s="291"/>
      <c r="FS191" s="291"/>
      <c r="FT191" s="291"/>
      <c r="FU191" s="291"/>
      <c r="FV191" s="291"/>
      <c r="FW191" s="291"/>
      <c r="FX191" s="291"/>
      <c r="FY191" s="291"/>
      <c r="FZ191" s="291"/>
      <c r="GA191" s="291"/>
      <c r="GB191" s="291"/>
      <c r="GC191" s="291"/>
      <c r="GD191" s="291"/>
      <c r="GE191" s="291"/>
      <c r="GF191" s="291"/>
      <c r="GG191" s="291"/>
      <c r="GH191" s="291"/>
      <c r="GI191" s="291"/>
      <c r="GJ191" s="291"/>
      <c r="GK191" s="291"/>
      <c r="GL191" s="291"/>
      <c r="GM191" s="291"/>
      <c r="GN191" s="291"/>
      <c r="GO191" s="291"/>
      <c r="GP191" s="291"/>
      <c r="GQ191" s="291"/>
      <c r="GR191" s="291"/>
      <c r="GS191" s="291"/>
      <c r="GT191" s="291"/>
      <c r="GU191" s="291"/>
      <c r="GV191" s="291"/>
      <c r="GW191" s="291"/>
      <c r="GX191" s="291"/>
      <c r="GY191" s="291"/>
      <c r="GZ191" s="291"/>
      <c r="HA191" s="291"/>
      <c r="HB191" s="291"/>
      <c r="HC191" s="291"/>
      <c r="HD191" s="291"/>
      <c r="HE191" s="291"/>
      <c r="HF191" s="291"/>
      <c r="HG191" s="291"/>
      <c r="HH191" s="291"/>
      <c r="HI191" s="291"/>
      <c r="HJ191" s="291"/>
      <c r="HK191" s="291"/>
      <c r="HL191" s="291"/>
      <c r="HM191" s="291"/>
      <c r="HN191" s="291"/>
      <c r="HO191" s="291"/>
      <c r="HP191" s="291"/>
      <c r="HQ191" s="291"/>
      <c r="HR191" s="291"/>
      <c r="HS191" s="291"/>
      <c r="HT191" s="291"/>
      <c r="HU191" s="291"/>
      <c r="HV191" s="291"/>
      <c r="HW191" s="291"/>
      <c r="HX191" s="291"/>
      <c r="HY191" s="291"/>
      <c r="HZ191" s="291"/>
      <c r="IA191" s="291"/>
      <c r="IB191" s="291"/>
      <c r="IC191" s="291"/>
      <c r="ID191" s="291"/>
      <c r="IE191" s="291"/>
      <c r="IF191" s="291"/>
      <c r="IG191" s="291"/>
      <c r="IH191" s="291"/>
      <c r="II191" s="291"/>
      <c r="IJ191" s="291"/>
      <c r="IK191" s="291"/>
      <c r="IL191" s="291"/>
      <c r="IM191" s="291"/>
      <c r="IN191" s="291"/>
      <c r="IO191" s="291"/>
      <c r="IP191" s="291"/>
      <c r="IQ191" s="291"/>
      <c r="IR191" s="291"/>
      <c r="IS191" s="291"/>
      <c r="IT191" s="291"/>
      <c r="IU191" s="291"/>
      <c r="IV191" s="291"/>
      <c r="IW191" s="291"/>
      <c r="IX191" s="291"/>
      <c r="IY191" s="291"/>
      <c r="IZ191" s="291"/>
      <c r="JA191" s="291"/>
      <c r="JB191" s="291"/>
      <c r="JC191" s="291"/>
      <c r="JD191" s="291"/>
      <c r="JE191" s="291"/>
      <c r="JF191" s="291"/>
      <c r="JG191" s="291"/>
      <c r="JH191" s="291"/>
      <c r="JI191" s="291"/>
      <c r="JJ191" s="291"/>
      <c r="JK191" s="291"/>
      <c r="JL191" s="291"/>
      <c r="JM191" s="291"/>
      <c r="JN191" s="291"/>
      <c r="JO191" s="291"/>
      <c r="JP191" s="291"/>
      <c r="JQ191" s="291"/>
      <c r="JR191" s="291"/>
      <c r="JS191" s="291"/>
      <c r="JT191" s="291"/>
      <c r="JU191" s="291"/>
      <c r="JV191" s="291"/>
      <c r="JW191" s="291"/>
      <c r="JX191" s="291"/>
      <c r="JY191" s="291"/>
      <c r="JZ191" s="291"/>
      <c r="KA191" s="291"/>
      <c r="KB191" s="291"/>
      <c r="KC191" s="291"/>
      <c r="KD191" s="291"/>
      <c r="KE191" s="291"/>
      <c r="KF191" s="291"/>
      <c r="KG191" s="291"/>
      <c r="KH191" s="291"/>
      <c r="KI191" s="291"/>
      <c r="KJ191" s="291"/>
      <c r="KK191" s="291"/>
      <c r="KL191" s="291"/>
      <c r="KM191" s="291"/>
      <c r="KN191" s="291"/>
      <c r="KO191" s="291"/>
      <c r="KP191" s="291"/>
      <c r="KQ191" s="291"/>
      <c r="KR191" s="291"/>
      <c r="KS191" s="291"/>
      <c r="KT191" s="291"/>
      <c r="KU191" s="291"/>
      <c r="KV191" s="291"/>
      <c r="KW191" s="291"/>
      <c r="KX191" s="291"/>
      <c r="KY191" s="291"/>
      <c r="KZ191" s="291"/>
      <c r="LA191" s="291"/>
      <c r="LB191" s="291"/>
      <c r="LC191" s="291"/>
      <c r="LD191" s="291"/>
      <c r="LE191" s="291"/>
      <c r="LF191" s="291"/>
      <c r="LG191" s="291"/>
      <c r="LH191" s="291"/>
      <c r="LI191" s="291"/>
      <c r="LJ191" s="291"/>
      <c r="LK191" s="291"/>
      <c r="LL191" s="291"/>
      <c r="LM191" s="291"/>
      <c r="LN191" s="291"/>
      <c r="LO191" s="291"/>
      <c r="LP191" s="291"/>
      <c r="LQ191" s="291"/>
      <c r="LR191" s="291"/>
      <c r="LS191" s="291"/>
      <c r="LT191" s="291"/>
      <c r="LU191" s="291"/>
      <c r="LV191" s="291"/>
      <c r="LW191" s="291"/>
      <c r="LX191" s="291"/>
      <c r="LY191" s="291"/>
      <c r="LZ191" s="291"/>
      <c r="MA191" s="291"/>
      <c r="MB191" s="291"/>
      <c r="MC191" s="291"/>
      <c r="MD191" s="291"/>
      <c r="ME191" s="291"/>
      <c r="MF191" s="291"/>
      <c r="MG191" s="291"/>
      <c r="MH191" s="291"/>
      <c r="MI191" s="291"/>
      <c r="MJ191" s="291"/>
      <c r="MK191" s="291"/>
      <c r="ML191" s="291"/>
      <c r="MM191" s="291"/>
      <c r="MN191" s="291"/>
      <c r="MO191" s="291"/>
      <c r="MP191" s="291"/>
      <c r="MQ191" s="291"/>
      <c r="MR191" s="291"/>
      <c r="MS191" s="291"/>
      <c r="MT191" s="291"/>
      <c r="MU191" s="291"/>
      <c r="MV191" s="291"/>
      <c r="MW191" s="291"/>
      <c r="MX191" s="291"/>
      <c r="MY191" s="291"/>
      <c r="MZ191" s="291"/>
      <c r="NA191" s="291"/>
      <c r="NB191" s="291"/>
      <c r="NC191" s="291"/>
      <c r="ND191" s="291"/>
      <c r="NE191" s="291"/>
      <c r="NF191" s="291"/>
      <c r="NG191" s="291"/>
      <c r="NH191" s="291"/>
      <c r="NI191" s="291"/>
      <c r="NJ191" s="291"/>
      <c r="NK191" s="291"/>
      <c r="NL191" s="291"/>
      <c r="NM191" s="291"/>
      <c r="NN191" s="291"/>
      <c r="NO191" s="291"/>
      <c r="NP191" s="291"/>
      <c r="NQ191" s="291"/>
      <c r="NR191" s="291"/>
      <c r="NS191" s="291"/>
      <c r="NT191" s="291"/>
      <c r="NU191" s="291"/>
      <c r="NV191" s="291"/>
      <c r="NW191" s="291"/>
      <c r="NX191" s="291"/>
      <c r="NY191" s="291"/>
      <c r="NZ191" s="291"/>
      <c r="OA191" s="291"/>
      <c r="OB191" s="291"/>
      <c r="OC191" s="291"/>
      <c r="OD191" s="291"/>
      <c r="OE191" s="291"/>
      <c r="OF191" s="291"/>
      <c r="OG191" s="291"/>
      <c r="OH191" s="291"/>
      <c r="OI191" s="291"/>
      <c r="OJ191" s="291"/>
      <c r="OK191" s="291"/>
      <c r="OL191" s="291"/>
      <c r="OM191" s="291"/>
      <c r="ON191" s="291"/>
      <c r="OO191" s="291"/>
      <c r="OP191" s="291"/>
      <c r="OQ191" s="291"/>
      <c r="OR191" s="291"/>
      <c r="OS191" s="291"/>
      <c r="OT191" s="291"/>
      <c r="OU191" s="291"/>
      <c r="OV191" s="291"/>
      <c r="OW191" s="291"/>
    </row>
    <row r="192" spans="1:413" s="257" customFormat="1" hidden="1" x14ac:dyDescent="0.2">
      <c r="A192" s="291"/>
      <c r="B192" s="524">
        <f t="shared" si="11"/>
        <v>176</v>
      </c>
      <c r="C192" s="510" t="s">
        <v>38</v>
      </c>
      <c r="D192" s="511">
        <v>30484569</v>
      </c>
      <c r="E192" s="511"/>
      <c r="F192" s="512" t="s">
        <v>1342</v>
      </c>
      <c r="G192" s="513" t="s">
        <v>46</v>
      </c>
      <c r="H192" s="514" t="s">
        <v>1094</v>
      </c>
      <c r="I192" s="515" t="s">
        <v>1134</v>
      </c>
      <c r="J192" s="346" t="s">
        <v>43</v>
      </c>
      <c r="K192" s="526">
        <v>237386</v>
      </c>
      <c r="L192" s="527">
        <v>0</v>
      </c>
      <c r="M192" s="528">
        <v>190474</v>
      </c>
      <c r="N192" s="520">
        <v>0</v>
      </c>
      <c r="O192" s="520">
        <v>0</v>
      </c>
      <c r="P192" s="520">
        <v>0</v>
      </c>
      <c r="Q192" s="520">
        <v>0</v>
      </c>
      <c r="R192" s="520">
        <v>0</v>
      </c>
      <c r="S192" s="520">
        <v>0</v>
      </c>
      <c r="T192" s="18"/>
      <c r="U192" s="18"/>
      <c r="V192" s="18"/>
      <c r="W192" s="18"/>
      <c r="X192" s="18"/>
      <c r="Y192" s="18"/>
      <c r="Z192" s="18">
        <f t="shared" si="8"/>
        <v>0</v>
      </c>
      <c r="AA192" s="309">
        <v>40900</v>
      </c>
      <c r="AB192" s="19">
        <v>3</v>
      </c>
      <c r="AC192" s="521">
        <v>44222</v>
      </c>
      <c r="AD192" s="25">
        <v>44225</v>
      </c>
      <c r="AE192" s="309"/>
      <c r="AF192" s="314"/>
      <c r="AG192" s="315"/>
      <c r="AH192" s="316"/>
      <c r="AI192" s="309"/>
      <c r="AJ192" s="338"/>
      <c r="AK192" s="315"/>
      <c r="AL192" s="316"/>
      <c r="AM192" s="309"/>
      <c r="AN192" s="338"/>
      <c r="AO192" s="21"/>
      <c r="AP192" s="25"/>
      <c r="AQ192" s="309"/>
      <c r="AR192" s="19"/>
      <c r="AS192" s="21"/>
      <c r="AT192" s="25"/>
      <c r="AU192" s="522">
        <f t="shared" si="9"/>
        <v>40900</v>
      </c>
      <c r="AV192" s="311">
        <f t="shared" si="10"/>
        <v>40900</v>
      </c>
      <c r="AW192" s="305"/>
      <c r="AX192" s="291"/>
      <c r="AY192" s="291"/>
      <c r="AZ192" s="291"/>
      <c r="BA192" s="291"/>
      <c r="BB192" s="291"/>
      <c r="BC192" s="291"/>
      <c r="BD192" s="291"/>
      <c r="BE192" s="291"/>
      <c r="BF192" s="291"/>
      <c r="BG192" s="291"/>
      <c r="BH192" s="291"/>
      <c r="BI192" s="291"/>
      <c r="BJ192" s="291"/>
      <c r="BK192" s="291"/>
      <c r="BL192" s="291"/>
      <c r="BM192" s="291"/>
      <c r="BN192" s="291"/>
      <c r="BO192" s="291"/>
      <c r="BP192" s="291"/>
      <c r="BQ192" s="291"/>
      <c r="BR192" s="291"/>
      <c r="BS192" s="291"/>
      <c r="BT192" s="291"/>
      <c r="BU192" s="291"/>
      <c r="BV192" s="291"/>
      <c r="BW192" s="291"/>
      <c r="BX192" s="291"/>
      <c r="BY192" s="291"/>
      <c r="BZ192" s="291"/>
      <c r="CA192" s="291"/>
      <c r="CB192" s="291"/>
      <c r="CC192" s="291"/>
      <c r="CD192" s="291"/>
      <c r="CE192" s="291"/>
      <c r="CF192" s="291"/>
      <c r="CG192" s="291"/>
      <c r="CH192" s="291"/>
      <c r="CI192" s="291"/>
      <c r="CJ192" s="291"/>
      <c r="CK192" s="291"/>
      <c r="CL192" s="291"/>
      <c r="CM192" s="291"/>
      <c r="CN192" s="291"/>
      <c r="CO192" s="291"/>
      <c r="CP192" s="291"/>
      <c r="CQ192" s="291"/>
      <c r="CR192" s="291"/>
      <c r="CS192" s="291"/>
      <c r="CT192" s="291"/>
      <c r="CU192" s="291"/>
      <c r="CV192" s="291"/>
      <c r="CW192" s="291"/>
      <c r="CX192" s="291"/>
      <c r="CY192" s="291"/>
      <c r="CZ192" s="291"/>
      <c r="DA192" s="291"/>
      <c r="DB192" s="291"/>
      <c r="DC192" s="291"/>
      <c r="DD192" s="291"/>
      <c r="DE192" s="291"/>
      <c r="DF192" s="291"/>
      <c r="DG192" s="291"/>
      <c r="DH192" s="291"/>
      <c r="DI192" s="291"/>
      <c r="DJ192" s="291"/>
      <c r="DK192" s="291"/>
      <c r="DL192" s="291"/>
      <c r="DM192" s="291"/>
      <c r="DN192" s="291"/>
      <c r="DO192" s="291"/>
      <c r="DP192" s="291"/>
      <c r="DQ192" s="291"/>
      <c r="DR192" s="291"/>
      <c r="DS192" s="291"/>
      <c r="DT192" s="291"/>
      <c r="DU192" s="291"/>
      <c r="DV192" s="291"/>
      <c r="DW192" s="291"/>
      <c r="DX192" s="291"/>
      <c r="DY192" s="291"/>
      <c r="DZ192" s="291"/>
      <c r="EA192" s="291"/>
      <c r="EB192" s="291"/>
      <c r="EC192" s="291"/>
      <c r="ED192" s="291"/>
      <c r="EE192" s="291"/>
      <c r="EF192" s="291"/>
      <c r="EG192" s="291"/>
      <c r="EH192" s="291"/>
      <c r="EI192" s="291"/>
      <c r="EJ192" s="291"/>
      <c r="EK192" s="291"/>
      <c r="EL192" s="291"/>
      <c r="EM192" s="291"/>
      <c r="EN192" s="291"/>
      <c r="EO192" s="291"/>
      <c r="EP192" s="291"/>
      <c r="EQ192" s="291"/>
      <c r="ER192" s="291"/>
      <c r="ES192" s="291"/>
      <c r="ET192" s="291"/>
      <c r="EU192" s="291"/>
      <c r="EV192" s="291"/>
      <c r="EW192" s="291"/>
      <c r="EX192" s="291"/>
      <c r="EY192" s="291"/>
      <c r="EZ192" s="291"/>
      <c r="FA192" s="291"/>
      <c r="FB192" s="291"/>
      <c r="FC192" s="291"/>
      <c r="FD192" s="291"/>
      <c r="FE192" s="291"/>
      <c r="FF192" s="291"/>
      <c r="FG192" s="291"/>
      <c r="FH192" s="291"/>
      <c r="FI192" s="291"/>
      <c r="FJ192" s="291"/>
      <c r="FK192" s="291"/>
      <c r="FL192" s="291"/>
      <c r="FM192" s="291"/>
      <c r="FN192" s="291"/>
      <c r="FO192" s="291"/>
      <c r="FP192" s="291"/>
      <c r="FQ192" s="291"/>
      <c r="FR192" s="291"/>
      <c r="FS192" s="291"/>
      <c r="FT192" s="291"/>
      <c r="FU192" s="291"/>
      <c r="FV192" s="291"/>
      <c r="FW192" s="291"/>
      <c r="FX192" s="291"/>
      <c r="FY192" s="291"/>
      <c r="FZ192" s="291"/>
      <c r="GA192" s="291"/>
      <c r="GB192" s="291"/>
      <c r="GC192" s="291"/>
      <c r="GD192" s="291"/>
      <c r="GE192" s="291"/>
      <c r="GF192" s="291"/>
      <c r="GG192" s="291"/>
      <c r="GH192" s="291"/>
      <c r="GI192" s="291"/>
      <c r="GJ192" s="291"/>
      <c r="GK192" s="291"/>
      <c r="GL192" s="291"/>
      <c r="GM192" s="291"/>
      <c r="GN192" s="291"/>
      <c r="GO192" s="291"/>
      <c r="GP192" s="291"/>
      <c r="GQ192" s="291"/>
      <c r="GR192" s="291"/>
      <c r="GS192" s="291"/>
      <c r="GT192" s="291"/>
      <c r="GU192" s="291"/>
      <c r="GV192" s="291"/>
      <c r="GW192" s="291"/>
      <c r="GX192" s="291"/>
      <c r="GY192" s="291"/>
      <c r="GZ192" s="291"/>
      <c r="HA192" s="291"/>
      <c r="HB192" s="291"/>
      <c r="HC192" s="291"/>
      <c r="HD192" s="291"/>
      <c r="HE192" s="291"/>
      <c r="HF192" s="291"/>
      <c r="HG192" s="291"/>
      <c r="HH192" s="291"/>
      <c r="HI192" s="291"/>
      <c r="HJ192" s="291"/>
      <c r="HK192" s="291"/>
      <c r="HL192" s="291"/>
      <c r="HM192" s="291"/>
      <c r="HN192" s="291"/>
      <c r="HO192" s="291"/>
      <c r="HP192" s="291"/>
      <c r="HQ192" s="291"/>
      <c r="HR192" s="291"/>
      <c r="HS192" s="291"/>
      <c r="HT192" s="291"/>
      <c r="HU192" s="291"/>
      <c r="HV192" s="291"/>
      <c r="HW192" s="291"/>
      <c r="HX192" s="291"/>
      <c r="HY192" s="291"/>
      <c r="HZ192" s="291"/>
      <c r="IA192" s="291"/>
      <c r="IB192" s="291"/>
      <c r="IC192" s="291"/>
      <c r="ID192" s="291"/>
      <c r="IE192" s="291"/>
      <c r="IF192" s="291"/>
      <c r="IG192" s="291"/>
      <c r="IH192" s="291"/>
      <c r="II192" s="291"/>
      <c r="IJ192" s="291"/>
      <c r="IK192" s="291"/>
      <c r="IL192" s="291"/>
      <c r="IM192" s="291"/>
      <c r="IN192" s="291"/>
      <c r="IO192" s="291"/>
      <c r="IP192" s="291"/>
      <c r="IQ192" s="291"/>
      <c r="IR192" s="291"/>
      <c r="IS192" s="291"/>
      <c r="IT192" s="291"/>
      <c r="IU192" s="291"/>
      <c r="IV192" s="291"/>
      <c r="IW192" s="291"/>
      <c r="IX192" s="291"/>
      <c r="IY192" s="291"/>
      <c r="IZ192" s="291"/>
      <c r="JA192" s="291"/>
      <c r="JB192" s="291"/>
      <c r="JC192" s="291"/>
      <c r="JD192" s="291"/>
      <c r="JE192" s="291"/>
      <c r="JF192" s="291"/>
      <c r="JG192" s="291"/>
      <c r="JH192" s="291"/>
      <c r="JI192" s="291"/>
      <c r="JJ192" s="291"/>
      <c r="JK192" s="291"/>
      <c r="JL192" s="291"/>
      <c r="JM192" s="291"/>
      <c r="JN192" s="291"/>
      <c r="JO192" s="291"/>
      <c r="JP192" s="291"/>
      <c r="JQ192" s="291"/>
      <c r="JR192" s="291"/>
      <c r="JS192" s="291"/>
      <c r="JT192" s="291"/>
      <c r="JU192" s="291"/>
      <c r="JV192" s="291"/>
      <c r="JW192" s="291"/>
      <c r="JX192" s="291"/>
      <c r="JY192" s="291"/>
      <c r="JZ192" s="291"/>
      <c r="KA192" s="291"/>
      <c r="KB192" s="291"/>
      <c r="KC192" s="291"/>
      <c r="KD192" s="291"/>
      <c r="KE192" s="291"/>
      <c r="KF192" s="291"/>
      <c r="KG192" s="291"/>
      <c r="KH192" s="291"/>
      <c r="KI192" s="291"/>
      <c r="KJ192" s="291"/>
      <c r="KK192" s="291"/>
      <c r="KL192" s="291"/>
      <c r="KM192" s="291"/>
      <c r="KN192" s="291"/>
      <c r="KO192" s="291"/>
      <c r="KP192" s="291"/>
      <c r="KQ192" s="291"/>
      <c r="KR192" s="291"/>
      <c r="KS192" s="291"/>
      <c r="KT192" s="291"/>
      <c r="KU192" s="291"/>
      <c r="KV192" s="291"/>
      <c r="KW192" s="291"/>
      <c r="KX192" s="291"/>
      <c r="KY192" s="291"/>
      <c r="KZ192" s="291"/>
      <c r="LA192" s="291"/>
      <c r="LB192" s="291"/>
      <c r="LC192" s="291"/>
      <c r="LD192" s="291"/>
      <c r="LE192" s="291"/>
      <c r="LF192" s="291"/>
      <c r="LG192" s="291"/>
      <c r="LH192" s="291"/>
      <c r="LI192" s="291"/>
      <c r="LJ192" s="291"/>
      <c r="LK192" s="291"/>
      <c r="LL192" s="291"/>
      <c r="LM192" s="291"/>
      <c r="LN192" s="291"/>
      <c r="LO192" s="291"/>
      <c r="LP192" s="291"/>
      <c r="LQ192" s="291"/>
      <c r="LR192" s="291"/>
      <c r="LS192" s="291"/>
      <c r="LT192" s="291"/>
      <c r="LU192" s="291"/>
      <c r="LV192" s="291"/>
      <c r="LW192" s="291"/>
      <c r="LX192" s="291"/>
      <c r="LY192" s="291"/>
      <c r="LZ192" s="291"/>
      <c r="MA192" s="291"/>
      <c r="MB192" s="291"/>
      <c r="MC192" s="291"/>
      <c r="MD192" s="291"/>
      <c r="ME192" s="291"/>
      <c r="MF192" s="291"/>
      <c r="MG192" s="291"/>
      <c r="MH192" s="291"/>
      <c r="MI192" s="291"/>
      <c r="MJ192" s="291"/>
      <c r="MK192" s="291"/>
      <c r="ML192" s="291"/>
      <c r="MM192" s="291"/>
      <c r="MN192" s="291"/>
      <c r="MO192" s="291"/>
      <c r="MP192" s="291"/>
      <c r="MQ192" s="291"/>
      <c r="MR192" s="291"/>
      <c r="MS192" s="291"/>
      <c r="MT192" s="291"/>
      <c r="MU192" s="291"/>
      <c r="MV192" s="291"/>
      <c r="MW192" s="291"/>
      <c r="MX192" s="291"/>
      <c r="MY192" s="291"/>
      <c r="MZ192" s="291"/>
      <c r="NA192" s="291"/>
      <c r="NB192" s="291"/>
      <c r="NC192" s="291"/>
      <c r="ND192" s="291"/>
      <c r="NE192" s="291"/>
      <c r="NF192" s="291"/>
      <c r="NG192" s="291"/>
      <c r="NH192" s="291"/>
      <c r="NI192" s="291"/>
      <c r="NJ192" s="291"/>
      <c r="NK192" s="291"/>
      <c r="NL192" s="291"/>
      <c r="NM192" s="291"/>
      <c r="NN192" s="291"/>
      <c r="NO192" s="291"/>
      <c r="NP192" s="291"/>
      <c r="NQ192" s="291"/>
      <c r="NR192" s="291"/>
      <c r="NS192" s="291"/>
      <c r="NT192" s="291"/>
      <c r="NU192" s="291"/>
      <c r="NV192" s="291"/>
      <c r="NW192" s="291"/>
      <c r="NX192" s="291"/>
      <c r="NY192" s="291"/>
      <c r="NZ192" s="291"/>
      <c r="OA192" s="291"/>
      <c r="OB192" s="291"/>
      <c r="OC192" s="291"/>
      <c r="OD192" s="291"/>
      <c r="OE192" s="291"/>
      <c r="OF192" s="291"/>
      <c r="OG192" s="291"/>
      <c r="OH192" s="291"/>
      <c r="OI192" s="291"/>
      <c r="OJ192" s="291"/>
      <c r="OK192" s="291"/>
      <c r="OL192" s="291"/>
      <c r="OM192" s="291"/>
      <c r="ON192" s="291"/>
      <c r="OO192" s="291"/>
      <c r="OP192" s="291"/>
      <c r="OQ192" s="291"/>
      <c r="OR192" s="291"/>
      <c r="OS192" s="291"/>
      <c r="OT192" s="291"/>
      <c r="OU192" s="291"/>
      <c r="OV192" s="291"/>
      <c r="OW192" s="291"/>
    </row>
    <row r="193" spans="1:413" s="257" customFormat="1" hidden="1" x14ac:dyDescent="0.2">
      <c r="A193" s="291"/>
      <c r="B193" s="524">
        <f t="shared" si="11"/>
        <v>177</v>
      </c>
      <c r="C193" s="510" t="s">
        <v>38</v>
      </c>
      <c r="D193" s="511">
        <v>30484768</v>
      </c>
      <c r="E193" s="511"/>
      <c r="F193" s="512" t="s">
        <v>1343</v>
      </c>
      <c r="G193" s="513" t="s">
        <v>46</v>
      </c>
      <c r="H193" s="514" t="s">
        <v>1094</v>
      </c>
      <c r="I193" s="515" t="s">
        <v>1344</v>
      </c>
      <c r="J193" s="346" t="s">
        <v>42</v>
      </c>
      <c r="K193" s="526">
        <v>32513</v>
      </c>
      <c r="L193" s="527">
        <v>25420</v>
      </c>
      <c r="M193" s="528">
        <v>0</v>
      </c>
      <c r="N193" s="520">
        <v>0</v>
      </c>
      <c r="O193" s="520">
        <v>0</v>
      </c>
      <c r="P193" s="520">
        <v>0</v>
      </c>
      <c r="Q193" s="520">
        <v>0</v>
      </c>
      <c r="R193" s="520">
        <v>0</v>
      </c>
      <c r="S193" s="520">
        <v>0</v>
      </c>
      <c r="T193" s="18"/>
      <c r="U193" s="18"/>
      <c r="V193" s="18"/>
      <c r="W193" s="18"/>
      <c r="X193" s="18"/>
      <c r="Y193" s="18"/>
      <c r="Z193" s="18">
        <f t="shared" si="8"/>
        <v>0</v>
      </c>
      <c r="AA193" s="309">
        <v>7093</v>
      </c>
      <c r="AB193" s="19">
        <v>5</v>
      </c>
      <c r="AC193" s="521">
        <v>44224</v>
      </c>
      <c r="AD193" s="25">
        <v>44251</v>
      </c>
      <c r="AE193" s="309">
        <v>3147</v>
      </c>
      <c r="AF193" s="314">
        <v>50</v>
      </c>
      <c r="AG193" s="315">
        <v>44356</v>
      </c>
      <c r="AH193" s="315">
        <v>44377</v>
      </c>
      <c r="AI193" s="309"/>
      <c r="AJ193" s="338"/>
      <c r="AK193" s="315"/>
      <c r="AL193" s="316"/>
      <c r="AM193" s="309"/>
      <c r="AN193" s="338"/>
      <c r="AO193" s="21"/>
      <c r="AP193" s="25"/>
      <c r="AQ193" s="309"/>
      <c r="AR193" s="19"/>
      <c r="AS193" s="21"/>
      <c r="AT193" s="25"/>
      <c r="AU193" s="522">
        <f t="shared" si="9"/>
        <v>10240</v>
      </c>
      <c r="AV193" s="311">
        <f t="shared" si="10"/>
        <v>10240</v>
      </c>
      <c r="AW193" s="305"/>
      <c r="AX193" s="291"/>
      <c r="AY193" s="291"/>
      <c r="AZ193" s="291"/>
      <c r="BA193" s="291"/>
      <c r="BB193" s="291"/>
      <c r="BC193" s="291"/>
      <c r="BD193" s="291"/>
      <c r="BE193" s="291"/>
      <c r="BF193" s="291"/>
      <c r="BG193" s="291"/>
      <c r="BH193" s="291"/>
      <c r="BI193" s="291"/>
      <c r="BJ193" s="291"/>
      <c r="BK193" s="291"/>
      <c r="BL193" s="291"/>
      <c r="BM193" s="291"/>
      <c r="BN193" s="291"/>
      <c r="BO193" s="291"/>
      <c r="BP193" s="291"/>
      <c r="BQ193" s="291"/>
      <c r="BR193" s="291"/>
      <c r="BS193" s="291"/>
      <c r="BT193" s="291"/>
      <c r="BU193" s="291"/>
      <c r="BV193" s="291"/>
      <c r="BW193" s="291"/>
      <c r="BX193" s="291"/>
      <c r="BY193" s="291"/>
      <c r="BZ193" s="291"/>
      <c r="CA193" s="291"/>
      <c r="CB193" s="291"/>
      <c r="CC193" s="291"/>
      <c r="CD193" s="291"/>
      <c r="CE193" s="291"/>
      <c r="CF193" s="291"/>
      <c r="CG193" s="291"/>
      <c r="CH193" s="291"/>
      <c r="CI193" s="291"/>
      <c r="CJ193" s="291"/>
      <c r="CK193" s="291"/>
      <c r="CL193" s="291"/>
      <c r="CM193" s="291"/>
      <c r="CN193" s="291"/>
      <c r="CO193" s="291"/>
      <c r="CP193" s="291"/>
      <c r="CQ193" s="291"/>
      <c r="CR193" s="291"/>
      <c r="CS193" s="291"/>
      <c r="CT193" s="291"/>
      <c r="CU193" s="291"/>
      <c r="CV193" s="291"/>
      <c r="CW193" s="291"/>
      <c r="CX193" s="291"/>
      <c r="CY193" s="291"/>
      <c r="CZ193" s="291"/>
      <c r="DA193" s="291"/>
      <c r="DB193" s="291"/>
      <c r="DC193" s="291"/>
      <c r="DD193" s="291"/>
      <c r="DE193" s="291"/>
      <c r="DF193" s="291"/>
      <c r="DG193" s="291"/>
      <c r="DH193" s="291"/>
      <c r="DI193" s="291"/>
      <c r="DJ193" s="291"/>
      <c r="DK193" s="291"/>
      <c r="DL193" s="291"/>
      <c r="DM193" s="291"/>
      <c r="DN193" s="291"/>
      <c r="DO193" s="291"/>
      <c r="DP193" s="291"/>
      <c r="DQ193" s="291"/>
      <c r="DR193" s="291"/>
      <c r="DS193" s="291"/>
      <c r="DT193" s="291"/>
      <c r="DU193" s="291"/>
      <c r="DV193" s="291"/>
      <c r="DW193" s="291"/>
      <c r="DX193" s="291"/>
      <c r="DY193" s="291"/>
      <c r="DZ193" s="291"/>
      <c r="EA193" s="291"/>
      <c r="EB193" s="291"/>
      <c r="EC193" s="291"/>
      <c r="ED193" s="291"/>
      <c r="EE193" s="291"/>
      <c r="EF193" s="291"/>
      <c r="EG193" s="291"/>
      <c r="EH193" s="291"/>
      <c r="EI193" s="291"/>
      <c r="EJ193" s="291"/>
      <c r="EK193" s="291"/>
      <c r="EL193" s="291"/>
      <c r="EM193" s="291"/>
      <c r="EN193" s="291"/>
      <c r="EO193" s="291"/>
      <c r="EP193" s="291"/>
      <c r="EQ193" s="291"/>
      <c r="ER193" s="291"/>
      <c r="ES193" s="291"/>
      <c r="ET193" s="291"/>
      <c r="EU193" s="291"/>
      <c r="EV193" s="291"/>
      <c r="EW193" s="291"/>
      <c r="EX193" s="291"/>
      <c r="EY193" s="291"/>
      <c r="EZ193" s="291"/>
      <c r="FA193" s="291"/>
      <c r="FB193" s="291"/>
      <c r="FC193" s="291"/>
      <c r="FD193" s="291"/>
      <c r="FE193" s="291"/>
      <c r="FF193" s="291"/>
      <c r="FG193" s="291"/>
      <c r="FH193" s="291"/>
      <c r="FI193" s="291"/>
      <c r="FJ193" s="291"/>
      <c r="FK193" s="291"/>
      <c r="FL193" s="291"/>
      <c r="FM193" s="291"/>
      <c r="FN193" s="291"/>
      <c r="FO193" s="291"/>
      <c r="FP193" s="291"/>
      <c r="FQ193" s="291"/>
      <c r="FR193" s="291"/>
      <c r="FS193" s="291"/>
      <c r="FT193" s="291"/>
      <c r="FU193" s="291"/>
      <c r="FV193" s="291"/>
      <c r="FW193" s="291"/>
      <c r="FX193" s="291"/>
      <c r="FY193" s="291"/>
      <c r="FZ193" s="291"/>
      <c r="GA193" s="291"/>
      <c r="GB193" s="291"/>
      <c r="GC193" s="291"/>
      <c r="GD193" s="291"/>
      <c r="GE193" s="291"/>
      <c r="GF193" s="291"/>
      <c r="GG193" s="291"/>
      <c r="GH193" s="291"/>
      <c r="GI193" s="291"/>
      <c r="GJ193" s="291"/>
      <c r="GK193" s="291"/>
      <c r="GL193" s="291"/>
      <c r="GM193" s="291"/>
      <c r="GN193" s="291"/>
      <c r="GO193" s="291"/>
      <c r="GP193" s="291"/>
      <c r="GQ193" s="291"/>
      <c r="GR193" s="291"/>
      <c r="GS193" s="291"/>
      <c r="GT193" s="291"/>
      <c r="GU193" s="291"/>
      <c r="GV193" s="291"/>
      <c r="GW193" s="291"/>
      <c r="GX193" s="291"/>
      <c r="GY193" s="291"/>
      <c r="GZ193" s="291"/>
      <c r="HA193" s="291"/>
      <c r="HB193" s="291"/>
      <c r="HC193" s="291"/>
      <c r="HD193" s="291"/>
      <c r="HE193" s="291"/>
      <c r="HF193" s="291"/>
      <c r="HG193" s="291"/>
      <c r="HH193" s="291"/>
      <c r="HI193" s="291"/>
      <c r="HJ193" s="291"/>
      <c r="HK193" s="291"/>
      <c r="HL193" s="291"/>
      <c r="HM193" s="291"/>
      <c r="HN193" s="291"/>
      <c r="HO193" s="291"/>
      <c r="HP193" s="291"/>
      <c r="HQ193" s="291"/>
      <c r="HR193" s="291"/>
      <c r="HS193" s="291"/>
      <c r="HT193" s="291"/>
      <c r="HU193" s="291"/>
      <c r="HV193" s="291"/>
      <c r="HW193" s="291"/>
      <c r="HX193" s="291"/>
      <c r="HY193" s="291"/>
      <c r="HZ193" s="291"/>
      <c r="IA193" s="291"/>
      <c r="IB193" s="291"/>
      <c r="IC193" s="291"/>
      <c r="ID193" s="291"/>
      <c r="IE193" s="291"/>
      <c r="IF193" s="291"/>
      <c r="IG193" s="291"/>
      <c r="IH193" s="291"/>
      <c r="II193" s="291"/>
      <c r="IJ193" s="291"/>
      <c r="IK193" s="291"/>
      <c r="IL193" s="291"/>
      <c r="IM193" s="291"/>
      <c r="IN193" s="291"/>
      <c r="IO193" s="291"/>
      <c r="IP193" s="291"/>
      <c r="IQ193" s="291"/>
      <c r="IR193" s="291"/>
      <c r="IS193" s="291"/>
      <c r="IT193" s="291"/>
      <c r="IU193" s="291"/>
      <c r="IV193" s="291"/>
      <c r="IW193" s="291"/>
      <c r="IX193" s="291"/>
      <c r="IY193" s="291"/>
      <c r="IZ193" s="291"/>
      <c r="JA193" s="291"/>
      <c r="JB193" s="291"/>
      <c r="JC193" s="291"/>
      <c r="JD193" s="291"/>
      <c r="JE193" s="291"/>
      <c r="JF193" s="291"/>
      <c r="JG193" s="291"/>
      <c r="JH193" s="291"/>
      <c r="JI193" s="291"/>
      <c r="JJ193" s="291"/>
      <c r="JK193" s="291"/>
      <c r="JL193" s="291"/>
      <c r="JM193" s="291"/>
      <c r="JN193" s="291"/>
      <c r="JO193" s="291"/>
      <c r="JP193" s="291"/>
      <c r="JQ193" s="291"/>
      <c r="JR193" s="291"/>
      <c r="JS193" s="291"/>
      <c r="JT193" s="291"/>
      <c r="JU193" s="291"/>
      <c r="JV193" s="291"/>
      <c r="JW193" s="291"/>
      <c r="JX193" s="291"/>
      <c r="JY193" s="291"/>
      <c r="JZ193" s="291"/>
      <c r="KA193" s="291"/>
      <c r="KB193" s="291"/>
      <c r="KC193" s="291"/>
      <c r="KD193" s="291"/>
      <c r="KE193" s="291"/>
      <c r="KF193" s="291"/>
      <c r="KG193" s="291"/>
      <c r="KH193" s="291"/>
      <c r="KI193" s="291"/>
      <c r="KJ193" s="291"/>
      <c r="KK193" s="291"/>
      <c r="KL193" s="291"/>
      <c r="KM193" s="291"/>
      <c r="KN193" s="291"/>
      <c r="KO193" s="291"/>
      <c r="KP193" s="291"/>
      <c r="KQ193" s="291"/>
      <c r="KR193" s="291"/>
      <c r="KS193" s="291"/>
      <c r="KT193" s="291"/>
      <c r="KU193" s="291"/>
      <c r="KV193" s="291"/>
      <c r="KW193" s="291"/>
      <c r="KX193" s="291"/>
      <c r="KY193" s="291"/>
      <c r="KZ193" s="291"/>
      <c r="LA193" s="291"/>
      <c r="LB193" s="291"/>
      <c r="LC193" s="291"/>
      <c r="LD193" s="291"/>
      <c r="LE193" s="291"/>
      <c r="LF193" s="291"/>
      <c r="LG193" s="291"/>
      <c r="LH193" s="291"/>
      <c r="LI193" s="291"/>
      <c r="LJ193" s="291"/>
      <c r="LK193" s="291"/>
      <c r="LL193" s="291"/>
      <c r="LM193" s="291"/>
      <c r="LN193" s="291"/>
      <c r="LO193" s="291"/>
      <c r="LP193" s="291"/>
      <c r="LQ193" s="291"/>
      <c r="LR193" s="291"/>
      <c r="LS193" s="291"/>
      <c r="LT193" s="291"/>
      <c r="LU193" s="291"/>
      <c r="LV193" s="291"/>
      <c r="LW193" s="291"/>
      <c r="LX193" s="291"/>
      <c r="LY193" s="291"/>
      <c r="LZ193" s="291"/>
      <c r="MA193" s="291"/>
      <c r="MB193" s="291"/>
      <c r="MC193" s="291"/>
      <c r="MD193" s="291"/>
      <c r="ME193" s="291"/>
      <c r="MF193" s="291"/>
      <c r="MG193" s="291"/>
      <c r="MH193" s="291"/>
      <c r="MI193" s="291"/>
      <c r="MJ193" s="291"/>
      <c r="MK193" s="291"/>
      <c r="ML193" s="291"/>
      <c r="MM193" s="291"/>
      <c r="MN193" s="291"/>
      <c r="MO193" s="291"/>
      <c r="MP193" s="291"/>
      <c r="MQ193" s="291"/>
      <c r="MR193" s="291"/>
      <c r="MS193" s="291"/>
      <c r="MT193" s="291"/>
      <c r="MU193" s="291"/>
      <c r="MV193" s="291"/>
      <c r="MW193" s="291"/>
      <c r="MX193" s="291"/>
      <c r="MY193" s="291"/>
      <c r="MZ193" s="291"/>
      <c r="NA193" s="291"/>
      <c r="NB193" s="291"/>
      <c r="NC193" s="291"/>
      <c r="ND193" s="291"/>
      <c r="NE193" s="291"/>
      <c r="NF193" s="291"/>
      <c r="NG193" s="291"/>
      <c r="NH193" s="291"/>
      <c r="NI193" s="291"/>
      <c r="NJ193" s="291"/>
      <c r="NK193" s="291"/>
      <c r="NL193" s="291"/>
      <c r="NM193" s="291"/>
      <c r="NN193" s="291"/>
      <c r="NO193" s="291"/>
      <c r="NP193" s="291"/>
      <c r="NQ193" s="291"/>
      <c r="NR193" s="291"/>
      <c r="NS193" s="291"/>
      <c r="NT193" s="291"/>
      <c r="NU193" s="291"/>
      <c r="NV193" s="291"/>
      <c r="NW193" s="291"/>
      <c r="NX193" s="291"/>
      <c r="NY193" s="291"/>
      <c r="NZ193" s="291"/>
      <c r="OA193" s="291"/>
      <c r="OB193" s="291"/>
      <c r="OC193" s="291"/>
      <c r="OD193" s="291"/>
      <c r="OE193" s="291"/>
      <c r="OF193" s="291"/>
      <c r="OG193" s="291"/>
      <c r="OH193" s="291"/>
      <c r="OI193" s="291"/>
      <c r="OJ193" s="291"/>
      <c r="OK193" s="291"/>
      <c r="OL193" s="291"/>
      <c r="OM193" s="291"/>
      <c r="ON193" s="291"/>
      <c r="OO193" s="291"/>
      <c r="OP193" s="291"/>
      <c r="OQ193" s="291"/>
      <c r="OR193" s="291"/>
      <c r="OS193" s="291"/>
      <c r="OT193" s="291"/>
      <c r="OU193" s="291"/>
      <c r="OV193" s="291"/>
      <c r="OW193" s="291"/>
    </row>
    <row r="194" spans="1:413" s="257" customFormat="1" hidden="1" x14ac:dyDescent="0.2">
      <c r="A194" s="291"/>
      <c r="B194" s="524">
        <f t="shared" si="11"/>
        <v>178</v>
      </c>
      <c r="C194" s="510" t="s">
        <v>38</v>
      </c>
      <c r="D194" s="511">
        <v>30484906</v>
      </c>
      <c r="E194" s="511"/>
      <c r="F194" s="512" t="s">
        <v>1345</v>
      </c>
      <c r="G194" s="513" t="s">
        <v>46</v>
      </c>
      <c r="H194" s="514" t="s">
        <v>1094</v>
      </c>
      <c r="I194" s="515" t="s">
        <v>1209</v>
      </c>
      <c r="J194" s="346" t="s">
        <v>43</v>
      </c>
      <c r="K194" s="526">
        <v>52507</v>
      </c>
      <c r="L194" s="527">
        <v>0</v>
      </c>
      <c r="M194" s="528">
        <v>1</v>
      </c>
      <c r="N194" s="520">
        <v>0</v>
      </c>
      <c r="O194" s="520">
        <v>0</v>
      </c>
      <c r="P194" s="520">
        <v>0</v>
      </c>
      <c r="Q194" s="520">
        <v>11003</v>
      </c>
      <c r="R194" s="520">
        <v>0</v>
      </c>
      <c r="S194" s="520">
        <v>4401</v>
      </c>
      <c r="T194" s="18"/>
      <c r="U194" s="18"/>
      <c r="V194" s="18"/>
      <c r="W194" s="18"/>
      <c r="X194" s="18"/>
      <c r="Y194" s="18"/>
      <c r="Z194" s="18">
        <f t="shared" si="8"/>
        <v>15404</v>
      </c>
      <c r="AA194" s="309">
        <v>44012</v>
      </c>
      <c r="AB194" s="19">
        <v>5</v>
      </c>
      <c r="AC194" s="521">
        <v>44224</v>
      </c>
      <c r="AD194" s="25">
        <v>44251</v>
      </c>
      <c r="AE194" s="309"/>
      <c r="AF194" s="314"/>
      <c r="AG194" s="315"/>
      <c r="AH194" s="316"/>
      <c r="AI194" s="309"/>
      <c r="AJ194" s="338"/>
      <c r="AK194" s="315"/>
      <c r="AL194" s="316"/>
      <c r="AM194" s="309"/>
      <c r="AN194" s="338"/>
      <c r="AO194" s="21"/>
      <c r="AP194" s="25"/>
      <c r="AQ194" s="309"/>
      <c r="AR194" s="19"/>
      <c r="AS194" s="21"/>
      <c r="AT194" s="25"/>
      <c r="AU194" s="522">
        <f t="shared" si="9"/>
        <v>44012</v>
      </c>
      <c r="AV194" s="311">
        <f t="shared" si="10"/>
        <v>28608</v>
      </c>
      <c r="AW194" s="305"/>
      <c r="AX194" s="291"/>
      <c r="AY194" s="291"/>
      <c r="AZ194" s="291"/>
      <c r="BA194" s="291"/>
      <c r="BB194" s="291"/>
      <c r="BC194" s="291"/>
      <c r="BD194" s="291"/>
      <c r="BE194" s="291"/>
      <c r="BF194" s="291"/>
      <c r="BG194" s="291"/>
      <c r="BH194" s="291"/>
      <c r="BI194" s="291"/>
      <c r="BJ194" s="291"/>
      <c r="BK194" s="291"/>
      <c r="BL194" s="291"/>
      <c r="BM194" s="291"/>
      <c r="BN194" s="291"/>
      <c r="BO194" s="291"/>
      <c r="BP194" s="291"/>
      <c r="BQ194" s="291"/>
      <c r="BR194" s="291"/>
      <c r="BS194" s="291"/>
      <c r="BT194" s="291"/>
      <c r="BU194" s="291"/>
      <c r="BV194" s="291"/>
      <c r="BW194" s="291"/>
      <c r="BX194" s="291"/>
      <c r="BY194" s="291"/>
      <c r="BZ194" s="291"/>
      <c r="CA194" s="291"/>
      <c r="CB194" s="291"/>
      <c r="CC194" s="291"/>
      <c r="CD194" s="291"/>
      <c r="CE194" s="291"/>
      <c r="CF194" s="291"/>
      <c r="CG194" s="291"/>
      <c r="CH194" s="291"/>
      <c r="CI194" s="291"/>
      <c r="CJ194" s="291"/>
      <c r="CK194" s="291"/>
      <c r="CL194" s="291"/>
      <c r="CM194" s="291"/>
      <c r="CN194" s="291"/>
      <c r="CO194" s="291"/>
      <c r="CP194" s="291"/>
      <c r="CQ194" s="291"/>
      <c r="CR194" s="291"/>
      <c r="CS194" s="291"/>
      <c r="CT194" s="291"/>
      <c r="CU194" s="291"/>
      <c r="CV194" s="291"/>
      <c r="CW194" s="291"/>
      <c r="CX194" s="291"/>
      <c r="CY194" s="291"/>
      <c r="CZ194" s="291"/>
      <c r="DA194" s="291"/>
      <c r="DB194" s="291"/>
      <c r="DC194" s="291"/>
      <c r="DD194" s="291"/>
      <c r="DE194" s="291"/>
      <c r="DF194" s="291"/>
      <c r="DG194" s="291"/>
      <c r="DH194" s="291"/>
      <c r="DI194" s="291"/>
      <c r="DJ194" s="291"/>
      <c r="DK194" s="291"/>
      <c r="DL194" s="291"/>
      <c r="DM194" s="291"/>
      <c r="DN194" s="291"/>
      <c r="DO194" s="291"/>
      <c r="DP194" s="291"/>
      <c r="DQ194" s="291"/>
      <c r="DR194" s="291"/>
      <c r="DS194" s="291"/>
      <c r="DT194" s="291"/>
      <c r="DU194" s="291"/>
      <c r="DV194" s="291"/>
      <c r="DW194" s="291"/>
      <c r="DX194" s="291"/>
      <c r="DY194" s="291"/>
      <c r="DZ194" s="291"/>
      <c r="EA194" s="291"/>
      <c r="EB194" s="291"/>
      <c r="EC194" s="291"/>
      <c r="ED194" s="291"/>
      <c r="EE194" s="291"/>
      <c r="EF194" s="291"/>
      <c r="EG194" s="291"/>
      <c r="EH194" s="291"/>
      <c r="EI194" s="291"/>
      <c r="EJ194" s="291"/>
      <c r="EK194" s="291"/>
      <c r="EL194" s="291"/>
      <c r="EM194" s="291"/>
      <c r="EN194" s="291"/>
      <c r="EO194" s="291"/>
      <c r="EP194" s="291"/>
      <c r="EQ194" s="291"/>
      <c r="ER194" s="291"/>
      <c r="ES194" s="291"/>
      <c r="ET194" s="291"/>
      <c r="EU194" s="291"/>
      <c r="EV194" s="291"/>
      <c r="EW194" s="291"/>
      <c r="EX194" s="291"/>
      <c r="EY194" s="291"/>
      <c r="EZ194" s="291"/>
      <c r="FA194" s="291"/>
      <c r="FB194" s="291"/>
      <c r="FC194" s="291"/>
      <c r="FD194" s="291"/>
      <c r="FE194" s="291"/>
      <c r="FF194" s="291"/>
      <c r="FG194" s="291"/>
      <c r="FH194" s="291"/>
      <c r="FI194" s="291"/>
      <c r="FJ194" s="291"/>
      <c r="FK194" s="291"/>
      <c r="FL194" s="291"/>
      <c r="FM194" s="291"/>
      <c r="FN194" s="291"/>
      <c r="FO194" s="291"/>
      <c r="FP194" s="291"/>
      <c r="FQ194" s="291"/>
      <c r="FR194" s="291"/>
      <c r="FS194" s="291"/>
      <c r="FT194" s="291"/>
      <c r="FU194" s="291"/>
      <c r="FV194" s="291"/>
      <c r="FW194" s="291"/>
      <c r="FX194" s="291"/>
      <c r="FY194" s="291"/>
      <c r="FZ194" s="291"/>
      <c r="GA194" s="291"/>
      <c r="GB194" s="291"/>
      <c r="GC194" s="291"/>
      <c r="GD194" s="291"/>
      <c r="GE194" s="291"/>
      <c r="GF194" s="291"/>
      <c r="GG194" s="291"/>
      <c r="GH194" s="291"/>
      <c r="GI194" s="291"/>
      <c r="GJ194" s="291"/>
      <c r="GK194" s="291"/>
      <c r="GL194" s="291"/>
      <c r="GM194" s="291"/>
      <c r="GN194" s="291"/>
      <c r="GO194" s="291"/>
      <c r="GP194" s="291"/>
      <c r="GQ194" s="291"/>
      <c r="GR194" s="291"/>
      <c r="GS194" s="291"/>
      <c r="GT194" s="291"/>
      <c r="GU194" s="291"/>
      <c r="GV194" s="291"/>
      <c r="GW194" s="291"/>
      <c r="GX194" s="291"/>
      <c r="GY194" s="291"/>
      <c r="GZ194" s="291"/>
      <c r="HA194" s="291"/>
      <c r="HB194" s="291"/>
      <c r="HC194" s="291"/>
      <c r="HD194" s="291"/>
      <c r="HE194" s="291"/>
      <c r="HF194" s="291"/>
      <c r="HG194" s="291"/>
      <c r="HH194" s="291"/>
      <c r="HI194" s="291"/>
      <c r="HJ194" s="291"/>
      <c r="HK194" s="291"/>
      <c r="HL194" s="291"/>
      <c r="HM194" s="291"/>
      <c r="HN194" s="291"/>
      <c r="HO194" s="291"/>
      <c r="HP194" s="291"/>
      <c r="HQ194" s="291"/>
      <c r="HR194" s="291"/>
      <c r="HS194" s="291"/>
      <c r="HT194" s="291"/>
      <c r="HU194" s="291"/>
      <c r="HV194" s="291"/>
      <c r="HW194" s="291"/>
      <c r="HX194" s="291"/>
      <c r="HY194" s="291"/>
      <c r="HZ194" s="291"/>
      <c r="IA194" s="291"/>
      <c r="IB194" s="291"/>
      <c r="IC194" s="291"/>
      <c r="ID194" s="291"/>
      <c r="IE194" s="291"/>
      <c r="IF194" s="291"/>
      <c r="IG194" s="291"/>
      <c r="IH194" s="291"/>
      <c r="II194" s="291"/>
      <c r="IJ194" s="291"/>
      <c r="IK194" s="291"/>
      <c r="IL194" s="291"/>
      <c r="IM194" s="291"/>
      <c r="IN194" s="291"/>
      <c r="IO194" s="291"/>
      <c r="IP194" s="291"/>
      <c r="IQ194" s="291"/>
      <c r="IR194" s="291"/>
      <c r="IS194" s="291"/>
      <c r="IT194" s="291"/>
      <c r="IU194" s="291"/>
      <c r="IV194" s="291"/>
      <c r="IW194" s="291"/>
      <c r="IX194" s="291"/>
      <c r="IY194" s="291"/>
      <c r="IZ194" s="291"/>
      <c r="JA194" s="291"/>
      <c r="JB194" s="291"/>
      <c r="JC194" s="291"/>
      <c r="JD194" s="291"/>
      <c r="JE194" s="291"/>
      <c r="JF194" s="291"/>
      <c r="JG194" s="291"/>
      <c r="JH194" s="291"/>
      <c r="JI194" s="291"/>
      <c r="JJ194" s="291"/>
      <c r="JK194" s="291"/>
      <c r="JL194" s="291"/>
      <c r="JM194" s="291"/>
      <c r="JN194" s="291"/>
      <c r="JO194" s="291"/>
      <c r="JP194" s="291"/>
      <c r="JQ194" s="291"/>
      <c r="JR194" s="291"/>
      <c r="JS194" s="291"/>
      <c r="JT194" s="291"/>
      <c r="JU194" s="291"/>
      <c r="JV194" s="291"/>
      <c r="JW194" s="291"/>
      <c r="JX194" s="291"/>
      <c r="JY194" s="291"/>
      <c r="JZ194" s="291"/>
      <c r="KA194" s="291"/>
      <c r="KB194" s="291"/>
      <c r="KC194" s="291"/>
      <c r="KD194" s="291"/>
      <c r="KE194" s="291"/>
      <c r="KF194" s="291"/>
      <c r="KG194" s="291"/>
      <c r="KH194" s="291"/>
      <c r="KI194" s="291"/>
      <c r="KJ194" s="291"/>
      <c r="KK194" s="291"/>
      <c r="KL194" s="291"/>
      <c r="KM194" s="291"/>
      <c r="KN194" s="291"/>
      <c r="KO194" s="291"/>
      <c r="KP194" s="291"/>
      <c r="KQ194" s="291"/>
      <c r="KR194" s="291"/>
      <c r="KS194" s="291"/>
      <c r="KT194" s="291"/>
      <c r="KU194" s="291"/>
      <c r="KV194" s="291"/>
      <c r="KW194" s="291"/>
      <c r="KX194" s="291"/>
      <c r="KY194" s="291"/>
      <c r="KZ194" s="291"/>
      <c r="LA194" s="291"/>
      <c r="LB194" s="291"/>
      <c r="LC194" s="291"/>
      <c r="LD194" s="291"/>
      <c r="LE194" s="291"/>
      <c r="LF194" s="291"/>
      <c r="LG194" s="291"/>
      <c r="LH194" s="291"/>
      <c r="LI194" s="291"/>
      <c r="LJ194" s="291"/>
      <c r="LK194" s="291"/>
      <c r="LL194" s="291"/>
      <c r="LM194" s="291"/>
      <c r="LN194" s="291"/>
      <c r="LO194" s="291"/>
      <c r="LP194" s="291"/>
      <c r="LQ194" s="291"/>
      <c r="LR194" s="291"/>
      <c r="LS194" s="291"/>
      <c r="LT194" s="291"/>
      <c r="LU194" s="291"/>
      <c r="LV194" s="291"/>
      <c r="LW194" s="291"/>
      <c r="LX194" s="291"/>
      <c r="LY194" s="291"/>
      <c r="LZ194" s="291"/>
      <c r="MA194" s="291"/>
      <c r="MB194" s="291"/>
      <c r="MC194" s="291"/>
      <c r="MD194" s="291"/>
      <c r="ME194" s="291"/>
      <c r="MF194" s="291"/>
      <c r="MG194" s="291"/>
      <c r="MH194" s="291"/>
      <c r="MI194" s="291"/>
      <c r="MJ194" s="291"/>
      <c r="MK194" s="291"/>
      <c r="ML194" s="291"/>
      <c r="MM194" s="291"/>
      <c r="MN194" s="291"/>
      <c r="MO194" s="291"/>
      <c r="MP194" s="291"/>
      <c r="MQ194" s="291"/>
      <c r="MR194" s="291"/>
      <c r="MS194" s="291"/>
      <c r="MT194" s="291"/>
      <c r="MU194" s="291"/>
      <c r="MV194" s="291"/>
      <c r="MW194" s="291"/>
      <c r="MX194" s="291"/>
      <c r="MY194" s="291"/>
      <c r="MZ194" s="291"/>
      <c r="NA194" s="291"/>
      <c r="NB194" s="291"/>
      <c r="NC194" s="291"/>
      <c r="ND194" s="291"/>
      <c r="NE194" s="291"/>
      <c r="NF194" s="291"/>
      <c r="NG194" s="291"/>
      <c r="NH194" s="291"/>
      <c r="NI194" s="291"/>
      <c r="NJ194" s="291"/>
      <c r="NK194" s="291"/>
      <c r="NL194" s="291"/>
      <c r="NM194" s="291"/>
      <c r="NN194" s="291"/>
      <c r="NO194" s="291"/>
      <c r="NP194" s="291"/>
      <c r="NQ194" s="291"/>
      <c r="NR194" s="291"/>
      <c r="NS194" s="291"/>
      <c r="NT194" s="291"/>
      <c r="NU194" s="291"/>
      <c r="NV194" s="291"/>
      <c r="NW194" s="291"/>
      <c r="NX194" s="291"/>
      <c r="NY194" s="291"/>
      <c r="NZ194" s="291"/>
      <c r="OA194" s="291"/>
      <c r="OB194" s="291"/>
      <c r="OC194" s="291"/>
      <c r="OD194" s="291"/>
      <c r="OE194" s="291"/>
      <c r="OF194" s="291"/>
      <c r="OG194" s="291"/>
      <c r="OH194" s="291"/>
      <c r="OI194" s="291"/>
      <c r="OJ194" s="291"/>
      <c r="OK194" s="291"/>
      <c r="OL194" s="291"/>
      <c r="OM194" s="291"/>
      <c r="ON194" s="291"/>
      <c r="OO194" s="291"/>
      <c r="OP194" s="291"/>
      <c r="OQ194" s="291"/>
      <c r="OR194" s="291"/>
      <c r="OS194" s="291"/>
      <c r="OT194" s="291"/>
      <c r="OU194" s="291"/>
      <c r="OV194" s="291"/>
      <c r="OW194" s="291"/>
    </row>
    <row r="195" spans="1:413" s="257" customFormat="1" hidden="1" x14ac:dyDescent="0.2">
      <c r="A195" s="291"/>
      <c r="B195" s="524">
        <f t="shared" si="11"/>
        <v>179</v>
      </c>
      <c r="C195" s="510" t="s">
        <v>38</v>
      </c>
      <c r="D195" s="511">
        <v>30485333</v>
      </c>
      <c r="E195" s="511"/>
      <c r="F195" s="512" t="s">
        <v>1346</v>
      </c>
      <c r="G195" s="513" t="s">
        <v>45</v>
      </c>
      <c r="H195" s="514" t="s">
        <v>1094</v>
      </c>
      <c r="I195" s="515" t="s">
        <v>1347</v>
      </c>
      <c r="J195" s="346" t="s">
        <v>43</v>
      </c>
      <c r="K195" s="526">
        <v>1420920</v>
      </c>
      <c r="L195" s="527">
        <v>0</v>
      </c>
      <c r="M195" s="528">
        <v>1200104</v>
      </c>
      <c r="N195" s="520">
        <v>0</v>
      </c>
      <c r="O195" s="520">
        <v>0</v>
      </c>
      <c r="P195" s="520">
        <v>10576</v>
      </c>
      <c r="Q195" s="520">
        <v>0</v>
      </c>
      <c r="R195" s="520">
        <v>0</v>
      </c>
      <c r="S195" s="520">
        <v>0</v>
      </c>
      <c r="T195" s="18"/>
      <c r="U195" s="18"/>
      <c r="V195" s="18"/>
      <c r="W195" s="18"/>
      <c r="X195" s="18"/>
      <c r="Y195" s="18"/>
      <c r="Z195" s="18">
        <f t="shared" si="8"/>
        <v>10576</v>
      </c>
      <c r="AA195" s="309">
        <v>220576</v>
      </c>
      <c r="AB195" s="19">
        <v>11</v>
      </c>
      <c r="AC195" s="521">
        <v>44237</v>
      </c>
      <c r="AD195" s="25">
        <v>44251</v>
      </c>
      <c r="AE195" s="309">
        <v>500000</v>
      </c>
      <c r="AF195" s="314">
        <v>39</v>
      </c>
      <c r="AG195" s="315">
        <v>44334</v>
      </c>
      <c r="AH195" s="315">
        <v>44342</v>
      </c>
      <c r="AI195" s="309"/>
      <c r="AJ195" s="338"/>
      <c r="AK195" s="315"/>
      <c r="AL195" s="316"/>
      <c r="AM195" s="309"/>
      <c r="AN195" s="338"/>
      <c r="AO195" s="21"/>
      <c r="AP195" s="25"/>
      <c r="AQ195" s="309"/>
      <c r="AR195" s="19"/>
      <c r="AS195" s="21"/>
      <c r="AT195" s="25"/>
      <c r="AU195" s="522">
        <f t="shared" si="9"/>
        <v>720576</v>
      </c>
      <c r="AV195" s="311">
        <f t="shared" si="10"/>
        <v>710000</v>
      </c>
      <c r="AW195" s="305"/>
      <c r="AX195" s="291"/>
      <c r="AY195" s="291"/>
      <c r="AZ195" s="291"/>
      <c r="BA195" s="291"/>
      <c r="BB195" s="291"/>
      <c r="BC195" s="291"/>
      <c r="BD195" s="291"/>
      <c r="BE195" s="291"/>
      <c r="BF195" s="291"/>
      <c r="BG195" s="291"/>
      <c r="BH195" s="291"/>
      <c r="BI195" s="291"/>
      <c r="BJ195" s="291"/>
      <c r="BK195" s="291"/>
      <c r="BL195" s="291"/>
      <c r="BM195" s="291"/>
      <c r="BN195" s="291"/>
      <c r="BO195" s="291"/>
      <c r="BP195" s="291"/>
      <c r="BQ195" s="291"/>
      <c r="BR195" s="291"/>
      <c r="BS195" s="291"/>
      <c r="BT195" s="291"/>
      <c r="BU195" s="291"/>
      <c r="BV195" s="291"/>
      <c r="BW195" s="291"/>
      <c r="BX195" s="291"/>
      <c r="BY195" s="291"/>
      <c r="BZ195" s="291"/>
      <c r="CA195" s="291"/>
      <c r="CB195" s="291"/>
      <c r="CC195" s="291"/>
      <c r="CD195" s="291"/>
      <c r="CE195" s="291"/>
      <c r="CF195" s="291"/>
      <c r="CG195" s="291"/>
      <c r="CH195" s="291"/>
      <c r="CI195" s="291"/>
      <c r="CJ195" s="291"/>
      <c r="CK195" s="291"/>
      <c r="CL195" s="291"/>
      <c r="CM195" s="291"/>
      <c r="CN195" s="291"/>
      <c r="CO195" s="291"/>
      <c r="CP195" s="291"/>
      <c r="CQ195" s="291"/>
      <c r="CR195" s="291"/>
      <c r="CS195" s="291"/>
      <c r="CT195" s="291"/>
      <c r="CU195" s="291"/>
      <c r="CV195" s="291"/>
      <c r="CW195" s="291"/>
      <c r="CX195" s="291"/>
      <c r="CY195" s="291"/>
      <c r="CZ195" s="291"/>
      <c r="DA195" s="291"/>
      <c r="DB195" s="291"/>
      <c r="DC195" s="291"/>
      <c r="DD195" s="291"/>
      <c r="DE195" s="291"/>
      <c r="DF195" s="291"/>
      <c r="DG195" s="291"/>
      <c r="DH195" s="291"/>
      <c r="DI195" s="291"/>
      <c r="DJ195" s="291"/>
      <c r="DK195" s="291"/>
      <c r="DL195" s="291"/>
      <c r="DM195" s="291"/>
      <c r="DN195" s="291"/>
      <c r="DO195" s="291"/>
      <c r="DP195" s="291"/>
      <c r="DQ195" s="291"/>
      <c r="DR195" s="291"/>
      <c r="DS195" s="291"/>
      <c r="DT195" s="291"/>
      <c r="DU195" s="291"/>
      <c r="DV195" s="291"/>
      <c r="DW195" s="291"/>
      <c r="DX195" s="291"/>
      <c r="DY195" s="291"/>
      <c r="DZ195" s="291"/>
      <c r="EA195" s="291"/>
      <c r="EB195" s="291"/>
      <c r="EC195" s="291"/>
      <c r="ED195" s="291"/>
      <c r="EE195" s="291"/>
      <c r="EF195" s="291"/>
      <c r="EG195" s="291"/>
      <c r="EH195" s="291"/>
      <c r="EI195" s="291"/>
      <c r="EJ195" s="291"/>
      <c r="EK195" s="291"/>
      <c r="EL195" s="291"/>
      <c r="EM195" s="291"/>
      <c r="EN195" s="291"/>
      <c r="EO195" s="291"/>
      <c r="EP195" s="291"/>
      <c r="EQ195" s="291"/>
      <c r="ER195" s="291"/>
      <c r="ES195" s="291"/>
      <c r="ET195" s="291"/>
      <c r="EU195" s="291"/>
      <c r="EV195" s="291"/>
      <c r="EW195" s="291"/>
      <c r="EX195" s="291"/>
      <c r="EY195" s="291"/>
      <c r="EZ195" s="291"/>
      <c r="FA195" s="291"/>
      <c r="FB195" s="291"/>
      <c r="FC195" s="291"/>
      <c r="FD195" s="291"/>
      <c r="FE195" s="291"/>
      <c r="FF195" s="291"/>
      <c r="FG195" s="291"/>
      <c r="FH195" s="291"/>
      <c r="FI195" s="291"/>
      <c r="FJ195" s="291"/>
      <c r="FK195" s="291"/>
      <c r="FL195" s="291"/>
      <c r="FM195" s="291"/>
      <c r="FN195" s="291"/>
      <c r="FO195" s="291"/>
      <c r="FP195" s="291"/>
      <c r="FQ195" s="291"/>
      <c r="FR195" s="291"/>
      <c r="FS195" s="291"/>
      <c r="FT195" s="291"/>
      <c r="FU195" s="291"/>
      <c r="FV195" s="291"/>
      <c r="FW195" s="291"/>
      <c r="FX195" s="291"/>
      <c r="FY195" s="291"/>
      <c r="FZ195" s="291"/>
      <c r="GA195" s="291"/>
      <c r="GB195" s="291"/>
      <c r="GC195" s="291"/>
      <c r="GD195" s="291"/>
      <c r="GE195" s="291"/>
      <c r="GF195" s="291"/>
      <c r="GG195" s="291"/>
      <c r="GH195" s="291"/>
      <c r="GI195" s="291"/>
      <c r="GJ195" s="291"/>
      <c r="GK195" s="291"/>
      <c r="GL195" s="291"/>
      <c r="GM195" s="291"/>
      <c r="GN195" s="291"/>
      <c r="GO195" s="291"/>
      <c r="GP195" s="291"/>
      <c r="GQ195" s="291"/>
      <c r="GR195" s="291"/>
      <c r="GS195" s="291"/>
      <c r="GT195" s="291"/>
      <c r="GU195" s="291"/>
      <c r="GV195" s="291"/>
      <c r="GW195" s="291"/>
      <c r="GX195" s="291"/>
      <c r="GY195" s="291"/>
      <c r="GZ195" s="291"/>
      <c r="HA195" s="291"/>
      <c r="HB195" s="291"/>
      <c r="HC195" s="291"/>
      <c r="HD195" s="291"/>
      <c r="HE195" s="291"/>
      <c r="HF195" s="291"/>
      <c r="HG195" s="291"/>
      <c r="HH195" s="291"/>
      <c r="HI195" s="291"/>
      <c r="HJ195" s="291"/>
      <c r="HK195" s="291"/>
      <c r="HL195" s="291"/>
      <c r="HM195" s="291"/>
      <c r="HN195" s="291"/>
      <c r="HO195" s="291"/>
      <c r="HP195" s="291"/>
      <c r="HQ195" s="291"/>
      <c r="HR195" s="291"/>
      <c r="HS195" s="291"/>
      <c r="HT195" s="291"/>
      <c r="HU195" s="291"/>
      <c r="HV195" s="291"/>
      <c r="HW195" s="291"/>
      <c r="HX195" s="291"/>
      <c r="HY195" s="291"/>
      <c r="HZ195" s="291"/>
      <c r="IA195" s="291"/>
      <c r="IB195" s="291"/>
      <c r="IC195" s="291"/>
      <c r="ID195" s="291"/>
      <c r="IE195" s="291"/>
      <c r="IF195" s="291"/>
      <c r="IG195" s="291"/>
      <c r="IH195" s="291"/>
      <c r="II195" s="291"/>
      <c r="IJ195" s="291"/>
      <c r="IK195" s="291"/>
      <c r="IL195" s="291"/>
      <c r="IM195" s="291"/>
      <c r="IN195" s="291"/>
      <c r="IO195" s="291"/>
      <c r="IP195" s="291"/>
      <c r="IQ195" s="291"/>
      <c r="IR195" s="291"/>
      <c r="IS195" s="291"/>
      <c r="IT195" s="291"/>
      <c r="IU195" s="291"/>
      <c r="IV195" s="291"/>
      <c r="IW195" s="291"/>
      <c r="IX195" s="291"/>
      <c r="IY195" s="291"/>
      <c r="IZ195" s="291"/>
      <c r="JA195" s="291"/>
      <c r="JB195" s="291"/>
      <c r="JC195" s="291"/>
      <c r="JD195" s="291"/>
      <c r="JE195" s="291"/>
      <c r="JF195" s="291"/>
      <c r="JG195" s="291"/>
      <c r="JH195" s="291"/>
      <c r="JI195" s="291"/>
      <c r="JJ195" s="291"/>
      <c r="JK195" s="291"/>
      <c r="JL195" s="291"/>
      <c r="JM195" s="291"/>
      <c r="JN195" s="291"/>
      <c r="JO195" s="291"/>
      <c r="JP195" s="291"/>
      <c r="JQ195" s="291"/>
      <c r="JR195" s="291"/>
      <c r="JS195" s="291"/>
      <c r="JT195" s="291"/>
      <c r="JU195" s="291"/>
      <c r="JV195" s="291"/>
      <c r="JW195" s="291"/>
      <c r="JX195" s="291"/>
      <c r="JY195" s="291"/>
      <c r="JZ195" s="291"/>
      <c r="KA195" s="291"/>
      <c r="KB195" s="291"/>
      <c r="KC195" s="291"/>
      <c r="KD195" s="291"/>
      <c r="KE195" s="291"/>
      <c r="KF195" s="291"/>
      <c r="KG195" s="291"/>
      <c r="KH195" s="291"/>
      <c r="KI195" s="291"/>
      <c r="KJ195" s="291"/>
      <c r="KK195" s="291"/>
      <c r="KL195" s="291"/>
      <c r="KM195" s="291"/>
      <c r="KN195" s="291"/>
      <c r="KO195" s="291"/>
      <c r="KP195" s="291"/>
      <c r="KQ195" s="291"/>
      <c r="KR195" s="291"/>
      <c r="KS195" s="291"/>
      <c r="KT195" s="291"/>
      <c r="KU195" s="291"/>
      <c r="KV195" s="291"/>
      <c r="KW195" s="291"/>
      <c r="KX195" s="291"/>
      <c r="KY195" s="291"/>
      <c r="KZ195" s="291"/>
      <c r="LA195" s="291"/>
      <c r="LB195" s="291"/>
      <c r="LC195" s="291"/>
      <c r="LD195" s="291"/>
      <c r="LE195" s="291"/>
      <c r="LF195" s="291"/>
      <c r="LG195" s="291"/>
      <c r="LH195" s="291"/>
      <c r="LI195" s="291"/>
      <c r="LJ195" s="291"/>
      <c r="LK195" s="291"/>
      <c r="LL195" s="291"/>
      <c r="LM195" s="291"/>
      <c r="LN195" s="291"/>
      <c r="LO195" s="291"/>
      <c r="LP195" s="291"/>
      <c r="LQ195" s="291"/>
      <c r="LR195" s="291"/>
      <c r="LS195" s="291"/>
      <c r="LT195" s="291"/>
      <c r="LU195" s="291"/>
      <c r="LV195" s="291"/>
      <c r="LW195" s="291"/>
      <c r="LX195" s="291"/>
      <c r="LY195" s="291"/>
      <c r="LZ195" s="291"/>
      <c r="MA195" s="291"/>
      <c r="MB195" s="291"/>
      <c r="MC195" s="291"/>
      <c r="MD195" s="291"/>
      <c r="ME195" s="291"/>
      <c r="MF195" s="291"/>
      <c r="MG195" s="291"/>
      <c r="MH195" s="291"/>
      <c r="MI195" s="291"/>
      <c r="MJ195" s="291"/>
      <c r="MK195" s="291"/>
      <c r="ML195" s="291"/>
      <c r="MM195" s="291"/>
      <c r="MN195" s="291"/>
      <c r="MO195" s="291"/>
      <c r="MP195" s="291"/>
      <c r="MQ195" s="291"/>
      <c r="MR195" s="291"/>
      <c r="MS195" s="291"/>
      <c r="MT195" s="291"/>
      <c r="MU195" s="291"/>
      <c r="MV195" s="291"/>
      <c r="MW195" s="291"/>
      <c r="MX195" s="291"/>
      <c r="MY195" s="291"/>
      <c r="MZ195" s="291"/>
      <c r="NA195" s="291"/>
      <c r="NB195" s="291"/>
      <c r="NC195" s="291"/>
      <c r="ND195" s="291"/>
      <c r="NE195" s="291"/>
      <c r="NF195" s="291"/>
      <c r="NG195" s="291"/>
      <c r="NH195" s="291"/>
      <c r="NI195" s="291"/>
      <c r="NJ195" s="291"/>
      <c r="NK195" s="291"/>
      <c r="NL195" s="291"/>
      <c r="NM195" s="291"/>
      <c r="NN195" s="291"/>
      <c r="NO195" s="291"/>
      <c r="NP195" s="291"/>
      <c r="NQ195" s="291"/>
      <c r="NR195" s="291"/>
      <c r="NS195" s="291"/>
      <c r="NT195" s="291"/>
      <c r="NU195" s="291"/>
      <c r="NV195" s="291"/>
      <c r="NW195" s="291"/>
      <c r="NX195" s="291"/>
      <c r="NY195" s="291"/>
      <c r="NZ195" s="291"/>
      <c r="OA195" s="291"/>
      <c r="OB195" s="291"/>
      <c r="OC195" s="291"/>
      <c r="OD195" s="291"/>
      <c r="OE195" s="291"/>
      <c r="OF195" s="291"/>
      <c r="OG195" s="291"/>
      <c r="OH195" s="291"/>
      <c r="OI195" s="291"/>
      <c r="OJ195" s="291"/>
      <c r="OK195" s="291"/>
      <c r="OL195" s="291"/>
      <c r="OM195" s="291"/>
      <c r="ON195" s="291"/>
      <c r="OO195" s="291"/>
      <c r="OP195" s="291"/>
      <c r="OQ195" s="291"/>
      <c r="OR195" s="291"/>
      <c r="OS195" s="291"/>
      <c r="OT195" s="291"/>
      <c r="OU195" s="291"/>
      <c r="OV195" s="291"/>
      <c r="OW195" s="291"/>
    </row>
    <row r="196" spans="1:413" s="257" customFormat="1" hidden="1" x14ac:dyDescent="0.2">
      <c r="A196" s="291"/>
      <c r="B196" s="524">
        <f t="shared" si="11"/>
        <v>180</v>
      </c>
      <c r="C196" s="510" t="s">
        <v>38</v>
      </c>
      <c r="D196" s="511">
        <v>30485336</v>
      </c>
      <c r="E196" s="511"/>
      <c r="F196" s="512" t="s">
        <v>1348</v>
      </c>
      <c r="G196" s="513" t="s">
        <v>45</v>
      </c>
      <c r="H196" s="514" t="s">
        <v>1094</v>
      </c>
      <c r="I196" s="515" t="s">
        <v>1255</v>
      </c>
      <c r="J196" s="346" t="s">
        <v>43</v>
      </c>
      <c r="K196" s="526">
        <v>692851</v>
      </c>
      <c r="L196" s="527">
        <v>0</v>
      </c>
      <c r="M196" s="528">
        <v>568634</v>
      </c>
      <c r="N196" s="520">
        <v>0</v>
      </c>
      <c r="O196" s="520">
        <v>0</v>
      </c>
      <c r="P196" s="520">
        <v>13902</v>
      </c>
      <c r="Q196" s="520">
        <v>0</v>
      </c>
      <c r="R196" s="520">
        <v>0</v>
      </c>
      <c r="S196" s="520">
        <v>0</v>
      </c>
      <c r="T196" s="18"/>
      <c r="U196" s="18"/>
      <c r="V196" s="18"/>
      <c r="W196" s="18"/>
      <c r="X196" s="18"/>
      <c r="Y196" s="18"/>
      <c r="Z196" s="18">
        <f t="shared" si="8"/>
        <v>13902</v>
      </c>
      <c r="AA196" s="309">
        <v>123904</v>
      </c>
      <c r="AB196" s="19">
        <v>3</v>
      </c>
      <c r="AC196" s="521">
        <v>44222</v>
      </c>
      <c r="AD196" s="25">
        <v>44225</v>
      </c>
      <c r="AE196" s="309"/>
      <c r="AF196" s="314"/>
      <c r="AG196" s="315"/>
      <c r="AH196" s="316"/>
      <c r="AI196" s="309"/>
      <c r="AJ196" s="338"/>
      <c r="AK196" s="315"/>
      <c r="AL196" s="316"/>
      <c r="AM196" s="309"/>
      <c r="AN196" s="338"/>
      <c r="AO196" s="21"/>
      <c r="AP196" s="25"/>
      <c r="AQ196" s="309"/>
      <c r="AR196" s="19"/>
      <c r="AS196" s="21"/>
      <c r="AT196" s="25"/>
      <c r="AU196" s="522">
        <f t="shared" si="9"/>
        <v>123904</v>
      </c>
      <c r="AV196" s="311">
        <f t="shared" si="10"/>
        <v>110002</v>
      </c>
      <c r="AW196" s="305"/>
      <c r="AX196" s="291"/>
      <c r="AY196" s="291"/>
      <c r="AZ196" s="291"/>
      <c r="BA196" s="291"/>
      <c r="BB196" s="291"/>
      <c r="BC196" s="291"/>
      <c r="BD196" s="291"/>
      <c r="BE196" s="291"/>
      <c r="BF196" s="291"/>
      <c r="BG196" s="291"/>
      <c r="BH196" s="291"/>
      <c r="BI196" s="291"/>
      <c r="BJ196" s="291"/>
      <c r="BK196" s="291"/>
      <c r="BL196" s="291"/>
      <c r="BM196" s="291"/>
      <c r="BN196" s="291"/>
      <c r="BO196" s="291"/>
      <c r="BP196" s="291"/>
      <c r="BQ196" s="291"/>
      <c r="BR196" s="291"/>
      <c r="BS196" s="291"/>
      <c r="BT196" s="291"/>
      <c r="BU196" s="291"/>
      <c r="BV196" s="291"/>
      <c r="BW196" s="291"/>
      <c r="BX196" s="291"/>
      <c r="BY196" s="291"/>
      <c r="BZ196" s="291"/>
      <c r="CA196" s="291"/>
      <c r="CB196" s="291"/>
      <c r="CC196" s="291"/>
      <c r="CD196" s="291"/>
      <c r="CE196" s="291"/>
      <c r="CF196" s="291"/>
      <c r="CG196" s="291"/>
      <c r="CH196" s="291"/>
      <c r="CI196" s="291"/>
      <c r="CJ196" s="291"/>
      <c r="CK196" s="291"/>
      <c r="CL196" s="291"/>
      <c r="CM196" s="291"/>
      <c r="CN196" s="291"/>
      <c r="CO196" s="291"/>
      <c r="CP196" s="291"/>
      <c r="CQ196" s="291"/>
      <c r="CR196" s="291"/>
      <c r="CS196" s="291"/>
      <c r="CT196" s="291"/>
      <c r="CU196" s="291"/>
      <c r="CV196" s="291"/>
      <c r="CW196" s="291"/>
      <c r="CX196" s="291"/>
      <c r="CY196" s="291"/>
      <c r="CZ196" s="291"/>
      <c r="DA196" s="291"/>
      <c r="DB196" s="291"/>
      <c r="DC196" s="291"/>
      <c r="DD196" s="291"/>
      <c r="DE196" s="291"/>
      <c r="DF196" s="291"/>
      <c r="DG196" s="291"/>
      <c r="DH196" s="291"/>
      <c r="DI196" s="291"/>
      <c r="DJ196" s="291"/>
      <c r="DK196" s="291"/>
      <c r="DL196" s="291"/>
      <c r="DM196" s="291"/>
      <c r="DN196" s="291"/>
      <c r="DO196" s="291"/>
      <c r="DP196" s="291"/>
      <c r="DQ196" s="291"/>
      <c r="DR196" s="291"/>
      <c r="DS196" s="291"/>
      <c r="DT196" s="291"/>
      <c r="DU196" s="291"/>
      <c r="DV196" s="291"/>
      <c r="DW196" s="291"/>
      <c r="DX196" s="291"/>
      <c r="DY196" s="291"/>
      <c r="DZ196" s="291"/>
      <c r="EA196" s="291"/>
      <c r="EB196" s="291"/>
      <c r="EC196" s="291"/>
      <c r="ED196" s="291"/>
      <c r="EE196" s="291"/>
      <c r="EF196" s="291"/>
      <c r="EG196" s="291"/>
      <c r="EH196" s="291"/>
      <c r="EI196" s="291"/>
      <c r="EJ196" s="291"/>
      <c r="EK196" s="291"/>
      <c r="EL196" s="291"/>
      <c r="EM196" s="291"/>
      <c r="EN196" s="291"/>
      <c r="EO196" s="291"/>
      <c r="EP196" s="291"/>
      <c r="EQ196" s="291"/>
      <c r="ER196" s="291"/>
      <c r="ES196" s="291"/>
      <c r="ET196" s="291"/>
      <c r="EU196" s="291"/>
      <c r="EV196" s="291"/>
      <c r="EW196" s="291"/>
      <c r="EX196" s="291"/>
      <c r="EY196" s="291"/>
      <c r="EZ196" s="291"/>
      <c r="FA196" s="291"/>
      <c r="FB196" s="291"/>
      <c r="FC196" s="291"/>
      <c r="FD196" s="291"/>
      <c r="FE196" s="291"/>
      <c r="FF196" s="291"/>
      <c r="FG196" s="291"/>
      <c r="FH196" s="291"/>
      <c r="FI196" s="291"/>
      <c r="FJ196" s="291"/>
      <c r="FK196" s="291"/>
      <c r="FL196" s="291"/>
      <c r="FM196" s="291"/>
      <c r="FN196" s="291"/>
      <c r="FO196" s="291"/>
      <c r="FP196" s="291"/>
      <c r="FQ196" s="291"/>
      <c r="FR196" s="291"/>
      <c r="FS196" s="291"/>
      <c r="FT196" s="291"/>
      <c r="FU196" s="291"/>
      <c r="FV196" s="291"/>
      <c r="FW196" s="291"/>
      <c r="FX196" s="291"/>
      <c r="FY196" s="291"/>
      <c r="FZ196" s="291"/>
      <c r="GA196" s="291"/>
      <c r="GB196" s="291"/>
      <c r="GC196" s="291"/>
      <c r="GD196" s="291"/>
      <c r="GE196" s="291"/>
      <c r="GF196" s="291"/>
      <c r="GG196" s="291"/>
      <c r="GH196" s="291"/>
      <c r="GI196" s="291"/>
      <c r="GJ196" s="291"/>
      <c r="GK196" s="291"/>
      <c r="GL196" s="291"/>
      <c r="GM196" s="291"/>
      <c r="GN196" s="291"/>
      <c r="GO196" s="291"/>
      <c r="GP196" s="291"/>
      <c r="GQ196" s="291"/>
      <c r="GR196" s="291"/>
      <c r="GS196" s="291"/>
      <c r="GT196" s="291"/>
      <c r="GU196" s="291"/>
      <c r="GV196" s="291"/>
      <c r="GW196" s="291"/>
      <c r="GX196" s="291"/>
      <c r="GY196" s="291"/>
      <c r="GZ196" s="291"/>
      <c r="HA196" s="291"/>
      <c r="HB196" s="291"/>
      <c r="HC196" s="291"/>
      <c r="HD196" s="291"/>
      <c r="HE196" s="291"/>
      <c r="HF196" s="291"/>
      <c r="HG196" s="291"/>
      <c r="HH196" s="291"/>
      <c r="HI196" s="291"/>
      <c r="HJ196" s="291"/>
      <c r="HK196" s="291"/>
      <c r="HL196" s="291"/>
      <c r="HM196" s="291"/>
      <c r="HN196" s="291"/>
      <c r="HO196" s="291"/>
      <c r="HP196" s="291"/>
      <c r="HQ196" s="291"/>
      <c r="HR196" s="291"/>
      <c r="HS196" s="291"/>
      <c r="HT196" s="291"/>
      <c r="HU196" s="291"/>
      <c r="HV196" s="291"/>
      <c r="HW196" s="291"/>
      <c r="HX196" s="291"/>
      <c r="HY196" s="291"/>
      <c r="HZ196" s="291"/>
      <c r="IA196" s="291"/>
      <c r="IB196" s="291"/>
      <c r="IC196" s="291"/>
      <c r="ID196" s="291"/>
      <c r="IE196" s="291"/>
      <c r="IF196" s="291"/>
      <c r="IG196" s="291"/>
      <c r="IH196" s="291"/>
      <c r="II196" s="291"/>
      <c r="IJ196" s="291"/>
      <c r="IK196" s="291"/>
      <c r="IL196" s="291"/>
      <c r="IM196" s="291"/>
      <c r="IN196" s="291"/>
      <c r="IO196" s="291"/>
      <c r="IP196" s="291"/>
      <c r="IQ196" s="291"/>
      <c r="IR196" s="291"/>
      <c r="IS196" s="291"/>
      <c r="IT196" s="291"/>
      <c r="IU196" s="291"/>
      <c r="IV196" s="291"/>
      <c r="IW196" s="291"/>
      <c r="IX196" s="291"/>
      <c r="IY196" s="291"/>
      <c r="IZ196" s="291"/>
      <c r="JA196" s="291"/>
      <c r="JB196" s="291"/>
      <c r="JC196" s="291"/>
      <c r="JD196" s="291"/>
      <c r="JE196" s="291"/>
      <c r="JF196" s="291"/>
      <c r="JG196" s="291"/>
      <c r="JH196" s="291"/>
      <c r="JI196" s="291"/>
      <c r="JJ196" s="291"/>
      <c r="JK196" s="291"/>
      <c r="JL196" s="291"/>
      <c r="JM196" s="291"/>
      <c r="JN196" s="291"/>
      <c r="JO196" s="291"/>
      <c r="JP196" s="291"/>
      <c r="JQ196" s="291"/>
      <c r="JR196" s="291"/>
      <c r="JS196" s="291"/>
      <c r="JT196" s="291"/>
      <c r="JU196" s="291"/>
      <c r="JV196" s="291"/>
      <c r="JW196" s="291"/>
      <c r="JX196" s="291"/>
      <c r="JY196" s="291"/>
      <c r="JZ196" s="291"/>
      <c r="KA196" s="291"/>
      <c r="KB196" s="291"/>
      <c r="KC196" s="291"/>
      <c r="KD196" s="291"/>
      <c r="KE196" s="291"/>
      <c r="KF196" s="291"/>
      <c r="KG196" s="291"/>
      <c r="KH196" s="291"/>
      <c r="KI196" s="291"/>
      <c r="KJ196" s="291"/>
      <c r="KK196" s="291"/>
      <c r="KL196" s="291"/>
      <c r="KM196" s="291"/>
      <c r="KN196" s="291"/>
      <c r="KO196" s="291"/>
      <c r="KP196" s="291"/>
      <c r="KQ196" s="291"/>
      <c r="KR196" s="291"/>
      <c r="KS196" s="291"/>
      <c r="KT196" s="291"/>
      <c r="KU196" s="291"/>
      <c r="KV196" s="291"/>
      <c r="KW196" s="291"/>
      <c r="KX196" s="291"/>
      <c r="KY196" s="291"/>
      <c r="KZ196" s="291"/>
      <c r="LA196" s="291"/>
      <c r="LB196" s="291"/>
      <c r="LC196" s="291"/>
      <c r="LD196" s="291"/>
      <c r="LE196" s="291"/>
      <c r="LF196" s="291"/>
      <c r="LG196" s="291"/>
      <c r="LH196" s="291"/>
      <c r="LI196" s="291"/>
      <c r="LJ196" s="291"/>
      <c r="LK196" s="291"/>
      <c r="LL196" s="291"/>
      <c r="LM196" s="291"/>
      <c r="LN196" s="291"/>
      <c r="LO196" s="291"/>
      <c r="LP196" s="291"/>
      <c r="LQ196" s="291"/>
      <c r="LR196" s="291"/>
      <c r="LS196" s="291"/>
      <c r="LT196" s="291"/>
      <c r="LU196" s="291"/>
      <c r="LV196" s="291"/>
      <c r="LW196" s="291"/>
      <c r="LX196" s="291"/>
      <c r="LY196" s="291"/>
      <c r="LZ196" s="291"/>
      <c r="MA196" s="291"/>
      <c r="MB196" s="291"/>
      <c r="MC196" s="291"/>
      <c r="MD196" s="291"/>
      <c r="ME196" s="291"/>
      <c r="MF196" s="291"/>
      <c r="MG196" s="291"/>
      <c r="MH196" s="291"/>
      <c r="MI196" s="291"/>
      <c r="MJ196" s="291"/>
      <c r="MK196" s="291"/>
      <c r="ML196" s="291"/>
      <c r="MM196" s="291"/>
      <c r="MN196" s="291"/>
      <c r="MO196" s="291"/>
      <c r="MP196" s="291"/>
      <c r="MQ196" s="291"/>
      <c r="MR196" s="291"/>
      <c r="MS196" s="291"/>
      <c r="MT196" s="291"/>
      <c r="MU196" s="291"/>
      <c r="MV196" s="291"/>
      <c r="MW196" s="291"/>
      <c r="MX196" s="291"/>
      <c r="MY196" s="291"/>
      <c r="MZ196" s="291"/>
      <c r="NA196" s="291"/>
      <c r="NB196" s="291"/>
      <c r="NC196" s="291"/>
      <c r="ND196" s="291"/>
      <c r="NE196" s="291"/>
      <c r="NF196" s="291"/>
      <c r="NG196" s="291"/>
      <c r="NH196" s="291"/>
      <c r="NI196" s="291"/>
      <c r="NJ196" s="291"/>
      <c r="NK196" s="291"/>
      <c r="NL196" s="291"/>
      <c r="NM196" s="291"/>
      <c r="NN196" s="291"/>
      <c r="NO196" s="291"/>
      <c r="NP196" s="291"/>
      <c r="NQ196" s="291"/>
      <c r="NR196" s="291"/>
      <c r="NS196" s="291"/>
      <c r="NT196" s="291"/>
      <c r="NU196" s="291"/>
      <c r="NV196" s="291"/>
      <c r="NW196" s="291"/>
      <c r="NX196" s="291"/>
      <c r="NY196" s="291"/>
      <c r="NZ196" s="291"/>
      <c r="OA196" s="291"/>
      <c r="OB196" s="291"/>
      <c r="OC196" s="291"/>
      <c r="OD196" s="291"/>
      <c r="OE196" s="291"/>
      <c r="OF196" s="291"/>
      <c r="OG196" s="291"/>
      <c r="OH196" s="291"/>
      <c r="OI196" s="291"/>
      <c r="OJ196" s="291"/>
      <c r="OK196" s="291"/>
      <c r="OL196" s="291"/>
      <c r="OM196" s="291"/>
      <c r="ON196" s="291"/>
      <c r="OO196" s="291"/>
      <c r="OP196" s="291"/>
      <c r="OQ196" s="291"/>
      <c r="OR196" s="291"/>
      <c r="OS196" s="291"/>
      <c r="OT196" s="291"/>
      <c r="OU196" s="291"/>
      <c r="OV196" s="291"/>
      <c r="OW196" s="291"/>
    </row>
    <row r="197" spans="1:413" s="257" customFormat="1" hidden="1" x14ac:dyDescent="0.2">
      <c r="A197" s="291"/>
      <c r="B197" s="524">
        <f t="shared" si="11"/>
        <v>181</v>
      </c>
      <c r="C197" s="510" t="s">
        <v>38</v>
      </c>
      <c r="D197" s="511">
        <v>30486596</v>
      </c>
      <c r="E197" s="511"/>
      <c r="F197" s="512" t="s">
        <v>1349</v>
      </c>
      <c r="G197" s="513" t="s">
        <v>1250</v>
      </c>
      <c r="H197" s="514" t="s">
        <v>1094</v>
      </c>
      <c r="I197" s="515" t="s">
        <v>1095</v>
      </c>
      <c r="J197" s="346" t="s">
        <v>42</v>
      </c>
      <c r="K197" s="526">
        <v>93937</v>
      </c>
      <c r="L197" s="527">
        <v>40620</v>
      </c>
      <c r="M197" s="528">
        <v>0</v>
      </c>
      <c r="N197" s="520">
        <v>0</v>
      </c>
      <c r="O197" s="520">
        <v>0</v>
      </c>
      <c r="P197" s="520">
        <v>0</v>
      </c>
      <c r="Q197" s="520">
        <v>0</v>
      </c>
      <c r="R197" s="520">
        <v>0</v>
      </c>
      <c r="S197" s="520">
        <v>0</v>
      </c>
      <c r="T197" s="18"/>
      <c r="U197" s="18"/>
      <c r="V197" s="18"/>
      <c r="W197" s="18"/>
      <c r="X197" s="18"/>
      <c r="Y197" s="18"/>
      <c r="Z197" s="18">
        <f t="shared" si="8"/>
        <v>0</v>
      </c>
      <c r="AA197" s="309">
        <v>53317</v>
      </c>
      <c r="AB197" s="19">
        <v>5</v>
      </c>
      <c r="AC197" s="521">
        <v>44224</v>
      </c>
      <c r="AD197" s="25">
        <v>44251</v>
      </c>
      <c r="AE197" s="309">
        <v>-39567</v>
      </c>
      <c r="AF197" s="314">
        <v>50</v>
      </c>
      <c r="AG197" s="315">
        <v>44356</v>
      </c>
      <c r="AH197" s="315">
        <v>44377</v>
      </c>
      <c r="AI197" s="309"/>
      <c r="AJ197" s="338"/>
      <c r="AK197" s="315"/>
      <c r="AL197" s="316"/>
      <c r="AM197" s="309"/>
      <c r="AN197" s="338"/>
      <c r="AO197" s="21"/>
      <c r="AP197" s="25"/>
      <c r="AQ197" s="309"/>
      <c r="AR197" s="19"/>
      <c r="AS197" s="21"/>
      <c r="AT197" s="25"/>
      <c r="AU197" s="522">
        <f t="shared" si="9"/>
        <v>13750</v>
      </c>
      <c r="AV197" s="311">
        <f t="shared" si="10"/>
        <v>13750</v>
      </c>
      <c r="AW197" s="305"/>
      <c r="AX197" s="291"/>
      <c r="AY197" s="291"/>
      <c r="AZ197" s="291"/>
      <c r="BA197" s="291"/>
      <c r="BB197" s="291"/>
      <c r="BC197" s="291"/>
      <c r="BD197" s="291"/>
      <c r="BE197" s="291"/>
      <c r="BF197" s="291"/>
      <c r="BG197" s="291"/>
      <c r="BH197" s="291"/>
      <c r="BI197" s="291"/>
      <c r="BJ197" s="291"/>
      <c r="BK197" s="291"/>
      <c r="BL197" s="291"/>
      <c r="BM197" s="291"/>
      <c r="BN197" s="291"/>
      <c r="BO197" s="291"/>
      <c r="BP197" s="291"/>
      <c r="BQ197" s="291"/>
      <c r="BR197" s="291"/>
      <c r="BS197" s="291"/>
      <c r="BT197" s="291"/>
      <c r="BU197" s="291"/>
      <c r="BV197" s="291"/>
      <c r="BW197" s="291"/>
      <c r="BX197" s="291"/>
      <c r="BY197" s="291"/>
      <c r="BZ197" s="291"/>
      <c r="CA197" s="291"/>
      <c r="CB197" s="291"/>
      <c r="CC197" s="291"/>
      <c r="CD197" s="291"/>
      <c r="CE197" s="291"/>
      <c r="CF197" s="291"/>
      <c r="CG197" s="291"/>
      <c r="CH197" s="291"/>
      <c r="CI197" s="291"/>
      <c r="CJ197" s="291"/>
      <c r="CK197" s="291"/>
      <c r="CL197" s="291"/>
      <c r="CM197" s="291"/>
      <c r="CN197" s="291"/>
      <c r="CO197" s="291"/>
      <c r="CP197" s="291"/>
      <c r="CQ197" s="291"/>
      <c r="CR197" s="291"/>
      <c r="CS197" s="291"/>
      <c r="CT197" s="291"/>
      <c r="CU197" s="291"/>
      <c r="CV197" s="291"/>
      <c r="CW197" s="291"/>
      <c r="CX197" s="291"/>
      <c r="CY197" s="291"/>
      <c r="CZ197" s="291"/>
      <c r="DA197" s="291"/>
      <c r="DB197" s="291"/>
      <c r="DC197" s="291"/>
      <c r="DD197" s="291"/>
      <c r="DE197" s="291"/>
      <c r="DF197" s="291"/>
      <c r="DG197" s="291"/>
      <c r="DH197" s="291"/>
      <c r="DI197" s="291"/>
      <c r="DJ197" s="291"/>
      <c r="DK197" s="291"/>
      <c r="DL197" s="291"/>
      <c r="DM197" s="291"/>
      <c r="DN197" s="291"/>
      <c r="DO197" s="291"/>
      <c r="DP197" s="291"/>
      <c r="DQ197" s="291"/>
      <c r="DR197" s="291"/>
      <c r="DS197" s="291"/>
      <c r="DT197" s="291"/>
      <c r="DU197" s="291"/>
      <c r="DV197" s="291"/>
      <c r="DW197" s="291"/>
      <c r="DX197" s="291"/>
      <c r="DY197" s="291"/>
      <c r="DZ197" s="291"/>
      <c r="EA197" s="291"/>
      <c r="EB197" s="291"/>
      <c r="EC197" s="291"/>
      <c r="ED197" s="291"/>
      <c r="EE197" s="291"/>
      <c r="EF197" s="291"/>
      <c r="EG197" s="291"/>
      <c r="EH197" s="291"/>
      <c r="EI197" s="291"/>
      <c r="EJ197" s="291"/>
      <c r="EK197" s="291"/>
      <c r="EL197" s="291"/>
      <c r="EM197" s="291"/>
      <c r="EN197" s="291"/>
      <c r="EO197" s="291"/>
      <c r="EP197" s="291"/>
      <c r="EQ197" s="291"/>
      <c r="ER197" s="291"/>
      <c r="ES197" s="291"/>
      <c r="ET197" s="291"/>
      <c r="EU197" s="291"/>
      <c r="EV197" s="291"/>
      <c r="EW197" s="291"/>
      <c r="EX197" s="291"/>
      <c r="EY197" s="291"/>
      <c r="EZ197" s="291"/>
      <c r="FA197" s="291"/>
      <c r="FB197" s="291"/>
      <c r="FC197" s="291"/>
      <c r="FD197" s="291"/>
      <c r="FE197" s="291"/>
      <c r="FF197" s="291"/>
      <c r="FG197" s="291"/>
      <c r="FH197" s="291"/>
      <c r="FI197" s="291"/>
      <c r="FJ197" s="291"/>
      <c r="FK197" s="291"/>
      <c r="FL197" s="291"/>
      <c r="FM197" s="291"/>
      <c r="FN197" s="291"/>
      <c r="FO197" s="291"/>
      <c r="FP197" s="291"/>
      <c r="FQ197" s="291"/>
      <c r="FR197" s="291"/>
      <c r="FS197" s="291"/>
      <c r="FT197" s="291"/>
      <c r="FU197" s="291"/>
      <c r="FV197" s="291"/>
      <c r="FW197" s="291"/>
      <c r="FX197" s="291"/>
      <c r="FY197" s="291"/>
      <c r="FZ197" s="291"/>
      <c r="GA197" s="291"/>
      <c r="GB197" s="291"/>
      <c r="GC197" s="291"/>
      <c r="GD197" s="291"/>
      <c r="GE197" s="291"/>
      <c r="GF197" s="291"/>
      <c r="GG197" s="291"/>
      <c r="GH197" s="291"/>
      <c r="GI197" s="291"/>
      <c r="GJ197" s="291"/>
      <c r="GK197" s="291"/>
      <c r="GL197" s="291"/>
      <c r="GM197" s="291"/>
      <c r="GN197" s="291"/>
      <c r="GO197" s="291"/>
      <c r="GP197" s="291"/>
      <c r="GQ197" s="291"/>
      <c r="GR197" s="291"/>
      <c r="GS197" s="291"/>
      <c r="GT197" s="291"/>
      <c r="GU197" s="291"/>
      <c r="GV197" s="291"/>
      <c r="GW197" s="291"/>
      <c r="GX197" s="291"/>
      <c r="GY197" s="291"/>
      <c r="GZ197" s="291"/>
      <c r="HA197" s="291"/>
      <c r="HB197" s="291"/>
      <c r="HC197" s="291"/>
      <c r="HD197" s="291"/>
      <c r="HE197" s="291"/>
      <c r="HF197" s="291"/>
      <c r="HG197" s="291"/>
      <c r="HH197" s="291"/>
      <c r="HI197" s="291"/>
      <c r="HJ197" s="291"/>
      <c r="HK197" s="291"/>
      <c r="HL197" s="291"/>
      <c r="HM197" s="291"/>
      <c r="HN197" s="291"/>
      <c r="HO197" s="291"/>
      <c r="HP197" s="291"/>
      <c r="HQ197" s="291"/>
      <c r="HR197" s="291"/>
      <c r="HS197" s="291"/>
      <c r="HT197" s="291"/>
      <c r="HU197" s="291"/>
      <c r="HV197" s="291"/>
      <c r="HW197" s="291"/>
      <c r="HX197" s="291"/>
      <c r="HY197" s="291"/>
      <c r="HZ197" s="291"/>
      <c r="IA197" s="291"/>
      <c r="IB197" s="291"/>
      <c r="IC197" s="291"/>
      <c r="ID197" s="291"/>
      <c r="IE197" s="291"/>
      <c r="IF197" s="291"/>
      <c r="IG197" s="291"/>
      <c r="IH197" s="291"/>
      <c r="II197" s="291"/>
      <c r="IJ197" s="291"/>
      <c r="IK197" s="291"/>
      <c r="IL197" s="291"/>
      <c r="IM197" s="291"/>
      <c r="IN197" s="291"/>
      <c r="IO197" s="291"/>
      <c r="IP197" s="291"/>
      <c r="IQ197" s="291"/>
      <c r="IR197" s="291"/>
      <c r="IS197" s="291"/>
      <c r="IT197" s="291"/>
      <c r="IU197" s="291"/>
      <c r="IV197" s="291"/>
      <c r="IW197" s="291"/>
      <c r="IX197" s="291"/>
      <c r="IY197" s="291"/>
      <c r="IZ197" s="291"/>
      <c r="JA197" s="291"/>
      <c r="JB197" s="291"/>
      <c r="JC197" s="291"/>
      <c r="JD197" s="291"/>
      <c r="JE197" s="291"/>
      <c r="JF197" s="291"/>
      <c r="JG197" s="291"/>
      <c r="JH197" s="291"/>
      <c r="JI197" s="291"/>
      <c r="JJ197" s="291"/>
      <c r="JK197" s="291"/>
      <c r="JL197" s="291"/>
      <c r="JM197" s="291"/>
      <c r="JN197" s="291"/>
      <c r="JO197" s="291"/>
      <c r="JP197" s="291"/>
      <c r="JQ197" s="291"/>
      <c r="JR197" s="291"/>
      <c r="JS197" s="291"/>
      <c r="JT197" s="291"/>
      <c r="JU197" s="291"/>
      <c r="JV197" s="291"/>
      <c r="JW197" s="291"/>
      <c r="JX197" s="291"/>
      <c r="JY197" s="291"/>
      <c r="JZ197" s="291"/>
      <c r="KA197" s="291"/>
      <c r="KB197" s="291"/>
      <c r="KC197" s="291"/>
      <c r="KD197" s="291"/>
      <c r="KE197" s="291"/>
      <c r="KF197" s="291"/>
      <c r="KG197" s="291"/>
      <c r="KH197" s="291"/>
      <c r="KI197" s="291"/>
      <c r="KJ197" s="291"/>
      <c r="KK197" s="291"/>
      <c r="KL197" s="291"/>
      <c r="KM197" s="291"/>
      <c r="KN197" s="291"/>
      <c r="KO197" s="291"/>
      <c r="KP197" s="291"/>
      <c r="KQ197" s="291"/>
      <c r="KR197" s="291"/>
      <c r="KS197" s="291"/>
      <c r="KT197" s="291"/>
      <c r="KU197" s="291"/>
      <c r="KV197" s="291"/>
      <c r="KW197" s="291"/>
      <c r="KX197" s="291"/>
      <c r="KY197" s="291"/>
      <c r="KZ197" s="291"/>
      <c r="LA197" s="291"/>
      <c r="LB197" s="291"/>
      <c r="LC197" s="291"/>
      <c r="LD197" s="291"/>
      <c r="LE197" s="291"/>
      <c r="LF197" s="291"/>
      <c r="LG197" s="291"/>
      <c r="LH197" s="291"/>
      <c r="LI197" s="291"/>
      <c r="LJ197" s="291"/>
      <c r="LK197" s="291"/>
      <c r="LL197" s="291"/>
      <c r="LM197" s="291"/>
      <c r="LN197" s="291"/>
      <c r="LO197" s="291"/>
      <c r="LP197" s="291"/>
      <c r="LQ197" s="291"/>
      <c r="LR197" s="291"/>
      <c r="LS197" s="291"/>
      <c r="LT197" s="291"/>
      <c r="LU197" s="291"/>
      <c r="LV197" s="291"/>
      <c r="LW197" s="291"/>
      <c r="LX197" s="291"/>
      <c r="LY197" s="291"/>
      <c r="LZ197" s="291"/>
      <c r="MA197" s="291"/>
      <c r="MB197" s="291"/>
      <c r="MC197" s="291"/>
      <c r="MD197" s="291"/>
      <c r="ME197" s="291"/>
      <c r="MF197" s="291"/>
      <c r="MG197" s="291"/>
      <c r="MH197" s="291"/>
      <c r="MI197" s="291"/>
      <c r="MJ197" s="291"/>
      <c r="MK197" s="291"/>
      <c r="ML197" s="291"/>
      <c r="MM197" s="291"/>
      <c r="MN197" s="291"/>
      <c r="MO197" s="291"/>
      <c r="MP197" s="291"/>
      <c r="MQ197" s="291"/>
      <c r="MR197" s="291"/>
      <c r="MS197" s="291"/>
      <c r="MT197" s="291"/>
      <c r="MU197" s="291"/>
      <c r="MV197" s="291"/>
      <c r="MW197" s="291"/>
      <c r="MX197" s="291"/>
      <c r="MY197" s="291"/>
      <c r="MZ197" s="291"/>
      <c r="NA197" s="291"/>
      <c r="NB197" s="291"/>
      <c r="NC197" s="291"/>
      <c r="ND197" s="291"/>
      <c r="NE197" s="291"/>
      <c r="NF197" s="291"/>
      <c r="NG197" s="291"/>
      <c r="NH197" s="291"/>
      <c r="NI197" s="291"/>
      <c r="NJ197" s="291"/>
      <c r="NK197" s="291"/>
      <c r="NL197" s="291"/>
      <c r="NM197" s="291"/>
      <c r="NN197" s="291"/>
      <c r="NO197" s="291"/>
      <c r="NP197" s="291"/>
      <c r="NQ197" s="291"/>
      <c r="NR197" s="291"/>
      <c r="NS197" s="291"/>
      <c r="NT197" s="291"/>
      <c r="NU197" s="291"/>
      <c r="NV197" s="291"/>
      <c r="NW197" s="291"/>
      <c r="NX197" s="291"/>
      <c r="NY197" s="291"/>
      <c r="NZ197" s="291"/>
      <c r="OA197" s="291"/>
      <c r="OB197" s="291"/>
      <c r="OC197" s="291"/>
      <c r="OD197" s="291"/>
      <c r="OE197" s="291"/>
      <c r="OF197" s="291"/>
      <c r="OG197" s="291"/>
      <c r="OH197" s="291"/>
      <c r="OI197" s="291"/>
      <c r="OJ197" s="291"/>
      <c r="OK197" s="291"/>
      <c r="OL197" s="291"/>
      <c r="OM197" s="291"/>
      <c r="ON197" s="291"/>
      <c r="OO197" s="291"/>
      <c r="OP197" s="291"/>
      <c r="OQ197" s="291"/>
      <c r="OR197" s="291"/>
      <c r="OS197" s="291"/>
      <c r="OT197" s="291"/>
      <c r="OU197" s="291"/>
      <c r="OV197" s="291"/>
      <c r="OW197" s="291"/>
    </row>
    <row r="198" spans="1:413" s="257" customFormat="1" hidden="1" x14ac:dyDescent="0.2">
      <c r="A198" s="291"/>
      <c r="B198" s="524">
        <f t="shared" si="11"/>
        <v>182</v>
      </c>
      <c r="C198" s="510" t="s">
        <v>38</v>
      </c>
      <c r="D198" s="511">
        <v>30486614</v>
      </c>
      <c r="E198" s="511"/>
      <c r="F198" s="512" t="s">
        <v>1350</v>
      </c>
      <c r="G198" s="513" t="s">
        <v>45</v>
      </c>
      <c r="H198" s="514" t="s">
        <v>1094</v>
      </c>
      <c r="I198" s="515" t="s">
        <v>1293</v>
      </c>
      <c r="J198" s="346" t="s">
        <v>42</v>
      </c>
      <c r="K198" s="526">
        <v>3188909</v>
      </c>
      <c r="L198" s="527">
        <v>287937</v>
      </c>
      <c r="M198" s="528">
        <v>352388</v>
      </c>
      <c r="N198" s="519">
        <v>0</v>
      </c>
      <c r="O198" s="519">
        <v>272377</v>
      </c>
      <c r="P198" s="519">
        <v>424590</v>
      </c>
      <c r="Q198" s="519">
        <v>293382</v>
      </c>
      <c r="R198" s="519">
        <v>194014</v>
      </c>
      <c r="S198" s="520">
        <v>211491</v>
      </c>
      <c r="T198" s="18"/>
      <c r="U198" s="18"/>
      <c r="V198" s="18"/>
      <c r="W198" s="18"/>
      <c r="X198" s="18"/>
      <c r="Y198" s="18"/>
      <c r="Z198" s="18">
        <f t="shared" si="8"/>
        <v>1395854</v>
      </c>
      <c r="AA198" s="309">
        <v>1240002</v>
      </c>
      <c r="AB198" s="19">
        <v>11</v>
      </c>
      <c r="AC198" s="521">
        <v>44237</v>
      </c>
      <c r="AD198" s="25">
        <v>44251</v>
      </c>
      <c r="AE198" s="309">
        <v>953392</v>
      </c>
      <c r="AF198" s="348">
        <v>22</v>
      </c>
      <c r="AG198" s="532">
        <v>44301</v>
      </c>
      <c r="AH198" s="532">
        <v>44313</v>
      </c>
      <c r="AI198" s="309">
        <v>326122</v>
      </c>
      <c r="AJ198" s="338">
        <v>39</v>
      </c>
      <c r="AK198" s="315">
        <v>44334</v>
      </c>
      <c r="AL198" s="315">
        <v>44342</v>
      </c>
      <c r="AM198" s="309">
        <v>-2</v>
      </c>
      <c r="AN198" s="338">
        <v>50</v>
      </c>
      <c r="AO198" s="23">
        <v>44356</v>
      </c>
      <c r="AP198" s="23">
        <v>44377</v>
      </c>
      <c r="AQ198" s="309"/>
      <c r="AR198" s="19"/>
      <c r="AS198" s="21"/>
      <c r="AT198" s="25"/>
      <c r="AU198" s="522">
        <f t="shared" si="9"/>
        <v>2519514</v>
      </c>
      <c r="AV198" s="311">
        <f t="shared" si="10"/>
        <v>1123660</v>
      </c>
      <c r="AW198" s="305"/>
      <c r="AX198" s="291"/>
      <c r="AY198" s="291"/>
      <c r="AZ198" s="291"/>
      <c r="BA198" s="291"/>
      <c r="BB198" s="291"/>
      <c r="BC198" s="291"/>
      <c r="BD198" s="291"/>
      <c r="BE198" s="291"/>
      <c r="BF198" s="291"/>
      <c r="BG198" s="291"/>
      <c r="BH198" s="291"/>
      <c r="BI198" s="291"/>
      <c r="BJ198" s="291"/>
      <c r="BK198" s="291"/>
      <c r="BL198" s="291"/>
      <c r="BM198" s="291"/>
      <c r="BN198" s="291"/>
      <c r="BO198" s="291"/>
      <c r="BP198" s="291"/>
      <c r="BQ198" s="291"/>
      <c r="BR198" s="291"/>
      <c r="BS198" s="291"/>
      <c r="BT198" s="291"/>
      <c r="BU198" s="291"/>
      <c r="BV198" s="291"/>
      <c r="BW198" s="291"/>
      <c r="BX198" s="291"/>
      <c r="BY198" s="291"/>
      <c r="BZ198" s="291"/>
      <c r="CA198" s="291"/>
      <c r="CB198" s="291"/>
      <c r="CC198" s="291"/>
      <c r="CD198" s="291"/>
      <c r="CE198" s="291"/>
      <c r="CF198" s="291"/>
      <c r="CG198" s="291"/>
      <c r="CH198" s="291"/>
      <c r="CI198" s="291"/>
      <c r="CJ198" s="291"/>
      <c r="CK198" s="291"/>
      <c r="CL198" s="291"/>
      <c r="CM198" s="291"/>
      <c r="CN198" s="291"/>
      <c r="CO198" s="291"/>
      <c r="CP198" s="291"/>
      <c r="CQ198" s="291"/>
      <c r="CR198" s="291"/>
      <c r="CS198" s="291"/>
      <c r="CT198" s="291"/>
      <c r="CU198" s="291"/>
      <c r="CV198" s="291"/>
      <c r="CW198" s="291"/>
      <c r="CX198" s="291"/>
      <c r="CY198" s="291"/>
      <c r="CZ198" s="291"/>
      <c r="DA198" s="291"/>
      <c r="DB198" s="291"/>
      <c r="DC198" s="291"/>
      <c r="DD198" s="291"/>
      <c r="DE198" s="291"/>
      <c r="DF198" s="291"/>
      <c r="DG198" s="291"/>
      <c r="DH198" s="291"/>
      <c r="DI198" s="291"/>
      <c r="DJ198" s="291"/>
      <c r="DK198" s="291"/>
      <c r="DL198" s="291"/>
      <c r="DM198" s="291"/>
      <c r="DN198" s="291"/>
      <c r="DO198" s="291"/>
      <c r="DP198" s="291"/>
      <c r="DQ198" s="291"/>
      <c r="DR198" s="291"/>
      <c r="DS198" s="291"/>
      <c r="DT198" s="291"/>
      <c r="DU198" s="291"/>
      <c r="DV198" s="291"/>
      <c r="DW198" s="291"/>
      <c r="DX198" s="291"/>
      <c r="DY198" s="291"/>
      <c r="DZ198" s="291"/>
      <c r="EA198" s="291"/>
      <c r="EB198" s="291"/>
      <c r="EC198" s="291"/>
      <c r="ED198" s="291"/>
      <c r="EE198" s="291"/>
      <c r="EF198" s="291"/>
      <c r="EG198" s="291"/>
      <c r="EH198" s="291"/>
      <c r="EI198" s="291"/>
      <c r="EJ198" s="291"/>
      <c r="EK198" s="291"/>
      <c r="EL198" s="291"/>
      <c r="EM198" s="291"/>
      <c r="EN198" s="291"/>
      <c r="EO198" s="291"/>
      <c r="EP198" s="291"/>
      <c r="EQ198" s="291"/>
      <c r="ER198" s="291"/>
      <c r="ES198" s="291"/>
      <c r="ET198" s="291"/>
      <c r="EU198" s="291"/>
      <c r="EV198" s="291"/>
      <c r="EW198" s="291"/>
      <c r="EX198" s="291"/>
      <c r="EY198" s="291"/>
      <c r="EZ198" s="291"/>
      <c r="FA198" s="291"/>
      <c r="FB198" s="291"/>
      <c r="FC198" s="291"/>
      <c r="FD198" s="291"/>
      <c r="FE198" s="291"/>
      <c r="FF198" s="291"/>
      <c r="FG198" s="291"/>
      <c r="FH198" s="291"/>
      <c r="FI198" s="291"/>
      <c r="FJ198" s="291"/>
      <c r="FK198" s="291"/>
      <c r="FL198" s="291"/>
      <c r="FM198" s="291"/>
      <c r="FN198" s="291"/>
      <c r="FO198" s="291"/>
      <c r="FP198" s="291"/>
      <c r="FQ198" s="291"/>
      <c r="FR198" s="291"/>
      <c r="FS198" s="291"/>
      <c r="FT198" s="291"/>
      <c r="FU198" s="291"/>
      <c r="FV198" s="291"/>
      <c r="FW198" s="291"/>
      <c r="FX198" s="291"/>
      <c r="FY198" s="291"/>
      <c r="FZ198" s="291"/>
      <c r="GA198" s="291"/>
      <c r="GB198" s="291"/>
      <c r="GC198" s="291"/>
      <c r="GD198" s="291"/>
      <c r="GE198" s="291"/>
      <c r="GF198" s="291"/>
      <c r="GG198" s="291"/>
      <c r="GH198" s="291"/>
      <c r="GI198" s="291"/>
      <c r="GJ198" s="291"/>
      <c r="GK198" s="291"/>
      <c r="GL198" s="291"/>
      <c r="GM198" s="291"/>
      <c r="GN198" s="291"/>
      <c r="GO198" s="291"/>
      <c r="GP198" s="291"/>
      <c r="GQ198" s="291"/>
      <c r="GR198" s="291"/>
      <c r="GS198" s="291"/>
      <c r="GT198" s="291"/>
      <c r="GU198" s="291"/>
      <c r="GV198" s="291"/>
      <c r="GW198" s="291"/>
      <c r="GX198" s="291"/>
      <c r="GY198" s="291"/>
      <c r="GZ198" s="291"/>
      <c r="HA198" s="291"/>
      <c r="HB198" s="291"/>
      <c r="HC198" s="291"/>
      <c r="HD198" s="291"/>
      <c r="HE198" s="291"/>
      <c r="HF198" s="291"/>
      <c r="HG198" s="291"/>
      <c r="HH198" s="291"/>
      <c r="HI198" s="291"/>
      <c r="HJ198" s="291"/>
      <c r="HK198" s="291"/>
      <c r="HL198" s="291"/>
      <c r="HM198" s="291"/>
      <c r="HN198" s="291"/>
      <c r="HO198" s="291"/>
      <c r="HP198" s="291"/>
      <c r="HQ198" s="291"/>
      <c r="HR198" s="291"/>
      <c r="HS198" s="291"/>
      <c r="HT198" s="291"/>
      <c r="HU198" s="291"/>
      <c r="HV198" s="291"/>
      <c r="HW198" s="291"/>
      <c r="HX198" s="291"/>
      <c r="HY198" s="291"/>
      <c r="HZ198" s="291"/>
      <c r="IA198" s="291"/>
      <c r="IB198" s="291"/>
      <c r="IC198" s="291"/>
      <c r="ID198" s="291"/>
      <c r="IE198" s="291"/>
      <c r="IF198" s="291"/>
      <c r="IG198" s="291"/>
      <c r="IH198" s="291"/>
      <c r="II198" s="291"/>
      <c r="IJ198" s="291"/>
      <c r="IK198" s="291"/>
      <c r="IL198" s="291"/>
      <c r="IM198" s="291"/>
      <c r="IN198" s="291"/>
      <c r="IO198" s="291"/>
      <c r="IP198" s="291"/>
      <c r="IQ198" s="291"/>
      <c r="IR198" s="291"/>
      <c r="IS198" s="291"/>
      <c r="IT198" s="291"/>
      <c r="IU198" s="291"/>
      <c r="IV198" s="291"/>
      <c r="IW198" s="291"/>
      <c r="IX198" s="291"/>
      <c r="IY198" s="291"/>
      <c r="IZ198" s="291"/>
      <c r="JA198" s="291"/>
      <c r="JB198" s="291"/>
      <c r="JC198" s="291"/>
      <c r="JD198" s="291"/>
      <c r="JE198" s="291"/>
      <c r="JF198" s="291"/>
      <c r="JG198" s="291"/>
      <c r="JH198" s="291"/>
      <c r="JI198" s="291"/>
      <c r="JJ198" s="291"/>
      <c r="JK198" s="291"/>
      <c r="JL198" s="291"/>
      <c r="JM198" s="291"/>
      <c r="JN198" s="291"/>
      <c r="JO198" s="291"/>
      <c r="JP198" s="291"/>
      <c r="JQ198" s="291"/>
      <c r="JR198" s="291"/>
      <c r="JS198" s="291"/>
      <c r="JT198" s="291"/>
      <c r="JU198" s="291"/>
      <c r="JV198" s="291"/>
      <c r="JW198" s="291"/>
      <c r="JX198" s="291"/>
      <c r="JY198" s="291"/>
      <c r="JZ198" s="291"/>
      <c r="KA198" s="291"/>
      <c r="KB198" s="291"/>
      <c r="KC198" s="291"/>
      <c r="KD198" s="291"/>
      <c r="KE198" s="291"/>
      <c r="KF198" s="291"/>
      <c r="KG198" s="291"/>
      <c r="KH198" s="291"/>
      <c r="KI198" s="291"/>
      <c r="KJ198" s="291"/>
      <c r="KK198" s="291"/>
      <c r="KL198" s="291"/>
      <c r="KM198" s="291"/>
      <c r="KN198" s="291"/>
      <c r="KO198" s="291"/>
      <c r="KP198" s="291"/>
      <c r="KQ198" s="291"/>
      <c r="KR198" s="291"/>
      <c r="KS198" s="291"/>
      <c r="KT198" s="291"/>
      <c r="KU198" s="291"/>
      <c r="KV198" s="291"/>
      <c r="KW198" s="291"/>
      <c r="KX198" s="291"/>
      <c r="KY198" s="291"/>
      <c r="KZ198" s="291"/>
      <c r="LA198" s="291"/>
      <c r="LB198" s="291"/>
      <c r="LC198" s="291"/>
      <c r="LD198" s="291"/>
      <c r="LE198" s="291"/>
      <c r="LF198" s="291"/>
      <c r="LG198" s="291"/>
      <c r="LH198" s="291"/>
      <c r="LI198" s="291"/>
      <c r="LJ198" s="291"/>
      <c r="LK198" s="291"/>
      <c r="LL198" s="291"/>
      <c r="LM198" s="291"/>
      <c r="LN198" s="291"/>
      <c r="LO198" s="291"/>
      <c r="LP198" s="291"/>
      <c r="LQ198" s="291"/>
      <c r="LR198" s="291"/>
      <c r="LS198" s="291"/>
      <c r="LT198" s="291"/>
      <c r="LU198" s="291"/>
      <c r="LV198" s="291"/>
      <c r="LW198" s="291"/>
      <c r="LX198" s="291"/>
      <c r="LY198" s="291"/>
      <c r="LZ198" s="291"/>
      <c r="MA198" s="291"/>
      <c r="MB198" s="291"/>
      <c r="MC198" s="291"/>
      <c r="MD198" s="291"/>
      <c r="ME198" s="291"/>
      <c r="MF198" s="291"/>
      <c r="MG198" s="291"/>
      <c r="MH198" s="291"/>
      <c r="MI198" s="291"/>
      <c r="MJ198" s="291"/>
      <c r="MK198" s="291"/>
      <c r="ML198" s="291"/>
      <c r="MM198" s="291"/>
      <c r="MN198" s="291"/>
      <c r="MO198" s="291"/>
      <c r="MP198" s="291"/>
      <c r="MQ198" s="291"/>
      <c r="MR198" s="291"/>
      <c r="MS198" s="291"/>
      <c r="MT198" s="291"/>
      <c r="MU198" s="291"/>
      <c r="MV198" s="291"/>
      <c r="MW198" s="291"/>
      <c r="MX198" s="291"/>
      <c r="MY198" s="291"/>
      <c r="MZ198" s="291"/>
      <c r="NA198" s="291"/>
      <c r="NB198" s="291"/>
      <c r="NC198" s="291"/>
      <c r="ND198" s="291"/>
      <c r="NE198" s="291"/>
      <c r="NF198" s="291"/>
      <c r="NG198" s="291"/>
      <c r="NH198" s="291"/>
      <c r="NI198" s="291"/>
      <c r="NJ198" s="291"/>
      <c r="NK198" s="291"/>
      <c r="NL198" s="291"/>
      <c r="NM198" s="291"/>
      <c r="NN198" s="291"/>
      <c r="NO198" s="291"/>
      <c r="NP198" s="291"/>
      <c r="NQ198" s="291"/>
      <c r="NR198" s="291"/>
      <c r="NS198" s="291"/>
      <c r="NT198" s="291"/>
      <c r="NU198" s="291"/>
      <c r="NV198" s="291"/>
      <c r="NW198" s="291"/>
      <c r="NX198" s="291"/>
      <c r="NY198" s="291"/>
      <c r="NZ198" s="291"/>
      <c r="OA198" s="291"/>
      <c r="OB198" s="291"/>
      <c r="OC198" s="291"/>
      <c r="OD198" s="291"/>
      <c r="OE198" s="291"/>
      <c r="OF198" s="291"/>
      <c r="OG198" s="291"/>
      <c r="OH198" s="291"/>
      <c r="OI198" s="291"/>
      <c r="OJ198" s="291"/>
      <c r="OK198" s="291"/>
      <c r="OL198" s="291"/>
      <c r="OM198" s="291"/>
      <c r="ON198" s="291"/>
      <c r="OO198" s="291"/>
      <c r="OP198" s="291"/>
      <c r="OQ198" s="291"/>
      <c r="OR198" s="291"/>
      <c r="OS198" s="291"/>
      <c r="OT198" s="291"/>
      <c r="OU198" s="291"/>
      <c r="OV198" s="291"/>
      <c r="OW198" s="291"/>
    </row>
    <row r="199" spans="1:413" s="257" customFormat="1" ht="22.5" hidden="1" x14ac:dyDescent="0.2">
      <c r="A199" s="291"/>
      <c r="B199" s="524">
        <f t="shared" si="11"/>
        <v>183</v>
      </c>
      <c r="C199" s="510" t="s">
        <v>38</v>
      </c>
      <c r="D199" s="511">
        <v>40000086</v>
      </c>
      <c r="E199" s="511"/>
      <c r="F199" s="512" t="s">
        <v>1351</v>
      </c>
      <c r="G199" s="513" t="s">
        <v>1250</v>
      </c>
      <c r="H199" s="514" t="s">
        <v>1094</v>
      </c>
      <c r="I199" s="515" t="s">
        <v>1118</v>
      </c>
      <c r="J199" s="346" t="s">
        <v>43</v>
      </c>
      <c r="K199" s="526">
        <v>78157</v>
      </c>
      <c r="L199" s="527">
        <v>0</v>
      </c>
      <c r="M199" s="528">
        <v>1721</v>
      </c>
      <c r="N199" s="519">
        <v>0</v>
      </c>
      <c r="O199" s="519">
        <v>0</v>
      </c>
      <c r="P199" s="519">
        <v>0</v>
      </c>
      <c r="Q199" s="519">
        <v>0</v>
      </c>
      <c r="R199" s="519">
        <v>0</v>
      </c>
      <c r="S199" s="520">
        <v>0</v>
      </c>
      <c r="T199" s="18"/>
      <c r="U199" s="18"/>
      <c r="V199" s="18"/>
      <c r="W199" s="18"/>
      <c r="X199" s="18"/>
      <c r="Y199" s="18"/>
      <c r="Z199" s="18">
        <f t="shared" si="8"/>
        <v>0</v>
      </c>
      <c r="AA199" s="309">
        <v>38218</v>
      </c>
      <c r="AB199" s="19">
        <v>5</v>
      </c>
      <c r="AC199" s="521">
        <v>44224</v>
      </c>
      <c r="AD199" s="25">
        <v>44251</v>
      </c>
      <c r="AE199" s="309">
        <v>-38217</v>
      </c>
      <c r="AF199" s="314">
        <v>50</v>
      </c>
      <c r="AG199" s="315">
        <v>44356</v>
      </c>
      <c r="AH199" s="315">
        <v>44377</v>
      </c>
      <c r="AI199" s="309"/>
      <c r="AJ199" s="338"/>
      <c r="AK199" s="315"/>
      <c r="AL199" s="316"/>
      <c r="AM199" s="309"/>
      <c r="AN199" s="338"/>
      <c r="AO199" s="21"/>
      <c r="AP199" s="25"/>
      <c r="AQ199" s="309"/>
      <c r="AR199" s="19"/>
      <c r="AS199" s="21"/>
      <c r="AT199" s="25"/>
      <c r="AU199" s="522">
        <f t="shared" si="9"/>
        <v>1</v>
      </c>
      <c r="AV199" s="311">
        <f t="shared" si="10"/>
        <v>1</v>
      </c>
      <c r="AW199" s="305"/>
      <c r="AX199" s="291"/>
      <c r="AY199" s="291"/>
      <c r="AZ199" s="291"/>
      <c r="BA199" s="291"/>
      <c r="BB199" s="291"/>
      <c r="BC199" s="291"/>
      <c r="BD199" s="291"/>
      <c r="BE199" s="291"/>
      <c r="BF199" s="291"/>
      <c r="BG199" s="291"/>
      <c r="BH199" s="291"/>
      <c r="BI199" s="291"/>
      <c r="BJ199" s="291"/>
      <c r="BK199" s="291"/>
      <c r="BL199" s="291"/>
      <c r="BM199" s="291"/>
      <c r="BN199" s="291"/>
      <c r="BO199" s="291"/>
      <c r="BP199" s="291"/>
      <c r="BQ199" s="291"/>
      <c r="BR199" s="291"/>
      <c r="BS199" s="291"/>
      <c r="BT199" s="291"/>
      <c r="BU199" s="291"/>
      <c r="BV199" s="291"/>
      <c r="BW199" s="291"/>
      <c r="BX199" s="291"/>
      <c r="BY199" s="291"/>
      <c r="BZ199" s="291"/>
      <c r="CA199" s="291"/>
      <c r="CB199" s="291"/>
      <c r="CC199" s="291"/>
      <c r="CD199" s="291"/>
      <c r="CE199" s="291"/>
      <c r="CF199" s="291"/>
      <c r="CG199" s="291"/>
      <c r="CH199" s="291"/>
      <c r="CI199" s="291"/>
      <c r="CJ199" s="291"/>
      <c r="CK199" s="291"/>
      <c r="CL199" s="291"/>
      <c r="CM199" s="291"/>
      <c r="CN199" s="291"/>
      <c r="CO199" s="291"/>
      <c r="CP199" s="291"/>
      <c r="CQ199" s="291"/>
      <c r="CR199" s="291"/>
      <c r="CS199" s="291"/>
      <c r="CT199" s="291"/>
      <c r="CU199" s="291"/>
      <c r="CV199" s="291"/>
      <c r="CW199" s="291"/>
      <c r="CX199" s="291"/>
      <c r="CY199" s="291"/>
      <c r="CZ199" s="291"/>
      <c r="DA199" s="291"/>
      <c r="DB199" s="291"/>
      <c r="DC199" s="291"/>
      <c r="DD199" s="291"/>
      <c r="DE199" s="291"/>
      <c r="DF199" s="291"/>
      <c r="DG199" s="291"/>
      <c r="DH199" s="291"/>
      <c r="DI199" s="291"/>
      <c r="DJ199" s="291"/>
      <c r="DK199" s="291"/>
      <c r="DL199" s="291"/>
      <c r="DM199" s="291"/>
      <c r="DN199" s="291"/>
      <c r="DO199" s="291"/>
      <c r="DP199" s="291"/>
      <c r="DQ199" s="291"/>
      <c r="DR199" s="291"/>
      <c r="DS199" s="291"/>
      <c r="DT199" s="291"/>
      <c r="DU199" s="291"/>
      <c r="DV199" s="291"/>
      <c r="DW199" s="291"/>
      <c r="DX199" s="291"/>
      <c r="DY199" s="291"/>
      <c r="DZ199" s="291"/>
      <c r="EA199" s="291"/>
      <c r="EB199" s="291"/>
      <c r="EC199" s="291"/>
      <c r="ED199" s="291"/>
      <c r="EE199" s="291"/>
      <c r="EF199" s="291"/>
      <c r="EG199" s="291"/>
      <c r="EH199" s="291"/>
      <c r="EI199" s="291"/>
      <c r="EJ199" s="291"/>
      <c r="EK199" s="291"/>
      <c r="EL199" s="291"/>
      <c r="EM199" s="291"/>
      <c r="EN199" s="291"/>
      <c r="EO199" s="291"/>
      <c r="EP199" s="291"/>
      <c r="EQ199" s="291"/>
      <c r="ER199" s="291"/>
      <c r="ES199" s="291"/>
      <c r="ET199" s="291"/>
      <c r="EU199" s="291"/>
      <c r="EV199" s="291"/>
      <c r="EW199" s="291"/>
      <c r="EX199" s="291"/>
      <c r="EY199" s="291"/>
      <c r="EZ199" s="291"/>
      <c r="FA199" s="291"/>
      <c r="FB199" s="291"/>
      <c r="FC199" s="291"/>
      <c r="FD199" s="291"/>
      <c r="FE199" s="291"/>
      <c r="FF199" s="291"/>
      <c r="FG199" s="291"/>
      <c r="FH199" s="291"/>
      <c r="FI199" s="291"/>
      <c r="FJ199" s="291"/>
      <c r="FK199" s="291"/>
      <c r="FL199" s="291"/>
      <c r="FM199" s="291"/>
      <c r="FN199" s="291"/>
      <c r="FO199" s="291"/>
      <c r="FP199" s="291"/>
      <c r="FQ199" s="291"/>
      <c r="FR199" s="291"/>
      <c r="FS199" s="291"/>
      <c r="FT199" s="291"/>
      <c r="FU199" s="291"/>
      <c r="FV199" s="291"/>
      <c r="FW199" s="291"/>
      <c r="FX199" s="291"/>
      <c r="FY199" s="291"/>
      <c r="FZ199" s="291"/>
      <c r="GA199" s="291"/>
      <c r="GB199" s="291"/>
      <c r="GC199" s="291"/>
      <c r="GD199" s="291"/>
      <c r="GE199" s="291"/>
      <c r="GF199" s="291"/>
      <c r="GG199" s="291"/>
      <c r="GH199" s="291"/>
      <c r="GI199" s="291"/>
      <c r="GJ199" s="291"/>
      <c r="GK199" s="291"/>
      <c r="GL199" s="291"/>
      <c r="GM199" s="291"/>
      <c r="GN199" s="291"/>
      <c r="GO199" s="291"/>
      <c r="GP199" s="291"/>
      <c r="GQ199" s="291"/>
      <c r="GR199" s="291"/>
      <c r="GS199" s="291"/>
      <c r="GT199" s="291"/>
      <c r="GU199" s="291"/>
      <c r="GV199" s="291"/>
      <c r="GW199" s="291"/>
      <c r="GX199" s="291"/>
      <c r="GY199" s="291"/>
      <c r="GZ199" s="291"/>
      <c r="HA199" s="291"/>
      <c r="HB199" s="291"/>
      <c r="HC199" s="291"/>
      <c r="HD199" s="291"/>
      <c r="HE199" s="291"/>
      <c r="HF199" s="291"/>
      <c r="HG199" s="291"/>
      <c r="HH199" s="291"/>
      <c r="HI199" s="291"/>
      <c r="HJ199" s="291"/>
      <c r="HK199" s="291"/>
      <c r="HL199" s="291"/>
      <c r="HM199" s="291"/>
      <c r="HN199" s="291"/>
      <c r="HO199" s="291"/>
      <c r="HP199" s="291"/>
      <c r="HQ199" s="291"/>
      <c r="HR199" s="291"/>
      <c r="HS199" s="291"/>
      <c r="HT199" s="291"/>
      <c r="HU199" s="291"/>
      <c r="HV199" s="291"/>
      <c r="HW199" s="291"/>
      <c r="HX199" s="291"/>
      <c r="HY199" s="291"/>
      <c r="HZ199" s="291"/>
      <c r="IA199" s="291"/>
      <c r="IB199" s="291"/>
      <c r="IC199" s="291"/>
      <c r="ID199" s="291"/>
      <c r="IE199" s="291"/>
      <c r="IF199" s="291"/>
      <c r="IG199" s="291"/>
      <c r="IH199" s="291"/>
      <c r="II199" s="291"/>
      <c r="IJ199" s="291"/>
      <c r="IK199" s="291"/>
      <c r="IL199" s="291"/>
      <c r="IM199" s="291"/>
      <c r="IN199" s="291"/>
      <c r="IO199" s="291"/>
      <c r="IP199" s="291"/>
      <c r="IQ199" s="291"/>
      <c r="IR199" s="291"/>
      <c r="IS199" s="291"/>
      <c r="IT199" s="291"/>
      <c r="IU199" s="291"/>
      <c r="IV199" s="291"/>
      <c r="IW199" s="291"/>
      <c r="IX199" s="291"/>
      <c r="IY199" s="291"/>
      <c r="IZ199" s="291"/>
      <c r="JA199" s="291"/>
      <c r="JB199" s="291"/>
      <c r="JC199" s="291"/>
      <c r="JD199" s="291"/>
      <c r="JE199" s="291"/>
      <c r="JF199" s="291"/>
      <c r="JG199" s="291"/>
      <c r="JH199" s="291"/>
      <c r="JI199" s="291"/>
      <c r="JJ199" s="291"/>
      <c r="JK199" s="291"/>
      <c r="JL199" s="291"/>
      <c r="JM199" s="291"/>
      <c r="JN199" s="291"/>
      <c r="JO199" s="291"/>
      <c r="JP199" s="291"/>
      <c r="JQ199" s="291"/>
      <c r="JR199" s="291"/>
      <c r="JS199" s="291"/>
      <c r="JT199" s="291"/>
      <c r="JU199" s="291"/>
      <c r="JV199" s="291"/>
      <c r="JW199" s="291"/>
      <c r="JX199" s="291"/>
      <c r="JY199" s="291"/>
      <c r="JZ199" s="291"/>
      <c r="KA199" s="291"/>
      <c r="KB199" s="291"/>
      <c r="KC199" s="291"/>
      <c r="KD199" s="291"/>
      <c r="KE199" s="291"/>
      <c r="KF199" s="291"/>
      <c r="KG199" s="291"/>
      <c r="KH199" s="291"/>
      <c r="KI199" s="291"/>
      <c r="KJ199" s="291"/>
      <c r="KK199" s="291"/>
      <c r="KL199" s="291"/>
      <c r="KM199" s="291"/>
      <c r="KN199" s="291"/>
      <c r="KO199" s="291"/>
      <c r="KP199" s="291"/>
      <c r="KQ199" s="291"/>
      <c r="KR199" s="291"/>
      <c r="KS199" s="291"/>
      <c r="KT199" s="291"/>
      <c r="KU199" s="291"/>
      <c r="KV199" s="291"/>
      <c r="KW199" s="291"/>
      <c r="KX199" s="291"/>
      <c r="KY199" s="291"/>
      <c r="KZ199" s="291"/>
      <c r="LA199" s="291"/>
      <c r="LB199" s="291"/>
      <c r="LC199" s="291"/>
      <c r="LD199" s="291"/>
      <c r="LE199" s="291"/>
      <c r="LF199" s="291"/>
      <c r="LG199" s="291"/>
      <c r="LH199" s="291"/>
      <c r="LI199" s="291"/>
      <c r="LJ199" s="291"/>
      <c r="LK199" s="291"/>
      <c r="LL199" s="291"/>
      <c r="LM199" s="291"/>
      <c r="LN199" s="291"/>
      <c r="LO199" s="291"/>
      <c r="LP199" s="291"/>
      <c r="LQ199" s="291"/>
      <c r="LR199" s="291"/>
      <c r="LS199" s="291"/>
      <c r="LT199" s="291"/>
      <c r="LU199" s="291"/>
      <c r="LV199" s="291"/>
      <c r="LW199" s="291"/>
      <c r="LX199" s="291"/>
      <c r="LY199" s="291"/>
      <c r="LZ199" s="291"/>
      <c r="MA199" s="291"/>
      <c r="MB199" s="291"/>
      <c r="MC199" s="291"/>
      <c r="MD199" s="291"/>
      <c r="ME199" s="291"/>
      <c r="MF199" s="291"/>
      <c r="MG199" s="291"/>
      <c r="MH199" s="291"/>
      <c r="MI199" s="291"/>
      <c r="MJ199" s="291"/>
      <c r="MK199" s="291"/>
      <c r="ML199" s="291"/>
      <c r="MM199" s="291"/>
      <c r="MN199" s="291"/>
      <c r="MO199" s="291"/>
      <c r="MP199" s="291"/>
      <c r="MQ199" s="291"/>
      <c r="MR199" s="291"/>
      <c r="MS199" s="291"/>
      <c r="MT199" s="291"/>
      <c r="MU199" s="291"/>
      <c r="MV199" s="291"/>
      <c r="MW199" s="291"/>
      <c r="MX199" s="291"/>
      <c r="MY199" s="291"/>
      <c r="MZ199" s="291"/>
      <c r="NA199" s="291"/>
      <c r="NB199" s="291"/>
      <c r="NC199" s="291"/>
      <c r="ND199" s="291"/>
      <c r="NE199" s="291"/>
      <c r="NF199" s="291"/>
      <c r="NG199" s="291"/>
      <c r="NH199" s="291"/>
      <c r="NI199" s="291"/>
      <c r="NJ199" s="291"/>
      <c r="NK199" s="291"/>
      <c r="NL199" s="291"/>
      <c r="NM199" s="291"/>
      <c r="NN199" s="291"/>
      <c r="NO199" s="291"/>
      <c r="NP199" s="291"/>
      <c r="NQ199" s="291"/>
      <c r="NR199" s="291"/>
      <c r="NS199" s="291"/>
      <c r="NT199" s="291"/>
      <c r="NU199" s="291"/>
      <c r="NV199" s="291"/>
      <c r="NW199" s="291"/>
      <c r="NX199" s="291"/>
      <c r="NY199" s="291"/>
      <c r="NZ199" s="291"/>
      <c r="OA199" s="291"/>
      <c r="OB199" s="291"/>
      <c r="OC199" s="291"/>
      <c r="OD199" s="291"/>
      <c r="OE199" s="291"/>
      <c r="OF199" s="291"/>
      <c r="OG199" s="291"/>
      <c r="OH199" s="291"/>
      <c r="OI199" s="291"/>
      <c r="OJ199" s="291"/>
      <c r="OK199" s="291"/>
      <c r="OL199" s="291"/>
      <c r="OM199" s="291"/>
      <c r="ON199" s="291"/>
      <c r="OO199" s="291"/>
      <c r="OP199" s="291"/>
      <c r="OQ199" s="291"/>
      <c r="OR199" s="291"/>
      <c r="OS199" s="291"/>
      <c r="OT199" s="291"/>
      <c r="OU199" s="291"/>
      <c r="OV199" s="291"/>
      <c r="OW199" s="291"/>
    </row>
    <row r="200" spans="1:413" s="257" customFormat="1" hidden="1" x14ac:dyDescent="0.2">
      <c r="A200" s="291"/>
      <c r="B200" s="524">
        <f t="shared" si="11"/>
        <v>184</v>
      </c>
      <c r="C200" s="510" t="s">
        <v>38</v>
      </c>
      <c r="D200" s="511" t="s">
        <v>1352</v>
      </c>
      <c r="E200" s="511"/>
      <c r="F200" s="512" t="s">
        <v>1353</v>
      </c>
      <c r="G200" s="513" t="s">
        <v>200</v>
      </c>
      <c r="H200" s="514" t="s">
        <v>1098</v>
      </c>
      <c r="I200" s="515" t="s">
        <v>1129</v>
      </c>
      <c r="J200" s="346"/>
      <c r="K200" s="526">
        <v>1554758</v>
      </c>
      <c r="L200" s="527">
        <v>0</v>
      </c>
      <c r="M200" s="528">
        <v>1344758</v>
      </c>
      <c r="N200" s="519">
        <v>0</v>
      </c>
      <c r="O200" s="519">
        <v>0</v>
      </c>
      <c r="P200" s="519">
        <v>0</v>
      </c>
      <c r="Q200" s="519">
        <v>0</v>
      </c>
      <c r="R200" s="519">
        <v>0</v>
      </c>
      <c r="S200" s="520">
        <v>0</v>
      </c>
      <c r="T200" s="18"/>
      <c r="U200" s="18"/>
      <c r="V200" s="18"/>
      <c r="W200" s="18"/>
      <c r="X200" s="18"/>
      <c r="Y200" s="18"/>
      <c r="Z200" s="18">
        <f t="shared" si="8"/>
        <v>0</v>
      </c>
      <c r="AA200" s="309">
        <v>210000</v>
      </c>
      <c r="AB200" s="19">
        <v>50</v>
      </c>
      <c r="AC200" s="521">
        <v>44356</v>
      </c>
      <c r="AD200" s="25">
        <v>44377</v>
      </c>
      <c r="AE200" s="309"/>
      <c r="AF200" s="314"/>
      <c r="AG200" s="315"/>
      <c r="AH200" s="316"/>
      <c r="AI200" s="309"/>
      <c r="AJ200" s="338"/>
      <c r="AK200" s="315"/>
      <c r="AL200" s="316"/>
      <c r="AM200" s="309"/>
      <c r="AN200" s="338"/>
      <c r="AO200" s="21"/>
      <c r="AP200" s="25"/>
      <c r="AQ200" s="309"/>
      <c r="AR200" s="19"/>
      <c r="AS200" s="21"/>
      <c r="AT200" s="25"/>
      <c r="AU200" s="522">
        <f t="shared" si="9"/>
        <v>210000</v>
      </c>
      <c r="AV200" s="311">
        <f t="shared" si="10"/>
        <v>210000</v>
      </c>
      <c r="AW200" s="305"/>
      <c r="AX200" s="291"/>
      <c r="AY200" s="291"/>
      <c r="AZ200" s="291"/>
      <c r="BA200" s="291"/>
      <c r="BB200" s="291"/>
      <c r="BC200" s="291"/>
      <c r="BD200" s="291"/>
      <c r="BE200" s="291"/>
      <c r="BF200" s="291"/>
      <c r="BG200" s="291"/>
      <c r="BH200" s="291"/>
      <c r="BI200" s="291"/>
      <c r="BJ200" s="291"/>
      <c r="BK200" s="291"/>
      <c r="BL200" s="291"/>
      <c r="BM200" s="291"/>
      <c r="BN200" s="291"/>
      <c r="BO200" s="291"/>
      <c r="BP200" s="291"/>
      <c r="BQ200" s="291"/>
      <c r="BR200" s="291"/>
      <c r="BS200" s="291"/>
      <c r="BT200" s="291"/>
      <c r="BU200" s="291"/>
      <c r="BV200" s="291"/>
      <c r="BW200" s="291"/>
      <c r="BX200" s="291"/>
      <c r="BY200" s="291"/>
      <c r="BZ200" s="291"/>
      <c r="CA200" s="291"/>
      <c r="CB200" s="291"/>
      <c r="CC200" s="291"/>
      <c r="CD200" s="291"/>
      <c r="CE200" s="291"/>
      <c r="CF200" s="291"/>
      <c r="CG200" s="291"/>
      <c r="CH200" s="291"/>
      <c r="CI200" s="291"/>
      <c r="CJ200" s="291"/>
      <c r="CK200" s="291"/>
      <c r="CL200" s="291"/>
      <c r="CM200" s="291"/>
      <c r="CN200" s="291"/>
      <c r="CO200" s="291"/>
      <c r="CP200" s="291"/>
      <c r="CQ200" s="291"/>
      <c r="CR200" s="291"/>
      <c r="CS200" s="291"/>
      <c r="CT200" s="291"/>
      <c r="CU200" s="291"/>
      <c r="CV200" s="291"/>
      <c r="CW200" s="291"/>
      <c r="CX200" s="291"/>
      <c r="CY200" s="291"/>
      <c r="CZ200" s="291"/>
      <c r="DA200" s="291"/>
      <c r="DB200" s="291"/>
      <c r="DC200" s="291"/>
      <c r="DD200" s="291"/>
      <c r="DE200" s="291"/>
      <c r="DF200" s="291"/>
      <c r="DG200" s="291"/>
      <c r="DH200" s="291"/>
      <c r="DI200" s="291"/>
      <c r="DJ200" s="291"/>
      <c r="DK200" s="291"/>
      <c r="DL200" s="291"/>
      <c r="DM200" s="291"/>
      <c r="DN200" s="291"/>
      <c r="DO200" s="291"/>
      <c r="DP200" s="291"/>
      <c r="DQ200" s="291"/>
      <c r="DR200" s="291"/>
      <c r="DS200" s="291"/>
      <c r="DT200" s="291"/>
      <c r="DU200" s="291"/>
      <c r="DV200" s="291"/>
      <c r="DW200" s="291"/>
      <c r="DX200" s="291"/>
      <c r="DY200" s="291"/>
      <c r="DZ200" s="291"/>
      <c r="EA200" s="291"/>
      <c r="EB200" s="291"/>
      <c r="EC200" s="291"/>
      <c r="ED200" s="291"/>
      <c r="EE200" s="291"/>
      <c r="EF200" s="291"/>
      <c r="EG200" s="291"/>
      <c r="EH200" s="291"/>
      <c r="EI200" s="291"/>
      <c r="EJ200" s="291"/>
      <c r="EK200" s="291"/>
      <c r="EL200" s="291"/>
      <c r="EM200" s="291"/>
      <c r="EN200" s="291"/>
      <c r="EO200" s="291"/>
      <c r="EP200" s="291"/>
      <c r="EQ200" s="291"/>
      <c r="ER200" s="291"/>
      <c r="ES200" s="291"/>
      <c r="ET200" s="291"/>
      <c r="EU200" s="291"/>
      <c r="EV200" s="291"/>
      <c r="EW200" s="291"/>
      <c r="EX200" s="291"/>
      <c r="EY200" s="291"/>
      <c r="EZ200" s="291"/>
      <c r="FA200" s="291"/>
      <c r="FB200" s="291"/>
      <c r="FC200" s="291"/>
      <c r="FD200" s="291"/>
      <c r="FE200" s="291"/>
      <c r="FF200" s="291"/>
      <c r="FG200" s="291"/>
      <c r="FH200" s="291"/>
      <c r="FI200" s="291"/>
      <c r="FJ200" s="291"/>
      <c r="FK200" s="291"/>
      <c r="FL200" s="291"/>
      <c r="FM200" s="291"/>
      <c r="FN200" s="291"/>
      <c r="FO200" s="291"/>
      <c r="FP200" s="291"/>
      <c r="FQ200" s="291"/>
      <c r="FR200" s="291"/>
      <c r="FS200" s="291"/>
      <c r="FT200" s="291"/>
      <c r="FU200" s="291"/>
      <c r="FV200" s="291"/>
      <c r="FW200" s="291"/>
      <c r="FX200" s="291"/>
      <c r="FY200" s="291"/>
      <c r="FZ200" s="291"/>
      <c r="GA200" s="291"/>
      <c r="GB200" s="291"/>
      <c r="GC200" s="291"/>
      <c r="GD200" s="291"/>
      <c r="GE200" s="291"/>
      <c r="GF200" s="291"/>
      <c r="GG200" s="291"/>
      <c r="GH200" s="291"/>
      <c r="GI200" s="291"/>
      <c r="GJ200" s="291"/>
      <c r="GK200" s="291"/>
      <c r="GL200" s="291"/>
      <c r="GM200" s="291"/>
      <c r="GN200" s="291"/>
      <c r="GO200" s="291"/>
      <c r="GP200" s="291"/>
      <c r="GQ200" s="291"/>
      <c r="GR200" s="291"/>
      <c r="GS200" s="291"/>
      <c r="GT200" s="291"/>
      <c r="GU200" s="291"/>
      <c r="GV200" s="291"/>
      <c r="GW200" s="291"/>
      <c r="GX200" s="291"/>
      <c r="GY200" s="291"/>
      <c r="GZ200" s="291"/>
      <c r="HA200" s="291"/>
      <c r="HB200" s="291"/>
      <c r="HC200" s="291"/>
      <c r="HD200" s="291"/>
      <c r="HE200" s="291"/>
      <c r="HF200" s="291"/>
      <c r="HG200" s="291"/>
      <c r="HH200" s="291"/>
      <c r="HI200" s="291"/>
      <c r="HJ200" s="291"/>
      <c r="HK200" s="291"/>
      <c r="HL200" s="291"/>
      <c r="HM200" s="291"/>
      <c r="HN200" s="291"/>
      <c r="HO200" s="291"/>
      <c r="HP200" s="291"/>
      <c r="HQ200" s="291"/>
      <c r="HR200" s="291"/>
      <c r="HS200" s="291"/>
      <c r="HT200" s="291"/>
      <c r="HU200" s="291"/>
      <c r="HV200" s="291"/>
      <c r="HW200" s="291"/>
      <c r="HX200" s="291"/>
      <c r="HY200" s="291"/>
      <c r="HZ200" s="291"/>
      <c r="IA200" s="291"/>
      <c r="IB200" s="291"/>
      <c r="IC200" s="291"/>
      <c r="ID200" s="291"/>
      <c r="IE200" s="291"/>
      <c r="IF200" s="291"/>
      <c r="IG200" s="291"/>
      <c r="IH200" s="291"/>
      <c r="II200" s="291"/>
      <c r="IJ200" s="291"/>
      <c r="IK200" s="291"/>
      <c r="IL200" s="291"/>
      <c r="IM200" s="291"/>
      <c r="IN200" s="291"/>
      <c r="IO200" s="291"/>
      <c r="IP200" s="291"/>
      <c r="IQ200" s="291"/>
      <c r="IR200" s="291"/>
      <c r="IS200" s="291"/>
      <c r="IT200" s="291"/>
      <c r="IU200" s="291"/>
      <c r="IV200" s="291"/>
      <c r="IW200" s="291"/>
      <c r="IX200" s="291"/>
      <c r="IY200" s="291"/>
      <c r="IZ200" s="291"/>
      <c r="JA200" s="291"/>
      <c r="JB200" s="291"/>
      <c r="JC200" s="291"/>
      <c r="JD200" s="291"/>
      <c r="JE200" s="291"/>
      <c r="JF200" s="291"/>
      <c r="JG200" s="291"/>
      <c r="JH200" s="291"/>
      <c r="JI200" s="291"/>
      <c r="JJ200" s="291"/>
      <c r="JK200" s="291"/>
      <c r="JL200" s="291"/>
      <c r="JM200" s="291"/>
      <c r="JN200" s="291"/>
      <c r="JO200" s="291"/>
      <c r="JP200" s="291"/>
      <c r="JQ200" s="291"/>
      <c r="JR200" s="291"/>
      <c r="JS200" s="291"/>
      <c r="JT200" s="291"/>
      <c r="JU200" s="291"/>
      <c r="JV200" s="291"/>
      <c r="JW200" s="291"/>
      <c r="JX200" s="291"/>
      <c r="JY200" s="291"/>
      <c r="JZ200" s="291"/>
      <c r="KA200" s="291"/>
      <c r="KB200" s="291"/>
      <c r="KC200" s="291"/>
      <c r="KD200" s="291"/>
      <c r="KE200" s="291"/>
      <c r="KF200" s="291"/>
      <c r="KG200" s="291"/>
      <c r="KH200" s="291"/>
      <c r="KI200" s="291"/>
      <c r="KJ200" s="291"/>
      <c r="KK200" s="291"/>
      <c r="KL200" s="291"/>
      <c r="KM200" s="291"/>
      <c r="KN200" s="291"/>
      <c r="KO200" s="291"/>
      <c r="KP200" s="291"/>
      <c r="KQ200" s="291"/>
      <c r="KR200" s="291"/>
      <c r="KS200" s="291"/>
      <c r="KT200" s="291"/>
      <c r="KU200" s="291"/>
      <c r="KV200" s="291"/>
      <c r="KW200" s="291"/>
      <c r="KX200" s="291"/>
      <c r="KY200" s="291"/>
      <c r="KZ200" s="291"/>
      <c r="LA200" s="291"/>
      <c r="LB200" s="291"/>
      <c r="LC200" s="291"/>
      <c r="LD200" s="291"/>
      <c r="LE200" s="291"/>
      <c r="LF200" s="291"/>
      <c r="LG200" s="291"/>
      <c r="LH200" s="291"/>
      <c r="LI200" s="291"/>
      <c r="LJ200" s="291"/>
      <c r="LK200" s="291"/>
      <c r="LL200" s="291"/>
      <c r="LM200" s="291"/>
      <c r="LN200" s="291"/>
      <c r="LO200" s="291"/>
      <c r="LP200" s="291"/>
      <c r="LQ200" s="291"/>
      <c r="LR200" s="291"/>
      <c r="LS200" s="291"/>
      <c r="LT200" s="291"/>
      <c r="LU200" s="291"/>
      <c r="LV200" s="291"/>
      <c r="LW200" s="291"/>
      <c r="LX200" s="291"/>
      <c r="LY200" s="291"/>
      <c r="LZ200" s="291"/>
      <c r="MA200" s="291"/>
      <c r="MB200" s="291"/>
      <c r="MC200" s="291"/>
      <c r="MD200" s="291"/>
      <c r="ME200" s="291"/>
      <c r="MF200" s="291"/>
      <c r="MG200" s="291"/>
      <c r="MH200" s="291"/>
      <c r="MI200" s="291"/>
      <c r="MJ200" s="291"/>
      <c r="MK200" s="291"/>
      <c r="ML200" s="291"/>
      <c r="MM200" s="291"/>
      <c r="MN200" s="291"/>
      <c r="MO200" s="291"/>
      <c r="MP200" s="291"/>
      <c r="MQ200" s="291"/>
      <c r="MR200" s="291"/>
      <c r="MS200" s="291"/>
      <c r="MT200" s="291"/>
      <c r="MU200" s="291"/>
      <c r="MV200" s="291"/>
      <c r="MW200" s="291"/>
      <c r="MX200" s="291"/>
      <c r="MY200" s="291"/>
      <c r="MZ200" s="291"/>
      <c r="NA200" s="291"/>
      <c r="NB200" s="291"/>
      <c r="NC200" s="291"/>
      <c r="ND200" s="291"/>
      <c r="NE200" s="291"/>
      <c r="NF200" s="291"/>
      <c r="NG200" s="291"/>
      <c r="NH200" s="291"/>
      <c r="NI200" s="291"/>
      <c r="NJ200" s="291"/>
      <c r="NK200" s="291"/>
      <c r="NL200" s="291"/>
      <c r="NM200" s="291"/>
      <c r="NN200" s="291"/>
      <c r="NO200" s="291"/>
      <c r="NP200" s="291"/>
      <c r="NQ200" s="291"/>
      <c r="NR200" s="291"/>
      <c r="NS200" s="291"/>
      <c r="NT200" s="291"/>
      <c r="NU200" s="291"/>
      <c r="NV200" s="291"/>
      <c r="NW200" s="291"/>
      <c r="NX200" s="291"/>
      <c r="NY200" s="291"/>
      <c r="NZ200" s="291"/>
      <c r="OA200" s="291"/>
      <c r="OB200" s="291"/>
      <c r="OC200" s="291"/>
      <c r="OD200" s="291"/>
      <c r="OE200" s="291"/>
      <c r="OF200" s="291"/>
      <c r="OG200" s="291"/>
      <c r="OH200" s="291"/>
      <c r="OI200" s="291"/>
      <c r="OJ200" s="291"/>
      <c r="OK200" s="291"/>
      <c r="OL200" s="291"/>
      <c r="OM200" s="291"/>
      <c r="ON200" s="291"/>
      <c r="OO200" s="291"/>
      <c r="OP200" s="291"/>
      <c r="OQ200" s="291"/>
      <c r="OR200" s="291"/>
      <c r="OS200" s="291"/>
      <c r="OT200" s="291"/>
      <c r="OU200" s="291"/>
      <c r="OV200" s="291"/>
      <c r="OW200" s="291"/>
    </row>
    <row r="201" spans="1:413" s="257" customFormat="1" hidden="1" x14ac:dyDescent="0.2">
      <c r="A201" s="291"/>
      <c r="B201" s="524">
        <f t="shared" si="11"/>
        <v>185</v>
      </c>
      <c r="C201" s="510" t="s">
        <v>38</v>
      </c>
      <c r="D201" s="511" t="s">
        <v>1354</v>
      </c>
      <c r="E201" s="511"/>
      <c r="F201" s="512" t="s">
        <v>1355</v>
      </c>
      <c r="G201" s="513" t="s">
        <v>204</v>
      </c>
      <c r="H201" s="514" t="s">
        <v>1098</v>
      </c>
      <c r="I201" s="515" t="s">
        <v>1207</v>
      </c>
      <c r="J201" s="346"/>
      <c r="K201" s="526">
        <v>55150</v>
      </c>
      <c r="L201" s="527">
        <v>0</v>
      </c>
      <c r="M201" s="528">
        <v>41989</v>
      </c>
      <c r="N201" s="519">
        <v>0</v>
      </c>
      <c r="O201" s="519">
        <v>0</v>
      </c>
      <c r="P201" s="519">
        <v>0</v>
      </c>
      <c r="Q201" s="519">
        <v>0</v>
      </c>
      <c r="R201" s="519">
        <v>0</v>
      </c>
      <c r="S201" s="520">
        <v>0</v>
      </c>
      <c r="T201" s="18"/>
      <c r="U201" s="18"/>
      <c r="V201" s="18"/>
      <c r="W201" s="18"/>
      <c r="X201" s="18"/>
      <c r="Y201" s="18"/>
      <c r="Z201" s="18">
        <f t="shared" si="8"/>
        <v>0</v>
      </c>
      <c r="AA201" s="309">
        <v>13161</v>
      </c>
      <c r="AB201" s="19">
        <v>50</v>
      </c>
      <c r="AC201" s="521">
        <v>44356</v>
      </c>
      <c r="AD201" s="25">
        <v>44377</v>
      </c>
      <c r="AE201" s="309"/>
      <c r="AF201" s="314"/>
      <c r="AG201" s="315"/>
      <c r="AH201" s="316"/>
      <c r="AI201" s="309"/>
      <c r="AJ201" s="338"/>
      <c r="AK201" s="315"/>
      <c r="AL201" s="316"/>
      <c r="AM201" s="309"/>
      <c r="AN201" s="338"/>
      <c r="AO201" s="21"/>
      <c r="AP201" s="25"/>
      <c r="AQ201" s="309"/>
      <c r="AR201" s="19"/>
      <c r="AS201" s="21"/>
      <c r="AT201" s="25"/>
      <c r="AU201" s="522">
        <f t="shared" si="9"/>
        <v>13161</v>
      </c>
      <c r="AV201" s="311">
        <f t="shared" si="10"/>
        <v>13161</v>
      </c>
      <c r="AW201" s="305"/>
      <c r="AX201" s="291"/>
      <c r="AY201" s="291"/>
      <c r="AZ201" s="291"/>
      <c r="BA201" s="291"/>
      <c r="BB201" s="291"/>
      <c r="BC201" s="291"/>
      <c r="BD201" s="291"/>
      <c r="BE201" s="291"/>
      <c r="BF201" s="291"/>
      <c r="BG201" s="291"/>
      <c r="BH201" s="291"/>
      <c r="BI201" s="291"/>
      <c r="BJ201" s="291"/>
      <c r="BK201" s="291"/>
      <c r="BL201" s="291"/>
      <c r="BM201" s="291"/>
      <c r="BN201" s="291"/>
      <c r="BO201" s="291"/>
      <c r="BP201" s="291"/>
      <c r="BQ201" s="291"/>
      <c r="BR201" s="291"/>
      <c r="BS201" s="291"/>
      <c r="BT201" s="291"/>
      <c r="BU201" s="291"/>
      <c r="BV201" s="291"/>
      <c r="BW201" s="291"/>
      <c r="BX201" s="291"/>
      <c r="BY201" s="291"/>
      <c r="BZ201" s="291"/>
      <c r="CA201" s="291"/>
      <c r="CB201" s="291"/>
      <c r="CC201" s="291"/>
      <c r="CD201" s="291"/>
      <c r="CE201" s="291"/>
      <c r="CF201" s="291"/>
      <c r="CG201" s="291"/>
      <c r="CH201" s="291"/>
      <c r="CI201" s="291"/>
      <c r="CJ201" s="291"/>
      <c r="CK201" s="291"/>
      <c r="CL201" s="291"/>
      <c r="CM201" s="291"/>
      <c r="CN201" s="291"/>
      <c r="CO201" s="291"/>
      <c r="CP201" s="291"/>
      <c r="CQ201" s="291"/>
      <c r="CR201" s="291"/>
      <c r="CS201" s="291"/>
      <c r="CT201" s="291"/>
      <c r="CU201" s="291"/>
      <c r="CV201" s="291"/>
      <c r="CW201" s="291"/>
      <c r="CX201" s="291"/>
      <c r="CY201" s="291"/>
      <c r="CZ201" s="291"/>
      <c r="DA201" s="291"/>
      <c r="DB201" s="291"/>
      <c r="DC201" s="291"/>
      <c r="DD201" s="291"/>
      <c r="DE201" s="291"/>
      <c r="DF201" s="291"/>
      <c r="DG201" s="291"/>
      <c r="DH201" s="291"/>
      <c r="DI201" s="291"/>
      <c r="DJ201" s="291"/>
      <c r="DK201" s="291"/>
      <c r="DL201" s="291"/>
      <c r="DM201" s="291"/>
      <c r="DN201" s="291"/>
      <c r="DO201" s="291"/>
      <c r="DP201" s="291"/>
      <c r="DQ201" s="291"/>
      <c r="DR201" s="291"/>
      <c r="DS201" s="291"/>
      <c r="DT201" s="291"/>
      <c r="DU201" s="291"/>
      <c r="DV201" s="291"/>
      <c r="DW201" s="291"/>
      <c r="DX201" s="291"/>
      <c r="DY201" s="291"/>
      <c r="DZ201" s="291"/>
      <c r="EA201" s="291"/>
      <c r="EB201" s="291"/>
      <c r="EC201" s="291"/>
      <c r="ED201" s="291"/>
      <c r="EE201" s="291"/>
      <c r="EF201" s="291"/>
      <c r="EG201" s="291"/>
      <c r="EH201" s="291"/>
      <c r="EI201" s="291"/>
      <c r="EJ201" s="291"/>
      <c r="EK201" s="291"/>
      <c r="EL201" s="291"/>
      <c r="EM201" s="291"/>
      <c r="EN201" s="291"/>
      <c r="EO201" s="291"/>
      <c r="EP201" s="291"/>
      <c r="EQ201" s="291"/>
      <c r="ER201" s="291"/>
      <c r="ES201" s="291"/>
      <c r="ET201" s="291"/>
      <c r="EU201" s="291"/>
      <c r="EV201" s="291"/>
      <c r="EW201" s="291"/>
      <c r="EX201" s="291"/>
      <c r="EY201" s="291"/>
      <c r="EZ201" s="291"/>
      <c r="FA201" s="291"/>
      <c r="FB201" s="291"/>
      <c r="FC201" s="291"/>
      <c r="FD201" s="291"/>
      <c r="FE201" s="291"/>
      <c r="FF201" s="291"/>
      <c r="FG201" s="291"/>
      <c r="FH201" s="291"/>
      <c r="FI201" s="291"/>
      <c r="FJ201" s="291"/>
      <c r="FK201" s="291"/>
      <c r="FL201" s="291"/>
      <c r="FM201" s="291"/>
      <c r="FN201" s="291"/>
      <c r="FO201" s="291"/>
      <c r="FP201" s="291"/>
      <c r="FQ201" s="291"/>
      <c r="FR201" s="291"/>
      <c r="FS201" s="291"/>
      <c r="FT201" s="291"/>
      <c r="FU201" s="291"/>
      <c r="FV201" s="291"/>
      <c r="FW201" s="291"/>
      <c r="FX201" s="291"/>
      <c r="FY201" s="291"/>
      <c r="FZ201" s="291"/>
      <c r="GA201" s="291"/>
      <c r="GB201" s="291"/>
      <c r="GC201" s="291"/>
      <c r="GD201" s="291"/>
      <c r="GE201" s="291"/>
      <c r="GF201" s="291"/>
      <c r="GG201" s="291"/>
      <c r="GH201" s="291"/>
      <c r="GI201" s="291"/>
      <c r="GJ201" s="291"/>
      <c r="GK201" s="291"/>
      <c r="GL201" s="291"/>
      <c r="GM201" s="291"/>
      <c r="GN201" s="291"/>
      <c r="GO201" s="291"/>
      <c r="GP201" s="291"/>
      <c r="GQ201" s="291"/>
      <c r="GR201" s="291"/>
      <c r="GS201" s="291"/>
      <c r="GT201" s="291"/>
      <c r="GU201" s="291"/>
      <c r="GV201" s="291"/>
      <c r="GW201" s="291"/>
      <c r="GX201" s="291"/>
      <c r="GY201" s="291"/>
      <c r="GZ201" s="291"/>
      <c r="HA201" s="291"/>
      <c r="HB201" s="291"/>
      <c r="HC201" s="291"/>
      <c r="HD201" s="291"/>
      <c r="HE201" s="291"/>
      <c r="HF201" s="291"/>
      <c r="HG201" s="291"/>
      <c r="HH201" s="291"/>
      <c r="HI201" s="291"/>
      <c r="HJ201" s="291"/>
      <c r="HK201" s="291"/>
      <c r="HL201" s="291"/>
      <c r="HM201" s="291"/>
      <c r="HN201" s="291"/>
      <c r="HO201" s="291"/>
      <c r="HP201" s="291"/>
      <c r="HQ201" s="291"/>
      <c r="HR201" s="291"/>
      <c r="HS201" s="291"/>
      <c r="HT201" s="291"/>
      <c r="HU201" s="291"/>
      <c r="HV201" s="291"/>
      <c r="HW201" s="291"/>
      <c r="HX201" s="291"/>
      <c r="HY201" s="291"/>
      <c r="HZ201" s="291"/>
      <c r="IA201" s="291"/>
      <c r="IB201" s="291"/>
      <c r="IC201" s="291"/>
      <c r="ID201" s="291"/>
      <c r="IE201" s="291"/>
      <c r="IF201" s="291"/>
      <c r="IG201" s="291"/>
      <c r="IH201" s="291"/>
      <c r="II201" s="291"/>
      <c r="IJ201" s="291"/>
      <c r="IK201" s="291"/>
      <c r="IL201" s="291"/>
      <c r="IM201" s="291"/>
      <c r="IN201" s="291"/>
      <c r="IO201" s="291"/>
      <c r="IP201" s="291"/>
      <c r="IQ201" s="291"/>
      <c r="IR201" s="291"/>
      <c r="IS201" s="291"/>
      <c r="IT201" s="291"/>
      <c r="IU201" s="291"/>
      <c r="IV201" s="291"/>
      <c r="IW201" s="291"/>
      <c r="IX201" s="291"/>
      <c r="IY201" s="291"/>
      <c r="IZ201" s="291"/>
      <c r="JA201" s="291"/>
      <c r="JB201" s="291"/>
      <c r="JC201" s="291"/>
      <c r="JD201" s="291"/>
      <c r="JE201" s="291"/>
      <c r="JF201" s="291"/>
      <c r="JG201" s="291"/>
      <c r="JH201" s="291"/>
      <c r="JI201" s="291"/>
      <c r="JJ201" s="291"/>
      <c r="JK201" s="291"/>
      <c r="JL201" s="291"/>
      <c r="JM201" s="291"/>
      <c r="JN201" s="291"/>
      <c r="JO201" s="291"/>
      <c r="JP201" s="291"/>
      <c r="JQ201" s="291"/>
      <c r="JR201" s="291"/>
      <c r="JS201" s="291"/>
      <c r="JT201" s="291"/>
      <c r="JU201" s="291"/>
      <c r="JV201" s="291"/>
      <c r="JW201" s="291"/>
      <c r="JX201" s="291"/>
      <c r="JY201" s="291"/>
      <c r="JZ201" s="291"/>
      <c r="KA201" s="291"/>
      <c r="KB201" s="291"/>
      <c r="KC201" s="291"/>
      <c r="KD201" s="291"/>
      <c r="KE201" s="291"/>
      <c r="KF201" s="291"/>
      <c r="KG201" s="291"/>
      <c r="KH201" s="291"/>
      <c r="KI201" s="291"/>
      <c r="KJ201" s="291"/>
      <c r="KK201" s="291"/>
      <c r="KL201" s="291"/>
      <c r="KM201" s="291"/>
      <c r="KN201" s="291"/>
      <c r="KO201" s="291"/>
      <c r="KP201" s="291"/>
      <c r="KQ201" s="291"/>
      <c r="KR201" s="291"/>
      <c r="KS201" s="291"/>
      <c r="KT201" s="291"/>
      <c r="KU201" s="291"/>
      <c r="KV201" s="291"/>
      <c r="KW201" s="291"/>
      <c r="KX201" s="291"/>
      <c r="KY201" s="291"/>
      <c r="KZ201" s="291"/>
      <c r="LA201" s="291"/>
      <c r="LB201" s="291"/>
      <c r="LC201" s="291"/>
      <c r="LD201" s="291"/>
      <c r="LE201" s="291"/>
      <c r="LF201" s="291"/>
      <c r="LG201" s="291"/>
      <c r="LH201" s="291"/>
      <c r="LI201" s="291"/>
      <c r="LJ201" s="291"/>
      <c r="LK201" s="291"/>
      <c r="LL201" s="291"/>
      <c r="LM201" s="291"/>
      <c r="LN201" s="291"/>
      <c r="LO201" s="291"/>
      <c r="LP201" s="291"/>
      <c r="LQ201" s="291"/>
      <c r="LR201" s="291"/>
      <c r="LS201" s="291"/>
      <c r="LT201" s="291"/>
      <c r="LU201" s="291"/>
      <c r="LV201" s="291"/>
      <c r="LW201" s="291"/>
      <c r="LX201" s="291"/>
      <c r="LY201" s="291"/>
      <c r="LZ201" s="291"/>
      <c r="MA201" s="291"/>
      <c r="MB201" s="291"/>
      <c r="MC201" s="291"/>
      <c r="MD201" s="291"/>
      <c r="ME201" s="291"/>
      <c r="MF201" s="291"/>
      <c r="MG201" s="291"/>
      <c r="MH201" s="291"/>
      <c r="MI201" s="291"/>
      <c r="MJ201" s="291"/>
      <c r="MK201" s="291"/>
      <c r="ML201" s="291"/>
      <c r="MM201" s="291"/>
      <c r="MN201" s="291"/>
      <c r="MO201" s="291"/>
      <c r="MP201" s="291"/>
      <c r="MQ201" s="291"/>
      <c r="MR201" s="291"/>
      <c r="MS201" s="291"/>
      <c r="MT201" s="291"/>
      <c r="MU201" s="291"/>
      <c r="MV201" s="291"/>
      <c r="MW201" s="291"/>
      <c r="MX201" s="291"/>
      <c r="MY201" s="291"/>
      <c r="MZ201" s="291"/>
      <c r="NA201" s="291"/>
      <c r="NB201" s="291"/>
      <c r="NC201" s="291"/>
      <c r="ND201" s="291"/>
      <c r="NE201" s="291"/>
      <c r="NF201" s="291"/>
      <c r="NG201" s="291"/>
      <c r="NH201" s="291"/>
      <c r="NI201" s="291"/>
      <c r="NJ201" s="291"/>
      <c r="NK201" s="291"/>
      <c r="NL201" s="291"/>
      <c r="NM201" s="291"/>
      <c r="NN201" s="291"/>
      <c r="NO201" s="291"/>
      <c r="NP201" s="291"/>
      <c r="NQ201" s="291"/>
      <c r="NR201" s="291"/>
      <c r="NS201" s="291"/>
      <c r="NT201" s="291"/>
      <c r="NU201" s="291"/>
      <c r="NV201" s="291"/>
      <c r="NW201" s="291"/>
      <c r="NX201" s="291"/>
      <c r="NY201" s="291"/>
      <c r="NZ201" s="291"/>
      <c r="OA201" s="291"/>
      <c r="OB201" s="291"/>
      <c r="OC201" s="291"/>
      <c r="OD201" s="291"/>
      <c r="OE201" s="291"/>
      <c r="OF201" s="291"/>
      <c r="OG201" s="291"/>
      <c r="OH201" s="291"/>
      <c r="OI201" s="291"/>
      <c r="OJ201" s="291"/>
      <c r="OK201" s="291"/>
      <c r="OL201" s="291"/>
      <c r="OM201" s="291"/>
      <c r="ON201" s="291"/>
      <c r="OO201" s="291"/>
      <c r="OP201" s="291"/>
      <c r="OQ201" s="291"/>
      <c r="OR201" s="291"/>
      <c r="OS201" s="291"/>
      <c r="OT201" s="291"/>
      <c r="OU201" s="291"/>
      <c r="OV201" s="291"/>
      <c r="OW201" s="291"/>
    </row>
    <row r="202" spans="1:413" s="257" customFormat="1" hidden="1" x14ac:dyDescent="0.2">
      <c r="A202" s="291"/>
      <c r="B202" s="524">
        <f t="shared" si="11"/>
        <v>186</v>
      </c>
      <c r="C202" s="510" t="s">
        <v>38</v>
      </c>
      <c r="D202" s="511">
        <v>40001791</v>
      </c>
      <c r="E202" s="511"/>
      <c r="F202" s="512" t="s">
        <v>1356</v>
      </c>
      <c r="G202" s="513" t="s">
        <v>45</v>
      </c>
      <c r="H202" s="514" t="s">
        <v>1094</v>
      </c>
      <c r="I202" s="515" t="s">
        <v>1255</v>
      </c>
      <c r="J202" s="346" t="s">
        <v>42</v>
      </c>
      <c r="K202" s="526">
        <v>2098662</v>
      </c>
      <c r="L202" s="527">
        <v>57419</v>
      </c>
      <c r="M202" s="528">
        <v>821437</v>
      </c>
      <c r="N202" s="519">
        <v>0</v>
      </c>
      <c r="O202" s="519">
        <v>0</v>
      </c>
      <c r="P202" s="519">
        <v>227916</v>
      </c>
      <c r="Q202" s="519">
        <v>0</v>
      </c>
      <c r="R202" s="519">
        <v>208736</v>
      </c>
      <c r="S202" s="520">
        <v>158347</v>
      </c>
      <c r="T202" s="18"/>
      <c r="U202" s="18"/>
      <c r="V202" s="18"/>
      <c r="W202" s="18"/>
      <c r="X202" s="18"/>
      <c r="Y202" s="18"/>
      <c r="Z202" s="18">
        <f t="shared" si="8"/>
        <v>594999</v>
      </c>
      <c r="AA202" s="309">
        <v>1219580</v>
      </c>
      <c r="AB202" s="19">
        <v>11</v>
      </c>
      <c r="AC202" s="521">
        <v>44237</v>
      </c>
      <c r="AD202" s="25">
        <v>44251</v>
      </c>
      <c r="AE202" s="309"/>
      <c r="AF202" s="314"/>
      <c r="AG202" s="315"/>
      <c r="AH202" s="316"/>
      <c r="AI202" s="309"/>
      <c r="AJ202" s="338"/>
      <c r="AK202" s="315"/>
      <c r="AL202" s="316"/>
      <c r="AM202" s="309"/>
      <c r="AN202" s="338"/>
      <c r="AO202" s="21"/>
      <c r="AP202" s="25"/>
      <c r="AQ202" s="309"/>
      <c r="AR202" s="19"/>
      <c r="AS202" s="21"/>
      <c r="AT202" s="25"/>
      <c r="AU202" s="522">
        <f t="shared" si="9"/>
        <v>1219580</v>
      </c>
      <c r="AV202" s="311">
        <f t="shared" si="10"/>
        <v>624581</v>
      </c>
      <c r="AW202" s="305"/>
      <c r="AX202" s="291"/>
      <c r="AY202" s="291"/>
      <c r="AZ202" s="291"/>
      <c r="BA202" s="291"/>
      <c r="BB202" s="291"/>
      <c r="BC202" s="291"/>
      <c r="BD202" s="291"/>
      <c r="BE202" s="291"/>
      <c r="BF202" s="291"/>
      <c r="BG202" s="291"/>
      <c r="BH202" s="291"/>
      <c r="BI202" s="291"/>
      <c r="BJ202" s="291"/>
      <c r="BK202" s="291"/>
      <c r="BL202" s="291"/>
      <c r="BM202" s="291"/>
      <c r="BN202" s="291"/>
      <c r="BO202" s="291"/>
      <c r="BP202" s="291"/>
      <c r="BQ202" s="291"/>
      <c r="BR202" s="291"/>
      <c r="BS202" s="291"/>
      <c r="BT202" s="291"/>
      <c r="BU202" s="291"/>
      <c r="BV202" s="291"/>
      <c r="BW202" s="291"/>
      <c r="BX202" s="291"/>
      <c r="BY202" s="291"/>
      <c r="BZ202" s="291"/>
      <c r="CA202" s="291"/>
      <c r="CB202" s="291"/>
      <c r="CC202" s="291"/>
      <c r="CD202" s="291"/>
      <c r="CE202" s="291"/>
      <c r="CF202" s="291"/>
      <c r="CG202" s="291"/>
      <c r="CH202" s="291"/>
      <c r="CI202" s="291"/>
      <c r="CJ202" s="291"/>
      <c r="CK202" s="291"/>
      <c r="CL202" s="291"/>
      <c r="CM202" s="291"/>
      <c r="CN202" s="291"/>
      <c r="CO202" s="291"/>
      <c r="CP202" s="291"/>
      <c r="CQ202" s="291"/>
      <c r="CR202" s="291"/>
      <c r="CS202" s="291"/>
      <c r="CT202" s="291"/>
      <c r="CU202" s="291"/>
      <c r="CV202" s="291"/>
      <c r="CW202" s="291"/>
      <c r="CX202" s="291"/>
      <c r="CY202" s="291"/>
      <c r="CZ202" s="291"/>
      <c r="DA202" s="291"/>
      <c r="DB202" s="291"/>
      <c r="DC202" s="291"/>
      <c r="DD202" s="291"/>
      <c r="DE202" s="291"/>
      <c r="DF202" s="291"/>
      <c r="DG202" s="291"/>
      <c r="DH202" s="291"/>
      <c r="DI202" s="291"/>
      <c r="DJ202" s="291"/>
      <c r="DK202" s="291"/>
      <c r="DL202" s="291"/>
      <c r="DM202" s="291"/>
      <c r="DN202" s="291"/>
      <c r="DO202" s="291"/>
      <c r="DP202" s="291"/>
      <c r="DQ202" s="291"/>
      <c r="DR202" s="291"/>
      <c r="DS202" s="291"/>
      <c r="DT202" s="291"/>
      <c r="DU202" s="291"/>
      <c r="DV202" s="291"/>
      <c r="DW202" s="291"/>
      <c r="DX202" s="291"/>
      <c r="DY202" s="291"/>
      <c r="DZ202" s="291"/>
      <c r="EA202" s="291"/>
      <c r="EB202" s="291"/>
      <c r="EC202" s="291"/>
      <c r="ED202" s="291"/>
      <c r="EE202" s="291"/>
      <c r="EF202" s="291"/>
      <c r="EG202" s="291"/>
      <c r="EH202" s="291"/>
      <c r="EI202" s="291"/>
      <c r="EJ202" s="291"/>
      <c r="EK202" s="291"/>
      <c r="EL202" s="291"/>
      <c r="EM202" s="291"/>
      <c r="EN202" s="291"/>
      <c r="EO202" s="291"/>
      <c r="EP202" s="291"/>
      <c r="EQ202" s="291"/>
      <c r="ER202" s="291"/>
      <c r="ES202" s="291"/>
      <c r="ET202" s="291"/>
      <c r="EU202" s="291"/>
      <c r="EV202" s="291"/>
      <c r="EW202" s="291"/>
      <c r="EX202" s="291"/>
      <c r="EY202" s="291"/>
      <c r="EZ202" s="291"/>
      <c r="FA202" s="291"/>
      <c r="FB202" s="291"/>
      <c r="FC202" s="291"/>
      <c r="FD202" s="291"/>
      <c r="FE202" s="291"/>
      <c r="FF202" s="291"/>
      <c r="FG202" s="291"/>
      <c r="FH202" s="291"/>
      <c r="FI202" s="291"/>
      <c r="FJ202" s="291"/>
      <c r="FK202" s="291"/>
      <c r="FL202" s="291"/>
      <c r="FM202" s="291"/>
      <c r="FN202" s="291"/>
      <c r="FO202" s="291"/>
      <c r="FP202" s="291"/>
      <c r="FQ202" s="291"/>
      <c r="FR202" s="291"/>
      <c r="FS202" s="291"/>
      <c r="FT202" s="291"/>
      <c r="FU202" s="291"/>
      <c r="FV202" s="291"/>
      <c r="FW202" s="291"/>
      <c r="FX202" s="291"/>
      <c r="FY202" s="291"/>
      <c r="FZ202" s="291"/>
      <c r="GA202" s="291"/>
      <c r="GB202" s="291"/>
      <c r="GC202" s="291"/>
      <c r="GD202" s="291"/>
      <c r="GE202" s="291"/>
      <c r="GF202" s="291"/>
      <c r="GG202" s="291"/>
      <c r="GH202" s="291"/>
      <c r="GI202" s="291"/>
      <c r="GJ202" s="291"/>
      <c r="GK202" s="291"/>
      <c r="GL202" s="291"/>
      <c r="GM202" s="291"/>
      <c r="GN202" s="291"/>
      <c r="GO202" s="291"/>
      <c r="GP202" s="291"/>
      <c r="GQ202" s="291"/>
      <c r="GR202" s="291"/>
      <c r="GS202" s="291"/>
      <c r="GT202" s="291"/>
      <c r="GU202" s="291"/>
      <c r="GV202" s="291"/>
      <c r="GW202" s="291"/>
      <c r="GX202" s="291"/>
      <c r="GY202" s="291"/>
      <c r="GZ202" s="291"/>
      <c r="HA202" s="291"/>
      <c r="HB202" s="291"/>
      <c r="HC202" s="291"/>
      <c r="HD202" s="291"/>
      <c r="HE202" s="291"/>
      <c r="HF202" s="291"/>
      <c r="HG202" s="291"/>
      <c r="HH202" s="291"/>
      <c r="HI202" s="291"/>
      <c r="HJ202" s="291"/>
      <c r="HK202" s="291"/>
      <c r="HL202" s="291"/>
      <c r="HM202" s="291"/>
      <c r="HN202" s="291"/>
      <c r="HO202" s="291"/>
      <c r="HP202" s="291"/>
      <c r="HQ202" s="291"/>
      <c r="HR202" s="291"/>
      <c r="HS202" s="291"/>
      <c r="HT202" s="291"/>
      <c r="HU202" s="291"/>
      <c r="HV202" s="291"/>
      <c r="HW202" s="291"/>
      <c r="HX202" s="291"/>
      <c r="HY202" s="291"/>
      <c r="HZ202" s="291"/>
      <c r="IA202" s="291"/>
      <c r="IB202" s="291"/>
      <c r="IC202" s="291"/>
      <c r="ID202" s="291"/>
      <c r="IE202" s="291"/>
      <c r="IF202" s="291"/>
      <c r="IG202" s="291"/>
      <c r="IH202" s="291"/>
      <c r="II202" s="291"/>
      <c r="IJ202" s="291"/>
      <c r="IK202" s="291"/>
      <c r="IL202" s="291"/>
      <c r="IM202" s="291"/>
      <c r="IN202" s="291"/>
      <c r="IO202" s="291"/>
      <c r="IP202" s="291"/>
      <c r="IQ202" s="291"/>
      <c r="IR202" s="291"/>
      <c r="IS202" s="291"/>
      <c r="IT202" s="291"/>
      <c r="IU202" s="291"/>
      <c r="IV202" s="291"/>
      <c r="IW202" s="291"/>
      <c r="IX202" s="291"/>
      <c r="IY202" s="291"/>
      <c r="IZ202" s="291"/>
      <c r="JA202" s="291"/>
      <c r="JB202" s="291"/>
      <c r="JC202" s="291"/>
      <c r="JD202" s="291"/>
      <c r="JE202" s="291"/>
      <c r="JF202" s="291"/>
      <c r="JG202" s="291"/>
      <c r="JH202" s="291"/>
      <c r="JI202" s="291"/>
      <c r="JJ202" s="291"/>
      <c r="JK202" s="291"/>
      <c r="JL202" s="291"/>
      <c r="JM202" s="291"/>
      <c r="JN202" s="291"/>
      <c r="JO202" s="291"/>
      <c r="JP202" s="291"/>
      <c r="JQ202" s="291"/>
      <c r="JR202" s="291"/>
      <c r="JS202" s="291"/>
      <c r="JT202" s="291"/>
      <c r="JU202" s="291"/>
      <c r="JV202" s="291"/>
      <c r="JW202" s="291"/>
      <c r="JX202" s="291"/>
      <c r="JY202" s="291"/>
      <c r="JZ202" s="291"/>
      <c r="KA202" s="291"/>
      <c r="KB202" s="291"/>
      <c r="KC202" s="291"/>
      <c r="KD202" s="291"/>
      <c r="KE202" s="291"/>
      <c r="KF202" s="291"/>
      <c r="KG202" s="291"/>
      <c r="KH202" s="291"/>
      <c r="KI202" s="291"/>
      <c r="KJ202" s="291"/>
      <c r="KK202" s="291"/>
      <c r="KL202" s="291"/>
      <c r="KM202" s="291"/>
      <c r="KN202" s="291"/>
      <c r="KO202" s="291"/>
      <c r="KP202" s="291"/>
      <c r="KQ202" s="291"/>
      <c r="KR202" s="291"/>
      <c r="KS202" s="291"/>
      <c r="KT202" s="291"/>
      <c r="KU202" s="291"/>
      <c r="KV202" s="291"/>
      <c r="KW202" s="291"/>
      <c r="KX202" s="291"/>
      <c r="KY202" s="291"/>
      <c r="KZ202" s="291"/>
      <c r="LA202" s="291"/>
      <c r="LB202" s="291"/>
      <c r="LC202" s="291"/>
      <c r="LD202" s="291"/>
      <c r="LE202" s="291"/>
      <c r="LF202" s="291"/>
      <c r="LG202" s="291"/>
      <c r="LH202" s="291"/>
      <c r="LI202" s="291"/>
      <c r="LJ202" s="291"/>
      <c r="LK202" s="291"/>
      <c r="LL202" s="291"/>
      <c r="LM202" s="291"/>
      <c r="LN202" s="291"/>
      <c r="LO202" s="291"/>
      <c r="LP202" s="291"/>
      <c r="LQ202" s="291"/>
      <c r="LR202" s="291"/>
      <c r="LS202" s="291"/>
      <c r="LT202" s="291"/>
      <c r="LU202" s="291"/>
      <c r="LV202" s="291"/>
      <c r="LW202" s="291"/>
      <c r="LX202" s="291"/>
      <c r="LY202" s="291"/>
      <c r="LZ202" s="291"/>
      <c r="MA202" s="291"/>
      <c r="MB202" s="291"/>
      <c r="MC202" s="291"/>
      <c r="MD202" s="291"/>
      <c r="ME202" s="291"/>
      <c r="MF202" s="291"/>
      <c r="MG202" s="291"/>
      <c r="MH202" s="291"/>
      <c r="MI202" s="291"/>
      <c r="MJ202" s="291"/>
      <c r="MK202" s="291"/>
      <c r="ML202" s="291"/>
      <c r="MM202" s="291"/>
      <c r="MN202" s="291"/>
      <c r="MO202" s="291"/>
      <c r="MP202" s="291"/>
      <c r="MQ202" s="291"/>
      <c r="MR202" s="291"/>
      <c r="MS202" s="291"/>
      <c r="MT202" s="291"/>
      <c r="MU202" s="291"/>
      <c r="MV202" s="291"/>
      <c r="MW202" s="291"/>
      <c r="MX202" s="291"/>
      <c r="MY202" s="291"/>
      <c r="MZ202" s="291"/>
      <c r="NA202" s="291"/>
      <c r="NB202" s="291"/>
      <c r="NC202" s="291"/>
      <c r="ND202" s="291"/>
      <c r="NE202" s="291"/>
      <c r="NF202" s="291"/>
      <c r="NG202" s="291"/>
      <c r="NH202" s="291"/>
      <c r="NI202" s="291"/>
      <c r="NJ202" s="291"/>
      <c r="NK202" s="291"/>
      <c r="NL202" s="291"/>
      <c r="NM202" s="291"/>
      <c r="NN202" s="291"/>
      <c r="NO202" s="291"/>
      <c r="NP202" s="291"/>
      <c r="NQ202" s="291"/>
      <c r="NR202" s="291"/>
      <c r="NS202" s="291"/>
      <c r="NT202" s="291"/>
      <c r="NU202" s="291"/>
      <c r="NV202" s="291"/>
      <c r="NW202" s="291"/>
      <c r="NX202" s="291"/>
      <c r="NY202" s="291"/>
      <c r="NZ202" s="291"/>
      <c r="OA202" s="291"/>
      <c r="OB202" s="291"/>
      <c r="OC202" s="291"/>
      <c r="OD202" s="291"/>
      <c r="OE202" s="291"/>
      <c r="OF202" s="291"/>
      <c r="OG202" s="291"/>
      <c r="OH202" s="291"/>
      <c r="OI202" s="291"/>
      <c r="OJ202" s="291"/>
      <c r="OK202" s="291"/>
      <c r="OL202" s="291"/>
      <c r="OM202" s="291"/>
      <c r="ON202" s="291"/>
      <c r="OO202" s="291"/>
      <c r="OP202" s="291"/>
      <c r="OQ202" s="291"/>
      <c r="OR202" s="291"/>
      <c r="OS202" s="291"/>
      <c r="OT202" s="291"/>
      <c r="OU202" s="291"/>
      <c r="OV202" s="291"/>
      <c r="OW202" s="291"/>
    </row>
    <row r="203" spans="1:413" s="257" customFormat="1" hidden="1" x14ac:dyDescent="0.2">
      <c r="A203" s="291"/>
      <c r="B203" s="524">
        <f t="shared" si="11"/>
        <v>187</v>
      </c>
      <c r="C203" s="510" t="s">
        <v>38</v>
      </c>
      <c r="D203" s="511">
        <v>40001833</v>
      </c>
      <c r="E203" s="511"/>
      <c r="F203" s="512" t="s">
        <v>1357</v>
      </c>
      <c r="G203" s="513" t="s">
        <v>45</v>
      </c>
      <c r="H203" s="514" t="s">
        <v>1094</v>
      </c>
      <c r="I203" s="515" t="s">
        <v>1255</v>
      </c>
      <c r="J203" s="346" t="s">
        <v>42</v>
      </c>
      <c r="K203" s="526">
        <v>1450086</v>
      </c>
      <c r="L203" s="527">
        <v>284915</v>
      </c>
      <c r="M203" s="528">
        <v>6752</v>
      </c>
      <c r="N203" s="519">
        <v>0</v>
      </c>
      <c r="O203" s="519">
        <v>139207</v>
      </c>
      <c r="P203" s="519">
        <v>351714</v>
      </c>
      <c r="Q203" s="519">
        <v>1876</v>
      </c>
      <c r="R203" s="519">
        <v>282847</v>
      </c>
      <c r="S203" s="520">
        <v>0</v>
      </c>
      <c r="T203" s="18"/>
      <c r="U203" s="18"/>
      <c r="V203" s="18"/>
      <c r="W203" s="18"/>
      <c r="X203" s="18"/>
      <c r="Y203" s="18"/>
      <c r="Z203" s="18">
        <f t="shared" si="8"/>
        <v>775644</v>
      </c>
      <c r="AA203" s="309">
        <v>1158362</v>
      </c>
      <c r="AB203" s="19">
        <v>11</v>
      </c>
      <c r="AC203" s="521">
        <v>44237</v>
      </c>
      <c r="AD203" s="25">
        <v>44251</v>
      </c>
      <c r="AE203" s="309"/>
      <c r="AF203" s="314"/>
      <c r="AG203" s="315"/>
      <c r="AH203" s="316"/>
      <c r="AI203" s="309"/>
      <c r="AJ203" s="338"/>
      <c r="AK203" s="315"/>
      <c r="AL203" s="316"/>
      <c r="AM203" s="309"/>
      <c r="AN203" s="338"/>
      <c r="AO203" s="21"/>
      <c r="AP203" s="25"/>
      <c r="AQ203" s="309"/>
      <c r="AR203" s="19"/>
      <c r="AS203" s="21"/>
      <c r="AT203" s="25"/>
      <c r="AU203" s="522">
        <f t="shared" si="9"/>
        <v>1158362</v>
      </c>
      <c r="AV203" s="311">
        <f t="shared" si="10"/>
        <v>382718</v>
      </c>
      <c r="AW203" s="305"/>
      <c r="AX203" s="291"/>
      <c r="AY203" s="291"/>
      <c r="AZ203" s="291"/>
      <c r="BA203" s="291"/>
      <c r="BB203" s="291"/>
      <c r="BC203" s="291"/>
      <c r="BD203" s="291"/>
      <c r="BE203" s="291"/>
      <c r="BF203" s="291"/>
      <c r="BG203" s="291"/>
      <c r="BH203" s="291"/>
      <c r="BI203" s="291"/>
      <c r="BJ203" s="291"/>
      <c r="BK203" s="291"/>
      <c r="BL203" s="291"/>
      <c r="BM203" s="291"/>
      <c r="BN203" s="291"/>
      <c r="BO203" s="291"/>
      <c r="BP203" s="291"/>
      <c r="BQ203" s="291"/>
      <c r="BR203" s="291"/>
      <c r="BS203" s="291"/>
      <c r="BT203" s="291"/>
      <c r="BU203" s="291"/>
      <c r="BV203" s="291"/>
      <c r="BW203" s="291"/>
      <c r="BX203" s="291"/>
      <c r="BY203" s="291"/>
      <c r="BZ203" s="291"/>
      <c r="CA203" s="291"/>
      <c r="CB203" s="291"/>
      <c r="CC203" s="291"/>
      <c r="CD203" s="291"/>
      <c r="CE203" s="291"/>
      <c r="CF203" s="291"/>
      <c r="CG203" s="291"/>
      <c r="CH203" s="291"/>
      <c r="CI203" s="291"/>
      <c r="CJ203" s="291"/>
      <c r="CK203" s="291"/>
      <c r="CL203" s="291"/>
      <c r="CM203" s="291"/>
      <c r="CN203" s="291"/>
      <c r="CO203" s="291"/>
      <c r="CP203" s="291"/>
      <c r="CQ203" s="291"/>
      <c r="CR203" s="291"/>
      <c r="CS203" s="291"/>
      <c r="CT203" s="291"/>
      <c r="CU203" s="291"/>
      <c r="CV203" s="291"/>
      <c r="CW203" s="291"/>
      <c r="CX203" s="291"/>
      <c r="CY203" s="291"/>
      <c r="CZ203" s="291"/>
      <c r="DA203" s="291"/>
      <c r="DB203" s="291"/>
      <c r="DC203" s="291"/>
      <c r="DD203" s="291"/>
      <c r="DE203" s="291"/>
      <c r="DF203" s="291"/>
      <c r="DG203" s="291"/>
      <c r="DH203" s="291"/>
      <c r="DI203" s="291"/>
      <c r="DJ203" s="291"/>
      <c r="DK203" s="291"/>
      <c r="DL203" s="291"/>
      <c r="DM203" s="291"/>
      <c r="DN203" s="291"/>
      <c r="DO203" s="291"/>
      <c r="DP203" s="291"/>
      <c r="DQ203" s="291"/>
      <c r="DR203" s="291"/>
      <c r="DS203" s="291"/>
      <c r="DT203" s="291"/>
      <c r="DU203" s="291"/>
      <c r="DV203" s="291"/>
      <c r="DW203" s="291"/>
      <c r="DX203" s="291"/>
      <c r="DY203" s="291"/>
      <c r="DZ203" s="291"/>
      <c r="EA203" s="291"/>
      <c r="EB203" s="291"/>
      <c r="EC203" s="291"/>
      <c r="ED203" s="291"/>
      <c r="EE203" s="291"/>
      <c r="EF203" s="291"/>
      <c r="EG203" s="291"/>
      <c r="EH203" s="291"/>
      <c r="EI203" s="291"/>
      <c r="EJ203" s="291"/>
      <c r="EK203" s="291"/>
      <c r="EL203" s="291"/>
      <c r="EM203" s="291"/>
      <c r="EN203" s="291"/>
      <c r="EO203" s="291"/>
      <c r="EP203" s="291"/>
      <c r="EQ203" s="291"/>
      <c r="ER203" s="291"/>
      <c r="ES203" s="291"/>
      <c r="ET203" s="291"/>
      <c r="EU203" s="291"/>
      <c r="EV203" s="291"/>
      <c r="EW203" s="291"/>
      <c r="EX203" s="291"/>
      <c r="EY203" s="291"/>
      <c r="EZ203" s="291"/>
      <c r="FA203" s="291"/>
      <c r="FB203" s="291"/>
      <c r="FC203" s="291"/>
      <c r="FD203" s="291"/>
      <c r="FE203" s="291"/>
      <c r="FF203" s="291"/>
      <c r="FG203" s="291"/>
      <c r="FH203" s="291"/>
      <c r="FI203" s="291"/>
      <c r="FJ203" s="291"/>
      <c r="FK203" s="291"/>
      <c r="FL203" s="291"/>
      <c r="FM203" s="291"/>
      <c r="FN203" s="291"/>
      <c r="FO203" s="291"/>
      <c r="FP203" s="291"/>
      <c r="FQ203" s="291"/>
      <c r="FR203" s="291"/>
      <c r="FS203" s="291"/>
      <c r="FT203" s="291"/>
      <c r="FU203" s="291"/>
      <c r="FV203" s="291"/>
      <c r="FW203" s="291"/>
      <c r="FX203" s="291"/>
      <c r="FY203" s="291"/>
      <c r="FZ203" s="291"/>
      <c r="GA203" s="291"/>
      <c r="GB203" s="291"/>
      <c r="GC203" s="291"/>
      <c r="GD203" s="291"/>
      <c r="GE203" s="291"/>
      <c r="GF203" s="291"/>
      <c r="GG203" s="291"/>
      <c r="GH203" s="291"/>
      <c r="GI203" s="291"/>
      <c r="GJ203" s="291"/>
      <c r="GK203" s="291"/>
      <c r="GL203" s="291"/>
      <c r="GM203" s="291"/>
      <c r="GN203" s="291"/>
      <c r="GO203" s="291"/>
      <c r="GP203" s="291"/>
      <c r="GQ203" s="291"/>
      <c r="GR203" s="291"/>
      <c r="GS203" s="291"/>
      <c r="GT203" s="291"/>
      <c r="GU203" s="291"/>
      <c r="GV203" s="291"/>
      <c r="GW203" s="291"/>
      <c r="GX203" s="291"/>
      <c r="GY203" s="291"/>
      <c r="GZ203" s="291"/>
      <c r="HA203" s="291"/>
      <c r="HB203" s="291"/>
      <c r="HC203" s="291"/>
      <c r="HD203" s="291"/>
      <c r="HE203" s="291"/>
      <c r="HF203" s="291"/>
      <c r="HG203" s="291"/>
      <c r="HH203" s="291"/>
      <c r="HI203" s="291"/>
      <c r="HJ203" s="291"/>
      <c r="HK203" s="291"/>
      <c r="HL203" s="291"/>
      <c r="HM203" s="291"/>
      <c r="HN203" s="291"/>
      <c r="HO203" s="291"/>
      <c r="HP203" s="291"/>
      <c r="HQ203" s="291"/>
      <c r="HR203" s="291"/>
      <c r="HS203" s="291"/>
      <c r="HT203" s="291"/>
      <c r="HU203" s="291"/>
      <c r="HV203" s="291"/>
      <c r="HW203" s="291"/>
      <c r="HX203" s="291"/>
      <c r="HY203" s="291"/>
      <c r="HZ203" s="291"/>
      <c r="IA203" s="291"/>
      <c r="IB203" s="291"/>
      <c r="IC203" s="291"/>
      <c r="ID203" s="291"/>
      <c r="IE203" s="291"/>
      <c r="IF203" s="291"/>
      <c r="IG203" s="291"/>
      <c r="IH203" s="291"/>
      <c r="II203" s="291"/>
      <c r="IJ203" s="291"/>
      <c r="IK203" s="291"/>
      <c r="IL203" s="291"/>
      <c r="IM203" s="291"/>
      <c r="IN203" s="291"/>
      <c r="IO203" s="291"/>
      <c r="IP203" s="291"/>
      <c r="IQ203" s="291"/>
      <c r="IR203" s="291"/>
      <c r="IS203" s="291"/>
      <c r="IT203" s="291"/>
      <c r="IU203" s="291"/>
      <c r="IV203" s="291"/>
      <c r="IW203" s="291"/>
      <c r="IX203" s="291"/>
      <c r="IY203" s="291"/>
      <c r="IZ203" s="291"/>
      <c r="JA203" s="291"/>
      <c r="JB203" s="291"/>
      <c r="JC203" s="291"/>
      <c r="JD203" s="291"/>
      <c r="JE203" s="291"/>
      <c r="JF203" s="291"/>
      <c r="JG203" s="291"/>
      <c r="JH203" s="291"/>
      <c r="JI203" s="291"/>
      <c r="JJ203" s="291"/>
      <c r="JK203" s="291"/>
      <c r="JL203" s="291"/>
      <c r="JM203" s="291"/>
      <c r="JN203" s="291"/>
      <c r="JO203" s="291"/>
      <c r="JP203" s="291"/>
      <c r="JQ203" s="291"/>
      <c r="JR203" s="291"/>
      <c r="JS203" s="291"/>
      <c r="JT203" s="291"/>
      <c r="JU203" s="291"/>
      <c r="JV203" s="291"/>
      <c r="JW203" s="291"/>
      <c r="JX203" s="291"/>
      <c r="JY203" s="291"/>
      <c r="JZ203" s="291"/>
      <c r="KA203" s="291"/>
      <c r="KB203" s="291"/>
      <c r="KC203" s="291"/>
      <c r="KD203" s="291"/>
      <c r="KE203" s="291"/>
      <c r="KF203" s="291"/>
      <c r="KG203" s="291"/>
      <c r="KH203" s="291"/>
      <c r="KI203" s="291"/>
      <c r="KJ203" s="291"/>
      <c r="KK203" s="291"/>
      <c r="KL203" s="291"/>
      <c r="KM203" s="291"/>
      <c r="KN203" s="291"/>
      <c r="KO203" s="291"/>
      <c r="KP203" s="291"/>
      <c r="KQ203" s="291"/>
      <c r="KR203" s="291"/>
      <c r="KS203" s="291"/>
      <c r="KT203" s="291"/>
      <c r="KU203" s="291"/>
      <c r="KV203" s="291"/>
      <c r="KW203" s="291"/>
      <c r="KX203" s="291"/>
      <c r="KY203" s="291"/>
      <c r="KZ203" s="291"/>
      <c r="LA203" s="291"/>
      <c r="LB203" s="291"/>
      <c r="LC203" s="291"/>
      <c r="LD203" s="291"/>
      <c r="LE203" s="291"/>
      <c r="LF203" s="291"/>
      <c r="LG203" s="291"/>
      <c r="LH203" s="291"/>
      <c r="LI203" s="291"/>
      <c r="LJ203" s="291"/>
      <c r="LK203" s="291"/>
      <c r="LL203" s="291"/>
      <c r="LM203" s="291"/>
      <c r="LN203" s="291"/>
      <c r="LO203" s="291"/>
      <c r="LP203" s="291"/>
      <c r="LQ203" s="291"/>
      <c r="LR203" s="291"/>
      <c r="LS203" s="291"/>
      <c r="LT203" s="291"/>
      <c r="LU203" s="291"/>
      <c r="LV203" s="291"/>
      <c r="LW203" s="291"/>
      <c r="LX203" s="291"/>
      <c r="LY203" s="291"/>
      <c r="LZ203" s="291"/>
      <c r="MA203" s="291"/>
      <c r="MB203" s="291"/>
      <c r="MC203" s="291"/>
      <c r="MD203" s="291"/>
      <c r="ME203" s="291"/>
      <c r="MF203" s="291"/>
      <c r="MG203" s="291"/>
      <c r="MH203" s="291"/>
      <c r="MI203" s="291"/>
      <c r="MJ203" s="291"/>
      <c r="MK203" s="291"/>
      <c r="ML203" s="291"/>
      <c r="MM203" s="291"/>
      <c r="MN203" s="291"/>
      <c r="MO203" s="291"/>
      <c r="MP203" s="291"/>
      <c r="MQ203" s="291"/>
      <c r="MR203" s="291"/>
      <c r="MS203" s="291"/>
      <c r="MT203" s="291"/>
      <c r="MU203" s="291"/>
      <c r="MV203" s="291"/>
      <c r="MW203" s="291"/>
      <c r="MX203" s="291"/>
      <c r="MY203" s="291"/>
      <c r="MZ203" s="291"/>
      <c r="NA203" s="291"/>
      <c r="NB203" s="291"/>
      <c r="NC203" s="291"/>
      <c r="ND203" s="291"/>
      <c r="NE203" s="291"/>
      <c r="NF203" s="291"/>
      <c r="NG203" s="291"/>
      <c r="NH203" s="291"/>
      <c r="NI203" s="291"/>
      <c r="NJ203" s="291"/>
      <c r="NK203" s="291"/>
      <c r="NL203" s="291"/>
      <c r="NM203" s="291"/>
      <c r="NN203" s="291"/>
      <c r="NO203" s="291"/>
      <c r="NP203" s="291"/>
      <c r="NQ203" s="291"/>
      <c r="NR203" s="291"/>
      <c r="NS203" s="291"/>
      <c r="NT203" s="291"/>
      <c r="NU203" s="291"/>
      <c r="NV203" s="291"/>
      <c r="NW203" s="291"/>
      <c r="NX203" s="291"/>
      <c r="NY203" s="291"/>
      <c r="NZ203" s="291"/>
      <c r="OA203" s="291"/>
      <c r="OB203" s="291"/>
      <c r="OC203" s="291"/>
      <c r="OD203" s="291"/>
      <c r="OE203" s="291"/>
      <c r="OF203" s="291"/>
      <c r="OG203" s="291"/>
      <c r="OH203" s="291"/>
      <c r="OI203" s="291"/>
      <c r="OJ203" s="291"/>
      <c r="OK203" s="291"/>
      <c r="OL203" s="291"/>
      <c r="OM203" s="291"/>
      <c r="ON203" s="291"/>
      <c r="OO203" s="291"/>
      <c r="OP203" s="291"/>
      <c r="OQ203" s="291"/>
      <c r="OR203" s="291"/>
      <c r="OS203" s="291"/>
      <c r="OT203" s="291"/>
      <c r="OU203" s="291"/>
      <c r="OV203" s="291"/>
      <c r="OW203" s="291"/>
    </row>
    <row r="204" spans="1:413" s="257" customFormat="1" hidden="1" x14ac:dyDescent="0.2">
      <c r="A204" s="291"/>
      <c r="B204" s="524">
        <f t="shared" si="11"/>
        <v>188</v>
      </c>
      <c r="C204" s="510" t="s">
        <v>38</v>
      </c>
      <c r="D204" s="511">
        <v>40001915</v>
      </c>
      <c r="E204" s="511"/>
      <c r="F204" s="512" t="s">
        <v>1358</v>
      </c>
      <c r="G204" s="513" t="s">
        <v>45</v>
      </c>
      <c r="H204" s="514" t="s">
        <v>1094</v>
      </c>
      <c r="I204" s="515" t="s">
        <v>1203</v>
      </c>
      <c r="J204" s="346" t="s">
        <v>42</v>
      </c>
      <c r="K204" s="526">
        <v>350294</v>
      </c>
      <c r="L204" s="527">
        <v>2077</v>
      </c>
      <c r="M204" s="528">
        <v>100216</v>
      </c>
      <c r="N204" s="519">
        <v>0</v>
      </c>
      <c r="O204" s="519">
        <v>0</v>
      </c>
      <c r="P204" s="519">
        <v>107164</v>
      </c>
      <c r="Q204" s="519">
        <v>0</v>
      </c>
      <c r="R204" s="519">
        <v>124253</v>
      </c>
      <c r="S204" s="520">
        <v>15363</v>
      </c>
      <c r="T204" s="18"/>
      <c r="U204" s="18"/>
      <c r="V204" s="18"/>
      <c r="W204" s="18"/>
      <c r="X204" s="18"/>
      <c r="Y204" s="18"/>
      <c r="Z204" s="18">
        <f t="shared" si="8"/>
        <v>246780</v>
      </c>
      <c r="AA204" s="309">
        <v>248000</v>
      </c>
      <c r="AB204" s="19">
        <v>9</v>
      </c>
      <c r="AC204" s="521">
        <v>44232</v>
      </c>
      <c r="AD204" s="25">
        <v>44251</v>
      </c>
      <c r="AE204" s="309">
        <v>33707</v>
      </c>
      <c r="AF204" s="314">
        <v>39</v>
      </c>
      <c r="AG204" s="315">
        <v>44334</v>
      </c>
      <c r="AH204" s="315">
        <v>44342</v>
      </c>
      <c r="AI204" s="309"/>
      <c r="AJ204" s="338"/>
      <c r="AK204" s="315"/>
      <c r="AL204" s="316"/>
      <c r="AM204" s="309"/>
      <c r="AN204" s="338"/>
      <c r="AO204" s="21"/>
      <c r="AP204" s="25"/>
      <c r="AQ204" s="309"/>
      <c r="AR204" s="19"/>
      <c r="AS204" s="21"/>
      <c r="AT204" s="25"/>
      <c r="AU204" s="522">
        <f t="shared" si="9"/>
        <v>281707</v>
      </c>
      <c r="AV204" s="311">
        <f t="shared" si="10"/>
        <v>34927</v>
      </c>
      <c r="AW204" s="305"/>
      <c r="AX204" s="291"/>
      <c r="AY204" s="291"/>
      <c r="AZ204" s="291"/>
      <c r="BA204" s="291"/>
      <c r="BB204" s="291"/>
      <c r="BC204" s="291"/>
      <c r="BD204" s="291"/>
      <c r="BE204" s="291"/>
      <c r="BF204" s="291"/>
      <c r="BG204" s="291"/>
      <c r="BH204" s="291"/>
      <c r="BI204" s="291"/>
      <c r="BJ204" s="291"/>
      <c r="BK204" s="291"/>
      <c r="BL204" s="291"/>
      <c r="BM204" s="291"/>
      <c r="BN204" s="291"/>
      <c r="BO204" s="291"/>
      <c r="BP204" s="291"/>
      <c r="BQ204" s="291"/>
      <c r="BR204" s="291"/>
      <c r="BS204" s="291"/>
      <c r="BT204" s="291"/>
      <c r="BU204" s="291"/>
      <c r="BV204" s="291"/>
      <c r="BW204" s="291"/>
      <c r="BX204" s="291"/>
      <c r="BY204" s="291"/>
      <c r="BZ204" s="291"/>
      <c r="CA204" s="291"/>
      <c r="CB204" s="291"/>
      <c r="CC204" s="291"/>
      <c r="CD204" s="291"/>
      <c r="CE204" s="291"/>
      <c r="CF204" s="291"/>
      <c r="CG204" s="291"/>
      <c r="CH204" s="291"/>
      <c r="CI204" s="291"/>
      <c r="CJ204" s="291"/>
      <c r="CK204" s="291"/>
      <c r="CL204" s="291"/>
      <c r="CM204" s="291"/>
      <c r="CN204" s="291"/>
      <c r="CO204" s="291"/>
      <c r="CP204" s="291"/>
      <c r="CQ204" s="291"/>
      <c r="CR204" s="291"/>
      <c r="CS204" s="291"/>
      <c r="CT204" s="291"/>
      <c r="CU204" s="291"/>
      <c r="CV204" s="291"/>
      <c r="CW204" s="291"/>
      <c r="CX204" s="291"/>
      <c r="CY204" s="291"/>
      <c r="CZ204" s="291"/>
      <c r="DA204" s="291"/>
      <c r="DB204" s="291"/>
      <c r="DC204" s="291"/>
      <c r="DD204" s="291"/>
      <c r="DE204" s="291"/>
      <c r="DF204" s="291"/>
      <c r="DG204" s="291"/>
      <c r="DH204" s="291"/>
      <c r="DI204" s="291"/>
      <c r="DJ204" s="291"/>
      <c r="DK204" s="291"/>
      <c r="DL204" s="291"/>
      <c r="DM204" s="291"/>
      <c r="DN204" s="291"/>
      <c r="DO204" s="291"/>
      <c r="DP204" s="291"/>
      <c r="DQ204" s="291"/>
      <c r="DR204" s="291"/>
      <c r="DS204" s="291"/>
      <c r="DT204" s="291"/>
      <c r="DU204" s="291"/>
      <c r="DV204" s="291"/>
      <c r="DW204" s="291"/>
      <c r="DX204" s="291"/>
      <c r="DY204" s="291"/>
      <c r="DZ204" s="291"/>
      <c r="EA204" s="291"/>
      <c r="EB204" s="291"/>
      <c r="EC204" s="291"/>
      <c r="ED204" s="291"/>
      <c r="EE204" s="291"/>
      <c r="EF204" s="291"/>
      <c r="EG204" s="291"/>
      <c r="EH204" s="291"/>
      <c r="EI204" s="291"/>
      <c r="EJ204" s="291"/>
      <c r="EK204" s="291"/>
      <c r="EL204" s="291"/>
      <c r="EM204" s="291"/>
      <c r="EN204" s="291"/>
      <c r="EO204" s="291"/>
      <c r="EP204" s="291"/>
      <c r="EQ204" s="291"/>
      <c r="ER204" s="291"/>
      <c r="ES204" s="291"/>
      <c r="ET204" s="291"/>
      <c r="EU204" s="291"/>
      <c r="EV204" s="291"/>
      <c r="EW204" s="291"/>
      <c r="EX204" s="291"/>
      <c r="EY204" s="291"/>
      <c r="EZ204" s="291"/>
      <c r="FA204" s="291"/>
      <c r="FB204" s="291"/>
      <c r="FC204" s="291"/>
      <c r="FD204" s="291"/>
      <c r="FE204" s="291"/>
      <c r="FF204" s="291"/>
      <c r="FG204" s="291"/>
      <c r="FH204" s="291"/>
      <c r="FI204" s="291"/>
      <c r="FJ204" s="291"/>
      <c r="FK204" s="291"/>
      <c r="FL204" s="291"/>
      <c r="FM204" s="291"/>
      <c r="FN204" s="291"/>
      <c r="FO204" s="291"/>
      <c r="FP204" s="291"/>
      <c r="FQ204" s="291"/>
      <c r="FR204" s="291"/>
      <c r="FS204" s="291"/>
      <c r="FT204" s="291"/>
      <c r="FU204" s="291"/>
      <c r="FV204" s="291"/>
      <c r="FW204" s="291"/>
      <c r="FX204" s="291"/>
      <c r="FY204" s="291"/>
      <c r="FZ204" s="291"/>
      <c r="GA204" s="291"/>
      <c r="GB204" s="291"/>
      <c r="GC204" s="291"/>
      <c r="GD204" s="291"/>
      <c r="GE204" s="291"/>
      <c r="GF204" s="291"/>
      <c r="GG204" s="291"/>
      <c r="GH204" s="291"/>
      <c r="GI204" s="291"/>
      <c r="GJ204" s="291"/>
      <c r="GK204" s="291"/>
      <c r="GL204" s="291"/>
      <c r="GM204" s="291"/>
      <c r="GN204" s="291"/>
      <c r="GO204" s="291"/>
      <c r="GP204" s="291"/>
      <c r="GQ204" s="291"/>
      <c r="GR204" s="291"/>
      <c r="GS204" s="291"/>
      <c r="GT204" s="291"/>
      <c r="GU204" s="291"/>
      <c r="GV204" s="291"/>
      <c r="GW204" s="291"/>
      <c r="GX204" s="291"/>
      <c r="GY204" s="291"/>
      <c r="GZ204" s="291"/>
      <c r="HA204" s="291"/>
      <c r="HB204" s="291"/>
      <c r="HC204" s="291"/>
      <c r="HD204" s="291"/>
      <c r="HE204" s="291"/>
      <c r="HF204" s="291"/>
      <c r="HG204" s="291"/>
      <c r="HH204" s="291"/>
      <c r="HI204" s="291"/>
      <c r="HJ204" s="291"/>
      <c r="HK204" s="291"/>
      <c r="HL204" s="291"/>
      <c r="HM204" s="291"/>
      <c r="HN204" s="291"/>
      <c r="HO204" s="291"/>
      <c r="HP204" s="291"/>
      <c r="HQ204" s="291"/>
      <c r="HR204" s="291"/>
      <c r="HS204" s="291"/>
      <c r="HT204" s="291"/>
      <c r="HU204" s="291"/>
      <c r="HV204" s="291"/>
      <c r="HW204" s="291"/>
      <c r="HX204" s="291"/>
      <c r="HY204" s="291"/>
      <c r="HZ204" s="291"/>
      <c r="IA204" s="291"/>
      <c r="IB204" s="291"/>
      <c r="IC204" s="291"/>
      <c r="ID204" s="291"/>
      <c r="IE204" s="291"/>
      <c r="IF204" s="291"/>
      <c r="IG204" s="291"/>
      <c r="IH204" s="291"/>
      <c r="II204" s="291"/>
      <c r="IJ204" s="291"/>
      <c r="IK204" s="291"/>
      <c r="IL204" s="291"/>
      <c r="IM204" s="291"/>
      <c r="IN204" s="291"/>
      <c r="IO204" s="291"/>
      <c r="IP204" s="291"/>
      <c r="IQ204" s="291"/>
      <c r="IR204" s="291"/>
      <c r="IS204" s="291"/>
      <c r="IT204" s="291"/>
      <c r="IU204" s="291"/>
      <c r="IV204" s="291"/>
      <c r="IW204" s="291"/>
      <c r="IX204" s="291"/>
      <c r="IY204" s="291"/>
      <c r="IZ204" s="291"/>
      <c r="JA204" s="291"/>
      <c r="JB204" s="291"/>
      <c r="JC204" s="291"/>
      <c r="JD204" s="291"/>
      <c r="JE204" s="291"/>
      <c r="JF204" s="291"/>
      <c r="JG204" s="291"/>
      <c r="JH204" s="291"/>
      <c r="JI204" s="291"/>
      <c r="JJ204" s="291"/>
      <c r="JK204" s="291"/>
      <c r="JL204" s="291"/>
      <c r="JM204" s="291"/>
      <c r="JN204" s="291"/>
      <c r="JO204" s="291"/>
      <c r="JP204" s="291"/>
      <c r="JQ204" s="291"/>
      <c r="JR204" s="291"/>
      <c r="JS204" s="291"/>
      <c r="JT204" s="291"/>
      <c r="JU204" s="291"/>
      <c r="JV204" s="291"/>
      <c r="JW204" s="291"/>
      <c r="JX204" s="291"/>
      <c r="JY204" s="291"/>
      <c r="JZ204" s="291"/>
      <c r="KA204" s="291"/>
      <c r="KB204" s="291"/>
      <c r="KC204" s="291"/>
      <c r="KD204" s="291"/>
      <c r="KE204" s="291"/>
      <c r="KF204" s="291"/>
      <c r="KG204" s="291"/>
      <c r="KH204" s="291"/>
      <c r="KI204" s="291"/>
      <c r="KJ204" s="291"/>
      <c r="KK204" s="291"/>
      <c r="KL204" s="291"/>
      <c r="KM204" s="291"/>
      <c r="KN204" s="291"/>
      <c r="KO204" s="291"/>
      <c r="KP204" s="291"/>
      <c r="KQ204" s="291"/>
      <c r="KR204" s="291"/>
      <c r="KS204" s="291"/>
      <c r="KT204" s="291"/>
      <c r="KU204" s="291"/>
      <c r="KV204" s="291"/>
      <c r="KW204" s="291"/>
      <c r="KX204" s="291"/>
      <c r="KY204" s="291"/>
      <c r="KZ204" s="291"/>
      <c r="LA204" s="291"/>
      <c r="LB204" s="291"/>
      <c r="LC204" s="291"/>
      <c r="LD204" s="291"/>
      <c r="LE204" s="291"/>
      <c r="LF204" s="291"/>
      <c r="LG204" s="291"/>
      <c r="LH204" s="291"/>
      <c r="LI204" s="291"/>
      <c r="LJ204" s="291"/>
      <c r="LK204" s="291"/>
      <c r="LL204" s="291"/>
      <c r="LM204" s="291"/>
      <c r="LN204" s="291"/>
      <c r="LO204" s="291"/>
      <c r="LP204" s="291"/>
      <c r="LQ204" s="291"/>
      <c r="LR204" s="291"/>
      <c r="LS204" s="291"/>
      <c r="LT204" s="291"/>
      <c r="LU204" s="291"/>
      <c r="LV204" s="291"/>
      <c r="LW204" s="291"/>
      <c r="LX204" s="291"/>
      <c r="LY204" s="291"/>
      <c r="LZ204" s="291"/>
      <c r="MA204" s="291"/>
      <c r="MB204" s="291"/>
      <c r="MC204" s="291"/>
      <c r="MD204" s="291"/>
      <c r="ME204" s="291"/>
      <c r="MF204" s="291"/>
      <c r="MG204" s="291"/>
      <c r="MH204" s="291"/>
      <c r="MI204" s="291"/>
      <c r="MJ204" s="291"/>
      <c r="MK204" s="291"/>
      <c r="ML204" s="291"/>
      <c r="MM204" s="291"/>
      <c r="MN204" s="291"/>
      <c r="MO204" s="291"/>
      <c r="MP204" s="291"/>
      <c r="MQ204" s="291"/>
      <c r="MR204" s="291"/>
      <c r="MS204" s="291"/>
      <c r="MT204" s="291"/>
      <c r="MU204" s="291"/>
      <c r="MV204" s="291"/>
      <c r="MW204" s="291"/>
      <c r="MX204" s="291"/>
      <c r="MY204" s="291"/>
      <c r="MZ204" s="291"/>
      <c r="NA204" s="291"/>
      <c r="NB204" s="291"/>
      <c r="NC204" s="291"/>
      <c r="ND204" s="291"/>
      <c r="NE204" s="291"/>
      <c r="NF204" s="291"/>
      <c r="NG204" s="291"/>
      <c r="NH204" s="291"/>
      <c r="NI204" s="291"/>
      <c r="NJ204" s="291"/>
      <c r="NK204" s="291"/>
      <c r="NL204" s="291"/>
      <c r="NM204" s="291"/>
      <c r="NN204" s="291"/>
      <c r="NO204" s="291"/>
      <c r="NP204" s="291"/>
      <c r="NQ204" s="291"/>
      <c r="NR204" s="291"/>
      <c r="NS204" s="291"/>
      <c r="NT204" s="291"/>
      <c r="NU204" s="291"/>
      <c r="NV204" s="291"/>
      <c r="NW204" s="291"/>
      <c r="NX204" s="291"/>
      <c r="NY204" s="291"/>
      <c r="NZ204" s="291"/>
      <c r="OA204" s="291"/>
      <c r="OB204" s="291"/>
      <c r="OC204" s="291"/>
      <c r="OD204" s="291"/>
      <c r="OE204" s="291"/>
      <c r="OF204" s="291"/>
      <c r="OG204" s="291"/>
      <c r="OH204" s="291"/>
      <c r="OI204" s="291"/>
      <c r="OJ204" s="291"/>
      <c r="OK204" s="291"/>
      <c r="OL204" s="291"/>
      <c r="OM204" s="291"/>
      <c r="ON204" s="291"/>
      <c r="OO204" s="291"/>
      <c r="OP204" s="291"/>
      <c r="OQ204" s="291"/>
      <c r="OR204" s="291"/>
      <c r="OS204" s="291"/>
      <c r="OT204" s="291"/>
      <c r="OU204" s="291"/>
      <c r="OV204" s="291"/>
      <c r="OW204" s="291"/>
    </row>
    <row r="205" spans="1:413" s="257" customFormat="1" hidden="1" x14ac:dyDescent="0.2">
      <c r="A205" s="291"/>
      <c r="B205" s="524">
        <f t="shared" si="11"/>
        <v>189</v>
      </c>
      <c r="C205" s="510" t="s">
        <v>38</v>
      </c>
      <c r="D205" s="511">
        <v>40002036</v>
      </c>
      <c r="E205" s="511"/>
      <c r="F205" s="512" t="s">
        <v>1359</v>
      </c>
      <c r="G205" s="513" t="s">
        <v>46</v>
      </c>
      <c r="H205" s="514" t="s">
        <v>1094</v>
      </c>
      <c r="I205" s="515" t="s">
        <v>1095</v>
      </c>
      <c r="J205" s="346" t="s">
        <v>43</v>
      </c>
      <c r="K205" s="526">
        <v>43621</v>
      </c>
      <c r="L205" s="527">
        <v>0</v>
      </c>
      <c r="M205" s="528">
        <v>1</v>
      </c>
      <c r="N205" s="520">
        <v>0</v>
      </c>
      <c r="O205" s="520">
        <v>0</v>
      </c>
      <c r="P205" s="520">
        <v>0</v>
      </c>
      <c r="Q205" s="520">
        <v>0</v>
      </c>
      <c r="R205" s="520">
        <v>0</v>
      </c>
      <c r="S205" s="520">
        <v>0</v>
      </c>
      <c r="T205" s="18"/>
      <c r="U205" s="18"/>
      <c r="V205" s="18"/>
      <c r="W205" s="18"/>
      <c r="X205" s="18"/>
      <c r="Y205" s="18"/>
      <c r="Z205" s="18">
        <f t="shared" si="8"/>
        <v>0</v>
      </c>
      <c r="AA205" s="309">
        <v>38483</v>
      </c>
      <c r="AB205" s="19">
        <v>5</v>
      </c>
      <c r="AC205" s="521">
        <v>44224</v>
      </c>
      <c r="AD205" s="25">
        <v>44251</v>
      </c>
      <c r="AE205" s="309">
        <v>-13470</v>
      </c>
      <c r="AF205" s="314">
        <v>50</v>
      </c>
      <c r="AG205" s="315">
        <v>44356</v>
      </c>
      <c r="AH205" s="315">
        <v>44377</v>
      </c>
      <c r="AI205" s="309"/>
      <c r="AJ205" s="338"/>
      <c r="AK205" s="315"/>
      <c r="AL205" s="316"/>
      <c r="AM205" s="309"/>
      <c r="AN205" s="338"/>
      <c r="AO205" s="21"/>
      <c r="AP205" s="25"/>
      <c r="AQ205" s="309"/>
      <c r="AR205" s="19"/>
      <c r="AS205" s="21"/>
      <c r="AT205" s="25"/>
      <c r="AU205" s="522">
        <f t="shared" si="9"/>
        <v>25013</v>
      </c>
      <c r="AV205" s="311">
        <f t="shared" si="10"/>
        <v>25013</v>
      </c>
      <c r="AW205" s="305"/>
      <c r="AX205" s="291"/>
      <c r="AY205" s="291"/>
      <c r="AZ205" s="291"/>
      <c r="BA205" s="291"/>
      <c r="BB205" s="291"/>
      <c r="BC205" s="291"/>
      <c r="BD205" s="291"/>
      <c r="BE205" s="291"/>
      <c r="BF205" s="291"/>
      <c r="BG205" s="291"/>
      <c r="BH205" s="291"/>
      <c r="BI205" s="291"/>
      <c r="BJ205" s="291"/>
      <c r="BK205" s="291"/>
      <c r="BL205" s="291"/>
      <c r="BM205" s="291"/>
      <c r="BN205" s="291"/>
      <c r="BO205" s="291"/>
      <c r="BP205" s="291"/>
      <c r="BQ205" s="291"/>
      <c r="BR205" s="291"/>
      <c r="BS205" s="291"/>
      <c r="BT205" s="291"/>
      <c r="BU205" s="291"/>
      <c r="BV205" s="291"/>
      <c r="BW205" s="291"/>
      <c r="BX205" s="291"/>
      <c r="BY205" s="291"/>
      <c r="BZ205" s="291"/>
      <c r="CA205" s="291"/>
      <c r="CB205" s="291"/>
      <c r="CC205" s="291"/>
      <c r="CD205" s="291"/>
      <c r="CE205" s="291"/>
      <c r="CF205" s="291"/>
      <c r="CG205" s="291"/>
      <c r="CH205" s="291"/>
      <c r="CI205" s="291"/>
      <c r="CJ205" s="291"/>
      <c r="CK205" s="291"/>
      <c r="CL205" s="291"/>
      <c r="CM205" s="291"/>
      <c r="CN205" s="291"/>
      <c r="CO205" s="291"/>
      <c r="CP205" s="291"/>
      <c r="CQ205" s="291"/>
      <c r="CR205" s="291"/>
      <c r="CS205" s="291"/>
      <c r="CT205" s="291"/>
      <c r="CU205" s="291"/>
      <c r="CV205" s="291"/>
      <c r="CW205" s="291"/>
      <c r="CX205" s="291"/>
      <c r="CY205" s="291"/>
      <c r="CZ205" s="291"/>
      <c r="DA205" s="291"/>
      <c r="DB205" s="291"/>
      <c r="DC205" s="291"/>
      <c r="DD205" s="291"/>
      <c r="DE205" s="291"/>
      <c r="DF205" s="291"/>
      <c r="DG205" s="291"/>
      <c r="DH205" s="291"/>
      <c r="DI205" s="291"/>
      <c r="DJ205" s="291"/>
      <c r="DK205" s="291"/>
      <c r="DL205" s="291"/>
      <c r="DM205" s="291"/>
      <c r="DN205" s="291"/>
      <c r="DO205" s="291"/>
      <c r="DP205" s="291"/>
      <c r="DQ205" s="291"/>
      <c r="DR205" s="291"/>
      <c r="DS205" s="291"/>
      <c r="DT205" s="291"/>
      <c r="DU205" s="291"/>
      <c r="DV205" s="291"/>
      <c r="DW205" s="291"/>
      <c r="DX205" s="291"/>
      <c r="DY205" s="291"/>
      <c r="DZ205" s="291"/>
      <c r="EA205" s="291"/>
      <c r="EB205" s="291"/>
      <c r="EC205" s="291"/>
      <c r="ED205" s="291"/>
      <c r="EE205" s="291"/>
      <c r="EF205" s="291"/>
      <c r="EG205" s="291"/>
      <c r="EH205" s="291"/>
      <c r="EI205" s="291"/>
      <c r="EJ205" s="291"/>
      <c r="EK205" s="291"/>
      <c r="EL205" s="291"/>
      <c r="EM205" s="291"/>
      <c r="EN205" s="291"/>
      <c r="EO205" s="291"/>
      <c r="EP205" s="291"/>
      <c r="EQ205" s="291"/>
      <c r="ER205" s="291"/>
      <c r="ES205" s="291"/>
      <c r="ET205" s="291"/>
      <c r="EU205" s="291"/>
      <c r="EV205" s="291"/>
      <c r="EW205" s="291"/>
      <c r="EX205" s="291"/>
      <c r="EY205" s="291"/>
      <c r="EZ205" s="291"/>
      <c r="FA205" s="291"/>
      <c r="FB205" s="291"/>
      <c r="FC205" s="291"/>
      <c r="FD205" s="291"/>
      <c r="FE205" s="291"/>
      <c r="FF205" s="291"/>
      <c r="FG205" s="291"/>
      <c r="FH205" s="291"/>
      <c r="FI205" s="291"/>
      <c r="FJ205" s="291"/>
      <c r="FK205" s="291"/>
      <c r="FL205" s="291"/>
      <c r="FM205" s="291"/>
      <c r="FN205" s="291"/>
      <c r="FO205" s="291"/>
      <c r="FP205" s="291"/>
      <c r="FQ205" s="291"/>
      <c r="FR205" s="291"/>
      <c r="FS205" s="291"/>
      <c r="FT205" s="291"/>
      <c r="FU205" s="291"/>
      <c r="FV205" s="291"/>
      <c r="FW205" s="291"/>
      <c r="FX205" s="291"/>
      <c r="FY205" s="291"/>
      <c r="FZ205" s="291"/>
      <c r="GA205" s="291"/>
      <c r="GB205" s="291"/>
      <c r="GC205" s="291"/>
      <c r="GD205" s="291"/>
      <c r="GE205" s="291"/>
      <c r="GF205" s="291"/>
      <c r="GG205" s="291"/>
      <c r="GH205" s="291"/>
      <c r="GI205" s="291"/>
      <c r="GJ205" s="291"/>
      <c r="GK205" s="291"/>
      <c r="GL205" s="291"/>
      <c r="GM205" s="291"/>
      <c r="GN205" s="291"/>
      <c r="GO205" s="291"/>
      <c r="GP205" s="291"/>
      <c r="GQ205" s="291"/>
      <c r="GR205" s="291"/>
      <c r="GS205" s="291"/>
      <c r="GT205" s="291"/>
      <c r="GU205" s="291"/>
      <c r="GV205" s="291"/>
      <c r="GW205" s="291"/>
      <c r="GX205" s="291"/>
      <c r="GY205" s="291"/>
      <c r="GZ205" s="291"/>
      <c r="HA205" s="291"/>
      <c r="HB205" s="291"/>
      <c r="HC205" s="291"/>
      <c r="HD205" s="291"/>
      <c r="HE205" s="291"/>
      <c r="HF205" s="291"/>
      <c r="HG205" s="291"/>
      <c r="HH205" s="291"/>
      <c r="HI205" s="291"/>
      <c r="HJ205" s="291"/>
      <c r="HK205" s="291"/>
      <c r="HL205" s="291"/>
      <c r="HM205" s="291"/>
      <c r="HN205" s="291"/>
      <c r="HO205" s="291"/>
      <c r="HP205" s="291"/>
      <c r="HQ205" s="291"/>
      <c r="HR205" s="291"/>
      <c r="HS205" s="291"/>
      <c r="HT205" s="291"/>
      <c r="HU205" s="291"/>
      <c r="HV205" s="291"/>
      <c r="HW205" s="291"/>
      <c r="HX205" s="291"/>
      <c r="HY205" s="291"/>
      <c r="HZ205" s="291"/>
      <c r="IA205" s="291"/>
      <c r="IB205" s="291"/>
      <c r="IC205" s="291"/>
      <c r="ID205" s="291"/>
      <c r="IE205" s="291"/>
      <c r="IF205" s="291"/>
      <c r="IG205" s="291"/>
      <c r="IH205" s="291"/>
      <c r="II205" s="291"/>
      <c r="IJ205" s="291"/>
      <c r="IK205" s="291"/>
      <c r="IL205" s="291"/>
      <c r="IM205" s="291"/>
      <c r="IN205" s="291"/>
      <c r="IO205" s="291"/>
      <c r="IP205" s="291"/>
      <c r="IQ205" s="291"/>
      <c r="IR205" s="291"/>
      <c r="IS205" s="291"/>
      <c r="IT205" s="291"/>
      <c r="IU205" s="291"/>
      <c r="IV205" s="291"/>
      <c r="IW205" s="291"/>
      <c r="IX205" s="291"/>
      <c r="IY205" s="291"/>
      <c r="IZ205" s="291"/>
      <c r="JA205" s="291"/>
      <c r="JB205" s="291"/>
      <c r="JC205" s="291"/>
      <c r="JD205" s="291"/>
      <c r="JE205" s="291"/>
      <c r="JF205" s="291"/>
      <c r="JG205" s="291"/>
      <c r="JH205" s="291"/>
      <c r="JI205" s="291"/>
      <c r="JJ205" s="291"/>
      <c r="JK205" s="291"/>
      <c r="JL205" s="291"/>
      <c r="JM205" s="291"/>
      <c r="JN205" s="291"/>
      <c r="JO205" s="291"/>
      <c r="JP205" s="291"/>
      <c r="JQ205" s="291"/>
      <c r="JR205" s="291"/>
      <c r="JS205" s="291"/>
      <c r="JT205" s="291"/>
      <c r="JU205" s="291"/>
      <c r="JV205" s="291"/>
      <c r="JW205" s="291"/>
      <c r="JX205" s="291"/>
      <c r="JY205" s="291"/>
      <c r="JZ205" s="291"/>
      <c r="KA205" s="291"/>
      <c r="KB205" s="291"/>
      <c r="KC205" s="291"/>
      <c r="KD205" s="291"/>
      <c r="KE205" s="291"/>
      <c r="KF205" s="291"/>
      <c r="KG205" s="291"/>
      <c r="KH205" s="291"/>
      <c r="KI205" s="291"/>
      <c r="KJ205" s="291"/>
      <c r="KK205" s="291"/>
      <c r="KL205" s="291"/>
      <c r="KM205" s="291"/>
      <c r="KN205" s="291"/>
      <c r="KO205" s="291"/>
      <c r="KP205" s="291"/>
      <c r="KQ205" s="291"/>
      <c r="KR205" s="291"/>
      <c r="KS205" s="291"/>
      <c r="KT205" s="291"/>
      <c r="KU205" s="291"/>
      <c r="KV205" s="291"/>
      <c r="KW205" s="291"/>
      <c r="KX205" s="291"/>
      <c r="KY205" s="291"/>
      <c r="KZ205" s="291"/>
      <c r="LA205" s="291"/>
      <c r="LB205" s="291"/>
      <c r="LC205" s="291"/>
      <c r="LD205" s="291"/>
      <c r="LE205" s="291"/>
      <c r="LF205" s="291"/>
      <c r="LG205" s="291"/>
      <c r="LH205" s="291"/>
      <c r="LI205" s="291"/>
      <c r="LJ205" s="291"/>
      <c r="LK205" s="291"/>
      <c r="LL205" s="291"/>
      <c r="LM205" s="291"/>
      <c r="LN205" s="291"/>
      <c r="LO205" s="291"/>
      <c r="LP205" s="291"/>
      <c r="LQ205" s="291"/>
      <c r="LR205" s="291"/>
      <c r="LS205" s="291"/>
      <c r="LT205" s="291"/>
      <c r="LU205" s="291"/>
      <c r="LV205" s="291"/>
      <c r="LW205" s="291"/>
      <c r="LX205" s="291"/>
      <c r="LY205" s="291"/>
      <c r="LZ205" s="291"/>
      <c r="MA205" s="291"/>
      <c r="MB205" s="291"/>
      <c r="MC205" s="291"/>
      <c r="MD205" s="291"/>
      <c r="ME205" s="291"/>
      <c r="MF205" s="291"/>
      <c r="MG205" s="291"/>
      <c r="MH205" s="291"/>
      <c r="MI205" s="291"/>
      <c r="MJ205" s="291"/>
      <c r="MK205" s="291"/>
      <c r="ML205" s="291"/>
      <c r="MM205" s="291"/>
      <c r="MN205" s="291"/>
      <c r="MO205" s="291"/>
      <c r="MP205" s="291"/>
      <c r="MQ205" s="291"/>
      <c r="MR205" s="291"/>
      <c r="MS205" s="291"/>
      <c r="MT205" s="291"/>
      <c r="MU205" s="291"/>
      <c r="MV205" s="291"/>
      <c r="MW205" s="291"/>
      <c r="MX205" s="291"/>
      <c r="MY205" s="291"/>
      <c r="MZ205" s="291"/>
      <c r="NA205" s="291"/>
      <c r="NB205" s="291"/>
      <c r="NC205" s="291"/>
      <c r="ND205" s="291"/>
      <c r="NE205" s="291"/>
      <c r="NF205" s="291"/>
      <c r="NG205" s="291"/>
      <c r="NH205" s="291"/>
      <c r="NI205" s="291"/>
      <c r="NJ205" s="291"/>
      <c r="NK205" s="291"/>
      <c r="NL205" s="291"/>
      <c r="NM205" s="291"/>
      <c r="NN205" s="291"/>
      <c r="NO205" s="291"/>
      <c r="NP205" s="291"/>
      <c r="NQ205" s="291"/>
      <c r="NR205" s="291"/>
      <c r="NS205" s="291"/>
      <c r="NT205" s="291"/>
      <c r="NU205" s="291"/>
      <c r="NV205" s="291"/>
      <c r="NW205" s="291"/>
      <c r="NX205" s="291"/>
      <c r="NY205" s="291"/>
      <c r="NZ205" s="291"/>
      <c r="OA205" s="291"/>
      <c r="OB205" s="291"/>
      <c r="OC205" s="291"/>
      <c r="OD205" s="291"/>
      <c r="OE205" s="291"/>
      <c r="OF205" s="291"/>
      <c r="OG205" s="291"/>
      <c r="OH205" s="291"/>
      <c r="OI205" s="291"/>
      <c r="OJ205" s="291"/>
      <c r="OK205" s="291"/>
      <c r="OL205" s="291"/>
      <c r="OM205" s="291"/>
      <c r="ON205" s="291"/>
      <c r="OO205" s="291"/>
      <c r="OP205" s="291"/>
      <c r="OQ205" s="291"/>
      <c r="OR205" s="291"/>
      <c r="OS205" s="291"/>
      <c r="OT205" s="291"/>
      <c r="OU205" s="291"/>
      <c r="OV205" s="291"/>
      <c r="OW205" s="291"/>
    </row>
    <row r="206" spans="1:413" s="257" customFormat="1" hidden="1" x14ac:dyDescent="0.2">
      <c r="A206" s="291"/>
      <c r="B206" s="524">
        <f t="shared" si="11"/>
        <v>190</v>
      </c>
      <c r="C206" s="510" t="s">
        <v>38</v>
      </c>
      <c r="D206" s="511">
        <v>40002498</v>
      </c>
      <c r="E206" s="511"/>
      <c r="F206" s="512" t="s">
        <v>1360</v>
      </c>
      <c r="G206" s="513" t="s">
        <v>45</v>
      </c>
      <c r="H206" s="514" t="s">
        <v>1094</v>
      </c>
      <c r="I206" s="515" t="s">
        <v>1142</v>
      </c>
      <c r="J206" s="346" t="s">
        <v>42</v>
      </c>
      <c r="K206" s="526">
        <v>1190382</v>
      </c>
      <c r="L206" s="527">
        <v>758388</v>
      </c>
      <c r="M206" s="528">
        <v>44386</v>
      </c>
      <c r="N206" s="519">
        <v>0</v>
      </c>
      <c r="O206" s="519">
        <v>58277</v>
      </c>
      <c r="P206" s="519">
        <v>169027</v>
      </c>
      <c r="Q206" s="519">
        <v>64616</v>
      </c>
      <c r="R206" s="519">
        <v>0</v>
      </c>
      <c r="S206" s="520">
        <v>0</v>
      </c>
      <c r="T206" s="18"/>
      <c r="U206" s="18"/>
      <c r="V206" s="18"/>
      <c r="W206" s="18"/>
      <c r="X206" s="18"/>
      <c r="Y206" s="18"/>
      <c r="Z206" s="18">
        <f t="shared" si="8"/>
        <v>291920</v>
      </c>
      <c r="AA206" s="309">
        <v>387608</v>
      </c>
      <c r="AB206" s="19">
        <v>11</v>
      </c>
      <c r="AC206" s="521">
        <v>44237</v>
      </c>
      <c r="AD206" s="25">
        <v>44251</v>
      </c>
      <c r="AE206" s="309">
        <v>42309</v>
      </c>
      <c r="AF206" s="314">
        <v>39</v>
      </c>
      <c r="AG206" s="315">
        <v>44334</v>
      </c>
      <c r="AH206" s="315">
        <v>44342</v>
      </c>
      <c r="AI206" s="309"/>
      <c r="AJ206" s="338"/>
      <c r="AK206" s="315"/>
      <c r="AL206" s="316"/>
      <c r="AM206" s="309"/>
      <c r="AN206" s="338"/>
      <c r="AO206" s="21"/>
      <c r="AP206" s="25"/>
      <c r="AQ206" s="309"/>
      <c r="AR206" s="19"/>
      <c r="AS206" s="21"/>
      <c r="AT206" s="25"/>
      <c r="AU206" s="522">
        <f t="shared" si="9"/>
        <v>429917</v>
      </c>
      <c r="AV206" s="311">
        <f t="shared" si="10"/>
        <v>137997</v>
      </c>
      <c r="AW206" s="305"/>
      <c r="AX206" s="291"/>
      <c r="AY206" s="291"/>
      <c r="AZ206" s="291"/>
      <c r="BA206" s="291"/>
      <c r="BB206" s="291"/>
      <c r="BC206" s="291"/>
      <c r="BD206" s="291"/>
      <c r="BE206" s="291"/>
      <c r="BF206" s="291"/>
      <c r="BG206" s="291"/>
      <c r="BH206" s="291"/>
      <c r="BI206" s="291"/>
      <c r="BJ206" s="291"/>
      <c r="BK206" s="291"/>
      <c r="BL206" s="291"/>
      <c r="BM206" s="291"/>
      <c r="BN206" s="291"/>
      <c r="BO206" s="291"/>
      <c r="BP206" s="291"/>
      <c r="BQ206" s="291"/>
      <c r="BR206" s="291"/>
      <c r="BS206" s="291"/>
      <c r="BT206" s="291"/>
      <c r="BU206" s="291"/>
      <c r="BV206" s="291"/>
      <c r="BW206" s="291"/>
      <c r="BX206" s="291"/>
      <c r="BY206" s="291"/>
      <c r="BZ206" s="291"/>
      <c r="CA206" s="291"/>
      <c r="CB206" s="291"/>
      <c r="CC206" s="291"/>
      <c r="CD206" s="291"/>
      <c r="CE206" s="291"/>
      <c r="CF206" s="291"/>
      <c r="CG206" s="291"/>
      <c r="CH206" s="291"/>
      <c r="CI206" s="291"/>
      <c r="CJ206" s="291"/>
      <c r="CK206" s="291"/>
      <c r="CL206" s="291"/>
      <c r="CM206" s="291"/>
      <c r="CN206" s="291"/>
      <c r="CO206" s="291"/>
      <c r="CP206" s="291"/>
      <c r="CQ206" s="291"/>
      <c r="CR206" s="291"/>
      <c r="CS206" s="291"/>
      <c r="CT206" s="291"/>
      <c r="CU206" s="291"/>
      <c r="CV206" s="291"/>
      <c r="CW206" s="291"/>
      <c r="CX206" s="291"/>
      <c r="CY206" s="291"/>
      <c r="CZ206" s="291"/>
      <c r="DA206" s="291"/>
      <c r="DB206" s="291"/>
      <c r="DC206" s="291"/>
      <c r="DD206" s="291"/>
      <c r="DE206" s="291"/>
      <c r="DF206" s="291"/>
      <c r="DG206" s="291"/>
      <c r="DH206" s="291"/>
      <c r="DI206" s="291"/>
      <c r="DJ206" s="291"/>
      <c r="DK206" s="291"/>
      <c r="DL206" s="291"/>
      <c r="DM206" s="291"/>
      <c r="DN206" s="291"/>
      <c r="DO206" s="291"/>
      <c r="DP206" s="291"/>
      <c r="DQ206" s="291"/>
      <c r="DR206" s="291"/>
      <c r="DS206" s="291"/>
      <c r="DT206" s="291"/>
      <c r="DU206" s="291"/>
      <c r="DV206" s="291"/>
      <c r="DW206" s="291"/>
      <c r="DX206" s="291"/>
      <c r="DY206" s="291"/>
      <c r="DZ206" s="291"/>
      <c r="EA206" s="291"/>
      <c r="EB206" s="291"/>
      <c r="EC206" s="291"/>
      <c r="ED206" s="291"/>
      <c r="EE206" s="291"/>
      <c r="EF206" s="291"/>
      <c r="EG206" s="291"/>
      <c r="EH206" s="291"/>
      <c r="EI206" s="291"/>
      <c r="EJ206" s="291"/>
      <c r="EK206" s="291"/>
      <c r="EL206" s="291"/>
      <c r="EM206" s="291"/>
      <c r="EN206" s="291"/>
      <c r="EO206" s="291"/>
      <c r="EP206" s="291"/>
      <c r="EQ206" s="291"/>
      <c r="ER206" s="291"/>
      <c r="ES206" s="291"/>
      <c r="ET206" s="291"/>
      <c r="EU206" s="291"/>
      <c r="EV206" s="291"/>
      <c r="EW206" s="291"/>
      <c r="EX206" s="291"/>
      <c r="EY206" s="291"/>
      <c r="EZ206" s="291"/>
      <c r="FA206" s="291"/>
      <c r="FB206" s="291"/>
      <c r="FC206" s="291"/>
      <c r="FD206" s="291"/>
      <c r="FE206" s="291"/>
      <c r="FF206" s="291"/>
      <c r="FG206" s="291"/>
      <c r="FH206" s="291"/>
      <c r="FI206" s="291"/>
      <c r="FJ206" s="291"/>
      <c r="FK206" s="291"/>
      <c r="FL206" s="291"/>
      <c r="FM206" s="291"/>
      <c r="FN206" s="291"/>
      <c r="FO206" s="291"/>
      <c r="FP206" s="291"/>
      <c r="FQ206" s="291"/>
      <c r="FR206" s="291"/>
      <c r="FS206" s="291"/>
      <c r="FT206" s="291"/>
      <c r="FU206" s="291"/>
      <c r="FV206" s="291"/>
      <c r="FW206" s="291"/>
      <c r="FX206" s="291"/>
      <c r="FY206" s="291"/>
      <c r="FZ206" s="291"/>
      <c r="GA206" s="291"/>
      <c r="GB206" s="291"/>
      <c r="GC206" s="291"/>
      <c r="GD206" s="291"/>
      <c r="GE206" s="291"/>
      <c r="GF206" s="291"/>
      <c r="GG206" s="291"/>
      <c r="GH206" s="291"/>
      <c r="GI206" s="291"/>
      <c r="GJ206" s="291"/>
      <c r="GK206" s="291"/>
      <c r="GL206" s="291"/>
      <c r="GM206" s="291"/>
      <c r="GN206" s="291"/>
      <c r="GO206" s="291"/>
      <c r="GP206" s="291"/>
      <c r="GQ206" s="291"/>
      <c r="GR206" s="291"/>
      <c r="GS206" s="291"/>
      <c r="GT206" s="291"/>
      <c r="GU206" s="291"/>
      <c r="GV206" s="291"/>
      <c r="GW206" s="291"/>
      <c r="GX206" s="291"/>
      <c r="GY206" s="291"/>
      <c r="GZ206" s="291"/>
      <c r="HA206" s="291"/>
      <c r="HB206" s="291"/>
      <c r="HC206" s="291"/>
      <c r="HD206" s="291"/>
      <c r="HE206" s="291"/>
      <c r="HF206" s="291"/>
      <c r="HG206" s="291"/>
      <c r="HH206" s="291"/>
      <c r="HI206" s="291"/>
      <c r="HJ206" s="291"/>
      <c r="HK206" s="291"/>
      <c r="HL206" s="291"/>
      <c r="HM206" s="291"/>
      <c r="HN206" s="291"/>
      <c r="HO206" s="291"/>
      <c r="HP206" s="291"/>
      <c r="HQ206" s="291"/>
      <c r="HR206" s="291"/>
      <c r="HS206" s="291"/>
      <c r="HT206" s="291"/>
      <c r="HU206" s="291"/>
      <c r="HV206" s="291"/>
      <c r="HW206" s="291"/>
      <c r="HX206" s="291"/>
      <c r="HY206" s="291"/>
      <c r="HZ206" s="291"/>
      <c r="IA206" s="291"/>
      <c r="IB206" s="291"/>
      <c r="IC206" s="291"/>
      <c r="ID206" s="291"/>
      <c r="IE206" s="291"/>
      <c r="IF206" s="291"/>
      <c r="IG206" s="291"/>
      <c r="IH206" s="291"/>
      <c r="II206" s="291"/>
      <c r="IJ206" s="291"/>
      <c r="IK206" s="291"/>
      <c r="IL206" s="291"/>
      <c r="IM206" s="291"/>
      <c r="IN206" s="291"/>
      <c r="IO206" s="291"/>
      <c r="IP206" s="291"/>
      <c r="IQ206" s="291"/>
      <c r="IR206" s="291"/>
      <c r="IS206" s="291"/>
      <c r="IT206" s="291"/>
      <c r="IU206" s="291"/>
      <c r="IV206" s="291"/>
      <c r="IW206" s="291"/>
      <c r="IX206" s="291"/>
      <c r="IY206" s="291"/>
      <c r="IZ206" s="291"/>
      <c r="JA206" s="291"/>
      <c r="JB206" s="291"/>
      <c r="JC206" s="291"/>
      <c r="JD206" s="291"/>
      <c r="JE206" s="291"/>
      <c r="JF206" s="291"/>
      <c r="JG206" s="291"/>
      <c r="JH206" s="291"/>
      <c r="JI206" s="291"/>
      <c r="JJ206" s="291"/>
      <c r="JK206" s="291"/>
      <c r="JL206" s="291"/>
      <c r="JM206" s="291"/>
      <c r="JN206" s="291"/>
      <c r="JO206" s="291"/>
      <c r="JP206" s="291"/>
      <c r="JQ206" s="291"/>
      <c r="JR206" s="291"/>
      <c r="JS206" s="291"/>
      <c r="JT206" s="291"/>
      <c r="JU206" s="291"/>
      <c r="JV206" s="291"/>
      <c r="JW206" s="291"/>
      <c r="JX206" s="291"/>
      <c r="JY206" s="291"/>
      <c r="JZ206" s="291"/>
      <c r="KA206" s="291"/>
      <c r="KB206" s="291"/>
      <c r="KC206" s="291"/>
      <c r="KD206" s="291"/>
      <c r="KE206" s="291"/>
      <c r="KF206" s="291"/>
      <c r="KG206" s="291"/>
      <c r="KH206" s="291"/>
      <c r="KI206" s="291"/>
      <c r="KJ206" s="291"/>
      <c r="KK206" s="291"/>
      <c r="KL206" s="291"/>
      <c r="KM206" s="291"/>
      <c r="KN206" s="291"/>
      <c r="KO206" s="291"/>
      <c r="KP206" s="291"/>
      <c r="KQ206" s="291"/>
      <c r="KR206" s="291"/>
      <c r="KS206" s="291"/>
      <c r="KT206" s="291"/>
      <c r="KU206" s="291"/>
      <c r="KV206" s="291"/>
      <c r="KW206" s="291"/>
      <c r="KX206" s="291"/>
      <c r="KY206" s="291"/>
      <c r="KZ206" s="291"/>
      <c r="LA206" s="291"/>
      <c r="LB206" s="291"/>
      <c r="LC206" s="291"/>
      <c r="LD206" s="291"/>
      <c r="LE206" s="291"/>
      <c r="LF206" s="291"/>
      <c r="LG206" s="291"/>
      <c r="LH206" s="291"/>
      <c r="LI206" s="291"/>
      <c r="LJ206" s="291"/>
      <c r="LK206" s="291"/>
      <c r="LL206" s="291"/>
      <c r="LM206" s="291"/>
      <c r="LN206" s="291"/>
      <c r="LO206" s="291"/>
      <c r="LP206" s="291"/>
      <c r="LQ206" s="291"/>
      <c r="LR206" s="291"/>
      <c r="LS206" s="291"/>
      <c r="LT206" s="291"/>
      <c r="LU206" s="291"/>
      <c r="LV206" s="291"/>
      <c r="LW206" s="291"/>
      <c r="LX206" s="291"/>
      <c r="LY206" s="291"/>
      <c r="LZ206" s="291"/>
      <c r="MA206" s="291"/>
      <c r="MB206" s="291"/>
      <c r="MC206" s="291"/>
      <c r="MD206" s="291"/>
      <c r="ME206" s="291"/>
      <c r="MF206" s="291"/>
      <c r="MG206" s="291"/>
      <c r="MH206" s="291"/>
      <c r="MI206" s="291"/>
      <c r="MJ206" s="291"/>
      <c r="MK206" s="291"/>
      <c r="ML206" s="291"/>
      <c r="MM206" s="291"/>
      <c r="MN206" s="291"/>
      <c r="MO206" s="291"/>
      <c r="MP206" s="291"/>
      <c r="MQ206" s="291"/>
      <c r="MR206" s="291"/>
      <c r="MS206" s="291"/>
      <c r="MT206" s="291"/>
      <c r="MU206" s="291"/>
      <c r="MV206" s="291"/>
      <c r="MW206" s="291"/>
      <c r="MX206" s="291"/>
      <c r="MY206" s="291"/>
      <c r="MZ206" s="291"/>
      <c r="NA206" s="291"/>
      <c r="NB206" s="291"/>
      <c r="NC206" s="291"/>
      <c r="ND206" s="291"/>
      <c r="NE206" s="291"/>
      <c r="NF206" s="291"/>
      <c r="NG206" s="291"/>
      <c r="NH206" s="291"/>
      <c r="NI206" s="291"/>
      <c r="NJ206" s="291"/>
      <c r="NK206" s="291"/>
      <c r="NL206" s="291"/>
      <c r="NM206" s="291"/>
      <c r="NN206" s="291"/>
      <c r="NO206" s="291"/>
      <c r="NP206" s="291"/>
      <c r="NQ206" s="291"/>
      <c r="NR206" s="291"/>
      <c r="NS206" s="291"/>
      <c r="NT206" s="291"/>
      <c r="NU206" s="291"/>
      <c r="NV206" s="291"/>
      <c r="NW206" s="291"/>
      <c r="NX206" s="291"/>
      <c r="NY206" s="291"/>
      <c r="NZ206" s="291"/>
      <c r="OA206" s="291"/>
      <c r="OB206" s="291"/>
      <c r="OC206" s="291"/>
      <c r="OD206" s="291"/>
      <c r="OE206" s="291"/>
      <c r="OF206" s="291"/>
      <c r="OG206" s="291"/>
      <c r="OH206" s="291"/>
      <c r="OI206" s="291"/>
      <c r="OJ206" s="291"/>
      <c r="OK206" s="291"/>
      <c r="OL206" s="291"/>
      <c r="OM206" s="291"/>
      <c r="ON206" s="291"/>
      <c r="OO206" s="291"/>
      <c r="OP206" s="291"/>
      <c r="OQ206" s="291"/>
      <c r="OR206" s="291"/>
      <c r="OS206" s="291"/>
      <c r="OT206" s="291"/>
      <c r="OU206" s="291"/>
      <c r="OV206" s="291"/>
      <c r="OW206" s="291"/>
    </row>
    <row r="207" spans="1:413" s="257" customFormat="1" hidden="1" x14ac:dyDescent="0.2">
      <c r="A207" s="291"/>
      <c r="B207" s="524">
        <f t="shared" si="11"/>
        <v>191</v>
      </c>
      <c r="C207" s="510" t="s">
        <v>38</v>
      </c>
      <c r="D207" s="511">
        <v>40003144</v>
      </c>
      <c r="E207" s="511"/>
      <c r="F207" s="512" t="s">
        <v>1361</v>
      </c>
      <c r="G207" s="513" t="s">
        <v>45</v>
      </c>
      <c r="H207" s="514" t="s">
        <v>1094</v>
      </c>
      <c r="I207" s="515" t="s">
        <v>1157</v>
      </c>
      <c r="J207" s="346" t="s">
        <v>43</v>
      </c>
      <c r="K207" s="526">
        <v>290775</v>
      </c>
      <c r="L207" s="527">
        <v>0</v>
      </c>
      <c r="M207" s="528">
        <v>240775</v>
      </c>
      <c r="N207" s="519">
        <v>0</v>
      </c>
      <c r="O207" s="519">
        <v>0</v>
      </c>
      <c r="P207" s="519">
        <v>0</v>
      </c>
      <c r="Q207" s="519">
        <v>0</v>
      </c>
      <c r="R207" s="519">
        <v>0</v>
      </c>
      <c r="S207" s="520">
        <v>0</v>
      </c>
      <c r="T207" s="18"/>
      <c r="U207" s="18"/>
      <c r="V207" s="18"/>
      <c r="W207" s="18"/>
      <c r="X207" s="18"/>
      <c r="Y207" s="18"/>
      <c r="Z207" s="18">
        <f t="shared" si="8"/>
        <v>0</v>
      </c>
      <c r="AA207" s="309">
        <v>50000</v>
      </c>
      <c r="AB207" s="19">
        <v>3</v>
      </c>
      <c r="AC207" s="521">
        <v>44222</v>
      </c>
      <c r="AD207" s="25">
        <v>44225</v>
      </c>
      <c r="AE207" s="309"/>
      <c r="AF207" s="314"/>
      <c r="AG207" s="315"/>
      <c r="AH207" s="316"/>
      <c r="AI207" s="309"/>
      <c r="AJ207" s="338"/>
      <c r="AK207" s="315"/>
      <c r="AL207" s="316"/>
      <c r="AM207" s="309"/>
      <c r="AN207" s="338"/>
      <c r="AO207" s="21"/>
      <c r="AP207" s="25"/>
      <c r="AQ207" s="309"/>
      <c r="AR207" s="19"/>
      <c r="AS207" s="21"/>
      <c r="AT207" s="25"/>
      <c r="AU207" s="522">
        <f t="shared" si="9"/>
        <v>50000</v>
      </c>
      <c r="AV207" s="311">
        <f t="shared" si="10"/>
        <v>50000</v>
      </c>
      <c r="AW207" s="305"/>
      <c r="AX207" s="291"/>
      <c r="AY207" s="291"/>
      <c r="AZ207" s="291"/>
      <c r="BA207" s="291"/>
      <c r="BB207" s="291"/>
      <c r="BC207" s="291"/>
      <c r="BD207" s="291"/>
      <c r="BE207" s="291"/>
      <c r="BF207" s="291"/>
      <c r="BG207" s="291"/>
      <c r="BH207" s="291"/>
      <c r="BI207" s="291"/>
      <c r="BJ207" s="291"/>
      <c r="BK207" s="291"/>
      <c r="BL207" s="291"/>
      <c r="BM207" s="291"/>
      <c r="BN207" s="291"/>
      <c r="BO207" s="291"/>
      <c r="BP207" s="291"/>
      <c r="BQ207" s="291"/>
      <c r="BR207" s="291"/>
      <c r="BS207" s="291"/>
      <c r="BT207" s="291"/>
      <c r="BU207" s="291"/>
      <c r="BV207" s="291"/>
      <c r="BW207" s="291"/>
      <c r="BX207" s="291"/>
      <c r="BY207" s="291"/>
      <c r="BZ207" s="291"/>
      <c r="CA207" s="291"/>
      <c r="CB207" s="291"/>
      <c r="CC207" s="291"/>
      <c r="CD207" s="291"/>
      <c r="CE207" s="291"/>
      <c r="CF207" s="291"/>
      <c r="CG207" s="291"/>
      <c r="CH207" s="291"/>
      <c r="CI207" s="291"/>
      <c r="CJ207" s="291"/>
      <c r="CK207" s="291"/>
      <c r="CL207" s="291"/>
      <c r="CM207" s="291"/>
      <c r="CN207" s="291"/>
      <c r="CO207" s="291"/>
      <c r="CP207" s="291"/>
      <c r="CQ207" s="291"/>
      <c r="CR207" s="291"/>
      <c r="CS207" s="291"/>
      <c r="CT207" s="291"/>
      <c r="CU207" s="291"/>
      <c r="CV207" s="291"/>
      <c r="CW207" s="291"/>
      <c r="CX207" s="291"/>
      <c r="CY207" s="291"/>
      <c r="CZ207" s="291"/>
      <c r="DA207" s="291"/>
      <c r="DB207" s="291"/>
      <c r="DC207" s="291"/>
      <c r="DD207" s="291"/>
      <c r="DE207" s="291"/>
      <c r="DF207" s="291"/>
      <c r="DG207" s="291"/>
      <c r="DH207" s="291"/>
      <c r="DI207" s="291"/>
      <c r="DJ207" s="291"/>
      <c r="DK207" s="291"/>
      <c r="DL207" s="291"/>
      <c r="DM207" s="291"/>
      <c r="DN207" s="291"/>
      <c r="DO207" s="291"/>
      <c r="DP207" s="291"/>
      <c r="DQ207" s="291"/>
      <c r="DR207" s="291"/>
      <c r="DS207" s="291"/>
      <c r="DT207" s="291"/>
      <c r="DU207" s="291"/>
      <c r="DV207" s="291"/>
      <c r="DW207" s="291"/>
      <c r="DX207" s="291"/>
      <c r="DY207" s="291"/>
      <c r="DZ207" s="291"/>
      <c r="EA207" s="291"/>
      <c r="EB207" s="291"/>
      <c r="EC207" s="291"/>
      <c r="ED207" s="291"/>
      <c r="EE207" s="291"/>
      <c r="EF207" s="291"/>
      <c r="EG207" s="291"/>
      <c r="EH207" s="291"/>
      <c r="EI207" s="291"/>
      <c r="EJ207" s="291"/>
      <c r="EK207" s="291"/>
      <c r="EL207" s="291"/>
      <c r="EM207" s="291"/>
      <c r="EN207" s="291"/>
      <c r="EO207" s="291"/>
      <c r="EP207" s="291"/>
      <c r="EQ207" s="291"/>
      <c r="ER207" s="291"/>
      <c r="ES207" s="291"/>
      <c r="ET207" s="291"/>
      <c r="EU207" s="291"/>
      <c r="EV207" s="291"/>
      <c r="EW207" s="291"/>
      <c r="EX207" s="291"/>
      <c r="EY207" s="291"/>
      <c r="EZ207" s="291"/>
      <c r="FA207" s="291"/>
      <c r="FB207" s="291"/>
      <c r="FC207" s="291"/>
      <c r="FD207" s="291"/>
      <c r="FE207" s="291"/>
      <c r="FF207" s="291"/>
      <c r="FG207" s="291"/>
      <c r="FH207" s="291"/>
      <c r="FI207" s="291"/>
      <c r="FJ207" s="291"/>
      <c r="FK207" s="291"/>
      <c r="FL207" s="291"/>
      <c r="FM207" s="291"/>
      <c r="FN207" s="291"/>
      <c r="FO207" s="291"/>
      <c r="FP207" s="291"/>
      <c r="FQ207" s="291"/>
      <c r="FR207" s="291"/>
      <c r="FS207" s="291"/>
      <c r="FT207" s="291"/>
      <c r="FU207" s="291"/>
      <c r="FV207" s="291"/>
      <c r="FW207" s="291"/>
      <c r="FX207" s="291"/>
      <c r="FY207" s="291"/>
      <c r="FZ207" s="291"/>
      <c r="GA207" s="291"/>
      <c r="GB207" s="291"/>
      <c r="GC207" s="291"/>
      <c r="GD207" s="291"/>
      <c r="GE207" s="291"/>
      <c r="GF207" s="291"/>
      <c r="GG207" s="291"/>
      <c r="GH207" s="291"/>
      <c r="GI207" s="291"/>
      <c r="GJ207" s="291"/>
      <c r="GK207" s="291"/>
      <c r="GL207" s="291"/>
      <c r="GM207" s="291"/>
      <c r="GN207" s="291"/>
      <c r="GO207" s="291"/>
      <c r="GP207" s="291"/>
      <c r="GQ207" s="291"/>
      <c r="GR207" s="291"/>
      <c r="GS207" s="291"/>
      <c r="GT207" s="291"/>
      <c r="GU207" s="291"/>
      <c r="GV207" s="291"/>
      <c r="GW207" s="291"/>
      <c r="GX207" s="291"/>
      <c r="GY207" s="291"/>
      <c r="GZ207" s="291"/>
      <c r="HA207" s="291"/>
      <c r="HB207" s="291"/>
      <c r="HC207" s="291"/>
      <c r="HD207" s="291"/>
      <c r="HE207" s="291"/>
      <c r="HF207" s="291"/>
      <c r="HG207" s="291"/>
      <c r="HH207" s="291"/>
      <c r="HI207" s="291"/>
      <c r="HJ207" s="291"/>
      <c r="HK207" s="291"/>
      <c r="HL207" s="291"/>
      <c r="HM207" s="291"/>
      <c r="HN207" s="291"/>
      <c r="HO207" s="291"/>
      <c r="HP207" s="291"/>
      <c r="HQ207" s="291"/>
      <c r="HR207" s="291"/>
      <c r="HS207" s="291"/>
      <c r="HT207" s="291"/>
      <c r="HU207" s="291"/>
      <c r="HV207" s="291"/>
      <c r="HW207" s="291"/>
      <c r="HX207" s="291"/>
      <c r="HY207" s="291"/>
      <c r="HZ207" s="291"/>
      <c r="IA207" s="291"/>
      <c r="IB207" s="291"/>
      <c r="IC207" s="291"/>
      <c r="ID207" s="291"/>
      <c r="IE207" s="291"/>
      <c r="IF207" s="291"/>
      <c r="IG207" s="291"/>
      <c r="IH207" s="291"/>
      <c r="II207" s="291"/>
      <c r="IJ207" s="291"/>
      <c r="IK207" s="291"/>
      <c r="IL207" s="291"/>
      <c r="IM207" s="291"/>
      <c r="IN207" s="291"/>
      <c r="IO207" s="291"/>
      <c r="IP207" s="291"/>
      <c r="IQ207" s="291"/>
      <c r="IR207" s="291"/>
      <c r="IS207" s="291"/>
      <c r="IT207" s="291"/>
      <c r="IU207" s="291"/>
      <c r="IV207" s="291"/>
      <c r="IW207" s="291"/>
      <c r="IX207" s="291"/>
      <c r="IY207" s="291"/>
      <c r="IZ207" s="291"/>
      <c r="JA207" s="291"/>
      <c r="JB207" s="291"/>
      <c r="JC207" s="291"/>
      <c r="JD207" s="291"/>
      <c r="JE207" s="291"/>
      <c r="JF207" s="291"/>
      <c r="JG207" s="291"/>
      <c r="JH207" s="291"/>
      <c r="JI207" s="291"/>
      <c r="JJ207" s="291"/>
      <c r="JK207" s="291"/>
      <c r="JL207" s="291"/>
      <c r="JM207" s="291"/>
      <c r="JN207" s="291"/>
      <c r="JO207" s="291"/>
      <c r="JP207" s="291"/>
      <c r="JQ207" s="291"/>
      <c r="JR207" s="291"/>
      <c r="JS207" s="291"/>
      <c r="JT207" s="291"/>
      <c r="JU207" s="291"/>
      <c r="JV207" s="291"/>
      <c r="JW207" s="291"/>
      <c r="JX207" s="291"/>
      <c r="JY207" s="291"/>
      <c r="JZ207" s="291"/>
      <c r="KA207" s="291"/>
      <c r="KB207" s="291"/>
      <c r="KC207" s="291"/>
      <c r="KD207" s="291"/>
      <c r="KE207" s="291"/>
      <c r="KF207" s="291"/>
      <c r="KG207" s="291"/>
      <c r="KH207" s="291"/>
      <c r="KI207" s="291"/>
      <c r="KJ207" s="291"/>
      <c r="KK207" s="291"/>
      <c r="KL207" s="291"/>
      <c r="KM207" s="291"/>
      <c r="KN207" s="291"/>
      <c r="KO207" s="291"/>
      <c r="KP207" s="291"/>
      <c r="KQ207" s="291"/>
      <c r="KR207" s="291"/>
      <c r="KS207" s="291"/>
      <c r="KT207" s="291"/>
      <c r="KU207" s="291"/>
      <c r="KV207" s="291"/>
      <c r="KW207" s="291"/>
      <c r="KX207" s="291"/>
      <c r="KY207" s="291"/>
      <c r="KZ207" s="291"/>
      <c r="LA207" s="291"/>
      <c r="LB207" s="291"/>
      <c r="LC207" s="291"/>
      <c r="LD207" s="291"/>
      <c r="LE207" s="291"/>
      <c r="LF207" s="291"/>
      <c r="LG207" s="291"/>
      <c r="LH207" s="291"/>
      <c r="LI207" s="291"/>
      <c r="LJ207" s="291"/>
      <c r="LK207" s="291"/>
      <c r="LL207" s="291"/>
      <c r="LM207" s="291"/>
      <c r="LN207" s="291"/>
      <c r="LO207" s="291"/>
      <c r="LP207" s="291"/>
      <c r="LQ207" s="291"/>
      <c r="LR207" s="291"/>
      <c r="LS207" s="291"/>
      <c r="LT207" s="291"/>
      <c r="LU207" s="291"/>
      <c r="LV207" s="291"/>
      <c r="LW207" s="291"/>
      <c r="LX207" s="291"/>
      <c r="LY207" s="291"/>
      <c r="LZ207" s="291"/>
      <c r="MA207" s="291"/>
      <c r="MB207" s="291"/>
      <c r="MC207" s="291"/>
      <c r="MD207" s="291"/>
      <c r="ME207" s="291"/>
      <c r="MF207" s="291"/>
      <c r="MG207" s="291"/>
      <c r="MH207" s="291"/>
      <c r="MI207" s="291"/>
      <c r="MJ207" s="291"/>
      <c r="MK207" s="291"/>
      <c r="ML207" s="291"/>
      <c r="MM207" s="291"/>
      <c r="MN207" s="291"/>
      <c r="MO207" s="291"/>
      <c r="MP207" s="291"/>
      <c r="MQ207" s="291"/>
      <c r="MR207" s="291"/>
      <c r="MS207" s="291"/>
      <c r="MT207" s="291"/>
      <c r="MU207" s="291"/>
      <c r="MV207" s="291"/>
      <c r="MW207" s="291"/>
      <c r="MX207" s="291"/>
      <c r="MY207" s="291"/>
      <c r="MZ207" s="291"/>
      <c r="NA207" s="291"/>
      <c r="NB207" s="291"/>
      <c r="NC207" s="291"/>
      <c r="ND207" s="291"/>
      <c r="NE207" s="291"/>
      <c r="NF207" s="291"/>
      <c r="NG207" s="291"/>
      <c r="NH207" s="291"/>
      <c r="NI207" s="291"/>
      <c r="NJ207" s="291"/>
      <c r="NK207" s="291"/>
      <c r="NL207" s="291"/>
      <c r="NM207" s="291"/>
      <c r="NN207" s="291"/>
      <c r="NO207" s="291"/>
      <c r="NP207" s="291"/>
      <c r="NQ207" s="291"/>
      <c r="NR207" s="291"/>
      <c r="NS207" s="291"/>
      <c r="NT207" s="291"/>
      <c r="NU207" s="291"/>
      <c r="NV207" s="291"/>
      <c r="NW207" s="291"/>
      <c r="NX207" s="291"/>
      <c r="NY207" s="291"/>
      <c r="NZ207" s="291"/>
      <c r="OA207" s="291"/>
      <c r="OB207" s="291"/>
      <c r="OC207" s="291"/>
      <c r="OD207" s="291"/>
      <c r="OE207" s="291"/>
      <c r="OF207" s="291"/>
      <c r="OG207" s="291"/>
      <c r="OH207" s="291"/>
      <c r="OI207" s="291"/>
      <c r="OJ207" s="291"/>
      <c r="OK207" s="291"/>
      <c r="OL207" s="291"/>
      <c r="OM207" s="291"/>
      <c r="ON207" s="291"/>
      <c r="OO207" s="291"/>
      <c r="OP207" s="291"/>
      <c r="OQ207" s="291"/>
      <c r="OR207" s="291"/>
      <c r="OS207" s="291"/>
      <c r="OT207" s="291"/>
      <c r="OU207" s="291"/>
      <c r="OV207" s="291"/>
      <c r="OW207" s="291"/>
    </row>
    <row r="208" spans="1:413" s="257" customFormat="1" hidden="1" x14ac:dyDescent="0.2">
      <c r="A208" s="291"/>
      <c r="B208" s="524">
        <f t="shared" si="11"/>
        <v>192</v>
      </c>
      <c r="C208" s="510" t="s">
        <v>38</v>
      </c>
      <c r="D208" s="511">
        <v>40004832</v>
      </c>
      <c r="E208" s="511"/>
      <c r="F208" s="512" t="s">
        <v>1362</v>
      </c>
      <c r="G208" s="513" t="s">
        <v>45</v>
      </c>
      <c r="H208" s="514" t="s">
        <v>1094</v>
      </c>
      <c r="I208" s="515" t="s">
        <v>1163</v>
      </c>
      <c r="J208" s="346" t="s">
        <v>43</v>
      </c>
      <c r="K208" s="526">
        <v>1333673</v>
      </c>
      <c r="L208" s="527">
        <v>0</v>
      </c>
      <c r="M208" s="528">
        <v>1125673</v>
      </c>
      <c r="N208" s="519">
        <v>0</v>
      </c>
      <c r="O208" s="519">
        <v>0</v>
      </c>
      <c r="P208" s="519">
        <v>0</v>
      </c>
      <c r="Q208" s="519">
        <v>0</v>
      </c>
      <c r="R208" s="519">
        <v>0</v>
      </c>
      <c r="S208" s="520">
        <v>0</v>
      </c>
      <c r="T208" s="18"/>
      <c r="U208" s="18"/>
      <c r="V208" s="18"/>
      <c r="W208" s="18"/>
      <c r="X208" s="18"/>
      <c r="Y208" s="18"/>
      <c r="Z208" s="18">
        <f t="shared" si="8"/>
        <v>0</v>
      </c>
      <c r="AA208" s="309">
        <v>208000</v>
      </c>
      <c r="AB208" s="19">
        <v>3</v>
      </c>
      <c r="AC208" s="521">
        <v>44222</v>
      </c>
      <c r="AD208" s="25">
        <v>44225</v>
      </c>
      <c r="AE208" s="309">
        <v>500000</v>
      </c>
      <c r="AF208" s="314">
        <v>39</v>
      </c>
      <c r="AG208" s="315">
        <v>44334</v>
      </c>
      <c r="AH208" s="315">
        <v>44342</v>
      </c>
      <c r="AI208" s="309"/>
      <c r="AJ208" s="338"/>
      <c r="AK208" s="315"/>
      <c r="AL208" s="316"/>
      <c r="AM208" s="309"/>
      <c r="AN208" s="338"/>
      <c r="AO208" s="21"/>
      <c r="AP208" s="25"/>
      <c r="AQ208" s="309"/>
      <c r="AR208" s="19"/>
      <c r="AS208" s="21"/>
      <c r="AT208" s="25"/>
      <c r="AU208" s="522">
        <f t="shared" si="9"/>
        <v>708000</v>
      </c>
      <c r="AV208" s="311">
        <f t="shared" si="10"/>
        <v>708000</v>
      </c>
      <c r="AW208" s="305"/>
      <c r="AX208" s="291"/>
      <c r="AY208" s="291"/>
      <c r="AZ208" s="291"/>
      <c r="BA208" s="291"/>
      <c r="BB208" s="291"/>
      <c r="BC208" s="291"/>
      <c r="BD208" s="291"/>
      <c r="BE208" s="291"/>
      <c r="BF208" s="291"/>
      <c r="BG208" s="291"/>
      <c r="BH208" s="291"/>
      <c r="BI208" s="291"/>
      <c r="BJ208" s="291"/>
      <c r="BK208" s="291"/>
      <c r="BL208" s="291"/>
      <c r="BM208" s="291"/>
      <c r="BN208" s="291"/>
      <c r="BO208" s="291"/>
      <c r="BP208" s="291"/>
      <c r="BQ208" s="291"/>
      <c r="BR208" s="291"/>
      <c r="BS208" s="291"/>
      <c r="BT208" s="291"/>
      <c r="BU208" s="291"/>
      <c r="BV208" s="291"/>
      <c r="BW208" s="291"/>
      <c r="BX208" s="291"/>
      <c r="BY208" s="291"/>
      <c r="BZ208" s="291"/>
      <c r="CA208" s="291"/>
      <c r="CB208" s="291"/>
      <c r="CC208" s="291"/>
      <c r="CD208" s="291"/>
      <c r="CE208" s="291"/>
      <c r="CF208" s="291"/>
      <c r="CG208" s="291"/>
      <c r="CH208" s="291"/>
      <c r="CI208" s="291"/>
      <c r="CJ208" s="291"/>
      <c r="CK208" s="291"/>
      <c r="CL208" s="291"/>
      <c r="CM208" s="291"/>
      <c r="CN208" s="291"/>
      <c r="CO208" s="291"/>
      <c r="CP208" s="291"/>
      <c r="CQ208" s="291"/>
      <c r="CR208" s="291"/>
      <c r="CS208" s="291"/>
      <c r="CT208" s="291"/>
      <c r="CU208" s="291"/>
      <c r="CV208" s="291"/>
      <c r="CW208" s="291"/>
      <c r="CX208" s="291"/>
      <c r="CY208" s="291"/>
      <c r="CZ208" s="291"/>
      <c r="DA208" s="291"/>
      <c r="DB208" s="291"/>
      <c r="DC208" s="291"/>
      <c r="DD208" s="291"/>
      <c r="DE208" s="291"/>
      <c r="DF208" s="291"/>
      <c r="DG208" s="291"/>
      <c r="DH208" s="291"/>
      <c r="DI208" s="291"/>
      <c r="DJ208" s="291"/>
      <c r="DK208" s="291"/>
      <c r="DL208" s="291"/>
      <c r="DM208" s="291"/>
      <c r="DN208" s="291"/>
      <c r="DO208" s="291"/>
      <c r="DP208" s="291"/>
      <c r="DQ208" s="291"/>
      <c r="DR208" s="291"/>
      <c r="DS208" s="291"/>
      <c r="DT208" s="291"/>
      <c r="DU208" s="291"/>
      <c r="DV208" s="291"/>
      <c r="DW208" s="291"/>
      <c r="DX208" s="291"/>
      <c r="DY208" s="291"/>
      <c r="DZ208" s="291"/>
      <c r="EA208" s="291"/>
      <c r="EB208" s="291"/>
      <c r="EC208" s="291"/>
      <c r="ED208" s="291"/>
      <c r="EE208" s="291"/>
      <c r="EF208" s="291"/>
      <c r="EG208" s="291"/>
      <c r="EH208" s="291"/>
      <c r="EI208" s="291"/>
      <c r="EJ208" s="291"/>
      <c r="EK208" s="291"/>
      <c r="EL208" s="291"/>
      <c r="EM208" s="291"/>
      <c r="EN208" s="291"/>
      <c r="EO208" s="291"/>
      <c r="EP208" s="291"/>
      <c r="EQ208" s="291"/>
      <c r="ER208" s="291"/>
      <c r="ES208" s="291"/>
      <c r="ET208" s="291"/>
      <c r="EU208" s="291"/>
      <c r="EV208" s="291"/>
      <c r="EW208" s="291"/>
      <c r="EX208" s="291"/>
      <c r="EY208" s="291"/>
      <c r="EZ208" s="291"/>
      <c r="FA208" s="291"/>
      <c r="FB208" s="291"/>
      <c r="FC208" s="291"/>
      <c r="FD208" s="291"/>
      <c r="FE208" s="291"/>
      <c r="FF208" s="291"/>
      <c r="FG208" s="291"/>
      <c r="FH208" s="291"/>
      <c r="FI208" s="291"/>
      <c r="FJ208" s="291"/>
      <c r="FK208" s="291"/>
      <c r="FL208" s="291"/>
      <c r="FM208" s="291"/>
      <c r="FN208" s="291"/>
      <c r="FO208" s="291"/>
      <c r="FP208" s="291"/>
      <c r="FQ208" s="291"/>
      <c r="FR208" s="291"/>
      <c r="FS208" s="291"/>
      <c r="FT208" s="291"/>
      <c r="FU208" s="291"/>
      <c r="FV208" s="291"/>
      <c r="FW208" s="291"/>
      <c r="FX208" s="291"/>
      <c r="FY208" s="291"/>
      <c r="FZ208" s="291"/>
      <c r="GA208" s="291"/>
      <c r="GB208" s="291"/>
      <c r="GC208" s="291"/>
      <c r="GD208" s="291"/>
      <c r="GE208" s="291"/>
      <c r="GF208" s="291"/>
      <c r="GG208" s="291"/>
      <c r="GH208" s="291"/>
      <c r="GI208" s="291"/>
      <c r="GJ208" s="291"/>
      <c r="GK208" s="291"/>
      <c r="GL208" s="291"/>
      <c r="GM208" s="291"/>
      <c r="GN208" s="291"/>
      <c r="GO208" s="291"/>
      <c r="GP208" s="291"/>
      <c r="GQ208" s="291"/>
      <c r="GR208" s="291"/>
      <c r="GS208" s="291"/>
      <c r="GT208" s="291"/>
      <c r="GU208" s="291"/>
      <c r="GV208" s="291"/>
      <c r="GW208" s="291"/>
      <c r="GX208" s="291"/>
      <c r="GY208" s="291"/>
      <c r="GZ208" s="291"/>
      <c r="HA208" s="291"/>
      <c r="HB208" s="291"/>
      <c r="HC208" s="291"/>
      <c r="HD208" s="291"/>
      <c r="HE208" s="291"/>
      <c r="HF208" s="291"/>
      <c r="HG208" s="291"/>
      <c r="HH208" s="291"/>
      <c r="HI208" s="291"/>
      <c r="HJ208" s="291"/>
      <c r="HK208" s="291"/>
      <c r="HL208" s="291"/>
      <c r="HM208" s="291"/>
      <c r="HN208" s="291"/>
      <c r="HO208" s="291"/>
      <c r="HP208" s="291"/>
      <c r="HQ208" s="291"/>
      <c r="HR208" s="291"/>
      <c r="HS208" s="291"/>
      <c r="HT208" s="291"/>
      <c r="HU208" s="291"/>
      <c r="HV208" s="291"/>
      <c r="HW208" s="291"/>
      <c r="HX208" s="291"/>
      <c r="HY208" s="291"/>
      <c r="HZ208" s="291"/>
      <c r="IA208" s="291"/>
      <c r="IB208" s="291"/>
      <c r="IC208" s="291"/>
      <c r="ID208" s="291"/>
      <c r="IE208" s="291"/>
      <c r="IF208" s="291"/>
      <c r="IG208" s="291"/>
      <c r="IH208" s="291"/>
      <c r="II208" s="291"/>
      <c r="IJ208" s="291"/>
      <c r="IK208" s="291"/>
      <c r="IL208" s="291"/>
      <c r="IM208" s="291"/>
      <c r="IN208" s="291"/>
      <c r="IO208" s="291"/>
      <c r="IP208" s="291"/>
      <c r="IQ208" s="291"/>
      <c r="IR208" s="291"/>
      <c r="IS208" s="291"/>
      <c r="IT208" s="291"/>
      <c r="IU208" s="291"/>
      <c r="IV208" s="291"/>
      <c r="IW208" s="291"/>
      <c r="IX208" s="291"/>
      <c r="IY208" s="291"/>
      <c r="IZ208" s="291"/>
      <c r="JA208" s="291"/>
      <c r="JB208" s="291"/>
      <c r="JC208" s="291"/>
      <c r="JD208" s="291"/>
      <c r="JE208" s="291"/>
      <c r="JF208" s="291"/>
      <c r="JG208" s="291"/>
      <c r="JH208" s="291"/>
      <c r="JI208" s="291"/>
      <c r="JJ208" s="291"/>
      <c r="JK208" s="291"/>
      <c r="JL208" s="291"/>
      <c r="JM208" s="291"/>
      <c r="JN208" s="291"/>
      <c r="JO208" s="291"/>
      <c r="JP208" s="291"/>
      <c r="JQ208" s="291"/>
      <c r="JR208" s="291"/>
      <c r="JS208" s="291"/>
      <c r="JT208" s="291"/>
      <c r="JU208" s="291"/>
      <c r="JV208" s="291"/>
      <c r="JW208" s="291"/>
      <c r="JX208" s="291"/>
      <c r="JY208" s="291"/>
      <c r="JZ208" s="291"/>
      <c r="KA208" s="291"/>
      <c r="KB208" s="291"/>
      <c r="KC208" s="291"/>
      <c r="KD208" s="291"/>
      <c r="KE208" s="291"/>
      <c r="KF208" s="291"/>
      <c r="KG208" s="291"/>
      <c r="KH208" s="291"/>
      <c r="KI208" s="291"/>
      <c r="KJ208" s="291"/>
      <c r="KK208" s="291"/>
      <c r="KL208" s="291"/>
      <c r="KM208" s="291"/>
      <c r="KN208" s="291"/>
      <c r="KO208" s="291"/>
      <c r="KP208" s="291"/>
      <c r="KQ208" s="291"/>
      <c r="KR208" s="291"/>
      <c r="KS208" s="291"/>
      <c r="KT208" s="291"/>
      <c r="KU208" s="291"/>
      <c r="KV208" s="291"/>
      <c r="KW208" s="291"/>
      <c r="KX208" s="291"/>
      <c r="KY208" s="291"/>
      <c r="KZ208" s="291"/>
      <c r="LA208" s="291"/>
      <c r="LB208" s="291"/>
      <c r="LC208" s="291"/>
      <c r="LD208" s="291"/>
      <c r="LE208" s="291"/>
      <c r="LF208" s="291"/>
      <c r="LG208" s="291"/>
      <c r="LH208" s="291"/>
      <c r="LI208" s="291"/>
      <c r="LJ208" s="291"/>
      <c r="LK208" s="291"/>
      <c r="LL208" s="291"/>
      <c r="LM208" s="291"/>
      <c r="LN208" s="291"/>
      <c r="LO208" s="291"/>
      <c r="LP208" s="291"/>
      <c r="LQ208" s="291"/>
      <c r="LR208" s="291"/>
      <c r="LS208" s="291"/>
      <c r="LT208" s="291"/>
      <c r="LU208" s="291"/>
      <c r="LV208" s="291"/>
      <c r="LW208" s="291"/>
      <c r="LX208" s="291"/>
      <c r="LY208" s="291"/>
      <c r="LZ208" s="291"/>
      <c r="MA208" s="291"/>
      <c r="MB208" s="291"/>
      <c r="MC208" s="291"/>
      <c r="MD208" s="291"/>
      <c r="ME208" s="291"/>
      <c r="MF208" s="291"/>
      <c r="MG208" s="291"/>
      <c r="MH208" s="291"/>
      <c r="MI208" s="291"/>
      <c r="MJ208" s="291"/>
      <c r="MK208" s="291"/>
      <c r="ML208" s="291"/>
      <c r="MM208" s="291"/>
      <c r="MN208" s="291"/>
      <c r="MO208" s="291"/>
      <c r="MP208" s="291"/>
      <c r="MQ208" s="291"/>
      <c r="MR208" s="291"/>
      <c r="MS208" s="291"/>
      <c r="MT208" s="291"/>
      <c r="MU208" s="291"/>
      <c r="MV208" s="291"/>
      <c r="MW208" s="291"/>
      <c r="MX208" s="291"/>
      <c r="MY208" s="291"/>
      <c r="MZ208" s="291"/>
      <c r="NA208" s="291"/>
      <c r="NB208" s="291"/>
      <c r="NC208" s="291"/>
      <c r="ND208" s="291"/>
      <c r="NE208" s="291"/>
      <c r="NF208" s="291"/>
      <c r="NG208" s="291"/>
      <c r="NH208" s="291"/>
      <c r="NI208" s="291"/>
      <c r="NJ208" s="291"/>
      <c r="NK208" s="291"/>
      <c r="NL208" s="291"/>
      <c r="NM208" s="291"/>
      <c r="NN208" s="291"/>
      <c r="NO208" s="291"/>
      <c r="NP208" s="291"/>
      <c r="NQ208" s="291"/>
      <c r="NR208" s="291"/>
      <c r="NS208" s="291"/>
      <c r="NT208" s="291"/>
      <c r="NU208" s="291"/>
      <c r="NV208" s="291"/>
      <c r="NW208" s="291"/>
      <c r="NX208" s="291"/>
      <c r="NY208" s="291"/>
      <c r="NZ208" s="291"/>
      <c r="OA208" s="291"/>
      <c r="OB208" s="291"/>
      <c r="OC208" s="291"/>
      <c r="OD208" s="291"/>
      <c r="OE208" s="291"/>
      <c r="OF208" s="291"/>
      <c r="OG208" s="291"/>
      <c r="OH208" s="291"/>
      <c r="OI208" s="291"/>
      <c r="OJ208" s="291"/>
      <c r="OK208" s="291"/>
      <c r="OL208" s="291"/>
      <c r="OM208" s="291"/>
      <c r="ON208" s="291"/>
      <c r="OO208" s="291"/>
      <c r="OP208" s="291"/>
      <c r="OQ208" s="291"/>
      <c r="OR208" s="291"/>
      <c r="OS208" s="291"/>
      <c r="OT208" s="291"/>
      <c r="OU208" s="291"/>
      <c r="OV208" s="291"/>
      <c r="OW208" s="291"/>
    </row>
    <row r="209" spans="1:413" s="257" customFormat="1" hidden="1" x14ac:dyDescent="0.2">
      <c r="A209" s="291"/>
      <c r="B209" s="524">
        <f t="shared" si="11"/>
        <v>193</v>
      </c>
      <c r="C209" s="510" t="s">
        <v>38</v>
      </c>
      <c r="D209" s="511">
        <v>40005794</v>
      </c>
      <c r="E209" s="511"/>
      <c r="F209" s="512" t="s">
        <v>1363</v>
      </c>
      <c r="G209" s="513" t="s">
        <v>46</v>
      </c>
      <c r="H209" s="514" t="s">
        <v>1094</v>
      </c>
      <c r="I209" s="515" t="s">
        <v>1189</v>
      </c>
      <c r="J209" s="346" t="s">
        <v>43</v>
      </c>
      <c r="K209" s="526">
        <v>154996</v>
      </c>
      <c r="L209" s="527">
        <v>0</v>
      </c>
      <c r="M209" s="528">
        <v>120001</v>
      </c>
      <c r="N209" s="520">
        <v>0</v>
      </c>
      <c r="O209" s="520">
        <v>0</v>
      </c>
      <c r="P209" s="520">
        <v>0</v>
      </c>
      <c r="Q209" s="520">
        <v>4885</v>
      </c>
      <c r="R209" s="520">
        <v>0</v>
      </c>
      <c r="S209" s="520">
        <v>0</v>
      </c>
      <c r="T209" s="18"/>
      <c r="U209" s="18"/>
      <c r="V209" s="18"/>
      <c r="W209" s="18"/>
      <c r="X209" s="18"/>
      <c r="Y209" s="18"/>
      <c r="Z209" s="18">
        <f t="shared" ref="Z209:Z246" si="12">SUM(N209:Y209)</f>
        <v>4885</v>
      </c>
      <c r="AA209" s="309">
        <v>34885</v>
      </c>
      <c r="AB209" s="19">
        <v>3</v>
      </c>
      <c r="AC209" s="521">
        <v>44222</v>
      </c>
      <c r="AD209" s="25">
        <v>44225</v>
      </c>
      <c r="AE209" s="309"/>
      <c r="AF209" s="314"/>
      <c r="AG209" s="315"/>
      <c r="AH209" s="316"/>
      <c r="AI209" s="309"/>
      <c r="AJ209" s="338"/>
      <c r="AK209" s="315"/>
      <c r="AL209" s="316"/>
      <c r="AM209" s="309"/>
      <c r="AN209" s="338"/>
      <c r="AO209" s="21"/>
      <c r="AP209" s="25"/>
      <c r="AQ209" s="309"/>
      <c r="AR209" s="19"/>
      <c r="AS209" s="21"/>
      <c r="AT209" s="25"/>
      <c r="AU209" s="522">
        <f t="shared" ref="AU209:AU246" si="13">(AA209+AE209+AI209+AM209+AQ209)</f>
        <v>34885</v>
      </c>
      <c r="AV209" s="311">
        <f t="shared" ref="AV209:AV246" si="14">AU209-Z209</f>
        <v>30000</v>
      </c>
      <c r="AW209" s="305"/>
      <c r="AX209" s="291"/>
      <c r="AY209" s="291"/>
      <c r="AZ209" s="291"/>
      <c r="BA209" s="291"/>
      <c r="BB209" s="291"/>
      <c r="BC209" s="291"/>
      <c r="BD209" s="291"/>
      <c r="BE209" s="291"/>
      <c r="BF209" s="291"/>
      <c r="BG209" s="291"/>
      <c r="BH209" s="291"/>
      <c r="BI209" s="291"/>
      <c r="BJ209" s="291"/>
      <c r="BK209" s="291"/>
      <c r="BL209" s="291"/>
      <c r="BM209" s="291"/>
      <c r="BN209" s="291"/>
      <c r="BO209" s="291"/>
      <c r="BP209" s="291"/>
      <c r="BQ209" s="291"/>
      <c r="BR209" s="291"/>
      <c r="BS209" s="291"/>
      <c r="BT209" s="291"/>
      <c r="BU209" s="291"/>
      <c r="BV209" s="291"/>
      <c r="BW209" s="291"/>
      <c r="BX209" s="291"/>
      <c r="BY209" s="291"/>
      <c r="BZ209" s="291"/>
      <c r="CA209" s="291"/>
      <c r="CB209" s="291"/>
      <c r="CC209" s="291"/>
      <c r="CD209" s="291"/>
      <c r="CE209" s="291"/>
      <c r="CF209" s="291"/>
      <c r="CG209" s="291"/>
      <c r="CH209" s="291"/>
      <c r="CI209" s="291"/>
      <c r="CJ209" s="291"/>
      <c r="CK209" s="291"/>
      <c r="CL209" s="291"/>
      <c r="CM209" s="291"/>
      <c r="CN209" s="291"/>
      <c r="CO209" s="291"/>
      <c r="CP209" s="291"/>
      <c r="CQ209" s="291"/>
      <c r="CR209" s="291"/>
      <c r="CS209" s="291"/>
      <c r="CT209" s="291"/>
      <c r="CU209" s="291"/>
      <c r="CV209" s="291"/>
      <c r="CW209" s="291"/>
      <c r="CX209" s="291"/>
      <c r="CY209" s="291"/>
      <c r="CZ209" s="291"/>
      <c r="DA209" s="291"/>
      <c r="DB209" s="291"/>
      <c r="DC209" s="291"/>
      <c r="DD209" s="291"/>
      <c r="DE209" s="291"/>
      <c r="DF209" s="291"/>
      <c r="DG209" s="291"/>
      <c r="DH209" s="291"/>
      <c r="DI209" s="291"/>
      <c r="DJ209" s="291"/>
      <c r="DK209" s="291"/>
      <c r="DL209" s="291"/>
      <c r="DM209" s="291"/>
      <c r="DN209" s="291"/>
      <c r="DO209" s="291"/>
      <c r="DP209" s="291"/>
      <c r="DQ209" s="291"/>
      <c r="DR209" s="291"/>
      <c r="DS209" s="291"/>
      <c r="DT209" s="291"/>
      <c r="DU209" s="291"/>
      <c r="DV209" s="291"/>
      <c r="DW209" s="291"/>
      <c r="DX209" s="291"/>
      <c r="DY209" s="291"/>
      <c r="DZ209" s="291"/>
      <c r="EA209" s="291"/>
      <c r="EB209" s="291"/>
      <c r="EC209" s="291"/>
      <c r="ED209" s="291"/>
      <c r="EE209" s="291"/>
      <c r="EF209" s="291"/>
      <c r="EG209" s="291"/>
      <c r="EH209" s="291"/>
      <c r="EI209" s="291"/>
      <c r="EJ209" s="291"/>
      <c r="EK209" s="291"/>
      <c r="EL209" s="291"/>
      <c r="EM209" s="291"/>
      <c r="EN209" s="291"/>
      <c r="EO209" s="291"/>
      <c r="EP209" s="291"/>
      <c r="EQ209" s="291"/>
      <c r="ER209" s="291"/>
      <c r="ES209" s="291"/>
      <c r="ET209" s="291"/>
      <c r="EU209" s="291"/>
      <c r="EV209" s="291"/>
      <c r="EW209" s="291"/>
      <c r="EX209" s="291"/>
      <c r="EY209" s="291"/>
      <c r="EZ209" s="291"/>
      <c r="FA209" s="291"/>
      <c r="FB209" s="291"/>
      <c r="FC209" s="291"/>
      <c r="FD209" s="291"/>
      <c r="FE209" s="291"/>
      <c r="FF209" s="291"/>
      <c r="FG209" s="291"/>
      <c r="FH209" s="291"/>
      <c r="FI209" s="291"/>
      <c r="FJ209" s="291"/>
      <c r="FK209" s="291"/>
      <c r="FL209" s="291"/>
      <c r="FM209" s="291"/>
      <c r="FN209" s="291"/>
      <c r="FO209" s="291"/>
      <c r="FP209" s="291"/>
      <c r="FQ209" s="291"/>
      <c r="FR209" s="291"/>
      <c r="FS209" s="291"/>
      <c r="FT209" s="291"/>
      <c r="FU209" s="291"/>
      <c r="FV209" s="291"/>
      <c r="FW209" s="291"/>
      <c r="FX209" s="291"/>
      <c r="FY209" s="291"/>
      <c r="FZ209" s="291"/>
      <c r="GA209" s="291"/>
      <c r="GB209" s="291"/>
      <c r="GC209" s="291"/>
      <c r="GD209" s="291"/>
      <c r="GE209" s="291"/>
      <c r="GF209" s="291"/>
      <c r="GG209" s="291"/>
      <c r="GH209" s="291"/>
      <c r="GI209" s="291"/>
      <c r="GJ209" s="291"/>
      <c r="GK209" s="291"/>
      <c r="GL209" s="291"/>
      <c r="GM209" s="291"/>
      <c r="GN209" s="291"/>
      <c r="GO209" s="291"/>
      <c r="GP209" s="291"/>
      <c r="GQ209" s="291"/>
      <c r="GR209" s="291"/>
      <c r="GS209" s="291"/>
      <c r="GT209" s="291"/>
      <c r="GU209" s="291"/>
      <c r="GV209" s="291"/>
      <c r="GW209" s="291"/>
      <c r="GX209" s="291"/>
      <c r="GY209" s="291"/>
      <c r="GZ209" s="291"/>
      <c r="HA209" s="291"/>
      <c r="HB209" s="291"/>
      <c r="HC209" s="291"/>
      <c r="HD209" s="291"/>
      <c r="HE209" s="291"/>
      <c r="HF209" s="291"/>
      <c r="HG209" s="291"/>
      <c r="HH209" s="291"/>
      <c r="HI209" s="291"/>
      <c r="HJ209" s="291"/>
      <c r="HK209" s="291"/>
      <c r="HL209" s="291"/>
      <c r="HM209" s="291"/>
      <c r="HN209" s="291"/>
      <c r="HO209" s="291"/>
      <c r="HP209" s="291"/>
      <c r="HQ209" s="291"/>
      <c r="HR209" s="291"/>
      <c r="HS209" s="291"/>
      <c r="HT209" s="291"/>
      <c r="HU209" s="291"/>
      <c r="HV209" s="291"/>
      <c r="HW209" s="291"/>
      <c r="HX209" s="291"/>
      <c r="HY209" s="291"/>
      <c r="HZ209" s="291"/>
      <c r="IA209" s="291"/>
      <c r="IB209" s="291"/>
      <c r="IC209" s="291"/>
      <c r="ID209" s="291"/>
      <c r="IE209" s="291"/>
      <c r="IF209" s="291"/>
      <c r="IG209" s="291"/>
      <c r="IH209" s="291"/>
      <c r="II209" s="291"/>
      <c r="IJ209" s="291"/>
      <c r="IK209" s="291"/>
      <c r="IL209" s="291"/>
      <c r="IM209" s="291"/>
      <c r="IN209" s="291"/>
      <c r="IO209" s="291"/>
      <c r="IP209" s="291"/>
      <c r="IQ209" s="291"/>
      <c r="IR209" s="291"/>
      <c r="IS209" s="291"/>
      <c r="IT209" s="291"/>
      <c r="IU209" s="291"/>
      <c r="IV209" s="291"/>
      <c r="IW209" s="291"/>
      <c r="IX209" s="291"/>
      <c r="IY209" s="291"/>
      <c r="IZ209" s="291"/>
      <c r="JA209" s="291"/>
      <c r="JB209" s="291"/>
      <c r="JC209" s="291"/>
      <c r="JD209" s="291"/>
      <c r="JE209" s="291"/>
      <c r="JF209" s="291"/>
      <c r="JG209" s="291"/>
      <c r="JH209" s="291"/>
      <c r="JI209" s="291"/>
      <c r="JJ209" s="291"/>
      <c r="JK209" s="291"/>
      <c r="JL209" s="291"/>
      <c r="JM209" s="291"/>
      <c r="JN209" s="291"/>
      <c r="JO209" s="291"/>
      <c r="JP209" s="291"/>
      <c r="JQ209" s="291"/>
      <c r="JR209" s="291"/>
      <c r="JS209" s="291"/>
      <c r="JT209" s="291"/>
      <c r="JU209" s="291"/>
      <c r="JV209" s="291"/>
      <c r="JW209" s="291"/>
      <c r="JX209" s="291"/>
      <c r="JY209" s="291"/>
      <c r="JZ209" s="291"/>
      <c r="KA209" s="291"/>
      <c r="KB209" s="291"/>
      <c r="KC209" s="291"/>
      <c r="KD209" s="291"/>
      <c r="KE209" s="291"/>
      <c r="KF209" s="291"/>
      <c r="KG209" s="291"/>
      <c r="KH209" s="291"/>
      <c r="KI209" s="291"/>
      <c r="KJ209" s="291"/>
      <c r="KK209" s="291"/>
      <c r="KL209" s="291"/>
      <c r="KM209" s="291"/>
      <c r="KN209" s="291"/>
      <c r="KO209" s="291"/>
      <c r="KP209" s="291"/>
      <c r="KQ209" s="291"/>
      <c r="KR209" s="291"/>
      <c r="KS209" s="291"/>
      <c r="KT209" s="291"/>
      <c r="KU209" s="291"/>
      <c r="KV209" s="291"/>
      <c r="KW209" s="291"/>
      <c r="KX209" s="291"/>
      <c r="KY209" s="291"/>
      <c r="KZ209" s="291"/>
      <c r="LA209" s="291"/>
      <c r="LB209" s="291"/>
      <c r="LC209" s="291"/>
      <c r="LD209" s="291"/>
      <c r="LE209" s="291"/>
      <c r="LF209" s="291"/>
      <c r="LG209" s="291"/>
      <c r="LH209" s="291"/>
      <c r="LI209" s="291"/>
      <c r="LJ209" s="291"/>
      <c r="LK209" s="291"/>
      <c r="LL209" s="291"/>
      <c r="LM209" s="291"/>
      <c r="LN209" s="291"/>
      <c r="LO209" s="291"/>
      <c r="LP209" s="291"/>
      <c r="LQ209" s="291"/>
      <c r="LR209" s="291"/>
      <c r="LS209" s="291"/>
      <c r="LT209" s="291"/>
      <c r="LU209" s="291"/>
      <c r="LV209" s="291"/>
      <c r="LW209" s="291"/>
      <c r="LX209" s="291"/>
      <c r="LY209" s="291"/>
      <c r="LZ209" s="291"/>
      <c r="MA209" s="291"/>
      <c r="MB209" s="291"/>
      <c r="MC209" s="291"/>
      <c r="MD209" s="291"/>
      <c r="ME209" s="291"/>
      <c r="MF209" s="291"/>
      <c r="MG209" s="291"/>
      <c r="MH209" s="291"/>
      <c r="MI209" s="291"/>
      <c r="MJ209" s="291"/>
      <c r="MK209" s="291"/>
      <c r="ML209" s="291"/>
      <c r="MM209" s="291"/>
      <c r="MN209" s="291"/>
      <c r="MO209" s="291"/>
      <c r="MP209" s="291"/>
      <c r="MQ209" s="291"/>
      <c r="MR209" s="291"/>
      <c r="MS209" s="291"/>
      <c r="MT209" s="291"/>
      <c r="MU209" s="291"/>
      <c r="MV209" s="291"/>
      <c r="MW209" s="291"/>
      <c r="MX209" s="291"/>
      <c r="MY209" s="291"/>
      <c r="MZ209" s="291"/>
      <c r="NA209" s="291"/>
      <c r="NB209" s="291"/>
      <c r="NC209" s="291"/>
      <c r="ND209" s="291"/>
      <c r="NE209" s="291"/>
      <c r="NF209" s="291"/>
      <c r="NG209" s="291"/>
      <c r="NH209" s="291"/>
      <c r="NI209" s="291"/>
      <c r="NJ209" s="291"/>
      <c r="NK209" s="291"/>
      <c r="NL209" s="291"/>
      <c r="NM209" s="291"/>
      <c r="NN209" s="291"/>
      <c r="NO209" s="291"/>
      <c r="NP209" s="291"/>
      <c r="NQ209" s="291"/>
      <c r="NR209" s="291"/>
      <c r="NS209" s="291"/>
      <c r="NT209" s="291"/>
      <c r="NU209" s="291"/>
      <c r="NV209" s="291"/>
      <c r="NW209" s="291"/>
      <c r="NX209" s="291"/>
      <c r="NY209" s="291"/>
      <c r="NZ209" s="291"/>
      <c r="OA209" s="291"/>
      <c r="OB209" s="291"/>
      <c r="OC209" s="291"/>
      <c r="OD209" s="291"/>
      <c r="OE209" s="291"/>
      <c r="OF209" s="291"/>
      <c r="OG209" s="291"/>
      <c r="OH209" s="291"/>
      <c r="OI209" s="291"/>
      <c r="OJ209" s="291"/>
      <c r="OK209" s="291"/>
      <c r="OL209" s="291"/>
      <c r="OM209" s="291"/>
      <c r="ON209" s="291"/>
      <c r="OO209" s="291"/>
      <c r="OP209" s="291"/>
      <c r="OQ209" s="291"/>
      <c r="OR209" s="291"/>
      <c r="OS209" s="291"/>
      <c r="OT209" s="291"/>
      <c r="OU209" s="291"/>
      <c r="OV209" s="291"/>
      <c r="OW209" s="291"/>
    </row>
    <row r="210" spans="1:413" s="257" customFormat="1" ht="22.5" hidden="1" x14ac:dyDescent="0.2">
      <c r="A210" s="291"/>
      <c r="B210" s="524">
        <f t="shared" ref="B210:B246" si="15">+B209+1</f>
        <v>194</v>
      </c>
      <c r="C210" s="510" t="s">
        <v>38</v>
      </c>
      <c r="D210" s="511" t="s">
        <v>1364</v>
      </c>
      <c r="E210" s="511"/>
      <c r="F210" s="512" t="s">
        <v>1365</v>
      </c>
      <c r="G210" s="513" t="s">
        <v>897</v>
      </c>
      <c r="H210" s="514" t="s">
        <v>1098</v>
      </c>
      <c r="I210" s="515" t="s">
        <v>1134</v>
      </c>
      <c r="J210" s="346"/>
      <c r="K210" s="526">
        <v>207920</v>
      </c>
      <c r="L210" s="527">
        <v>0</v>
      </c>
      <c r="M210" s="528">
        <v>106940</v>
      </c>
      <c r="N210" s="519">
        <v>0</v>
      </c>
      <c r="O210" s="519">
        <v>0</v>
      </c>
      <c r="P210" s="519">
        <v>0</v>
      </c>
      <c r="Q210" s="519">
        <v>0</v>
      </c>
      <c r="R210" s="519">
        <v>0</v>
      </c>
      <c r="S210" s="520">
        <v>0</v>
      </c>
      <c r="T210" s="18"/>
      <c r="U210" s="18"/>
      <c r="V210" s="18"/>
      <c r="W210" s="18"/>
      <c r="X210" s="18"/>
      <c r="Y210" s="18"/>
      <c r="Z210" s="18">
        <f t="shared" si="12"/>
        <v>0</v>
      </c>
      <c r="AA210" s="309">
        <v>100980</v>
      </c>
      <c r="AB210" s="19">
        <v>50</v>
      </c>
      <c r="AC210" s="521">
        <v>44356</v>
      </c>
      <c r="AD210" s="25">
        <v>44377</v>
      </c>
      <c r="AE210" s="309"/>
      <c r="AF210" s="314"/>
      <c r="AG210" s="315"/>
      <c r="AH210" s="316"/>
      <c r="AI210" s="309"/>
      <c r="AJ210" s="338"/>
      <c r="AK210" s="315"/>
      <c r="AL210" s="316"/>
      <c r="AM210" s="309"/>
      <c r="AN210" s="338"/>
      <c r="AO210" s="21"/>
      <c r="AP210" s="25"/>
      <c r="AQ210" s="309"/>
      <c r="AR210" s="19"/>
      <c r="AS210" s="21"/>
      <c r="AT210" s="25"/>
      <c r="AU210" s="522">
        <f t="shared" si="13"/>
        <v>100980</v>
      </c>
      <c r="AV210" s="311">
        <f t="shared" si="14"/>
        <v>100980</v>
      </c>
      <c r="AW210" s="305"/>
      <c r="AX210" s="291"/>
      <c r="AY210" s="291"/>
      <c r="AZ210" s="291"/>
      <c r="BA210" s="291"/>
      <c r="BB210" s="291"/>
      <c r="BC210" s="291"/>
      <c r="BD210" s="291"/>
      <c r="BE210" s="291"/>
      <c r="BF210" s="291"/>
      <c r="BG210" s="291"/>
      <c r="BH210" s="291"/>
      <c r="BI210" s="291"/>
      <c r="BJ210" s="291"/>
      <c r="BK210" s="291"/>
      <c r="BL210" s="291"/>
      <c r="BM210" s="291"/>
      <c r="BN210" s="291"/>
      <c r="BO210" s="291"/>
      <c r="BP210" s="291"/>
      <c r="BQ210" s="291"/>
      <c r="BR210" s="291"/>
      <c r="BS210" s="291"/>
      <c r="BT210" s="291"/>
      <c r="BU210" s="291"/>
      <c r="BV210" s="291"/>
      <c r="BW210" s="291"/>
      <c r="BX210" s="291"/>
      <c r="BY210" s="291"/>
      <c r="BZ210" s="291"/>
      <c r="CA210" s="291"/>
      <c r="CB210" s="291"/>
      <c r="CC210" s="291"/>
      <c r="CD210" s="291"/>
      <c r="CE210" s="291"/>
      <c r="CF210" s="291"/>
      <c r="CG210" s="291"/>
      <c r="CH210" s="291"/>
      <c r="CI210" s="291"/>
      <c r="CJ210" s="291"/>
      <c r="CK210" s="291"/>
      <c r="CL210" s="291"/>
      <c r="CM210" s="291"/>
      <c r="CN210" s="291"/>
      <c r="CO210" s="291"/>
      <c r="CP210" s="291"/>
      <c r="CQ210" s="291"/>
      <c r="CR210" s="291"/>
      <c r="CS210" s="291"/>
      <c r="CT210" s="291"/>
      <c r="CU210" s="291"/>
      <c r="CV210" s="291"/>
      <c r="CW210" s="291"/>
      <c r="CX210" s="291"/>
      <c r="CY210" s="291"/>
      <c r="CZ210" s="291"/>
      <c r="DA210" s="291"/>
      <c r="DB210" s="291"/>
      <c r="DC210" s="291"/>
      <c r="DD210" s="291"/>
      <c r="DE210" s="291"/>
      <c r="DF210" s="291"/>
      <c r="DG210" s="291"/>
      <c r="DH210" s="291"/>
      <c r="DI210" s="291"/>
      <c r="DJ210" s="291"/>
      <c r="DK210" s="291"/>
      <c r="DL210" s="291"/>
      <c r="DM210" s="291"/>
      <c r="DN210" s="291"/>
      <c r="DO210" s="291"/>
      <c r="DP210" s="291"/>
      <c r="DQ210" s="291"/>
      <c r="DR210" s="291"/>
      <c r="DS210" s="291"/>
      <c r="DT210" s="291"/>
      <c r="DU210" s="291"/>
      <c r="DV210" s="291"/>
      <c r="DW210" s="291"/>
      <c r="DX210" s="291"/>
      <c r="DY210" s="291"/>
      <c r="DZ210" s="291"/>
      <c r="EA210" s="291"/>
      <c r="EB210" s="291"/>
      <c r="EC210" s="291"/>
      <c r="ED210" s="291"/>
      <c r="EE210" s="291"/>
      <c r="EF210" s="291"/>
      <c r="EG210" s="291"/>
      <c r="EH210" s="291"/>
      <c r="EI210" s="291"/>
      <c r="EJ210" s="291"/>
      <c r="EK210" s="291"/>
      <c r="EL210" s="291"/>
      <c r="EM210" s="291"/>
      <c r="EN210" s="291"/>
      <c r="EO210" s="291"/>
      <c r="EP210" s="291"/>
      <c r="EQ210" s="291"/>
      <c r="ER210" s="291"/>
      <c r="ES210" s="291"/>
      <c r="ET210" s="291"/>
      <c r="EU210" s="291"/>
      <c r="EV210" s="291"/>
      <c r="EW210" s="291"/>
      <c r="EX210" s="291"/>
      <c r="EY210" s="291"/>
      <c r="EZ210" s="291"/>
      <c r="FA210" s="291"/>
      <c r="FB210" s="291"/>
      <c r="FC210" s="291"/>
      <c r="FD210" s="291"/>
      <c r="FE210" s="291"/>
      <c r="FF210" s="291"/>
      <c r="FG210" s="291"/>
      <c r="FH210" s="291"/>
      <c r="FI210" s="291"/>
      <c r="FJ210" s="291"/>
      <c r="FK210" s="291"/>
      <c r="FL210" s="291"/>
      <c r="FM210" s="291"/>
      <c r="FN210" s="291"/>
      <c r="FO210" s="291"/>
      <c r="FP210" s="291"/>
      <c r="FQ210" s="291"/>
      <c r="FR210" s="291"/>
      <c r="FS210" s="291"/>
      <c r="FT210" s="291"/>
      <c r="FU210" s="291"/>
      <c r="FV210" s="291"/>
      <c r="FW210" s="291"/>
      <c r="FX210" s="291"/>
      <c r="FY210" s="291"/>
      <c r="FZ210" s="291"/>
      <c r="GA210" s="291"/>
      <c r="GB210" s="291"/>
      <c r="GC210" s="291"/>
      <c r="GD210" s="291"/>
      <c r="GE210" s="291"/>
      <c r="GF210" s="291"/>
      <c r="GG210" s="291"/>
      <c r="GH210" s="291"/>
      <c r="GI210" s="291"/>
      <c r="GJ210" s="291"/>
      <c r="GK210" s="291"/>
      <c r="GL210" s="291"/>
      <c r="GM210" s="291"/>
      <c r="GN210" s="291"/>
      <c r="GO210" s="291"/>
      <c r="GP210" s="291"/>
      <c r="GQ210" s="291"/>
      <c r="GR210" s="291"/>
      <c r="GS210" s="291"/>
      <c r="GT210" s="291"/>
      <c r="GU210" s="291"/>
      <c r="GV210" s="291"/>
      <c r="GW210" s="291"/>
      <c r="GX210" s="291"/>
      <c r="GY210" s="291"/>
      <c r="GZ210" s="291"/>
      <c r="HA210" s="291"/>
      <c r="HB210" s="291"/>
      <c r="HC210" s="291"/>
      <c r="HD210" s="291"/>
      <c r="HE210" s="291"/>
      <c r="HF210" s="291"/>
      <c r="HG210" s="291"/>
      <c r="HH210" s="291"/>
      <c r="HI210" s="291"/>
      <c r="HJ210" s="291"/>
      <c r="HK210" s="291"/>
      <c r="HL210" s="291"/>
      <c r="HM210" s="291"/>
      <c r="HN210" s="291"/>
      <c r="HO210" s="291"/>
      <c r="HP210" s="291"/>
      <c r="HQ210" s="291"/>
      <c r="HR210" s="291"/>
      <c r="HS210" s="291"/>
      <c r="HT210" s="291"/>
      <c r="HU210" s="291"/>
      <c r="HV210" s="291"/>
      <c r="HW210" s="291"/>
      <c r="HX210" s="291"/>
      <c r="HY210" s="291"/>
      <c r="HZ210" s="291"/>
      <c r="IA210" s="291"/>
      <c r="IB210" s="291"/>
      <c r="IC210" s="291"/>
      <c r="ID210" s="291"/>
      <c r="IE210" s="291"/>
      <c r="IF210" s="291"/>
      <c r="IG210" s="291"/>
      <c r="IH210" s="291"/>
      <c r="II210" s="291"/>
      <c r="IJ210" s="291"/>
      <c r="IK210" s="291"/>
      <c r="IL210" s="291"/>
      <c r="IM210" s="291"/>
      <c r="IN210" s="291"/>
      <c r="IO210" s="291"/>
      <c r="IP210" s="291"/>
      <c r="IQ210" s="291"/>
      <c r="IR210" s="291"/>
      <c r="IS210" s="291"/>
      <c r="IT210" s="291"/>
      <c r="IU210" s="291"/>
      <c r="IV210" s="291"/>
      <c r="IW210" s="291"/>
      <c r="IX210" s="291"/>
      <c r="IY210" s="291"/>
      <c r="IZ210" s="291"/>
      <c r="JA210" s="291"/>
      <c r="JB210" s="291"/>
      <c r="JC210" s="291"/>
      <c r="JD210" s="291"/>
      <c r="JE210" s="291"/>
      <c r="JF210" s="291"/>
      <c r="JG210" s="291"/>
      <c r="JH210" s="291"/>
      <c r="JI210" s="291"/>
      <c r="JJ210" s="291"/>
      <c r="JK210" s="291"/>
      <c r="JL210" s="291"/>
      <c r="JM210" s="291"/>
      <c r="JN210" s="291"/>
      <c r="JO210" s="291"/>
      <c r="JP210" s="291"/>
      <c r="JQ210" s="291"/>
      <c r="JR210" s="291"/>
      <c r="JS210" s="291"/>
      <c r="JT210" s="291"/>
      <c r="JU210" s="291"/>
      <c r="JV210" s="291"/>
      <c r="JW210" s="291"/>
      <c r="JX210" s="291"/>
      <c r="JY210" s="291"/>
      <c r="JZ210" s="291"/>
      <c r="KA210" s="291"/>
      <c r="KB210" s="291"/>
      <c r="KC210" s="291"/>
      <c r="KD210" s="291"/>
      <c r="KE210" s="291"/>
      <c r="KF210" s="291"/>
      <c r="KG210" s="291"/>
      <c r="KH210" s="291"/>
      <c r="KI210" s="291"/>
      <c r="KJ210" s="291"/>
      <c r="KK210" s="291"/>
      <c r="KL210" s="291"/>
      <c r="KM210" s="291"/>
      <c r="KN210" s="291"/>
      <c r="KO210" s="291"/>
      <c r="KP210" s="291"/>
      <c r="KQ210" s="291"/>
      <c r="KR210" s="291"/>
      <c r="KS210" s="291"/>
      <c r="KT210" s="291"/>
      <c r="KU210" s="291"/>
      <c r="KV210" s="291"/>
      <c r="KW210" s="291"/>
      <c r="KX210" s="291"/>
      <c r="KY210" s="291"/>
      <c r="KZ210" s="291"/>
      <c r="LA210" s="291"/>
      <c r="LB210" s="291"/>
      <c r="LC210" s="291"/>
      <c r="LD210" s="291"/>
      <c r="LE210" s="291"/>
      <c r="LF210" s="291"/>
      <c r="LG210" s="291"/>
      <c r="LH210" s="291"/>
      <c r="LI210" s="291"/>
      <c r="LJ210" s="291"/>
      <c r="LK210" s="291"/>
      <c r="LL210" s="291"/>
      <c r="LM210" s="291"/>
      <c r="LN210" s="291"/>
      <c r="LO210" s="291"/>
      <c r="LP210" s="291"/>
      <c r="LQ210" s="291"/>
      <c r="LR210" s="291"/>
      <c r="LS210" s="291"/>
      <c r="LT210" s="291"/>
      <c r="LU210" s="291"/>
      <c r="LV210" s="291"/>
      <c r="LW210" s="291"/>
      <c r="LX210" s="291"/>
      <c r="LY210" s="291"/>
      <c r="LZ210" s="291"/>
      <c r="MA210" s="291"/>
      <c r="MB210" s="291"/>
      <c r="MC210" s="291"/>
      <c r="MD210" s="291"/>
      <c r="ME210" s="291"/>
      <c r="MF210" s="291"/>
      <c r="MG210" s="291"/>
      <c r="MH210" s="291"/>
      <c r="MI210" s="291"/>
      <c r="MJ210" s="291"/>
      <c r="MK210" s="291"/>
      <c r="ML210" s="291"/>
      <c r="MM210" s="291"/>
      <c r="MN210" s="291"/>
      <c r="MO210" s="291"/>
      <c r="MP210" s="291"/>
      <c r="MQ210" s="291"/>
      <c r="MR210" s="291"/>
      <c r="MS210" s="291"/>
      <c r="MT210" s="291"/>
      <c r="MU210" s="291"/>
      <c r="MV210" s="291"/>
      <c r="MW210" s="291"/>
      <c r="MX210" s="291"/>
      <c r="MY210" s="291"/>
      <c r="MZ210" s="291"/>
      <c r="NA210" s="291"/>
      <c r="NB210" s="291"/>
      <c r="NC210" s="291"/>
      <c r="ND210" s="291"/>
      <c r="NE210" s="291"/>
      <c r="NF210" s="291"/>
      <c r="NG210" s="291"/>
      <c r="NH210" s="291"/>
      <c r="NI210" s="291"/>
      <c r="NJ210" s="291"/>
      <c r="NK210" s="291"/>
      <c r="NL210" s="291"/>
      <c r="NM210" s="291"/>
      <c r="NN210" s="291"/>
      <c r="NO210" s="291"/>
      <c r="NP210" s="291"/>
      <c r="NQ210" s="291"/>
      <c r="NR210" s="291"/>
      <c r="NS210" s="291"/>
      <c r="NT210" s="291"/>
      <c r="NU210" s="291"/>
      <c r="NV210" s="291"/>
      <c r="NW210" s="291"/>
      <c r="NX210" s="291"/>
      <c r="NY210" s="291"/>
      <c r="NZ210" s="291"/>
      <c r="OA210" s="291"/>
      <c r="OB210" s="291"/>
      <c r="OC210" s="291"/>
      <c r="OD210" s="291"/>
      <c r="OE210" s="291"/>
      <c r="OF210" s="291"/>
      <c r="OG210" s="291"/>
      <c r="OH210" s="291"/>
      <c r="OI210" s="291"/>
      <c r="OJ210" s="291"/>
      <c r="OK210" s="291"/>
      <c r="OL210" s="291"/>
      <c r="OM210" s="291"/>
      <c r="ON210" s="291"/>
      <c r="OO210" s="291"/>
      <c r="OP210" s="291"/>
      <c r="OQ210" s="291"/>
      <c r="OR210" s="291"/>
      <c r="OS210" s="291"/>
      <c r="OT210" s="291"/>
      <c r="OU210" s="291"/>
      <c r="OV210" s="291"/>
      <c r="OW210" s="291"/>
    </row>
    <row r="211" spans="1:413" s="257" customFormat="1" hidden="1" x14ac:dyDescent="0.2">
      <c r="A211" s="291"/>
      <c r="B211" s="524">
        <f t="shared" si="15"/>
        <v>195</v>
      </c>
      <c r="C211" s="510" t="s">
        <v>38</v>
      </c>
      <c r="D211" s="511" t="s">
        <v>1366</v>
      </c>
      <c r="E211" s="511"/>
      <c r="F211" s="512" t="s">
        <v>1367</v>
      </c>
      <c r="G211" s="513" t="s">
        <v>897</v>
      </c>
      <c r="H211" s="514" t="s">
        <v>1098</v>
      </c>
      <c r="I211" s="515" t="s">
        <v>1134</v>
      </c>
      <c r="J211" s="346"/>
      <c r="K211" s="526">
        <v>196663</v>
      </c>
      <c r="L211" s="527">
        <v>0</v>
      </c>
      <c r="M211" s="528">
        <v>91987</v>
      </c>
      <c r="N211" s="519">
        <v>0</v>
      </c>
      <c r="O211" s="519">
        <v>0</v>
      </c>
      <c r="P211" s="519">
        <v>0</v>
      </c>
      <c r="Q211" s="519">
        <v>0</v>
      </c>
      <c r="R211" s="519">
        <v>0</v>
      </c>
      <c r="S211" s="520">
        <v>0</v>
      </c>
      <c r="T211" s="18"/>
      <c r="U211" s="18"/>
      <c r="V211" s="18"/>
      <c r="W211" s="18"/>
      <c r="X211" s="18"/>
      <c r="Y211" s="18"/>
      <c r="Z211" s="18">
        <f t="shared" si="12"/>
        <v>0</v>
      </c>
      <c r="AA211" s="309">
        <v>104676</v>
      </c>
      <c r="AB211" s="19">
        <v>50</v>
      </c>
      <c r="AC211" s="521">
        <v>44356</v>
      </c>
      <c r="AD211" s="25">
        <v>44377</v>
      </c>
      <c r="AE211" s="309"/>
      <c r="AF211" s="314"/>
      <c r="AG211" s="315"/>
      <c r="AH211" s="316"/>
      <c r="AI211" s="309"/>
      <c r="AJ211" s="338"/>
      <c r="AK211" s="315"/>
      <c r="AL211" s="316"/>
      <c r="AM211" s="309"/>
      <c r="AN211" s="338"/>
      <c r="AO211" s="21"/>
      <c r="AP211" s="25"/>
      <c r="AQ211" s="309"/>
      <c r="AR211" s="19"/>
      <c r="AS211" s="21"/>
      <c r="AT211" s="25"/>
      <c r="AU211" s="522">
        <f t="shared" si="13"/>
        <v>104676</v>
      </c>
      <c r="AV211" s="311">
        <f t="shared" si="14"/>
        <v>104676</v>
      </c>
      <c r="AW211" s="305"/>
      <c r="AX211" s="291"/>
      <c r="AY211" s="291"/>
      <c r="AZ211" s="291"/>
      <c r="BA211" s="291"/>
      <c r="BB211" s="291"/>
      <c r="BC211" s="291"/>
      <c r="BD211" s="291"/>
      <c r="BE211" s="291"/>
      <c r="BF211" s="291"/>
      <c r="BG211" s="291"/>
      <c r="BH211" s="291"/>
      <c r="BI211" s="291"/>
      <c r="BJ211" s="291"/>
      <c r="BK211" s="291"/>
      <c r="BL211" s="291"/>
      <c r="BM211" s="291"/>
      <c r="BN211" s="291"/>
      <c r="BO211" s="291"/>
      <c r="BP211" s="291"/>
      <c r="BQ211" s="291"/>
      <c r="BR211" s="291"/>
      <c r="BS211" s="291"/>
      <c r="BT211" s="291"/>
      <c r="BU211" s="291"/>
      <c r="BV211" s="291"/>
      <c r="BW211" s="291"/>
      <c r="BX211" s="291"/>
      <c r="BY211" s="291"/>
      <c r="BZ211" s="291"/>
      <c r="CA211" s="291"/>
      <c r="CB211" s="291"/>
      <c r="CC211" s="291"/>
      <c r="CD211" s="291"/>
      <c r="CE211" s="291"/>
      <c r="CF211" s="291"/>
      <c r="CG211" s="291"/>
      <c r="CH211" s="291"/>
      <c r="CI211" s="291"/>
      <c r="CJ211" s="291"/>
      <c r="CK211" s="291"/>
      <c r="CL211" s="291"/>
      <c r="CM211" s="291"/>
      <c r="CN211" s="291"/>
      <c r="CO211" s="291"/>
      <c r="CP211" s="291"/>
      <c r="CQ211" s="291"/>
      <c r="CR211" s="291"/>
      <c r="CS211" s="291"/>
      <c r="CT211" s="291"/>
      <c r="CU211" s="291"/>
      <c r="CV211" s="291"/>
      <c r="CW211" s="291"/>
      <c r="CX211" s="291"/>
      <c r="CY211" s="291"/>
      <c r="CZ211" s="291"/>
      <c r="DA211" s="291"/>
      <c r="DB211" s="291"/>
      <c r="DC211" s="291"/>
      <c r="DD211" s="291"/>
      <c r="DE211" s="291"/>
      <c r="DF211" s="291"/>
      <c r="DG211" s="291"/>
      <c r="DH211" s="291"/>
      <c r="DI211" s="291"/>
      <c r="DJ211" s="291"/>
      <c r="DK211" s="291"/>
      <c r="DL211" s="291"/>
      <c r="DM211" s="291"/>
      <c r="DN211" s="291"/>
      <c r="DO211" s="291"/>
      <c r="DP211" s="291"/>
      <c r="DQ211" s="291"/>
      <c r="DR211" s="291"/>
      <c r="DS211" s="291"/>
      <c r="DT211" s="291"/>
      <c r="DU211" s="291"/>
      <c r="DV211" s="291"/>
      <c r="DW211" s="291"/>
      <c r="DX211" s="291"/>
      <c r="DY211" s="291"/>
      <c r="DZ211" s="291"/>
      <c r="EA211" s="291"/>
      <c r="EB211" s="291"/>
      <c r="EC211" s="291"/>
      <c r="ED211" s="291"/>
      <c r="EE211" s="291"/>
      <c r="EF211" s="291"/>
      <c r="EG211" s="291"/>
      <c r="EH211" s="291"/>
      <c r="EI211" s="291"/>
      <c r="EJ211" s="291"/>
      <c r="EK211" s="291"/>
      <c r="EL211" s="291"/>
      <c r="EM211" s="291"/>
      <c r="EN211" s="291"/>
      <c r="EO211" s="291"/>
      <c r="EP211" s="291"/>
      <c r="EQ211" s="291"/>
      <c r="ER211" s="291"/>
      <c r="ES211" s="291"/>
      <c r="ET211" s="291"/>
      <c r="EU211" s="291"/>
      <c r="EV211" s="291"/>
      <c r="EW211" s="291"/>
      <c r="EX211" s="291"/>
      <c r="EY211" s="291"/>
      <c r="EZ211" s="291"/>
      <c r="FA211" s="291"/>
      <c r="FB211" s="291"/>
      <c r="FC211" s="291"/>
      <c r="FD211" s="291"/>
      <c r="FE211" s="291"/>
      <c r="FF211" s="291"/>
      <c r="FG211" s="291"/>
      <c r="FH211" s="291"/>
      <c r="FI211" s="291"/>
      <c r="FJ211" s="291"/>
      <c r="FK211" s="291"/>
      <c r="FL211" s="291"/>
      <c r="FM211" s="291"/>
      <c r="FN211" s="291"/>
      <c r="FO211" s="291"/>
      <c r="FP211" s="291"/>
      <c r="FQ211" s="291"/>
      <c r="FR211" s="291"/>
      <c r="FS211" s="291"/>
      <c r="FT211" s="291"/>
      <c r="FU211" s="291"/>
      <c r="FV211" s="291"/>
      <c r="FW211" s="291"/>
      <c r="FX211" s="291"/>
      <c r="FY211" s="291"/>
      <c r="FZ211" s="291"/>
      <c r="GA211" s="291"/>
      <c r="GB211" s="291"/>
      <c r="GC211" s="291"/>
      <c r="GD211" s="291"/>
      <c r="GE211" s="291"/>
      <c r="GF211" s="291"/>
      <c r="GG211" s="291"/>
      <c r="GH211" s="291"/>
      <c r="GI211" s="291"/>
      <c r="GJ211" s="291"/>
      <c r="GK211" s="291"/>
      <c r="GL211" s="291"/>
      <c r="GM211" s="291"/>
      <c r="GN211" s="291"/>
      <c r="GO211" s="291"/>
      <c r="GP211" s="291"/>
      <c r="GQ211" s="291"/>
      <c r="GR211" s="291"/>
      <c r="GS211" s="291"/>
      <c r="GT211" s="291"/>
      <c r="GU211" s="291"/>
      <c r="GV211" s="291"/>
      <c r="GW211" s="291"/>
      <c r="GX211" s="291"/>
      <c r="GY211" s="291"/>
      <c r="GZ211" s="291"/>
      <c r="HA211" s="291"/>
      <c r="HB211" s="291"/>
      <c r="HC211" s="291"/>
      <c r="HD211" s="291"/>
      <c r="HE211" s="291"/>
      <c r="HF211" s="291"/>
      <c r="HG211" s="291"/>
      <c r="HH211" s="291"/>
      <c r="HI211" s="291"/>
      <c r="HJ211" s="291"/>
      <c r="HK211" s="291"/>
      <c r="HL211" s="291"/>
      <c r="HM211" s="291"/>
      <c r="HN211" s="291"/>
      <c r="HO211" s="291"/>
      <c r="HP211" s="291"/>
      <c r="HQ211" s="291"/>
      <c r="HR211" s="291"/>
      <c r="HS211" s="291"/>
      <c r="HT211" s="291"/>
      <c r="HU211" s="291"/>
      <c r="HV211" s="291"/>
      <c r="HW211" s="291"/>
      <c r="HX211" s="291"/>
      <c r="HY211" s="291"/>
      <c r="HZ211" s="291"/>
      <c r="IA211" s="291"/>
      <c r="IB211" s="291"/>
      <c r="IC211" s="291"/>
      <c r="ID211" s="291"/>
      <c r="IE211" s="291"/>
      <c r="IF211" s="291"/>
      <c r="IG211" s="291"/>
      <c r="IH211" s="291"/>
      <c r="II211" s="291"/>
      <c r="IJ211" s="291"/>
      <c r="IK211" s="291"/>
      <c r="IL211" s="291"/>
      <c r="IM211" s="291"/>
      <c r="IN211" s="291"/>
      <c r="IO211" s="291"/>
      <c r="IP211" s="291"/>
      <c r="IQ211" s="291"/>
      <c r="IR211" s="291"/>
      <c r="IS211" s="291"/>
      <c r="IT211" s="291"/>
      <c r="IU211" s="291"/>
      <c r="IV211" s="291"/>
      <c r="IW211" s="291"/>
      <c r="IX211" s="291"/>
      <c r="IY211" s="291"/>
      <c r="IZ211" s="291"/>
      <c r="JA211" s="291"/>
      <c r="JB211" s="291"/>
      <c r="JC211" s="291"/>
      <c r="JD211" s="291"/>
      <c r="JE211" s="291"/>
      <c r="JF211" s="291"/>
      <c r="JG211" s="291"/>
      <c r="JH211" s="291"/>
      <c r="JI211" s="291"/>
      <c r="JJ211" s="291"/>
      <c r="JK211" s="291"/>
      <c r="JL211" s="291"/>
      <c r="JM211" s="291"/>
      <c r="JN211" s="291"/>
      <c r="JO211" s="291"/>
      <c r="JP211" s="291"/>
      <c r="JQ211" s="291"/>
      <c r="JR211" s="291"/>
      <c r="JS211" s="291"/>
      <c r="JT211" s="291"/>
      <c r="JU211" s="291"/>
      <c r="JV211" s="291"/>
      <c r="JW211" s="291"/>
      <c r="JX211" s="291"/>
      <c r="JY211" s="291"/>
      <c r="JZ211" s="291"/>
      <c r="KA211" s="291"/>
      <c r="KB211" s="291"/>
      <c r="KC211" s="291"/>
      <c r="KD211" s="291"/>
      <c r="KE211" s="291"/>
      <c r="KF211" s="291"/>
      <c r="KG211" s="291"/>
      <c r="KH211" s="291"/>
      <c r="KI211" s="291"/>
      <c r="KJ211" s="291"/>
      <c r="KK211" s="291"/>
      <c r="KL211" s="291"/>
      <c r="KM211" s="291"/>
      <c r="KN211" s="291"/>
      <c r="KO211" s="291"/>
      <c r="KP211" s="291"/>
      <c r="KQ211" s="291"/>
      <c r="KR211" s="291"/>
      <c r="KS211" s="291"/>
      <c r="KT211" s="291"/>
      <c r="KU211" s="291"/>
      <c r="KV211" s="291"/>
      <c r="KW211" s="291"/>
      <c r="KX211" s="291"/>
      <c r="KY211" s="291"/>
      <c r="KZ211" s="291"/>
      <c r="LA211" s="291"/>
      <c r="LB211" s="291"/>
      <c r="LC211" s="291"/>
      <c r="LD211" s="291"/>
      <c r="LE211" s="291"/>
      <c r="LF211" s="291"/>
      <c r="LG211" s="291"/>
      <c r="LH211" s="291"/>
      <c r="LI211" s="291"/>
      <c r="LJ211" s="291"/>
      <c r="LK211" s="291"/>
      <c r="LL211" s="291"/>
      <c r="LM211" s="291"/>
      <c r="LN211" s="291"/>
      <c r="LO211" s="291"/>
      <c r="LP211" s="291"/>
      <c r="LQ211" s="291"/>
      <c r="LR211" s="291"/>
      <c r="LS211" s="291"/>
      <c r="LT211" s="291"/>
      <c r="LU211" s="291"/>
      <c r="LV211" s="291"/>
      <c r="LW211" s="291"/>
      <c r="LX211" s="291"/>
      <c r="LY211" s="291"/>
      <c r="LZ211" s="291"/>
      <c r="MA211" s="291"/>
      <c r="MB211" s="291"/>
      <c r="MC211" s="291"/>
      <c r="MD211" s="291"/>
      <c r="ME211" s="291"/>
      <c r="MF211" s="291"/>
      <c r="MG211" s="291"/>
      <c r="MH211" s="291"/>
      <c r="MI211" s="291"/>
      <c r="MJ211" s="291"/>
      <c r="MK211" s="291"/>
      <c r="ML211" s="291"/>
      <c r="MM211" s="291"/>
      <c r="MN211" s="291"/>
      <c r="MO211" s="291"/>
      <c r="MP211" s="291"/>
      <c r="MQ211" s="291"/>
      <c r="MR211" s="291"/>
      <c r="MS211" s="291"/>
      <c r="MT211" s="291"/>
      <c r="MU211" s="291"/>
      <c r="MV211" s="291"/>
      <c r="MW211" s="291"/>
      <c r="MX211" s="291"/>
      <c r="MY211" s="291"/>
      <c r="MZ211" s="291"/>
      <c r="NA211" s="291"/>
      <c r="NB211" s="291"/>
      <c r="NC211" s="291"/>
      <c r="ND211" s="291"/>
      <c r="NE211" s="291"/>
      <c r="NF211" s="291"/>
      <c r="NG211" s="291"/>
      <c r="NH211" s="291"/>
      <c r="NI211" s="291"/>
      <c r="NJ211" s="291"/>
      <c r="NK211" s="291"/>
      <c r="NL211" s="291"/>
      <c r="NM211" s="291"/>
      <c r="NN211" s="291"/>
      <c r="NO211" s="291"/>
      <c r="NP211" s="291"/>
      <c r="NQ211" s="291"/>
      <c r="NR211" s="291"/>
      <c r="NS211" s="291"/>
      <c r="NT211" s="291"/>
      <c r="NU211" s="291"/>
      <c r="NV211" s="291"/>
      <c r="NW211" s="291"/>
      <c r="NX211" s="291"/>
      <c r="NY211" s="291"/>
      <c r="NZ211" s="291"/>
      <c r="OA211" s="291"/>
      <c r="OB211" s="291"/>
      <c r="OC211" s="291"/>
      <c r="OD211" s="291"/>
      <c r="OE211" s="291"/>
      <c r="OF211" s="291"/>
      <c r="OG211" s="291"/>
      <c r="OH211" s="291"/>
      <c r="OI211" s="291"/>
      <c r="OJ211" s="291"/>
      <c r="OK211" s="291"/>
      <c r="OL211" s="291"/>
      <c r="OM211" s="291"/>
      <c r="ON211" s="291"/>
      <c r="OO211" s="291"/>
      <c r="OP211" s="291"/>
      <c r="OQ211" s="291"/>
      <c r="OR211" s="291"/>
      <c r="OS211" s="291"/>
      <c r="OT211" s="291"/>
      <c r="OU211" s="291"/>
      <c r="OV211" s="291"/>
      <c r="OW211" s="291"/>
    </row>
    <row r="212" spans="1:413" s="257" customFormat="1" hidden="1" x14ac:dyDescent="0.2">
      <c r="A212" s="291"/>
      <c r="B212" s="524">
        <f t="shared" si="15"/>
        <v>196</v>
      </c>
      <c r="C212" s="510" t="s">
        <v>40</v>
      </c>
      <c r="D212" s="511" t="s">
        <v>1368</v>
      </c>
      <c r="E212" s="511"/>
      <c r="F212" s="512" t="s">
        <v>1369</v>
      </c>
      <c r="G212" s="513" t="s">
        <v>45</v>
      </c>
      <c r="H212" s="514" t="s">
        <v>1098</v>
      </c>
      <c r="I212" s="515" t="s">
        <v>1293</v>
      </c>
      <c r="J212" s="346"/>
      <c r="K212" s="526">
        <v>260737</v>
      </c>
      <c r="L212" s="527">
        <v>0</v>
      </c>
      <c r="M212" s="528">
        <v>257736</v>
      </c>
      <c r="N212" s="519">
        <v>0</v>
      </c>
      <c r="O212" s="519">
        <v>0</v>
      </c>
      <c r="P212" s="519">
        <v>0</v>
      </c>
      <c r="Q212" s="519">
        <v>0</v>
      </c>
      <c r="R212" s="519">
        <v>0</v>
      </c>
      <c r="S212" s="520">
        <v>0</v>
      </c>
      <c r="T212" s="18"/>
      <c r="U212" s="18"/>
      <c r="V212" s="18"/>
      <c r="W212" s="18"/>
      <c r="X212" s="18"/>
      <c r="Y212" s="18"/>
      <c r="Z212" s="18">
        <f t="shared" si="12"/>
        <v>0</v>
      </c>
      <c r="AA212" s="309">
        <v>3001</v>
      </c>
      <c r="AB212" s="19">
        <v>39</v>
      </c>
      <c r="AC212" s="521">
        <v>44334</v>
      </c>
      <c r="AD212" s="25">
        <v>44342</v>
      </c>
      <c r="AE212" s="309"/>
      <c r="AF212" s="314"/>
      <c r="AG212" s="315"/>
      <c r="AH212" s="316"/>
      <c r="AI212" s="309"/>
      <c r="AJ212" s="338"/>
      <c r="AK212" s="315"/>
      <c r="AL212" s="316"/>
      <c r="AM212" s="309"/>
      <c r="AN212" s="338"/>
      <c r="AO212" s="21"/>
      <c r="AP212" s="25"/>
      <c r="AQ212" s="309"/>
      <c r="AR212" s="19"/>
      <c r="AS212" s="21"/>
      <c r="AT212" s="25"/>
      <c r="AU212" s="522">
        <f t="shared" si="13"/>
        <v>3001</v>
      </c>
      <c r="AV212" s="311">
        <f t="shared" si="14"/>
        <v>3001</v>
      </c>
      <c r="AW212" s="305"/>
      <c r="AX212" s="291"/>
      <c r="AY212" s="291"/>
      <c r="AZ212" s="291"/>
      <c r="BA212" s="291"/>
      <c r="BB212" s="291"/>
      <c r="BC212" s="291"/>
      <c r="BD212" s="291"/>
      <c r="BE212" s="291"/>
      <c r="BF212" s="291"/>
      <c r="BG212" s="291"/>
      <c r="BH212" s="291"/>
      <c r="BI212" s="291"/>
      <c r="BJ212" s="291"/>
      <c r="BK212" s="291"/>
      <c r="BL212" s="291"/>
      <c r="BM212" s="291"/>
      <c r="BN212" s="291"/>
      <c r="BO212" s="291"/>
      <c r="BP212" s="291"/>
      <c r="BQ212" s="291"/>
      <c r="BR212" s="291"/>
      <c r="BS212" s="291"/>
      <c r="BT212" s="291"/>
      <c r="BU212" s="291"/>
      <c r="BV212" s="291"/>
      <c r="BW212" s="291"/>
      <c r="BX212" s="291"/>
      <c r="BY212" s="291"/>
      <c r="BZ212" s="291"/>
      <c r="CA212" s="291"/>
      <c r="CB212" s="291"/>
      <c r="CC212" s="291"/>
      <c r="CD212" s="291"/>
      <c r="CE212" s="291"/>
      <c r="CF212" s="291"/>
      <c r="CG212" s="291"/>
      <c r="CH212" s="291"/>
      <c r="CI212" s="291"/>
      <c r="CJ212" s="291"/>
      <c r="CK212" s="291"/>
      <c r="CL212" s="291"/>
      <c r="CM212" s="291"/>
      <c r="CN212" s="291"/>
      <c r="CO212" s="291"/>
      <c r="CP212" s="291"/>
      <c r="CQ212" s="291"/>
      <c r="CR212" s="291"/>
      <c r="CS212" s="291"/>
      <c r="CT212" s="291"/>
      <c r="CU212" s="291"/>
      <c r="CV212" s="291"/>
      <c r="CW212" s="291"/>
      <c r="CX212" s="291"/>
      <c r="CY212" s="291"/>
      <c r="CZ212" s="291"/>
      <c r="DA212" s="291"/>
      <c r="DB212" s="291"/>
      <c r="DC212" s="291"/>
      <c r="DD212" s="291"/>
      <c r="DE212" s="291"/>
      <c r="DF212" s="291"/>
      <c r="DG212" s="291"/>
      <c r="DH212" s="291"/>
      <c r="DI212" s="291"/>
      <c r="DJ212" s="291"/>
      <c r="DK212" s="291"/>
      <c r="DL212" s="291"/>
      <c r="DM212" s="291"/>
      <c r="DN212" s="291"/>
      <c r="DO212" s="291"/>
      <c r="DP212" s="291"/>
      <c r="DQ212" s="291"/>
      <c r="DR212" s="291"/>
      <c r="DS212" s="291"/>
      <c r="DT212" s="291"/>
      <c r="DU212" s="291"/>
      <c r="DV212" s="291"/>
      <c r="DW212" s="291"/>
      <c r="DX212" s="291"/>
      <c r="DY212" s="291"/>
      <c r="DZ212" s="291"/>
      <c r="EA212" s="291"/>
      <c r="EB212" s="291"/>
      <c r="EC212" s="291"/>
      <c r="ED212" s="291"/>
      <c r="EE212" s="291"/>
      <c r="EF212" s="291"/>
      <c r="EG212" s="291"/>
      <c r="EH212" s="291"/>
      <c r="EI212" s="291"/>
      <c r="EJ212" s="291"/>
      <c r="EK212" s="291"/>
      <c r="EL212" s="291"/>
      <c r="EM212" s="291"/>
      <c r="EN212" s="291"/>
      <c r="EO212" s="291"/>
      <c r="EP212" s="291"/>
      <c r="EQ212" s="291"/>
      <c r="ER212" s="291"/>
      <c r="ES212" s="291"/>
      <c r="ET212" s="291"/>
      <c r="EU212" s="291"/>
      <c r="EV212" s="291"/>
      <c r="EW212" s="291"/>
      <c r="EX212" s="291"/>
      <c r="EY212" s="291"/>
      <c r="EZ212" s="291"/>
      <c r="FA212" s="291"/>
      <c r="FB212" s="291"/>
      <c r="FC212" s="291"/>
      <c r="FD212" s="291"/>
      <c r="FE212" s="291"/>
      <c r="FF212" s="291"/>
      <c r="FG212" s="291"/>
      <c r="FH212" s="291"/>
      <c r="FI212" s="291"/>
      <c r="FJ212" s="291"/>
      <c r="FK212" s="291"/>
      <c r="FL212" s="291"/>
      <c r="FM212" s="291"/>
      <c r="FN212" s="291"/>
      <c r="FO212" s="291"/>
      <c r="FP212" s="291"/>
      <c r="FQ212" s="291"/>
      <c r="FR212" s="291"/>
      <c r="FS212" s="291"/>
      <c r="FT212" s="291"/>
      <c r="FU212" s="291"/>
      <c r="FV212" s="291"/>
      <c r="FW212" s="291"/>
      <c r="FX212" s="291"/>
      <c r="FY212" s="291"/>
      <c r="FZ212" s="291"/>
      <c r="GA212" s="291"/>
      <c r="GB212" s="291"/>
      <c r="GC212" s="291"/>
      <c r="GD212" s="291"/>
      <c r="GE212" s="291"/>
      <c r="GF212" s="291"/>
      <c r="GG212" s="291"/>
      <c r="GH212" s="291"/>
      <c r="GI212" s="291"/>
      <c r="GJ212" s="291"/>
      <c r="GK212" s="291"/>
      <c r="GL212" s="291"/>
      <c r="GM212" s="291"/>
      <c r="GN212" s="291"/>
      <c r="GO212" s="291"/>
      <c r="GP212" s="291"/>
      <c r="GQ212" s="291"/>
      <c r="GR212" s="291"/>
      <c r="GS212" s="291"/>
      <c r="GT212" s="291"/>
      <c r="GU212" s="291"/>
      <c r="GV212" s="291"/>
      <c r="GW212" s="291"/>
      <c r="GX212" s="291"/>
      <c r="GY212" s="291"/>
      <c r="GZ212" s="291"/>
      <c r="HA212" s="291"/>
      <c r="HB212" s="291"/>
      <c r="HC212" s="291"/>
      <c r="HD212" s="291"/>
      <c r="HE212" s="291"/>
      <c r="HF212" s="291"/>
      <c r="HG212" s="291"/>
      <c r="HH212" s="291"/>
      <c r="HI212" s="291"/>
      <c r="HJ212" s="291"/>
      <c r="HK212" s="291"/>
      <c r="HL212" s="291"/>
      <c r="HM212" s="291"/>
      <c r="HN212" s="291"/>
      <c r="HO212" s="291"/>
      <c r="HP212" s="291"/>
      <c r="HQ212" s="291"/>
      <c r="HR212" s="291"/>
      <c r="HS212" s="291"/>
      <c r="HT212" s="291"/>
      <c r="HU212" s="291"/>
      <c r="HV212" s="291"/>
      <c r="HW212" s="291"/>
      <c r="HX212" s="291"/>
      <c r="HY212" s="291"/>
      <c r="HZ212" s="291"/>
      <c r="IA212" s="291"/>
      <c r="IB212" s="291"/>
      <c r="IC212" s="291"/>
      <c r="ID212" s="291"/>
      <c r="IE212" s="291"/>
      <c r="IF212" s="291"/>
      <c r="IG212" s="291"/>
      <c r="IH212" s="291"/>
      <c r="II212" s="291"/>
      <c r="IJ212" s="291"/>
      <c r="IK212" s="291"/>
      <c r="IL212" s="291"/>
      <c r="IM212" s="291"/>
      <c r="IN212" s="291"/>
      <c r="IO212" s="291"/>
      <c r="IP212" s="291"/>
      <c r="IQ212" s="291"/>
      <c r="IR212" s="291"/>
      <c r="IS212" s="291"/>
      <c r="IT212" s="291"/>
      <c r="IU212" s="291"/>
      <c r="IV212" s="291"/>
      <c r="IW212" s="291"/>
      <c r="IX212" s="291"/>
      <c r="IY212" s="291"/>
      <c r="IZ212" s="291"/>
      <c r="JA212" s="291"/>
      <c r="JB212" s="291"/>
      <c r="JC212" s="291"/>
      <c r="JD212" s="291"/>
      <c r="JE212" s="291"/>
      <c r="JF212" s="291"/>
      <c r="JG212" s="291"/>
      <c r="JH212" s="291"/>
      <c r="JI212" s="291"/>
      <c r="JJ212" s="291"/>
      <c r="JK212" s="291"/>
      <c r="JL212" s="291"/>
      <c r="JM212" s="291"/>
      <c r="JN212" s="291"/>
      <c r="JO212" s="291"/>
      <c r="JP212" s="291"/>
      <c r="JQ212" s="291"/>
      <c r="JR212" s="291"/>
      <c r="JS212" s="291"/>
      <c r="JT212" s="291"/>
      <c r="JU212" s="291"/>
      <c r="JV212" s="291"/>
      <c r="JW212" s="291"/>
      <c r="JX212" s="291"/>
      <c r="JY212" s="291"/>
      <c r="JZ212" s="291"/>
      <c r="KA212" s="291"/>
      <c r="KB212" s="291"/>
      <c r="KC212" s="291"/>
      <c r="KD212" s="291"/>
      <c r="KE212" s="291"/>
      <c r="KF212" s="291"/>
      <c r="KG212" s="291"/>
      <c r="KH212" s="291"/>
      <c r="KI212" s="291"/>
      <c r="KJ212" s="291"/>
      <c r="KK212" s="291"/>
      <c r="KL212" s="291"/>
      <c r="KM212" s="291"/>
      <c r="KN212" s="291"/>
      <c r="KO212" s="291"/>
      <c r="KP212" s="291"/>
      <c r="KQ212" s="291"/>
      <c r="KR212" s="291"/>
      <c r="KS212" s="291"/>
      <c r="KT212" s="291"/>
      <c r="KU212" s="291"/>
      <c r="KV212" s="291"/>
      <c r="KW212" s="291"/>
      <c r="KX212" s="291"/>
      <c r="KY212" s="291"/>
      <c r="KZ212" s="291"/>
      <c r="LA212" s="291"/>
      <c r="LB212" s="291"/>
      <c r="LC212" s="291"/>
      <c r="LD212" s="291"/>
      <c r="LE212" s="291"/>
      <c r="LF212" s="291"/>
      <c r="LG212" s="291"/>
      <c r="LH212" s="291"/>
      <c r="LI212" s="291"/>
      <c r="LJ212" s="291"/>
      <c r="LK212" s="291"/>
      <c r="LL212" s="291"/>
      <c r="LM212" s="291"/>
      <c r="LN212" s="291"/>
      <c r="LO212" s="291"/>
      <c r="LP212" s="291"/>
      <c r="LQ212" s="291"/>
      <c r="LR212" s="291"/>
      <c r="LS212" s="291"/>
      <c r="LT212" s="291"/>
      <c r="LU212" s="291"/>
      <c r="LV212" s="291"/>
      <c r="LW212" s="291"/>
      <c r="LX212" s="291"/>
      <c r="LY212" s="291"/>
      <c r="LZ212" s="291"/>
      <c r="MA212" s="291"/>
      <c r="MB212" s="291"/>
      <c r="MC212" s="291"/>
      <c r="MD212" s="291"/>
      <c r="ME212" s="291"/>
      <c r="MF212" s="291"/>
      <c r="MG212" s="291"/>
      <c r="MH212" s="291"/>
      <c r="MI212" s="291"/>
      <c r="MJ212" s="291"/>
      <c r="MK212" s="291"/>
      <c r="ML212" s="291"/>
      <c r="MM212" s="291"/>
      <c r="MN212" s="291"/>
      <c r="MO212" s="291"/>
      <c r="MP212" s="291"/>
      <c r="MQ212" s="291"/>
      <c r="MR212" s="291"/>
      <c r="MS212" s="291"/>
      <c r="MT212" s="291"/>
      <c r="MU212" s="291"/>
      <c r="MV212" s="291"/>
      <c r="MW212" s="291"/>
      <c r="MX212" s="291"/>
      <c r="MY212" s="291"/>
      <c r="MZ212" s="291"/>
      <c r="NA212" s="291"/>
      <c r="NB212" s="291"/>
      <c r="NC212" s="291"/>
      <c r="ND212" s="291"/>
      <c r="NE212" s="291"/>
      <c r="NF212" s="291"/>
      <c r="NG212" s="291"/>
      <c r="NH212" s="291"/>
      <c r="NI212" s="291"/>
      <c r="NJ212" s="291"/>
      <c r="NK212" s="291"/>
      <c r="NL212" s="291"/>
      <c r="NM212" s="291"/>
      <c r="NN212" s="291"/>
      <c r="NO212" s="291"/>
      <c r="NP212" s="291"/>
      <c r="NQ212" s="291"/>
      <c r="NR212" s="291"/>
      <c r="NS212" s="291"/>
      <c r="NT212" s="291"/>
      <c r="NU212" s="291"/>
      <c r="NV212" s="291"/>
      <c r="NW212" s="291"/>
      <c r="NX212" s="291"/>
      <c r="NY212" s="291"/>
      <c r="NZ212" s="291"/>
      <c r="OA212" s="291"/>
      <c r="OB212" s="291"/>
      <c r="OC212" s="291"/>
      <c r="OD212" s="291"/>
      <c r="OE212" s="291"/>
      <c r="OF212" s="291"/>
      <c r="OG212" s="291"/>
      <c r="OH212" s="291"/>
      <c r="OI212" s="291"/>
      <c r="OJ212" s="291"/>
      <c r="OK212" s="291"/>
      <c r="OL212" s="291"/>
      <c r="OM212" s="291"/>
      <c r="ON212" s="291"/>
      <c r="OO212" s="291"/>
      <c r="OP212" s="291"/>
      <c r="OQ212" s="291"/>
      <c r="OR212" s="291"/>
      <c r="OS212" s="291"/>
      <c r="OT212" s="291"/>
      <c r="OU212" s="291"/>
      <c r="OV212" s="291"/>
      <c r="OW212" s="291"/>
    </row>
    <row r="213" spans="1:413" s="257" customFormat="1" ht="22.5" hidden="1" x14ac:dyDescent="0.2">
      <c r="A213" s="291"/>
      <c r="B213" s="524">
        <f t="shared" si="15"/>
        <v>197</v>
      </c>
      <c r="C213" s="510" t="s">
        <v>38</v>
      </c>
      <c r="D213" s="511">
        <v>40006418</v>
      </c>
      <c r="E213" s="511"/>
      <c r="F213" s="512" t="s">
        <v>1370</v>
      </c>
      <c r="G213" s="513" t="s">
        <v>45</v>
      </c>
      <c r="H213" s="514" t="s">
        <v>1094</v>
      </c>
      <c r="I213" s="515" t="s">
        <v>1203</v>
      </c>
      <c r="J213" s="346" t="s">
        <v>43</v>
      </c>
      <c r="K213" s="526">
        <v>1540520</v>
      </c>
      <c r="L213" s="527">
        <v>4329</v>
      </c>
      <c r="M213" s="528">
        <v>1036191</v>
      </c>
      <c r="N213" s="520">
        <v>0</v>
      </c>
      <c r="O213" s="520">
        <v>0</v>
      </c>
      <c r="P213" s="520">
        <v>0</v>
      </c>
      <c r="Q213" s="520">
        <v>0</v>
      </c>
      <c r="R213" s="520">
        <v>0</v>
      </c>
      <c r="S213" s="520">
        <v>0</v>
      </c>
      <c r="T213" s="18"/>
      <c r="U213" s="18"/>
      <c r="V213" s="18"/>
      <c r="W213" s="18"/>
      <c r="X213" s="18"/>
      <c r="Y213" s="18"/>
      <c r="Z213" s="18">
        <f t="shared" si="12"/>
        <v>0</v>
      </c>
      <c r="AA213" s="309">
        <v>500000</v>
      </c>
      <c r="AB213" s="19">
        <v>3</v>
      </c>
      <c r="AC213" s="521">
        <v>44222</v>
      </c>
      <c r="AD213" s="25">
        <v>44225</v>
      </c>
      <c r="AE213" s="309">
        <v>1000000</v>
      </c>
      <c r="AF213" s="314">
        <v>39</v>
      </c>
      <c r="AG213" s="315">
        <v>44334</v>
      </c>
      <c r="AH213" s="315">
        <v>44342</v>
      </c>
      <c r="AI213" s="309"/>
      <c r="AJ213" s="338"/>
      <c r="AK213" s="315"/>
      <c r="AL213" s="316"/>
      <c r="AM213" s="309"/>
      <c r="AN213" s="338"/>
      <c r="AO213" s="21"/>
      <c r="AP213" s="25"/>
      <c r="AQ213" s="309"/>
      <c r="AR213" s="19"/>
      <c r="AS213" s="21"/>
      <c r="AT213" s="25"/>
      <c r="AU213" s="522">
        <f t="shared" si="13"/>
        <v>1500000</v>
      </c>
      <c r="AV213" s="311">
        <f t="shared" si="14"/>
        <v>1500000</v>
      </c>
      <c r="AW213" s="305"/>
      <c r="AX213" s="291"/>
      <c r="AY213" s="291"/>
      <c r="AZ213" s="291"/>
      <c r="BA213" s="291"/>
      <c r="BB213" s="291"/>
      <c r="BC213" s="291"/>
      <c r="BD213" s="291"/>
      <c r="BE213" s="291"/>
      <c r="BF213" s="291"/>
      <c r="BG213" s="291"/>
      <c r="BH213" s="291"/>
      <c r="BI213" s="291"/>
      <c r="BJ213" s="291"/>
      <c r="BK213" s="291"/>
      <c r="BL213" s="291"/>
      <c r="BM213" s="291"/>
      <c r="BN213" s="291"/>
      <c r="BO213" s="291"/>
      <c r="BP213" s="291"/>
      <c r="BQ213" s="291"/>
      <c r="BR213" s="291"/>
      <c r="BS213" s="291"/>
      <c r="BT213" s="291"/>
      <c r="BU213" s="291"/>
      <c r="BV213" s="291"/>
      <c r="BW213" s="291"/>
      <c r="BX213" s="291"/>
      <c r="BY213" s="291"/>
      <c r="BZ213" s="291"/>
      <c r="CA213" s="291"/>
      <c r="CB213" s="291"/>
      <c r="CC213" s="291"/>
      <c r="CD213" s="291"/>
      <c r="CE213" s="291"/>
      <c r="CF213" s="291"/>
      <c r="CG213" s="291"/>
      <c r="CH213" s="291"/>
      <c r="CI213" s="291"/>
      <c r="CJ213" s="291"/>
      <c r="CK213" s="291"/>
      <c r="CL213" s="291"/>
      <c r="CM213" s="291"/>
      <c r="CN213" s="291"/>
      <c r="CO213" s="291"/>
      <c r="CP213" s="291"/>
      <c r="CQ213" s="291"/>
      <c r="CR213" s="291"/>
      <c r="CS213" s="291"/>
      <c r="CT213" s="291"/>
      <c r="CU213" s="291"/>
      <c r="CV213" s="291"/>
      <c r="CW213" s="291"/>
      <c r="CX213" s="291"/>
      <c r="CY213" s="291"/>
      <c r="CZ213" s="291"/>
      <c r="DA213" s="291"/>
      <c r="DB213" s="291"/>
      <c r="DC213" s="291"/>
      <c r="DD213" s="291"/>
      <c r="DE213" s="291"/>
      <c r="DF213" s="291"/>
      <c r="DG213" s="291"/>
      <c r="DH213" s="291"/>
      <c r="DI213" s="291"/>
      <c r="DJ213" s="291"/>
      <c r="DK213" s="291"/>
      <c r="DL213" s="291"/>
      <c r="DM213" s="291"/>
      <c r="DN213" s="291"/>
      <c r="DO213" s="291"/>
      <c r="DP213" s="291"/>
      <c r="DQ213" s="291"/>
      <c r="DR213" s="291"/>
      <c r="DS213" s="291"/>
      <c r="DT213" s="291"/>
      <c r="DU213" s="291"/>
      <c r="DV213" s="291"/>
      <c r="DW213" s="291"/>
      <c r="DX213" s="291"/>
      <c r="DY213" s="291"/>
      <c r="DZ213" s="291"/>
      <c r="EA213" s="291"/>
      <c r="EB213" s="291"/>
      <c r="EC213" s="291"/>
      <c r="ED213" s="291"/>
      <c r="EE213" s="291"/>
      <c r="EF213" s="291"/>
      <c r="EG213" s="291"/>
      <c r="EH213" s="291"/>
      <c r="EI213" s="291"/>
      <c r="EJ213" s="291"/>
      <c r="EK213" s="291"/>
      <c r="EL213" s="291"/>
      <c r="EM213" s="291"/>
      <c r="EN213" s="291"/>
      <c r="EO213" s="291"/>
      <c r="EP213" s="291"/>
      <c r="EQ213" s="291"/>
      <c r="ER213" s="291"/>
      <c r="ES213" s="291"/>
      <c r="ET213" s="291"/>
      <c r="EU213" s="291"/>
      <c r="EV213" s="291"/>
      <c r="EW213" s="291"/>
      <c r="EX213" s="291"/>
      <c r="EY213" s="291"/>
      <c r="EZ213" s="291"/>
      <c r="FA213" s="291"/>
      <c r="FB213" s="291"/>
      <c r="FC213" s="291"/>
      <c r="FD213" s="291"/>
      <c r="FE213" s="291"/>
      <c r="FF213" s="291"/>
      <c r="FG213" s="291"/>
      <c r="FH213" s="291"/>
      <c r="FI213" s="291"/>
      <c r="FJ213" s="291"/>
      <c r="FK213" s="291"/>
      <c r="FL213" s="291"/>
      <c r="FM213" s="291"/>
      <c r="FN213" s="291"/>
      <c r="FO213" s="291"/>
      <c r="FP213" s="291"/>
      <c r="FQ213" s="291"/>
      <c r="FR213" s="291"/>
      <c r="FS213" s="291"/>
      <c r="FT213" s="291"/>
      <c r="FU213" s="291"/>
      <c r="FV213" s="291"/>
      <c r="FW213" s="291"/>
      <c r="FX213" s="291"/>
      <c r="FY213" s="291"/>
      <c r="FZ213" s="291"/>
      <c r="GA213" s="291"/>
      <c r="GB213" s="291"/>
      <c r="GC213" s="291"/>
      <c r="GD213" s="291"/>
      <c r="GE213" s="291"/>
      <c r="GF213" s="291"/>
      <c r="GG213" s="291"/>
      <c r="GH213" s="291"/>
      <c r="GI213" s="291"/>
      <c r="GJ213" s="291"/>
      <c r="GK213" s="291"/>
      <c r="GL213" s="291"/>
      <c r="GM213" s="291"/>
      <c r="GN213" s="291"/>
      <c r="GO213" s="291"/>
      <c r="GP213" s="291"/>
      <c r="GQ213" s="291"/>
      <c r="GR213" s="291"/>
      <c r="GS213" s="291"/>
      <c r="GT213" s="291"/>
      <c r="GU213" s="291"/>
      <c r="GV213" s="291"/>
      <c r="GW213" s="291"/>
      <c r="GX213" s="291"/>
      <c r="GY213" s="291"/>
      <c r="GZ213" s="291"/>
      <c r="HA213" s="291"/>
      <c r="HB213" s="291"/>
      <c r="HC213" s="291"/>
      <c r="HD213" s="291"/>
      <c r="HE213" s="291"/>
      <c r="HF213" s="291"/>
      <c r="HG213" s="291"/>
      <c r="HH213" s="291"/>
      <c r="HI213" s="291"/>
      <c r="HJ213" s="291"/>
      <c r="HK213" s="291"/>
      <c r="HL213" s="291"/>
      <c r="HM213" s="291"/>
      <c r="HN213" s="291"/>
      <c r="HO213" s="291"/>
      <c r="HP213" s="291"/>
      <c r="HQ213" s="291"/>
      <c r="HR213" s="291"/>
      <c r="HS213" s="291"/>
      <c r="HT213" s="291"/>
      <c r="HU213" s="291"/>
      <c r="HV213" s="291"/>
      <c r="HW213" s="291"/>
      <c r="HX213" s="291"/>
      <c r="HY213" s="291"/>
      <c r="HZ213" s="291"/>
      <c r="IA213" s="291"/>
      <c r="IB213" s="291"/>
      <c r="IC213" s="291"/>
      <c r="ID213" s="291"/>
      <c r="IE213" s="291"/>
      <c r="IF213" s="291"/>
      <c r="IG213" s="291"/>
      <c r="IH213" s="291"/>
      <c r="II213" s="291"/>
      <c r="IJ213" s="291"/>
      <c r="IK213" s="291"/>
      <c r="IL213" s="291"/>
      <c r="IM213" s="291"/>
      <c r="IN213" s="291"/>
      <c r="IO213" s="291"/>
      <c r="IP213" s="291"/>
      <c r="IQ213" s="291"/>
      <c r="IR213" s="291"/>
      <c r="IS213" s="291"/>
      <c r="IT213" s="291"/>
      <c r="IU213" s="291"/>
      <c r="IV213" s="291"/>
      <c r="IW213" s="291"/>
      <c r="IX213" s="291"/>
      <c r="IY213" s="291"/>
      <c r="IZ213" s="291"/>
      <c r="JA213" s="291"/>
      <c r="JB213" s="291"/>
      <c r="JC213" s="291"/>
      <c r="JD213" s="291"/>
      <c r="JE213" s="291"/>
      <c r="JF213" s="291"/>
      <c r="JG213" s="291"/>
      <c r="JH213" s="291"/>
      <c r="JI213" s="291"/>
      <c r="JJ213" s="291"/>
      <c r="JK213" s="291"/>
      <c r="JL213" s="291"/>
      <c r="JM213" s="291"/>
      <c r="JN213" s="291"/>
      <c r="JO213" s="291"/>
      <c r="JP213" s="291"/>
      <c r="JQ213" s="291"/>
      <c r="JR213" s="291"/>
      <c r="JS213" s="291"/>
      <c r="JT213" s="291"/>
      <c r="JU213" s="291"/>
      <c r="JV213" s="291"/>
      <c r="JW213" s="291"/>
      <c r="JX213" s="291"/>
      <c r="JY213" s="291"/>
      <c r="JZ213" s="291"/>
      <c r="KA213" s="291"/>
      <c r="KB213" s="291"/>
      <c r="KC213" s="291"/>
      <c r="KD213" s="291"/>
      <c r="KE213" s="291"/>
      <c r="KF213" s="291"/>
      <c r="KG213" s="291"/>
      <c r="KH213" s="291"/>
      <c r="KI213" s="291"/>
      <c r="KJ213" s="291"/>
      <c r="KK213" s="291"/>
      <c r="KL213" s="291"/>
      <c r="KM213" s="291"/>
      <c r="KN213" s="291"/>
      <c r="KO213" s="291"/>
      <c r="KP213" s="291"/>
      <c r="KQ213" s="291"/>
      <c r="KR213" s="291"/>
      <c r="KS213" s="291"/>
      <c r="KT213" s="291"/>
      <c r="KU213" s="291"/>
      <c r="KV213" s="291"/>
      <c r="KW213" s="291"/>
      <c r="KX213" s="291"/>
      <c r="KY213" s="291"/>
      <c r="KZ213" s="291"/>
      <c r="LA213" s="291"/>
      <c r="LB213" s="291"/>
      <c r="LC213" s="291"/>
      <c r="LD213" s="291"/>
      <c r="LE213" s="291"/>
      <c r="LF213" s="291"/>
      <c r="LG213" s="291"/>
      <c r="LH213" s="291"/>
      <c r="LI213" s="291"/>
      <c r="LJ213" s="291"/>
      <c r="LK213" s="291"/>
      <c r="LL213" s="291"/>
      <c r="LM213" s="291"/>
      <c r="LN213" s="291"/>
      <c r="LO213" s="291"/>
      <c r="LP213" s="291"/>
      <c r="LQ213" s="291"/>
      <c r="LR213" s="291"/>
      <c r="LS213" s="291"/>
      <c r="LT213" s="291"/>
      <c r="LU213" s="291"/>
      <c r="LV213" s="291"/>
      <c r="LW213" s="291"/>
      <c r="LX213" s="291"/>
      <c r="LY213" s="291"/>
      <c r="LZ213" s="291"/>
      <c r="MA213" s="291"/>
      <c r="MB213" s="291"/>
      <c r="MC213" s="291"/>
      <c r="MD213" s="291"/>
      <c r="ME213" s="291"/>
      <c r="MF213" s="291"/>
      <c r="MG213" s="291"/>
      <c r="MH213" s="291"/>
      <c r="MI213" s="291"/>
      <c r="MJ213" s="291"/>
      <c r="MK213" s="291"/>
      <c r="ML213" s="291"/>
      <c r="MM213" s="291"/>
      <c r="MN213" s="291"/>
      <c r="MO213" s="291"/>
      <c r="MP213" s="291"/>
      <c r="MQ213" s="291"/>
      <c r="MR213" s="291"/>
      <c r="MS213" s="291"/>
      <c r="MT213" s="291"/>
      <c r="MU213" s="291"/>
      <c r="MV213" s="291"/>
      <c r="MW213" s="291"/>
      <c r="MX213" s="291"/>
      <c r="MY213" s="291"/>
      <c r="MZ213" s="291"/>
      <c r="NA213" s="291"/>
      <c r="NB213" s="291"/>
      <c r="NC213" s="291"/>
      <c r="ND213" s="291"/>
      <c r="NE213" s="291"/>
      <c r="NF213" s="291"/>
      <c r="NG213" s="291"/>
      <c r="NH213" s="291"/>
      <c r="NI213" s="291"/>
      <c r="NJ213" s="291"/>
      <c r="NK213" s="291"/>
      <c r="NL213" s="291"/>
      <c r="NM213" s="291"/>
      <c r="NN213" s="291"/>
      <c r="NO213" s="291"/>
      <c r="NP213" s="291"/>
      <c r="NQ213" s="291"/>
      <c r="NR213" s="291"/>
      <c r="NS213" s="291"/>
      <c r="NT213" s="291"/>
      <c r="NU213" s="291"/>
      <c r="NV213" s="291"/>
      <c r="NW213" s="291"/>
      <c r="NX213" s="291"/>
      <c r="NY213" s="291"/>
      <c r="NZ213" s="291"/>
      <c r="OA213" s="291"/>
      <c r="OB213" s="291"/>
      <c r="OC213" s="291"/>
      <c r="OD213" s="291"/>
      <c r="OE213" s="291"/>
      <c r="OF213" s="291"/>
      <c r="OG213" s="291"/>
      <c r="OH213" s="291"/>
      <c r="OI213" s="291"/>
      <c r="OJ213" s="291"/>
      <c r="OK213" s="291"/>
      <c r="OL213" s="291"/>
      <c r="OM213" s="291"/>
      <c r="ON213" s="291"/>
      <c r="OO213" s="291"/>
      <c r="OP213" s="291"/>
      <c r="OQ213" s="291"/>
      <c r="OR213" s="291"/>
      <c r="OS213" s="291"/>
      <c r="OT213" s="291"/>
      <c r="OU213" s="291"/>
      <c r="OV213" s="291"/>
      <c r="OW213" s="291"/>
    </row>
    <row r="214" spans="1:413" s="257" customFormat="1" hidden="1" x14ac:dyDescent="0.2">
      <c r="A214" s="291"/>
      <c r="B214" s="524">
        <f t="shared" si="15"/>
        <v>198</v>
      </c>
      <c r="C214" s="510" t="s">
        <v>38</v>
      </c>
      <c r="D214" s="511">
        <v>40006486</v>
      </c>
      <c r="E214" s="511"/>
      <c r="F214" s="512" t="s">
        <v>1371</v>
      </c>
      <c r="G214" s="513" t="s">
        <v>45</v>
      </c>
      <c r="H214" s="514" t="s">
        <v>1094</v>
      </c>
      <c r="I214" s="515" t="s">
        <v>1099</v>
      </c>
      <c r="J214" s="346" t="s">
        <v>42</v>
      </c>
      <c r="K214" s="526">
        <v>1573192</v>
      </c>
      <c r="L214" s="527">
        <v>4329</v>
      </c>
      <c r="M214" s="528">
        <v>768863</v>
      </c>
      <c r="N214" s="520">
        <v>0</v>
      </c>
      <c r="O214" s="520">
        <v>0</v>
      </c>
      <c r="P214" s="520">
        <v>230908</v>
      </c>
      <c r="Q214" s="520">
        <v>210874</v>
      </c>
      <c r="R214" s="520">
        <v>0</v>
      </c>
      <c r="S214" s="520">
        <v>91259</v>
      </c>
      <c r="T214" s="18"/>
      <c r="U214" s="18"/>
      <c r="V214" s="18"/>
      <c r="W214" s="18"/>
      <c r="X214" s="18"/>
      <c r="Y214" s="18"/>
      <c r="Z214" s="18">
        <f t="shared" si="12"/>
        <v>533041</v>
      </c>
      <c r="AA214" s="309">
        <v>800000</v>
      </c>
      <c r="AB214" s="19">
        <v>9</v>
      </c>
      <c r="AC214" s="521">
        <v>44232</v>
      </c>
      <c r="AD214" s="25">
        <v>44251</v>
      </c>
      <c r="AE214" s="309">
        <v>734341</v>
      </c>
      <c r="AF214" s="314">
        <v>39</v>
      </c>
      <c r="AG214" s="315">
        <v>44334</v>
      </c>
      <c r="AH214" s="315">
        <v>44342</v>
      </c>
      <c r="AI214" s="309"/>
      <c r="AJ214" s="338"/>
      <c r="AK214" s="315"/>
      <c r="AL214" s="316"/>
      <c r="AM214" s="309"/>
      <c r="AN214" s="338"/>
      <c r="AO214" s="21"/>
      <c r="AP214" s="25"/>
      <c r="AQ214" s="309"/>
      <c r="AR214" s="19"/>
      <c r="AS214" s="21"/>
      <c r="AT214" s="25"/>
      <c r="AU214" s="522">
        <f t="shared" si="13"/>
        <v>1534341</v>
      </c>
      <c r="AV214" s="311">
        <f t="shared" si="14"/>
        <v>1001300</v>
      </c>
      <c r="AW214" s="305"/>
      <c r="AX214" s="291"/>
      <c r="AY214" s="291"/>
      <c r="AZ214" s="291"/>
      <c r="BA214" s="291"/>
      <c r="BB214" s="291"/>
      <c r="BC214" s="291"/>
      <c r="BD214" s="291"/>
      <c r="BE214" s="291"/>
      <c r="BF214" s="291"/>
      <c r="BG214" s="291"/>
      <c r="BH214" s="291"/>
      <c r="BI214" s="291"/>
      <c r="BJ214" s="291"/>
      <c r="BK214" s="291"/>
      <c r="BL214" s="291"/>
      <c r="BM214" s="291"/>
      <c r="BN214" s="291"/>
      <c r="BO214" s="291"/>
      <c r="BP214" s="291"/>
      <c r="BQ214" s="291"/>
      <c r="BR214" s="291"/>
      <c r="BS214" s="291"/>
      <c r="BT214" s="291"/>
      <c r="BU214" s="291"/>
      <c r="BV214" s="291"/>
      <c r="BW214" s="291"/>
      <c r="BX214" s="291"/>
      <c r="BY214" s="291"/>
      <c r="BZ214" s="291"/>
      <c r="CA214" s="291"/>
      <c r="CB214" s="291"/>
      <c r="CC214" s="291"/>
      <c r="CD214" s="291"/>
      <c r="CE214" s="291"/>
      <c r="CF214" s="291"/>
      <c r="CG214" s="291"/>
      <c r="CH214" s="291"/>
      <c r="CI214" s="291"/>
      <c r="CJ214" s="291"/>
      <c r="CK214" s="291"/>
      <c r="CL214" s="291"/>
      <c r="CM214" s="291"/>
      <c r="CN214" s="291"/>
      <c r="CO214" s="291"/>
      <c r="CP214" s="291"/>
      <c r="CQ214" s="291"/>
      <c r="CR214" s="291"/>
      <c r="CS214" s="291"/>
      <c r="CT214" s="291"/>
      <c r="CU214" s="291"/>
      <c r="CV214" s="291"/>
      <c r="CW214" s="291"/>
      <c r="CX214" s="291"/>
      <c r="CY214" s="291"/>
      <c r="CZ214" s="291"/>
      <c r="DA214" s="291"/>
      <c r="DB214" s="291"/>
      <c r="DC214" s="291"/>
      <c r="DD214" s="291"/>
      <c r="DE214" s="291"/>
      <c r="DF214" s="291"/>
      <c r="DG214" s="291"/>
      <c r="DH214" s="291"/>
      <c r="DI214" s="291"/>
      <c r="DJ214" s="291"/>
      <c r="DK214" s="291"/>
      <c r="DL214" s="291"/>
      <c r="DM214" s="291"/>
      <c r="DN214" s="291"/>
      <c r="DO214" s="291"/>
      <c r="DP214" s="291"/>
      <c r="DQ214" s="291"/>
      <c r="DR214" s="291"/>
      <c r="DS214" s="291"/>
      <c r="DT214" s="291"/>
      <c r="DU214" s="291"/>
      <c r="DV214" s="291"/>
      <c r="DW214" s="291"/>
      <c r="DX214" s="291"/>
      <c r="DY214" s="291"/>
      <c r="DZ214" s="291"/>
      <c r="EA214" s="291"/>
      <c r="EB214" s="291"/>
      <c r="EC214" s="291"/>
      <c r="ED214" s="291"/>
      <c r="EE214" s="291"/>
      <c r="EF214" s="291"/>
      <c r="EG214" s="291"/>
      <c r="EH214" s="291"/>
      <c r="EI214" s="291"/>
      <c r="EJ214" s="291"/>
      <c r="EK214" s="291"/>
      <c r="EL214" s="291"/>
      <c r="EM214" s="291"/>
      <c r="EN214" s="291"/>
      <c r="EO214" s="291"/>
      <c r="EP214" s="291"/>
      <c r="EQ214" s="291"/>
      <c r="ER214" s="291"/>
      <c r="ES214" s="291"/>
      <c r="ET214" s="291"/>
      <c r="EU214" s="291"/>
      <c r="EV214" s="291"/>
      <c r="EW214" s="291"/>
      <c r="EX214" s="291"/>
      <c r="EY214" s="291"/>
      <c r="EZ214" s="291"/>
      <c r="FA214" s="291"/>
      <c r="FB214" s="291"/>
      <c r="FC214" s="291"/>
      <c r="FD214" s="291"/>
      <c r="FE214" s="291"/>
      <c r="FF214" s="291"/>
      <c r="FG214" s="291"/>
      <c r="FH214" s="291"/>
      <c r="FI214" s="291"/>
      <c r="FJ214" s="291"/>
      <c r="FK214" s="291"/>
      <c r="FL214" s="291"/>
      <c r="FM214" s="291"/>
      <c r="FN214" s="291"/>
      <c r="FO214" s="291"/>
      <c r="FP214" s="291"/>
      <c r="FQ214" s="291"/>
      <c r="FR214" s="291"/>
      <c r="FS214" s="291"/>
      <c r="FT214" s="291"/>
      <c r="FU214" s="291"/>
      <c r="FV214" s="291"/>
      <c r="FW214" s="291"/>
      <c r="FX214" s="291"/>
      <c r="FY214" s="291"/>
      <c r="FZ214" s="291"/>
      <c r="GA214" s="291"/>
      <c r="GB214" s="291"/>
      <c r="GC214" s="291"/>
      <c r="GD214" s="291"/>
      <c r="GE214" s="291"/>
      <c r="GF214" s="291"/>
      <c r="GG214" s="291"/>
      <c r="GH214" s="291"/>
      <c r="GI214" s="291"/>
      <c r="GJ214" s="291"/>
      <c r="GK214" s="291"/>
      <c r="GL214" s="291"/>
      <c r="GM214" s="291"/>
      <c r="GN214" s="291"/>
      <c r="GO214" s="291"/>
      <c r="GP214" s="291"/>
      <c r="GQ214" s="291"/>
      <c r="GR214" s="291"/>
      <c r="GS214" s="291"/>
      <c r="GT214" s="291"/>
      <c r="GU214" s="291"/>
      <c r="GV214" s="291"/>
      <c r="GW214" s="291"/>
      <c r="GX214" s="291"/>
      <c r="GY214" s="291"/>
      <c r="GZ214" s="291"/>
      <c r="HA214" s="291"/>
      <c r="HB214" s="291"/>
      <c r="HC214" s="291"/>
      <c r="HD214" s="291"/>
      <c r="HE214" s="291"/>
      <c r="HF214" s="291"/>
      <c r="HG214" s="291"/>
      <c r="HH214" s="291"/>
      <c r="HI214" s="291"/>
      <c r="HJ214" s="291"/>
      <c r="HK214" s="291"/>
      <c r="HL214" s="291"/>
      <c r="HM214" s="291"/>
      <c r="HN214" s="291"/>
      <c r="HO214" s="291"/>
      <c r="HP214" s="291"/>
      <c r="HQ214" s="291"/>
      <c r="HR214" s="291"/>
      <c r="HS214" s="291"/>
      <c r="HT214" s="291"/>
      <c r="HU214" s="291"/>
      <c r="HV214" s="291"/>
      <c r="HW214" s="291"/>
      <c r="HX214" s="291"/>
      <c r="HY214" s="291"/>
      <c r="HZ214" s="291"/>
      <c r="IA214" s="291"/>
      <c r="IB214" s="291"/>
      <c r="IC214" s="291"/>
      <c r="ID214" s="291"/>
      <c r="IE214" s="291"/>
      <c r="IF214" s="291"/>
      <c r="IG214" s="291"/>
      <c r="IH214" s="291"/>
      <c r="II214" s="291"/>
      <c r="IJ214" s="291"/>
      <c r="IK214" s="291"/>
      <c r="IL214" s="291"/>
      <c r="IM214" s="291"/>
      <c r="IN214" s="291"/>
      <c r="IO214" s="291"/>
      <c r="IP214" s="291"/>
      <c r="IQ214" s="291"/>
      <c r="IR214" s="291"/>
      <c r="IS214" s="291"/>
      <c r="IT214" s="291"/>
      <c r="IU214" s="291"/>
      <c r="IV214" s="291"/>
      <c r="IW214" s="291"/>
      <c r="IX214" s="291"/>
      <c r="IY214" s="291"/>
      <c r="IZ214" s="291"/>
      <c r="JA214" s="291"/>
      <c r="JB214" s="291"/>
      <c r="JC214" s="291"/>
      <c r="JD214" s="291"/>
      <c r="JE214" s="291"/>
      <c r="JF214" s="291"/>
      <c r="JG214" s="291"/>
      <c r="JH214" s="291"/>
      <c r="JI214" s="291"/>
      <c r="JJ214" s="291"/>
      <c r="JK214" s="291"/>
      <c r="JL214" s="291"/>
      <c r="JM214" s="291"/>
      <c r="JN214" s="291"/>
      <c r="JO214" s="291"/>
      <c r="JP214" s="291"/>
      <c r="JQ214" s="291"/>
      <c r="JR214" s="291"/>
      <c r="JS214" s="291"/>
      <c r="JT214" s="291"/>
      <c r="JU214" s="291"/>
      <c r="JV214" s="291"/>
      <c r="JW214" s="291"/>
      <c r="JX214" s="291"/>
      <c r="JY214" s="291"/>
      <c r="JZ214" s="291"/>
      <c r="KA214" s="291"/>
      <c r="KB214" s="291"/>
      <c r="KC214" s="291"/>
      <c r="KD214" s="291"/>
      <c r="KE214" s="291"/>
      <c r="KF214" s="291"/>
      <c r="KG214" s="291"/>
      <c r="KH214" s="291"/>
      <c r="KI214" s="291"/>
      <c r="KJ214" s="291"/>
      <c r="KK214" s="291"/>
      <c r="KL214" s="291"/>
      <c r="KM214" s="291"/>
      <c r="KN214" s="291"/>
      <c r="KO214" s="291"/>
      <c r="KP214" s="291"/>
      <c r="KQ214" s="291"/>
      <c r="KR214" s="291"/>
      <c r="KS214" s="291"/>
      <c r="KT214" s="291"/>
      <c r="KU214" s="291"/>
      <c r="KV214" s="291"/>
      <c r="KW214" s="291"/>
      <c r="KX214" s="291"/>
      <c r="KY214" s="291"/>
      <c r="KZ214" s="291"/>
      <c r="LA214" s="291"/>
      <c r="LB214" s="291"/>
      <c r="LC214" s="291"/>
      <c r="LD214" s="291"/>
      <c r="LE214" s="291"/>
      <c r="LF214" s="291"/>
      <c r="LG214" s="291"/>
      <c r="LH214" s="291"/>
      <c r="LI214" s="291"/>
      <c r="LJ214" s="291"/>
      <c r="LK214" s="291"/>
      <c r="LL214" s="291"/>
      <c r="LM214" s="291"/>
      <c r="LN214" s="291"/>
      <c r="LO214" s="291"/>
      <c r="LP214" s="291"/>
      <c r="LQ214" s="291"/>
      <c r="LR214" s="291"/>
      <c r="LS214" s="291"/>
      <c r="LT214" s="291"/>
      <c r="LU214" s="291"/>
      <c r="LV214" s="291"/>
      <c r="LW214" s="291"/>
      <c r="LX214" s="291"/>
      <c r="LY214" s="291"/>
      <c r="LZ214" s="291"/>
      <c r="MA214" s="291"/>
      <c r="MB214" s="291"/>
      <c r="MC214" s="291"/>
      <c r="MD214" s="291"/>
      <c r="ME214" s="291"/>
      <c r="MF214" s="291"/>
      <c r="MG214" s="291"/>
      <c r="MH214" s="291"/>
      <c r="MI214" s="291"/>
      <c r="MJ214" s="291"/>
      <c r="MK214" s="291"/>
      <c r="ML214" s="291"/>
      <c r="MM214" s="291"/>
      <c r="MN214" s="291"/>
      <c r="MO214" s="291"/>
      <c r="MP214" s="291"/>
      <c r="MQ214" s="291"/>
      <c r="MR214" s="291"/>
      <c r="MS214" s="291"/>
      <c r="MT214" s="291"/>
      <c r="MU214" s="291"/>
      <c r="MV214" s="291"/>
      <c r="MW214" s="291"/>
      <c r="MX214" s="291"/>
      <c r="MY214" s="291"/>
      <c r="MZ214" s="291"/>
      <c r="NA214" s="291"/>
      <c r="NB214" s="291"/>
      <c r="NC214" s="291"/>
      <c r="ND214" s="291"/>
      <c r="NE214" s="291"/>
      <c r="NF214" s="291"/>
      <c r="NG214" s="291"/>
      <c r="NH214" s="291"/>
      <c r="NI214" s="291"/>
      <c r="NJ214" s="291"/>
      <c r="NK214" s="291"/>
      <c r="NL214" s="291"/>
      <c r="NM214" s="291"/>
      <c r="NN214" s="291"/>
      <c r="NO214" s="291"/>
      <c r="NP214" s="291"/>
      <c r="NQ214" s="291"/>
      <c r="NR214" s="291"/>
      <c r="NS214" s="291"/>
      <c r="NT214" s="291"/>
      <c r="NU214" s="291"/>
      <c r="NV214" s="291"/>
      <c r="NW214" s="291"/>
      <c r="NX214" s="291"/>
      <c r="NY214" s="291"/>
      <c r="NZ214" s="291"/>
      <c r="OA214" s="291"/>
      <c r="OB214" s="291"/>
      <c r="OC214" s="291"/>
      <c r="OD214" s="291"/>
      <c r="OE214" s="291"/>
      <c r="OF214" s="291"/>
      <c r="OG214" s="291"/>
      <c r="OH214" s="291"/>
      <c r="OI214" s="291"/>
      <c r="OJ214" s="291"/>
      <c r="OK214" s="291"/>
      <c r="OL214" s="291"/>
      <c r="OM214" s="291"/>
      <c r="ON214" s="291"/>
      <c r="OO214" s="291"/>
      <c r="OP214" s="291"/>
      <c r="OQ214" s="291"/>
      <c r="OR214" s="291"/>
      <c r="OS214" s="291"/>
      <c r="OT214" s="291"/>
      <c r="OU214" s="291"/>
      <c r="OV214" s="291"/>
      <c r="OW214" s="291"/>
    </row>
    <row r="215" spans="1:413" s="257" customFormat="1" hidden="1" x14ac:dyDescent="0.2">
      <c r="A215" s="291"/>
      <c r="B215" s="524">
        <f t="shared" si="15"/>
        <v>199</v>
      </c>
      <c r="C215" s="510" t="s">
        <v>38</v>
      </c>
      <c r="D215" s="511">
        <v>40006524</v>
      </c>
      <c r="E215" s="511"/>
      <c r="F215" s="512" t="s">
        <v>1372</v>
      </c>
      <c r="G215" s="513" t="s">
        <v>45</v>
      </c>
      <c r="H215" s="514" t="s">
        <v>1094</v>
      </c>
      <c r="I215" s="515" t="s">
        <v>1134</v>
      </c>
      <c r="J215" s="346" t="s">
        <v>43</v>
      </c>
      <c r="K215" s="526">
        <v>250841</v>
      </c>
      <c r="L215" s="527">
        <v>2603</v>
      </c>
      <c r="M215" s="528">
        <v>247238</v>
      </c>
      <c r="N215" s="520">
        <v>0</v>
      </c>
      <c r="O215" s="520">
        <v>0</v>
      </c>
      <c r="P215" s="520">
        <v>0</v>
      </c>
      <c r="Q215" s="520">
        <v>0</v>
      </c>
      <c r="R215" s="520">
        <v>0</v>
      </c>
      <c r="S215" s="520">
        <v>0</v>
      </c>
      <c r="T215" s="18"/>
      <c r="U215" s="18"/>
      <c r="V215" s="18"/>
      <c r="W215" s="18"/>
      <c r="X215" s="18"/>
      <c r="Y215" s="18"/>
      <c r="Z215" s="18">
        <f t="shared" si="12"/>
        <v>0</v>
      </c>
      <c r="AA215" s="309">
        <v>1000</v>
      </c>
      <c r="AB215" s="19">
        <v>3</v>
      </c>
      <c r="AC215" s="521">
        <v>44222</v>
      </c>
      <c r="AD215" s="25">
        <v>44225</v>
      </c>
      <c r="AE215" s="309"/>
      <c r="AF215" s="314"/>
      <c r="AG215" s="315"/>
      <c r="AH215" s="316"/>
      <c r="AI215" s="309"/>
      <c r="AJ215" s="338"/>
      <c r="AK215" s="315"/>
      <c r="AL215" s="316"/>
      <c r="AM215" s="309"/>
      <c r="AN215" s="338"/>
      <c r="AO215" s="21"/>
      <c r="AP215" s="25"/>
      <c r="AQ215" s="309"/>
      <c r="AR215" s="19"/>
      <c r="AS215" s="21"/>
      <c r="AT215" s="25"/>
      <c r="AU215" s="522">
        <f t="shared" si="13"/>
        <v>1000</v>
      </c>
      <c r="AV215" s="311">
        <f t="shared" si="14"/>
        <v>1000</v>
      </c>
      <c r="AW215" s="305"/>
      <c r="AX215" s="291"/>
      <c r="AY215" s="291"/>
      <c r="AZ215" s="291"/>
      <c r="BA215" s="291"/>
      <c r="BB215" s="291"/>
      <c r="BC215" s="291"/>
      <c r="BD215" s="291"/>
      <c r="BE215" s="291"/>
      <c r="BF215" s="291"/>
      <c r="BG215" s="291"/>
      <c r="BH215" s="291"/>
      <c r="BI215" s="291"/>
      <c r="BJ215" s="291"/>
      <c r="BK215" s="291"/>
      <c r="BL215" s="291"/>
      <c r="BM215" s="291"/>
      <c r="BN215" s="291"/>
      <c r="BO215" s="291"/>
      <c r="BP215" s="291"/>
      <c r="BQ215" s="291"/>
      <c r="BR215" s="291"/>
      <c r="BS215" s="291"/>
      <c r="BT215" s="291"/>
      <c r="BU215" s="291"/>
      <c r="BV215" s="291"/>
      <c r="BW215" s="291"/>
      <c r="BX215" s="291"/>
      <c r="BY215" s="291"/>
      <c r="BZ215" s="291"/>
      <c r="CA215" s="291"/>
      <c r="CB215" s="291"/>
      <c r="CC215" s="291"/>
      <c r="CD215" s="291"/>
      <c r="CE215" s="291"/>
      <c r="CF215" s="291"/>
      <c r="CG215" s="291"/>
      <c r="CH215" s="291"/>
      <c r="CI215" s="291"/>
      <c r="CJ215" s="291"/>
      <c r="CK215" s="291"/>
      <c r="CL215" s="291"/>
      <c r="CM215" s="291"/>
      <c r="CN215" s="291"/>
      <c r="CO215" s="291"/>
      <c r="CP215" s="291"/>
      <c r="CQ215" s="291"/>
      <c r="CR215" s="291"/>
      <c r="CS215" s="291"/>
      <c r="CT215" s="291"/>
      <c r="CU215" s="291"/>
      <c r="CV215" s="291"/>
      <c r="CW215" s="291"/>
      <c r="CX215" s="291"/>
      <c r="CY215" s="291"/>
      <c r="CZ215" s="291"/>
      <c r="DA215" s="291"/>
      <c r="DB215" s="291"/>
      <c r="DC215" s="291"/>
      <c r="DD215" s="291"/>
      <c r="DE215" s="291"/>
      <c r="DF215" s="291"/>
      <c r="DG215" s="291"/>
      <c r="DH215" s="291"/>
      <c r="DI215" s="291"/>
      <c r="DJ215" s="291"/>
      <c r="DK215" s="291"/>
      <c r="DL215" s="291"/>
      <c r="DM215" s="291"/>
      <c r="DN215" s="291"/>
      <c r="DO215" s="291"/>
      <c r="DP215" s="291"/>
      <c r="DQ215" s="291"/>
      <c r="DR215" s="291"/>
      <c r="DS215" s="291"/>
      <c r="DT215" s="291"/>
      <c r="DU215" s="291"/>
      <c r="DV215" s="291"/>
      <c r="DW215" s="291"/>
      <c r="DX215" s="291"/>
      <c r="DY215" s="291"/>
      <c r="DZ215" s="291"/>
      <c r="EA215" s="291"/>
      <c r="EB215" s="291"/>
      <c r="EC215" s="291"/>
      <c r="ED215" s="291"/>
      <c r="EE215" s="291"/>
      <c r="EF215" s="291"/>
      <c r="EG215" s="291"/>
      <c r="EH215" s="291"/>
      <c r="EI215" s="291"/>
      <c r="EJ215" s="291"/>
      <c r="EK215" s="291"/>
      <c r="EL215" s="291"/>
      <c r="EM215" s="291"/>
      <c r="EN215" s="291"/>
      <c r="EO215" s="291"/>
      <c r="EP215" s="291"/>
      <c r="EQ215" s="291"/>
      <c r="ER215" s="291"/>
      <c r="ES215" s="291"/>
      <c r="ET215" s="291"/>
      <c r="EU215" s="291"/>
      <c r="EV215" s="291"/>
      <c r="EW215" s="291"/>
      <c r="EX215" s="291"/>
      <c r="EY215" s="291"/>
      <c r="EZ215" s="291"/>
      <c r="FA215" s="291"/>
      <c r="FB215" s="291"/>
      <c r="FC215" s="291"/>
      <c r="FD215" s="291"/>
      <c r="FE215" s="291"/>
      <c r="FF215" s="291"/>
      <c r="FG215" s="291"/>
      <c r="FH215" s="291"/>
      <c r="FI215" s="291"/>
      <c r="FJ215" s="291"/>
      <c r="FK215" s="291"/>
      <c r="FL215" s="291"/>
      <c r="FM215" s="291"/>
      <c r="FN215" s="291"/>
      <c r="FO215" s="291"/>
      <c r="FP215" s="291"/>
      <c r="FQ215" s="291"/>
      <c r="FR215" s="291"/>
      <c r="FS215" s="291"/>
      <c r="FT215" s="291"/>
      <c r="FU215" s="291"/>
      <c r="FV215" s="291"/>
      <c r="FW215" s="291"/>
      <c r="FX215" s="291"/>
      <c r="FY215" s="291"/>
      <c r="FZ215" s="291"/>
      <c r="GA215" s="291"/>
      <c r="GB215" s="291"/>
      <c r="GC215" s="291"/>
      <c r="GD215" s="291"/>
      <c r="GE215" s="291"/>
      <c r="GF215" s="291"/>
      <c r="GG215" s="291"/>
      <c r="GH215" s="291"/>
      <c r="GI215" s="291"/>
      <c r="GJ215" s="291"/>
      <c r="GK215" s="291"/>
      <c r="GL215" s="291"/>
      <c r="GM215" s="291"/>
      <c r="GN215" s="291"/>
      <c r="GO215" s="291"/>
      <c r="GP215" s="291"/>
      <c r="GQ215" s="291"/>
      <c r="GR215" s="291"/>
      <c r="GS215" s="291"/>
      <c r="GT215" s="291"/>
      <c r="GU215" s="291"/>
      <c r="GV215" s="291"/>
      <c r="GW215" s="291"/>
      <c r="GX215" s="291"/>
      <c r="GY215" s="291"/>
      <c r="GZ215" s="291"/>
      <c r="HA215" s="291"/>
      <c r="HB215" s="291"/>
      <c r="HC215" s="291"/>
      <c r="HD215" s="291"/>
      <c r="HE215" s="291"/>
      <c r="HF215" s="291"/>
      <c r="HG215" s="291"/>
      <c r="HH215" s="291"/>
      <c r="HI215" s="291"/>
      <c r="HJ215" s="291"/>
      <c r="HK215" s="291"/>
      <c r="HL215" s="291"/>
      <c r="HM215" s="291"/>
      <c r="HN215" s="291"/>
      <c r="HO215" s="291"/>
      <c r="HP215" s="291"/>
      <c r="HQ215" s="291"/>
      <c r="HR215" s="291"/>
      <c r="HS215" s="291"/>
      <c r="HT215" s="291"/>
      <c r="HU215" s="291"/>
      <c r="HV215" s="291"/>
      <c r="HW215" s="291"/>
      <c r="HX215" s="291"/>
      <c r="HY215" s="291"/>
      <c r="HZ215" s="291"/>
      <c r="IA215" s="291"/>
      <c r="IB215" s="291"/>
      <c r="IC215" s="291"/>
      <c r="ID215" s="291"/>
      <c r="IE215" s="291"/>
      <c r="IF215" s="291"/>
      <c r="IG215" s="291"/>
      <c r="IH215" s="291"/>
      <c r="II215" s="291"/>
      <c r="IJ215" s="291"/>
      <c r="IK215" s="291"/>
      <c r="IL215" s="291"/>
      <c r="IM215" s="291"/>
      <c r="IN215" s="291"/>
      <c r="IO215" s="291"/>
      <c r="IP215" s="291"/>
      <c r="IQ215" s="291"/>
      <c r="IR215" s="291"/>
      <c r="IS215" s="291"/>
      <c r="IT215" s="291"/>
      <c r="IU215" s="291"/>
      <c r="IV215" s="291"/>
      <c r="IW215" s="291"/>
      <c r="IX215" s="291"/>
      <c r="IY215" s="291"/>
      <c r="IZ215" s="291"/>
      <c r="JA215" s="291"/>
      <c r="JB215" s="291"/>
      <c r="JC215" s="291"/>
      <c r="JD215" s="291"/>
      <c r="JE215" s="291"/>
      <c r="JF215" s="291"/>
      <c r="JG215" s="291"/>
      <c r="JH215" s="291"/>
      <c r="JI215" s="291"/>
      <c r="JJ215" s="291"/>
      <c r="JK215" s="291"/>
      <c r="JL215" s="291"/>
      <c r="JM215" s="291"/>
      <c r="JN215" s="291"/>
      <c r="JO215" s="291"/>
      <c r="JP215" s="291"/>
      <c r="JQ215" s="291"/>
      <c r="JR215" s="291"/>
      <c r="JS215" s="291"/>
      <c r="JT215" s="291"/>
      <c r="JU215" s="291"/>
      <c r="JV215" s="291"/>
      <c r="JW215" s="291"/>
      <c r="JX215" s="291"/>
      <c r="JY215" s="291"/>
      <c r="JZ215" s="291"/>
      <c r="KA215" s="291"/>
      <c r="KB215" s="291"/>
      <c r="KC215" s="291"/>
      <c r="KD215" s="291"/>
      <c r="KE215" s="291"/>
      <c r="KF215" s="291"/>
      <c r="KG215" s="291"/>
      <c r="KH215" s="291"/>
      <c r="KI215" s="291"/>
      <c r="KJ215" s="291"/>
      <c r="KK215" s="291"/>
      <c r="KL215" s="291"/>
      <c r="KM215" s="291"/>
      <c r="KN215" s="291"/>
      <c r="KO215" s="291"/>
      <c r="KP215" s="291"/>
      <c r="KQ215" s="291"/>
      <c r="KR215" s="291"/>
      <c r="KS215" s="291"/>
      <c r="KT215" s="291"/>
      <c r="KU215" s="291"/>
      <c r="KV215" s="291"/>
      <c r="KW215" s="291"/>
      <c r="KX215" s="291"/>
      <c r="KY215" s="291"/>
      <c r="KZ215" s="291"/>
      <c r="LA215" s="291"/>
      <c r="LB215" s="291"/>
      <c r="LC215" s="291"/>
      <c r="LD215" s="291"/>
      <c r="LE215" s="291"/>
      <c r="LF215" s="291"/>
      <c r="LG215" s="291"/>
      <c r="LH215" s="291"/>
      <c r="LI215" s="291"/>
      <c r="LJ215" s="291"/>
      <c r="LK215" s="291"/>
      <c r="LL215" s="291"/>
      <c r="LM215" s="291"/>
      <c r="LN215" s="291"/>
      <c r="LO215" s="291"/>
      <c r="LP215" s="291"/>
      <c r="LQ215" s="291"/>
      <c r="LR215" s="291"/>
      <c r="LS215" s="291"/>
      <c r="LT215" s="291"/>
      <c r="LU215" s="291"/>
      <c r="LV215" s="291"/>
      <c r="LW215" s="291"/>
      <c r="LX215" s="291"/>
      <c r="LY215" s="291"/>
      <c r="LZ215" s="291"/>
      <c r="MA215" s="291"/>
      <c r="MB215" s="291"/>
      <c r="MC215" s="291"/>
      <c r="MD215" s="291"/>
      <c r="ME215" s="291"/>
      <c r="MF215" s="291"/>
      <c r="MG215" s="291"/>
      <c r="MH215" s="291"/>
      <c r="MI215" s="291"/>
      <c r="MJ215" s="291"/>
      <c r="MK215" s="291"/>
      <c r="ML215" s="291"/>
      <c r="MM215" s="291"/>
      <c r="MN215" s="291"/>
      <c r="MO215" s="291"/>
      <c r="MP215" s="291"/>
      <c r="MQ215" s="291"/>
      <c r="MR215" s="291"/>
      <c r="MS215" s="291"/>
      <c r="MT215" s="291"/>
      <c r="MU215" s="291"/>
      <c r="MV215" s="291"/>
      <c r="MW215" s="291"/>
      <c r="MX215" s="291"/>
      <c r="MY215" s="291"/>
      <c r="MZ215" s="291"/>
      <c r="NA215" s="291"/>
      <c r="NB215" s="291"/>
      <c r="NC215" s="291"/>
      <c r="ND215" s="291"/>
      <c r="NE215" s="291"/>
      <c r="NF215" s="291"/>
      <c r="NG215" s="291"/>
      <c r="NH215" s="291"/>
      <c r="NI215" s="291"/>
      <c r="NJ215" s="291"/>
      <c r="NK215" s="291"/>
      <c r="NL215" s="291"/>
      <c r="NM215" s="291"/>
      <c r="NN215" s="291"/>
      <c r="NO215" s="291"/>
      <c r="NP215" s="291"/>
      <c r="NQ215" s="291"/>
      <c r="NR215" s="291"/>
      <c r="NS215" s="291"/>
      <c r="NT215" s="291"/>
      <c r="NU215" s="291"/>
      <c r="NV215" s="291"/>
      <c r="NW215" s="291"/>
      <c r="NX215" s="291"/>
      <c r="NY215" s="291"/>
      <c r="NZ215" s="291"/>
      <c r="OA215" s="291"/>
      <c r="OB215" s="291"/>
      <c r="OC215" s="291"/>
      <c r="OD215" s="291"/>
      <c r="OE215" s="291"/>
      <c r="OF215" s="291"/>
      <c r="OG215" s="291"/>
      <c r="OH215" s="291"/>
      <c r="OI215" s="291"/>
      <c r="OJ215" s="291"/>
      <c r="OK215" s="291"/>
      <c r="OL215" s="291"/>
      <c r="OM215" s="291"/>
      <c r="ON215" s="291"/>
      <c r="OO215" s="291"/>
      <c r="OP215" s="291"/>
      <c r="OQ215" s="291"/>
      <c r="OR215" s="291"/>
      <c r="OS215" s="291"/>
      <c r="OT215" s="291"/>
      <c r="OU215" s="291"/>
      <c r="OV215" s="291"/>
      <c r="OW215" s="291"/>
    </row>
    <row r="216" spans="1:413" s="257" customFormat="1" hidden="1" x14ac:dyDescent="0.2">
      <c r="A216" s="291"/>
      <c r="B216" s="524">
        <f t="shared" si="15"/>
        <v>200</v>
      </c>
      <c r="C216" s="510" t="s">
        <v>38</v>
      </c>
      <c r="D216" s="511">
        <v>40006858</v>
      </c>
      <c r="E216" s="511"/>
      <c r="F216" s="512" t="s">
        <v>1373</v>
      </c>
      <c r="G216" s="513" t="s">
        <v>45</v>
      </c>
      <c r="H216" s="514" t="s">
        <v>1094</v>
      </c>
      <c r="I216" s="515" t="s">
        <v>1134</v>
      </c>
      <c r="J216" s="346" t="s">
        <v>43</v>
      </c>
      <c r="K216" s="526">
        <v>1607751</v>
      </c>
      <c r="L216" s="527">
        <v>4575</v>
      </c>
      <c r="M216" s="528">
        <v>1602176</v>
      </c>
      <c r="N216" s="520">
        <v>0</v>
      </c>
      <c r="O216" s="520">
        <v>0</v>
      </c>
      <c r="P216" s="520">
        <v>0</v>
      </c>
      <c r="Q216" s="520">
        <v>0</v>
      </c>
      <c r="R216" s="520">
        <v>0</v>
      </c>
      <c r="S216" s="520">
        <v>0</v>
      </c>
      <c r="T216" s="18"/>
      <c r="U216" s="18"/>
      <c r="V216" s="18"/>
      <c r="W216" s="18"/>
      <c r="X216" s="18"/>
      <c r="Y216" s="18"/>
      <c r="Z216" s="18">
        <f t="shared" si="12"/>
        <v>0</v>
      </c>
      <c r="AA216" s="309">
        <v>1000</v>
      </c>
      <c r="AB216" s="19">
        <v>3</v>
      </c>
      <c r="AC216" s="521">
        <v>44222</v>
      </c>
      <c r="AD216" s="25">
        <v>44225</v>
      </c>
      <c r="AE216" s="309"/>
      <c r="AF216" s="314"/>
      <c r="AG216" s="315"/>
      <c r="AH216" s="316"/>
      <c r="AI216" s="309"/>
      <c r="AJ216" s="338"/>
      <c r="AK216" s="315"/>
      <c r="AL216" s="316"/>
      <c r="AM216" s="309"/>
      <c r="AN216" s="338"/>
      <c r="AO216" s="21"/>
      <c r="AP216" s="25"/>
      <c r="AQ216" s="309"/>
      <c r="AR216" s="19"/>
      <c r="AS216" s="21"/>
      <c r="AT216" s="25"/>
      <c r="AU216" s="522">
        <f t="shared" si="13"/>
        <v>1000</v>
      </c>
      <c r="AV216" s="311">
        <f t="shared" si="14"/>
        <v>1000</v>
      </c>
      <c r="AW216" s="305"/>
      <c r="AX216" s="291"/>
      <c r="AY216" s="291"/>
      <c r="AZ216" s="291"/>
      <c r="BA216" s="291"/>
      <c r="BB216" s="291"/>
      <c r="BC216" s="291"/>
      <c r="BD216" s="291"/>
      <c r="BE216" s="291"/>
      <c r="BF216" s="291"/>
      <c r="BG216" s="291"/>
      <c r="BH216" s="291"/>
      <c r="BI216" s="291"/>
      <c r="BJ216" s="291"/>
      <c r="BK216" s="291"/>
      <c r="BL216" s="291"/>
      <c r="BM216" s="291"/>
      <c r="BN216" s="291"/>
      <c r="BO216" s="291"/>
      <c r="BP216" s="291"/>
      <c r="BQ216" s="291"/>
      <c r="BR216" s="291"/>
      <c r="BS216" s="291"/>
      <c r="BT216" s="291"/>
      <c r="BU216" s="291"/>
      <c r="BV216" s="291"/>
      <c r="BW216" s="291"/>
      <c r="BX216" s="291"/>
      <c r="BY216" s="291"/>
      <c r="BZ216" s="291"/>
      <c r="CA216" s="291"/>
      <c r="CB216" s="291"/>
      <c r="CC216" s="291"/>
      <c r="CD216" s="291"/>
      <c r="CE216" s="291"/>
      <c r="CF216" s="291"/>
      <c r="CG216" s="291"/>
      <c r="CH216" s="291"/>
      <c r="CI216" s="291"/>
      <c r="CJ216" s="291"/>
      <c r="CK216" s="291"/>
      <c r="CL216" s="291"/>
      <c r="CM216" s="291"/>
      <c r="CN216" s="291"/>
      <c r="CO216" s="291"/>
      <c r="CP216" s="291"/>
      <c r="CQ216" s="291"/>
      <c r="CR216" s="291"/>
      <c r="CS216" s="291"/>
      <c r="CT216" s="291"/>
      <c r="CU216" s="291"/>
      <c r="CV216" s="291"/>
      <c r="CW216" s="291"/>
      <c r="CX216" s="291"/>
      <c r="CY216" s="291"/>
      <c r="CZ216" s="291"/>
      <c r="DA216" s="291"/>
      <c r="DB216" s="291"/>
      <c r="DC216" s="291"/>
      <c r="DD216" s="291"/>
      <c r="DE216" s="291"/>
      <c r="DF216" s="291"/>
      <c r="DG216" s="291"/>
      <c r="DH216" s="291"/>
      <c r="DI216" s="291"/>
      <c r="DJ216" s="291"/>
      <c r="DK216" s="291"/>
      <c r="DL216" s="291"/>
      <c r="DM216" s="291"/>
      <c r="DN216" s="291"/>
      <c r="DO216" s="291"/>
      <c r="DP216" s="291"/>
      <c r="DQ216" s="291"/>
      <c r="DR216" s="291"/>
      <c r="DS216" s="291"/>
      <c r="DT216" s="291"/>
      <c r="DU216" s="291"/>
      <c r="DV216" s="291"/>
      <c r="DW216" s="291"/>
      <c r="DX216" s="291"/>
      <c r="DY216" s="291"/>
      <c r="DZ216" s="291"/>
      <c r="EA216" s="291"/>
      <c r="EB216" s="291"/>
      <c r="EC216" s="291"/>
      <c r="ED216" s="291"/>
      <c r="EE216" s="291"/>
      <c r="EF216" s="291"/>
      <c r="EG216" s="291"/>
      <c r="EH216" s="291"/>
      <c r="EI216" s="291"/>
      <c r="EJ216" s="291"/>
      <c r="EK216" s="291"/>
      <c r="EL216" s="291"/>
      <c r="EM216" s="291"/>
      <c r="EN216" s="291"/>
      <c r="EO216" s="291"/>
      <c r="EP216" s="291"/>
      <c r="EQ216" s="291"/>
      <c r="ER216" s="291"/>
      <c r="ES216" s="291"/>
      <c r="ET216" s="291"/>
      <c r="EU216" s="291"/>
      <c r="EV216" s="291"/>
      <c r="EW216" s="291"/>
      <c r="EX216" s="291"/>
      <c r="EY216" s="291"/>
      <c r="EZ216" s="291"/>
      <c r="FA216" s="291"/>
      <c r="FB216" s="291"/>
      <c r="FC216" s="291"/>
      <c r="FD216" s="291"/>
      <c r="FE216" s="291"/>
      <c r="FF216" s="291"/>
      <c r="FG216" s="291"/>
      <c r="FH216" s="291"/>
      <c r="FI216" s="291"/>
      <c r="FJ216" s="291"/>
      <c r="FK216" s="291"/>
      <c r="FL216" s="291"/>
      <c r="FM216" s="291"/>
      <c r="FN216" s="291"/>
      <c r="FO216" s="291"/>
      <c r="FP216" s="291"/>
      <c r="FQ216" s="291"/>
      <c r="FR216" s="291"/>
      <c r="FS216" s="291"/>
      <c r="FT216" s="291"/>
      <c r="FU216" s="291"/>
      <c r="FV216" s="291"/>
      <c r="FW216" s="291"/>
      <c r="FX216" s="291"/>
      <c r="FY216" s="291"/>
      <c r="FZ216" s="291"/>
      <c r="GA216" s="291"/>
      <c r="GB216" s="291"/>
      <c r="GC216" s="291"/>
      <c r="GD216" s="291"/>
      <c r="GE216" s="291"/>
      <c r="GF216" s="291"/>
      <c r="GG216" s="291"/>
      <c r="GH216" s="291"/>
      <c r="GI216" s="291"/>
      <c r="GJ216" s="291"/>
      <c r="GK216" s="291"/>
      <c r="GL216" s="291"/>
      <c r="GM216" s="291"/>
      <c r="GN216" s="291"/>
      <c r="GO216" s="291"/>
      <c r="GP216" s="291"/>
      <c r="GQ216" s="291"/>
      <c r="GR216" s="291"/>
      <c r="GS216" s="291"/>
      <c r="GT216" s="291"/>
      <c r="GU216" s="291"/>
      <c r="GV216" s="291"/>
      <c r="GW216" s="291"/>
      <c r="GX216" s="291"/>
      <c r="GY216" s="291"/>
      <c r="GZ216" s="291"/>
      <c r="HA216" s="291"/>
      <c r="HB216" s="291"/>
      <c r="HC216" s="291"/>
      <c r="HD216" s="291"/>
      <c r="HE216" s="291"/>
      <c r="HF216" s="291"/>
      <c r="HG216" s="291"/>
      <c r="HH216" s="291"/>
      <c r="HI216" s="291"/>
      <c r="HJ216" s="291"/>
      <c r="HK216" s="291"/>
      <c r="HL216" s="291"/>
      <c r="HM216" s="291"/>
      <c r="HN216" s="291"/>
      <c r="HO216" s="291"/>
      <c r="HP216" s="291"/>
      <c r="HQ216" s="291"/>
      <c r="HR216" s="291"/>
      <c r="HS216" s="291"/>
      <c r="HT216" s="291"/>
      <c r="HU216" s="291"/>
      <c r="HV216" s="291"/>
      <c r="HW216" s="291"/>
      <c r="HX216" s="291"/>
      <c r="HY216" s="291"/>
      <c r="HZ216" s="291"/>
      <c r="IA216" s="291"/>
      <c r="IB216" s="291"/>
      <c r="IC216" s="291"/>
      <c r="ID216" s="291"/>
      <c r="IE216" s="291"/>
      <c r="IF216" s="291"/>
      <c r="IG216" s="291"/>
      <c r="IH216" s="291"/>
      <c r="II216" s="291"/>
      <c r="IJ216" s="291"/>
      <c r="IK216" s="291"/>
      <c r="IL216" s="291"/>
      <c r="IM216" s="291"/>
      <c r="IN216" s="291"/>
      <c r="IO216" s="291"/>
      <c r="IP216" s="291"/>
      <c r="IQ216" s="291"/>
      <c r="IR216" s="291"/>
      <c r="IS216" s="291"/>
      <c r="IT216" s="291"/>
      <c r="IU216" s="291"/>
      <c r="IV216" s="291"/>
      <c r="IW216" s="291"/>
      <c r="IX216" s="291"/>
      <c r="IY216" s="291"/>
      <c r="IZ216" s="291"/>
      <c r="JA216" s="291"/>
      <c r="JB216" s="291"/>
      <c r="JC216" s="291"/>
      <c r="JD216" s="291"/>
      <c r="JE216" s="291"/>
      <c r="JF216" s="291"/>
      <c r="JG216" s="291"/>
      <c r="JH216" s="291"/>
      <c r="JI216" s="291"/>
      <c r="JJ216" s="291"/>
      <c r="JK216" s="291"/>
      <c r="JL216" s="291"/>
      <c r="JM216" s="291"/>
      <c r="JN216" s="291"/>
      <c r="JO216" s="291"/>
      <c r="JP216" s="291"/>
      <c r="JQ216" s="291"/>
      <c r="JR216" s="291"/>
      <c r="JS216" s="291"/>
      <c r="JT216" s="291"/>
      <c r="JU216" s="291"/>
      <c r="JV216" s="291"/>
      <c r="JW216" s="291"/>
      <c r="JX216" s="291"/>
      <c r="JY216" s="291"/>
      <c r="JZ216" s="291"/>
      <c r="KA216" s="291"/>
      <c r="KB216" s="291"/>
      <c r="KC216" s="291"/>
      <c r="KD216" s="291"/>
      <c r="KE216" s="291"/>
      <c r="KF216" s="291"/>
      <c r="KG216" s="291"/>
      <c r="KH216" s="291"/>
      <c r="KI216" s="291"/>
      <c r="KJ216" s="291"/>
      <c r="KK216" s="291"/>
      <c r="KL216" s="291"/>
      <c r="KM216" s="291"/>
      <c r="KN216" s="291"/>
      <c r="KO216" s="291"/>
      <c r="KP216" s="291"/>
      <c r="KQ216" s="291"/>
      <c r="KR216" s="291"/>
      <c r="KS216" s="291"/>
      <c r="KT216" s="291"/>
      <c r="KU216" s="291"/>
      <c r="KV216" s="291"/>
      <c r="KW216" s="291"/>
      <c r="KX216" s="291"/>
      <c r="KY216" s="291"/>
      <c r="KZ216" s="291"/>
      <c r="LA216" s="291"/>
      <c r="LB216" s="291"/>
      <c r="LC216" s="291"/>
      <c r="LD216" s="291"/>
      <c r="LE216" s="291"/>
      <c r="LF216" s="291"/>
      <c r="LG216" s="291"/>
      <c r="LH216" s="291"/>
      <c r="LI216" s="291"/>
      <c r="LJ216" s="291"/>
      <c r="LK216" s="291"/>
      <c r="LL216" s="291"/>
      <c r="LM216" s="291"/>
      <c r="LN216" s="291"/>
      <c r="LO216" s="291"/>
      <c r="LP216" s="291"/>
      <c r="LQ216" s="291"/>
      <c r="LR216" s="291"/>
      <c r="LS216" s="291"/>
      <c r="LT216" s="291"/>
      <c r="LU216" s="291"/>
      <c r="LV216" s="291"/>
      <c r="LW216" s="291"/>
      <c r="LX216" s="291"/>
      <c r="LY216" s="291"/>
      <c r="LZ216" s="291"/>
      <c r="MA216" s="291"/>
      <c r="MB216" s="291"/>
      <c r="MC216" s="291"/>
      <c r="MD216" s="291"/>
      <c r="ME216" s="291"/>
      <c r="MF216" s="291"/>
      <c r="MG216" s="291"/>
      <c r="MH216" s="291"/>
      <c r="MI216" s="291"/>
      <c r="MJ216" s="291"/>
      <c r="MK216" s="291"/>
      <c r="ML216" s="291"/>
      <c r="MM216" s="291"/>
      <c r="MN216" s="291"/>
      <c r="MO216" s="291"/>
      <c r="MP216" s="291"/>
      <c r="MQ216" s="291"/>
      <c r="MR216" s="291"/>
      <c r="MS216" s="291"/>
      <c r="MT216" s="291"/>
      <c r="MU216" s="291"/>
      <c r="MV216" s="291"/>
      <c r="MW216" s="291"/>
      <c r="MX216" s="291"/>
      <c r="MY216" s="291"/>
      <c r="MZ216" s="291"/>
      <c r="NA216" s="291"/>
      <c r="NB216" s="291"/>
      <c r="NC216" s="291"/>
      <c r="ND216" s="291"/>
      <c r="NE216" s="291"/>
      <c r="NF216" s="291"/>
      <c r="NG216" s="291"/>
      <c r="NH216" s="291"/>
      <c r="NI216" s="291"/>
      <c r="NJ216" s="291"/>
      <c r="NK216" s="291"/>
      <c r="NL216" s="291"/>
      <c r="NM216" s="291"/>
      <c r="NN216" s="291"/>
      <c r="NO216" s="291"/>
      <c r="NP216" s="291"/>
      <c r="NQ216" s="291"/>
      <c r="NR216" s="291"/>
      <c r="NS216" s="291"/>
      <c r="NT216" s="291"/>
      <c r="NU216" s="291"/>
      <c r="NV216" s="291"/>
      <c r="NW216" s="291"/>
      <c r="NX216" s="291"/>
      <c r="NY216" s="291"/>
      <c r="NZ216" s="291"/>
      <c r="OA216" s="291"/>
      <c r="OB216" s="291"/>
      <c r="OC216" s="291"/>
      <c r="OD216" s="291"/>
      <c r="OE216" s="291"/>
      <c r="OF216" s="291"/>
      <c r="OG216" s="291"/>
      <c r="OH216" s="291"/>
      <c r="OI216" s="291"/>
      <c r="OJ216" s="291"/>
      <c r="OK216" s="291"/>
      <c r="OL216" s="291"/>
      <c r="OM216" s="291"/>
      <c r="ON216" s="291"/>
      <c r="OO216" s="291"/>
      <c r="OP216" s="291"/>
      <c r="OQ216" s="291"/>
      <c r="OR216" s="291"/>
      <c r="OS216" s="291"/>
      <c r="OT216" s="291"/>
      <c r="OU216" s="291"/>
      <c r="OV216" s="291"/>
      <c r="OW216" s="291"/>
    </row>
    <row r="217" spans="1:413" s="257" customFormat="1" hidden="1" x14ac:dyDescent="0.2">
      <c r="A217" s="291"/>
      <c r="B217" s="524">
        <f t="shared" si="15"/>
        <v>201</v>
      </c>
      <c r="C217" s="510" t="s">
        <v>38</v>
      </c>
      <c r="D217" s="511">
        <v>40006862</v>
      </c>
      <c r="E217" s="511"/>
      <c r="F217" s="512" t="s">
        <v>1374</v>
      </c>
      <c r="G217" s="513" t="s">
        <v>45</v>
      </c>
      <c r="H217" s="514" t="s">
        <v>1094</v>
      </c>
      <c r="I217" s="515" t="s">
        <v>1103</v>
      </c>
      <c r="J217" s="346" t="s">
        <v>42</v>
      </c>
      <c r="K217" s="526">
        <v>403876</v>
      </c>
      <c r="L217" s="527">
        <v>400668</v>
      </c>
      <c r="M217" s="528">
        <v>0</v>
      </c>
      <c r="N217" s="520">
        <v>0</v>
      </c>
      <c r="O217" s="520">
        <v>2308</v>
      </c>
      <c r="P217" s="520">
        <v>0</v>
      </c>
      <c r="Q217" s="520">
        <v>0</v>
      </c>
      <c r="R217" s="520">
        <v>0</v>
      </c>
      <c r="S217" s="520">
        <v>0</v>
      </c>
      <c r="T217" s="18"/>
      <c r="U217" s="18"/>
      <c r="V217" s="18"/>
      <c r="W217" s="18"/>
      <c r="X217" s="18"/>
      <c r="Y217" s="18"/>
      <c r="Z217" s="18">
        <f t="shared" si="12"/>
        <v>2308</v>
      </c>
      <c r="AA217" s="309">
        <v>2308</v>
      </c>
      <c r="AB217" s="19">
        <v>11</v>
      </c>
      <c r="AC217" s="521">
        <v>44237</v>
      </c>
      <c r="AD217" s="25">
        <v>44251</v>
      </c>
      <c r="AE217" s="309"/>
      <c r="AF217" s="314"/>
      <c r="AG217" s="315"/>
      <c r="AH217" s="316"/>
      <c r="AI217" s="309"/>
      <c r="AJ217" s="338"/>
      <c r="AK217" s="315"/>
      <c r="AL217" s="316"/>
      <c r="AM217" s="309"/>
      <c r="AN217" s="338"/>
      <c r="AO217" s="21"/>
      <c r="AP217" s="25"/>
      <c r="AQ217" s="309"/>
      <c r="AR217" s="19"/>
      <c r="AS217" s="21"/>
      <c r="AT217" s="25"/>
      <c r="AU217" s="522">
        <f t="shared" si="13"/>
        <v>2308</v>
      </c>
      <c r="AV217" s="311">
        <f t="shared" si="14"/>
        <v>0</v>
      </c>
      <c r="AW217" s="305"/>
      <c r="AX217" s="291"/>
      <c r="AY217" s="291"/>
      <c r="AZ217" s="291"/>
      <c r="BA217" s="291"/>
      <c r="BB217" s="291"/>
      <c r="BC217" s="291"/>
      <c r="BD217" s="291"/>
      <c r="BE217" s="291"/>
      <c r="BF217" s="291"/>
      <c r="BG217" s="291"/>
      <c r="BH217" s="291"/>
      <c r="BI217" s="291"/>
      <c r="BJ217" s="291"/>
      <c r="BK217" s="291"/>
      <c r="BL217" s="291"/>
      <c r="BM217" s="291"/>
      <c r="BN217" s="291"/>
      <c r="BO217" s="291"/>
      <c r="BP217" s="291"/>
      <c r="BQ217" s="291"/>
      <c r="BR217" s="291"/>
      <c r="BS217" s="291"/>
      <c r="BT217" s="291"/>
      <c r="BU217" s="291"/>
      <c r="BV217" s="291"/>
      <c r="BW217" s="291"/>
      <c r="BX217" s="291"/>
      <c r="BY217" s="291"/>
      <c r="BZ217" s="291"/>
      <c r="CA217" s="291"/>
      <c r="CB217" s="291"/>
      <c r="CC217" s="291"/>
      <c r="CD217" s="291"/>
      <c r="CE217" s="291"/>
      <c r="CF217" s="291"/>
      <c r="CG217" s="291"/>
      <c r="CH217" s="291"/>
      <c r="CI217" s="291"/>
      <c r="CJ217" s="291"/>
      <c r="CK217" s="291"/>
      <c r="CL217" s="291"/>
      <c r="CM217" s="291"/>
      <c r="CN217" s="291"/>
      <c r="CO217" s="291"/>
      <c r="CP217" s="291"/>
      <c r="CQ217" s="291"/>
      <c r="CR217" s="291"/>
      <c r="CS217" s="291"/>
      <c r="CT217" s="291"/>
      <c r="CU217" s="291"/>
      <c r="CV217" s="291"/>
      <c r="CW217" s="291"/>
      <c r="CX217" s="291"/>
      <c r="CY217" s="291"/>
      <c r="CZ217" s="291"/>
      <c r="DA217" s="291"/>
      <c r="DB217" s="291"/>
      <c r="DC217" s="291"/>
      <c r="DD217" s="291"/>
      <c r="DE217" s="291"/>
      <c r="DF217" s="291"/>
      <c r="DG217" s="291"/>
      <c r="DH217" s="291"/>
      <c r="DI217" s="291"/>
      <c r="DJ217" s="291"/>
      <c r="DK217" s="291"/>
      <c r="DL217" s="291"/>
      <c r="DM217" s="291"/>
      <c r="DN217" s="291"/>
      <c r="DO217" s="291"/>
      <c r="DP217" s="291"/>
      <c r="DQ217" s="291"/>
      <c r="DR217" s="291"/>
      <c r="DS217" s="291"/>
      <c r="DT217" s="291"/>
      <c r="DU217" s="291"/>
      <c r="DV217" s="291"/>
      <c r="DW217" s="291"/>
      <c r="DX217" s="291"/>
      <c r="DY217" s="291"/>
      <c r="DZ217" s="291"/>
      <c r="EA217" s="291"/>
      <c r="EB217" s="291"/>
      <c r="EC217" s="291"/>
      <c r="ED217" s="291"/>
      <c r="EE217" s="291"/>
      <c r="EF217" s="291"/>
      <c r="EG217" s="291"/>
      <c r="EH217" s="291"/>
      <c r="EI217" s="291"/>
      <c r="EJ217" s="291"/>
      <c r="EK217" s="291"/>
      <c r="EL217" s="291"/>
      <c r="EM217" s="291"/>
      <c r="EN217" s="291"/>
      <c r="EO217" s="291"/>
      <c r="EP217" s="291"/>
      <c r="EQ217" s="291"/>
      <c r="ER217" s="291"/>
      <c r="ES217" s="291"/>
      <c r="ET217" s="291"/>
      <c r="EU217" s="291"/>
      <c r="EV217" s="291"/>
      <c r="EW217" s="291"/>
      <c r="EX217" s="291"/>
      <c r="EY217" s="291"/>
      <c r="EZ217" s="291"/>
      <c r="FA217" s="291"/>
      <c r="FB217" s="291"/>
      <c r="FC217" s="291"/>
      <c r="FD217" s="291"/>
      <c r="FE217" s="291"/>
      <c r="FF217" s="291"/>
      <c r="FG217" s="291"/>
      <c r="FH217" s="291"/>
      <c r="FI217" s="291"/>
      <c r="FJ217" s="291"/>
      <c r="FK217" s="291"/>
      <c r="FL217" s="291"/>
      <c r="FM217" s="291"/>
      <c r="FN217" s="291"/>
      <c r="FO217" s="291"/>
      <c r="FP217" s="291"/>
      <c r="FQ217" s="291"/>
      <c r="FR217" s="291"/>
      <c r="FS217" s="291"/>
      <c r="FT217" s="291"/>
      <c r="FU217" s="291"/>
      <c r="FV217" s="291"/>
      <c r="FW217" s="291"/>
      <c r="FX217" s="291"/>
      <c r="FY217" s="291"/>
      <c r="FZ217" s="291"/>
      <c r="GA217" s="291"/>
      <c r="GB217" s="291"/>
      <c r="GC217" s="291"/>
      <c r="GD217" s="291"/>
      <c r="GE217" s="291"/>
      <c r="GF217" s="291"/>
      <c r="GG217" s="291"/>
      <c r="GH217" s="291"/>
      <c r="GI217" s="291"/>
      <c r="GJ217" s="291"/>
      <c r="GK217" s="291"/>
      <c r="GL217" s="291"/>
      <c r="GM217" s="291"/>
      <c r="GN217" s="291"/>
      <c r="GO217" s="291"/>
      <c r="GP217" s="291"/>
      <c r="GQ217" s="291"/>
      <c r="GR217" s="291"/>
      <c r="GS217" s="291"/>
      <c r="GT217" s="291"/>
      <c r="GU217" s="291"/>
      <c r="GV217" s="291"/>
      <c r="GW217" s="291"/>
      <c r="GX217" s="291"/>
      <c r="GY217" s="291"/>
      <c r="GZ217" s="291"/>
      <c r="HA217" s="291"/>
      <c r="HB217" s="291"/>
      <c r="HC217" s="291"/>
      <c r="HD217" s="291"/>
      <c r="HE217" s="291"/>
      <c r="HF217" s="291"/>
      <c r="HG217" s="291"/>
      <c r="HH217" s="291"/>
      <c r="HI217" s="291"/>
      <c r="HJ217" s="291"/>
      <c r="HK217" s="291"/>
      <c r="HL217" s="291"/>
      <c r="HM217" s="291"/>
      <c r="HN217" s="291"/>
      <c r="HO217" s="291"/>
      <c r="HP217" s="291"/>
      <c r="HQ217" s="291"/>
      <c r="HR217" s="291"/>
      <c r="HS217" s="291"/>
      <c r="HT217" s="291"/>
      <c r="HU217" s="291"/>
      <c r="HV217" s="291"/>
      <c r="HW217" s="291"/>
      <c r="HX217" s="291"/>
      <c r="HY217" s="291"/>
      <c r="HZ217" s="291"/>
      <c r="IA217" s="291"/>
      <c r="IB217" s="291"/>
      <c r="IC217" s="291"/>
      <c r="ID217" s="291"/>
      <c r="IE217" s="291"/>
      <c r="IF217" s="291"/>
      <c r="IG217" s="291"/>
      <c r="IH217" s="291"/>
      <c r="II217" s="291"/>
      <c r="IJ217" s="291"/>
      <c r="IK217" s="291"/>
      <c r="IL217" s="291"/>
      <c r="IM217" s="291"/>
      <c r="IN217" s="291"/>
      <c r="IO217" s="291"/>
      <c r="IP217" s="291"/>
      <c r="IQ217" s="291"/>
      <c r="IR217" s="291"/>
      <c r="IS217" s="291"/>
      <c r="IT217" s="291"/>
      <c r="IU217" s="291"/>
      <c r="IV217" s="291"/>
      <c r="IW217" s="291"/>
      <c r="IX217" s="291"/>
      <c r="IY217" s="291"/>
      <c r="IZ217" s="291"/>
      <c r="JA217" s="291"/>
      <c r="JB217" s="291"/>
      <c r="JC217" s="291"/>
      <c r="JD217" s="291"/>
      <c r="JE217" s="291"/>
      <c r="JF217" s="291"/>
      <c r="JG217" s="291"/>
      <c r="JH217" s="291"/>
      <c r="JI217" s="291"/>
      <c r="JJ217" s="291"/>
      <c r="JK217" s="291"/>
      <c r="JL217" s="291"/>
      <c r="JM217" s="291"/>
      <c r="JN217" s="291"/>
      <c r="JO217" s="291"/>
      <c r="JP217" s="291"/>
      <c r="JQ217" s="291"/>
      <c r="JR217" s="291"/>
      <c r="JS217" s="291"/>
      <c r="JT217" s="291"/>
      <c r="JU217" s="291"/>
      <c r="JV217" s="291"/>
      <c r="JW217" s="291"/>
      <c r="JX217" s="291"/>
      <c r="JY217" s="291"/>
      <c r="JZ217" s="291"/>
      <c r="KA217" s="291"/>
      <c r="KB217" s="291"/>
      <c r="KC217" s="291"/>
      <c r="KD217" s="291"/>
      <c r="KE217" s="291"/>
      <c r="KF217" s="291"/>
      <c r="KG217" s="291"/>
      <c r="KH217" s="291"/>
      <c r="KI217" s="291"/>
      <c r="KJ217" s="291"/>
      <c r="KK217" s="291"/>
      <c r="KL217" s="291"/>
      <c r="KM217" s="291"/>
      <c r="KN217" s="291"/>
      <c r="KO217" s="291"/>
      <c r="KP217" s="291"/>
      <c r="KQ217" s="291"/>
      <c r="KR217" s="291"/>
      <c r="KS217" s="291"/>
      <c r="KT217" s="291"/>
      <c r="KU217" s="291"/>
      <c r="KV217" s="291"/>
      <c r="KW217" s="291"/>
      <c r="KX217" s="291"/>
      <c r="KY217" s="291"/>
      <c r="KZ217" s="291"/>
      <c r="LA217" s="291"/>
      <c r="LB217" s="291"/>
      <c r="LC217" s="291"/>
      <c r="LD217" s="291"/>
      <c r="LE217" s="291"/>
      <c r="LF217" s="291"/>
      <c r="LG217" s="291"/>
      <c r="LH217" s="291"/>
      <c r="LI217" s="291"/>
      <c r="LJ217" s="291"/>
      <c r="LK217" s="291"/>
      <c r="LL217" s="291"/>
      <c r="LM217" s="291"/>
      <c r="LN217" s="291"/>
      <c r="LO217" s="291"/>
      <c r="LP217" s="291"/>
      <c r="LQ217" s="291"/>
      <c r="LR217" s="291"/>
      <c r="LS217" s="291"/>
      <c r="LT217" s="291"/>
      <c r="LU217" s="291"/>
      <c r="LV217" s="291"/>
      <c r="LW217" s="291"/>
      <c r="LX217" s="291"/>
      <c r="LY217" s="291"/>
      <c r="LZ217" s="291"/>
      <c r="MA217" s="291"/>
      <c r="MB217" s="291"/>
      <c r="MC217" s="291"/>
      <c r="MD217" s="291"/>
      <c r="ME217" s="291"/>
      <c r="MF217" s="291"/>
      <c r="MG217" s="291"/>
      <c r="MH217" s="291"/>
      <c r="MI217" s="291"/>
      <c r="MJ217" s="291"/>
      <c r="MK217" s="291"/>
      <c r="ML217" s="291"/>
      <c r="MM217" s="291"/>
      <c r="MN217" s="291"/>
      <c r="MO217" s="291"/>
      <c r="MP217" s="291"/>
      <c r="MQ217" s="291"/>
      <c r="MR217" s="291"/>
      <c r="MS217" s="291"/>
      <c r="MT217" s="291"/>
      <c r="MU217" s="291"/>
      <c r="MV217" s="291"/>
      <c r="MW217" s="291"/>
      <c r="MX217" s="291"/>
      <c r="MY217" s="291"/>
      <c r="MZ217" s="291"/>
      <c r="NA217" s="291"/>
      <c r="NB217" s="291"/>
      <c r="NC217" s="291"/>
      <c r="ND217" s="291"/>
      <c r="NE217" s="291"/>
      <c r="NF217" s="291"/>
      <c r="NG217" s="291"/>
      <c r="NH217" s="291"/>
      <c r="NI217" s="291"/>
      <c r="NJ217" s="291"/>
      <c r="NK217" s="291"/>
      <c r="NL217" s="291"/>
      <c r="NM217" s="291"/>
      <c r="NN217" s="291"/>
      <c r="NO217" s="291"/>
      <c r="NP217" s="291"/>
      <c r="NQ217" s="291"/>
      <c r="NR217" s="291"/>
      <c r="NS217" s="291"/>
      <c r="NT217" s="291"/>
      <c r="NU217" s="291"/>
      <c r="NV217" s="291"/>
      <c r="NW217" s="291"/>
      <c r="NX217" s="291"/>
      <c r="NY217" s="291"/>
      <c r="NZ217" s="291"/>
      <c r="OA217" s="291"/>
      <c r="OB217" s="291"/>
      <c r="OC217" s="291"/>
      <c r="OD217" s="291"/>
      <c r="OE217" s="291"/>
      <c r="OF217" s="291"/>
      <c r="OG217" s="291"/>
      <c r="OH217" s="291"/>
      <c r="OI217" s="291"/>
      <c r="OJ217" s="291"/>
      <c r="OK217" s="291"/>
      <c r="OL217" s="291"/>
      <c r="OM217" s="291"/>
      <c r="ON217" s="291"/>
      <c r="OO217" s="291"/>
      <c r="OP217" s="291"/>
      <c r="OQ217" s="291"/>
      <c r="OR217" s="291"/>
      <c r="OS217" s="291"/>
      <c r="OT217" s="291"/>
      <c r="OU217" s="291"/>
      <c r="OV217" s="291"/>
      <c r="OW217" s="291"/>
    </row>
    <row r="218" spans="1:413" s="257" customFormat="1" hidden="1" x14ac:dyDescent="0.2">
      <c r="A218" s="291"/>
      <c r="B218" s="524">
        <f t="shared" si="15"/>
        <v>202</v>
      </c>
      <c r="C218" s="510" t="s">
        <v>38</v>
      </c>
      <c r="D218" s="511">
        <v>40006874</v>
      </c>
      <c r="E218" s="511"/>
      <c r="F218" s="512" t="s">
        <v>1375</v>
      </c>
      <c r="G218" s="513" t="s">
        <v>45</v>
      </c>
      <c r="H218" s="514" t="s">
        <v>1094</v>
      </c>
      <c r="I218" s="515" t="s">
        <v>1099</v>
      </c>
      <c r="J218" s="346" t="s">
        <v>42</v>
      </c>
      <c r="K218" s="526">
        <v>1451568</v>
      </c>
      <c r="L218" s="527">
        <v>756702</v>
      </c>
      <c r="M218" s="528">
        <v>134687</v>
      </c>
      <c r="N218" s="519">
        <v>0</v>
      </c>
      <c r="O218" s="519">
        <v>276061</v>
      </c>
      <c r="P218" s="519">
        <v>114609</v>
      </c>
      <c r="Q218" s="519">
        <v>207015</v>
      </c>
      <c r="R218" s="519">
        <v>22905</v>
      </c>
      <c r="S218" s="520">
        <v>97666</v>
      </c>
      <c r="T218" s="18"/>
      <c r="U218" s="18"/>
      <c r="V218" s="18"/>
      <c r="W218" s="18"/>
      <c r="X218" s="18"/>
      <c r="Y218" s="18"/>
      <c r="Z218" s="18">
        <f t="shared" si="12"/>
        <v>718256</v>
      </c>
      <c r="AA218" s="309">
        <v>560179</v>
      </c>
      <c r="AB218" s="19">
        <v>11</v>
      </c>
      <c r="AC218" s="521">
        <v>44237</v>
      </c>
      <c r="AD218" s="25">
        <v>44251</v>
      </c>
      <c r="AE218" s="309"/>
      <c r="AF218" s="314"/>
      <c r="AG218" s="315"/>
      <c r="AH218" s="316"/>
      <c r="AI218" s="309"/>
      <c r="AJ218" s="338"/>
      <c r="AK218" s="315"/>
      <c r="AL218" s="316"/>
      <c r="AM218" s="309"/>
      <c r="AN218" s="338"/>
      <c r="AO218" s="21"/>
      <c r="AP218" s="25"/>
      <c r="AQ218" s="309"/>
      <c r="AR218" s="19"/>
      <c r="AS218" s="21"/>
      <c r="AT218" s="25"/>
      <c r="AU218" s="522">
        <f t="shared" si="13"/>
        <v>560179</v>
      </c>
      <c r="AV218" s="311">
        <f t="shared" si="14"/>
        <v>-158077</v>
      </c>
      <c r="AW218" s="305"/>
      <c r="AX218" s="291"/>
      <c r="AY218" s="291"/>
      <c r="AZ218" s="291"/>
      <c r="BA218" s="291"/>
      <c r="BB218" s="291"/>
      <c r="BC218" s="291"/>
      <c r="BD218" s="291"/>
      <c r="BE218" s="291"/>
      <c r="BF218" s="291"/>
      <c r="BG218" s="291"/>
      <c r="BH218" s="291"/>
      <c r="BI218" s="291"/>
      <c r="BJ218" s="291"/>
      <c r="BK218" s="291"/>
      <c r="BL218" s="291"/>
      <c r="BM218" s="291"/>
      <c r="BN218" s="291"/>
      <c r="BO218" s="291"/>
      <c r="BP218" s="291"/>
      <c r="BQ218" s="291"/>
      <c r="BR218" s="291"/>
      <c r="BS218" s="291"/>
      <c r="BT218" s="291"/>
      <c r="BU218" s="291"/>
      <c r="BV218" s="291"/>
      <c r="BW218" s="291"/>
      <c r="BX218" s="291"/>
      <c r="BY218" s="291"/>
      <c r="BZ218" s="291"/>
      <c r="CA218" s="291"/>
      <c r="CB218" s="291"/>
      <c r="CC218" s="291"/>
      <c r="CD218" s="291"/>
      <c r="CE218" s="291"/>
      <c r="CF218" s="291"/>
      <c r="CG218" s="291"/>
      <c r="CH218" s="291"/>
      <c r="CI218" s="291"/>
      <c r="CJ218" s="291"/>
      <c r="CK218" s="291"/>
      <c r="CL218" s="291"/>
      <c r="CM218" s="291"/>
      <c r="CN218" s="291"/>
      <c r="CO218" s="291"/>
      <c r="CP218" s="291"/>
      <c r="CQ218" s="291"/>
      <c r="CR218" s="291"/>
      <c r="CS218" s="291"/>
      <c r="CT218" s="291"/>
      <c r="CU218" s="291"/>
      <c r="CV218" s="291"/>
      <c r="CW218" s="291"/>
      <c r="CX218" s="291"/>
      <c r="CY218" s="291"/>
      <c r="CZ218" s="291"/>
      <c r="DA218" s="291"/>
      <c r="DB218" s="291"/>
      <c r="DC218" s="291"/>
      <c r="DD218" s="291"/>
      <c r="DE218" s="291"/>
      <c r="DF218" s="291"/>
      <c r="DG218" s="291"/>
      <c r="DH218" s="291"/>
      <c r="DI218" s="291"/>
      <c r="DJ218" s="291"/>
      <c r="DK218" s="291"/>
      <c r="DL218" s="291"/>
      <c r="DM218" s="291"/>
      <c r="DN218" s="291"/>
      <c r="DO218" s="291"/>
      <c r="DP218" s="291"/>
      <c r="DQ218" s="291"/>
      <c r="DR218" s="291"/>
      <c r="DS218" s="291"/>
      <c r="DT218" s="291"/>
      <c r="DU218" s="291"/>
      <c r="DV218" s="291"/>
      <c r="DW218" s="291"/>
      <c r="DX218" s="291"/>
      <c r="DY218" s="291"/>
      <c r="DZ218" s="291"/>
      <c r="EA218" s="291"/>
      <c r="EB218" s="291"/>
      <c r="EC218" s="291"/>
      <c r="ED218" s="291"/>
      <c r="EE218" s="291"/>
      <c r="EF218" s="291"/>
      <c r="EG218" s="291"/>
      <c r="EH218" s="291"/>
      <c r="EI218" s="291"/>
      <c r="EJ218" s="291"/>
      <c r="EK218" s="291"/>
      <c r="EL218" s="291"/>
      <c r="EM218" s="291"/>
      <c r="EN218" s="291"/>
      <c r="EO218" s="291"/>
      <c r="EP218" s="291"/>
      <c r="EQ218" s="291"/>
      <c r="ER218" s="291"/>
      <c r="ES218" s="291"/>
      <c r="ET218" s="291"/>
      <c r="EU218" s="291"/>
      <c r="EV218" s="291"/>
      <c r="EW218" s="291"/>
      <c r="EX218" s="291"/>
      <c r="EY218" s="291"/>
      <c r="EZ218" s="291"/>
      <c r="FA218" s="291"/>
      <c r="FB218" s="291"/>
      <c r="FC218" s="291"/>
      <c r="FD218" s="291"/>
      <c r="FE218" s="291"/>
      <c r="FF218" s="291"/>
      <c r="FG218" s="291"/>
      <c r="FH218" s="291"/>
      <c r="FI218" s="291"/>
      <c r="FJ218" s="291"/>
      <c r="FK218" s="291"/>
      <c r="FL218" s="291"/>
      <c r="FM218" s="291"/>
      <c r="FN218" s="291"/>
      <c r="FO218" s="291"/>
      <c r="FP218" s="291"/>
      <c r="FQ218" s="291"/>
      <c r="FR218" s="291"/>
      <c r="FS218" s="291"/>
      <c r="FT218" s="291"/>
      <c r="FU218" s="291"/>
      <c r="FV218" s="291"/>
      <c r="FW218" s="291"/>
      <c r="FX218" s="291"/>
      <c r="FY218" s="291"/>
      <c r="FZ218" s="291"/>
      <c r="GA218" s="291"/>
      <c r="GB218" s="291"/>
      <c r="GC218" s="291"/>
      <c r="GD218" s="291"/>
      <c r="GE218" s="291"/>
      <c r="GF218" s="291"/>
      <c r="GG218" s="291"/>
      <c r="GH218" s="291"/>
      <c r="GI218" s="291"/>
      <c r="GJ218" s="291"/>
      <c r="GK218" s="291"/>
      <c r="GL218" s="291"/>
      <c r="GM218" s="291"/>
      <c r="GN218" s="291"/>
      <c r="GO218" s="291"/>
      <c r="GP218" s="291"/>
      <c r="GQ218" s="291"/>
      <c r="GR218" s="291"/>
      <c r="GS218" s="291"/>
      <c r="GT218" s="291"/>
      <c r="GU218" s="291"/>
      <c r="GV218" s="291"/>
      <c r="GW218" s="291"/>
      <c r="GX218" s="291"/>
      <c r="GY218" s="291"/>
      <c r="GZ218" s="291"/>
      <c r="HA218" s="291"/>
      <c r="HB218" s="291"/>
      <c r="HC218" s="291"/>
      <c r="HD218" s="291"/>
      <c r="HE218" s="291"/>
      <c r="HF218" s="291"/>
      <c r="HG218" s="291"/>
      <c r="HH218" s="291"/>
      <c r="HI218" s="291"/>
      <c r="HJ218" s="291"/>
      <c r="HK218" s="291"/>
      <c r="HL218" s="291"/>
      <c r="HM218" s="291"/>
      <c r="HN218" s="291"/>
      <c r="HO218" s="291"/>
      <c r="HP218" s="291"/>
      <c r="HQ218" s="291"/>
      <c r="HR218" s="291"/>
      <c r="HS218" s="291"/>
      <c r="HT218" s="291"/>
      <c r="HU218" s="291"/>
      <c r="HV218" s="291"/>
      <c r="HW218" s="291"/>
      <c r="HX218" s="291"/>
      <c r="HY218" s="291"/>
      <c r="HZ218" s="291"/>
      <c r="IA218" s="291"/>
      <c r="IB218" s="291"/>
      <c r="IC218" s="291"/>
      <c r="ID218" s="291"/>
      <c r="IE218" s="291"/>
      <c r="IF218" s="291"/>
      <c r="IG218" s="291"/>
      <c r="IH218" s="291"/>
      <c r="II218" s="291"/>
      <c r="IJ218" s="291"/>
      <c r="IK218" s="291"/>
      <c r="IL218" s="291"/>
      <c r="IM218" s="291"/>
      <c r="IN218" s="291"/>
      <c r="IO218" s="291"/>
      <c r="IP218" s="291"/>
      <c r="IQ218" s="291"/>
      <c r="IR218" s="291"/>
      <c r="IS218" s="291"/>
      <c r="IT218" s="291"/>
      <c r="IU218" s="291"/>
      <c r="IV218" s="291"/>
      <c r="IW218" s="291"/>
      <c r="IX218" s="291"/>
      <c r="IY218" s="291"/>
      <c r="IZ218" s="291"/>
      <c r="JA218" s="291"/>
      <c r="JB218" s="291"/>
      <c r="JC218" s="291"/>
      <c r="JD218" s="291"/>
      <c r="JE218" s="291"/>
      <c r="JF218" s="291"/>
      <c r="JG218" s="291"/>
      <c r="JH218" s="291"/>
      <c r="JI218" s="291"/>
      <c r="JJ218" s="291"/>
      <c r="JK218" s="291"/>
      <c r="JL218" s="291"/>
      <c r="JM218" s="291"/>
      <c r="JN218" s="291"/>
      <c r="JO218" s="291"/>
      <c r="JP218" s="291"/>
      <c r="JQ218" s="291"/>
      <c r="JR218" s="291"/>
      <c r="JS218" s="291"/>
      <c r="JT218" s="291"/>
      <c r="JU218" s="291"/>
      <c r="JV218" s="291"/>
      <c r="JW218" s="291"/>
      <c r="JX218" s="291"/>
      <c r="JY218" s="291"/>
      <c r="JZ218" s="291"/>
      <c r="KA218" s="291"/>
      <c r="KB218" s="291"/>
      <c r="KC218" s="291"/>
      <c r="KD218" s="291"/>
      <c r="KE218" s="291"/>
      <c r="KF218" s="291"/>
      <c r="KG218" s="291"/>
      <c r="KH218" s="291"/>
      <c r="KI218" s="291"/>
      <c r="KJ218" s="291"/>
      <c r="KK218" s="291"/>
      <c r="KL218" s="291"/>
      <c r="KM218" s="291"/>
      <c r="KN218" s="291"/>
      <c r="KO218" s="291"/>
      <c r="KP218" s="291"/>
      <c r="KQ218" s="291"/>
      <c r="KR218" s="291"/>
      <c r="KS218" s="291"/>
      <c r="KT218" s="291"/>
      <c r="KU218" s="291"/>
      <c r="KV218" s="291"/>
      <c r="KW218" s="291"/>
      <c r="KX218" s="291"/>
      <c r="KY218" s="291"/>
      <c r="KZ218" s="291"/>
      <c r="LA218" s="291"/>
      <c r="LB218" s="291"/>
      <c r="LC218" s="291"/>
      <c r="LD218" s="291"/>
      <c r="LE218" s="291"/>
      <c r="LF218" s="291"/>
      <c r="LG218" s="291"/>
      <c r="LH218" s="291"/>
      <c r="LI218" s="291"/>
      <c r="LJ218" s="291"/>
      <c r="LK218" s="291"/>
      <c r="LL218" s="291"/>
      <c r="LM218" s="291"/>
      <c r="LN218" s="291"/>
      <c r="LO218" s="291"/>
      <c r="LP218" s="291"/>
      <c r="LQ218" s="291"/>
      <c r="LR218" s="291"/>
      <c r="LS218" s="291"/>
      <c r="LT218" s="291"/>
      <c r="LU218" s="291"/>
      <c r="LV218" s="291"/>
      <c r="LW218" s="291"/>
      <c r="LX218" s="291"/>
      <c r="LY218" s="291"/>
      <c r="LZ218" s="291"/>
      <c r="MA218" s="291"/>
      <c r="MB218" s="291"/>
      <c r="MC218" s="291"/>
      <c r="MD218" s="291"/>
      <c r="ME218" s="291"/>
      <c r="MF218" s="291"/>
      <c r="MG218" s="291"/>
      <c r="MH218" s="291"/>
      <c r="MI218" s="291"/>
      <c r="MJ218" s="291"/>
      <c r="MK218" s="291"/>
      <c r="ML218" s="291"/>
      <c r="MM218" s="291"/>
      <c r="MN218" s="291"/>
      <c r="MO218" s="291"/>
      <c r="MP218" s="291"/>
      <c r="MQ218" s="291"/>
      <c r="MR218" s="291"/>
      <c r="MS218" s="291"/>
      <c r="MT218" s="291"/>
      <c r="MU218" s="291"/>
      <c r="MV218" s="291"/>
      <c r="MW218" s="291"/>
      <c r="MX218" s="291"/>
      <c r="MY218" s="291"/>
      <c r="MZ218" s="291"/>
      <c r="NA218" s="291"/>
      <c r="NB218" s="291"/>
      <c r="NC218" s="291"/>
      <c r="ND218" s="291"/>
      <c r="NE218" s="291"/>
      <c r="NF218" s="291"/>
      <c r="NG218" s="291"/>
      <c r="NH218" s="291"/>
      <c r="NI218" s="291"/>
      <c r="NJ218" s="291"/>
      <c r="NK218" s="291"/>
      <c r="NL218" s="291"/>
      <c r="NM218" s="291"/>
      <c r="NN218" s="291"/>
      <c r="NO218" s="291"/>
      <c r="NP218" s="291"/>
      <c r="NQ218" s="291"/>
      <c r="NR218" s="291"/>
      <c r="NS218" s="291"/>
      <c r="NT218" s="291"/>
      <c r="NU218" s="291"/>
      <c r="NV218" s="291"/>
      <c r="NW218" s="291"/>
      <c r="NX218" s="291"/>
      <c r="NY218" s="291"/>
      <c r="NZ218" s="291"/>
      <c r="OA218" s="291"/>
      <c r="OB218" s="291"/>
      <c r="OC218" s="291"/>
      <c r="OD218" s="291"/>
      <c r="OE218" s="291"/>
      <c r="OF218" s="291"/>
      <c r="OG218" s="291"/>
      <c r="OH218" s="291"/>
      <c r="OI218" s="291"/>
      <c r="OJ218" s="291"/>
      <c r="OK218" s="291"/>
      <c r="OL218" s="291"/>
      <c r="OM218" s="291"/>
      <c r="ON218" s="291"/>
      <c r="OO218" s="291"/>
      <c r="OP218" s="291"/>
      <c r="OQ218" s="291"/>
      <c r="OR218" s="291"/>
      <c r="OS218" s="291"/>
      <c r="OT218" s="291"/>
      <c r="OU218" s="291"/>
      <c r="OV218" s="291"/>
      <c r="OW218" s="291"/>
    </row>
    <row r="219" spans="1:413" s="257" customFormat="1" hidden="1" x14ac:dyDescent="0.2">
      <c r="A219" s="291"/>
      <c r="B219" s="524">
        <f t="shared" si="15"/>
        <v>203</v>
      </c>
      <c r="C219" s="510" t="s">
        <v>38</v>
      </c>
      <c r="D219" s="511">
        <v>40006966</v>
      </c>
      <c r="E219" s="511"/>
      <c r="F219" s="512" t="s">
        <v>1376</v>
      </c>
      <c r="G219" s="513" t="s">
        <v>46</v>
      </c>
      <c r="H219" s="514" t="s">
        <v>1094</v>
      </c>
      <c r="I219" s="515" t="s">
        <v>1189</v>
      </c>
      <c r="J219" s="346" t="s">
        <v>43</v>
      </c>
      <c r="K219" s="526">
        <v>119673</v>
      </c>
      <c r="L219" s="527">
        <v>0</v>
      </c>
      <c r="M219" s="528">
        <v>84775</v>
      </c>
      <c r="N219" s="520">
        <v>0</v>
      </c>
      <c r="O219" s="520">
        <v>0</v>
      </c>
      <c r="P219" s="520">
        <v>0</v>
      </c>
      <c r="Q219" s="520">
        <v>4790</v>
      </c>
      <c r="R219" s="520">
        <v>0</v>
      </c>
      <c r="S219" s="520">
        <v>0</v>
      </c>
      <c r="T219" s="18"/>
      <c r="U219" s="18"/>
      <c r="V219" s="18"/>
      <c r="W219" s="18"/>
      <c r="X219" s="18"/>
      <c r="Y219" s="18"/>
      <c r="Z219" s="18">
        <f t="shared" si="12"/>
        <v>4790</v>
      </c>
      <c r="AA219" s="309">
        <v>34790</v>
      </c>
      <c r="AB219" s="19">
        <v>3</v>
      </c>
      <c r="AC219" s="521">
        <v>44222</v>
      </c>
      <c r="AD219" s="25">
        <v>44225</v>
      </c>
      <c r="AE219" s="309"/>
      <c r="AF219" s="314"/>
      <c r="AG219" s="315"/>
      <c r="AH219" s="316"/>
      <c r="AI219" s="309"/>
      <c r="AJ219" s="338"/>
      <c r="AK219" s="315"/>
      <c r="AL219" s="316"/>
      <c r="AM219" s="309"/>
      <c r="AN219" s="338"/>
      <c r="AO219" s="21"/>
      <c r="AP219" s="25"/>
      <c r="AQ219" s="309"/>
      <c r="AR219" s="19"/>
      <c r="AS219" s="21"/>
      <c r="AT219" s="25"/>
      <c r="AU219" s="522">
        <f t="shared" si="13"/>
        <v>34790</v>
      </c>
      <c r="AV219" s="311">
        <f t="shared" si="14"/>
        <v>30000</v>
      </c>
      <c r="AW219" s="305"/>
      <c r="AX219" s="291"/>
      <c r="AY219" s="291"/>
      <c r="AZ219" s="291"/>
      <c r="BA219" s="291"/>
      <c r="BB219" s="291"/>
      <c r="BC219" s="291"/>
      <c r="BD219" s="291"/>
      <c r="BE219" s="291"/>
      <c r="BF219" s="291"/>
      <c r="BG219" s="291"/>
      <c r="BH219" s="291"/>
      <c r="BI219" s="291"/>
      <c r="BJ219" s="291"/>
      <c r="BK219" s="291"/>
      <c r="BL219" s="291"/>
      <c r="BM219" s="291"/>
      <c r="BN219" s="291"/>
      <c r="BO219" s="291"/>
      <c r="BP219" s="291"/>
      <c r="BQ219" s="291"/>
      <c r="BR219" s="291"/>
      <c r="BS219" s="291"/>
      <c r="BT219" s="291"/>
      <c r="BU219" s="291"/>
      <c r="BV219" s="291"/>
      <c r="BW219" s="291"/>
      <c r="BX219" s="291"/>
      <c r="BY219" s="291"/>
      <c r="BZ219" s="291"/>
      <c r="CA219" s="291"/>
      <c r="CB219" s="291"/>
      <c r="CC219" s="291"/>
      <c r="CD219" s="291"/>
      <c r="CE219" s="291"/>
      <c r="CF219" s="291"/>
      <c r="CG219" s="291"/>
      <c r="CH219" s="291"/>
      <c r="CI219" s="291"/>
      <c r="CJ219" s="291"/>
      <c r="CK219" s="291"/>
      <c r="CL219" s="291"/>
      <c r="CM219" s="291"/>
      <c r="CN219" s="291"/>
      <c r="CO219" s="291"/>
      <c r="CP219" s="291"/>
      <c r="CQ219" s="291"/>
      <c r="CR219" s="291"/>
      <c r="CS219" s="291"/>
      <c r="CT219" s="291"/>
      <c r="CU219" s="291"/>
      <c r="CV219" s="291"/>
      <c r="CW219" s="291"/>
      <c r="CX219" s="291"/>
      <c r="CY219" s="291"/>
      <c r="CZ219" s="291"/>
      <c r="DA219" s="291"/>
      <c r="DB219" s="291"/>
      <c r="DC219" s="291"/>
      <c r="DD219" s="291"/>
      <c r="DE219" s="291"/>
      <c r="DF219" s="291"/>
      <c r="DG219" s="291"/>
      <c r="DH219" s="291"/>
      <c r="DI219" s="291"/>
      <c r="DJ219" s="291"/>
      <c r="DK219" s="291"/>
      <c r="DL219" s="291"/>
      <c r="DM219" s="291"/>
      <c r="DN219" s="291"/>
      <c r="DO219" s="291"/>
      <c r="DP219" s="291"/>
      <c r="DQ219" s="291"/>
      <c r="DR219" s="291"/>
      <c r="DS219" s="291"/>
      <c r="DT219" s="291"/>
      <c r="DU219" s="291"/>
      <c r="DV219" s="291"/>
      <c r="DW219" s="291"/>
      <c r="DX219" s="291"/>
      <c r="DY219" s="291"/>
      <c r="DZ219" s="291"/>
      <c r="EA219" s="291"/>
      <c r="EB219" s="291"/>
      <c r="EC219" s="291"/>
      <c r="ED219" s="291"/>
      <c r="EE219" s="291"/>
      <c r="EF219" s="291"/>
      <c r="EG219" s="291"/>
      <c r="EH219" s="291"/>
      <c r="EI219" s="291"/>
      <c r="EJ219" s="291"/>
      <c r="EK219" s="291"/>
      <c r="EL219" s="291"/>
      <c r="EM219" s="291"/>
      <c r="EN219" s="291"/>
      <c r="EO219" s="291"/>
      <c r="EP219" s="291"/>
      <c r="EQ219" s="291"/>
      <c r="ER219" s="291"/>
      <c r="ES219" s="291"/>
      <c r="ET219" s="291"/>
      <c r="EU219" s="291"/>
      <c r="EV219" s="291"/>
      <c r="EW219" s="291"/>
      <c r="EX219" s="291"/>
      <c r="EY219" s="291"/>
      <c r="EZ219" s="291"/>
      <c r="FA219" s="291"/>
      <c r="FB219" s="291"/>
      <c r="FC219" s="291"/>
      <c r="FD219" s="291"/>
      <c r="FE219" s="291"/>
      <c r="FF219" s="291"/>
      <c r="FG219" s="291"/>
      <c r="FH219" s="291"/>
      <c r="FI219" s="291"/>
      <c r="FJ219" s="291"/>
      <c r="FK219" s="291"/>
      <c r="FL219" s="291"/>
      <c r="FM219" s="291"/>
      <c r="FN219" s="291"/>
      <c r="FO219" s="291"/>
      <c r="FP219" s="291"/>
      <c r="FQ219" s="291"/>
      <c r="FR219" s="291"/>
      <c r="FS219" s="291"/>
      <c r="FT219" s="291"/>
      <c r="FU219" s="291"/>
      <c r="FV219" s="291"/>
      <c r="FW219" s="291"/>
      <c r="FX219" s="291"/>
      <c r="FY219" s="291"/>
      <c r="FZ219" s="291"/>
      <c r="GA219" s="291"/>
      <c r="GB219" s="291"/>
      <c r="GC219" s="291"/>
      <c r="GD219" s="291"/>
      <c r="GE219" s="291"/>
      <c r="GF219" s="291"/>
      <c r="GG219" s="291"/>
      <c r="GH219" s="291"/>
      <c r="GI219" s="291"/>
      <c r="GJ219" s="291"/>
      <c r="GK219" s="291"/>
      <c r="GL219" s="291"/>
      <c r="GM219" s="291"/>
      <c r="GN219" s="291"/>
      <c r="GO219" s="291"/>
      <c r="GP219" s="291"/>
      <c r="GQ219" s="291"/>
      <c r="GR219" s="291"/>
      <c r="GS219" s="291"/>
      <c r="GT219" s="291"/>
      <c r="GU219" s="291"/>
      <c r="GV219" s="291"/>
      <c r="GW219" s="291"/>
      <c r="GX219" s="291"/>
      <c r="GY219" s="291"/>
      <c r="GZ219" s="291"/>
      <c r="HA219" s="291"/>
      <c r="HB219" s="291"/>
      <c r="HC219" s="291"/>
      <c r="HD219" s="291"/>
      <c r="HE219" s="291"/>
      <c r="HF219" s="291"/>
      <c r="HG219" s="291"/>
      <c r="HH219" s="291"/>
      <c r="HI219" s="291"/>
      <c r="HJ219" s="291"/>
      <c r="HK219" s="291"/>
      <c r="HL219" s="291"/>
      <c r="HM219" s="291"/>
      <c r="HN219" s="291"/>
      <c r="HO219" s="291"/>
      <c r="HP219" s="291"/>
      <c r="HQ219" s="291"/>
      <c r="HR219" s="291"/>
      <c r="HS219" s="291"/>
      <c r="HT219" s="291"/>
      <c r="HU219" s="291"/>
      <c r="HV219" s="291"/>
      <c r="HW219" s="291"/>
      <c r="HX219" s="291"/>
      <c r="HY219" s="291"/>
      <c r="HZ219" s="291"/>
      <c r="IA219" s="291"/>
      <c r="IB219" s="291"/>
      <c r="IC219" s="291"/>
      <c r="ID219" s="291"/>
      <c r="IE219" s="291"/>
      <c r="IF219" s="291"/>
      <c r="IG219" s="291"/>
      <c r="IH219" s="291"/>
      <c r="II219" s="291"/>
      <c r="IJ219" s="291"/>
      <c r="IK219" s="291"/>
      <c r="IL219" s="291"/>
      <c r="IM219" s="291"/>
      <c r="IN219" s="291"/>
      <c r="IO219" s="291"/>
      <c r="IP219" s="291"/>
      <c r="IQ219" s="291"/>
      <c r="IR219" s="291"/>
      <c r="IS219" s="291"/>
      <c r="IT219" s="291"/>
      <c r="IU219" s="291"/>
      <c r="IV219" s="291"/>
      <c r="IW219" s="291"/>
      <c r="IX219" s="291"/>
      <c r="IY219" s="291"/>
      <c r="IZ219" s="291"/>
      <c r="JA219" s="291"/>
      <c r="JB219" s="291"/>
      <c r="JC219" s="291"/>
      <c r="JD219" s="291"/>
      <c r="JE219" s="291"/>
      <c r="JF219" s="291"/>
      <c r="JG219" s="291"/>
      <c r="JH219" s="291"/>
      <c r="JI219" s="291"/>
      <c r="JJ219" s="291"/>
      <c r="JK219" s="291"/>
      <c r="JL219" s="291"/>
      <c r="JM219" s="291"/>
      <c r="JN219" s="291"/>
      <c r="JO219" s="291"/>
      <c r="JP219" s="291"/>
      <c r="JQ219" s="291"/>
      <c r="JR219" s="291"/>
      <c r="JS219" s="291"/>
      <c r="JT219" s="291"/>
      <c r="JU219" s="291"/>
      <c r="JV219" s="291"/>
      <c r="JW219" s="291"/>
      <c r="JX219" s="291"/>
      <c r="JY219" s="291"/>
      <c r="JZ219" s="291"/>
      <c r="KA219" s="291"/>
      <c r="KB219" s="291"/>
      <c r="KC219" s="291"/>
      <c r="KD219" s="291"/>
      <c r="KE219" s="291"/>
      <c r="KF219" s="291"/>
      <c r="KG219" s="291"/>
      <c r="KH219" s="291"/>
      <c r="KI219" s="291"/>
      <c r="KJ219" s="291"/>
      <c r="KK219" s="291"/>
      <c r="KL219" s="291"/>
      <c r="KM219" s="291"/>
      <c r="KN219" s="291"/>
      <c r="KO219" s="291"/>
      <c r="KP219" s="291"/>
      <c r="KQ219" s="291"/>
      <c r="KR219" s="291"/>
      <c r="KS219" s="291"/>
      <c r="KT219" s="291"/>
      <c r="KU219" s="291"/>
      <c r="KV219" s="291"/>
      <c r="KW219" s="291"/>
      <c r="KX219" s="291"/>
      <c r="KY219" s="291"/>
      <c r="KZ219" s="291"/>
      <c r="LA219" s="291"/>
      <c r="LB219" s="291"/>
      <c r="LC219" s="291"/>
      <c r="LD219" s="291"/>
      <c r="LE219" s="291"/>
      <c r="LF219" s="291"/>
      <c r="LG219" s="291"/>
      <c r="LH219" s="291"/>
      <c r="LI219" s="291"/>
      <c r="LJ219" s="291"/>
      <c r="LK219" s="291"/>
      <c r="LL219" s="291"/>
      <c r="LM219" s="291"/>
      <c r="LN219" s="291"/>
      <c r="LO219" s="291"/>
      <c r="LP219" s="291"/>
      <c r="LQ219" s="291"/>
      <c r="LR219" s="291"/>
      <c r="LS219" s="291"/>
      <c r="LT219" s="291"/>
      <c r="LU219" s="291"/>
      <c r="LV219" s="291"/>
      <c r="LW219" s="291"/>
      <c r="LX219" s="291"/>
      <c r="LY219" s="291"/>
      <c r="LZ219" s="291"/>
      <c r="MA219" s="291"/>
      <c r="MB219" s="291"/>
      <c r="MC219" s="291"/>
      <c r="MD219" s="291"/>
      <c r="ME219" s="291"/>
      <c r="MF219" s="291"/>
      <c r="MG219" s="291"/>
      <c r="MH219" s="291"/>
      <c r="MI219" s="291"/>
      <c r="MJ219" s="291"/>
      <c r="MK219" s="291"/>
      <c r="ML219" s="291"/>
      <c r="MM219" s="291"/>
      <c r="MN219" s="291"/>
      <c r="MO219" s="291"/>
      <c r="MP219" s="291"/>
      <c r="MQ219" s="291"/>
      <c r="MR219" s="291"/>
      <c r="MS219" s="291"/>
      <c r="MT219" s="291"/>
      <c r="MU219" s="291"/>
      <c r="MV219" s="291"/>
      <c r="MW219" s="291"/>
      <c r="MX219" s="291"/>
      <c r="MY219" s="291"/>
      <c r="MZ219" s="291"/>
      <c r="NA219" s="291"/>
      <c r="NB219" s="291"/>
      <c r="NC219" s="291"/>
      <c r="ND219" s="291"/>
      <c r="NE219" s="291"/>
      <c r="NF219" s="291"/>
      <c r="NG219" s="291"/>
      <c r="NH219" s="291"/>
      <c r="NI219" s="291"/>
      <c r="NJ219" s="291"/>
      <c r="NK219" s="291"/>
      <c r="NL219" s="291"/>
      <c r="NM219" s="291"/>
      <c r="NN219" s="291"/>
      <c r="NO219" s="291"/>
      <c r="NP219" s="291"/>
      <c r="NQ219" s="291"/>
      <c r="NR219" s="291"/>
      <c r="NS219" s="291"/>
      <c r="NT219" s="291"/>
      <c r="NU219" s="291"/>
      <c r="NV219" s="291"/>
      <c r="NW219" s="291"/>
      <c r="NX219" s="291"/>
      <c r="NY219" s="291"/>
      <c r="NZ219" s="291"/>
      <c r="OA219" s="291"/>
      <c r="OB219" s="291"/>
      <c r="OC219" s="291"/>
      <c r="OD219" s="291"/>
      <c r="OE219" s="291"/>
      <c r="OF219" s="291"/>
      <c r="OG219" s="291"/>
      <c r="OH219" s="291"/>
      <c r="OI219" s="291"/>
      <c r="OJ219" s="291"/>
      <c r="OK219" s="291"/>
      <c r="OL219" s="291"/>
      <c r="OM219" s="291"/>
      <c r="ON219" s="291"/>
      <c r="OO219" s="291"/>
      <c r="OP219" s="291"/>
      <c r="OQ219" s="291"/>
      <c r="OR219" s="291"/>
      <c r="OS219" s="291"/>
      <c r="OT219" s="291"/>
      <c r="OU219" s="291"/>
      <c r="OV219" s="291"/>
      <c r="OW219" s="291"/>
    </row>
    <row r="220" spans="1:413" s="257" customFormat="1" hidden="1" x14ac:dyDescent="0.2">
      <c r="A220" s="291"/>
      <c r="B220" s="524">
        <f t="shared" si="15"/>
        <v>204</v>
      </c>
      <c r="C220" s="510" t="s">
        <v>38</v>
      </c>
      <c r="D220" s="511">
        <v>40008206</v>
      </c>
      <c r="E220" s="511"/>
      <c r="F220" s="512" t="s">
        <v>1377</v>
      </c>
      <c r="G220" s="513" t="s">
        <v>45</v>
      </c>
      <c r="H220" s="514" t="s">
        <v>1094</v>
      </c>
      <c r="I220" s="515" t="s">
        <v>1116</v>
      </c>
      <c r="J220" s="346" t="s">
        <v>42</v>
      </c>
      <c r="K220" s="526">
        <v>2000679</v>
      </c>
      <c r="L220" s="527">
        <v>603330</v>
      </c>
      <c r="M220" s="528">
        <v>81395</v>
      </c>
      <c r="N220" s="520">
        <v>0</v>
      </c>
      <c r="O220" s="520">
        <v>232873</v>
      </c>
      <c r="P220" s="520">
        <v>411871</v>
      </c>
      <c r="Q220" s="520">
        <v>152673</v>
      </c>
      <c r="R220" s="520">
        <v>137694</v>
      </c>
      <c r="S220" s="520">
        <v>93926</v>
      </c>
      <c r="T220" s="18"/>
      <c r="U220" s="18"/>
      <c r="V220" s="18"/>
      <c r="W220" s="18"/>
      <c r="X220" s="18"/>
      <c r="Y220" s="18"/>
      <c r="Z220" s="18">
        <f t="shared" si="12"/>
        <v>1029037</v>
      </c>
      <c r="AA220" s="309">
        <v>1315954</v>
      </c>
      <c r="AB220" s="19">
        <v>11</v>
      </c>
      <c r="AC220" s="521">
        <v>44237</v>
      </c>
      <c r="AD220" s="25">
        <v>44251</v>
      </c>
      <c r="AE220" s="309"/>
      <c r="AF220" s="314"/>
      <c r="AG220" s="315"/>
      <c r="AH220" s="316"/>
      <c r="AI220" s="309"/>
      <c r="AJ220" s="338"/>
      <c r="AK220" s="315"/>
      <c r="AL220" s="316"/>
      <c r="AM220" s="309"/>
      <c r="AN220" s="338"/>
      <c r="AO220" s="21"/>
      <c r="AP220" s="25"/>
      <c r="AQ220" s="309"/>
      <c r="AR220" s="19"/>
      <c r="AS220" s="21"/>
      <c r="AT220" s="25"/>
      <c r="AU220" s="522">
        <f t="shared" si="13"/>
        <v>1315954</v>
      </c>
      <c r="AV220" s="311">
        <f t="shared" si="14"/>
        <v>286917</v>
      </c>
      <c r="AW220" s="305"/>
      <c r="AX220" s="291"/>
      <c r="AY220" s="291"/>
      <c r="AZ220" s="291"/>
      <c r="BA220" s="291"/>
      <c r="BB220" s="291"/>
      <c r="BC220" s="291"/>
      <c r="BD220" s="291"/>
      <c r="BE220" s="291"/>
      <c r="BF220" s="291"/>
      <c r="BG220" s="291"/>
      <c r="BH220" s="291"/>
      <c r="BI220" s="291"/>
      <c r="BJ220" s="291"/>
      <c r="BK220" s="291"/>
      <c r="BL220" s="291"/>
      <c r="BM220" s="291"/>
      <c r="BN220" s="291"/>
      <c r="BO220" s="291"/>
      <c r="BP220" s="291"/>
      <c r="BQ220" s="291"/>
      <c r="BR220" s="291"/>
      <c r="BS220" s="291"/>
      <c r="BT220" s="291"/>
      <c r="BU220" s="291"/>
      <c r="BV220" s="291"/>
      <c r="BW220" s="291"/>
      <c r="BX220" s="291"/>
      <c r="BY220" s="291"/>
      <c r="BZ220" s="291"/>
      <c r="CA220" s="291"/>
      <c r="CB220" s="291"/>
      <c r="CC220" s="291"/>
      <c r="CD220" s="291"/>
      <c r="CE220" s="291"/>
      <c r="CF220" s="291"/>
      <c r="CG220" s="291"/>
      <c r="CH220" s="291"/>
      <c r="CI220" s="291"/>
      <c r="CJ220" s="291"/>
      <c r="CK220" s="291"/>
      <c r="CL220" s="291"/>
      <c r="CM220" s="291"/>
      <c r="CN220" s="291"/>
      <c r="CO220" s="291"/>
      <c r="CP220" s="291"/>
      <c r="CQ220" s="291"/>
      <c r="CR220" s="291"/>
      <c r="CS220" s="291"/>
      <c r="CT220" s="291"/>
      <c r="CU220" s="291"/>
      <c r="CV220" s="291"/>
      <c r="CW220" s="291"/>
      <c r="CX220" s="291"/>
      <c r="CY220" s="291"/>
      <c r="CZ220" s="291"/>
      <c r="DA220" s="291"/>
      <c r="DB220" s="291"/>
      <c r="DC220" s="291"/>
      <c r="DD220" s="291"/>
      <c r="DE220" s="291"/>
      <c r="DF220" s="291"/>
      <c r="DG220" s="291"/>
      <c r="DH220" s="291"/>
      <c r="DI220" s="291"/>
      <c r="DJ220" s="291"/>
      <c r="DK220" s="291"/>
      <c r="DL220" s="291"/>
      <c r="DM220" s="291"/>
      <c r="DN220" s="291"/>
      <c r="DO220" s="291"/>
      <c r="DP220" s="291"/>
      <c r="DQ220" s="291"/>
      <c r="DR220" s="291"/>
      <c r="DS220" s="291"/>
      <c r="DT220" s="291"/>
      <c r="DU220" s="291"/>
      <c r="DV220" s="291"/>
      <c r="DW220" s="291"/>
      <c r="DX220" s="291"/>
      <c r="DY220" s="291"/>
      <c r="DZ220" s="291"/>
      <c r="EA220" s="291"/>
      <c r="EB220" s="291"/>
      <c r="EC220" s="291"/>
      <c r="ED220" s="291"/>
      <c r="EE220" s="291"/>
      <c r="EF220" s="291"/>
      <c r="EG220" s="291"/>
      <c r="EH220" s="291"/>
      <c r="EI220" s="291"/>
      <c r="EJ220" s="291"/>
      <c r="EK220" s="291"/>
      <c r="EL220" s="291"/>
      <c r="EM220" s="291"/>
      <c r="EN220" s="291"/>
      <c r="EO220" s="291"/>
      <c r="EP220" s="291"/>
      <c r="EQ220" s="291"/>
      <c r="ER220" s="291"/>
      <c r="ES220" s="291"/>
      <c r="ET220" s="291"/>
      <c r="EU220" s="291"/>
      <c r="EV220" s="291"/>
      <c r="EW220" s="291"/>
      <c r="EX220" s="291"/>
      <c r="EY220" s="291"/>
      <c r="EZ220" s="291"/>
      <c r="FA220" s="291"/>
      <c r="FB220" s="291"/>
      <c r="FC220" s="291"/>
      <c r="FD220" s="291"/>
      <c r="FE220" s="291"/>
      <c r="FF220" s="291"/>
      <c r="FG220" s="291"/>
      <c r="FH220" s="291"/>
      <c r="FI220" s="291"/>
      <c r="FJ220" s="291"/>
      <c r="FK220" s="291"/>
      <c r="FL220" s="291"/>
      <c r="FM220" s="291"/>
      <c r="FN220" s="291"/>
      <c r="FO220" s="291"/>
      <c r="FP220" s="291"/>
      <c r="FQ220" s="291"/>
      <c r="FR220" s="291"/>
      <c r="FS220" s="291"/>
      <c r="FT220" s="291"/>
      <c r="FU220" s="291"/>
      <c r="FV220" s="291"/>
      <c r="FW220" s="291"/>
      <c r="FX220" s="291"/>
      <c r="FY220" s="291"/>
      <c r="FZ220" s="291"/>
      <c r="GA220" s="291"/>
      <c r="GB220" s="291"/>
      <c r="GC220" s="291"/>
      <c r="GD220" s="291"/>
      <c r="GE220" s="291"/>
      <c r="GF220" s="291"/>
      <c r="GG220" s="291"/>
      <c r="GH220" s="291"/>
      <c r="GI220" s="291"/>
      <c r="GJ220" s="291"/>
      <c r="GK220" s="291"/>
      <c r="GL220" s="291"/>
      <c r="GM220" s="291"/>
      <c r="GN220" s="291"/>
      <c r="GO220" s="291"/>
      <c r="GP220" s="291"/>
      <c r="GQ220" s="291"/>
      <c r="GR220" s="291"/>
      <c r="GS220" s="291"/>
      <c r="GT220" s="291"/>
      <c r="GU220" s="291"/>
      <c r="GV220" s="291"/>
      <c r="GW220" s="291"/>
      <c r="GX220" s="291"/>
      <c r="GY220" s="291"/>
      <c r="GZ220" s="291"/>
      <c r="HA220" s="291"/>
      <c r="HB220" s="291"/>
      <c r="HC220" s="291"/>
      <c r="HD220" s="291"/>
      <c r="HE220" s="291"/>
      <c r="HF220" s="291"/>
      <c r="HG220" s="291"/>
      <c r="HH220" s="291"/>
      <c r="HI220" s="291"/>
      <c r="HJ220" s="291"/>
      <c r="HK220" s="291"/>
      <c r="HL220" s="291"/>
      <c r="HM220" s="291"/>
      <c r="HN220" s="291"/>
      <c r="HO220" s="291"/>
      <c r="HP220" s="291"/>
      <c r="HQ220" s="291"/>
      <c r="HR220" s="291"/>
      <c r="HS220" s="291"/>
      <c r="HT220" s="291"/>
      <c r="HU220" s="291"/>
      <c r="HV220" s="291"/>
      <c r="HW220" s="291"/>
      <c r="HX220" s="291"/>
      <c r="HY220" s="291"/>
      <c r="HZ220" s="291"/>
      <c r="IA220" s="291"/>
      <c r="IB220" s="291"/>
      <c r="IC220" s="291"/>
      <c r="ID220" s="291"/>
      <c r="IE220" s="291"/>
      <c r="IF220" s="291"/>
      <c r="IG220" s="291"/>
      <c r="IH220" s="291"/>
      <c r="II220" s="291"/>
      <c r="IJ220" s="291"/>
      <c r="IK220" s="291"/>
      <c r="IL220" s="291"/>
      <c r="IM220" s="291"/>
      <c r="IN220" s="291"/>
      <c r="IO220" s="291"/>
      <c r="IP220" s="291"/>
      <c r="IQ220" s="291"/>
      <c r="IR220" s="291"/>
      <c r="IS220" s="291"/>
      <c r="IT220" s="291"/>
      <c r="IU220" s="291"/>
      <c r="IV220" s="291"/>
      <c r="IW220" s="291"/>
      <c r="IX220" s="291"/>
      <c r="IY220" s="291"/>
      <c r="IZ220" s="291"/>
      <c r="JA220" s="291"/>
      <c r="JB220" s="291"/>
      <c r="JC220" s="291"/>
      <c r="JD220" s="291"/>
      <c r="JE220" s="291"/>
      <c r="JF220" s="291"/>
      <c r="JG220" s="291"/>
      <c r="JH220" s="291"/>
      <c r="JI220" s="291"/>
      <c r="JJ220" s="291"/>
      <c r="JK220" s="291"/>
      <c r="JL220" s="291"/>
      <c r="JM220" s="291"/>
      <c r="JN220" s="291"/>
      <c r="JO220" s="291"/>
      <c r="JP220" s="291"/>
      <c r="JQ220" s="291"/>
      <c r="JR220" s="291"/>
      <c r="JS220" s="291"/>
      <c r="JT220" s="291"/>
      <c r="JU220" s="291"/>
      <c r="JV220" s="291"/>
      <c r="JW220" s="291"/>
      <c r="JX220" s="291"/>
      <c r="JY220" s="291"/>
      <c r="JZ220" s="291"/>
      <c r="KA220" s="291"/>
      <c r="KB220" s="291"/>
      <c r="KC220" s="291"/>
      <c r="KD220" s="291"/>
      <c r="KE220" s="291"/>
      <c r="KF220" s="291"/>
      <c r="KG220" s="291"/>
      <c r="KH220" s="291"/>
      <c r="KI220" s="291"/>
      <c r="KJ220" s="291"/>
      <c r="KK220" s="291"/>
      <c r="KL220" s="291"/>
      <c r="KM220" s="291"/>
      <c r="KN220" s="291"/>
      <c r="KO220" s="291"/>
      <c r="KP220" s="291"/>
      <c r="KQ220" s="291"/>
      <c r="KR220" s="291"/>
      <c r="KS220" s="291"/>
      <c r="KT220" s="291"/>
      <c r="KU220" s="291"/>
      <c r="KV220" s="291"/>
      <c r="KW220" s="291"/>
      <c r="KX220" s="291"/>
      <c r="KY220" s="291"/>
      <c r="KZ220" s="291"/>
      <c r="LA220" s="291"/>
      <c r="LB220" s="291"/>
      <c r="LC220" s="291"/>
      <c r="LD220" s="291"/>
      <c r="LE220" s="291"/>
      <c r="LF220" s="291"/>
      <c r="LG220" s="291"/>
      <c r="LH220" s="291"/>
      <c r="LI220" s="291"/>
      <c r="LJ220" s="291"/>
      <c r="LK220" s="291"/>
      <c r="LL220" s="291"/>
      <c r="LM220" s="291"/>
      <c r="LN220" s="291"/>
      <c r="LO220" s="291"/>
      <c r="LP220" s="291"/>
      <c r="LQ220" s="291"/>
      <c r="LR220" s="291"/>
      <c r="LS220" s="291"/>
      <c r="LT220" s="291"/>
      <c r="LU220" s="291"/>
      <c r="LV220" s="291"/>
      <c r="LW220" s="291"/>
      <c r="LX220" s="291"/>
      <c r="LY220" s="291"/>
      <c r="LZ220" s="291"/>
      <c r="MA220" s="291"/>
      <c r="MB220" s="291"/>
      <c r="MC220" s="291"/>
      <c r="MD220" s="291"/>
      <c r="ME220" s="291"/>
      <c r="MF220" s="291"/>
      <c r="MG220" s="291"/>
      <c r="MH220" s="291"/>
      <c r="MI220" s="291"/>
      <c r="MJ220" s="291"/>
      <c r="MK220" s="291"/>
      <c r="ML220" s="291"/>
      <c r="MM220" s="291"/>
      <c r="MN220" s="291"/>
      <c r="MO220" s="291"/>
      <c r="MP220" s="291"/>
      <c r="MQ220" s="291"/>
      <c r="MR220" s="291"/>
      <c r="MS220" s="291"/>
      <c r="MT220" s="291"/>
      <c r="MU220" s="291"/>
      <c r="MV220" s="291"/>
      <c r="MW220" s="291"/>
      <c r="MX220" s="291"/>
      <c r="MY220" s="291"/>
      <c r="MZ220" s="291"/>
      <c r="NA220" s="291"/>
      <c r="NB220" s="291"/>
      <c r="NC220" s="291"/>
      <c r="ND220" s="291"/>
      <c r="NE220" s="291"/>
      <c r="NF220" s="291"/>
      <c r="NG220" s="291"/>
      <c r="NH220" s="291"/>
      <c r="NI220" s="291"/>
      <c r="NJ220" s="291"/>
      <c r="NK220" s="291"/>
      <c r="NL220" s="291"/>
      <c r="NM220" s="291"/>
      <c r="NN220" s="291"/>
      <c r="NO220" s="291"/>
      <c r="NP220" s="291"/>
      <c r="NQ220" s="291"/>
      <c r="NR220" s="291"/>
      <c r="NS220" s="291"/>
      <c r="NT220" s="291"/>
      <c r="NU220" s="291"/>
      <c r="NV220" s="291"/>
      <c r="NW220" s="291"/>
      <c r="NX220" s="291"/>
      <c r="NY220" s="291"/>
      <c r="NZ220" s="291"/>
      <c r="OA220" s="291"/>
      <c r="OB220" s="291"/>
      <c r="OC220" s="291"/>
      <c r="OD220" s="291"/>
      <c r="OE220" s="291"/>
      <c r="OF220" s="291"/>
      <c r="OG220" s="291"/>
      <c r="OH220" s="291"/>
      <c r="OI220" s="291"/>
      <c r="OJ220" s="291"/>
      <c r="OK220" s="291"/>
      <c r="OL220" s="291"/>
      <c r="OM220" s="291"/>
      <c r="ON220" s="291"/>
      <c r="OO220" s="291"/>
      <c r="OP220" s="291"/>
      <c r="OQ220" s="291"/>
      <c r="OR220" s="291"/>
      <c r="OS220" s="291"/>
      <c r="OT220" s="291"/>
      <c r="OU220" s="291"/>
      <c r="OV220" s="291"/>
      <c r="OW220" s="291"/>
    </row>
    <row r="221" spans="1:413" s="257" customFormat="1" hidden="1" x14ac:dyDescent="0.2">
      <c r="A221" s="291"/>
      <c r="B221" s="524">
        <f t="shared" si="15"/>
        <v>205</v>
      </c>
      <c r="C221" s="510" t="s">
        <v>38</v>
      </c>
      <c r="D221" s="511">
        <v>40008227</v>
      </c>
      <c r="E221" s="511"/>
      <c r="F221" s="512" t="s">
        <v>1378</v>
      </c>
      <c r="G221" s="513" t="s">
        <v>45</v>
      </c>
      <c r="H221" s="514" t="s">
        <v>1094</v>
      </c>
      <c r="I221" s="515" t="s">
        <v>1116</v>
      </c>
      <c r="J221" s="346" t="s">
        <v>43</v>
      </c>
      <c r="K221" s="526">
        <v>335396</v>
      </c>
      <c r="L221" s="527">
        <v>2673</v>
      </c>
      <c r="M221" s="528">
        <v>252723</v>
      </c>
      <c r="N221" s="520">
        <v>0</v>
      </c>
      <c r="O221" s="520">
        <v>0</v>
      </c>
      <c r="P221" s="520">
        <v>0</v>
      </c>
      <c r="Q221" s="520">
        <v>0</v>
      </c>
      <c r="R221" s="520">
        <v>0</v>
      </c>
      <c r="S221" s="520">
        <v>0</v>
      </c>
      <c r="T221" s="18"/>
      <c r="U221" s="18"/>
      <c r="V221" s="18"/>
      <c r="W221" s="18"/>
      <c r="X221" s="18"/>
      <c r="Y221" s="18"/>
      <c r="Z221" s="18">
        <f t="shared" si="12"/>
        <v>0</v>
      </c>
      <c r="AA221" s="309">
        <v>80000</v>
      </c>
      <c r="AB221" s="19">
        <v>3</v>
      </c>
      <c r="AC221" s="521">
        <v>44222</v>
      </c>
      <c r="AD221" s="25">
        <v>44225</v>
      </c>
      <c r="AE221" s="309">
        <v>245402</v>
      </c>
      <c r="AF221" s="314">
        <v>39</v>
      </c>
      <c r="AG221" s="315">
        <v>44334</v>
      </c>
      <c r="AH221" s="315">
        <v>44342</v>
      </c>
      <c r="AI221" s="309"/>
      <c r="AJ221" s="338"/>
      <c r="AK221" s="315"/>
      <c r="AL221" s="316"/>
      <c r="AM221" s="309"/>
      <c r="AN221" s="338"/>
      <c r="AO221" s="21"/>
      <c r="AP221" s="25"/>
      <c r="AQ221" s="309"/>
      <c r="AR221" s="19"/>
      <c r="AS221" s="21"/>
      <c r="AT221" s="25"/>
      <c r="AU221" s="522">
        <f t="shared" si="13"/>
        <v>325402</v>
      </c>
      <c r="AV221" s="311">
        <f t="shared" si="14"/>
        <v>325402</v>
      </c>
      <c r="AW221" s="305"/>
      <c r="AX221" s="291"/>
      <c r="AY221" s="291"/>
      <c r="AZ221" s="291"/>
      <c r="BA221" s="291"/>
      <c r="BB221" s="291"/>
      <c r="BC221" s="291"/>
      <c r="BD221" s="291"/>
      <c r="BE221" s="291"/>
      <c r="BF221" s="291"/>
      <c r="BG221" s="291"/>
      <c r="BH221" s="291"/>
      <c r="BI221" s="291"/>
      <c r="BJ221" s="291"/>
      <c r="BK221" s="291"/>
      <c r="BL221" s="291"/>
      <c r="BM221" s="291"/>
      <c r="BN221" s="291"/>
      <c r="BO221" s="291"/>
      <c r="BP221" s="291"/>
      <c r="BQ221" s="291"/>
      <c r="BR221" s="291"/>
      <c r="BS221" s="291"/>
      <c r="BT221" s="291"/>
      <c r="BU221" s="291"/>
      <c r="BV221" s="291"/>
      <c r="BW221" s="291"/>
      <c r="BX221" s="291"/>
      <c r="BY221" s="291"/>
      <c r="BZ221" s="291"/>
      <c r="CA221" s="291"/>
      <c r="CB221" s="291"/>
      <c r="CC221" s="291"/>
      <c r="CD221" s="291"/>
      <c r="CE221" s="291"/>
      <c r="CF221" s="291"/>
      <c r="CG221" s="291"/>
      <c r="CH221" s="291"/>
      <c r="CI221" s="291"/>
      <c r="CJ221" s="291"/>
      <c r="CK221" s="291"/>
      <c r="CL221" s="291"/>
      <c r="CM221" s="291"/>
      <c r="CN221" s="291"/>
      <c r="CO221" s="291"/>
      <c r="CP221" s="291"/>
      <c r="CQ221" s="291"/>
      <c r="CR221" s="291"/>
      <c r="CS221" s="291"/>
      <c r="CT221" s="291"/>
      <c r="CU221" s="291"/>
      <c r="CV221" s="291"/>
      <c r="CW221" s="291"/>
      <c r="CX221" s="291"/>
      <c r="CY221" s="291"/>
      <c r="CZ221" s="291"/>
      <c r="DA221" s="291"/>
      <c r="DB221" s="291"/>
      <c r="DC221" s="291"/>
      <c r="DD221" s="291"/>
      <c r="DE221" s="291"/>
      <c r="DF221" s="291"/>
      <c r="DG221" s="291"/>
      <c r="DH221" s="291"/>
      <c r="DI221" s="291"/>
      <c r="DJ221" s="291"/>
      <c r="DK221" s="291"/>
      <c r="DL221" s="291"/>
      <c r="DM221" s="291"/>
      <c r="DN221" s="291"/>
      <c r="DO221" s="291"/>
      <c r="DP221" s="291"/>
      <c r="DQ221" s="291"/>
      <c r="DR221" s="291"/>
      <c r="DS221" s="291"/>
      <c r="DT221" s="291"/>
      <c r="DU221" s="291"/>
      <c r="DV221" s="291"/>
      <c r="DW221" s="291"/>
      <c r="DX221" s="291"/>
      <c r="DY221" s="291"/>
      <c r="DZ221" s="291"/>
      <c r="EA221" s="291"/>
      <c r="EB221" s="291"/>
      <c r="EC221" s="291"/>
      <c r="ED221" s="291"/>
      <c r="EE221" s="291"/>
      <c r="EF221" s="291"/>
      <c r="EG221" s="291"/>
      <c r="EH221" s="291"/>
      <c r="EI221" s="291"/>
      <c r="EJ221" s="291"/>
      <c r="EK221" s="291"/>
      <c r="EL221" s="291"/>
      <c r="EM221" s="291"/>
      <c r="EN221" s="291"/>
      <c r="EO221" s="291"/>
      <c r="EP221" s="291"/>
      <c r="EQ221" s="291"/>
      <c r="ER221" s="291"/>
      <c r="ES221" s="291"/>
      <c r="ET221" s="291"/>
      <c r="EU221" s="291"/>
      <c r="EV221" s="291"/>
      <c r="EW221" s="291"/>
      <c r="EX221" s="291"/>
      <c r="EY221" s="291"/>
      <c r="EZ221" s="291"/>
      <c r="FA221" s="291"/>
      <c r="FB221" s="291"/>
      <c r="FC221" s="291"/>
      <c r="FD221" s="291"/>
      <c r="FE221" s="291"/>
      <c r="FF221" s="291"/>
      <c r="FG221" s="291"/>
      <c r="FH221" s="291"/>
      <c r="FI221" s="291"/>
      <c r="FJ221" s="291"/>
      <c r="FK221" s="291"/>
      <c r="FL221" s="291"/>
      <c r="FM221" s="291"/>
      <c r="FN221" s="291"/>
      <c r="FO221" s="291"/>
      <c r="FP221" s="291"/>
      <c r="FQ221" s="291"/>
      <c r="FR221" s="291"/>
      <c r="FS221" s="291"/>
      <c r="FT221" s="291"/>
      <c r="FU221" s="291"/>
      <c r="FV221" s="291"/>
      <c r="FW221" s="291"/>
      <c r="FX221" s="291"/>
      <c r="FY221" s="291"/>
      <c r="FZ221" s="291"/>
      <c r="GA221" s="291"/>
      <c r="GB221" s="291"/>
      <c r="GC221" s="291"/>
      <c r="GD221" s="291"/>
      <c r="GE221" s="291"/>
      <c r="GF221" s="291"/>
      <c r="GG221" s="291"/>
      <c r="GH221" s="291"/>
      <c r="GI221" s="291"/>
      <c r="GJ221" s="291"/>
      <c r="GK221" s="291"/>
      <c r="GL221" s="291"/>
      <c r="GM221" s="291"/>
      <c r="GN221" s="291"/>
      <c r="GO221" s="291"/>
      <c r="GP221" s="291"/>
      <c r="GQ221" s="291"/>
      <c r="GR221" s="291"/>
      <c r="GS221" s="291"/>
      <c r="GT221" s="291"/>
      <c r="GU221" s="291"/>
      <c r="GV221" s="291"/>
      <c r="GW221" s="291"/>
      <c r="GX221" s="291"/>
      <c r="GY221" s="291"/>
      <c r="GZ221" s="291"/>
      <c r="HA221" s="291"/>
      <c r="HB221" s="291"/>
      <c r="HC221" s="291"/>
      <c r="HD221" s="291"/>
      <c r="HE221" s="291"/>
      <c r="HF221" s="291"/>
      <c r="HG221" s="291"/>
      <c r="HH221" s="291"/>
      <c r="HI221" s="291"/>
      <c r="HJ221" s="291"/>
      <c r="HK221" s="291"/>
      <c r="HL221" s="291"/>
      <c r="HM221" s="291"/>
      <c r="HN221" s="291"/>
      <c r="HO221" s="291"/>
      <c r="HP221" s="291"/>
      <c r="HQ221" s="291"/>
      <c r="HR221" s="291"/>
      <c r="HS221" s="291"/>
      <c r="HT221" s="291"/>
      <c r="HU221" s="291"/>
      <c r="HV221" s="291"/>
      <c r="HW221" s="291"/>
      <c r="HX221" s="291"/>
      <c r="HY221" s="291"/>
      <c r="HZ221" s="291"/>
      <c r="IA221" s="291"/>
      <c r="IB221" s="291"/>
      <c r="IC221" s="291"/>
      <c r="ID221" s="291"/>
      <c r="IE221" s="291"/>
      <c r="IF221" s="291"/>
      <c r="IG221" s="291"/>
      <c r="IH221" s="291"/>
      <c r="II221" s="291"/>
      <c r="IJ221" s="291"/>
      <c r="IK221" s="291"/>
      <c r="IL221" s="291"/>
      <c r="IM221" s="291"/>
      <c r="IN221" s="291"/>
      <c r="IO221" s="291"/>
      <c r="IP221" s="291"/>
      <c r="IQ221" s="291"/>
      <c r="IR221" s="291"/>
      <c r="IS221" s="291"/>
      <c r="IT221" s="291"/>
      <c r="IU221" s="291"/>
      <c r="IV221" s="291"/>
      <c r="IW221" s="291"/>
      <c r="IX221" s="291"/>
      <c r="IY221" s="291"/>
      <c r="IZ221" s="291"/>
      <c r="JA221" s="291"/>
      <c r="JB221" s="291"/>
      <c r="JC221" s="291"/>
      <c r="JD221" s="291"/>
      <c r="JE221" s="291"/>
      <c r="JF221" s="291"/>
      <c r="JG221" s="291"/>
      <c r="JH221" s="291"/>
      <c r="JI221" s="291"/>
      <c r="JJ221" s="291"/>
      <c r="JK221" s="291"/>
      <c r="JL221" s="291"/>
      <c r="JM221" s="291"/>
      <c r="JN221" s="291"/>
      <c r="JO221" s="291"/>
      <c r="JP221" s="291"/>
      <c r="JQ221" s="291"/>
      <c r="JR221" s="291"/>
      <c r="JS221" s="291"/>
      <c r="JT221" s="291"/>
      <c r="JU221" s="291"/>
      <c r="JV221" s="291"/>
      <c r="JW221" s="291"/>
      <c r="JX221" s="291"/>
      <c r="JY221" s="291"/>
      <c r="JZ221" s="291"/>
      <c r="KA221" s="291"/>
      <c r="KB221" s="291"/>
      <c r="KC221" s="291"/>
      <c r="KD221" s="291"/>
      <c r="KE221" s="291"/>
      <c r="KF221" s="291"/>
      <c r="KG221" s="291"/>
      <c r="KH221" s="291"/>
      <c r="KI221" s="291"/>
      <c r="KJ221" s="291"/>
      <c r="KK221" s="291"/>
      <c r="KL221" s="291"/>
      <c r="KM221" s="291"/>
      <c r="KN221" s="291"/>
      <c r="KO221" s="291"/>
      <c r="KP221" s="291"/>
      <c r="KQ221" s="291"/>
      <c r="KR221" s="291"/>
      <c r="KS221" s="291"/>
      <c r="KT221" s="291"/>
      <c r="KU221" s="291"/>
      <c r="KV221" s="291"/>
      <c r="KW221" s="291"/>
      <c r="KX221" s="291"/>
      <c r="KY221" s="291"/>
      <c r="KZ221" s="291"/>
      <c r="LA221" s="291"/>
      <c r="LB221" s="291"/>
      <c r="LC221" s="291"/>
      <c r="LD221" s="291"/>
      <c r="LE221" s="291"/>
      <c r="LF221" s="291"/>
      <c r="LG221" s="291"/>
      <c r="LH221" s="291"/>
      <c r="LI221" s="291"/>
      <c r="LJ221" s="291"/>
      <c r="LK221" s="291"/>
      <c r="LL221" s="291"/>
      <c r="LM221" s="291"/>
      <c r="LN221" s="291"/>
      <c r="LO221" s="291"/>
      <c r="LP221" s="291"/>
      <c r="LQ221" s="291"/>
      <c r="LR221" s="291"/>
      <c r="LS221" s="291"/>
      <c r="LT221" s="291"/>
      <c r="LU221" s="291"/>
      <c r="LV221" s="291"/>
      <c r="LW221" s="291"/>
      <c r="LX221" s="291"/>
      <c r="LY221" s="291"/>
      <c r="LZ221" s="291"/>
      <c r="MA221" s="291"/>
      <c r="MB221" s="291"/>
      <c r="MC221" s="291"/>
      <c r="MD221" s="291"/>
      <c r="ME221" s="291"/>
      <c r="MF221" s="291"/>
      <c r="MG221" s="291"/>
      <c r="MH221" s="291"/>
      <c r="MI221" s="291"/>
      <c r="MJ221" s="291"/>
      <c r="MK221" s="291"/>
      <c r="ML221" s="291"/>
      <c r="MM221" s="291"/>
      <c r="MN221" s="291"/>
      <c r="MO221" s="291"/>
      <c r="MP221" s="291"/>
      <c r="MQ221" s="291"/>
      <c r="MR221" s="291"/>
      <c r="MS221" s="291"/>
      <c r="MT221" s="291"/>
      <c r="MU221" s="291"/>
      <c r="MV221" s="291"/>
      <c r="MW221" s="291"/>
      <c r="MX221" s="291"/>
      <c r="MY221" s="291"/>
      <c r="MZ221" s="291"/>
      <c r="NA221" s="291"/>
      <c r="NB221" s="291"/>
      <c r="NC221" s="291"/>
      <c r="ND221" s="291"/>
      <c r="NE221" s="291"/>
      <c r="NF221" s="291"/>
      <c r="NG221" s="291"/>
      <c r="NH221" s="291"/>
      <c r="NI221" s="291"/>
      <c r="NJ221" s="291"/>
      <c r="NK221" s="291"/>
      <c r="NL221" s="291"/>
      <c r="NM221" s="291"/>
      <c r="NN221" s="291"/>
      <c r="NO221" s="291"/>
      <c r="NP221" s="291"/>
      <c r="NQ221" s="291"/>
      <c r="NR221" s="291"/>
      <c r="NS221" s="291"/>
      <c r="NT221" s="291"/>
      <c r="NU221" s="291"/>
      <c r="NV221" s="291"/>
      <c r="NW221" s="291"/>
      <c r="NX221" s="291"/>
      <c r="NY221" s="291"/>
      <c r="NZ221" s="291"/>
      <c r="OA221" s="291"/>
      <c r="OB221" s="291"/>
      <c r="OC221" s="291"/>
      <c r="OD221" s="291"/>
      <c r="OE221" s="291"/>
      <c r="OF221" s="291"/>
      <c r="OG221" s="291"/>
      <c r="OH221" s="291"/>
      <c r="OI221" s="291"/>
      <c r="OJ221" s="291"/>
      <c r="OK221" s="291"/>
      <c r="OL221" s="291"/>
      <c r="OM221" s="291"/>
      <c r="ON221" s="291"/>
      <c r="OO221" s="291"/>
      <c r="OP221" s="291"/>
      <c r="OQ221" s="291"/>
      <c r="OR221" s="291"/>
      <c r="OS221" s="291"/>
      <c r="OT221" s="291"/>
      <c r="OU221" s="291"/>
      <c r="OV221" s="291"/>
      <c r="OW221" s="291"/>
    </row>
    <row r="222" spans="1:413" s="257" customFormat="1" hidden="1" x14ac:dyDescent="0.2">
      <c r="A222" s="291"/>
      <c r="B222" s="524">
        <f t="shared" si="15"/>
        <v>206</v>
      </c>
      <c r="C222" s="510" t="s">
        <v>38</v>
      </c>
      <c r="D222" s="511">
        <v>40008498</v>
      </c>
      <c r="E222" s="511"/>
      <c r="F222" s="512" t="s">
        <v>1379</v>
      </c>
      <c r="G222" s="513" t="s">
        <v>45</v>
      </c>
      <c r="H222" s="514" t="s">
        <v>1094</v>
      </c>
      <c r="I222" s="515" t="s">
        <v>1116</v>
      </c>
      <c r="J222" s="346" t="s">
        <v>43</v>
      </c>
      <c r="K222" s="526">
        <v>270928</v>
      </c>
      <c r="L222" s="527">
        <v>2437</v>
      </c>
      <c r="M222" s="528">
        <v>188491</v>
      </c>
      <c r="N222" s="520">
        <v>0</v>
      </c>
      <c r="O222" s="520">
        <v>0</v>
      </c>
      <c r="P222" s="520">
        <v>0</v>
      </c>
      <c r="Q222" s="520">
        <v>0</v>
      </c>
      <c r="R222" s="520">
        <v>0</v>
      </c>
      <c r="S222" s="520">
        <v>0</v>
      </c>
      <c r="T222" s="18"/>
      <c r="U222" s="18"/>
      <c r="V222" s="18"/>
      <c r="W222" s="18"/>
      <c r="X222" s="18"/>
      <c r="Y222" s="18"/>
      <c r="Z222" s="18">
        <f t="shared" si="12"/>
        <v>0</v>
      </c>
      <c r="AA222" s="309">
        <v>80000</v>
      </c>
      <c r="AB222" s="19">
        <v>3</v>
      </c>
      <c r="AC222" s="521">
        <v>44222</v>
      </c>
      <c r="AD222" s="25">
        <v>44225</v>
      </c>
      <c r="AE222" s="309"/>
      <c r="AF222" s="314"/>
      <c r="AG222" s="315"/>
      <c r="AH222" s="316"/>
      <c r="AI222" s="309"/>
      <c r="AJ222" s="338"/>
      <c r="AK222" s="315"/>
      <c r="AL222" s="316"/>
      <c r="AM222" s="309"/>
      <c r="AN222" s="338"/>
      <c r="AO222" s="21"/>
      <c r="AP222" s="25"/>
      <c r="AQ222" s="309"/>
      <c r="AR222" s="19"/>
      <c r="AS222" s="21"/>
      <c r="AT222" s="25"/>
      <c r="AU222" s="522">
        <f t="shared" si="13"/>
        <v>80000</v>
      </c>
      <c r="AV222" s="311">
        <f t="shared" si="14"/>
        <v>80000</v>
      </c>
      <c r="AW222" s="305"/>
      <c r="AX222" s="291"/>
      <c r="AY222" s="291"/>
      <c r="AZ222" s="291"/>
      <c r="BA222" s="291"/>
      <c r="BB222" s="291"/>
      <c r="BC222" s="291"/>
      <c r="BD222" s="291"/>
      <c r="BE222" s="291"/>
      <c r="BF222" s="291"/>
      <c r="BG222" s="291"/>
      <c r="BH222" s="291"/>
      <c r="BI222" s="291"/>
      <c r="BJ222" s="291"/>
      <c r="BK222" s="291"/>
      <c r="BL222" s="291"/>
      <c r="BM222" s="291"/>
      <c r="BN222" s="291"/>
      <c r="BO222" s="291"/>
      <c r="BP222" s="291"/>
      <c r="BQ222" s="291"/>
      <c r="BR222" s="291"/>
      <c r="BS222" s="291"/>
      <c r="BT222" s="291"/>
      <c r="BU222" s="291"/>
      <c r="BV222" s="291"/>
      <c r="BW222" s="291"/>
      <c r="BX222" s="291"/>
      <c r="BY222" s="291"/>
      <c r="BZ222" s="291"/>
      <c r="CA222" s="291"/>
      <c r="CB222" s="291"/>
      <c r="CC222" s="291"/>
      <c r="CD222" s="291"/>
      <c r="CE222" s="291"/>
      <c r="CF222" s="291"/>
      <c r="CG222" s="291"/>
      <c r="CH222" s="291"/>
      <c r="CI222" s="291"/>
      <c r="CJ222" s="291"/>
      <c r="CK222" s="291"/>
      <c r="CL222" s="291"/>
      <c r="CM222" s="291"/>
      <c r="CN222" s="291"/>
      <c r="CO222" s="291"/>
      <c r="CP222" s="291"/>
      <c r="CQ222" s="291"/>
      <c r="CR222" s="291"/>
      <c r="CS222" s="291"/>
      <c r="CT222" s="291"/>
      <c r="CU222" s="291"/>
      <c r="CV222" s="291"/>
      <c r="CW222" s="291"/>
      <c r="CX222" s="291"/>
      <c r="CY222" s="291"/>
      <c r="CZ222" s="291"/>
      <c r="DA222" s="291"/>
      <c r="DB222" s="291"/>
      <c r="DC222" s="291"/>
      <c r="DD222" s="291"/>
      <c r="DE222" s="291"/>
      <c r="DF222" s="291"/>
      <c r="DG222" s="291"/>
      <c r="DH222" s="291"/>
      <c r="DI222" s="291"/>
      <c r="DJ222" s="291"/>
      <c r="DK222" s="291"/>
      <c r="DL222" s="291"/>
      <c r="DM222" s="291"/>
      <c r="DN222" s="291"/>
      <c r="DO222" s="291"/>
      <c r="DP222" s="291"/>
      <c r="DQ222" s="291"/>
      <c r="DR222" s="291"/>
      <c r="DS222" s="291"/>
      <c r="DT222" s="291"/>
      <c r="DU222" s="291"/>
      <c r="DV222" s="291"/>
      <c r="DW222" s="291"/>
      <c r="DX222" s="291"/>
      <c r="DY222" s="291"/>
      <c r="DZ222" s="291"/>
      <c r="EA222" s="291"/>
      <c r="EB222" s="291"/>
      <c r="EC222" s="291"/>
      <c r="ED222" s="291"/>
      <c r="EE222" s="291"/>
      <c r="EF222" s="291"/>
      <c r="EG222" s="291"/>
      <c r="EH222" s="291"/>
      <c r="EI222" s="291"/>
      <c r="EJ222" s="291"/>
      <c r="EK222" s="291"/>
      <c r="EL222" s="291"/>
      <c r="EM222" s="291"/>
      <c r="EN222" s="291"/>
      <c r="EO222" s="291"/>
      <c r="EP222" s="291"/>
      <c r="EQ222" s="291"/>
      <c r="ER222" s="291"/>
      <c r="ES222" s="291"/>
      <c r="ET222" s="291"/>
      <c r="EU222" s="291"/>
      <c r="EV222" s="291"/>
      <c r="EW222" s="291"/>
      <c r="EX222" s="291"/>
      <c r="EY222" s="291"/>
      <c r="EZ222" s="291"/>
      <c r="FA222" s="291"/>
      <c r="FB222" s="291"/>
      <c r="FC222" s="291"/>
      <c r="FD222" s="291"/>
      <c r="FE222" s="291"/>
      <c r="FF222" s="291"/>
      <c r="FG222" s="291"/>
      <c r="FH222" s="291"/>
      <c r="FI222" s="291"/>
      <c r="FJ222" s="291"/>
      <c r="FK222" s="291"/>
      <c r="FL222" s="291"/>
      <c r="FM222" s="291"/>
      <c r="FN222" s="291"/>
      <c r="FO222" s="291"/>
      <c r="FP222" s="291"/>
      <c r="FQ222" s="291"/>
      <c r="FR222" s="291"/>
      <c r="FS222" s="291"/>
      <c r="FT222" s="291"/>
      <c r="FU222" s="291"/>
      <c r="FV222" s="291"/>
      <c r="FW222" s="291"/>
      <c r="FX222" s="291"/>
      <c r="FY222" s="291"/>
      <c r="FZ222" s="291"/>
      <c r="GA222" s="291"/>
      <c r="GB222" s="291"/>
      <c r="GC222" s="291"/>
      <c r="GD222" s="291"/>
      <c r="GE222" s="291"/>
      <c r="GF222" s="291"/>
      <c r="GG222" s="291"/>
      <c r="GH222" s="291"/>
      <c r="GI222" s="291"/>
      <c r="GJ222" s="291"/>
      <c r="GK222" s="291"/>
      <c r="GL222" s="291"/>
      <c r="GM222" s="291"/>
      <c r="GN222" s="291"/>
      <c r="GO222" s="291"/>
      <c r="GP222" s="291"/>
      <c r="GQ222" s="291"/>
      <c r="GR222" s="291"/>
      <c r="GS222" s="291"/>
      <c r="GT222" s="291"/>
      <c r="GU222" s="291"/>
      <c r="GV222" s="291"/>
      <c r="GW222" s="291"/>
      <c r="GX222" s="291"/>
      <c r="GY222" s="291"/>
      <c r="GZ222" s="291"/>
      <c r="HA222" s="291"/>
      <c r="HB222" s="291"/>
      <c r="HC222" s="291"/>
      <c r="HD222" s="291"/>
      <c r="HE222" s="291"/>
      <c r="HF222" s="291"/>
      <c r="HG222" s="291"/>
      <c r="HH222" s="291"/>
      <c r="HI222" s="291"/>
      <c r="HJ222" s="291"/>
      <c r="HK222" s="291"/>
      <c r="HL222" s="291"/>
      <c r="HM222" s="291"/>
      <c r="HN222" s="291"/>
      <c r="HO222" s="291"/>
      <c r="HP222" s="291"/>
      <c r="HQ222" s="291"/>
      <c r="HR222" s="291"/>
      <c r="HS222" s="291"/>
      <c r="HT222" s="291"/>
      <c r="HU222" s="291"/>
      <c r="HV222" s="291"/>
      <c r="HW222" s="291"/>
      <c r="HX222" s="291"/>
      <c r="HY222" s="291"/>
      <c r="HZ222" s="291"/>
      <c r="IA222" s="291"/>
      <c r="IB222" s="291"/>
      <c r="IC222" s="291"/>
      <c r="ID222" s="291"/>
      <c r="IE222" s="291"/>
      <c r="IF222" s="291"/>
      <c r="IG222" s="291"/>
      <c r="IH222" s="291"/>
      <c r="II222" s="291"/>
      <c r="IJ222" s="291"/>
      <c r="IK222" s="291"/>
      <c r="IL222" s="291"/>
      <c r="IM222" s="291"/>
      <c r="IN222" s="291"/>
      <c r="IO222" s="291"/>
      <c r="IP222" s="291"/>
      <c r="IQ222" s="291"/>
      <c r="IR222" s="291"/>
      <c r="IS222" s="291"/>
      <c r="IT222" s="291"/>
      <c r="IU222" s="291"/>
      <c r="IV222" s="291"/>
      <c r="IW222" s="291"/>
      <c r="IX222" s="291"/>
      <c r="IY222" s="291"/>
      <c r="IZ222" s="291"/>
      <c r="JA222" s="291"/>
      <c r="JB222" s="291"/>
      <c r="JC222" s="291"/>
      <c r="JD222" s="291"/>
      <c r="JE222" s="291"/>
      <c r="JF222" s="291"/>
      <c r="JG222" s="291"/>
      <c r="JH222" s="291"/>
      <c r="JI222" s="291"/>
      <c r="JJ222" s="291"/>
      <c r="JK222" s="291"/>
      <c r="JL222" s="291"/>
      <c r="JM222" s="291"/>
      <c r="JN222" s="291"/>
      <c r="JO222" s="291"/>
      <c r="JP222" s="291"/>
      <c r="JQ222" s="291"/>
      <c r="JR222" s="291"/>
      <c r="JS222" s="291"/>
      <c r="JT222" s="291"/>
      <c r="JU222" s="291"/>
      <c r="JV222" s="291"/>
      <c r="JW222" s="291"/>
      <c r="JX222" s="291"/>
      <c r="JY222" s="291"/>
      <c r="JZ222" s="291"/>
      <c r="KA222" s="291"/>
      <c r="KB222" s="291"/>
      <c r="KC222" s="291"/>
      <c r="KD222" s="291"/>
      <c r="KE222" s="291"/>
      <c r="KF222" s="291"/>
      <c r="KG222" s="291"/>
      <c r="KH222" s="291"/>
      <c r="KI222" s="291"/>
      <c r="KJ222" s="291"/>
      <c r="KK222" s="291"/>
      <c r="KL222" s="291"/>
      <c r="KM222" s="291"/>
      <c r="KN222" s="291"/>
      <c r="KO222" s="291"/>
      <c r="KP222" s="291"/>
      <c r="KQ222" s="291"/>
      <c r="KR222" s="291"/>
      <c r="KS222" s="291"/>
      <c r="KT222" s="291"/>
      <c r="KU222" s="291"/>
      <c r="KV222" s="291"/>
      <c r="KW222" s="291"/>
      <c r="KX222" s="291"/>
      <c r="KY222" s="291"/>
      <c r="KZ222" s="291"/>
      <c r="LA222" s="291"/>
      <c r="LB222" s="291"/>
      <c r="LC222" s="291"/>
      <c r="LD222" s="291"/>
      <c r="LE222" s="291"/>
      <c r="LF222" s="291"/>
      <c r="LG222" s="291"/>
      <c r="LH222" s="291"/>
      <c r="LI222" s="291"/>
      <c r="LJ222" s="291"/>
      <c r="LK222" s="291"/>
      <c r="LL222" s="291"/>
      <c r="LM222" s="291"/>
      <c r="LN222" s="291"/>
      <c r="LO222" s="291"/>
      <c r="LP222" s="291"/>
      <c r="LQ222" s="291"/>
      <c r="LR222" s="291"/>
      <c r="LS222" s="291"/>
      <c r="LT222" s="291"/>
      <c r="LU222" s="291"/>
      <c r="LV222" s="291"/>
      <c r="LW222" s="291"/>
      <c r="LX222" s="291"/>
      <c r="LY222" s="291"/>
      <c r="LZ222" s="291"/>
      <c r="MA222" s="291"/>
      <c r="MB222" s="291"/>
      <c r="MC222" s="291"/>
      <c r="MD222" s="291"/>
      <c r="ME222" s="291"/>
      <c r="MF222" s="291"/>
      <c r="MG222" s="291"/>
      <c r="MH222" s="291"/>
      <c r="MI222" s="291"/>
      <c r="MJ222" s="291"/>
      <c r="MK222" s="291"/>
      <c r="ML222" s="291"/>
      <c r="MM222" s="291"/>
      <c r="MN222" s="291"/>
      <c r="MO222" s="291"/>
      <c r="MP222" s="291"/>
      <c r="MQ222" s="291"/>
      <c r="MR222" s="291"/>
      <c r="MS222" s="291"/>
      <c r="MT222" s="291"/>
      <c r="MU222" s="291"/>
      <c r="MV222" s="291"/>
      <c r="MW222" s="291"/>
      <c r="MX222" s="291"/>
      <c r="MY222" s="291"/>
      <c r="MZ222" s="291"/>
      <c r="NA222" s="291"/>
      <c r="NB222" s="291"/>
      <c r="NC222" s="291"/>
      <c r="ND222" s="291"/>
      <c r="NE222" s="291"/>
      <c r="NF222" s="291"/>
      <c r="NG222" s="291"/>
      <c r="NH222" s="291"/>
      <c r="NI222" s="291"/>
      <c r="NJ222" s="291"/>
      <c r="NK222" s="291"/>
      <c r="NL222" s="291"/>
      <c r="NM222" s="291"/>
      <c r="NN222" s="291"/>
      <c r="NO222" s="291"/>
      <c r="NP222" s="291"/>
      <c r="NQ222" s="291"/>
      <c r="NR222" s="291"/>
      <c r="NS222" s="291"/>
      <c r="NT222" s="291"/>
      <c r="NU222" s="291"/>
      <c r="NV222" s="291"/>
      <c r="NW222" s="291"/>
      <c r="NX222" s="291"/>
      <c r="NY222" s="291"/>
      <c r="NZ222" s="291"/>
      <c r="OA222" s="291"/>
      <c r="OB222" s="291"/>
      <c r="OC222" s="291"/>
      <c r="OD222" s="291"/>
      <c r="OE222" s="291"/>
      <c r="OF222" s="291"/>
      <c r="OG222" s="291"/>
      <c r="OH222" s="291"/>
      <c r="OI222" s="291"/>
      <c r="OJ222" s="291"/>
      <c r="OK222" s="291"/>
      <c r="OL222" s="291"/>
      <c r="OM222" s="291"/>
      <c r="ON222" s="291"/>
      <c r="OO222" s="291"/>
      <c r="OP222" s="291"/>
      <c r="OQ222" s="291"/>
      <c r="OR222" s="291"/>
      <c r="OS222" s="291"/>
      <c r="OT222" s="291"/>
      <c r="OU222" s="291"/>
      <c r="OV222" s="291"/>
      <c r="OW222" s="291"/>
    </row>
    <row r="223" spans="1:413" s="257" customFormat="1" hidden="1" x14ac:dyDescent="0.2">
      <c r="A223" s="291"/>
      <c r="B223" s="524">
        <f t="shared" si="15"/>
        <v>207</v>
      </c>
      <c r="C223" s="510" t="s">
        <v>38</v>
      </c>
      <c r="D223" s="511">
        <v>40008708</v>
      </c>
      <c r="E223" s="511"/>
      <c r="F223" s="512" t="s">
        <v>1380</v>
      </c>
      <c r="G223" s="513" t="s">
        <v>45</v>
      </c>
      <c r="H223" s="514" t="s">
        <v>1094</v>
      </c>
      <c r="I223" s="515" t="s">
        <v>1144</v>
      </c>
      <c r="J223" s="346" t="s">
        <v>43</v>
      </c>
      <c r="K223" s="526">
        <v>1047242</v>
      </c>
      <c r="L223" s="527">
        <v>0</v>
      </c>
      <c r="M223" s="528">
        <v>1046242</v>
      </c>
      <c r="N223" s="520">
        <v>0</v>
      </c>
      <c r="O223" s="520">
        <v>0</v>
      </c>
      <c r="P223" s="520">
        <v>0</v>
      </c>
      <c r="Q223" s="520">
        <v>0</v>
      </c>
      <c r="R223" s="520">
        <v>0</v>
      </c>
      <c r="S223" s="520">
        <v>0</v>
      </c>
      <c r="T223" s="18"/>
      <c r="U223" s="18"/>
      <c r="V223" s="18"/>
      <c r="W223" s="18"/>
      <c r="X223" s="18"/>
      <c r="Y223" s="18"/>
      <c r="Z223" s="18">
        <f t="shared" si="12"/>
        <v>0</v>
      </c>
      <c r="AA223" s="309">
        <v>1000</v>
      </c>
      <c r="AB223" s="19">
        <v>3</v>
      </c>
      <c r="AC223" s="521">
        <v>44222</v>
      </c>
      <c r="AD223" s="25">
        <v>44225</v>
      </c>
      <c r="AE223" s="309"/>
      <c r="AF223" s="314"/>
      <c r="AG223" s="315"/>
      <c r="AH223" s="316"/>
      <c r="AI223" s="309"/>
      <c r="AJ223" s="338"/>
      <c r="AK223" s="315"/>
      <c r="AL223" s="316"/>
      <c r="AM223" s="309"/>
      <c r="AN223" s="338"/>
      <c r="AO223" s="21"/>
      <c r="AP223" s="25"/>
      <c r="AQ223" s="309"/>
      <c r="AR223" s="19"/>
      <c r="AS223" s="21"/>
      <c r="AT223" s="25"/>
      <c r="AU223" s="522">
        <f t="shared" si="13"/>
        <v>1000</v>
      </c>
      <c r="AV223" s="311">
        <f t="shared" si="14"/>
        <v>1000</v>
      </c>
      <c r="AW223" s="305"/>
      <c r="AX223" s="291"/>
      <c r="AY223" s="291"/>
      <c r="AZ223" s="291"/>
      <c r="BA223" s="291"/>
      <c r="BB223" s="291"/>
      <c r="BC223" s="291"/>
      <c r="BD223" s="291"/>
      <c r="BE223" s="291"/>
      <c r="BF223" s="291"/>
      <c r="BG223" s="291"/>
      <c r="BH223" s="291"/>
      <c r="BI223" s="291"/>
      <c r="BJ223" s="291"/>
      <c r="BK223" s="291"/>
      <c r="BL223" s="291"/>
      <c r="BM223" s="291"/>
      <c r="BN223" s="291"/>
      <c r="BO223" s="291"/>
      <c r="BP223" s="291"/>
      <c r="BQ223" s="291"/>
      <c r="BR223" s="291"/>
      <c r="BS223" s="291"/>
      <c r="BT223" s="291"/>
      <c r="BU223" s="291"/>
      <c r="BV223" s="291"/>
      <c r="BW223" s="291"/>
      <c r="BX223" s="291"/>
      <c r="BY223" s="291"/>
      <c r="BZ223" s="291"/>
      <c r="CA223" s="291"/>
      <c r="CB223" s="291"/>
      <c r="CC223" s="291"/>
      <c r="CD223" s="291"/>
      <c r="CE223" s="291"/>
      <c r="CF223" s="291"/>
      <c r="CG223" s="291"/>
      <c r="CH223" s="291"/>
      <c r="CI223" s="291"/>
      <c r="CJ223" s="291"/>
      <c r="CK223" s="291"/>
      <c r="CL223" s="291"/>
      <c r="CM223" s="291"/>
      <c r="CN223" s="291"/>
      <c r="CO223" s="291"/>
      <c r="CP223" s="291"/>
      <c r="CQ223" s="291"/>
      <c r="CR223" s="291"/>
      <c r="CS223" s="291"/>
      <c r="CT223" s="291"/>
      <c r="CU223" s="291"/>
      <c r="CV223" s="291"/>
      <c r="CW223" s="291"/>
      <c r="CX223" s="291"/>
      <c r="CY223" s="291"/>
      <c r="CZ223" s="291"/>
      <c r="DA223" s="291"/>
      <c r="DB223" s="291"/>
      <c r="DC223" s="291"/>
      <c r="DD223" s="291"/>
      <c r="DE223" s="291"/>
      <c r="DF223" s="291"/>
      <c r="DG223" s="291"/>
      <c r="DH223" s="291"/>
      <c r="DI223" s="291"/>
      <c r="DJ223" s="291"/>
      <c r="DK223" s="291"/>
      <c r="DL223" s="291"/>
      <c r="DM223" s="291"/>
      <c r="DN223" s="291"/>
      <c r="DO223" s="291"/>
      <c r="DP223" s="291"/>
      <c r="DQ223" s="291"/>
      <c r="DR223" s="291"/>
      <c r="DS223" s="291"/>
      <c r="DT223" s="291"/>
      <c r="DU223" s="291"/>
      <c r="DV223" s="291"/>
      <c r="DW223" s="291"/>
      <c r="DX223" s="291"/>
      <c r="DY223" s="291"/>
      <c r="DZ223" s="291"/>
      <c r="EA223" s="291"/>
      <c r="EB223" s="291"/>
      <c r="EC223" s="291"/>
      <c r="ED223" s="291"/>
      <c r="EE223" s="291"/>
      <c r="EF223" s="291"/>
      <c r="EG223" s="291"/>
      <c r="EH223" s="291"/>
      <c r="EI223" s="291"/>
      <c r="EJ223" s="291"/>
      <c r="EK223" s="291"/>
      <c r="EL223" s="291"/>
      <c r="EM223" s="291"/>
      <c r="EN223" s="291"/>
      <c r="EO223" s="291"/>
      <c r="EP223" s="291"/>
      <c r="EQ223" s="291"/>
      <c r="ER223" s="291"/>
      <c r="ES223" s="291"/>
      <c r="ET223" s="291"/>
      <c r="EU223" s="291"/>
      <c r="EV223" s="291"/>
      <c r="EW223" s="291"/>
      <c r="EX223" s="291"/>
      <c r="EY223" s="291"/>
      <c r="EZ223" s="291"/>
      <c r="FA223" s="291"/>
      <c r="FB223" s="291"/>
      <c r="FC223" s="291"/>
      <c r="FD223" s="291"/>
      <c r="FE223" s="291"/>
      <c r="FF223" s="291"/>
      <c r="FG223" s="291"/>
      <c r="FH223" s="291"/>
      <c r="FI223" s="291"/>
      <c r="FJ223" s="291"/>
      <c r="FK223" s="291"/>
      <c r="FL223" s="291"/>
      <c r="FM223" s="291"/>
      <c r="FN223" s="291"/>
      <c r="FO223" s="291"/>
      <c r="FP223" s="291"/>
      <c r="FQ223" s="291"/>
      <c r="FR223" s="291"/>
      <c r="FS223" s="291"/>
      <c r="FT223" s="291"/>
      <c r="FU223" s="291"/>
      <c r="FV223" s="291"/>
      <c r="FW223" s="291"/>
      <c r="FX223" s="291"/>
      <c r="FY223" s="291"/>
      <c r="FZ223" s="291"/>
      <c r="GA223" s="291"/>
      <c r="GB223" s="291"/>
      <c r="GC223" s="291"/>
      <c r="GD223" s="291"/>
      <c r="GE223" s="291"/>
      <c r="GF223" s="291"/>
      <c r="GG223" s="291"/>
      <c r="GH223" s="291"/>
      <c r="GI223" s="291"/>
      <c r="GJ223" s="291"/>
      <c r="GK223" s="291"/>
      <c r="GL223" s="291"/>
      <c r="GM223" s="291"/>
      <c r="GN223" s="291"/>
      <c r="GO223" s="291"/>
      <c r="GP223" s="291"/>
      <c r="GQ223" s="291"/>
      <c r="GR223" s="291"/>
      <c r="GS223" s="291"/>
      <c r="GT223" s="291"/>
      <c r="GU223" s="291"/>
      <c r="GV223" s="291"/>
      <c r="GW223" s="291"/>
      <c r="GX223" s="291"/>
      <c r="GY223" s="291"/>
      <c r="GZ223" s="291"/>
      <c r="HA223" s="291"/>
      <c r="HB223" s="291"/>
      <c r="HC223" s="291"/>
      <c r="HD223" s="291"/>
      <c r="HE223" s="291"/>
      <c r="HF223" s="291"/>
      <c r="HG223" s="291"/>
      <c r="HH223" s="291"/>
      <c r="HI223" s="291"/>
      <c r="HJ223" s="291"/>
      <c r="HK223" s="291"/>
      <c r="HL223" s="291"/>
      <c r="HM223" s="291"/>
      <c r="HN223" s="291"/>
      <c r="HO223" s="291"/>
      <c r="HP223" s="291"/>
      <c r="HQ223" s="291"/>
      <c r="HR223" s="291"/>
      <c r="HS223" s="291"/>
      <c r="HT223" s="291"/>
      <c r="HU223" s="291"/>
      <c r="HV223" s="291"/>
      <c r="HW223" s="291"/>
      <c r="HX223" s="291"/>
      <c r="HY223" s="291"/>
      <c r="HZ223" s="291"/>
      <c r="IA223" s="291"/>
      <c r="IB223" s="291"/>
      <c r="IC223" s="291"/>
      <c r="ID223" s="291"/>
      <c r="IE223" s="291"/>
      <c r="IF223" s="291"/>
      <c r="IG223" s="291"/>
      <c r="IH223" s="291"/>
      <c r="II223" s="291"/>
      <c r="IJ223" s="291"/>
      <c r="IK223" s="291"/>
      <c r="IL223" s="291"/>
      <c r="IM223" s="291"/>
      <c r="IN223" s="291"/>
      <c r="IO223" s="291"/>
      <c r="IP223" s="291"/>
      <c r="IQ223" s="291"/>
      <c r="IR223" s="291"/>
      <c r="IS223" s="291"/>
      <c r="IT223" s="291"/>
      <c r="IU223" s="291"/>
      <c r="IV223" s="291"/>
      <c r="IW223" s="291"/>
      <c r="IX223" s="291"/>
      <c r="IY223" s="291"/>
      <c r="IZ223" s="291"/>
      <c r="JA223" s="291"/>
      <c r="JB223" s="291"/>
      <c r="JC223" s="291"/>
      <c r="JD223" s="291"/>
      <c r="JE223" s="291"/>
      <c r="JF223" s="291"/>
      <c r="JG223" s="291"/>
      <c r="JH223" s="291"/>
      <c r="JI223" s="291"/>
      <c r="JJ223" s="291"/>
      <c r="JK223" s="291"/>
      <c r="JL223" s="291"/>
      <c r="JM223" s="291"/>
      <c r="JN223" s="291"/>
      <c r="JO223" s="291"/>
      <c r="JP223" s="291"/>
      <c r="JQ223" s="291"/>
      <c r="JR223" s="291"/>
      <c r="JS223" s="291"/>
      <c r="JT223" s="291"/>
      <c r="JU223" s="291"/>
      <c r="JV223" s="291"/>
      <c r="JW223" s="291"/>
      <c r="JX223" s="291"/>
      <c r="JY223" s="291"/>
      <c r="JZ223" s="291"/>
      <c r="KA223" s="291"/>
      <c r="KB223" s="291"/>
      <c r="KC223" s="291"/>
      <c r="KD223" s="291"/>
      <c r="KE223" s="291"/>
      <c r="KF223" s="291"/>
      <c r="KG223" s="291"/>
      <c r="KH223" s="291"/>
      <c r="KI223" s="291"/>
      <c r="KJ223" s="291"/>
      <c r="KK223" s="291"/>
      <c r="KL223" s="291"/>
      <c r="KM223" s="291"/>
      <c r="KN223" s="291"/>
      <c r="KO223" s="291"/>
      <c r="KP223" s="291"/>
      <c r="KQ223" s="291"/>
      <c r="KR223" s="291"/>
      <c r="KS223" s="291"/>
      <c r="KT223" s="291"/>
      <c r="KU223" s="291"/>
      <c r="KV223" s="291"/>
      <c r="KW223" s="291"/>
      <c r="KX223" s="291"/>
      <c r="KY223" s="291"/>
      <c r="KZ223" s="291"/>
      <c r="LA223" s="291"/>
      <c r="LB223" s="291"/>
      <c r="LC223" s="291"/>
      <c r="LD223" s="291"/>
      <c r="LE223" s="291"/>
      <c r="LF223" s="291"/>
      <c r="LG223" s="291"/>
      <c r="LH223" s="291"/>
      <c r="LI223" s="291"/>
      <c r="LJ223" s="291"/>
      <c r="LK223" s="291"/>
      <c r="LL223" s="291"/>
      <c r="LM223" s="291"/>
      <c r="LN223" s="291"/>
      <c r="LO223" s="291"/>
      <c r="LP223" s="291"/>
      <c r="LQ223" s="291"/>
      <c r="LR223" s="291"/>
      <c r="LS223" s="291"/>
      <c r="LT223" s="291"/>
      <c r="LU223" s="291"/>
      <c r="LV223" s="291"/>
      <c r="LW223" s="291"/>
      <c r="LX223" s="291"/>
      <c r="LY223" s="291"/>
      <c r="LZ223" s="291"/>
      <c r="MA223" s="291"/>
      <c r="MB223" s="291"/>
      <c r="MC223" s="291"/>
      <c r="MD223" s="291"/>
      <c r="ME223" s="291"/>
      <c r="MF223" s="291"/>
      <c r="MG223" s="291"/>
      <c r="MH223" s="291"/>
      <c r="MI223" s="291"/>
      <c r="MJ223" s="291"/>
      <c r="MK223" s="291"/>
      <c r="ML223" s="291"/>
      <c r="MM223" s="291"/>
      <c r="MN223" s="291"/>
      <c r="MO223" s="291"/>
      <c r="MP223" s="291"/>
      <c r="MQ223" s="291"/>
      <c r="MR223" s="291"/>
      <c r="MS223" s="291"/>
      <c r="MT223" s="291"/>
      <c r="MU223" s="291"/>
      <c r="MV223" s="291"/>
      <c r="MW223" s="291"/>
      <c r="MX223" s="291"/>
      <c r="MY223" s="291"/>
      <c r="MZ223" s="291"/>
      <c r="NA223" s="291"/>
      <c r="NB223" s="291"/>
      <c r="NC223" s="291"/>
      <c r="ND223" s="291"/>
      <c r="NE223" s="291"/>
      <c r="NF223" s="291"/>
      <c r="NG223" s="291"/>
      <c r="NH223" s="291"/>
      <c r="NI223" s="291"/>
      <c r="NJ223" s="291"/>
      <c r="NK223" s="291"/>
      <c r="NL223" s="291"/>
      <c r="NM223" s="291"/>
      <c r="NN223" s="291"/>
      <c r="NO223" s="291"/>
      <c r="NP223" s="291"/>
      <c r="NQ223" s="291"/>
      <c r="NR223" s="291"/>
      <c r="NS223" s="291"/>
      <c r="NT223" s="291"/>
      <c r="NU223" s="291"/>
      <c r="NV223" s="291"/>
      <c r="NW223" s="291"/>
      <c r="NX223" s="291"/>
      <c r="NY223" s="291"/>
      <c r="NZ223" s="291"/>
      <c r="OA223" s="291"/>
      <c r="OB223" s="291"/>
      <c r="OC223" s="291"/>
      <c r="OD223" s="291"/>
      <c r="OE223" s="291"/>
      <c r="OF223" s="291"/>
      <c r="OG223" s="291"/>
      <c r="OH223" s="291"/>
      <c r="OI223" s="291"/>
      <c r="OJ223" s="291"/>
      <c r="OK223" s="291"/>
      <c r="OL223" s="291"/>
      <c r="OM223" s="291"/>
      <c r="ON223" s="291"/>
      <c r="OO223" s="291"/>
      <c r="OP223" s="291"/>
      <c r="OQ223" s="291"/>
      <c r="OR223" s="291"/>
      <c r="OS223" s="291"/>
      <c r="OT223" s="291"/>
      <c r="OU223" s="291"/>
      <c r="OV223" s="291"/>
      <c r="OW223" s="291"/>
    </row>
    <row r="224" spans="1:413" s="257" customFormat="1" ht="22.5" hidden="1" x14ac:dyDescent="0.2">
      <c r="A224" s="291"/>
      <c r="B224" s="524">
        <f t="shared" si="15"/>
        <v>208</v>
      </c>
      <c r="C224" s="510" t="s">
        <v>38</v>
      </c>
      <c r="D224" s="511">
        <v>40009707</v>
      </c>
      <c r="E224" s="511"/>
      <c r="F224" s="512" t="s">
        <v>1381</v>
      </c>
      <c r="G224" s="513" t="s">
        <v>46</v>
      </c>
      <c r="H224" s="514" t="s">
        <v>1094</v>
      </c>
      <c r="I224" s="515" t="s">
        <v>1293</v>
      </c>
      <c r="J224" s="346" t="s">
        <v>43</v>
      </c>
      <c r="K224" s="526">
        <v>443478</v>
      </c>
      <c r="L224" s="527">
        <v>0</v>
      </c>
      <c r="M224" s="528">
        <v>388263</v>
      </c>
      <c r="N224" s="520">
        <v>0</v>
      </c>
      <c r="O224" s="520">
        <v>0</v>
      </c>
      <c r="P224" s="520">
        <v>99792</v>
      </c>
      <c r="Q224" s="520">
        <v>0</v>
      </c>
      <c r="R224" s="520">
        <v>19085</v>
      </c>
      <c r="S224" s="520">
        <v>24175</v>
      </c>
      <c r="T224" s="18"/>
      <c r="U224" s="18"/>
      <c r="V224" s="18"/>
      <c r="W224" s="18"/>
      <c r="X224" s="18"/>
      <c r="Y224" s="18"/>
      <c r="Z224" s="18">
        <f t="shared" si="12"/>
        <v>143052</v>
      </c>
      <c r="AA224" s="309">
        <v>200000</v>
      </c>
      <c r="AB224" s="19">
        <v>3</v>
      </c>
      <c r="AC224" s="521">
        <v>44222</v>
      </c>
      <c r="AD224" s="25">
        <v>44225</v>
      </c>
      <c r="AE224" s="309"/>
      <c r="AF224" s="314"/>
      <c r="AG224" s="315"/>
      <c r="AH224" s="316"/>
      <c r="AI224" s="309"/>
      <c r="AJ224" s="338"/>
      <c r="AK224" s="315"/>
      <c r="AL224" s="316"/>
      <c r="AM224" s="309"/>
      <c r="AN224" s="338"/>
      <c r="AO224" s="21"/>
      <c r="AP224" s="25"/>
      <c r="AQ224" s="309"/>
      <c r="AR224" s="19"/>
      <c r="AS224" s="21"/>
      <c r="AT224" s="25"/>
      <c r="AU224" s="522">
        <f t="shared" si="13"/>
        <v>200000</v>
      </c>
      <c r="AV224" s="311">
        <f t="shared" si="14"/>
        <v>56948</v>
      </c>
      <c r="AW224" s="305"/>
      <c r="AX224" s="291"/>
      <c r="AY224" s="291"/>
      <c r="AZ224" s="291"/>
      <c r="BA224" s="291"/>
      <c r="BB224" s="291"/>
      <c r="BC224" s="291"/>
      <c r="BD224" s="291"/>
      <c r="BE224" s="291"/>
      <c r="BF224" s="291"/>
      <c r="BG224" s="291"/>
      <c r="BH224" s="291"/>
      <c r="BI224" s="291"/>
      <c r="BJ224" s="291"/>
      <c r="BK224" s="291"/>
      <c r="BL224" s="291"/>
      <c r="BM224" s="291"/>
      <c r="BN224" s="291"/>
      <c r="BO224" s="291"/>
      <c r="BP224" s="291"/>
      <c r="BQ224" s="291"/>
      <c r="BR224" s="291"/>
      <c r="BS224" s="291"/>
      <c r="BT224" s="291"/>
      <c r="BU224" s="291"/>
      <c r="BV224" s="291"/>
      <c r="BW224" s="291"/>
      <c r="BX224" s="291"/>
      <c r="BY224" s="291"/>
      <c r="BZ224" s="291"/>
      <c r="CA224" s="291"/>
      <c r="CB224" s="291"/>
      <c r="CC224" s="291"/>
      <c r="CD224" s="291"/>
      <c r="CE224" s="291"/>
      <c r="CF224" s="291"/>
      <c r="CG224" s="291"/>
      <c r="CH224" s="291"/>
      <c r="CI224" s="291"/>
      <c r="CJ224" s="291"/>
      <c r="CK224" s="291"/>
      <c r="CL224" s="291"/>
      <c r="CM224" s="291"/>
      <c r="CN224" s="291"/>
      <c r="CO224" s="291"/>
      <c r="CP224" s="291"/>
      <c r="CQ224" s="291"/>
      <c r="CR224" s="291"/>
      <c r="CS224" s="291"/>
      <c r="CT224" s="291"/>
      <c r="CU224" s="291"/>
      <c r="CV224" s="291"/>
      <c r="CW224" s="291"/>
      <c r="CX224" s="291"/>
      <c r="CY224" s="291"/>
      <c r="CZ224" s="291"/>
      <c r="DA224" s="291"/>
      <c r="DB224" s="291"/>
      <c r="DC224" s="291"/>
      <c r="DD224" s="291"/>
      <c r="DE224" s="291"/>
      <c r="DF224" s="291"/>
      <c r="DG224" s="291"/>
      <c r="DH224" s="291"/>
      <c r="DI224" s="291"/>
      <c r="DJ224" s="291"/>
      <c r="DK224" s="291"/>
      <c r="DL224" s="291"/>
      <c r="DM224" s="291"/>
      <c r="DN224" s="291"/>
      <c r="DO224" s="291"/>
      <c r="DP224" s="291"/>
      <c r="DQ224" s="291"/>
      <c r="DR224" s="291"/>
      <c r="DS224" s="291"/>
      <c r="DT224" s="291"/>
      <c r="DU224" s="291"/>
      <c r="DV224" s="291"/>
      <c r="DW224" s="291"/>
      <c r="DX224" s="291"/>
      <c r="DY224" s="291"/>
      <c r="DZ224" s="291"/>
      <c r="EA224" s="291"/>
      <c r="EB224" s="291"/>
      <c r="EC224" s="291"/>
      <c r="ED224" s="291"/>
      <c r="EE224" s="291"/>
      <c r="EF224" s="291"/>
      <c r="EG224" s="291"/>
      <c r="EH224" s="291"/>
      <c r="EI224" s="291"/>
      <c r="EJ224" s="291"/>
      <c r="EK224" s="291"/>
      <c r="EL224" s="291"/>
      <c r="EM224" s="291"/>
      <c r="EN224" s="291"/>
      <c r="EO224" s="291"/>
      <c r="EP224" s="291"/>
      <c r="EQ224" s="291"/>
      <c r="ER224" s="291"/>
      <c r="ES224" s="291"/>
      <c r="ET224" s="291"/>
      <c r="EU224" s="291"/>
      <c r="EV224" s="291"/>
      <c r="EW224" s="291"/>
      <c r="EX224" s="291"/>
      <c r="EY224" s="291"/>
      <c r="EZ224" s="291"/>
      <c r="FA224" s="291"/>
      <c r="FB224" s="291"/>
      <c r="FC224" s="291"/>
      <c r="FD224" s="291"/>
      <c r="FE224" s="291"/>
      <c r="FF224" s="291"/>
      <c r="FG224" s="291"/>
      <c r="FH224" s="291"/>
      <c r="FI224" s="291"/>
      <c r="FJ224" s="291"/>
      <c r="FK224" s="291"/>
      <c r="FL224" s="291"/>
      <c r="FM224" s="291"/>
      <c r="FN224" s="291"/>
      <c r="FO224" s="291"/>
      <c r="FP224" s="291"/>
      <c r="FQ224" s="291"/>
      <c r="FR224" s="291"/>
      <c r="FS224" s="291"/>
      <c r="FT224" s="291"/>
      <c r="FU224" s="291"/>
      <c r="FV224" s="291"/>
      <c r="FW224" s="291"/>
      <c r="FX224" s="291"/>
      <c r="FY224" s="291"/>
      <c r="FZ224" s="291"/>
      <c r="GA224" s="291"/>
      <c r="GB224" s="291"/>
      <c r="GC224" s="291"/>
      <c r="GD224" s="291"/>
      <c r="GE224" s="291"/>
      <c r="GF224" s="291"/>
      <c r="GG224" s="291"/>
      <c r="GH224" s="291"/>
      <c r="GI224" s="291"/>
      <c r="GJ224" s="291"/>
      <c r="GK224" s="291"/>
      <c r="GL224" s="291"/>
      <c r="GM224" s="291"/>
      <c r="GN224" s="291"/>
      <c r="GO224" s="291"/>
      <c r="GP224" s="291"/>
      <c r="GQ224" s="291"/>
      <c r="GR224" s="291"/>
      <c r="GS224" s="291"/>
      <c r="GT224" s="291"/>
      <c r="GU224" s="291"/>
      <c r="GV224" s="291"/>
      <c r="GW224" s="291"/>
      <c r="GX224" s="291"/>
      <c r="GY224" s="291"/>
      <c r="GZ224" s="291"/>
      <c r="HA224" s="291"/>
      <c r="HB224" s="291"/>
      <c r="HC224" s="291"/>
      <c r="HD224" s="291"/>
      <c r="HE224" s="291"/>
      <c r="HF224" s="291"/>
      <c r="HG224" s="291"/>
      <c r="HH224" s="291"/>
      <c r="HI224" s="291"/>
      <c r="HJ224" s="291"/>
      <c r="HK224" s="291"/>
      <c r="HL224" s="291"/>
      <c r="HM224" s="291"/>
      <c r="HN224" s="291"/>
      <c r="HO224" s="291"/>
      <c r="HP224" s="291"/>
      <c r="HQ224" s="291"/>
      <c r="HR224" s="291"/>
      <c r="HS224" s="291"/>
      <c r="HT224" s="291"/>
      <c r="HU224" s="291"/>
      <c r="HV224" s="291"/>
      <c r="HW224" s="291"/>
      <c r="HX224" s="291"/>
      <c r="HY224" s="291"/>
      <c r="HZ224" s="291"/>
      <c r="IA224" s="291"/>
      <c r="IB224" s="291"/>
      <c r="IC224" s="291"/>
      <c r="ID224" s="291"/>
      <c r="IE224" s="291"/>
      <c r="IF224" s="291"/>
      <c r="IG224" s="291"/>
      <c r="IH224" s="291"/>
      <c r="II224" s="291"/>
      <c r="IJ224" s="291"/>
      <c r="IK224" s="291"/>
      <c r="IL224" s="291"/>
      <c r="IM224" s="291"/>
      <c r="IN224" s="291"/>
      <c r="IO224" s="291"/>
      <c r="IP224" s="291"/>
      <c r="IQ224" s="291"/>
      <c r="IR224" s="291"/>
      <c r="IS224" s="291"/>
      <c r="IT224" s="291"/>
      <c r="IU224" s="291"/>
      <c r="IV224" s="291"/>
      <c r="IW224" s="291"/>
      <c r="IX224" s="291"/>
      <c r="IY224" s="291"/>
      <c r="IZ224" s="291"/>
      <c r="JA224" s="291"/>
      <c r="JB224" s="291"/>
      <c r="JC224" s="291"/>
      <c r="JD224" s="291"/>
      <c r="JE224" s="291"/>
      <c r="JF224" s="291"/>
      <c r="JG224" s="291"/>
      <c r="JH224" s="291"/>
      <c r="JI224" s="291"/>
      <c r="JJ224" s="291"/>
      <c r="JK224" s="291"/>
      <c r="JL224" s="291"/>
      <c r="JM224" s="291"/>
      <c r="JN224" s="291"/>
      <c r="JO224" s="291"/>
      <c r="JP224" s="291"/>
      <c r="JQ224" s="291"/>
      <c r="JR224" s="291"/>
      <c r="JS224" s="291"/>
      <c r="JT224" s="291"/>
      <c r="JU224" s="291"/>
      <c r="JV224" s="291"/>
      <c r="JW224" s="291"/>
      <c r="JX224" s="291"/>
      <c r="JY224" s="291"/>
      <c r="JZ224" s="291"/>
      <c r="KA224" s="291"/>
      <c r="KB224" s="291"/>
      <c r="KC224" s="291"/>
      <c r="KD224" s="291"/>
      <c r="KE224" s="291"/>
      <c r="KF224" s="291"/>
      <c r="KG224" s="291"/>
      <c r="KH224" s="291"/>
      <c r="KI224" s="291"/>
      <c r="KJ224" s="291"/>
      <c r="KK224" s="291"/>
      <c r="KL224" s="291"/>
      <c r="KM224" s="291"/>
      <c r="KN224" s="291"/>
      <c r="KO224" s="291"/>
      <c r="KP224" s="291"/>
      <c r="KQ224" s="291"/>
      <c r="KR224" s="291"/>
      <c r="KS224" s="291"/>
      <c r="KT224" s="291"/>
      <c r="KU224" s="291"/>
      <c r="KV224" s="291"/>
      <c r="KW224" s="291"/>
      <c r="KX224" s="291"/>
      <c r="KY224" s="291"/>
      <c r="KZ224" s="291"/>
      <c r="LA224" s="291"/>
      <c r="LB224" s="291"/>
      <c r="LC224" s="291"/>
      <c r="LD224" s="291"/>
      <c r="LE224" s="291"/>
      <c r="LF224" s="291"/>
      <c r="LG224" s="291"/>
      <c r="LH224" s="291"/>
      <c r="LI224" s="291"/>
      <c r="LJ224" s="291"/>
      <c r="LK224" s="291"/>
      <c r="LL224" s="291"/>
      <c r="LM224" s="291"/>
      <c r="LN224" s="291"/>
      <c r="LO224" s="291"/>
      <c r="LP224" s="291"/>
      <c r="LQ224" s="291"/>
      <c r="LR224" s="291"/>
      <c r="LS224" s="291"/>
      <c r="LT224" s="291"/>
      <c r="LU224" s="291"/>
      <c r="LV224" s="291"/>
      <c r="LW224" s="291"/>
      <c r="LX224" s="291"/>
      <c r="LY224" s="291"/>
      <c r="LZ224" s="291"/>
      <c r="MA224" s="291"/>
      <c r="MB224" s="291"/>
      <c r="MC224" s="291"/>
      <c r="MD224" s="291"/>
      <c r="ME224" s="291"/>
      <c r="MF224" s="291"/>
      <c r="MG224" s="291"/>
      <c r="MH224" s="291"/>
      <c r="MI224" s="291"/>
      <c r="MJ224" s="291"/>
      <c r="MK224" s="291"/>
      <c r="ML224" s="291"/>
      <c r="MM224" s="291"/>
      <c r="MN224" s="291"/>
      <c r="MO224" s="291"/>
      <c r="MP224" s="291"/>
      <c r="MQ224" s="291"/>
      <c r="MR224" s="291"/>
      <c r="MS224" s="291"/>
      <c r="MT224" s="291"/>
      <c r="MU224" s="291"/>
      <c r="MV224" s="291"/>
      <c r="MW224" s="291"/>
      <c r="MX224" s="291"/>
      <c r="MY224" s="291"/>
      <c r="MZ224" s="291"/>
      <c r="NA224" s="291"/>
      <c r="NB224" s="291"/>
      <c r="NC224" s="291"/>
      <c r="ND224" s="291"/>
      <c r="NE224" s="291"/>
      <c r="NF224" s="291"/>
      <c r="NG224" s="291"/>
      <c r="NH224" s="291"/>
      <c r="NI224" s="291"/>
      <c r="NJ224" s="291"/>
      <c r="NK224" s="291"/>
      <c r="NL224" s="291"/>
      <c r="NM224" s="291"/>
      <c r="NN224" s="291"/>
      <c r="NO224" s="291"/>
      <c r="NP224" s="291"/>
      <c r="NQ224" s="291"/>
      <c r="NR224" s="291"/>
      <c r="NS224" s="291"/>
      <c r="NT224" s="291"/>
      <c r="NU224" s="291"/>
      <c r="NV224" s="291"/>
      <c r="NW224" s="291"/>
      <c r="NX224" s="291"/>
      <c r="NY224" s="291"/>
      <c r="NZ224" s="291"/>
      <c r="OA224" s="291"/>
      <c r="OB224" s="291"/>
      <c r="OC224" s="291"/>
      <c r="OD224" s="291"/>
      <c r="OE224" s="291"/>
      <c r="OF224" s="291"/>
      <c r="OG224" s="291"/>
      <c r="OH224" s="291"/>
      <c r="OI224" s="291"/>
      <c r="OJ224" s="291"/>
      <c r="OK224" s="291"/>
      <c r="OL224" s="291"/>
      <c r="OM224" s="291"/>
      <c r="ON224" s="291"/>
      <c r="OO224" s="291"/>
      <c r="OP224" s="291"/>
      <c r="OQ224" s="291"/>
      <c r="OR224" s="291"/>
      <c r="OS224" s="291"/>
      <c r="OT224" s="291"/>
      <c r="OU224" s="291"/>
      <c r="OV224" s="291"/>
      <c r="OW224" s="291"/>
    </row>
    <row r="225" spans="1:413" s="257" customFormat="1" ht="22.5" hidden="1" x14ac:dyDescent="0.2">
      <c r="A225" s="291"/>
      <c r="B225" s="524">
        <f t="shared" si="15"/>
        <v>209</v>
      </c>
      <c r="C225" s="510" t="s">
        <v>38</v>
      </c>
      <c r="D225" s="511">
        <v>40009708</v>
      </c>
      <c r="E225" s="511"/>
      <c r="F225" s="512" t="s">
        <v>1382</v>
      </c>
      <c r="G225" s="513" t="s">
        <v>46</v>
      </c>
      <c r="H225" s="514" t="s">
        <v>1094</v>
      </c>
      <c r="I225" s="515" t="s">
        <v>1293</v>
      </c>
      <c r="J225" s="346" t="s">
        <v>43</v>
      </c>
      <c r="K225" s="526">
        <v>487021</v>
      </c>
      <c r="L225" s="527">
        <v>0</v>
      </c>
      <c r="M225" s="528">
        <v>431389</v>
      </c>
      <c r="N225" s="520">
        <v>0</v>
      </c>
      <c r="O225" s="520">
        <v>0</v>
      </c>
      <c r="P225" s="520">
        <v>57271</v>
      </c>
      <c r="Q225" s="520">
        <v>60621</v>
      </c>
      <c r="R225" s="520">
        <v>0</v>
      </c>
      <c r="S225" s="520">
        <v>27048</v>
      </c>
      <c r="T225" s="18"/>
      <c r="U225" s="18"/>
      <c r="V225" s="18"/>
      <c r="W225" s="18"/>
      <c r="X225" s="18"/>
      <c r="Y225" s="18"/>
      <c r="Z225" s="18">
        <f t="shared" si="12"/>
        <v>144940</v>
      </c>
      <c r="AA225" s="309">
        <v>200000</v>
      </c>
      <c r="AB225" s="19">
        <v>3</v>
      </c>
      <c r="AC225" s="521">
        <v>44222</v>
      </c>
      <c r="AD225" s="25">
        <v>44225</v>
      </c>
      <c r="AE225" s="309"/>
      <c r="AF225" s="314"/>
      <c r="AG225" s="315"/>
      <c r="AH225" s="316"/>
      <c r="AI225" s="309"/>
      <c r="AJ225" s="338"/>
      <c r="AK225" s="315"/>
      <c r="AL225" s="316"/>
      <c r="AM225" s="309"/>
      <c r="AN225" s="338"/>
      <c r="AO225" s="21"/>
      <c r="AP225" s="25"/>
      <c r="AQ225" s="309"/>
      <c r="AR225" s="19"/>
      <c r="AS225" s="21"/>
      <c r="AT225" s="25"/>
      <c r="AU225" s="522">
        <f t="shared" si="13"/>
        <v>200000</v>
      </c>
      <c r="AV225" s="311">
        <f t="shared" si="14"/>
        <v>55060</v>
      </c>
      <c r="AW225" s="305"/>
      <c r="AX225" s="291"/>
      <c r="AY225" s="291"/>
      <c r="AZ225" s="291"/>
      <c r="BA225" s="291"/>
      <c r="BB225" s="291"/>
      <c r="BC225" s="291"/>
      <c r="BD225" s="291"/>
      <c r="BE225" s="291"/>
      <c r="BF225" s="291"/>
      <c r="BG225" s="291"/>
      <c r="BH225" s="291"/>
      <c r="BI225" s="291"/>
      <c r="BJ225" s="291"/>
      <c r="BK225" s="291"/>
      <c r="BL225" s="291"/>
      <c r="BM225" s="291"/>
      <c r="BN225" s="291"/>
      <c r="BO225" s="291"/>
      <c r="BP225" s="291"/>
      <c r="BQ225" s="291"/>
      <c r="BR225" s="291"/>
      <c r="BS225" s="291"/>
      <c r="BT225" s="291"/>
      <c r="BU225" s="291"/>
      <c r="BV225" s="291"/>
      <c r="BW225" s="291"/>
      <c r="BX225" s="291"/>
      <c r="BY225" s="291"/>
      <c r="BZ225" s="291"/>
      <c r="CA225" s="291"/>
      <c r="CB225" s="291"/>
      <c r="CC225" s="291"/>
      <c r="CD225" s="291"/>
      <c r="CE225" s="291"/>
      <c r="CF225" s="291"/>
      <c r="CG225" s="291"/>
      <c r="CH225" s="291"/>
      <c r="CI225" s="291"/>
      <c r="CJ225" s="291"/>
      <c r="CK225" s="291"/>
      <c r="CL225" s="291"/>
      <c r="CM225" s="291"/>
      <c r="CN225" s="291"/>
      <c r="CO225" s="291"/>
      <c r="CP225" s="291"/>
      <c r="CQ225" s="291"/>
      <c r="CR225" s="291"/>
      <c r="CS225" s="291"/>
      <c r="CT225" s="291"/>
      <c r="CU225" s="291"/>
      <c r="CV225" s="291"/>
      <c r="CW225" s="291"/>
      <c r="CX225" s="291"/>
      <c r="CY225" s="291"/>
      <c r="CZ225" s="291"/>
      <c r="DA225" s="291"/>
      <c r="DB225" s="291"/>
      <c r="DC225" s="291"/>
      <c r="DD225" s="291"/>
      <c r="DE225" s="291"/>
      <c r="DF225" s="291"/>
      <c r="DG225" s="291"/>
      <c r="DH225" s="291"/>
      <c r="DI225" s="291"/>
      <c r="DJ225" s="291"/>
      <c r="DK225" s="291"/>
      <c r="DL225" s="291"/>
      <c r="DM225" s="291"/>
      <c r="DN225" s="291"/>
      <c r="DO225" s="291"/>
      <c r="DP225" s="291"/>
      <c r="DQ225" s="291"/>
      <c r="DR225" s="291"/>
      <c r="DS225" s="291"/>
      <c r="DT225" s="291"/>
      <c r="DU225" s="291"/>
      <c r="DV225" s="291"/>
      <c r="DW225" s="291"/>
      <c r="DX225" s="291"/>
      <c r="DY225" s="291"/>
      <c r="DZ225" s="291"/>
      <c r="EA225" s="291"/>
      <c r="EB225" s="291"/>
      <c r="EC225" s="291"/>
      <c r="ED225" s="291"/>
      <c r="EE225" s="291"/>
      <c r="EF225" s="291"/>
      <c r="EG225" s="291"/>
      <c r="EH225" s="291"/>
      <c r="EI225" s="291"/>
      <c r="EJ225" s="291"/>
      <c r="EK225" s="291"/>
      <c r="EL225" s="291"/>
      <c r="EM225" s="291"/>
      <c r="EN225" s="291"/>
      <c r="EO225" s="291"/>
      <c r="EP225" s="291"/>
      <c r="EQ225" s="291"/>
      <c r="ER225" s="291"/>
      <c r="ES225" s="291"/>
      <c r="ET225" s="291"/>
      <c r="EU225" s="291"/>
      <c r="EV225" s="291"/>
      <c r="EW225" s="291"/>
      <c r="EX225" s="291"/>
      <c r="EY225" s="291"/>
      <c r="EZ225" s="291"/>
      <c r="FA225" s="291"/>
      <c r="FB225" s="291"/>
      <c r="FC225" s="291"/>
      <c r="FD225" s="291"/>
      <c r="FE225" s="291"/>
      <c r="FF225" s="291"/>
      <c r="FG225" s="291"/>
      <c r="FH225" s="291"/>
      <c r="FI225" s="291"/>
      <c r="FJ225" s="291"/>
      <c r="FK225" s="291"/>
      <c r="FL225" s="291"/>
      <c r="FM225" s="291"/>
      <c r="FN225" s="291"/>
      <c r="FO225" s="291"/>
      <c r="FP225" s="291"/>
      <c r="FQ225" s="291"/>
      <c r="FR225" s="291"/>
      <c r="FS225" s="291"/>
      <c r="FT225" s="291"/>
      <c r="FU225" s="291"/>
      <c r="FV225" s="291"/>
      <c r="FW225" s="291"/>
      <c r="FX225" s="291"/>
      <c r="FY225" s="291"/>
      <c r="FZ225" s="291"/>
      <c r="GA225" s="291"/>
      <c r="GB225" s="291"/>
      <c r="GC225" s="291"/>
      <c r="GD225" s="291"/>
      <c r="GE225" s="291"/>
      <c r="GF225" s="291"/>
      <c r="GG225" s="291"/>
      <c r="GH225" s="291"/>
      <c r="GI225" s="291"/>
      <c r="GJ225" s="291"/>
      <c r="GK225" s="291"/>
      <c r="GL225" s="291"/>
      <c r="GM225" s="291"/>
      <c r="GN225" s="291"/>
      <c r="GO225" s="291"/>
      <c r="GP225" s="291"/>
      <c r="GQ225" s="291"/>
      <c r="GR225" s="291"/>
      <c r="GS225" s="291"/>
      <c r="GT225" s="291"/>
      <c r="GU225" s="291"/>
      <c r="GV225" s="291"/>
      <c r="GW225" s="291"/>
      <c r="GX225" s="291"/>
      <c r="GY225" s="291"/>
      <c r="GZ225" s="291"/>
      <c r="HA225" s="291"/>
      <c r="HB225" s="291"/>
      <c r="HC225" s="291"/>
      <c r="HD225" s="291"/>
      <c r="HE225" s="291"/>
      <c r="HF225" s="291"/>
      <c r="HG225" s="291"/>
      <c r="HH225" s="291"/>
      <c r="HI225" s="291"/>
      <c r="HJ225" s="291"/>
      <c r="HK225" s="291"/>
      <c r="HL225" s="291"/>
      <c r="HM225" s="291"/>
      <c r="HN225" s="291"/>
      <c r="HO225" s="291"/>
      <c r="HP225" s="291"/>
      <c r="HQ225" s="291"/>
      <c r="HR225" s="291"/>
      <c r="HS225" s="291"/>
      <c r="HT225" s="291"/>
      <c r="HU225" s="291"/>
      <c r="HV225" s="291"/>
      <c r="HW225" s="291"/>
      <c r="HX225" s="291"/>
      <c r="HY225" s="291"/>
      <c r="HZ225" s="291"/>
      <c r="IA225" s="291"/>
      <c r="IB225" s="291"/>
      <c r="IC225" s="291"/>
      <c r="ID225" s="291"/>
      <c r="IE225" s="291"/>
      <c r="IF225" s="291"/>
      <c r="IG225" s="291"/>
      <c r="IH225" s="291"/>
      <c r="II225" s="291"/>
      <c r="IJ225" s="291"/>
      <c r="IK225" s="291"/>
      <c r="IL225" s="291"/>
      <c r="IM225" s="291"/>
      <c r="IN225" s="291"/>
      <c r="IO225" s="291"/>
      <c r="IP225" s="291"/>
      <c r="IQ225" s="291"/>
      <c r="IR225" s="291"/>
      <c r="IS225" s="291"/>
      <c r="IT225" s="291"/>
      <c r="IU225" s="291"/>
      <c r="IV225" s="291"/>
      <c r="IW225" s="291"/>
      <c r="IX225" s="291"/>
      <c r="IY225" s="291"/>
      <c r="IZ225" s="291"/>
      <c r="JA225" s="291"/>
      <c r="JB225" s="291"/>
      <c r="JC225" s="291"/>
      <c r="JD225" s="291"/>
      <c r="JE225" s="291"/>
      <c r="JF225" s="291"/>
      <c r="JG225" s="291"/>
      <c r="JH225" s="291"/>
      <c r="JI225" s="291"/>
      <c r="JJ225" s="291"/>
      <c r="JK225" s="291"/>
      <c r="JL225" s="291"/>
      <c r="JM225" s="291"/>
      <c r="JN225" s="291"/>
      <c r="JO225" s="291"/>
      <c r="JP225" s="291"/>
      <c r="JQ225" s="291"/>
      <c r="JR225" s="291"/>
      <c r="JS225" s="291"/>
      <c r="JT225" s="291"/>
      <c r="JU225" s="291"/>
      <c r="JV225" s="291"/>
      <c r="JW225" s="291"/>
      <c r="JX225" s="291"/>
      <c r="JY225" s="291"/>
      <c r="JZ225" s="291"/>
      <c r="KA225" s="291"/>
      <c r="KB225" s="291"/>
      <c r="KC225" s="291"/>
      <c r="KD225" s="291"/>
      <c r="KE225" s="291"/>
      <c r="KF225" s="291"/>
      <c r="KG225" s="291"/>
      <c r="KH225" s="291"/>
      <c r="KI225" s="291"/>
      <c r="KJ225" s="291"/>
      <c r="KK225" s="291"/>
      <c r="KL225" s="291"/>
      <c r="KM225" s="291"/>
      <c r="KN225" s="291"/>
      <c r="KO225" s="291"/>
      <c r="KP225" s="291"/>
      <c r="KQ225" s="291"/>
      <c r="KR225" s="291"/>
      <c r="KS225" s="291"/>
      <c r="KT225" s="291"/>
      <c r="KU225" s="291"/>
      <c r="KV225" s="291"/>
      <c r="KW225" s="291"/>
      <c r="KX225" s="291"/>
      <c r="KY225" s="291"/>
      <c r="KZ225" s="291"/>
      <c r="LA225" s="291"/>
      <c r="LB225" s="291"/>
      <c r="LC225" s="291"/>
      <c r="LD225" s="291"/>
      <c r="LE225" s="291"/>
      <c r="LF225" s="291"/>
      <c r="LG225" s="291"/>
      <c r="LH225" s="291"/>
      <c r="LI225" s="291"/>
      <c r="LJ225" s="291"/>
      <c r="LK225" s="291"/>
      <c r="LL225" s="291"/>
      <c r="LM225" s="291"/>
      <c r="LN225" s="291"/>
      <c r="LO225" s="291"/>
      <c r="LP225" s="291"/>
      <c r="LQ225" s="291"/>
      <c r="LR225" s="291"/>
      <c r="LS225" s="291"/>
      <c r="LT225" s="291"/>
      <c r="LU225" s="291"/>
      <c r="LV225" s="291"/>
      <c r="LW225" s="291"/>
      <c r="LX225" s="291"/>
      <c r="LY225" s="291"/>
      <c r="LZ225" s="291"/>
      <c r="MA225" s="291"/>
      <c r="MB225" s="291"/>
      <c r="MC225" s="291"/>
      <c r="MD225" s="291"/>
      <c r="ME225" s="291"/>
      <c r="MF225" s="291"/>
      <c r="MG225" s="291"/>
      <c r="MH225" s="291"/>
      <c r="MI225" s="291"/>
      <c r="MJ225" s="291"/>
      <c r="MK225" s="291"/>
      <c r="ML225" s="291"/>
      <c r="MM225" s="291"/>
      <c r="MN225" s="291"/>
      <c r="MO225" s="291"/>
      <c r="MP225" s="291"/>
      <c r="MQ225" s="291"/>
      <c r="MR225" s="291"/>
      <c r="MS225" s="291"/>
      <c r="MT225" s="291"/>
      <c r="MU225" s="291"/>
      <c r="MV225" s="291"/>
      <c r="MW225" s="291"/>
      <c r="MX225" s="291"/>
      <c r="MY225" s="291"/>
      <c r="MZ225" s="291"/>
      <c r="NA225" s="291"/>
      <c r="NB225" s="291"/>
      <c r="NC225" s="291"/>
      <c r="ND225" s="291"/>
      <c r="NE225" s="291"/>
      <c r="NF225" s="291"/>
      <c r="NG225" s="291"/>
      <c r="NH225" s="291"/>
      <c r="NI225" s="291"/>
      <c r="NJ225" s="291"/>
      <c r="NK225" s="291"/>
      <c r="NL225" s="291"/>
      <c r="NM225" s="291"/>
      <c r="NN225" s="291"/>
      <c r="NO225" s="291"/>
      <c r="NP225" s="291"/>
      <c r="NQ225" s="291"/>
      <c r="NR225" s="291"/>
      <c r="NS225" s="291"/>
      <c r="NT225" s="291"/>
      <c r="NU225" s="291"/>
      <c r="NV225" s="291"/>
      <c r="NW225" s="291"/>
      <c r="NX225" s="291"/>
      <c r="NY225" s="291"/>
      <c r="NZ225" s="291"/>
      <c r="OA225" s="291"/>
      <c r="OB225" s="291"/>
      <c r="OC225" s="291"/>
      <c r="OD225" s="291"/>
      <c r="OE225" s="291"/>
      <c r="OF225" s="291"/>
      <c r="OG225" s="291"/>
      <c r="OH225" s="291"/>
      <c r="OI225" s="291"/>
      <c r="OJ225" s="291"/>
      <c r="OK225" s="291"/>
      <c r="OL225" s="291"/>
      <c r="OM225" s="291"/>
      <c r="ON225" s="291"/>
      <c r="OO225" s="291"/>
      <c r="OP225" s="291"/>
      <c r="OQ225" s="291"/>
      <c r="OR225" s="291"/>
      <c r="OS225" s="291"/>
      <c r="OT225" s="291"/>
      <c r="OU225" s="291"/>
      <c r="OV225" s="291"/>
      <c r="OW225" s="291"/>
    </row>
    <row r="226" spans="1:413" s="257" customFormat="1" hidden="1" x14ac:dyDescent="0.2">
      <c r="A226" s="291"/>
      <c r="B226" s="524">
        <f t="shared" si="15"/>
        <v>210</v>
      </c>
      <c r="C226" s="510" t="s">
        <v>38</v>
      </c>
      <c r="D226" s="511">
        <v>40010041</v>
      </c>
      <c r="E226" s="511"/>
      <c r="F226" s="512" t="s">
        <v>1383</v>
      </c>
      <c r="G226" s="513" t="s">
        <v>45</v>
      </c>
      <c r="H226" s="514" t="s">
        <v>1094</v>
      </c>
      <c r="I226" s="515" t="s">
        <v>1384</v>
      </c>
      <c r="J226" s="346" t="s">
        <v>43</v>
      </c>
      <c r="K226" s="526">
        <v>93396</v>
      </c>
      <c r="L226" s="527"/>
      <c r="M226" s="528">
        <v>19437</v>
      </c>
      <c r="N226" s="520">
        <v>269404</v>
      </c>
      <c r="O226" s="520">
        <v>0</v>
      </c>
      <c r="P226" s="520">
        <v>0</v>
      </c>
      <c r="Q226" s="520">
        <v>0</v>
      </c>
      <c r="R226" s="520">
        <v>0</v>
      </c>
      <c r="S226" s="520">
        <v>0</v>
      </c>
      <c r="T226" s="18"/>
      <c r="U226" s="18"/>
      <c r="V226" s="18"/>
      <c r="W226" s="18"/>
      <c r="X226" s="18"/>
      <c r="Y226" s="18"/>
      <c r="Z226" s="18">
        <f t="shared" si="12"/>
        <v>269404</v>
      </c>
      <c r="AA226" s="309">
        <v>73959</v>
      </c>
      <c r="AB226" s="19">
        <v>2</v>
      </c>
      <c r="AC226" s="521">
        <v>44221</v>
      </c>
      <c r="AD226" s="25">
        <v>44225</v>
      </c>
      <c r="AE226" s="309"/>
      <c r="AF226" s="314"/>
      <c r="AG226" s="315"/>
      <c r="AH226" s="316"/>
      <c r="AI226" s="309"/>
      <c r="AJ226" s="338"/>
      <c r="AK226" s="315"/>
      <c r="AL226" s="316"/>
      <c r="AM226" s="309"/>
      <c r="AN226" s="338"/>
      <c r="AO226" s="21"/>
      <c r="AP226" s="25"/>
      <c r="AQ226" s="309"/>
      <c r="AR226" s="19"/>
      <c r="AS226" s="21"/>
      <c r="AT226" s="25"/>
      <c r="AU226" s="522">
        <f t="shared" si="13"/>
        <v>73959</v>
      </c>
      <c r="AV226" s="311">
        <f t="shared" si="14"/>
        <v>-195445</v>
      </c>
      <c r="AW226" s="305"/>
      <c r="AX226" s="291"/>
      <c r="AY226" s="291"/>
      <c r="AZ226" s="291"/>
      <c r="BA226" s="291"/>
      <c r="BB226" s="291"/>
      <c r="BC226" s="291"/>
      <c r="BD226" s="291"/>
      <c r="BE226" s="291"/>
      <c r="BF226" s="291"/>
      <c r="BG226" s="291"/>
      <c r="BH226" s="291"/>
      <c r="BI226" s="291"/>
      <c r="BJ226" s="291"/>
      <c r="BK226" s="291"/>
      <c r="BL226" s="291"/>
      <c r="BM226" s="291"/>
      <c r="BN226" s="291"/>
      <c r="BO226" s="291"/>
      <c r="BP226" s="291"/>
      <c r="BQ226" s="291"/>
      <c r="BR226" s="291"/>
      <c r="BS226" s="291"/>
      <c r="BT226" s="291"/>
      <c r="BU226" s="291"/>
      <c r="BV226" s="291"/>
      <c r="BW226" s="291"/>
      <c r="BX226" s="291"/>
      <c r="BY226" s="291"/>
      <c r="BZ226" s="291"/>
      <c r="CA226" s="291"/>
      <c r="CB226" s="291"/>
      <c r="CC226" s="291"/>
      <c r="CD226" s="291"/>
      <c r="CE226" s="291"/>
      <c r="CF226" s="291"/>
      <c r="CG226" s="291"/>
      <c r="CH226" s="291"/>
      <c r="CI226" s="291"/>
      <c r="CJ226" s="291"/>
      <c r="CK226" s="291"/>
      <c r="CL226" s="291"/>
      <c r="CM226" s="291"/>
      <c r="CN226" s="291"/>
      <c r="CO226" s="291"/>
      <c r="CP226" s="291"/>
      <c r="CQ226" s="291"/>
      <c r="CR226" s="291"/>
      <c r="CS226" s="291"/>
      <c r="CT226" s="291"/>
      <c r="CU226" s="291"/>
      <c r="CV226" s="291"/>
      <c r="CW226" s="291"/>
      <c r="CX226" s="291"/>
      <c r="CY226" s="291"/>
      <c r="CZ226" s="291"/>
      <c r="DA226" s="291"/>
      <c r="DB226" s="291"/>
      <c r="DC226" s="291"/>
      <c r="DD226" s="291"/>
      <c r="DE226" s="291"/>
      <c r="DF226" s="291"/>
      <c r="DG226" s="291"/>
      <c r="DH226" s="291"/>
      <c r="DI226" s="291"/>
      <c r="DJ226" s="291"/>
      <c r="DK226" s="291"/>
      <c r="DL226" s="291"/>
      <c r="DM226" s="291"/>
      <c r="DN226" s="291"/>
      <c r="DO226" s="291"/>
      <c r="DP226" s="291"/>
      <c r="DQ226" s="291"/>
      <c r="DR226" s="291"/>
      <c r="DS226" s="291"/>
      <c r="DT226" s="291"/>
      <c r="DU226" s="291"/>
      <c r="DV226" s="291"/>
      <c r="DW226" s="291"/>
      <c r="DX226" s="291"/>
      <c r="DY226" s="291"/>
      <c r="DZ226" s="291"/>
      <c r="EA226" s="291"/>
      <c r="EB226" s="291"/>
      <c r="EC226" s="291"/>
      <c r="ED226" s="291"/>
      <c r="EE226" s="291"/>
      <c r="EF226" s="291"/>
      <c r="EG226" s="291"/>
      <c r="EH226" s="291"/>
      <c r="EI226" s="291"/>
      <c r="EJ226" s="291"/>
      <c r="EK226" s="291"/>
      <c r="EL226" s="291"/>
      <c r="EM226" s="291"/>
      <c r="EN226" s="291"/>
      <c r="EO226" s="291"/>
      <c r="EP226" s="291"/>
      <c r="EQ226" s="291"/>
      <c r="ER226" s="291"/>
      <c r="ES226" s="291"/>
      <c r="ET226" s="291"/>
      <c r="EU226" s="291"/>
      <c r="EV226" s="291"/>
      <c r="EW226" s="291"/>
      <c r="EX226" s="291"/>
      <c r="EY226" s="291"/>
      <c r="EZ226" s="291"/>
      <c r="FA226" s="291"/>
      <c r="FB226" s="291"/>
      <c r="FC226" s="291"/>
      <c r="FD226" s="291"/>
      <c r="FE226" s="291"/>
      <c r="FF226" s="291"/>
      <c r="FG226" s="291"/>
      <c r="FH226" s="291"/>
      <c r="FI226" s="291"/>
      <c r="FJ226" s="291"/>
      <c r="FK226" s="291"/>
      <c r="FL226" s="291"/>
      <c r="FM226" s="291"/>
      <c r="FN226" s="291"/>
      <c r="FO226" s="291"/>
      <c r="FP226" s="291"/>
      <c r="FQ226" s="291"/>
      <c r="FR226" s="291"/>
      <c r="FS226" s="291"/>
      <c r="FT226" s="291"/>
      <c r="FU226" s="291"/>
      <c r="FV226" s="291"/>
      <c r="FW226" s="291"/>
      <c r="FX226" s="291"/>
      <c r="FY226" s="291"/>
      <c r="FZ226" s="291"/>
      <c r="GA226" s="291"/>
      <c r="GB226" s="291"/>
      <c r="GC226" s="291"/>
      <c r="GD226" s="291"/>
      <c r="GE226" s="291"/>
      <c r="GF226" s="291"/>
      <c r="GG226" s="291"/>
      <c r="GH226" s="291"/>
      <c r="GI226" s="291"/>
      <c r="GJ226" s="291"/>
      <c r="GK226" s="291"/>
      <c r="GL226" s="291"/>
      <c r="GM226" s="291"/>
      <c r="GN226" s="291"/>
      <c r="GO226" s="291"/>
      <c r="GP226" s="291"/>
      <c r="GQ226" s="291"/>
      <c r="GR226" s="291"/>
      <c r="GS226" s="291"/>
      <c r="GT226" s="291"/>
      <c r="GU226" s="291"/>
      <c r="GV226" s="291"/>
      <c r="GW226" s="291"/>
      <c r="GX226" s="291"/>
      <c r="GY226" s="291"/>
      <c r="GZ226" s="291"/>
      <c r="HA226" s="291"/>
      <c r="HB226" s="291"/>
      <c r="HC226" s="291"/>
      <c r="HD226" s="291"/>
      <c r="HE226" s="291"/>
      <c r="HF226" s="291"/>
      <c r="HG226" s="291"/>
      <c r="HH226" s="291"/>
      <c r="HI226" s="291"/>
      <c r="HJ226" s="291"/>
      <c r="HK226" s="291"/>
      <c r="HL226" s="291"/>
      <c r="HM226" s="291"/>
      <c r="HN226" s="291"/>
      <c r="HO226" s="291"/>
      <c r="HP226" s="291"/>
      <c r="HQ226" s="291"/>
      <c r="HR226" s="291"/>
      <c r="HS226" s="291"/>
      <c r="HT226" s="291"/>
      <c r="HU226" s="291"/>
      <c r="HV226" s="291"/>
      <c r="HW226" s="291"/>
      <c r="HX226" s="291"/>
      <c r="HY226" s="291"/>
      <c r="HZ226" s="291"/>
      <c r="IA226" s="291"/>
      <c r="IB226" s="291"/>
      <c r="IC226" s="291"/>
      <c r="ID226" s="291"/>
      <c r="IE226" s="291"/>
      <c r="IF226" s="291"/>
      <c r="IG226" s="291"/>
      <c r="IH226" s="291"/>
      <c r="II226" s="291"/>
      <c r="IJ226" s="291"/>
      <c r="IK226" s="291"/>
      <c r="IL226" s="291"/>
      <c r="IM226" s="291"/>
      <c r="IN226" s="291"/>
      <c r="IO226" s="291"/>
      <c r="IP226" s="291"/>
      <c r="IQ226" s="291"/>
      <c r="IR226" s="291"/>
      <c r="IS226" s="291"/>
      <c r="IT226" s="291"/>
      <c r="IU226" s="291"/>
      <c r="IV226" s="291"/>
      <c r="IW226" s="291"/>
      <c r="IX226" s="291"/>
      <c r="IY226" s="291"/>
      <c r="IZ226" s="291"/>
      <c r="JA226" s="291"/>
      <c r="JB226" s="291"/>
      <c r="JC226" s="291"/>
      <c r="JD226" s="291"/>
      <c r="JE226" s="291"/>
      <c r="JF226" s="291"/>
      <c r="JG226" s="291"/>
      <c r="JH226" s="291"/>
      <c r="JI226" s="291"/>
      <c r="JJ226" s="291"/>
      <c r="JK226" s="291"/>
      <c r="JL226" s="291"/>
      <c r="JM226" s="291"/>
      <c r="JN226" s="291"/>
      <c r="JO226" s="291"/>
      <c r="JP226" s="291"/>
      <c r="JQ226" s="291"/>
      <c r="JR226" s="291"/>
      <c r="JS226" s="291"/>
      <c r="JT226" s="291"/>
      <c r="JU226" s="291"/>
      <c r="JV226" s="291"/>
      <c r="JW226" s="291"/>
      <c r="JX226" s="291"/>
      <c r="JY226" s="291"/>
      <c r="JZ226" s="291"/>
      <c r="KA226" s="291"/>
      <c r="KB226" s="291"/>
      <c r="KC226" s="291"/>
      <c r="KD226" s="291"/>
      <c r="KE226" s="291"/>
      <c r="KF226" s="291"/>
      <c r="KG226" s="291"/>
      <c r="KH226" s="291"/>
      <c r="KI226" s="291"/>
      <c r="KJ226" s="291"/>
      <c r="KK226" s="291"/>
      <c r="KL226" s="291"/>
      <c r="KM226" s="291"/>
      <c r="KN226" s="291"/>
      <c r="KO226" s="291"/>
      <c r="KP226" s="291"/>
      <c r="KQ226" s="291"/>
      <c r="KR226" s="291"/>
      <c r="KS226" s="291"/>
      <c r="KT226" s="291"/>
      <c r="KU226" s="291"/>
      <c r="KV226" s="291"/>
      <c r="KW226" s="291"/>
      <c r="KX226" s="291"/>
      <c r="KY226" s="291"/>
      <c r="KZ226" s="291"/>
      <c r="LA226" s="291"/>
      <c r="LB226" s="291"/>
      <c r="LC226" s="291"/>
      <c r="LD226" s="291"/>
      <c r="LE226" s="291"/>
      <c r="LF226" s="291"/>
      <c r="LG226" s="291"/>
      <c r="LH226" s="291"/>
      <c r="LI226" s="291"/>
      <c r="LJ226" s="291"/>
      <c r="LK226" s="291"/>
      <c r="LL226" s="291"/>
      <c r="LM226" s="291"/>
      <c r="LN226" s="291"/>
      <c r="LO226" s="291"/>
      <c r="LP226" s="291"/>
      <c r="LQ226" s="291"/>
      <c r="LR226" s="291"/>
      <c r="LS226" s="291"/>
      <c r="LT226" s="291"/>
      <c r="LU226" s="291"/>
      <c r="LV226" s="291"/>
      <c r="LW226" s="291"/>
      <c r="LX226" s="291"/>
      <c r="LY226" s="291"/>
      <c r="LZ226" s="291"/>
      <c r="MA226" s="291"/>
      <c r="MB226" s="291"/>
      <c r="MC226" s="291"/>
      <c r="MD226" s="291"/>
      <c r="ME226" s="291"/>
      <c r="MF226" s="291"/>
      <c r="MG226" s="291"/>
      <c r="MH226" s="291"/>
      <c r="MI226" s="291"/>
      <c r="MJ226" s="291"/>
      <c r="MK226" s="291"/>
      <c r="ML226" s="291"/>
      <c r="MM226" s="291"/>
      <c r="MN226" s="291"/>
      <c r="MO226" s="291"/>
      <c r="MP226" s="291"/>
      <c r="MQ226" s="291"/>
      <c r="MR226" s="291"/>
      <c r="MS226" s="291"/>
      <c r="MT226" s="291"/>
      <c r="MU226" s="291"/>
      <c r="MV226" s="291"/>
      <c r="MW226" s="291"/>
      <c r="MX226" s="291"/>
      <c r="MY226" s="291"/>
      <c r="MZ226" s="291"/>
      <c r="NA226" s="291"/>
      <c r="NB226" s="291"/>
      <c r="NC226" s="291"/>
      <c r="ND226" s="291"/>
      <c r="NE226" s="291"/>
      <c r="NF226" s="291"/>
      <c r="NG226" s="291"/>
      <c r="NH226" s="291"/>
      <c r="NI226" s="291"/>
      <c r="NJ226" s="291"/>
      <c r="NK226" s="291"/>
      <c r="NL226" s="291"/>
      <c r="NM226" s="291"/>
      <c r="NN226" s="291"/>
      <c r="NO226" s="291"/>
      <c r="NP226" s="291"/>
      <c r="NQ226" s="291"/>
      <c r="NR226" s="291"/>
      <c r="NS226" s="291"/>
      <c r="NT226" s="291"/>
      <c r="NU226" s="291"/>
      <c r="NV226" s="291"/>
      <c r="NW226" s="291"/>
      <c r="NX226" s="291"/>
      <c r="NY226" s="291"/>
      <c r="NZ226" s="291"/>
      <c r="OA226" s="291"/>
      <c r="OB226" s="291"/>
      <c r="OC226" s="291"/>
      <c r="OD226" s="291"/>
      <c r="OE226" s="291"/>
      <c r="OF226" s="291"/>
      <c r="OG226" s="291"/>
      <c r="OH226" s="291"/>
      <c r="OI226" s="291"/>
      <c r="OJ226" s="291"/>
      <c r="OK226" s="291"/>
      <c r="OL226" s="291"/>
      <c r="OM226" s="291"/>
      <c r="ON226" s="291"/>
      <c r="OO226" s="291"/>
      <c r="OP226" s="291"/>
      <c r="OQ226" s="291"/>
      <c r="OR226" s="291"/>
      <c r="OS226" s="291"/>
      <c r="OT226" s="291"/>
      <c r="OU226" s="291"/>
      <c r="OV226" s="291"/>
      <c r="OW226" s="291"/>
    </row>
    <row r="227" spans="1:413" s="257" customFormat="1" hidden="1" x14ac:dyDescent="0.2">
      <c r="A227" s="291"/>
      <c r="B227" s="524">
        <f t="shared" si="15"/>
        <v>211</v>
      </c>
      <c r="C227" s="510" t="s">
        <v>38</v>
      </c>
      <c r="D227" s="511">
        <v>40010045</v>
      </c>
      <c r="E227" s="511"/>
      <c r="F227" s="512" t="s">
        <v>1385</v>
      </c>
      <c r="G227" s="513" t="s">
        <v>45</v>
      </c>
      <c r="H227" s="514" t="s">
        <v>1094</v>
      </c>
      <c r="I227" s="515" t="s">
        <v>1384</v>
      </c>
      <c r="J227" s="346" t="s">
        <v>43</v>
      </c>
      <c r="K227" s="526">
        <v>231819</v>
      </c>
      <c r="L227" s="527"/>
      <c r="M227" s="528">
        <v>36374</v>
      </c>
      <c r="N227" s="519">
        <v>0</v>
      </c>
      <c r="O227" s="519">
        <v>0</v>
      </c>
      <c r="P227" s="519">
        <v>0</v>
      </c>
      <c r="Q227" s="519">
        <v>0</v>
      </c>
      <c r="R227" s="519">
        <v>0</v>
      </c>
      <c r="S227" s="520">
        <v>0</v>
      </c>
      <c r="T227" s="18"/>
      <c r="U227" s="18"/>
      <c r="V227" s="18"/>
      <c r="W227" s="18"/>
      <c r="X227" s="18"/>
      <c r="Y227" s="18"/>
      <c r="Z227" s="18">
        <f t="shared" si="12"/>
        <v>0</v>
      </c>
      <c r="AA227" s="309">
        <v>195445</v>
      </c>
      <c r="AB227" s="19">
        <v>2</v>
      </c>
      <c r="AC227" s="521">
        <v>44221</v>
      </c>
      <c r="AD227" s="25">
        <v>44225</v>
      </c>
      <c r="AE227" s="309"/>
      <c r="AF227" s="314"/>
      <c r="AG227" s="315"/>
      <c r="AH227" s="316"/>
      <c r="AI227" s="309"/>
      <c r="AJ227" s="338"/>
      <c r="AK227" s="315"/>
      <c r="AL227" s="316"/>
      <c r="AM227" s="309"/>
      <c r="AN227" s="338"/>
      <c r="AO227" s="21"/>
      <c r="AP227" s="25"/>
      <c r="AQ227" s="309"/>
      <c r="AR227" s="19"/>
      <c r="AS227" s="21"/>
      <c r="AT227" s="25"/>
      <c r="AU227" s="522">
        <f t="shared" si="13"/>
        <v>195445</v>
      </c>
      <c r="AV227" s="311">
        <f t="shared" si="14"/>
        <v>195445</v>
      </c>
      <c r="AW227" s="305"/>
      <c r="AX227" s="291"/>
      <c r="AY227" s="291"/>
      <c r="AZ227" s="291"/>
      <c r="BA227" s="291"/>
      <c r="BB227" s="291"/>
      <c r="BC227" s="291"/>
      <c r="BD227" s="291"/>
      <c r="BE227" s="291"/>
      <c r="BF227" s="291"/>
      <c r="BG227" s="291"/>
      <c r="BH227" s="291"/>
      <c r="BI227" s="291"/>
      <c r="BJ227" s="291"/>
      <c r="BK227" s="291"/>
      <c r="BL227" s="291"/>
      <c r="BM227" s="291"/>
      <c r="BN227" s="291"/>
      <c r="BO227" s="291"/>
      <c r="BP227" s="291"/>
      <c r="BQ227" s="291"/>
      <c r="BR227" s="291"/>
      <c r="BS227" s="291"/>
      <c r="BT227" s="291"/>
      <c r="BU227" s="291"/>
      <c r="BV227" s="291"/>
      <c r="BW227" s="291"/>
      <c r="BX227" s="291"/>
      <c r="BY227" s="291"/>
      <c r="BZ227" s="291"/>
      <c r="CA227" s="291"/>
      <c r="CB227" s="291"/>
      <c r="CC227" s="291"/>
      <c r="CD227" s="291"/>
      <c r="CE227" s="291"/>
      <c r="CF227" s="291"/>
      <c r="CG227" s="291"/>
      <c r="CH227" s="291"/>
      <c r="CI227" s="291"/>
      <c r="CJ227" s="291"/>
      <c r="CK227" s="291"/>
      <c r="CL227" s="291"/>
      <c r="CM227" s="291"/>
      <c r="CN227" s="291"/>
      <c r="CO227" s="291"/>
      <c r="CP227" s="291"/>
      <c r="CQ227" s="291"/>
      <c r="CR227" s="291"/>
      <c r="CS227" s="291"/>
      <c r="CT227" s="291"/>
      <c r="CU227" s="291"/>
      <c r="CV227" s="291"/>
      <c r="CW227" s="291"/>
      <c r="CX227" s="291"/>
      <c r="CY227" s="291"/>
      <c r="CZ227" s="291"/>
      <c r="DA227" s="291"/>
      <c r="DB227" s="291"/>
      <c r="DC227" s="291"/>
      <c r="DD227" s="291"/>
      <c r="DE227" s="291"/>
      <c r="DF227" s="291"/>
      <c r="DG227" s="291"/>
      <c r="DH227" s="291"/>
      <c r="DI227" s="291"/>
      <c r="DJ227" s="291"/>
      <c r="DK227" s="291"/>
      <c r="DL227" s="291"/>
      <c r="DM227" s="291"/>
      <c r="DN227" s="291"/>
      <c r="DO227" s="291"/>
      <c r="DP227" s="291"/>
      <c r="DQ227" s="291"/>
      <c r="DR227" s="291"/>
      <c r="DS227" s="291"/>
      <c r="DT227" s="291"/>
      <c r="DU227" s="291"/>
      <c r="DV227" s="291"/>
      <c r="DW227" s="291"/>
      <c r="DX227" s="291"/>
      <c r="DY227" s="291"/>
      <c r="DZ227" s="291"/>
      <c r="EA227" s="291"/>
      <c r="EB227" s="291"/>
      <c r="EC227" s="291"/>
      <c r="ED227" s="291"/>
      <c r="EE227" s="291"/>
      <c r="EF227" s="291"/>
      <c r="EG227" s="291"/>
      <c r="EH227" s="291"/>
      <c r="EI227" s="291"/>
      <c r="EJ227" s="291"/>
      <c r="EK227" s="291"/>
      <c r="EL227" s="291"/>
      <c r="EM227" s="291"/>
      <c r="EN227" s="291"/>
      <c r="EO227" s="291"/>
      <c r="EP227" s="291"/>
      <c r="EQ227" s="291"/>
      <c r="ER227" s="291"/>
      <c r="ES227" s="291"/>
      <c r="ET227" s="291"/>
      <c r="EU227" s="291"/>
      <c r="EV227" s="291"/>
      <c r="EW227" s="291"/>
      <c r="EX227" s="291"/>
      <c r="EY227" s="291"/>
      <c r="EZ227" s="291"/>
      <c r="FA227" s="291"/>
      <c r="FB227" s="291"/>
      <c r="FC227" s="291"/>
      <c r="FD227" s="291"/>
      <c r="FE227" s="291"/>
      <c r="FF227" s="291"/>
      <c r="FG227" s="291"/>
      <c r="FH227" s="291"/>
      <c r="FI227" s="291"/>
      <c r="FJ227" s="291"/>
      <c r="FK227" s="291"/>
      <c r="FL227" s="291"/>
      <c r="FM227" s="291"/>
      <c r="FN227" s="291"/>
      <c r="FO227" s="291"/>
      <c r="FP227" s="291"/>
      <c r="FQ227" s="291"/>
      <c r="FR227" s="291"/>
      <c r="FS227" s="291"/>
      <c r="FT227" s="291"/>
      <c r="FU227" s="291"/>
      <c r="FV227" s="291"/>
      <c r="FW227" s="291"/>
      <c r="FX227" s="291"/>
      <c r="FY227" s="291"/>
      <c r="FZ227" s="291"/>
      <c r="GA227" s="291"/>
      <c r="GB227" s="291"/>
      <c r="GC227" s="291"/>
      <c r="GD227" s="291"/>
      <c r="GE227" s="291"/>
      <c r="GF227" s="291"/>
      <c r="GG227" s="291"/>
      <c r="GH227" s="291"/>
      <c r="GI227" s="291"/>
      <c r="GJ227" s="291"/>
      <c r="GK227" s="291"/>
      <c r="GL227" s="291"/>
      <c r="GM227" s="291"/>
      <c r="GN227" s="291"/>
      <c r="GO227" s="291"/>
      <c r="GP227" s="291"/>
      <c r="GQ227" s="291"/>
      <c r="GR227" s="291"/>
      <c r="GS227" s="291"/>
      <c r="GT227" s="291"/>
      <c r="GU227" s="291"/>
      <c r="GV227" s="291"/>
      <c r="GW227" s="291"/>
      <c r="GX227" s="291"/>
      <c r="GY227" s="291"/>
      <c r="GZ227" s="291"/>
      <c r="HA227" s="291"/>
      <c r="HB227" s="291"/>
      <c r="HC227" s="291"/>
      <c r="HD227" s="291"/>
      <c r="HE227" s="291"/>
      <c r="HF227" s="291"/>
      <c r="HG227" s="291"/>
      <c r="HH227" s="291"/>
      <c r="HI227" s="291"/>
      <c r="HJ227" s="291"/>
      <c r="HK227" s="291"/>
      <c r="HL227" s="291"/>
      <c r="HM227" s="291"/>
      <c r="HN227" s="291"/>
      <c r="HO227" s="291"/>
      <c r="HP227" s="291"/>
      <c r="HQ227" s="291"/>
      <c r="HR227" s="291"/>
      <c r="HS227" s="291"/>
      <c r="HT227" s="291"/>
      <c r="HU227" s="291"/>
      <c r="HV227" s="291"/>
      <c r="HW227" s="291"/>
      <c r="HX227" s="291"/>
      <c r="HY227" s="291"/>
      <c r="HZ227" s="291"/>
      <c r="IA227" s="291"/>
      <c r="IB227" s="291"/>
      <c r="IC227" s="291"/>
      <c r="ID227" s="291"/>
      <c r="IE227" s="291"/>
      <c r="IF227" s="291"/>
      <c r="IG227" s="291"/>
      <c r="IH227" s="291"/>
      <c r="II227" s="291"/>
      <c r="IJ227" s="291"/>
      <c r="IK227" s="291"/>
      <c r="IL227" s="291"/>
      <c r="IM227" s="291"/>
      <c r="IN227" s="291"/>
      <c r="IO227" s="291"/>
      <c r="IP227" s="291"/>
      <c r="IQ227" s="291"/>
      <c r="IR227" s="291"/>
      <c r="IS227" s="291"/>
      <c r="IT227" s="291"/>
      <c r="IU227" s="291"/>
      <c r="IV227" s="291"/>
      <c r="IW227" s="291"/>
      <c r="IX227" s="291"/>
      <c r="IY227" s="291"/>
      <c r="IZ227" s="291"/>
      <c r="JA227" s="291"/>
      <c r="JB227" s="291"/>
      <c r="JC227" s="291"/>
      <c r="JD227" s="291"/>
      <c r="JE227" s="291"/>
      <c r="JF227" s="291"/>
      <c r="JG227" s="291"/>
      <c r="JH227" s="291"/>
      <c r="JI227" s="291"/>
      <c r="JJ227" s="291"/>
      <c r="JK227" s="291"/>
      <c r="JL227" s="291"/>
      <c r="JM227" s="291"/>
      <c r="JN227" s="291"/>
      <c r="JO227" s="291"/>
      <c r="JP227" s="291"/>
      <c r="JQ227" s="291"/>
      <c r="JR227" s="291"/>
      <c r="JS227" s="291"/>
      <c r="JT227" s="291"/>
      <c r="JU227" s="291"/>
      <c r="JV227" s="291"/>
      <c r="JW227" s="291"/>
      <c r="JX227" s="291"/>
      <c r="JY227" s="291"/>
      <c r="JZ227" s="291"/>
      <c r="KA227" s="291"/>
      <c r="KB227" s="291"/>
      <c r="KC227" s="291"/>
      <c r="KD227" s="291"/>
      <c r="KE227" s="291"/>
      <c r="KF227" s="291"/>
      <c r="KG227" s="291"/>
      <c r="KH227" s="291"/>
      <c r="KI227" s="291"/>
      <c r="KJ227" s="291"/>
      <c r="KK227" s="291"/>
      <c r="KL227" s="291"/>
      <c r="KM227" s="291"/>
      <c r="KN227" s="291"/>
      <c r="KO227" s="291"/>
      <c r="KP227" s="291"/>
      <c r="KQ227" s="291"/>
      <c r="KR227" s="291"/>
      <c r="KS227" s="291"/>
      <c r="KT227" s="291"/>
      <c r="KU227" s="291"/>
      <c r="KV227" s="291"/>
      <c r="KW227" s="291"/>
      <c r="KX227" s="291"/>
      <c r="KY227" s="291"/>
      <c r="KZ227" s="291"/>
      <c r="LA227" s="291"/>
      <c r="LB227" s="291"/>
      <c r="LC227" s="291"/>
      <c r="LD227" s="291"/>
      <c r="LE227" s="291"/>
      <c r="LF227" s="291"/>
      <c r="LG227" s="291"/>
      <c r="LH227" s="291"/>
      <c r="LI227" s="291"/>
      <c r="LJ227" s="291"/>
      <c r="LK227" s="291"/>
      <c r="LL227" s="291"/>
      <c r="LM227" s="291"/>
      <c r="LN227" s="291"/>
      <c r="LO227" s="291"/>
      <c r="LP227" s="291"/>
      <c r="LQ227" s="291"/>
      <c r="LR227" s="291"/>
      <c r="LS227" s="291"/>
      <c r="LT227" s="291"/>
      <c r="LU227" s="291"/>
      <c r="LV227" s="291"/>
      <c r="LW227" s="291"/>
      <c r="LX227" s="291"/>
      <c r="LY227" s="291"/>
      <c r="LZ227" s="291"/>
      <c r="MA227" s="291"/>
      <c r="MB227" s="291"/>
      <c r="MC227" s="291"/>
      <c r="MD227" s="291"/>
      <c r="ME227" s="291"/>
      <c r="MF227" s="291"/>
      <c r="MG227" s="291"/>
      <c r="MH227" s="291"/>
      <c r="MI227" s="291"/>
      <c r="MJ227" s="291"/>
      <c r="MK227" s="291"/>
      <c r="ML227" s="291"/>
      <c r="MM227" s="291"/>
      <c r="MN227" s="291"/>
      <c r="MO227" s="291"/>
      <c r="MP227" s="291"/>
      <c r="MQ227" s="291"/>
      <c r="MR227" s="291"/>
      <c r="MS227" s="291"/>
      <c r="MT227" s="291"/>
      <c r="MU227" s="291"/>
      <c r="MV227" s="291"/>
      <c r="MW227" s="291"/>
      <c r="MX227" s="291"/>
      <c r="MY227" s="291"/>
      <c r="MZ227" s="291"/>
      <c r="NA227" s="291"/>
      <c r="NB227" s="291"/>
      <c r="NC227" s="291"/>
      <c r="ND227" s="291"/>
      <c r="NE227" s="291"/>
      <c r="NF227" s="291"/>
      <c r="NG227" s="291"/>
      <c r="NH227" s="291"/>
      <c r="NI227" s="291"/>
      <c r="NJ227" s="291"/>
      <c r="NK227" s="291"/>
      <c r="NL227" s="291"/>
      <c r="NM227" s="291"/>
      <c r="NN227" s="291"/>
      <c r="NO227" s="291"/>
      <c r="NP227" s="291"/>
      <c r="NQ227" s="291"/>
      <c r="NR227" s="291"/>
      <c r="NS227" s="291"/>
      <c r="NT227" s="291"/>
      <c r="NU227" s="291"/>
      <c r="NV227" s="291"/>
      <c r="NW227" s="291"/>
      <c r="NX227" s="291"/>
      <c r="NY227" s="291"/>
      <c r="NZ227" s="291"/>
      <c r="OA227" s="291"/>
      <c r="OB227" s="291"/>
      <c r="OC227" s="291"/>
      <c r="OD227" s="291"/>
      <c r="OE227" s="291"/>
      <c r="OF227" s="291"/>
      <c r="OG227" s="291"/>
      <c r="OH227" s="291"/>
      <c r="OI227" s="291"/>
      <c r="OJ227" s="291"/>
      <c r="OK227" s="291"/>
      <c r="OL227" s="291"/>
      <c r="OM227" s="291"/>
      <c r="ON227" s="291"/>
      <c r="OO227" s="291"/>
      <c r="OP227" s="291"/>
      <c r="OQ227" s="291"/>
      <c r="OR227" s="291"/>
      <c r="OS227" s="291"/>
      <c r="OT227" s="291"/>
      <c r="OU227" s="291"/>
      <c r="OV227" s="291"/>
      <c r="OW227" s="291"/>
    </row>
    <row r="228" spans="1:413" s="257" customFormat="1" ht="22.5" hidden="1" x14ac:dyDescent="0.2">
      <c r="A228" s="291"/>
      <c r="B228" s="524">
        <f t="shared" si="15"/>
        <v>212</v>
      </c>
      <c r="C228" s="510" t="s">
        <v>38</v>
      </c>
      <c r="D228" s="511">
        <v>40010064</v>
      </c>
      <c r="E228" s="511"/>
      <c r="F228" s="512" t="s">
        <v>1386</v>
      </c>
      <c r="G228" s="513" t="s">
        <v>45</v>
      </c>
      <c r="H228" s="514" t="s">
        <v>1094</v>
      </c>
      <c r="I228" s="515" t="s">
        <v>1217</v>
      </c>
      <c r="J228" s="346" t="s">
        <v>43</v>
      </c>
      <c r="K228" s="526">
        <v>133785</v>
      </c>
      <c r="L228" s="527"/>
      <c r="M228" s="528">
        <v>16857</v>
      </c>
      <c r="N228" s="520">
        <v>116928</v>
      </c>
      <c r="O228" s="520">
        <v>0</v>
      </c>
      <c r="P228" s="520">
        <v>0</v>
      </c>
      <c r="Q228" s="520">
        <v>0</v>
      </c>
      <c r="R228" s="520">
        <v>0</v>
      </c>
      <c r="S228" s="520">
        <v>0</v>
      </c>
      <c r="T228" s="18"/>
      <c r="U228" s="18"/>
      <c r="V228" s="18"/>
      <c r="W228" s="18"/>
      <c r="X228" s="18"/>
      <c r="Y228" s="18"/>
      <c r="Z228" s="18">
        <f t="shared" si="12"/>
        <v>116928</v>
      </c>
      <c r="AA228" s="309">
        <v>116928</v>
      </c>
      <c r="AB228" s="338">
        <v>2</v>
      </c>
      <c r="AC228" s="521">
        <v>44221</v>
      </c>
      <c r="AD228" s="316">
        <v>44225</v>
      </c>
      <c r="AE228" s="313"/>
      <c r="AF228" s="314"/>
      <c r="AG228" s="315"/>
      <c r="AH228" s="316"/>
      <c r="AI228" s="313"/>
      <c r="AJ228" s="338"/>
      <c r="AK228" s="315"/>
      <c r="AL228" s="316"/>
      <c r="AM228" s="313"/>
      <c r="AN228" s="338"/>
      <c r="AO228" s="315"/>
      <c r="AP228" s="25"/>
      <c r="AQ228" s="313"/>
      <c r="AR228" s="19"/>
      <c r="AS228" s="23"/>
      <c r="AT228" s="25"/>
      <c r="AU228" s="522">
        <f t="shared" si="13"/>
        <v>116928</v>
      </c>
      <c r="AV228" s="311">
        <f t="shared" si="14"/>
        <v>0</v>
      </c>
      <c r="AW228" s="305"/>
      <c r="AX228" s="291"/>
      <c r="AY228" s="291"/>
      <c r="AZ228" s="291"/>
      <c r="BA228" s="291"/>
      <c r="BB228" s="291"/>
      <c r="BC228" s="291"/>
      <c r="BD228" s="291"/>
      <c r="BE228" s="291"/>
      <c r="BF228" s="291"/>
      <c r="BG228" s="291"/>
      <c r="BH228" s="291"/>
      <c r="BI228" s="291"/>
      <c r="BJ228" s="291"/>
      <c r="BK228" s="291"/>
      <c r="BL228" s="291"/>
      <c r="BM228" s="291"/>
      <c r="BN228" s="291"/>
      <c r="BO228" s="291"/>
      <c r="BP228" s="291"/>
      <c r="BQ228" s="291"/>
      <c r="BR228" s="291"/>
      <c r="BS228" s="291"/>
      <c r="BT228" s="291"/>
      <c r="BU228" s="291"/>
      <c r="BV228" s="291"/>
      <c r="BW228" s="291"/>
      <c r="BX228" s="291"/>
      <c r="BY228" s="291"/>
      <c r="BZ228" s="291"/>
      <c r="CA228" s="291"/>
      <c r="CB228" s="291"/>
      <c r="CC228" s="291"/>
      <c r="CD228" s="291"/>
      <c r="CE228" s="291"/>
      <c r="CF228" s="291"/>
      <c r="CG228" s="291"/>
      <c r="CH228" s="291"/>
      <c r="CI228" s="291"/>
      <c r="CJ228" s="291"/>
      <c r="CK228" s="291"/>
      <c r="CL228" s="291"/>
      <c r="CM228" s="291"/>
      <c r="CN228" s="291"/>
      <c r="CO228" s="291"/>
      <c r="CP228" s="291"/>
      <c r="CQ228" s="291"/>
      <c r="CR228" s="291"/>
      <c r="CS228" s="291"/>
      <c r="CT228" s="291"/>
      <c r="CU228" s="291"/>
      <c r="CV228" s="291"/>
      <c r="CW228" s="291"/>
      <c r="CX228" s="291"/>
      <c r="CY228" s="291"/>
      <c r="CZ228" s="291"/>
      <c r="DA228" s="291"/>
      <c r="DB228" s="291"/>
      <c r="DC228" s="291"/>
      <c r="DD228" s="291"/>
      <c r="DE228" s="291"/>
      <c r="DF228" s="291"/>
      <c r="DG228" s="291"/>
      <c r="DH228" s="291"/>
      <c r="DI228" s="291"/>
      <c r="DJ228" s="291"/>
      <c r="DK228" s="291"/>
      <c r="DL228" s="291"/>
      <c r="DM228" s="291"/>
      <c r="DN228" s="291"/>
      <c r="DO228" s="291"/>
      <c r="DP228" s="291"/>
      <c r="DQ228" s="291"/>
      <c r="DR228" s="291"/>
      <c r="DS228" s="291"/>
      <c r="DT228" s="291"/>
      <c r="DU228" s="291"/>
      <c r="DV228" s="291"/>
      <c r="DW228" s="291"/>
      <c r="DX228" s="291"/>
      <c r="DY228" s="291"/>
      <c r="DZ228" s="291"/>
      <c r="EA228" s="291"/>
      <c r="EB228" s="291"/>
      <c r="EC228" s="291"/>
      <c r="ED228" s="291"/>
      <c r="EE228" s="291"/>
      <c r="EF228" s="291"/>
      <c r="EG228" s="291"/>
      <c r="EH228" s="291"/>
      <c r="EI228" s="291"/>
      <c r="EJ228" s="291"/>
      <c r="EK228" s="291"/>
      <c r="EL228" s="291"/>
      <c r="EM228" s="291"/>
      <c r="EN228" s="291"/>
      <c r="EO228" s="291"/>
      <c r="EP228" s="291"/>
      <c r="EQ228" s="291"/>
      <c r="ER228" s="291"/>
      <c r="ES228" s="291"/>
      <c r="ET228" s="291"/>
      <c r="EU228" s="291"/>
      <c r="EV228" s="291"/>
      <c r="EW228" s="291"/>
      <c r="EX228" s="291"/>
      <c r="EY228" s="291"/>
      <c r="EZ228" s="291"/>
      <c r="FA228" s="291"/>
      <c r="FB228" s="291"/>
      <c r="FC228" s="291"/>
      <c r="FD228" s="291"/>
      <c r="FE228" s="291"/>
      <c r="FF228" s="291"/>
      <c r="FG228" s="291"/>
      <c r="FH228" s="291"/>
      <c r="FI228" s="291"/>
      <c r="FJ228" s="291"/>
      <c r="FK228" s="291"/>
      <c r="FL228" s="291"/>
      <c r="FM228" s="291"/>
      <c r="FN228" s="291"/>
      <c r="FO228" s="291"/>
      <c r="FP228" s="291"/>
      <c r="FQ228" s="291"/>
      <c r="FR228" s="291"/>
      <c r="FS228" s="291"/>
      <c r="FT228" s="291"/>
      <c r="FU228" s="291"/>
      <c r="FV228" s="291"/>
      <c r="FW228" s="291"/>
      <c r="FX228" s="291"/>
      <c r="FY228" s="291"/>
      <c r="FZ228" s="291"/>
      <c r="GA228" s="291"/>
      <c r="GB228" s="291"/>
      <c r="GC228" s="291"/>
      <c r="GD228" s="291"/>
      <c r="GE228" s="291"/>
      <c r="GF228" s="291"/>
      <c r="GG228" s="291"/>
      <c r="GH228" s="291"/>
      <c r="GI228" s="291"/>
      <c r="GJ228" s="291"/>
      <c r="GK228" s="291"/>
      <c r="GL228" s="291"/>
      <c r="GM228" s="291"/>
      <c r="GN228" s="291"/>
      <c r="GO228" s="291"/>
      <c r="GP228" s="291"/>
      <c r="GQ228" s="291"/>
      <c r="GR228" s="291"/>
      <c r="GS228" s="291"/>
      <c r="GT228" s="291"/>
      <c r="GU228" s="291"/>
      <c r="GV228" s="291"/>
      <c r="GW228" s="291"/>
      <c r="GX228" s="291"/>
      <c r="GY228" s="291"/>
      <c r="GZ228" s="291"/>
      <c r="HA228" s="291"/>
      <c r="HB228" s="291"/>
      <c r="HC228" s="291"/>
      <c r="HD228" s="291"/>
      <c r="HE228" s="291"/>
      <c r="HF228" s="291"/>
      <c r="HG228" s="291"/>
      <c r="HH228" s="291"/>
      <c r="HI228" s="291"/>
      <c r="HJ228" s="291"/>
      <c r="HK228" s="291"/>
      <c r="HL228" s="291"/>
      <c r="HM228" s="291"/>
      <c r="HN228" s="291"/>
      <c r="HO228" s="291"/>
      <c r="HP228" s="291"/>
      <c r="HQ228" s="291"/>
      <c r="HR228" s="291"/>
      <c r="HS228" s="291"/>
      <c r="HT228" s="291"/>
      <c r="HU228" s="291"/>
      <c r="HV228" s="291"/>
      <c r="HW228" s="291"/>
      <c r="HX228" s="291"/>
      <c r="HY228" s="291"/>
      <c r="HZ228" s="291"/>
      <c r="IA228" s="291"/>
      <c r="IB228" s="291"/>
      <c r="IC228" s="291"/>
      <c r="ID228" s="291"/>
      <c r="IE228" s="291"/>
      <c r="IF228" s="291"/>
      <c r="IG228" s="291"/>
      <c r="IH228" s="291"/>
      <c r="II228" s="291"/>
      <c r="IJ228" s="291"/>
      <c r="IK228" s="291"/>
      <c r="IL228" s="291"/>
      <c r="IM228" s="291"/>
      <c r="IN228" s="291"/>
      <c r="IO228" s="291"/>
      <c r="IP228" s="291"/>
      <c r="IQ228" s="291"/>
      <c r="IR228" s="291"/>
      <c r="IS228" s="291"/>
      <c r="IT228" s="291"/>
      <c r="IU228" s="291"/>
      <c r="IV228" s="291"/>
      <c r="IW228" s="291"/>
      <c r="IX228" s="291"/>
      <c r="IY228" s="291"/>
      <c r="IZ228" s="291"/>
      <c r="JA228" s="291"/>
      <c r="JB228" s="291"/>
      <c r="JC228" s="291"/>
      <c r="JD228" s="291"/>
      <c r="JE228" s="291"/>
      <c r="JF228" s="291"/>
      <c r="JG228" s="291"/>
      <c r="JH228" s="291"/>
      <c r="JI228" s="291"/>
      <c r="JJ228" s="291"/>
      <c r="JK228" s="291"/>
      <c r="JL228" s="291"/>
      <c r="JM228" s="291"/>
      <c r="JN228" s="291"/>
      <c r="JO228" s="291"/>
      <c r="JP228" s="291"/>
      <c r="JQ228" s="291"/>
      <c r="JR228" s="291"/>
      <c r="JS228" s="291"/>
      <c r="JT228" s="291"/>
      <c r="JU228" s="291"/>
      <c r="JV228" s="291"/>
      <c r="JW228" s="291"/>
      <c r="JX228" s="291"/>
      <c r="JY228" s="291"/>
      <c r="JZ228" s="291"/>
      <c r="KA228" s="291"/>
      <c r="KB228" s="291"/>
      <c r="KC228" s="291"/>
      <c r="KD228" s="291"/>
      <c r="KE228" s="291"/>
      <c r="KF228" s="291"/>
      <c r="KG228" s="291"/>
      <c r="KH228" s="291"/>
      <c r="KI228" s="291"/>
      <c r="KJ228" s="291"/>
      <c r="KK228" s="291"/>
      <c r="KL228" s="291"/>
      <c r="KM228" s="291"/>
      <c r="KN228" s="291"/>
      <c r="KO228" s="291"/>
      <c r="KP228" s="291"/>
      <c r="KQ228" s="291"/>
      <c r="KR228" s="291"/>
      <c r="KS228" s="291"/>
      <c r="KT228" s="291"/>
      <c r="KU228" s="291"/>
      <c r="KV228" s="291"/>
      <c r="KW228" s="291"/>
      <c r="KX228" s="291"/>
      <c r="KY228" s="291"/>
      <c r="KZ228" s="291"/>
      <c r="LA228" s="291"/>
      <c r="LB228" s="291"/>
      <c r="LC228" s="291"/>
      <c r="LD228" s="291"/>
      <c r="LE228" s="291"/>
      <c r="LF228" s="291"/>
      <c r="LG228" s="291"/>
      <c r="LH228" s="291"/>
      <c r="LI228" s="291"/>
      <c r="LJ228" s="291"/>
      <c r="LK228" s="291"/>
      <c r="LL228" s="291"/>
      <c r="LM228" s="291"/>
      <c r="LN228" s="291"/>
      <c r="LO228" s="291"/>
      <c r="LP228" s="291"/>
      <c r="LQ228" s="291"/>
      <c r="LR228" s="291"/>
      <c r="LS228" s="291"/>
      <c r="LT228" s="291"/>
      <c r="LU228" s="291"/>
      <c r="LV228" s="291"/>
      <c r="LW228" s="291"/>
      <c r="LX228" s="291"/>
      <c r="LY228" s="291"/>
      <c r="LZ228" s="291"/>
      <c r="MA228" s="291"/>
      <c r="MB228" s="291"/>
      <c r="MC228" s="291"/>
      <c r="MD228" s="291"/>
      <c r="ME228" s="291"/>
      <c r="MF228" s="291"/>
      <c r="MG228" s="291"/>
      <c r="MH228" s="291"/>
      <c r="MI228" s="291"/>
      <c r="MJ228" s="291"/>
      <c r="MK228" s="291"/>
      <c r="ML228" s="291"/>
      <c r="MM228" s="291"/>
      <c r="MN228" s="291"/>
      <c r="MO228" s="291"/>
      <c r="MP228" s="291"/>
      <c r="MQ228" s="291"/>
      <c r="MR228" s="291"/>
      <c r="MS228" s="291"/>
      <c r="MT228" s="291"/>
      <c r="MU228" s="291"/>
      <c r="MV228" s="291"/>
      <c r="MW228" s="291"/>
      <c r="MX228" s="291"/>
      <c r="MY228" s="291"/>
      <c r="MZ228" s="291"/>
      <c r="NA228" s="291"/>
      <c r="NB228" s="291"/>
      <c r="NC228" s="291"/>
      <c r="ND228" s="291"/>
      <c r="NE228" s="291"/>
      <c r="NF228" s="291"/>
      <c r="NG228" s="291"/>
      <c r="NH228" s="291"/>
      <c r="NI228" s="291"/>
      <c r="NJ228" s="291"/>
      <c r="NK228" s="291"/>
      <c r="NL228" s="291"/>
      <c r="NM228" s="291"/>
      <c r="NN228" s="291"/>
      <c r="NO228" s="291"/>
      <c r="NP228" s="291"/>
      <c r="NQ228" s="291"/>
      <c r="NR228" s="291"/>
      <c r="NS228" s="291"/>
      <c r="NT228" s="291"/>
      <c r="NU228" s="291"/>
      <c r="NV228" s="291"/>
      <c r="NW228" s="291"/>
      <c r="NX228" s="291"/>
      <c r="NY228" s="291"/>
      <c r="NZ228" s="291"/>
      <c r="OA228" s="291"/>
      <c r="OB228" s="291"/>
      <c r="OC228" s="291"/>
      <c r="OD228" s="291"/>
      <c r="OE228" s="291"/>
      <c r="OF228" s="291"/>
      <c r="OG228" s="291"/>
      <c r="OH228" s="291"/>
      <c r="OI228" s="291"/>
      <c r="OJ228" s="291"/>
      <c r="OK228" s="291"/>
      <c r="OL228" s="291"/>
      <c r="OM228" s="291"/>
      <c r="ON228" s="291"/>
      <c r="OO228" s="291"/>
      <c r="OP228" s="291"/>
      <c r="OQ228" s="291"/>
      <c r="OR228" s="291"/>
      <c r="OS228" s="291"/>
      <c r="OT228" s="291"/>
      <c r="OU228" s="291"/>
      <c r="OV228" s="291"/>
      <c r="OW228" s="291"/>
    </row>
    <row r="229" spans="1:413" s="257" customFormat="1" hidden="1" x14ac:dyDescent="0.2">
      <c r="A229" s="291"/>
      <c r="B229" s="524">
        <f t="shared" si="15"/>
        <v>213</v>
      </c>
      <c r="C229" s="510" t="s">
        <v>38</v>
      </c>
      <c r="D229" s="511">
        <v>40010077</v>
      </c>
      <c r="E229" s="511"/>
      <c r="F229" s="512" t="s">
        <v>1387</v>
      </c>
      <c r="G229" s="513" t="s">
        <v>45</v>
      </c>
      <c r="H229" s="514" t="s">
        <v>1094</v>
      </c>
      <c r="I229" s="515" t="s">
        <v>1217</v>
      </c>
      <c r="J229" s="346" t="s">
        <v>43</v>
      </c>
      <c r="K229" s="526">
        <v>185329</v>
      </c>
      <c r="L229" s="527"/>
      <c r="M229" s="528">
        <v>16190</v>
      </c>
      <c r="N229" s="520">
        <v>169139</v>
      </c>
      <c r="O229" s="520">
        <v>0</v>
      </c>
      <c r="P229" s="520">
        <v>0</v>
      </c>
      <c r="Q229" s="520">
        <v>0</v>
      </c>
      <c r="R229" s="520">
        <v>0</v>
      </c>
      <c r="S229" s="520">
        <v>0</v>
      </c>
      <c r="T229" s="18"/>
      <c r="U229" s="18"/>
      <c r="V229" s="18"/>
      <c r="W229" s="18"/>
      <c r="X229" s="18"/>
      <c r="Y229" s="18"/>
      <c r="Z229" s="18">
        <f t="shared" si="12"/>
        <v>169139</v>
      </c>
      <c r="AA229" s="309">
        <v>169139</v>
      </c>
      <c r="AB229" s="338">
        <v>2</v>
      </c>
      <c r="AC229" s="521">
        <v>44221</v>
      </c>
      <c r="AD229" s="316">
        <v>44225</v>
      </c>
      <c r="AE229" s="309"/>
      <c r="AF229" s="314"/>
      <c r="AG229" s="315"/>
      <c r="AH229" s="316"/>
      <c r="AI229" s="57"/>
      <c r="AJ229" s="338"/>
      <c r="AK229" s="315"/>
      <c r="AL229" s="316"/>
      <c r="AM229" s="57"/>
      <c r="AN229" s="338"/>
      <c r="AO229" s="315"/>
      <c r="AP229" s="25"/>
      <c r="AQ229" s="57"/>
      <c r="AR229" s="19"/>
      <c r="AS229" s="23"/>
      <c r="AT229" s="25"/>
      <c r="AU229" s="522">
        <f t="shared" si="13"/>
        <v>169139</v>
      </c>
      <c r="AV229" s="311">
        <f t="shared" si="14"/>
        <v>0</v>
      </c>
      <c r="AW229" s="305"/>
      <c r="AX229" s="291"/>
      <c r="AY229" s="291"/>
      <c r="AZ229" s="291"/>
      <c r="BA229" s="291"/>
      <c r="BB229" s="291"/>
      <c r="BC229" s="291"/>
      <c r="BD229" s="291"/>
      <c r="BE229" s="291"/>
      <c r="BF229" s="291"/>
      <c r="BG229" s="291"/>
      <c r="BH229" s="291"/>
      <c r="BI229" s="291"/>
      <c r="BJ229" s="291"/>
      <c r="BK229" s="291"/>
      <c r="BL229" s="291"/>
      <c r="BM229" s="291"/>
      <c r="BN229" s="291"/>
      <c r="BO229" s="291"/>
      <c r="BP229" s="291"/>
      <c r="BQ229" s="291"/>
      <c r="BR229" s="291"/>
      <c r="BS229" s="291"/>
      <c r="BT229" s="291"/>
      <c r="BU229" s="291"/>
      <c r="BV229" s="291"/>
      <c r="BW229" s="291"/>
      <c r="BX229" s="291"/>
      <c r="BY229" s="291"/>
      <c r="BZ229" s="291"/>
      <c r="CA229" s="291"/>
      <c r="CB229" s="291"/>
      <c r="CC229" s="291"/>
      <c r="CD229" s="291"/>
      <c r="CE229" s="291"/>
      <c r="CF229" s="291"/>
      <c r="CG229" s="291"/>
      <c r="CH229" s="291"/>
      <c r="CI229" s="291"/>
      <c r="CJ229" s="291"/>
      <c r="CK229" s="291"/>
      <c r="CL229" s="291"/>
      <c r="CM229" s="291"/>
      <c r="CN229" s="291"/>
      <c r="CO229" s="291"/>
      <c r="CP229" s="291"/>
      <c r="CQ229" s="291"/>
      <c r="CR229" s="291"/>
      <c r="CS229" s="291"/>
      <c r="CT229" s="291"/>
      <c r="CU229" s="291"/>
      <c r="CV229" s="291"/>
      <c r="CW229" s="291"/>
      <c r="CX229" s="291"/>
      <c r="CY229" s="291"/>
      <c r="CZ229" s="291"/>
      <c r="DA229" s="291"/>
      <c r="DB229" s="291"/>
      <c r="DC229" s="291"/>
      <c r="DD229" s="291"/>
      <c r="DE229" s="291"/>
      <c r="DF229" s="291"/>
      <c r="DG229" s="291"/>
      <c r="DH229" s="291"/>
      <c r="DI229" s="291"/>
      <c r="DJ229" s="291"/>
      <c r="DK229" s="291"/>
      <c r="DL229" s="291"/>
      <c r="DM229" s="291"/>
      <c r="DN229" s="291"/>
      <c r="DO229" s="291"/>
      <c r="DP229" s="291"/>
      <c r="DQ229" s="291"/>
      <c r="DR229" s="291"/>
      <c r="DS229" s="291"/>
      <c r="DT229" s="291"/>
      <c r="DU229" s="291"/>
      <c r="DV229" s="291"/>
      <c r="DW229" s="291"/>
      <c r="DX229" s="291"/>
      <c r="DY229" s="291"/>
      <c r="DZ229" s="291"/>
      <c r="EA229" s="291"/>
      <c r="EB229" s="291"/>
      <c r="EC229" s="291"/>
      <c r="ED229" s="291"/>
      <c r="EE229" s="291"/>
      <c r="EF229" s="291"/>
      <c r="EG229" s="291"/>
      <c r="EH229" s="291"/>
      <c r="EI229" s="291"/>
      <c r="EJ229" s="291"/>
      <c r="EK229" s="291"/>
      <c r="EL229" s="291"/>
      <c r="EM229" s="291"/>
      <c r="EN229" s="291"/>
      <c r="EO229" s="291"/>
      <c r="EP229" s="291"/>
      <c r="EQ229" s="291"/>
      <c r="ER229" s="291"/>
      <c r="ES229" s="291"/>
      <c r="ET229" s="291"/>
      <c r="EU229" s="291"/>
      <c r="EV229" s="291"/>
      <c r="EW229" s="291"/>
      <c r="EX229" s="291"/>
      <c r="EY229" s="291"/>
      <c r="EZ229" s="291"/>
      <c r="FA229" s="291"/>
      <c r="FB229" s="291"/>
      <c r="FC229" s="291"/>
      <c r="FD229" s="291"/>
      <c r="FE229" s="291"/>
      <c r="FF229" s="291"/>
      <c r="FG229" s="291"/>
      <c r="FH229" s="291"/>
      <c r="FI229" s="291"/>
      <c r="FJ229" s="291"/>
      <c r="FK229" s="291"/>
      <c r="FL229" s="291"/>
      <c r="FM229" s="291"/>
      <c r="FN229" s="291"/>
      <c r="FO229" s="291"/>
      <c r="FP229" s="291"/>
      <c r="FQ229" s="291"/>
      <c r="FR229" s="291"/>
      <c r="FS229" s="291"/>
      <c r="FT229" s="291"/>
      <c r="FU229" s="291"/>
      <c r="FV229" s="291"/>
      <c r="FW229" s="291"/>
      <c r="FX229" s="291"/>
      <c r="FY229" s="291"/>
      <c r="FZ229" s="291"/>
      <c r="GA229" s="291"/>
      <c r="GB229" s="291"/>
      <c r="GC229" s="291"/>
      <c r="GD229" s="291"/>
      <c r="GE229" s="291"/>
      <c r="GF229" s="291"/>
      <c r="GG229" s="291"/>
      <c r="GH229" s="291"/>
      <c r="GI229" s="291"/>
      <c r="GJ229" s="291"/>
      <c r="GK229" s="291"/>
      <c r="GL229" s="291"/>
      <c r="GM229" s="291"/>
      <c r="GN229" s="291"/>
      <c r="GO229" s="291"/>
      <c r="GP229" s="291"/>
      <c r="GQ229" s="291"/>
      <c r="GR229" s="291"/>
      <c r="GS229" s="291"/>
      <c r="GT229" s="291"/>
      <c r="GU229" s="291"/>
      <c r="GV229" s="291"/>
      <c r="GW229" s="291"/>
      <c r="GX229" s="291"/>
      <c r="GY229" s="291"/>
      <c r="GZ229" s="291"/>
      <c r="HA229" s="291"/>
      <c r="HB229" s="291"/>
      <c r="HC229" s="291"/>
      <c r="HD229" s="291"/>
      <c r="HE229" s="291"/>
      <c r="HF229" s="291"/>
      <c r="HG229" s="291"/>
      <c r="HH229" s="291"/>
      <c r="HI229" s="291"/>
      <c r="HJ229" s="291"/>
      <c r="HK229" s="291"/>
      <c r="HL229" s="291"/>
      <c r="HM229" s="291"/>
      <c r="HN229" s="291"/>
      <c r="HO229" s="291"/>
      <c r="HP229" s="291"/>
      <c r="HQ229" s="291"/>
      <c r="HR229" s="291"/>
      <c r="HS229" s="291"/>
      <c r="HT229" s="291"/>
      <c r="HU229" s="291"/>
      <c r="HV229" s="291"/>
      <c r="HW229" s="291"/>
      <c r="HX229" s="291"/>
      <c r="HY229" s="291"/>
      <c r="HZ229" s="291"/>
      <c r="IA229" s="291"/>
      <c r="IB229" s="291"/>
      <c r="IC229" s="291"/>
      <c r="ID229" s="291"/>
      <c r="IE229" s="291"/>
      <c r="IF229" s="291"/>
      <c r="IG229" s="291"/>
      <c r="IH229" s="291"/>
      <c r="II229" s="291"/>
      <c r="IJ229" s="291"/>
      <c r="IK229" s="291"/>
      <c r="IL229" s="291"/>
      <c r="IM229" s="291"/>
      <c r="IN229" s="291"/>
      <c r="IO229" s="291"/>
      <c r="IP229" s="291"/>
      <c r="IQ229" s="291"/>
      <c r="IR229" s="291"/>
      <c r="IS229" s="291"/>
      <c r="IT229" s="291"/>
      <c r="IU229" s="291"/>
      <c r="IV229" s="291"/>
      <c r="IW229" s="291"/>
      <c r="IX229" s="291"/>
      <c r="IY229" s="291"/>
      <c r="IZ229" s="291"/>
      <c r="JA229" s="291"/>
      <c r="JB229" s="291"/>
      <c r="JC229" s="291"/>
      <c r="JD229" s="291"/>
      <c r="JE229" s="291"/>
      <c r="JF229" s="291"/>
      <c r="JG229" s="291"/>
      <c r="JH229" s="291"/>
      <c r="JI229" s="291"/>
      <c r="JJ229" s="291"/>
      <c r="JK229" s="291"/>
      <c r="JL229" s="291"/>
      <c r="JM229" s="291"/>
      <c r="JN229" s="291"/>
      <c r="JO229" s="291"/>
      <c r="JP229" s="291"/>
      <c r="JQ229" s="291"/>
      <c r="JR229" s="291"/>
      <c r="JS229" s="291"/>
      <c r="JT229" s="291"/>
      <c r="JU229" s="291"/>
      <c r="JV229" s="291"/>
      <c r="JW229" s="291"/>
      <c r="JX229" s="291"/>
      <c r="JY229" s="291"/>
      <c r="JZ229" s="291"/>
      <c r="KA229" s="291"/>
      <c r="KB229" s="291"/>
      <c r="KC229" s="291"/>
      <c r="KD229" s="291"/>
      <c r="KE229" s="291"/>
      <c r="KF229" s="291"/>
      <c r="KG229" s="291"/>
      <c r="KH229" s="291"/>
      <c r="KI229" s="291"/>
      <c r="KJ229" s="291"/>
      <c r="KK229" s="291"/>
      <c r="KL229" s="291"/>
      <c r="KM229" s="291"/>
      <c r="KN229" s="291"/>
      <c r="KO229" s="291"/>
      <c r="KP229" s="291"/>
      <c r="KQ229" s="291"/>
      <c r="KR229" s="291"/>
      <c r="KS229" s="291"/>
      <c r="KT229" s="291"/>
      <c r="KU229" s="291"/>
      <c r="KV229" s="291"/>
      <c r="KW229" s="291"/>
      <c r="KX229" s="291"/>
      <c r="KY229" s="291"/>
      <c r="KZ229" s="291"/>
      <c r="LA229" s="291"/>
      <c r="LB229" s="291"/>
      <c r="LC229" s="291"/>
      <c r="LD229" s="291"/>
      <c r="LE229" s="291"/>
      <c r="LF229" s="291"/>
      <c r="LG229" s="291"/>
      <c r="LH229" s="291"/>
      <c r="LI229" s="291"/>
      <c r="LJ229" s="291"/>
      <c r="LK229" s="291"/>
      <c r="LL229" s="291"/>
      <c r="LM229" s="291"/>
      <c r="LN229" s="291"/>
      <c r="LO229" s="291"/>
      <c r="LP229" s="291"/>
      <c r="LQ229" s="291"/>
      <c r="LR229" s="291"/>
      <c r="LS229" s="291"/>
      <c r="LT229" s="291"/>
      <c r="LU229" s="291"/>
      <c r="LV229" s="291"/>
      <c r="LW229" s="291"/>
      <c r="LX229" s="291"/>
      <c r="LY229" s="291"/>
      <c r="LZ229" s="291"/>
      <c r="MA229" s="291"/>
      <c r="MB229" s="291"/>
      <c r="MC229" s="291"/>
      <c r="MD229" s="291"/>
      <c r="ME229" s="291"/>
      <c r="MF229" s="291"/>
      <c r="MG229" s="291"/>
      <c r="MH229" s="291"/>
      <c r="MI229" s="291"/>
      <c r="MJ229" s="291"/>
      <c r="MK229" s="291"/>
      <c r="ML229" s="291"/>
      <c r="MM229" s="291"/>
      <c r="MN229" s="291"/>
      <c r="MO229" s="291"/>
      <c r="MP229" s="291"/>
      <c r="MQ229" s="291"/>
      <c r="MR229" s="291"/>
      <c r="MS229" s="291"/>
      <c r="MT229" s="291"/>
      <c r="MU229" s="291"/>
      <c r="MV229" s="291"/>
      <c r="MW229" s="291"/>
      <c r="MX229" s="291"/>
      <c r="MY229" s="291"/>
      <c r="MZ229" s="291"/>
      <c r="NA229" s="291"/>
      <c r="NB229" s="291"/>
      <c r="NC229" s="291"/>
      <c r="ND229" s="291"/>
      <c r="NE229" s="291"/>
      <c r="NF229" s="291"/>
      <c r="NG229" s="291"/>
      <c r="NH229" s="291"/>
      <c r="NI229" s="291"/>
      <c r="NJ229" s="291"/>
      <c r="NK229" s="291"/>
      <c r="NL229" s="291"/>
      <c r="NM229" s="291"/>
      <c r="NN229" s="291"/>
      <c r="NO229" s="291"/>
      <c r="NP229" s="291"/>
      <c r="NQ229" s="291"/>
      <c r="NR229" s="291"/>
      <c r="NS229" s="291"/>
      <c r="NT229" s="291"/>
      <c r="NU229" s="291"/>
      <c r="NV229" s="291"/>
      <c r="NW229" s="291"/>
      <c r="NX229" s="291"/>
      <c r="NY229" s="291"/>
      <c r="NZ229" s="291"/>
      <c r="OA229" s="291"/>
      <c r="OB229" s="291"/>
      <c r="OC229" s="291"/>
      <c r="OD229" s="291"/>
      <c r="OE229" s="291"/>
      <c r="OF229" s="291"/>
      <c r="OG229" s="291"/>
      <c r="OH229" s="291"/>
      <c r="OI229" s="291"/>
      <c r="OJ229" s="291"/>
      <c r="OK229" s="291"/>
      <c r="OL229" s="291"/>
      <c r="OM229" s="291"/>
      <c r="ON229" s="291"/>
      <c r="OO229" s="291"/>
      <c r="OP229" s="291"/>
      <c r="OQ229" s="291"/>
      <c r="OR229" s="291"/>
      <c r="OS229" s="291"/>
      <c r="OT229" s="291"/>
      <c r="OU229" s="291"/>
      <c r="OV229" s="291"/>
      <c r="OW229" s="291"/>
    </row>
    <row r="230" spans="1:413" s="257" customFormat="1" hidden="1" x14ac:dyDescent="0.2">
      <c r="A230" s="291"/>
      <c r="B230" s="524">
        <f t="shared" si="15"/>
        <v>214</v>
      </c>
      <c r="C230" s="510" t="s">
        <v>38</v>
      </c>
      <c r="D230" s="511">
        <v>40010615</v>
      </c>
      <c r="E230" s="511"/>
      <c r="F230" s="512" t="s">
        <v>1388</v>
      </c>
      <c r="G230" s="513" t="s">
        <v>45</v>
      </c>
      <c r="H230" s="514" t="s">
        <v>1094</v>
      </c>
      <c r="I230" s="515" t="s">
        <v>1389</v>
      </c>
      <c r="J230" s="346" t="s">
        <v>43</v>
      </c>
      <c r="K230" s="526">
        <v>1185114</v>
      </c>
      <c r="L230" s="527">
        <v>0</v>
      </c>
      <c r="M230" s="528">
        <v>1000114</v>
      </c>
      <c r="N230" s="520">
        <v>0</v>
      </c>
      <c r="O230" s="520">
        <v>0</v>
      </c>
      <c r="P230" s="520">
        <v>0</v>
      </c>
      <c r="Q230" s="520">
        <v>0</v>
      </c>
      <c r="R230" s="520">
        <v>0</v>
      </c>
      <c r="S230" s="520">
        <v>0</v>
      </c>
      <c r="T230" s="18"/>
      <c r="U230" s="18"/>
      <c r="V230" s="18"/>
      <c r="W230" s="18"/>
      <c r="X230" s="18"/>
      <c r="Y230" s="18"/>
      <c r="Z230" s="18">
        <f t="shared" si="12"/>
        <v>0</v>
      </c>
      <c r="AA230" s="309">
        <v>100000</v>
      </c>
      <c r="AB230" s="19">
        <v>15</v>
      </c>
      <c r="AC230" s="521">
        <v>44259</v>
      </c>
      <c r="AD230" s="25">
        <v>44274</v>
      </c>
      <c r="AE230" s="309">
        <v>85000</v>
      </c>
      <c r="AF230" s="314">
        <v>22</v>
      </c>
      <c r="AG230" s="315">
        <v>44301</v>
      </c>
      <c r="AH230" s="315">
        <v>44313</v>
      </c>
      <c r="AI230" s="309"/>
      <c r="AJ230" s="338"/>
      <c r="AK230" s="315"/>
      <c r="AL230" s="316"/>
      <c r="AM230" s="309"/>
      <c r="AN230" s="338"/>
      <c r="AO230" s="21"/>
      <c r="AP230" s="25"/>
      <c r="AQ230" s="309"/>
      <c r="AR230" s="19"/>
      <c r="AS230" s="21"/>
      <c r="AT230" s="25"/>
      <c r="AU230" s="522">
        <f t="shared" si="13"/>
        <v>185000</v>
      </c>
      <c r="AV230" s="311">
        <f t="shared" si="14"/>
        <v>185000</v>
      </c>
      <c r="AW230" s="305"/>
      <c r="AX230" s="291"/>
      <c r="AY230" s="291"/>
      <c r="AZ230" s="291"/>
      <c r="BA230" s="291"/>
      <c r="BB230" s="291"/>
      <c r="BC230" s="291"/>
      <c r="BD230" s="291"/>
      <c r="BE230" s="291"/>
      <c r="BF230" s="291"/>
      <c r="BG230" s="291"/>
      <c r="BH230" s="291"/>
      <c r="BI230" s="291"/>
      <c r="BJ230" s="291"/>
      <c r="BK230" s="291"/>
      <c r="BL230" s="291"/>
      <c r="BM230" s="291"/>
      <c r="BN230" s="291"/>
      <c r="BO230" s="291"/>
      <c r="BP230" s="291"/>
      <c r="BQ230" s="291"/>
      <c r="BR230" s="291"/>
      <c r="BS230" s="291"/>
      <c r="BT230" s="291"/>
      <c r="BU230" s="291"/>
      <c r="BV230" s="291"/>
      <c r="BW230" s="291"/>
      <c r="BX230" s="291"/>
      <c r="BY230" s="291"/>
      <c r="BZ230" s="291"/>
      <c r="CA230" s="291"/>
      <c r="CB230" s="291"/>
      <c r="CC230" s="291"/>
      <c r="CD230" s="291"/>
      <c r="CE230" s="291"/>
      <c r="CF230" s="291"/>
      <c r="CG230" s="291"/>
      <c r="CH230" s="291"/>
      <c r="CI230" s="291"/>
      <c r="CJ230" s="291"/>
      <c r="CK230" s="291"/>
      <c r="CL230" s="291"/>
      <c r="CM230" s="291"/>
      <c r="CN230" s="291"/>
      <c r="CO230" s="291"/>
      <c r="CP230" s="291"/>
      <c r="CQ230" s="291"/>
      <c r="CR230" s="291"/>
      <c r="CS230" s="291"/>
      <c r="CT230" s="291"/>
      <c r="CU230" s="291"/>
      <c r="CV230" s="291"/>
      <c r="CW230" s="291"/>
      <c r="CX230" s="291"/>
      <c r="CY230" s="291"/>
      <c r="CZ230" s="291"/>
      <c r="DA230" s="291"/>
      <c r="DB230" s="291"/>
      <c r="DC230" s="291"/>
      <c r="DD230" s="291"/>
      <c r="DE230" s="291"/>
      <c r="DF230" s="291"/>
      <c r="DG230" s="291"/>
      <c r="DH230" s="291"/>
      <c r="DI230" s="291"/>
      <c r="DJ230" s="291"/>
      <c r="DK230" s="291"/>
      <c r="DL230" s="291"/>
      <c r="DM230" s="291"/>
      <c r="DN230" s="291"/>
      <c r="DO230" s="291"/>
      <c r="DP230" s="291"/>
      <c r="DQ230" s="291"/>
      <c r="DR230" s="291"/>
      <c r="DS230" s="291"/>
      <c r="DT230" s="291"/>
      <c r="DU230" s="291"/>
      <c r="DV230" s="291"/>
      <c r="DW230" s="291"/>
      <c r="DX230" s="291"/>
      <c r="DY230" s="291"/>
      <c r="DZ230" s="291"/>
      <c r="EA230" s="291"/>
      <c r="EB230" s="291"/>
      <c r="EC230" s="291"/>
      <c r="ED230" s="291"/>
      <c r="EE230" s="291"/>
      <c r="EF230" s="291"/>
      <c r="EG230" s="291"/>
      <c r="EH230" s="291"/>
      <c r="EI230" s="291"/>
      <c r="EJ230" s="291"/>
      <c r="EK230" s="291"/>
      <c r="EL230" s="291"/>
      <c r="EM230" s="291"/>
      <c r="EN230" s="291"/>
      <c r="EO230" s="291"/>
      <c r="EP230" s="291"/>
      <c r="EQ230" s="291"/>
      <c r="ER230" s="291"/>
      <c r="ES230" s="291"/>
      <c r="ET230" s="291"/>
      <c r="EU230" s="291"/>
      <c r="EV230" s="291"/>
      <c r="EW230" s="291"/>
      <c r="EX230" s="291"/>
      <c r="EY230" s="291"/>
      <c r="EZ230" s="291"/>
      <c r="FA230" s="291"/>
      <c r="FB230" s="291"/>
      <c r="FC230" s="291"/>
      <c r="FD230" s="291"/>
      <c r="FE230" s="291"/>
      <c r="FF230" s="291"/>
      <c r="FG230" s="291"/>
      <c r="FH230" s="291"/>
      <c r="FI230" s="291"/>
      <c r="FJ230" s="291"/>
      <c r="FK230" s="291"/>
      <c r="FL230" s="291"/>
      <c r="FM230" s="291"/>
      <c r="FN230" s="291"/>
      <c r="FO230" s="291"/>
      <c r="FP230" s="291"/>
      <c r="FQ230" s="291"/>
      <c r="FR230" s="291"/>
      <c r="FS230" s="291"/>
      <c r="FT230" s="291"/>
      <c r="FU230" s="291"/>
      <c r="FV230" s="291"/>
      <c r="FW230" s="291"/>
      <c r="FX230" s="291"/>
      <c r="FY230" s="291"/>
      <c r="FZ230" s="291"/>
      <c r="GA230" s="291"/>
      <c r="GB230" s="291"/>
      <c r="GC230" s="291"/>
      <c r="GD230" s="291"/>
      <c r="GE230" s="291"/>
      <c r="GF230" s="291"/>
      <c r="GG230" s="291"/>
      <c r="GH230" s="291"/>
      <c r="GI230" s="291"/>
      <c r="GJ230" s="291"/>
      <c r="GK230" s="291"/>
      <c r="GL230" s="291"/>
      <c r="GM230" s="291"/>
      <c r="GN230" s="291"/>
      <c r="GO230" s="291"/>
      <c r="GP230" s="291"/>
      <c r="GQ230" s="291"/>
      <c r="GR230" s="291"/>
      <c r="GS230" s="291"/>
      <c r="GT230" s="291"/>
      <c r="GU230" s="291"/>
      <c r="GV230" s="291"/>
      <c r="GW230" s="291"/>
      <c r="GX230" s="291"/>
      <c r="GY230" s="291"/>
      <c r="GZ230" s="291"/>
      <c r="HA230" s="291"/>
      <c r="HB230" s="291"/>
      <c r="HC230" s="291"/>
      <c r="HD230" s="291"/>
      <c r="HE230" s="291"/>
      <c r="HF230" s="291"/>
      <c r="HG230" s="291"/>
      <c r="HH230" s="291"/>
      <c r="HI230" s="291"/>
      <c r="HJ230" s="291"/>
      <c r="HK230" s="291"/>
      <c r="HL230" s="291"/>
      <c r="HM230" s="291"/>
      <c r="HN230" s="291"/>
      <c r="HO230" s="291"/>
      <c r="HP230" s="291"/>
      <c r="HQ230" s="291"/>
      <c r="HR230" s="291"/>
      <c r="HS230" s="291"/>
      <c r="HT230" s="291"/>
      <c r="HU230" s="291"/>
      <c r="HV230" s="291"/>
      <c r="HW230" s="291"/>
      <c r="HX230" s="291"/>
      <c r="HY230" s="291"/>
      <c r="HZ230" s="291"/>
      <c r="IA230" s="291"/>
      <c r="IB230" s="291"/>
      <c r="IC230" s="291"/>
      <c r="ID230" s="291"/>
      <c r="IE230" s="291"/>
      <c r="IF230" s="291"/>
      <c r="IG230" s="291"/>
      <c r="IH230" s="291"/>
      <c r="II230" s="291"/>
      <c r="IJ230" s="291"/>
      <c r="IK230" s="291"/>
      <c r="IL230" s="291"/>
      <c r="IM230" s="291"/>
      <c r="IN230" s="291"/>
      <c r="IO230" s="291"/>
      <c r="IP230" s="291"/>
      <c r="IQ230" s="291"/>
      <c r="IR230" s="291"/>
      <c r="IS230" s="291"/>
      <c r="IT230" s="291"/>
      <c r="IU230" s="291"/>
      <c r="IV230" s="291"/>
      <c r="IW230" s="291"/>
      <c r="IX230" s="291"/>
      <c r="IY230" s="291"/>
      <c r="IZ230" s="291"/>
      <c r="JA230" s="291"/>
      <c r="JB230" s="291"/>
      <c r="JC230" s="291"/>
      <c r="JD230" s="291"/>
      <c r="JE230" s="291"/>
      <c r="JF230" s="291"/>
      <c r="JG230" s="291"/>
      <c r="JH230" s="291"/>
      <c r="JI230" s="291"/>
      <c r="JJ230" s="291"/>
      <c r="JK230" s="291"/>
      <c r="JL230" s="291"/>
      <c r="JM230" s="291"/>
      <c r="JN230" s="291"/>
      <c r="JO230" s="291"/>
      <c r="JP230" s="291"/>
      <c r="JQ230" s="291"/>
      <c r="JR230" s="291"/>
      <c r="JS230" s="291"/>
      <c r="JT230" s="291"/>
      <c r="JU230" s="291"/>
      <c r="JV230" s="291"/>
      <c r="JW230" s="291"/>
      <c r="JX230" s="291"/>
      <c r="JY230" s="291"/>
      <c r="JZ230" s="291"/>
      <c r="KA230" s="291"/>
      <c r="KB230" s="291"/>
      <c r="KC230" s="291"/>
      <c r="KD230" s="291"/>
      <c r="KE230" s="291"/>
      <c r="KF230" s="291"/>
      <c r="KG230" s="291"/>
      <c r="KH230" s="291"/>
      <c r="KI230" s="291"/>
      <c r="KJ230" s="291"/>
      <c r="KK230" s="291"/>
      <c r="KL230" s="291"/>
      <c r="KM230" s="291"/>
      <c r="KN230" s="291"/>
      <c r="KO230" s="291"/>
      <c r="KP230" s="291"/>
      <c r="KQ230" s="291"/>
      <c r="KR230" s="291"/>
      <c r="KS230" s="291"/>
      <c r="KT230" s="291"/>
      <c r="KU230" s="291"/>
      <c r="KV230" s="291"/>
      <c r="KW230" s="291"/>
      <c r="KX230" s="291"/>
      <c r="KY230" s="291"/>
      <c r="KZ230" s="291"/>
      <c r="LA230" s="291"/>
      <c r="LB230" s="291"/>
      <c r="LC230" s="291"/>
      <c r="LD230" s="291"/>
      <c r="LE230" s="291"/>
      <c r="LF230" s="291"/>
      <c r="LG230" s="291"/>
      <c r="LH230" s="291"/>
      <c r="LI230" s="291"/>
      <c r="LJ230" s="291"/>
      <c r="LK230" s="291"/>
      <c r="LL230" s="291"/>
      <c r="LM230" s="291"/>
      <c r="LN230" s="291"/>
      <c r="LO230" s="291"/>
      <c r="LP230" s="291"/>
      <c r="LQ230" s="291"/>
      <c r="LR230" s="291"/>
      <c r="LS230" s="291"/>
      <c r="LT230" s="291"/>
      <c r="LU230" s="291"/>
      <c r="LV230" s="291"/>
      <c r="LW230" s="291"/>
      <c r="LX230" s="291"/>
      <c r="LY230" s="291"/>
      <c r="LZ230" s="291"/>
      <c r="MA230" s="291"/>
      <c r="MB230" s="291"/>
      <c r="MC230" s="291"/>
      <c r="MD230" s="291"/>
      <c r="ME230" s="291"/>
      <c r="MF230" s="291"/>
      <c r="MG230" s="291"/>
      <c r="MH230" s="291"/>
      <c r="MI230" s="291"/>
      <c r="MJ230" s="291"/>
      <c r="MK230" s="291"/>
      <c r="ML230" s="291"/>
      <c r="MM230" s="291"/>
      <c r="MN230" s="291"/>
      <c r="MO230" s="291"/>
      <c r="MP230" s="291"/>
      <c r="MQ230" s="291"/>
      <c r="MR230" s="291"/>
      <c r="MS230" s="291"/>
      <c r="MT230" s="291"/>
      <c r="MU230" s="291"/>
      <c r="MV230" s="291"/>
      <c r="MW230" s="291"/>
      <c r="MX230" s="291"/>
      <c r="MY230" s="291"/>
      <c r="MZ230" s="291"/>
      <c r="NA230" s="291"/>
      <c r="NB230" s="291"/>
      <c r="NC230" s="291"/>
      <c r="ND230" s="291"/>
      <c r="NE230" s="291"/>
      <c r="NF230" s="291"/>
      <c r="NG230" s="291"/>
      <c r="NH230" s="291"/>
      <c r="NI230" s="291"/>
      <c r="NJ230" s="291"/>
      <c r="NK230" s="291"/>
      <c r="NL230" s="291"/>
      <c r="NM230" s="291"/>
      <c r="NN230" s="291"/>
      <c r="NO230" s="291"/>
      <c r="NP230" s="291"/>
      <c r="NQ230" s="291"/>
      <c r="NR230" s="291"/>
      <c r="NS230" s="291"/>
      <c r="NT230" s="291"/>
      <c r="NU230" s="291"/>
      <c r="NV230" s="291"/>
      <c r="NW230" s="291"/>
      <c r="NX230" s="291"/>
      <c r="NY230" s="291"/>
      <c r="NZ230" s="291"/>
      <c r="OA230" s="291"/>
      <c r="OB230" s="291"/>
      <c r="OC230" s="291"/>
      <c r="OD230" s="291"/>
      <c r="OE230" s="291"/>
      <c r="OF230" s="291"/>
      <c r="OG230" s="291"/>
      <c r="OH230" s="291"/>
      <c r="OI230" s="291"/>
      <c r="OJ230" s="291"/>
      <c r="OK230" s="291"/>
      <c r="OL230" s="291"/>
      <c r="OM230" s="291"/>
      <c r="ON230" s="291"/>
      <c r="OO230" s="291"/>
      <c r="OP230" s="291"/>
      <c r="OQ230" s="291"/>
      <c r="OR230" s="291"/>
      <c r="OS230" s="291"/>
      <c r="OT230" s="291"/>
      <c r="OU230" s="291"/>
      <c r="OV230" s="291"/>
      <c r="OW230" s="291"/>
    </row>
    <row r="231" spans="1:413" s="257" customFormat="1" hidden="1" x14ac:dyDescent="0.2">
      <c r="A231" s="291"/>
      <c r="B231" s="524">
        <f t="shared" si="15"/>
        <v>215</v>
      </c>
      <c r="C231" s="510" t="s">
        <v>38</v>
      </c>
      <c r="D231" s="511">
        <v>40013560</v>
      </c>
      <c r="E231" s="511"/>
      <c r="F231" s="512" t="s">
        <v>1390</v>
      </c>
      <c r="G231" s="513" t="s">
        <v>45</v>
      </c>
      <c r="H231" s="514" t="s">
        <v>1094</v>
      </c>
      <c r="I231" s="515" t="s">
        <v>1316</v>
      </c>
      <c r="J231" s="346" t="s">
        <v>43</v>
      </c>
      <c r="K231" s="526">
        <v>223424</v>
      </c>
      <c r="L231" s="527"/>
      <c r="M231" s="528">
        <v>27476</v>
      </c>
      <c r="N231" s="520">
        <v>195948</v>
      </c>
      <c r="O231" s="520">
        <v>0</v>
      </c>
      <c r="P231" s="520">
        <v>0</v>
      </c>
      <c r="Q231" s="520">
        <v>0</v>
      </c>
      <c r="R231" s="520">
        <v>0</v>
      </c>
      <c r="S231" s="520">
        <v>0</v>
      </c>
      <c r="T231" s="18"/>
      <c r="U231" s="18"/>
      <c r="V231" s="18"/>
      <c r="W231" s="18"/>
      <c r="X231" s="18"/>
      <c r="Y231" s="18"/>
      <c r="Z231" s="18">
        <f t="shared" si="12"/>
        <v>195948</v>
      </c>
      <c r="AA231" s="309">
        <v>195948</v>
      </c>
      <c r="AB231" s="338">
        <v>2</v>
      </c>
      <c r="AC231" s="521">
        <v>44221</v>
      </c>
      <c r="AD231" s="316">
        <v>44225</v>
      </c>
      <c r="AE231" s="309"/>
      <c r="AF231" s="314"/>
      <c r="AG231" s="315"/>
      <c r="AH231" s="316"/>
      <c r="AI231" s="57"/>
      <c r="AJ231" s="338"/>
      <c r="AK231" s="315"/>
      <c r="AL231" s="316"/>
      <c r="AM231" s="57"/>
      <c r="AN231" s="338"/>
      <c r="AO231" s="315"/>
      <c r="AP231" s="25"/>
      <c r="AQ231" s="57"/>
      <c r="AR231" s="19"/>
      <c r="AS231" s="23"/>
      <c r="AT231" s="25"/>
      <c r="AU231" s="522">
        <f t="shared" si="13"/>
        <v>195948</v>
      </c>
      <c r="AV231" s="311">
        <f t="shared" si="14"/>
        <v>0</v>
      </c>
      <c r="AW231" s="305"/>
      <c r="AX231" s="291"/>
      <c r="AY231" s="291"/>
      <c r="AZ231" s="291"/>
      <c r="BA231" s="291"/>
      <c r="BB231" s="291"/>
      <c r="BC231" s="291"/>
      <c r="BD231" s="291"/>
      <c r="BE231" s="291"/>
      <c r="BF231" s="291"/>
      <c r="BG231" s="291"/>
      <c r="BH231" s="291"/>
      <c r="BI231" s="291"/>
      <c r="BJ231" s="291"/>
      <c r="BK231" s="291"/>
      <c r="BL231" s="291"/>
      <c r="BM231" s="291"/>
      <c r="BN231" s="291"/>
      <c r="BO231" s="291"/>
      <c r="BP231" s="291"/>
      <c r="BQ231" s="291"/>
      <c r="BR231" s="291"/>
      <c r="BS231" s="291"/>
      <c r="BT231" s="291"/>
      <c r="BU231" s="291"/>
      <c r="BV231" s="291"/>
      <c r="BW231" s="291"/>
      <c r="BX231" s="291"/>
      <c r="BY231" s="291"/>
      <c r="BZ231" s="291"/>
      <c r="CA231" s="291"/>
      <c r="CB231" s="291"/>
      <c r="CC231" s="291"/>
      <c r="CD231" s="291"/>
      <c r="CE231" s="291"/>
      <c r="CF231" s="291"/>
      <c r="CG231" s="291"/>
      <c r="CH231" s="291"/>
      <c r="CI231" s="291"/>
      <c r="CJ231" s="291"/>
      <c r="CK231" s="291"/>
      <c r="CL231" s="291"/>
      <c r="CM231" s="291"/>
      <c r="CN231" s="291"/>
      <c r="CO231" s="291"/>
      <c r="CP231" s="291"/>
      <c r="CQ231" s="291"/>
      <c r="CR231" s="291"/>
      <c r="CS231" s="291"/>
      <c r="CT231" s="291"/>
      <c r="CU231" s="291"/>
      <c r="CV231" s="291"/>
      <c r="CW231" s="291"/>
      <c r="CX231" s="291"/>
      <c r="CY231" s="291"/>
      <c r="CZ231" s="291"/>
      <c r="DA231" s="291"/>
      <c r="DB231" s="291"/>
      <c r="DC231" s="291"/>
      <c r="DD231" s="291"/>
      <c r="DE231" s="291"/>
      <c r="DF231" s="291"/>
      <c r="DG231" s="291"/>
      <c r="DH231" s="291"/>
      <c r="DI231" s="291"/>
      <c r="DJ231" s="291"/>
      <c r="DK231" s="291"/>
      <c r="DL231" s="291"/>
      <c r="DM231" s="291"/>
      <c r="DN231" s="291"/>
      <c r="DO231" s="291"/>
      <c r="DP231" s="291"/>
      <c r="DQ231" s="291"/>
      <c r="DR231" s="291"/>
      <c r="DS231" s="291"/>
      <c r="DT231" s="291"/>
      <c r="DU231" s="291"/>
      <c r="DV231" s="291"/>
      <c r="DW231" s="291"/>
      <c r="DX231" s="291"/>
      <c r="DY231" s="291"/>
      <c r="DZ231" s="291"/>
      <c r="EA231" s="291"/>
      <c r="EB231" s="291"/>
      <c r="EC231" s="291"/>
      <c r="ED231" s="291"/>
      <c r="EE231" s="291"/>
      <c r="EF231" s="291"/>
      <c r="EG231" s="291"/>
      <c r="EH231" s="291"/>
      <c r="EI231" s="291"/>
      <c r="EJ231" s="291"/>
      <c r="EK231" s="291"/>
      <c r="EL231" s="291"/>
      <c r="EM231" s="291"/>
      <c r="EN231" s="291"/>
      <c r="EO231" s="291"/>
      <c r="EP231" s="291"/>
      <c r="EQ231" s="291"/>
      <c r="ER231" s="291"/>
      <c r="ES231" s="291"/>
      <c r="ET231" s="291"/>
      <c r="EU231" s="291"/>
      <c r="EV231" s="291"/>
      <c r="EW231" s="291"/>
      <c r="EX231" s="291"/>
      <c r="EY231" s="291"/>
      <c r="EZ231" s="291"/>
      <c r="FA231" s="291"/>
      <c r="FB231" s="291"/>
      <c r="FC231" s="291"/>
      <c r="FD231" s="291"/>
      <c r="FE231" s="291"/>
      <c r="FF231" s="291"/>
      <c r="FG231" s="291"/>
      <c r="FH231" s="291"/>
      <c r="FI231" s="291"/>
      <c r="FJ231" s="291"/>
      <c r="FK231" s="291"/>
      <c r="FL231" s="291"/>
      <c r="FM231" s="291"/>
      <c r="FN231" s="291"/>
      <c r="FO231" s="291"/>
      <c r="FP231" s="291"/>
      <c r="FQ231" s="291"/>
      <c r="FR231" s="291"/>
      <c r="FS231" s="291"/>
      <c r="FT231" s="291"/>
      <c r="FU231" s="291"/>
      <c r="FV231" s="291"/>
      <c r="FW231" s="291"/>
      <c r="FX231" s="291"/>
      <c r="FY231" s="291"/>
      <c r="FZ231" s="291"/>
      <c r="GA231" s="291"/>
      <c r="GB231" s="291"/>
      <c r="GC231" s="291"/>
      <c r="GD231" s="291"/>
      <c r="GE231" s="291"/>
      <c r="GF231" s="291"/>
      <c r="GG231" s="291"/>
      <c r="GH231" s="291"/>
      <c r="GI231" s="291"/>
      <c r="GJ231" s="291"/>
      <c r="GK231" s="291"/>
      <c r="GL231" s="291"/>
      <c r="GM231" s="291"/>
      <c r="GN231" s="291"/>
      <c r="GO231" s="291"/>
      <c r="GP231" s="291"/>
      <c r="GQ231" s="291"/>
      <c r="GR231" s="291"/>
      <c r="GS231" s="291"/>
      <c r="GT231" s="291"/>
      <c r="GU231" s="291"/>
      <c r="GV231" s="291"/>
      <c r="GW231" s="291"/>
      <c r="GX231" s="291"/>
      <c r="GY231" s="291"/>
      <c r="GZ231" s="291"/>
      <c r="HA231" s="291"/>
      <c r="HB231" s="291"/>
      <c r="HC231" s="291"/>
      <c r="HD231" s="291"/>
      <c r="HE231" s="291"/>
      <c r="HF231" s="291"/>
      <c r="HG231" s="291"/>
      <c r="HH231" s="291"/>
      <c r="HI231" s="291"/>
      <c r="HJ231" s="291"/>
      <c r="HK231" s="291"/>
      <c r="HL231" s="291"/>
      <c r="HM231" s="291"/>
      <c r="HN231" s="291"/>
      <c r="HO231" s="291"/>
      <c r="HP231" s="291"/>
      <c r="HQ231" s="291"/>
      <c r="HR231" s="291"/>
      <c r="HS231" s="291"/>
      <c r="HT231" s="291"/>
      <c r="HU231" s="291"/>
      <c r="HV231" s="291"/>
      <c r="HW231" s="291"/>
      <c r="HX231" s="291"/>
      <c r="HY231" s="291"/>
      <c r="HZ231" s="291"/>
      <c r="IA231" s="291"/>
      <c r="IB231" s="291"/>
      <c r="IC231" s="291"/>
      <c r="ID231" s="291"/>
      <c r="IE231" s="291"/>
      <c r="IF231" s="291"/>
      <c r="IG231" s="291"/>
      <c r="IH231" s="291"/>
      <c r="II231" s="291"/>
      <c r="IJ231" s="291"/>
      <c r="IK231" s="291"/>
      <c r="IL231" s="291"/>
      <c r="IM231" s="291"/>
      <c r="IN231" s="291"/>
      <c r="IO231" s="291"/>
      <c r="IP231" s="291"/>
      <c r="IQ231" s="291"/>
      <c r="IR231" s="291"/>
      <c r="IS231" s="291"/>
      <c r="IT231" s="291"/>
      <c r="IU231" s="291"/>
      <c r="IV231" s="291"/>
      <c r="IW231" s="291"/>
      <c r="IX231" s="291"/>
      <c r="IY231" s="291"/>
      <c r="IZ231" s="291"/>
      <c r="JA231" s="291"/>
      <c r="JB231" s="291"/>
      <c r="JC231" s="291"/>
      <c r="JD231" s="291"/>
      <c r="JE231" s="291"/>
      <c r="JF231" s="291"/>
      <c r="JG231" s="291"/>
      <c r="JH231" s="291"/>
      <c r="JI231" s="291"/>
      <c r="JJ231" s="291"/>
      <c r="JK231" s="291"/>
      <c r="JL231" s="291"/>
      <c r="JM231" s="291"/>
      <c r="JN231" s="291"/>
      <c r="JO231" s="291"/>
      <c r="JP231" s="291"/>
      <c r="JQ231" s="291"/>
      <c r="JR231" s="291"/>
      <c r="JS231" s="291"/>
      <c r="JT231" s="291"/>
      <c r="JU231" s="291"/>
      <c r="JV231" s="291"/>
      <c r="JW231" s="291"/>
      <c r="JX231" s="291"/>
      <c r="JY231" s="291"/>
      <c r="JZ231" s="291"/>
      <c r="KA231" s="291"/>
      <c r="KB231" s="291"/>
      <c r="KC231" s="291"/>
      <c r="KD231" s="291"/>
      <c r="KE231" s="291"/>
      <c r="KF231" s="291"/>
      <c r="KG231" s="291"/>
      <c r="KH231" s="291"/>
      <c r="KI231" s="291"/>
      <c r="KJ231" s="291"/>
      <c r="KK231" s="291"/>
      <c r="KL231" s="291"/>
      <c r="KM231" s="291"/>
      <c r="KN231" s="291"/>
      <c r="KO231" s="291"/>
      <c r="KP231" s="291"/>
      <c r="KQ231" s="291"/>
      <c r="KR231" s="291"/>
      <c r="KS231" s="291"/>
      <c r="KT231" s="291"/>
      <c r="KU231" s="291"/>
      <c r="KV231" s="291"/>
      <c r="KW231" s="291"/>
      <c r="KX231" s="291"/>
      <c r="KY231" s="291"/>
      <c r="KZ231" s="291"/>
      <c r="LA231" s="291"/>
      <c r="LB231" s="291"/>
      <c r="LC231" s="291"/>
      <c r="LD231" s="291"/>
      <c r="LE231" s="291"/>
      <c r="LF231" s="291"/>
      <c r="LG231" s="291"/>
      <c r="LH231" s="291"/>
      <c r="LI231" s="291"/>
      <c r="LJ231" s="291"/>
      <c r="LK231" s="291"/>
      <c r="LL231" s="291"/>
      <c r="LM231" s="291"/>
      <c r="LN231" s="291"/>
      <c r="LO231" s="291"/>
      <c r="LP231" s="291"/>
      <c r="LQ231" s="291"/>
      <c r="LR231" s="291"/>
      <c r="LS231" s="291"/>
      <c r="LT231" s="291"/>
      <c r="LU231" s="291"/>
      <c r="LV231" s="291"/>
      <c r="LW231" s="291"/>
      <c r="LX231" s="291"/>
      <c r="LY231" s="291"/>
      <c r="LZ231" s="291"/>
      <c r="MA231" s="291"/>
      <c r="MB231" s="291"/>
      <c r="MC231" s="291"/>
      <c r="MD231" s="291"/>
      <c r="ME231" s="291"/>
      <c r="MF231" s="291"/>
      <c r="MG231" s="291"/>
      <c r="MH231" s="291"/>
      <c r="MI231" s="291"/>
      <c r="MJ231" s="291"/>
      <c r="MK231" s="291"/>
      <c r="ML231" s="291"/>
      <c r="MM231" s="291"/>
      <c r="MN231" s="291"/>
      <c r="MO231" s="291"/>
      <c r="MP231" s="291"/>
      <c r="MQ231" s="291"/>
      <c r="MR231" s="291"/>
      <c r="MS231" s="291"/>
      <c r="MT231" s="291"/>
      <c r="MU231" s="291"/>
      <c r="MV231" s="291"/>
      <c r="MW231" s="291"/>
      <c r="MX231" s="291"/>
      <c r="MY231" s="291"/>
      <c r="MZ231" s="291"/>
      <c r="NA231" s="291"/>
      <c r="NB231" s="291"/>
      <c r="NC231" s="291"/>
      <c r="ND231" s="291"/>
      <c r="NE231" s="291"/>
      <c r="NF231" s="291"/>
      <c r="NG231" s="291"/>
      <c r="NH231" s="291"/>
      <c r="NI231" s="291"/>
      <c r="NJ231" s="291"/>
      <c r="NK231" s="291"/>
      <c r="NL231" s="291"/>
      <c r="NM231" s="291"/>
      <c r="NN231" s="291"/>
      <c r="NO231" s="291"/>
      <c r="NP231" s="291"/>
      <c r="NQ231" s="291"/>
      <c r="NR231" s="291"/>
      <c r="NS231" s="291"/>
      <c r="NT231" s="291"/>
      <c r="NU231" s="291"/>
      <c r="NV231" s="291"/>
      <c r="NW231" s="291"/>
      <c r="NX231" s="291"/>
      <c r="NY231" s="291"/>
      <c r="NZ231" s="291"/>
      <c r="OA231" s="291"/>
      <c r="OB231" s="291"/>
      <c r="OC231" s="291"/>
      <c r="OD231" s="291"/>
      <c r="OE231" s="291"/>
      <c r="OF231" s="291"/>
      <c r="OG231" s="291"/>
      <c r="OH231" s="291"/>
      <c r="OI231" s="291"/>
      <c r="OJ231" s="291"/>
      <c r="OK231" s="291"/>
      <c r="OL231" s="291"/>
      <c r="OM231" s="291"/>
      <c r="ON231" s="291"/>
      <c r="OO231" s="291"/>
      <c r="OP231" s="291"/>
      <c r="OQ231" s="291"/>
      <c r="OR231" s="291"/>
      <c r="OS231" s="291"/>
      <c r="OT231" s="291"/>
      <c r="OU231" s="291"/>
      <c r="OV231" s="291"/>
      <c r="OW231" s="291"/>
    </row>
    <row r="232" spans="1:413" s="257" customFormat="1" hidden="1" x14ac:dyDescent="0.2">
      <c r="A232" s="291"/>
      <c r="B232" s="524">
        <f t="shared" si="15"/>
        <v>216</v>
      </c>
      <c r="C232" s="510" t="s">
        <v>38</v>
      </c>
      <c r="D232" s="511">
        <v>40013821</v>
      </c>
      <c r="E232" s="511"/>
      <c r="F232" s="512" t="s">
        <v>1391</v>
      </c>
      <c r="G232" s="513" t="s">
        <v>45</v>
      </c>
      <c r="H232" s="514" t="s">
        <v>1094</v>
      </c>
      <c r="I232" s="515" t="s">
        <v>1282</v>
      </c>
      <c r="J232" s="346" t="s">
        <v>43</v>
      </c>
      <c r="K232" s="526">
        <v>331350</v>
      </c>
      <c r="L232" s="527"/>
      <c r="M232" s="528">
        <v>34632</v>
      </c>
      <c r="N232" s="520">
        <v>296718</v>
      </c>
      <c r="O232" s="520">
        <v>0</v>
      </c>
      <c r="P232" s="520">
        <v>0</v>
      </c>
      <c r="Q232" s="520">
        <v>0</v>
      </c>
      <c r="R232" s="520">
        <v>0</v>
      </c>
      <c r="S232" s="520">
        <v>0</v>
      </c>
      <c r="T232" s="18"/>
      <c r="U232" s="18"/>
      <c r="V232" s="18"/>
      <c r="W232" s="18"/>
      <c r="X232" s="18"/>
      <c r="Y232" s="18"/>
      <c r="Z232" s="18">
        <f t="shared" si="12"/>
        <v>296718</v>
      </c>
      <c r="AA232" s="309">
        <v>296718</v>
      </c>
      <c r="AB232" s="19">
        <v>2</v>
      </c>
      <c r="AC232" s="521">
        <v>44221</v>
      </c>
      <c r="AD232" s="25">
        <v>44225</v>
      </c>
      <c r="AE232" s="309"/>
      <c r="AF232" s="314"/>
      <c r="AG232" s="315"/>
      <c r="AH232" s="316"/>
      <c r="AI232" s="57"/>
      <c r="AJ232" s="338"/>
      <c r="AK232" s="315"/>
      <c r="AL232" s="316"/>
      <c r="AM232" s="57"/>
      <c r="AN232" s="338"/>
      <c r="AO232" s="23"/>
      <c r="AP232" s="25"/>
      <c r="AQ232" s="57"/>
      <c r="AR232" s="19"/>
      <c r="AS232" s="23"/>
      <c r="AT232" s="25"/>
      <c r="AU232" s="522">
        <f t="shared" si="13"/>
        <v>296718</v>
      </c>
      <c r="AV232" s="311">
        <f t="shared" si="14"/>
        <v>0</v>
      </c>
      <c r="AW232" s="305"/>
      <c r="AX232" s="291"/>
      <c r="AY232" s="291"/>
      <c r="AZ232" s="291"/>
      <c r="BA232" s="291"/>
      <c r="BB232" s="291"/>
      <c r="BC232" s="291"/>
      <c r="BD232" s="291"/>
      <c r="BE232" s="291"/>
      <c r="BF232" s="291"/>
      <c r="BG232" s="291"/>
      <c r="BH232" s="291"/>
      <c r="BI232" s="291"/>
      <c r="BJ232" s="291"/>
      <c r="BK232" s="291"/>
      <c r="BL232" s="291"/>
      <c r="BM232" s="291"/>
      <c r="BN232" s="291"/>
      <c r="BO232" s="291"/>
      <c r="BP232" s="291"/>
      <c r="BQ232" s="291"/>
      <c r="BR232" s="291"/>
      <c r="BS232" s="291"/>
      <c r="BT232" s="291"/>
      <c r="BU232" s="291"/>
      <c r="BV232" s="291"/>
      <c r="BW232" s="291"/>
      <c r="BX232" s="291"/>
      <c r="BY232" s="291"/>
      <c r="BZ232" s="291"/>
      <c r="CA232" s="291"/>
      <c r="CB232" s="291"/>
      <c r="CC232" s="291"/>
      <c r="CD232" s="291"/>
      <c r="CE232" s="291"/>
      <c r="CF232" s="291"/>
      <c r="CG232" s="291"/>
      <c r="CH232" s="291"/>
      <c r="CI232" s="291"/>
      <c r="CJ232" s="291"/>
      <c r="CK232" s="291"/>
      <c r="CL232" s="291"/>
      <c r="CM232" s="291"/>
      <c r="CN232" s="291"/>
      <c r="CO232" s="291"/>
      <c r="CP232" s="291"/>
      <c r="CQ232" s="291"/>
      <c r="CR232" s="291"/>
      <c r="CS232" s="291"/>
      <c r="CT232" s="291"/>
      <c r="CU232" s="291"/>
      <c r="CV232" s="291"/>
      <c r="CW232" s="291"/>
      <c r="CX232" s="291"/>
      <c r="CY232" s="291"/>
      <c r="CZ232" s="291"/>
      <c r="DA232" s="291"/>
      <c r="DB232" s="291"/>
      <c r="DC232" s="291"/>
      <c r="DD232" s="291"/>
      <c r="DE232" s="291"/>
      <c r="DF232" s="291"/>
      <c r="DG232" s="291"/>
      <c r="DH232" s="291"/>
      <c r="DI232" s="291"/>
      <c r="DJ232" s="291"/>
      <c r="DK232" s="291"/>
      <c r="DL232" s="291"/>
      <c r="DM232" s="291"/>
      <c r="DN232" s="291"/>
      <c r="DO232" s="291"/>
      <c r="DP232" s="291"/>
      <c r="DQ232" s="291"/>
      <c r="DR232" s="291"/>
      <c r="DS232" s="291"/>
      <c r="DT232" s="291"/>
      <c r="DU232" s="291"/>
      <c r="DV232" s="291"/>
      <c r="DW232" s="291"/>
      <c r="DX232" s="291"/>
      <c r="DY232" s="291"/>
      <c r="DZ232" s="291"/>
      <c r="EA232" s="291"/>
      <c r="EB232" s="291"/>
      <c r="EC232" s="291"/>
      <c r="ED232" s="291"/>
      <c r="EE232" s="291"/>
      <c r="EF232" s="291"/>
      <c r="EG232" s="291"/>
      <c r="EH232" s="291"/>
      <c r="EI232" s="291"/>
      <c r="EJ232" s="291"/>
      <c r="EK232" s="291"/>
      <c r="EL232" s="291"/>
      <c r="EM232" s="291"/>
      <c r="EN232" s="291"/>
      <c r="EO232" s="291"/>
      <c r="EP232" s="291"/>
      <c r="EQ232" s="291"/>
      <c r="ER232" s="291"/>
      <c r="ES232" s="291"/>
      <c r="ET232" s="291"/>
      <c r="EU232" s="291"/>
      <c r="EV232" s="291"/>
      <c r="EW232" s="291"/>
      <c r="EX232" s="291"/>
      <c r="EY232" s="291"/>
      <c r="EZ232" s="291"/>
      <c r="FA232" s="291"/>
      <c r="FB232" s="291"/>
      <c r="FC232" s="291"/>
      <c r="FD232" s="291"/>
      <c r="FE232" s="291"/>
      <c r="FF232" s="291"/>
      <c r="FG232" s="291"/>
      <c r="FH232" s="291"/>
      <c r="FI232" s="291"/>
      <c r="FJ232" s="291"/>
      <c r="FK232" s="291"/>
      <c r="FL232" s="291"/>
      <c r="FM232" s="291"/>
      <c r="FN232" s="291"/>
      <c r="FO232" s="291"/>
      <c r="FP232" s="291"/>
      <c r="FQ232" s="291"/>
      <c r="FR232" s="291"/>
      <c r="FS232" s="291"/>
      <c r="FT232" s="291"/>
      <c r="FU232" s="291"/>
      <c r="FV232" s="291"/>
      <c r="FW232" s="291"/>
      <c r="FX232" s="291"/>
      <c r="FY232" s="291"/>
      <c r="FZ232" s="291"/>
      <c r="GA232" s="291"/>
      <c r="GB232" s="291"/>
      <c r="GC232" s="291"/>
      <c r="GD232" s="291"/>
      <c r="GE232" s="291"/>
      <c r="GF232" s="291"/>
      <c r="GG232" s="291"/>
      <c r="GH232" s="291"/>
      <c r="GI232" s="291"/>
      <c r="GJ232" s="291"/>
      <c r="GK232" s="291"/>
      <c r="GL232" s="291"/>
      <c r="GM232" s="291"/>
      <c r="GN232" s="291"/>
      <c r="GO232" s="291"/>
      <c r="GP232" s="291"/>
      <c r="GQ232" s="291"/>
      <c r="GR232" s="291"/>
      <c r="GS232" s="291"/>
      <c r="GT232" s="291"/>
      <c r="GU232" s="291"/>
      <c r="GV232" s="291"/>
      <c r="GW232" s="291"/>
      <c r="GX232" s="291"/>
      <c r="GY232" s="291"/>
      <c r="GZ232" s="291"/>
      <c r="HA232" s="291"/>
      <c r="HB232" s="291"/>
      <c r="HC232" s="291"/>
      <c r="HD232" s="291"/>
      <c r="HE232" s="291"/>
      <c r="HF232" s="291"/>
      <c r="HG232" s="291"/>
      <c r="HH232" s="291"/>
      <c r="HI232" s="291"/>
      <c r="HJ232" s="291"/>
      <c r="HK232" s="291"/>
      <c r="HL232" s="291"/>
      <c r="HM232" s="291"/>
      <c r="HN232" s="291"/>
      <c r="HO232" s="291"/>
      <c r="HP232" s="291"/>
      <c r="HQ232" s="291"/>
      <c r="HR232" s="291"/>
      <c r="HS232" s="291"/>
      <c r="HT232" s="291"/>
      <c r="HU232" s="291"/>
      <c r="HV232" s="291"/>
      <c r="HW232" s="291"/>
      <c r="HX232" s="291"/>
      <c r="HY232" s="291"/>
      <c r="HZ232" s="291"/>
      <c r="IA232" s="291"/>
      <c r="IB232" s="291"/>
      <c r="IC232" s="291"/>
      <c r="ID232" s="291"/>
      <c r="IE232" s="291"/>
      <c r="IF232" s="291"/>
      <c r="IG232" s="291"/>
      <c r="IH232" s="291"/>
      <c r="II232" s="291"/>
      <c r="IJ232" s="291"/>
      <c r="IK232" s="291"/>
      <c r="IL232" s="291"/>
      <c r="IM232" s="291"/>
      <c r="IN232" s="291"/>
      <c r="IO232" s="291"/>
      <c r="IP232" s="291"/>
      <c r="IQ232" s="291"/>
      <c r="IR232" s="291"/>
      <c r="IS232" s="291"/>
      <c r="IT232" s="291"/>
      <c r="IU232" s="291"/>
      <c r="IV232" s="291"/>
      <c r="IW232" s="291"/>
      <c r="IX232" s="291"/>
      <c r="IY232" s="291"/>
      <c r="IZ232" s="291"/>
      <c r="JA232" s="291"/>
      <c r="JB232" s="291"/>
      <c r="JC232" s="291"/>
      <c r="JD232" s="291"/>
      <c r="JE232" s="291"/>
      <c r="JF232" s="291"/>
      <c r="JG232" s="291"/>
      <c r="JH232" s="291"/>
      <c r="JI232" s="291"/>
      <c r="JJ232" s="291"/>
      <c r="JK232" s="291"/>
      <c r="JL232" s="291"/>
      <c r="JM232" s="291"/>
      <c r="JN232" s="291"/>
      <c r="JO232" s="291"/>
      <c r="JP232" s="291"/>
      <c r="JQ232" s="291"/>
      <c r="JR232" s="291"/>
      <c r="JS232" s="291"/>
      <c r="JT232" s="291"/>
      <c r="JU232" s="291"/>
      <c r="JV232" s="291"/>
      <c r="JW232" s="291"/>
      <c r="JX232" s="291"/>
      <c r="JY232" s="291"/>
      <c r="JZ232" s="291"/>
      <c r="KA232" s="291"/>
      <c r="KB232" s="291"/>
      <c r="KC232" s="291"/>
      <c r="KD232" s="291"/>
      <c r="KE232" s="291"/>
      <c r="KF232" s="291"/>
      <c r="KG232" s="291"/>
      <c r="KH232" s="291"/>
      <c r="KI232" s="291"/>
      <c r="KJ232" s="291"/>
      <c r="KK232" s="291"/>
      <c r="KL232" s="291"/>
      <c r="KM232" s="291"/>
      <c r="KN232" s="291"/>
      <c r="KO232" s="291"/>
      <c r="KP232" s="291"/>
      <c r="KQ232" s="291"/>
      <c r="KR232" s="291"/>
      <c r="KS232" s="291"/>
      <c r="KT232" s="291"/>
      <c r="KU232" s="291"/>
      <c r="KV232" s="291"/>
      <c r="KW232" s="291"/>
      <c r="KX232" s="291"/>
      <c r="KY232" s="291"/>
      <c r="KZ232" s="291"/>
      <c r="LA232" s="291"/>
      <c r="LB232" s="291"/>
      <c r="LC232" s="291"/>
      <c r="LD232" s="291"/>
      <c r="LE232" s="291"/>
      <c r="LF232" s="291"/>
      <c r="LG232" s="291"/>
      <c r="LH232" s="291"/>
      <c r="LI232" s="291"/>
      <c r="LJ232" s="291"/>
      <c r="LK232" s="291"/>
      <c r="LL232" s="291"/>
      <c r="LM232" s="291"/>
      <c r="LN232" s="291"/>
      <c r="LO232" s="291"/>
      <c r="LP232" s="291"/>
      <c r="LQ232" s="291"/>
      <c r="LR232" s="291"/>
      <c r="LS232" s="291"/>
      <c r="LT232" s="291"/>
      <c r="LU232" s="291"/>
      <c r="LV232" s="291"/>
      <c r="LW232" s="291"/>
      <c r="LX232" s="291"/>
      <c r="LY232" s="291"/>
      <c r="LZ232" s="291"/>
      <c r="MA232" s="291"/>
      <c r="MB232" s="291"/>
      <c r="MC232" s="291"/>
      <c r="MD232" s="291"/>
      <c r="ME232" s="291"/>
      <c r="MF232" s="291"/>
      <c r="MG232" s="291"/>
      <c r="MH232" s="291"/>
      <c r="MI232" s="291"/>
      <c r="MJ232" s="291"/>
      <c r="MK232" s="291"/>
      <c r="ML232" s="291"/>
      <c r="MM232" s="291"/>
      <c r="MN232" s="291"/>
      <c r="MO232" s="291"/>
      <c r="MP232" s="291"/>
      <c r="MQ232" s="291"/>
      <c r="MR232" s="291"/>
      <c r="MS232" s="291"/>
      <c r="MT232" s="291"/>
      <c r="MU232" s="291"/>
      <c r="MV232" s="291"/>
      <c r="MW232" s="291"/>
      <c r="MX232" s="291"/>
      <c r="MY232" s="291"/>
      <c r="MZ232" s="291"/>
      <c r="NA232" s="291"/>
      <c r="NB232" s="291"/>
      <c r="NC232" s="291"/>
      <c r="ND232" s="291"/>
      <c r="NE232" s="291"/>
      <c r="NF232" s="291"/>
      <c r="NG232" s="291"/>
      <c r="NH232" s="291"/>
      <c r="NI232" s="291"/>
      <c r="NJ232" s="291"/>
      <c r="NK232" s="291"/>
      <c r="NL232" s="291"/>
      <c r="NM232" s="291"/>
      <c r="NN232" s="291"/>
      <c r="NO232" s="291"/>
      <c r="NP232" s="291"/>
      <c r="NQ232" s="291"/>
      <c r="NR232" s="291"/>
      <c r="NS232" s="291"/>
      <c r="NT232" s="291"/>
      <c r="NU232" s="291"/>
      <c r="NV232" s="291"/>
      <c r="NW232" s="291"/>
      <c r="NX232" s="291"/>
      <c r="NY232" s="291"/>
      <c r="NZ232" s="291"/>
      <c r="OA232" s="291"/>
      <c r="OB232" s="291"/>
      <c r="OC232" s="291"/>
      <c r="OD232" s="291"/>
      <c r="OE232" s="291"/>
      <c r="OF232" s="291"/>
      <c r="OG232" s="291"/>
      <c r="OH232" s="291"/>
      <c r="OI232" s="291"/>
      <c r="OJ232" s="291"/>
      <c r="OK232" s="291"/>
      <c r="OL232" s="291"/>
      <c r="OM232" s="291"/>
      <c r="ON232" s="291"/>
      <c r="OO232" s="291"/>
      <c r="OP232" s="291"/>
      <c r="OQ232" s="291"/>
      <c r="OR232" s="291"/>
      <c r="OS232" s="291"/>
      <c r="OT232" s="291"/>
      <c r="OU232" s="291"/>
      <c r="OV232" s="291"/>
      <c r="OW232" s="291"/>
    </row>
    <row r="233" spans="1:413" s="257" customFormat="1" hidden="1" x14ac:dyDescent="0.2">
      <c r="A233" s="291"/>
      <c r="B233" s="524">
        <f t="shared" si="15"/>
        <v>217</v>
      </c>
      <c r="C233" s="510" t="s">
        <v>38</v>
      </c>
      <c r="D233" s="511">
        <v>40013889</v>
      </c>
      <c r="E233" s="511"/>
      <c r="F233" s="512" t="s">
        <v>1392</v>
      </c>
      <c r="G233" s="513" t="s">
        <v>45</v>
      </c>
      <c r="H233" s="514" t="s">
        <v>1094</v>
      </c>
      <c r="I233" s="515" t="s">
        <v>1282</v>
      </c>
      <c r="J233" s="346" t="s">
        <v>43</v>
      </c>
      <c r="K233" s="526">
        <v>375657</v>
      </c>
      <c r="L233" s="527"/>
      <c r="M233" s="528">
        <v>27454</v>
      </c>
      <c r="N233" s="520">
        <v>348203</v>
      </c>
      <c r="O233" s="520">
        <v>0</v>
      </c>
      <c r="P233" s="520">
        <v>0</v>
      </c>
      <c r="Q233" s="520">
        <v>0</v>
      </c>
      <c r="R233" s="520">
        <v>0</v>
      </c>
      <c r="S233" s="520">
        <v>0</v>
      </c>
      <c r="T233" s="18"/>
      <c r="U233" s="18"/>
      <c r="V233" s="18"/>
      <c r="W233" s="18"/>
      <c r="X233" s="18"/>
      <c r="Y233" s="18"/>
      <c r="Z233" s="18">
        <f t="shared" si="12"/>
        <v>348203</v>
      </c>
      <c r="AA233" s="309">
        <v>348203</v>
      </c>
      <c r="AB233" s="19">
        <v>2</v>
      </c>
      <c r="AC233" s="521">
        <v>44221</v>
      </c>
      <c r="AD233" s="25">
        <v>44225</v>
      </c>
      <c r="AE233" s="309"/>
      <c r="AF233" s="314"/>
      <c r="AG233" s="315"/>
      <c r="AH233" s="316"/>
      <c r="AI233" s="309"/>
      <c r="AJ233" s="338"/>
      <c r="AK233" s="315"/>
      <c r="AL233" s="316"/>
      <c r="AM233" s="309"/>
      <c r="AN233" s="338"/>
      <c r="AO233" s="21"/>
      <c r="AP233" s="25"/>
      <c r="AQ233" s="309"/>
      <c r="AR233" s="19"/>
      <c r="AS233" s="21"/>
      <c r="AT233" s="25"/>
      <c r="AU233" s="522">
        <f t="shared" si="13"/>
        <v>348203</v>
      </c>
      <c r="AV233" s="311">
        <f t="shared" si="14"/>
        <v>0</v>
      </c>
      <c r="AW233" s="305"/>
      <c r="AX233" s="291"/>
      <c r="AY233" s="291"/>
      <c r="AZ233" s="291"/>
      <c r="BA233" s="291"/>
      <c r="BB233" s="291"/>
      <c r="BC233" s="291"/>
      <c r="BD233" s="291"/>
      <c r="BE233" s="291"/>
      <c r="BF233" s="291"/>
      <c r="BG233" s="291"/>
      <c r="BH233" s="291"/>
      <c r="BI233" s="291"/>
      <c r="BJ233" s="291"/>
      <c r="BK233" s="291"/>
      <c r="BL233" s="291"/>
      <c r="BM233" s="291"/>
      <c r="BN233" s="291"/>
      <c r="BO233" s="291"/>
      <c r="BP233" s="291"/>
      <c r="BQ233" s="291"/>
      <c r="BR233" s="291"/>
      <c r="BS233" s="291"/>
      <c r="BT233" s="291"/>
      <c r="BU233" s="291"/>
      <c r="BV233" s="291"/>
      <c r="BW233" s="291"/>
      <c r="BX233" s="291"/>
      <c r="BY233" s="291"/>
      <c r="BZ233" s="291"/>
      <c r="CA233" s="291"/>
      <c r="CB233" s="291"/>
      <c r="CC233" s="291"/>
      <c r="CD233" s="291"/>
      <c r="CE233" s="291"/>
      <c r="CF233" s="291"/>
      <c r="CG233" s="291"/>
      <c r="CH233" s="291"/>
      <c r="CI233" s="291"/>
      <c r="CJ233" s="291"/>
      <c r="CK233" s="291"/>
      <c r="CL233" s="291"/>
      <c r="CM233" s="291"/>
      <c r="CN233" s="291"/>
      <c r="CO233" s="291"/>
      <c r="CP233" s="291"/>
      <c r="CQ233" s="291"/>
      <c r="CR233" s="291"/>
      <c r="CS233" s="291"/>
      <c r="CT233" s="291"/>
      <c r="CU233" s="291"/>
      <c r="CV233" s="291"/>
      <c r="CW233" s="291"/>
      <c r="CX233" s="291"/>
      <c r="CY233" s="291"/>
      <c r="CZ233" s="291"/>
      <c r="DA233" s="291"/>
      <c r="DB233" s="291"/>
      <c r="DC233" s="291"/>
      <c r="DD233" s="291"/>
      <c r="DE233" s="291"/>
      <c r="DF233" s="291"/>
      <c r="DG233" s="291"/>
      <c r="DH233" s="291"/>
      <c r="DI233" s="291"/>
      <c r="DJ233" s="291"/>
      <c r="DK233" s="291"/>
      <c r="DL233" s="291"/>
      <c r="DM233" s="291"/>
      <c r="DN233" s="291"/>
      <c r="DO233" s="291"/>
      <c r="DP233" s="291"/>
      <c r="DQ233" s="291"/>
      <c r="DR233" s="291"/>
      <c r="DS233" s="291"/>
      <c r="DT233" s="291"/>
      <c r="DU233" s="291"/>
      <c r="DV233" s="291"/>
      <c r="DW233" s="291"/>
      <c r="DX233" s="291"/>
      <c r="DY233" s="291"/>
      <c r="DZ233" s="291"/>
      <c r="EA233" s="291"/>
      <c r="EB233" s="291"/>
      <c r="EC233" s="291"/>
      <c r="ED233" s="291"/>
      <c r="EE233" s="291"/>
      <c r="EF233" s="291"/>
      <c r="EG233" s="291"/>
      <c r="EH233" s="291"/>
      <c r="EI233" s="291"/>
      <c r="EJ233" s="291"/>
      <c r="EK233" s="291"/>
      <c r="EL233" s="291"/>
      <c r="EM233" s="291"/>
      <c r="EN233" s="291"/>
      <c r="EO233" s="291"/>
      <c r="EP233" s="291"/>
      <c r="EQ233" s="291"/>
      <c r="ER233" s="291"/>
      <c r="ES233" s="291"/>
      <c r="ET233" s="291"/>
      <c r="EU233" s="291"/>
      <c r="EV233" s="291"/>
      <c r="EW233" s="291"/>
      <c r="EX233" s="291"/>
      <c r="EY233" s="291"/>
      <c r="EZ233" s="291"/>
      <c r="FA233" s="291"/>
      <c r="FB233" s="291"/>
      <c r="FC233" s="291"/>
      <c r="FD233" s="291"/>
      <c r="FE233" s="291"/>
      <c r="FF233" s="291"/>
      <c r="FG233" s="291"/>
      <c r="FH233" s="291"/>
      <c r="FI233" s="291"/>
      <c r="FJ233" s="291"/>
      <c r="FK233" s="291"/>
      <c r="FL233" s="291"/>
      <c r="FM233" s="291"/>
      <c r="FN233" s="291"/>
      <c r="FO233" s="291"/>
      <c r="FP233" s="291"/>
      <c r="FQ233" s="291"/>
      <c r="FR233" s="291"/>
      <c r="FS233" s="291"/>
      <c r="FT233" s="291"/>
      <c r="FU233" s="291"/>
      <c r="FV233" s="291"/>
      <c r="FW233" s="291"/>
      <c r="FX233" s="291"/>
      <c r="FY233" s="291"/>
      <c r="FZ233" s="291"/>
      <c r="GA233" s="291"/>
      <c r="GB233" s="291"/>
      <c r="GC233" s="291"/>
      <c r="GD233" s="291"/>
      <c r="GE233" s="291"/>
      <c r="GF233" s="291"/>
      <c r="GG233" s="291"/>
      <c r="GH233" s="291"/>
      <c r="GI233" s="291"/>
      <c r="GJ233" s="291"/>
      <c r="GK233" s="291"/>
      <c r="GL233" s="291"/>
      <c r="GM233" s="291"/>
      <c r="GN233" s="291"/>
      <c r="GO233" s="291"/>
      <c r="GP233" s="291"/>
      <c r="GQ233" s="291"/>
      <c r="GR233" s="291"/>
      <c r="GS233" s="291"/>
      <c r="GT233" s="291"/>
      <c r="GU233" s="291"/>
      <c r="GV233" s="291"/>
      <c r="GW233" s="291"/>
      <c r="GX233" s="291"/>
      <c r="GY233" s="291"/>
      <c r="GZ233" s="291"/>
      <c r="HA233" s="291"/>
      <c r="HB233" s="291"/>
      <c r="HC233" s="291"/>
      <c r="HD233" s="291"/>
      <c r="HE233" s="291"/>
      <c r="HF233" s="291"/>
      <c r="HG233" s="291"/>
      <c r="HH233" s="291"/>
      <c r="HI233" s="291"/>
      <c r="HJ233" s="291"/>
      <c r="HK233" s="291"/>
      <c r="HL233" s="291"/>
      <c r="HM233" s="291"/>
      <c r="HN233" s="291"/>
      <c r="HO233" s="291"/>
      <c r="HP233" s="291"/>
      <c r="HQ233" s="291"/>
      <c r="HR233" s="291"/>
      <c r="HS233" s="291"/>
      <c r="HT233" s="291"/>
      <c r="HU233" s="291"/>
      <c r="HV233" s="291"/>
      <c r="HW233" s="291"/>
      <c r="HX233" s="291"/>
      <c r="HY233" s="291"/>
      <c r="HZ233" s="291"/>
      <c r="IA233" s="291"/>
      <c r="IB233" s="291"/>
      <c r="IC233" s="291"/>
      <c r="ID233" s="291"/>
      <c r="IE233" s="291"/>
      <c r="IF233" s="291"/>
      <c r="IG233" s="291"/>
      <c r="IH233" s="291"/>
      <c r="II233" s="291"/>
      <c r="IJ233" s="291"/>
      <c r="IK233" s="291"/>
      <c r="IL233" s="291"/>
      <c r="IM233" s="291"/>
      <c r="IN233" s="291"/>
      <c r="IO233" s="291"/>
      <c r="IP233" s="291"/>
      <c r="IQ233" s="291"/>
      <c r="IR233" s="291"/>
      <c r="IS233" s="291"/>
      <c r="IT233" s="291"/>
      <c r="IU233" s="291"/>
      <c r="IV233" s="291"/>
      <c r="IW233" s="291"/>
      <c r="IX233" s="291"/>
      <c r="IY233" s="291"/>
      <c r="IZ233" s="291"/>
      <c r="JA233" s="291"/>
      <c r="JB233" s="291"/>
      <c r="JC233" s="291"/>
      <c r="JD233" s="291"/>
      <c r="JE233" s="291"/>
      <c r="JF233" s="291"/>
      <c r="JG233" s="291"/>
      <c r="JH233" s="291"/>
      <c r="JI233" s="291"/>
      <c r="JJ233" s="291"/>
      <c r="JK233" s="291"/>
      <c r="JL233" s="291"/>
      <c r="JM233" s="291"/>
      <c r="JN233" s="291"/>
      <c r="JO233" s="291"/>
      <c r="JP233" s="291"/>
      <c r="JQ233" s="291"/>
      <c r="JR233" s="291"/>
      <c r="JS233" s="291"/>
      <c r="JT233" s="291"/>
      <c r="JU233" s="291"/>
      <c r="JV233" s="291"/>
      <c r="JW233" s="291"/>
      <c r="JX233" s="291"/>
      <c r="JY233" s="291"/>
      <c r="JZ233" s="291"/>
      <c r="KA233" s="291"/>
      <c r="KB233" s="291"/>
      <c r="KC233" s="291"/>
      <c r="KD233" s="291"/>
      <c r="KE233" s="291"/>
      <c r="KF233" s="291"/>
      <c r="KG233" s="291"/>
      <c r="KH233" s="291"/>
      <c r="KI233" s="291"/>
      <c r="KJ233" s="291"/>
      <c r="KK233" s="291"/>
      <c r="KL233" s="291"/>
      <c r="KM233" s="291"/>
      <c r="KN233" s="291"/>
      <c r="KO233" s="291"/>
      <c r="KP233" s="291"/>
      <c r="KQ233" s="291"/>
      <c r="KR233" s="291"/>
      <c r="KS233" s="291"/>
      <c r="KT233" s="291"/>
      <c r="KU233" s="291"/>
      <c r="KV233" s="291"/>
      <c r="KW233" s="291"/>
      <c r="KX233" s="291"/>
      <c r="KY233" s="291"/>
      <c r="KZ233" s="291"/>
      <c r="LA233" s="291"/>
      <c r="LB233" s="291"/>
      <c r="LC233" s="291"/>
      <c r="LD233" s="291"/>
      <c r="LE233" s="291"/>
      <c r="LF233" s="291"/>
      <c r="LG233" s="291"/>
      <c r="LH233" s="291"/>
      <c r="LI233" s="291"/>
      <c r="LJ233" s="291"/>
      <c r="LK233" s="291"/>
      <c r="LL233" s="291"/>
      <c r="LM233" s="291"/>
      <c r="LN233" s="291"/>
      <c r="LO233" s="291"/>
      <c r="LP233" s="291"/>
      <c r="LQ233" s="291"/>
      <c r="LR233" s="291"/>
      <c r="LS233" s="291"/>
      <c r="LT233" s="291"/>
      <c r="LU233" s="291"/>
      <c r="LV233" s="291"/>
      <c r="LW233" s="291"/>
      <c r="LX233" s="291"/>
      <c r="LY233" s="291"/>
      <c r="LZ233" s="291"/>
      <c r="MA233" s="291"/>
      <c r="MB233" s="291"/>
      <c r="MC233" s="291"/>
      <c r="MD233" s="291"/>
      <c r="ME233" s="291"/>
      <c r="MF233" s="291"/>
      <c r="MG233" s="291"/>
      <c r="MH233" s="291"/>
      <c r="MI233" s="291"/>
      <c r="MJ233" s="291"/>
      <c r="MK233" s="291"/>
      <c r="ML233" s="291"/>
      <c r="MM233" s="291"/>
      <c r="MN233" s="291"/>
      <c r="MO233" s="291"/>
      <c r="MP233" s="291"/>
      <c r="MQ233" s="291"/>
      <c r="MR233" s="291"/>
      <c r="MS233" s="291"/>
      <c r="MT233" s="291"/>
      <c r="MU233" s="291"/>
      <c r="MV233" s="291"/>
      <c r="MW233" s="291"/>
      <c r="MX233" s="291"/>
      <c r="MY233" s="291"/>
      <c r="MZ233" s="291"/>
      <c r="NA233" s="291"/>
      <c r="NB233" s="291"/>
      <c r="NC233" s="291"/>
      <c r="ND233" s="291"/>
      <c r="NE233" s="291"/>
      <c r="NF233" s="291"/>
      <c r="NG233" s="291"/>
      <c r="NH233" s="291"/>
      <c r="NI233" s="291"/>
      <c r="NJ233" s="291"/>
      <c r="NK233" s="291"/>
      <c r="NL233" s="291"/>
      <c r="NM233" s="291"/>
      <c r="NN233" s="291"/>
      <c r="NO233" s="291"/>
      <c r="NP233" s="291"/>
      <c r="NQ233" s="291"/>
      <c r="NR233" s="291"/>
      <c r="NS233" s="291"/>
      <c r="NT233" s="291"/>
      <c r="NU233" s="291"/>
      <c r="NV233" s="291"/>
      <c r="NW233" s="291"/>
      <c r="NX233" s="291"/>
      <c r="NY233" s="291"/>
      <c r="NZ233" s="291"/>
      <c r="OA233" s="291"/>
      <c r="OB233" s="291"/>
      <c r="OC233" s="291"/>
      <c r="OD233" s="291"/>
      <c r="OE233" s="291"/>
      <c r="OF233" s="291"/>
      <c r="OG233" s="291"/>
      <c r="OH233" s="291"/>
      <c r="OI233" s="291"/>
      <c r="OJ233" s="291"/>
      <c r="OK233" s="291"/>
      <c r="OL233" s="291"/>
      <c r="OM233" s="291"/>
      <c r="ON233" s="291"/>
      <c r="OO233" s="291"/>
      <c r="OP233" s="291"/>
      <c r="OQ233" s="291"/>
      <c r="OR233" s="291"/>
      <c r="OS233" s="291"/>
      <c r="OT233" s="291"/>
      <c r="OU233" s="291"/>
      <c r="OV233" s="291"/>
      <c r="OW233" s="291"/>
    </row>
    <row r="234" spans="1:413" s="257" customFormat="1" hidden="1" x14ac:dyDescent="0.2">
      <c r="A234" s="291"/>
      <c r="B234" s="524">
        <f t="shared" si="15"/>
        <v>218</v>
      </c>
      <c r="C234" s="510" t="s">
        <v>38</v>
      </c>
      <c r="D234" s="511">
        <v>40015334</v>
      </c>
      <c r="E234" s="511"/>
      <c r="F234" s="512" t="s">
        <v>1393</v>
      </c>
      <c r="G234" s="513" t="s">
        <v>46</v>
      </c>
      <c r="H234" s="514" t="s">
        <v>1094</v>
      </c>
      <c r="I234" s="515" t="s">
        <v>1099</v>
      </c>
      <c r="J234" s="346" t="s">
        <v>43</v>
      </c>
      <c r="K234" s="526">
        <v>76602</v>
      </c>
      <c r="L234" s="527">
        <v>0</v>
      </c>
      <c r="M234" s="528">
        <v>41370</v>
      </c>
      <c r="N234" s="520">
        <v>0</v>
      </c>
      <c r="O234" s="520">
        <v>0</v>
      </c>
      <c r="P234" s="520">
        <v>5117</v>
      </c>
      <c r="Q234" s="520">
        <v>0</v>
      </c>
      <c r="R234" s="520">
        <v>0</v>
      </c>
      <c r="S234" s="520">
        <v>0</v>
      </c>
      <c r="T234" s="18"/>
      <c r="U234" s="18"/>
      <c r="V234" s="18"/>
      <c r="W234" s="18"/>
      <c r="X234" s="18"/>
      <c r="Y234" s="18"/>
      <c r="Z234" s="18">
        <f t="shared" si="12"/>
        <v>5117</v>
      </c>
      <c r="AA234" s="309">
        <v>35117</v>
      </c>
      <c r="AB234" s="19">
        <v>3</v>
      </c>
      <c r="AC234" s="521">
        <v>44222</v>
      </c>
      <c r="AD234" s="25">
        <v>44225</v>
      </c>
      <c r="AE234" s="309"/>
      <c r="AF234" s="314"/>
      <c r="AG234" s="315"/>
      <c r="AH234" s="316"/>
      <c r="AI234" s="309"/>
      <c r="AJ234" s="338"/>
      <c r="AK234" s="315"/>
      <c r="AL234" s="316"/>
      <c r="AM234" s="309"/>
      <c r="AN234" s="338"/>
      <c r="AO234" s="21"/>
      <c r="AP234" s="25"/>
      <c r="AQ234" s="309"/>
      <c r="AR234" s="19"/>
      <c r="AS234" s="21"/>
      <c r="AT234" s="25"/>
      <c r="AU234" s="522">
        <f t="shared" si="13"/>
        <v>35117</v>
      </c>
      <c r="AV234" s="311">
        <f t="shared" si="14"/>
        <v>30000</v>
      </c>
      <c r="AW234" s="305"/>
      <c r="AX234" s="291"/>
      <c r="AY234" s="291"/>
      <c r="AZ234" s="291"/>
      <c r="BA234" s="291"/>
      <c r="BB234" s="291"/>
      <c r="BC234" s="291"/>
      <c r="BD234" s="291"/>
      <c r="BE234" s="291"/>
      <c r="BF234" s="291"/>
      <c r="BG234" s="291"/>
      <c r="BH234" s="291"/>
      <c r="BI234" s="291"/>
      <c r="BJ234" s="291"/>
      <c r="BK234" s="291"/>
      <c r="BL234" s="291"/>
      <c r="BM234" s="291"/>
      <c r="BN234" s="291"/>
      <c r="BO234" s="291"/>
      <c r="BP234" s="291"/>
      <c r="BQ234" s="291"/>
      <c r="BR234" s="291"/>
      <c r="BS234" s="291"/>
      <c r="BT234" s="291"/>
      <c r="BU234" s="291"/>
      <c r="BV234" s="291"/>
      <c r="BW234" s="291"/>
      <c r="BX234" s="291"/>
      <c r="BY234" s="291"/>
      <c r="BZ234" s="291"/>
      <c r="CA234" s="291"/>
      <c r="CB234" s="291"/>
      <c r="CC234" s="291"/>
      <c r="CD234" s="291"/>
      <c r="CE234" s="291"/>
      <c r="CF234" s="291"/>
      <c r="CG234" s="291"/>
      <c r="CH234" s="291"/>
      <c r="CI234" s="291"/>
      <c r="CJ234" s="291"/>
      <c r="CK234" s="291"/>
      <c r="CL234" s="291"/>
      <c r="CM234" s="291"/>
      <c r="CN234" s="291"/>
      <c r="CO234" s="291"/>
      <c r="CP234" s="291"/>
      <c r="CQ234" s="291"/>
      <c r="CR234" s="291"/>
      <c r="CS234" s="291"/>
      <c r="CT234" s="291"/>
      <c r="CU234" s="291"/>
      <c r="CV234" s="291"/>
      <c r="CW234" s="291"/>
      <c r="CX234" s="291"/>
      <c r="CY234" s="291"/>
      <c r="CZ234" s="291"/>
      <c r="DA234" s="291"/>
      <c r="DB234" s="291"/>
      <c r="DC234" s="291"/>
      <c r="DD234" s="291"/>
      <c r="DE234" s="291"/>
      <c r="DF234" s="291"/>
      <c r="DG234" s="291"/>
      <c r="DH234" s="291"/>
      <c r="DI234" s="291"/>
      <c r="DJ234" s="291"/>
      <c r="DK234" s="291"/>
      <c r="DL234" s="291"/>
      <c r="DM234" s="291"/>
      <c r="DN234" s="291"/>
      <c r="DO234" s="291"/>
      <c r="DP234" s="291"/>
      <c r="DQ234" s="291"/>
      <c r="DR234" s="291"/>
      <c r="DS234" s="291"/>
      <c r="DT234" s="291"/>
      <c r="DU234" s="291"/>
      <c r="DV234" s="291"/>
      <c r="DW234" s="291"/>
      <c r="DX234" s="291"/>
      <c r="DY234" s="291"/>
      <c r="DZ234" s="291"/>
      <c r="EA234" s="291"/>
      <c r="EB234" s="291"/>
      <c r="EC234" s="291"/>
      <c r="ED234" s="291"/>
      <c r="EE234" s="291"/>
      <c r="EF234" s="291"/>
      <c r="EG234" s="291"/>
      <c r="EH234" s="291"/>
      <c r="EI234" s="291"/>
      <c r="EJ234" s="291"/>
      <c r="EK234" s="291"/>
      <c r="EL234" s="291"/>
      <c r="EM234" s="291"/>
      <c r="EN234" s="291"/>
      <c r="EO234" s="291"/>
      <c r="EP234" s="291"/>
      <c r="EQ234" s="291"/>
      <c r="ER234" s="291"/>
      <c r="ES234" s="291"/>
      <c r="ET234" s="291"/>
      <c r="EU234" s="291"/>
      <c r="EV234" s="291"/>
      <c r="EW234" s="291"/>
      <c r="EX234" s="291"/>
      <c r="EY234" s="291"/>
      <c r="EZ234" s="291"/>
      <c r="FA234" s="291"/>
      <c r="FB234" s="291"/>
      <c r="FC234" s="291"/>
      <c r="FD234" s="291"/>
      <c r="FE234" s="291"/>
      <c r="FF234" s="291"/>
      <c r="FG234" s="291"/>
      <c r="FH234" s="291"/>
      <c r="FI234" s="291"/>
      <c r="FJ234" s="291"/>
      <c r="FK234" s="291"/>
      <c r="FL234" s="291"/>
      <c r="FM234" s="291"/>
      <c r="FN234" s="291"/>
      <c r="FO234" s="291"/>
      <c r="FP234" s="291"/>
      <c r="FQ234" s="291"/>
      <c r="FR234" s="291"/>
      <c r="FS234" s="291"/>
      <c r="FT234" s="291"/>
      <c r="FU234" s="291"/>
      <c r="FV234" s="291"/>
      <c r="FW234" s="291"/>
      <c r="FX234" s="291"/>
      <c r="FY234" s="291"/>
      <c r="FZ234" s="291"/>
      <c r="GA234" s="291"/>
      <c r="GB234" s="291"/>
      <c r="GC234" s="291"/>
      <c r="GD234" s="291"/>
      <c r="GE234" s="291"/>
      <c r="GF234" s="291"/>
      <c r="GG234" s="291"/>
      <c r="GH234" s="291"/>
      <c r="GI234" s="291"/>
      <c r="GJ234" s="291"/>
      <c r="GK234" s="291"/>
      <c r="GL234" s="291"/>
      <c r="GM234" s="291"/>
      <c r="GN234" s="291"/>
      <c r="GO234" s="291"/>
      <c r="GP234" s="291"/>
      <c r="GQ234" s="291"/>
      <c r="GR234" s="291"/>
      <c r="GS234" s="291"/>
      <c r="GT234" s="291"/>
      <c r="GU234" s="291"/>
      <c r="GV234" s="291"/>
      <c r="GW234" s="291"/>
      <c r="GX234" s="291"/>
      <c r="GY234" s="291"/>
      <c r="GZ234" s="291"/>
      <c r="HA234" s="291"/>
      <c r="HB234" s="291"/>
      <c r="HC234" s="291"/>
      <c r="HD234" s="291"/>
      <c r="HE234" s="291"/>
      <c r="HF234" s="291"/>
      <c r="HG234" s="291"/>
      <c r="HH234" s="291"/>
      <c r="HI234" s="291"/>
      <c r="HJ234" s="291"/>
      <c r="HK234" s="291"/>
      <c r="HL234" s="291"/>
      <c r="HM234" s="291"/>
      <c r="HN234" s="291"/>
      <c r="HO234" s="291"/>
      <c r="HP234" s="291"/>
      <c r="HQ234" s="291"/>
      <c r="HR234" s="291"/>
      <c r="HS234" s="291"/>
      <c r="HT234" s="291"/>
      <c r="HU234" s="291"/>
      <c r="HV234" s="291"/>
      <c r="HW234" s="291"/>
      <c r="HX234" s="291"/>
      <c r="HY234" s="291"/>
      <c r="HZ234" s="291"/>
      <c r="IA234" s="291"/>
      <c r="IB234" s="291"/>
      <c r="IC234" s="291"/>
      <c r="ID234" s="291"/>
      <c r="IE234" s="291"/>
      <c r="IF234" s="291"/>
      <c r="IG234" s="291"/>
      <c r="IH234" s="291"/>
      <c r="II234" s="291"/>
      <c r="IJ234" s="291"/>
      <c r="IK234" s="291"/>
      <c r="IL234" s="291"/>
      <c r="IM234" s="291"/>
      <c r="IN234" s="291"/>
      <c r="IO234" s="291"/>
      <c r="IP234" s="291"/>
      <c r="IQ234" s="291"/>
      <c r="IR234" s="291"/>
      <c r="IS234" s="291"/>
      <c r="IT234" s="291"/>
      <c r="IU234" s="291"/>
      <c r="IV234" s="291"/>
      <c r="IW234" s="291"/>
      <c r="IX234" s="291"/>
      <c r="IY234" s="291"/>
      <c r="IZ234" s="291"/>
      <c r="JA234" s="291"/>
      <c r="JB234" s="291"/>
      <c r="JC234" s="291"/>
      <c r="JD234" s="291"/>
      <c r="JE234" s="291"/>
      <c r="JF234" s="291"/>
      <c r="JG234" s="291"/>
      <c r="JH234" s="291"/>
      <c r="JI234" s="291"/>
      <c r="JJ234" s="291"/>
      <c r="JK234" s="291"/>
      <c r="JL234" s="291"/>
      <c r="JM234" s="291"/>
      <c r="JN234" s="291"/>
      <c r="JO234" s="291"/>
      <c r="JP234" s="291"/>
      <c r="JQ234" s="291"/>
      <c r="JR234" s="291"/>
      <c r="JS234" s="291"/>
      <c r="JT234" s="291"/>
      <c r="JU234" s="291"/>
      <c r="JV234" s="291"/>
      <c r="JW234" s="291"/>
      <c r="JX234" s="291"/>
      <c r="JY234" s="291"/>
      <c r="JZ234" s="291"/>
      <c r="KA234" s="291"/>
      <c r="KB234" s="291"/>
      <c r="KC234" s="291"/>
      <c r="KD234" s="291"/>
      <c r="KE234" s="291"/>
      <c r="KF234" s="291"/>
      <c r="KG234" s="291"/>
      <c r="KH234" s="291"/>
      <c r="KI234" s="291"/>
      <c r="KJ234" s="291"/>
      <c r="KK234" s="291"/>
      <c r="KL234" s="291"/>
      <c r="KM234" s="291"/>
      <c r="KN234" s="291"/>
      <c r="KO234" s="291"/>
      <c r="KP234" s="291"/>
      <c r="KQ234" s="291"/>
      <c r="KR234" s="291"/>
      <c r="KS234" s="291"/>
      <c r="KT234" s="291"/>
      <c r="KU234" s="291"/>
      <c r="KV234" s="291"/>
      <c r="KW234" s="291"/>
      <c r="KX234" s="291"/>
      <c r="KY234" s="291"/>
      <c r="KZ234" s="291"/>
      <c r="LA234" s="291"/>
      <c r="LB234" s="291"/>
      <c r="LC234" s="291"/>
      <c r="LD234" s="291"/>
      <c r="LE234" s="291"/>
      <c r="LF234" s="291"/>
      <c r="LG234" s="291"/>
      <c r="LH234" s="291"/>
      <c r="LI234" s="291"/>
      <c r="LJ234" s="291"/>
      <c r="LK234" s="291"/>
      <c r="LL234" s="291"/>
      <c r="LM234" s="291"/>
      <c r="LN234" s="291"/>
      <c r="LO234" s="291"/>
      <c r="LP234" s="291"/>
      <c r="LQ234" s="291"/>
      <c r="LR234" s="291"/>
      <c r="LS234" s="291"/>
      <c r="LT234" s="291"/>
      <c r="LU234" s="291"/>
      <c r="LV234" s="291"/>
      <c r="LW234" s="291"/>
      <c r="LX234" s="291"/>
      <c r="LY234" s="291"/>
      <c r="LZ234" s="291"/>
      <c r="MA234" s="291"/>
      <c r="MB234" s="291"/>
      <c r="MC234" s="291"/>
      <c r="MD234" s="291"/>
      <c r="ME234" s="291"/>
      <c r="MF234" s="291"/>
      <c r="MG234" s="291"/>
      <c r="MH234" s="291"/>
      <c r="MI234" s="291"/>
      <c r="MJ234" s="291"/>
      <c r="MK234" s="291"/>
      <c r="ML234" s="291"/>
      <c r="MM234" s="291"/>
      <c r="MN234" s="291"/>
      <c r="MO234" s="291"/>
      <c r="MP234" s="291"/>
      <c r="MQ234" s="291"/>
      <c r="MR234" s="291"/>
      <c r="MS234" s="291"/>
      <c r="MT234" s="291"/>
      <c r="MU234" s="291"/>
      <c r="MV234" s="291"/>
      <c r="MW234" s="291"/>
      <c r="MX234" s="291"/>
      <c r="MY234" s="291"/>
      <c r="MZ234" s="291"/>
      <c r="NA234" s="291"/>
      <c r="NB234" s="291"/>
      <c r="NC234" s="291"/>
      <c r="ND234" s="291"/>
      <c r="NE234" s="291"/>
      <c r="NF234" s="291"/>
      <c r="NG234" s="291"/>
      <c r="NH234" s="291"/>
      <c r="NI234" s="291"/>
      <c r="NJ234" s="291"/>
      <c r="NK234" s="291"/>
      <c r="NL234" s="291"/>
      <c r="NM234" s="291"/>
      <c r="NN234" s="291"/>
      <c r="NO234" s="291"/>
      <c r="NP234" s="291"/>
      <c r="NQ234" s="291"/>
      <c r="NR234" s="291"/>
      <c r="NS234" s="291"/>
      <c r="NT234" s="291"/>
      <c r="NU234" s="291"/>
      <c r="NV234" s="291"/>
      <c r="NW234" s="291"/>
      <c r="NX234" s="291"/>
      <c r="NY234" s="291"/>
      <c r="NZ234" s="291"/>
      <c r="OA234" s="291"/>
      <c r="OB234" s="291"/>
      <c r="OC234" s="291"/>
      <c r="OD234" s="291"/>
      <c r="OE234" s="291"/>
      <c r="OF234" s="291"/>
      <c r="OG234" s="291"/>
      <c r="OH234" s="291"/>
      <c r="OI234" s="291"/>
      <c r="OJ234" s="291"/>
      <c r="OK234" s="291"/>
      <c r="OL234" s="291"/>
      <c r="OM234" s="291"/>
      <c r="ON234" s="291"/>
      <c r="OO234" s="291"/>
      <c r="OP234" s="291"/>
      <c r="OQ234" s="291"/>
      <c r="OR234" s="291"/>
      <c r="OS234" s="291"/>
      <c r="OT234" s="291"/>
      <c r="OU234" s="291"/>
      <c r="OV234" s="291"/>
      <c r="OW234" s="291"/>
    </row>
    <row r="235" spans="1:413" s="257" customFormat="1" hidden="1" x14ac:dyDescent="0.2">
      <c r="A235" s="291"/>
      <c r="B235" s="524">
        <f t="shared" si="15"/>
        <v>219</v>
      </c>
      <c r="C235" s="510" t="s">
        <v>38</v>
      </c>
      <c r="D235" s="511">
        <v>40016268</v>
      </c>
      <c r="E235" s="511"/>
      <c r="F235" s="512" t="s">
        <v>1394</v>
      </c>
      <c r="G235" s="513" t="s">
        <v>45</v>
      </c>
      <c r="H235" s="514" t="s">
        <v>1094</v>
      </c>
      <c r="I235" s="515" t="s">
        <v>1253</v>
      </c>
      <c r="J235" s="346" t="s">
        <v>43</v>
      </c>
      <c r="K235" s="526">
        <v>6402490</v>
      </c>
      <c r="L235" s="527">
        <v>0</v>
      </c>
      <c r="M235" s="528">
        <v>6065110</v>
      </c>
      <c r="N235" s="520">
        <v>0</v>
      </c>
      <c r="O235" s="520">
        <v>0</v>
      </c>
      <c r="P235" s="520">
        <v>0</v>
      </c>
      <c r="Q235" s="520">
        <v>0</v>
      </c>
      <c r="R235" s="520">
        <v>0</v>
      </c>
      <c r="S235" s="520">
        <v>0</v>
      </c>
      <c r="T235" s="18"/>
      <c r="U235" s="18"/>
      <c r="V235" s="18"/>
      <c r="W235" s="18"/>
      <c r="X235" s="18"/>
      <c r="Y235" s="18"/>
      <c r="Z235" s="18">
        <f t="shared" si="12"/>
        <v>0</v>
      </c>
      <c r="AA235" s="309">
        <v>107000</v>
      </c>
      <c r="AB235" s="19">
        <v>15</v>
      </c>
      <c r="AC235" s="521">
        <v>44259</v>
      </c>
      <c r="AD235" s="25">
        <v>44274</v>
      </c>
      <c r="AE235" s="309"/>
      <c r="AF235" s="314"/>
      <c r="AG235" s="315"/>
      <c r="AH235" s="316"/>
      <c r="AI235" s="309"/>
      <c r="AJ235" s="338"/>
      <c r="AK235" s="315"/>
      <c r="AL235" s="316"/>
      <c r="AM235" s="309"/>
      <c r="AN235" s="338"/>
      <c r="AO235" s="21"/>
      <c r="AP235" s="25"/>
      <c r="AQ235" s="309"/>
      <c r="AR235" s="19"/>
      <c r="AS235" s="21"/>
      <c r="AT235" s="25"/>
      <c r="AU235" s="522">
        <f t="shared" si="13"/>
        <v>107000</v>
      </c>
      <c r="AV235" s="311">
        <f t="shared" si="14"/>
        <v>107000</v>
      </c>
      <c r="AW235" s="305"/>
      <c r="AX235" s="291"/>
      <c r="AY235" s="291"/>
      <c r="AZ235" s="291"/>
      <c r="BA235" s="291"/>
      <c r="BB235" s="291"/>
      <c r="BC235" s="291"/>
      <c r="BD235" s="291"/>
      <c r="BE235" s="291"/>
      <c r="BF235" s="291"/>
      <c r="BG235" s="291"/>
      <c r="BH235" s="291"/>
      <c r="BI235" s="291"/>
      <c r="BJ235" s="291"/>
      <c r="BK235" s="291"/>
      <c r="BL235" s="291"/>
      <c r="BM235" s="291"/>
      <c r="BN235" s="291"/>
      <c r="BO235" s="291"/>
      <c r="BP235" s="291"/>
      <c r="BQ235" s="291"/>
      <c r="BR235" s="291"/>
      <c r="BS235" s="291"/>
      <c r="BT235" s="291"/>
      <c r="BU235" s="291"/>
      <c r="BV235" s="291"/>
      <c r="BW235" s="291"/>
      <c r="BX235" s="291"/>
      <c r="BY235" s="291"/>
      <c r="BZ235" s="291"/>
      <c r="CA235" s="291"/>
      <c r="CB235" s="291"/>
      <c r="CC235" s="291"/>
      <c r="CD235" s="291"/>
      <c r="CE235" s="291"/>
      <c r="CF235" s="291"/>
      <c r="CG235" s="291"/>
      <c r="CH235" s="291"/>
      <c r="CI235" s="291"/>
      <c r="CJ235" s="291"/>
      <c r="CK235" s="291"/>
      <c r="CL235" s="291"/>
      <c r="CM235" s="291"/>
      <c r="CN235" s="291"/>
      <c r="CO235" s="291"/>
      <c r="CP235" s="291"/>
      <c r="CQ235" s="291"/>
      <c r="CR235" s="291"/>
      <c r="CS235" s="291"/>
      <c r="CT235" s="291"/>
      <c r="CU235" s="291"/>
      <c r="CV235" s="291"/>
      <c r="CW235" s="291"/>
      <c r="CX235" s="291"/>
      <c r="CY235" s="291"/>
      <c r="CZ235" s="291"/>
      <c r="DA235" s="291"/>
      <c r="DB235" s="291"/>
      <c r="DC235" s="291"/>
      <c r="DD235" s="291"/>
      <c r="DE235" s="291"/>
      <c r="DF235" s="291"/>
      <c r="DG235" s="291"/>
      <c r="DH235" s="291"/>
      <c r="DI235" s="291"/>
      <c r="DJ235" s="291"/>
      <c r="DK235" s="291"/>
      <c r="DL235" s="291"/>
      <c r="DM235" s="291"/>
      <c r="DN235" s="291"/>
      <c r="DO235" s="291"/>
      <c r="DP235" s="291"/>
      <c r="DQ235" s="291"/>
      <c r="DR235" s="291"/>
      <c r="DS235" s="291"/>
      <c r="DT235" s="291"/>
      <c r="DU235" s="291"/>
      <c r="DV235" s="291"/>
      <c r="DW235" s="291"/>
      <c r="DX235" s="291"/>
      <c r="DY235" s="291"/>
      <c r="DZ235" s="291"/>
      <c r="EA235" s="291"/>
      <c r="EB235" s="291"/>
      <c r="EC235" s="291"/>
      <c r="ED235" s="291"/>
      <c r="EE235" s="291"/>
      <c r="EF235" s="291"/>
      <c r="EG235" s="291"/>
      <c r="EH235" s="291"/>
      <c r="EI235" s="291"/>
      <c r="EJ235" s="291"/>
      <c r="EK235" s="291"/>
      <c r="EL235" s="291"/>
      <c r="EM235" s="291"/>
      <c r="EN235" s="291"/>
      <c r="EO235" s="291"/>
      <c r="EP235" s="291"/>
      <c r="EQ235" s="291"/>
      <c r="ER235" s="291"/>
      <c r="ES235" s="291"/>
      <c r="ET235" s="291"/>
      <c r="EU235" s="291"/>
      <c r="EV235" s="291"/>
      <c r="EW235" s="291"/>
      <c r="EX235" s="291"/>
      <c r="EY235" s="291"/>
      <c r="EZ235" s="291"/>
      <c r="FA235" s="291"/>
      <c r="FB235" s="291"/>
      <c r="FC235" s="291"/>
      <c r="FD235" s="291"/>
      <c r="FE235" s="291"/>
      <c r="FF235" s="291"/>
      <c r="FG235" s="291"/>
      <c r="FH235" s="291"/>
      <c r="FI235" s="291"/>
      <c r="FJ235" s="291"/>
      <c r="FK235" s="291"/>
      <c r="FL235" s="291"/>
      <c r="FM235" s="291"/>
      <c r="FN235" s="291"/>
      <c r="FO235" s="291"/>
      <c r="FP235" s="291"/>
      <c r="FQ235" s="291"/>
      <c r="FR235" s="291"/>
      <c r="FS235" s="291"/>
      <c r="FT235" s="291"/>
      <c r="FU235" s="291"/>
      <c r="FV235" s="291"/>
      <c r="FW235" s="291"/>
      <c r="FX235" s="291"/>
      <c r="FY235" s="291"/>
      <c r="FZ235" s="291"/>
      <c r="GA235" s="291"/>
      <c r="GB235" s="291"/>
      <c r="GC235" s="291"/>
      <c r="GD235" s="291"/>
      <c r="GE235" s="291"/>
      <c r="GF235" s="291"/>
      <c r="GG235" s="291"/>
      <c r="GH235" s="291"/>
      <c r="GI235" s="291"/>
      <c r="GJ235" s="291"/>
      <c r="GK235" s="291"/>
      <c r="GL235" s="291"/>
      <c r="GM235" s="291"/>
      <c r="GN235" s="291"/>
      <c r="GO235" s="291"/>
      <c r="GP235" s="291"/>
      <c r="GQ235" s="291"/>
      <c r="GR235" s="291"/>
      <c r="GS235" s="291"/>
      <c r="GT235" s="291"/>
      <c r="GU235" s="291"/>
      <c r="GV235" s="291"/>
      <c r="GW235" s="291"/>
      <c r="GX235" s="291"/>
      <c r="GY235" s="291"/>
      <c r="GZ235" s="291"/>
      <c r="HA235" s="291"/>
      <c r="HB235" s="291"/>
      <c r="HC235" s="291"/>
      <c r="HD235" s="291"/>
      <c r="HE235" s="291"/>
      <c r="HF235" s="291"/>
      <c r="HG235" s="291"/>
      <c r="HH235" s="291"/>
      <c r="HI235" s="291"/>
      <c r="HJ235" s="291"/>
      <c r="HK235" s="291"/>
      <c r="HL235" s="291"/>
      <c r="HM235" s="291"/>
      <c r="HN235" s="291"/>
      <c r="HO235" s="291"/>
      <c r="HP235" s="291"/>
      <c r="HQ235" s="291"/>
      <c r="HR235" s="291"/>
      <c r="HS235" s="291"/>
      <c r="HT235" s="291"/>
      <c r="HU235" s="291"/>
      <c r="HV235" s="291"/>
      <c r="HW235" s="291"/>
      <c r="HX235" s="291"/>
      <c r="HY235" s="291"/>
      <c r="HZ235" s="291"/>
      <c r="IA235" s="291"/>
      <c r="IB235" s="291"/>
      <c r="IC235" s="291"/>
      <c r="ID235" s="291"/>
      <c r="IE235" s="291"/>
      <c r="IF235" s="291"/>
      <c r="IG235" s="291"/>
      <c r="IH235" s="291"/>
      <c r="II235" s="291"/>
      <c r="IJ235" s="291"/>
      <c r="IK235" s="291"/>
      <c r="IL235" s="291"/>
      <c r="IM235" s="291"/>
      <c r="IN235" s="291"/>
      <c r="IO235" s="291"/>
      <c r="IP235" s="291"/>
      <c r="IQ235" s="291"/>
      <c r="IR235" s="291"/>
      <c r="IS235" s="291"/>
      <c r="IT235" s="291"/>
      <c r="IU235" s="291"/>
      <c r="IV235" s="291"/>
      <c r="IW235" s="291"/>
      <c r="IX235" s="291"/>
      <c r="IY235" s="291"/>
      <c r="IZ235" s="291"/>
      <c r="JA235" s="291"/>
      <c r="JB235" s="291"/>
      <c r="JC235" s="291"/>
      <c r="JD235" s="291"/>
      <c r="JE235" s="291"/>
      <c r="JF235" s="291"/>
      <c r="JG235" s="291"/>
      <c r="JH235" s="291"/>
      <c r="JI235" s="291"/>
      <c r="JJ235" s="291"/>
      <c r="JK235" s="291"/>
      <c r="JL235" s="291"/>
      <c r="JM235" s="291"/>
      <c r="JN235" s="291"/>
      <c r="JO235" s="291"/>
      <c r="JP235" s="291"/>
      <c r="JQ235" s="291"/>
      <c r="JR235" s="291"/>
      <c r="JS235" s="291"/>
      <c r="JT235" s="291"/>
      <c r="JU235" s="291"/>
      <c r="JV235" s="291"/>
      <c r="JW235" s="291"/>
      <c r="JX235" s="291"/>
      <c r="JY235" s="291"/>
      <c r="JZ235" s="291"/>
      <c r="KA235" s="291"/>
      <c r="KB235" s="291"/>
      <c r="KC235" s="291"/>
      <c r="KD235" s="291"/>
      <c r="KE235" s="291"/>
      <c r="KF235" s="291"/>
      <c r="KG235" s="291"/>
      <c r="KH235" s="291"/>
      <c r="KI235" s="291"/>
      <c r="KJ235" s="291"/>
      <c r="KK235" s="291"/>
      <c r="KL235" s="291"/>
      <c r="KM235" s="291"/>
      <c r="KN235" s="291"/>
      <c r="KO235" s="291"/>
      <c r="KP235" s="291"/>
      <c r="KQ235" s="291"/>
      <c r="KR235" s="291"/>
      <c r="KS235" s="291"/>
      <c r="KT235" s="291"/>
      <c r="KU235" s="291"/>
      <c r="KV235" s="291"/>
      <c r="KW235" s="291"/>
      <c r="KX235" s="291"/>
      <c r="KY235" s="291"/>
      <c r="KZ235" s="291"/>
      <c r="LA235" s="291"/>
      <c r="LB235" s="291"/>
      <c r="LC235" s="291"/>
      <c r="LD235" s="291"/>
      <c r="LE235" s="291"/>
      <c r="LF235" s="291"/>
      <c r="LG235" s="291"/>
      <c r="LH235" s="291"/>
      <c r="LI235" s="291"/>
      <c r="LJ235" s="291"/>
      <c r="LK235" s="291"/>
      <c r="LL235" s="291"/>
      <c r="LM235" s="291"/>
      <c r="LN235" s="291"/>
      <c r="LO235" s="291"/>
      <c r="LP235" s="291"/>
      <c r="LQ235" s="291"/>
      <c r="LR235" s="291"/>
      <c r="LS235" s="291"/>
      <c r="LT235" s="291"/>
      <c r="LU235" s="291"/>
      <c r="LV235" s="291"/>
      <c r="LW235" s="291"/>
      <c r="LX235" s="291"/>
      <c r="LY235" s="291"/>
      <c r="LZ235" s="291"/>
      <c r="MA235" s="291"/>
      <c r="MB235" s="291"/>
      <c r="MC235" s="291"/>
      <c r="MD235" s="291"/>
      <c r="ME235" s="291"/>
      <c r="MF235" s="291"/>
      <c r="MG235" s="291"/>
      <c r="MH235" s="291"/>
      <c r="MI235" s="291"/>
      <c r="MJ235" s="291"/>
      <c r="MK235" s="291"/>
      <c r="ML235" s="291"/>
      <c r="MM235" s="291"/>
      <c r="MN235" s="291"/>
      <c r="MO235" s="291"/>
      <c r="MP235" s="291"/>
      <c r="MQ235" s="291"/>
      <c r="MR235" s="291"/>
      <c r="MS235" s="291"/>
      <c r="MT235" s="291"/>
      <c r="MU235" s="291"/>
      <c r="MV235" s="291"/>
      <c r="MW235" s="291"/>
      <c r="MX235" s="291"/>
      <c r="MY235" s="291"/>
      <c r="MZ235" s="291"/>
      <c r="NA235" s="291"/>
      <c r="NB235" s="291"/>
      <c r="NC235" s="291"/>
      <c r="ND235" s="291"/>
      <c r="NE235" s="291"/>
      <c r="NF235" s="291"/>
      <c r="NG235" s="291"/>
      <c r="NH235" s="291"/>
      <c r="NI235" s="291"/>
      <c r="NJ235" s="291"/>
      <c r="NK235" s="291"/>
      <c r="NL235" s="291"/>
      <c r="NM235" s="291"/>
      <c r="NN235" s="291"/>
      <c r="NO235" s="291"/>
      <c r="NP235" s="291"/>
      <c r="NQ235" s="291"/>
      <c r="NR235" s="291"/>
      <c r="NS235" s="291"/>
      <c r="NT235" s="291"/>
      <c r="NU235" s="291"/>
      <c r="NV235" s="291"/>
      <c r="NW235" s="291"/>
      <c r="NX235" s="291"/>
      <c r="NY235" s="291"/>
      <c r="NZ235" s="291"/>
      <c r="OA235" s="291"/>
      <c r="OB235" s="291"/>
      <c r="OC235" s="291"/>
      <c r="OD235" s="291"/>
      <c r="OE235" s="291"/>
      <c r="OF235" s="291"/>
      <c r="OG235" s="291"/>
      <c r="OH235" s="291"/>
      <c r="OI235" s="291"/>
      <c r="OJ235" s="291"/>
      <c r="OK235" s="291"/>
      <c r="OL235" s="291"/>
      <c r="OM235" s="291"/>
      <c r="ON235" s="291"/>
      <c r="OO235" s="291"/>
      <c r="OP235" s="291"/>
      <c r="OQ235" s="291"/>
      <c r="OR235" s="291"/>
      <c r="OS235" s="291"/>
      <c r="OT235" s="291"/>
      <c r="OU235" s="291"/>
      <c r="OV235" s="291"/>
      <c r="OW235" s="291"/>
    </row>
    <row r="236" spans="1:413" s="257" customFormat="1" ht="22.5" hidden="1" x14ac:dyDescent="0.2">
      <c r="A236" s="291"/>
      <c r="B236" s="524">
        <f t="shared" si="15"/>
        <v>220</v>
      </c>
      <c r="C236" s="510" t="s">
        <v>38</v>
      </c>
      <c r="D236" s="511">
        <v>40016571</v>
      </c>
      <c r="E236" s="511"/>
      <c r="F236" s="512" t="s">
        <v>1395</v>
      </c>
      <c r="G236" s="513" t="s">
        <v>45</v>
      </c>
      <c r="H236" s="514" t="s">
        <v>1094</v>
      </c>
      <c r="I236" s="515" t="s">
        <v>1389</v>
      </c>
      <c r="J236" s="346" t="s">
        <v>43</v>
      </c>
      <c r="K236" s="526">
        <v>391146</v>
      </c>
      <c r="L236" s="527"/>
      <c r="M236" s="528">
        <v>33006</v>
      </c>
      <c r="N236" s="520">
        <v>358140</v>
      </c>
      <c r="O236" s="520">
        <v>0</v>
      </c>
      <c r="P236" s="520">
        <v>0</v>
      </c>
      <c r="Q236" s="520">
        <v>0</v>
      </c>
      <c r="R236" s="520">
        <v>0</v>
      </c>
      <c r="S236" s="520">
        <v>0</v>
      </c>
      <c r="T236" s="18"/>
      <c r="U236" s="18"/>
      <c r="V236" s="18"/>
      <c r="W236" s="18"/>
      <c r="X236" s="18"/>
      <c r="Y236" s="18"/>
      <c r="Z236" s="18">
        <f t="shared" si="12"/>
        <v>358140</v>
      </c>
      <c r="AA236" s="309">
        <v>358140</v>
      </c>
      <c r="AB236" s="19">
        <v>2</v>
      </c>
      <c r="AC236" s="521">
        <v>44221</v>
      </c>
      <c r="AD236" s="316">
        <v>44225</v>
      </c>
      <c r="AE236" s="309"/>
      <c r="AF236" s="314"/>
      <c r="AG236" s="315"/>
      <c r="AH236" s="316"/>
      <c r="AI236" s="309"/>
      <c r="AJ236" s="338"/>
      <c r="AK236" s="315"/>
      <c r="AL236" s="316"/>
      <c r="AM236" s="309"/>
      <c r="AN236" s="338"/>
      <c r="AO236" s="21"/>
      <c r="AP236" s="25"/>
      <c r="AQ236" s="309"/>
      <c r="AR236" s="19"/>
      <c r="AS236" s="21"/>
      <c r="AT236" s="25"/>
      <c r="AU236" s="522">
        <f t="shared" si="13"/>
        <v>358140</v>
      </c>
      <c r="AV236" s="311">
        <f t="shared" si="14"/>
        <v>0</v>
      </c>
      <c r="AW236" s="305"/>
      <c r="AX236" s="291"/>
      <c r="AY236" s="291"/>
      <c r="AZ236" s="291"/>
      <c r="BA236" s="291"/>
      <c r="BB236" s="291"/>
      <c r="BC236" s="291"/>
      <c r="BD236" s="291"/>
      <c r="BE236" s="291"/>
      <c r="BF236" s="291"/>
      <c r="BG236" s="291"/>
      <c r="BH236" s="291"/>
      <c r="BI236" s="291"/>
      <c r="BJ236" s="291"/>
      <c r="BK236" s="291"/>
      <c r="BL236" s="291"/>
      <c r="BM236" s="291"/>
      <c r="BN236" s="291"/>
      <c r="BO236" s="291"/>
      <c r="BP236" s="291"/>
      <c r="BQ236" s="291"/>
      <c r="BR236" s="291"/>
      <c r="BS236" s="291"/>
      <c r="BT236" s="291"/>
      <c r="BU236" s="291"/>
      <c r="BV236" s="291"/>
      <c r="BW236" s="291"/>
      <c r="BX236" s="291"/>
      <c r="BY236" s="291"/>
      <c r="BZ236" s="291"/>
      <c r="CA236" s="291"/>
      <c r="CB236" s="291"/>
      <c r="CC236" s="291"/>
      <c r="CD236" s="291"/>
      <c r="CE236" s="291"/>
      <c r="CF236" s="291"/>
      <c r="CG236" s="291"/>
      <c r="CH236" s="291"/>
      <c r="CI236" s="291"/>
      <c r="CJ236" s="291"/>
      <c r="CK236" s="291"/>
      <c r="CL236" s="291"/>
      <c r="CM236" s="291"/>
      <c r="CN236" s="291"/>
      <c r="CO236" s="291"/>
      <c r="CP236" s="291"/>
      <c r="CQ236" s="291"/>
      <c r="CR236" s="291"/>
      <c r="CS236" s="291"/>
      <c r="CT236" s="291"/>
      <c r="CU236" s="291"/>
      <c r="CV236" s="291"/>
      <c r="CW236" s="291"/>
      <c r="CX236" s="291"/>
      <c r="CY236" s="291"/>
      <c r="CZ236" s="291"/>
      <c r="DA236" s="291"/>
      <c r="DB236" s="291"/>
      <c r="DC236" s="291"/>
      <c r="DD236" s="291"/>
      <c r="DE236" s="291"/>
      <c r="DF236" s="291"/>
      <c r="DG236" s="291"/>
      <c r="DH236" s="291"/>
      <c r="DI236" s="291"/>
      <c r="DJ236" s="291"/>
      <c r="DK236" s="291"/>
      <c r="DL236" s="291"/>
      <c r="DM236" s="291"/>
      <c r="DN236" s="291"/>
      <c r="DO236" s="291"/>
      <c r="DP236" s="291"/>
      <c r="DQ236" s="291"/>
      <c r="DR236" s="291"/>
      <c r="DS236" s="291"/>
      <c r="DT236" s="291"/>
      <c r="DU236" s="291"/>
      <c r="DV236" s="291"/>
      <c r="DW236" s="291"/>
      <c r="DX236" s="291"/>
      <c r="DY236" s="291"/>
      <c r="DZ236" s="291"/>
      <c r="EA236" s="291"/>
      <c r="EB236" s="291"/>
      <c r="EC236" s="291"/>
      <c r="ED236" s="291"/>
      <c r="EE236" s="291"/>
      <c r="EF236" s="291"/>
      <c r="EG236" s="291"/>
      <c r="EH236" s="291"/>
      <c r="EI236" s="291"/>
      <c r="EJ236" s="291"/>
      <c r="EK236" s="291"/>
      <c r="EL236" s="291"/>
      <c r="EM236" s="291"/>
      <c r="EN236" s="291"/>
      <c r="EO236" s="291"/>
      <c r="EP236" s="291"/>
      <c r="EQ236" s="291"/>
      <c r="ER236" s="291"/>
      <c r="ES236" s="291"/>
      <c r="ET236" s="291"/>
      <c r="EU236" s="291"/>
      <c r="EV236" s="291"/>
      <c r="EW236" s="291"/>
      <c r="EX236" s="291"/>
      <c r="EY236" s="291"/>
      <c r="EZ236" s="291"/>
      <c r="FA236" s="291"/>
      <c r="FB236" s="291"/>
      <c r="FC236" s="291"/>
      <c r="FD236" s="291"/>
      <c r="FE236" s="291"/>
      <c r="FF236" s="291"/>
      <c r="FG236" s="291"/>
      <c r="FH236" s="291"/>
      <c r="FI236" s="291"/>
      <c r="FJ236" s="291"/>
      <c r="FK236" s="291"/>
      <c r="FL236" s="291"/>
      <c r="FM236" s="291"/>
      <c r="FN236" s="291"/>
      <c r="FO236" s="291"/>
      <c r="FP236" s="291"/>
      <c r="FQ236" s="291"/>
      <c r="FR236" s="291"/>
      <c r="FS236" s="291"/>
      <c r="FT236" s="291"/>
      <c r="FU236" s="291"/>
      <c r="FV236" s="291"/>
      <c r="FW236" s="291"/>
      <c r="FX236" s="291"/>
      <c r="FY236" s="291"/>
      <c r="FZ236" s="291"/>
      <c r="GA236" s="291"/>
      <c r="GB236" s="291"/>
      <c r="GC236" s="291"/>
      <c r="GD236" s="291"/>
      <c r="GE236" s="291"/>
      <c r="GF236" s="291"/>
      <c r="GG236" s="291"/>
      <c r="GH236" s="291"/>
      <c r="GI236" s="291"/>
      <c r="GJ236" s="291"/>
      <c r="GK236" s="291"/>
      <c r="GL236" s="291"/>
      <c r="GM236" s="291"/>
      <c r="GN236" s="291"/>
      <c r="GO236" s="291"/>
      <c r="GP236" s="291"/>
      <c r="GQ236" s="291"/>
      <c r="GR236" s="291"/>
      <c r="GS236" s="291"/>
      <c r="GT236" s="291"/>
      <c r="GU236" s="291"/>
      <c r="GV236" s="291"/>
      <c r="GW236" s="291"/>
      <c r="GX236" s="291"/>
      <c r="GY236" s="291"/>
      <c r="GZ236" s="291"/>
      <c r="HA236" s="291"/>
      <c r="HB236" s="291"/>
      <c r="HC236" s="291"/>
      <c r="HD236" s="291"/>
      <c r="HE236" s="291"/>
      <c r="HF236" s="291"/>
      <c r="HG236" s="291"/>
      <c r="HH236" s="291"/>
      <c r="HI236" s="291"/>
      <c r="HJ236" s="291"/>
      <c r="HK236" s="291"/>
      <c r="HL236" s="291"/>
      <c r="HM236" s="291"/>
      <c r="HN236" s="291"/>
      <c r="HO236" s="291"/>
      <c r="HP236" s="291"/>
      <c r="HQ236" s="291"/>
      <c r="HR236" s="291"/>
      <c r="HS236" s="291"/>
      <c r="HT236" s="291"/>
      <c r="HU236" s="291"/>
      <c r="HV236" s="291"/>
      <c r="HW236" s="291"/>
      <c r="HX236" s="291"/>
      <c r="HY236" s="291"/>
      <c r="HZ236" s="291"/>
      <c r="IA236" s="291"/>
      <c r="IB236" s="291"/>
      <c r="IC236" s="291"/>
      <c r="ID236" s="291"/>
      <c r="IE236" s="291"/>
      <c r="IF236" s="291"/>
      <c r="IG236" s="291"/>
      <c r="IH236" s="291"/>
      <c r="II236" s="291"/>
      <c r="IJ236" s="291"/>
      <c r="IK236" s="291"/>
      <c r="IL236" s="291"/>
      <c r="IM236" s="291"/>
      <c r="IN236" s="291"/>
      <c r="IO236" s="291"/>
      <c r="IP236" s="291"/>
      <c r="IQ236" s="291"/>
      <c r="IR236" s="291"/>
      <c r="IS236" s="291"/>
      <c r="IT236" s="291"/>
      <c r="IU236" s="291"/>
      <c r="IV236" s="291"/>
      <c r="IW236" s="291"/>
      <c r="IX236" s="291"/>
      <c r="IY236" s="291"/>
      <c r="IZ236" s="291"/>
      <c r="JA236" s="291"/>
      <c r="JB236" s="291"/>
      <c r="JC236" s="291"/>
      <c r="JD236" s="291"/>
      <c r="JE236" s="291"/>
      <c r="JF236" s="291"/>
      <c r="JG236" s="291"/>
      <c r="JH236" s="291"/>
      <c r="JI236" s="291"/>
      <c r="JJ236" s="291"/>
      <c r="JK236" s="291"/>
      <c r="JL236" s="291"/>
      <c r="JM236" s="291"/>
      <c r="JN236" s="291"/>
      <c r="JO236" s="291"/>
      <c r="JP236" s="291"/>
      <c r="JQ236" s="291"/>
      <c r="JR236" s="291"/>
      <c r="JS236" s="291"/>
      <c r="JT236" s="291"/>
      <c r="JU236" s="291"/>
      <c r="JV236" s="291"/>
      <c r="JW236" s="291"/>
      <c r="JX236" s="291"/>
      <c r="JY236" s="291"/>
      <c r="JZ236" s="291"/>
      <c r="KA236" s="291"/>
      <c r="KB236" s="291"/>
      <c r="KC236" s="291"/>
      <c r="KD236" s="291"/>
      <c r="KE236" s="291"/>
      <c r="KF236" s="291"/>
      <c r="KG236" s="291"/>
      <c r="KH236" s="291"/>
      <c r="KI236" s="291"/>
      <c r="KJ236" s="291"/>
      <c r="KK236" s="291"/>
      <c r="KL236" s="291"/>
      <c r="KM236" s="291"/>
      <c r="KN236" s="291"/>
      <c r="KO236" s="291"/>
      <c r="KP236" s="291"/>
      <c r="KQ236" s="291"/>
      <c r="KR236" s="291"/>
      <c r="KS236" s="291"/>
      <c r="KT236" s="291"/>
      <c r="KU236" s="291"/>
      <c r="KV236" s="291"/>
      <c r="KW236" s="291"/>
      <c r="KX236" s="291"/>
      <c r="KY236" s="291"/>
      <c r="KZ236" s="291"/>
      <c r="LA236" s="291"/>
      <c r="LB236" s="291"/>
      <c r="LC236" s="291"/>
      <c r="LD236" s="291"/>
      <c r="LE236" s="291"/>
      <c r="LF236" s="291"/>
      <c r="LG236" s="291"/>
      <c r="LH236" s="291"/>
      <c r="LI236" s="291"/>
      <c r="LJ236" s="291"/>
      <c r="LK236" s="291"/>
      <c r="LL236" s="291"/>
      <c r="LM236" s="291"/>
      <c r="LN236" s="291"/>
      <c r="LO236" s="291"/>
      <c r="LP236" s="291"/>
      <c r="LQ236" s="291"/>
      <c r="LR236" s="291"/>
      <c r="LS236" s="291"/>
      <c r="LT236" s="291"/>
      <c r="LU236" s="291"/>
      <c r="LV236" s="291"/>
      <c r="LW236" s="291"/>
      <c r="LX236" s="291"/>
      <c r="LY236" s="291"/>
      <c r="LZ236" s="291"/>
      <c r="MA236" s="291"/>
      <c r="MB236" s="291"/>
      <c r="MC236" s="291"/>
      <c r="MD236" s="291"/>
      <c r="ME236" s="291"/>
      <c r="MF236" s="291"/>
      <c r="MG236" s="291"/>
      <c r="MH236" s="291"/>
      <c r="MI236" s="291"/>
      <c r="MJ236" s="291"/>
      <c r="MK236" s="291"/>
      <c r="ML236" s="291"/>
      <c r="MM236" s="291"/>
      <c r="MN236" s="291"/>
      <c r="MO236" s="291"/>
      <c r="MP236" s="291"/>
      <c r="MQ236" s="291"/>
      <c r="MR236" s="291"/>
      <c r="MS236" s="291"/>
      <c r="MT236" s="291"/>
      <c r="MU236" s="291"/>
      <c r="MV236" s="291"/>
      <c r="MW236" s="291"/>
      <c r="MX236" s="291"/>
      <c r="MY236" s="291"/>
      <c r="MZ236" s="291"/>
      <c r="NA236" s="291"/>
      <c r="NB236" s="291"/>
      <c r="NC236" s="291"/>
      <c r="ND236" s="291"/>
      <c r="NE236" s="291"/>
      <c r="NF236" s="291"/>
      <c r="NG236" s="291"/>
      <c r="NH236" s="291"/>
      <c r="NI236" s="291"/>
      <c r="NJ236" s="291"/>
      <c r="NK236" s="291"/>
      <c r="NL236" s="291"/>
      <c r="NM236" s="291"/>
      <c r="NN236" s="291"/>
      <c r="NO236" s="291"/>
      <c r="NP236" s="291"/>
      <c r="NQ236" s="291"/>
      <c r="NR236" s="291"/>
      <c r="NS236" s="291"/>
      <c r="NT236" s="291"/>
      <c r="NU236" s="291"/>
      <c r="NV236" s="291"/>
      <c r="NW236" s="291"/>
      <c r="NX236" s="291"/>
      <c r="NY236" s="291"/>
      <c r="NZ236" s="291"/>
      <c r="OA236" s="291"/>
      <c r="OB236" s="291"/>
      <c r="OC236" s="291"/>
      <c r="OD236" s="291"/>
      <c r="OE236" s="291"/>
      <c r="OF236" s="291"/>
      <c r="OG236" s="291"/>
      <c r="OH236" s="291"/>
      <c r="OI236" s="291"/>
      <c r="OJ236" s="291"/>
      <c r="OK236" s="291"/>
      <c r="OL236" s="291"/>
      <c r="OM236" s="291"/>
      <c r="ON236" s="291"/>
      <c r="OO236" s="291"/>
      <c r="OP236" s="291"/>
      <c r="OQ236" s="291"/>
      <c r="OR236" s="291"/>
      <c r="OS236" s="291"/>
      <c r="OT236" s="291"/>
      <c r="OU236" s="291"/>
      <c r="OV236" s="291"/>
      <c r="OW236" s="291"/>
    </row>
    <row r="237" spans="1:413" s="257" customFormat="1" hidden="1" x14ac:dyDescent="0.2">
      <c r="A237" s="291"/>
      <c r="B237" s="524">
        <f t="shared" si="15"/>
        <v>221</v>
      </c>
      <c r="C237" s="510" t="s">
        <v>38</v>
      </c>
      <c r="D237" s="511">
        <v>40016789</v>
      </c>
      <c r="E237" s="511"/>
      <c r="F237" s="512" t="s">
        <v>1396</v>
      </c>
      <c r="G237" s="513" t="s">
        <v>45</v>
      </c>
      <c r="H237" s="514" t="s">
        <v>1094</v>
      </c>
      <c r="I237" s="515" t="s">
        <v>1142</v>
      </c>
      <c r="J237" s="346" t="s">
        <v>43</v>
      </c>
      <c r="K237" s="526">
        <v>124611</v>
      </c>
      <c r="L237" s="527"/>
      <c r="M237" s="528">
        <v>17677</v>
      </c>
      <c r="N237" s="520">
        <v>106934</v>
      </c>
      <c r="O237" s="520">
        <v>0</v>
      </c>
      <c r="P237" s="520">
        <v>0</v>
      </c>
      <c r="Q237" s="520">
        <v>0</v>
      </c>
      <c r="R237" s="520">
        <v>0</v>
      </c>
      <c r="S237" s="520">
        <v>0</v>
      </c>
      <c r="T237" s="18"/>
      <c r="U237" s="18"/>
      <c r="V237" s="18"/>
      <c r="W237" s="18"/>
      <c r="X237" s="18"/>
      <c r="Y237" s="18"/>
      <c r="Z237" s="18">
        <f t="shared" si="12"/>
        <v>106934</v>
      </c>
      <c r="AA237" s="309">
        <v>106934</v>
      </c>
      <c r="AB237" s="19">
        <v>2</v>
      </c>
      <c r="AC237" s="521">
        <v>44221</v>
      </c>
      <c r="AD237" s="316">
        <v>44225</v>
      </c>
      <c r="AE237" s="309"/>
      <c r="AF237" s="314"/>
      <c r="AG237" s="315"/>
      <c r="AH237" s="316"/>
      <c r="AI237" s="309"/>
      <c r="AJ237" s="338"/>
      <c r="AK237" s="315"/>
      <c r="AL237" s="316"/>
      <c r="AM237" s="309"/>
      <c r="AN237" s="338"/>
      <c r="AO237" s="21"/>
      <c r="AP237" s="25"/>
      <c r="AQ237" s="309"/>
      <c r="AR237" s="19"/>
      <c r="AS237" s="21"/>
      <c r="AT237" s="25"/>
      <c r="AU237" s="522">
        <f t="shared" si="13"/>
        <v>106934</v>
      </c>
      <c r="AV237" s="311">
        <f t="shared" si="14"/>
        <v>0</v>
      </c>
      <c r="AW237" s="305"/>
      <c r="AX237" s="291"/>
      <c r="AY237" s="291"/>
      <c r="AZ237" s="291"/>
      <c r="BA237" s="291"/>
      <c r="BB237" s="291"/>
      <c r="BC237" s="291"/>
      <c r="BD237" s="291"/>
      <c r="BE237" s="291"/>
      <c r="BF237" s="291"/>
      <c r="BG237" s="291"/>
      <c r="BH237" s="291"/>
      <c r="BI237" s="291"/>
      <c r="BJ237" s="291"/>
      <c r="BK237" s="291"/>
      <c r="BL237" s="291"/>
      <c r="BM237" s="291"/>
      <c r="BN237" s="291"/>
      <c r="BO237" s="291"/>
      <c r="BP237" s="291"/>
      <c r="BQ237" s="291"/>
      <c r="BR237" s="291"/>
      <c r="BS237" s="291"/>
      <c r="BT237" s="291"/>
      <c r="BU237" s="291"/>
      <c r="BV237" s="291"/>
      <c r="BW237" s="291"/>
      <c r="BX237" s="291"/>
      <c r="BY237" s="291"/>
      <c r="BZ237" s="291"/>
      <c r="CA237" s="291"/>
      <c r="CB237" s="291"/>
      <c r="CC237" s="291"/>
      <c r="CD237" s="291"/>
      <c r="CE237" s="291"/>
      <c r="CF237" s="291"/>
      <c r="CG237" s="291"/>
      <c r="CH237" s="291"/>
      <c r="CI237" s="291"/>
      <c r="CJ237" s="291"/>
      <c r="CK237" s="291"/>
      <c r="CL237" s="291"/>
      <c r="CM237" s="291"/>
      <c r="CN237" s="291"/>
      <c r="CO237" s="291"/>
      <c r="CP237" s="291"/>
      <c r="CQ237" s="291"/>
      <c r="CR237" s="291"/>
      <c r="CS237" s="291"/>
      <c r="CT237" s="291"/>
      <c r="CU237" s="291"/>
      <c r="CV237" s="291"/>
      <c r="CW237" s="291"/>
      <c r="CX237" s="291"/>
      <c r="CY237" s="291"/>
      <c r="CZ237" s="291"/>
      <c r="DA237" s="291"/>
      <c r="DB237" s="291"/>
      <c r="DC237" s="291"/>
      <c r="DD237" s="291"/>
      <c r="DE237" s="291"/>
      <c r="DF237" s="291"/>
      <c r="DG237" s="291"/>
      <c r="DH237" s="291"/>
      <c r="DI237" s="291"/>
      <c r="DJ237" s="291"/>
      <c r="DK237" s="291"/>
      <c r="DL237" s="291"/>
      <c r="DM237" s="291"/>
      <c r="DN237" s="291"/>
      <c r="DO237" s="291"/>
      <c r="DP237" s="291"/>
      <c r="DQ237" s="291"/>
      <c r="DR237" s="291"/>
      <c r="DS237" s="291"/>
      <c r="DT237" s="291"/>
      <c r="DU237" s="291"/>
      <c r="DV237" s="291"/>
      <c r="DW237" s="291"/>
      <c r="DX237" s="291"/>
      <c r="DY237" s="291"/>
      <c r="DZ237" s="291"/>
      <c r="EA237" s="291"/>
      <c r="EB237" s="291"/>
      <c r="EC237" s="291"/>
      <c r="ED237" s="291"/>
      <c r="EE237" s="291"/>
      <c r="EF237" s="291"/>
      <c r="EG237" s="291"/>
      <c r="EH237" s="291"/>
      <c r="EI237" s="291"/>
      <c r="EJ237" s="291"/>
      <c r="EK237" s="291"/>
      <c r="EL237" s="291"/>
      <c r="EM237" s="291"/>
      <c r="EN237" s="291"/>
      <c r="EO237" s="291"/>
      <c r="EP237" s="291"/>
      <c r="EQ237" s="291"/>
      <c r="ER237" s="291"/>
      <c r="ES237" s="291"/>
      <c r="ET237" s="291"/>
      <c r="EU237" s="291"/>
      <c r="EV237" s="291"/>
      <c r="EW237" s="291"/>
      <c r="EX237" s="291"/>
      <c r="EY237" s="291"/>
      <c r="EZ237" s="291"/>
      <c r="FA237" s="291"/>
      <c r="FB237" s="291"/>
      <c r="FC237" s="291"/>
      <c r="FD237" s="291"/>
      <c r="FE237" s="291"/>
      <c r="FF237" s="291"/>
      <c r="FG237" s="291"/>
      <c r="FH237" s="291"/>
      <c r="FI237" s="291"/>
      <c r="FJ237" s="291"/>
      <c r="FK237" s="291"/>
      <c r="FL237" s="291"/>
      <c r="FM237" s="291"/>
      <c r="FN237" s="291"/>
      <c r="FO237" s="291"/>
      <c r="FP237" s="291"/>
      <c r="FQ237" s="291"/>
      <c r="FR237" s="291"/>
      <c r="FS237" s="291"/>
      <c r="FT237" s="291"/>
      <c r="FU237" s="291"/>
      <c r="FV237" s="291"/>
      <c r="FW237" s="291"/>
      <c r="FX237" s="291"/>
      <c r="FY237" s="291"/>
      <c r="FZ237" s="291"/>
      <c r="GA237" s="291"/>
      <c r="GB237" s="291"/>
      <c r="GC237" s="291"/>
      <c r="GD237" s="291"/>
      <c r="GE237" s="291"/>
      <c r="GF237" s="291"/>
      <c r="GG237" s="291"/>
      <c r="GH237" s="291"/>
      <c r="GI237" s="291"/>
      <c r="GJ237" s="291"/>
      <c r="GK237" s="291"/>
      <c r="GL237" s="291"/>
      <c r="GM237" s="291"/>
      <c r="GN237" s="291"/>
      <c r="GO237" s="291"/>
      <c r="GP237" s="291"/>
      <c r="GQ237" s="291"/>
      <c r="GR237" s="291"/>
      <c r="GS237" s="291"/>
      <c r="GT237" s="291"/>
      <c r="GU237" s="291"/>
      <c r="GV237" s="291"/>
      <c r="GW237" s="291"/>
      <c r="GX237" s="291"/>
      <c r="GY237" s="291"/>
      <c r="GZ237" s="291"/>
      <c r="HA237" s="291"/>
      <c r="HB237" s="291"/>
      <c r="HC237" s="291"/>
      <c r="HD237" s="291"/>
      <c r="HE237" s="291"/>
      <c r="HF237" s="291"/>
      <c r="HG237" s="291"/>
      <c r="HH237" s="291"/>
      <c r="HI237" s="291"/>
      <c r="HJ237" s="291"/>
      <c r="HK237" s="291"/>
      <c r="HL237" s="291"/>
      <c r="HM237" s="291"/>
      <c r="HN237" s="291"/>
      <c r="HO237" s="291"/>
      <c r="HP237" s="291"/>
      <c r="HQ237" s="291"/>
      <c r="HR237" s="291"/>
      <c r="HS237" s="291"/>
      <c r="HT237" s="291"/>
      <c r="HU237" s="291"/>
      <c r="HV237" s="291"/>
      <c r="HW237" s="291"/>
      <c r="HX237" s="291"/>
      <c r="HY237" s="291"/>
      <c r="HZ237" s="291"/>
      <c r="IA237" s="291"/>
      <c r="IB237" s="291"/>
      <c r="IC237" s="291"/>
      <c r="ID237" s="291"/>
      <c r="IE237" s="291"/>
      <c r="IF237" s="291"/>
      <c r="IG237" s="291"/>
      <c r="IH237" s="291"/>
      <c r="II237" s="291"/>
      <c r="IJ237" s="291"/>
      <c r="IK237" s="291"/>
      <c r="IL237" s="291"/>
      <c r="IM237" s="291"/>
      <c r="IN237" s="291"/>
      <c r="IO237" s="291"/>
      <c r="IP237" s="291"/>
      <c r="IQ237" s="291"/>
      <c r="IR237" s="291"/>
      <c r="IS237" s="291"/>
      <c r="IT237" s="291"/>
      <c r="IU237" s="291"/>
      <c r="IV237" s="291"/>
      <c r="IW237" s="291"/>
      <c r="IX237" s="291"/>
      <c r="IY237" s="291"/>
      <c r="IZ237" s="291"/>
      <c r="JA237" s="291"/>
      <c r="JB237" s="291"/>
      <c r="JC237" s="291"/>
      <c r="JD237" s="291"/>
      <c r="JE237" s="291"/>
      <c r="JF237" s="291"/>
      <c r="JG237" s="291"/>
      <c r="JH237" s="291"/>
      <c r="JI237" s="291"/>
      <c r="JJ237" s="291"/>
      <c r="JK237" s="291"/>
      <c r="JL237" s="291"/>
      <c r="JM237" s="291"/>
      <c r="JN237" s="291"/>
      <c r="JO237" s="291"/>
      <c r="JP237" s="291"/>
      <c r="JQ237" s="291"/>
      <c r="JR237" s="291"/>
      <c r="JS237" s="291"/>
      <c r="JT237" s="291"/>
      <c r="JU237" s="291"/>
      <c r="JV237" s="291"/>
      <c r="JW237" s="291"/>
      <c r="JX237" s="291"/>
      <c r="JY237" s="291"/>
      <c r="JZ237" s="291"/>
      <c r="KA237" s="291"/>
      <c r="KB237" s="291"/>
      <c r="KC237" s="291"/>
      <c r="KD237" s="291"/>
      <c r="KE237" s="291"/>
      <c r="KF237" s="291"/>
      <c r="KG237" s="291"/>
      <c r="KH237" s="291"/>
      <c r="KI237" s="291"/>
      <c r="KJ237" s="291"/>
      <c r="KK237" s="291"/>
      <c r="KL237" s="291"/>
      <c r="KM237" s="291"/>
      <c r="KN237" s="291"/>
      <c r="KO237" s="291"/>
      <c r="KP237" s="291"/>
      <c r="KQ237" s="291"/>
      <c r="KR237" s="291"/>
      <c r="KS237" s="291"/>
      <c r="KT237" s="291"/>
      <c r="KU237" s="291"/>
      <c r="KV237" s="291"/>
      <c r="KW237" s="291"/>
      <c r="KX237" s="291"/>
      <c r="KY237" s="291"/>
      <c r="KZ237" s="291"/>
      <c r="LA237" s="291"/>
      <c r="LB237" s="291"/>
      <c r="LC237" s="291"/>
      <c r="LD237" s="291"/>
      <c r="LE237" s="291"/>
      <c r="LF237" s="291"/>
      <c r="LG237" s="291"/>
      <c r="LH237" s="291"/>
      <c r="LI237" s="291"/>
      <c r="LJ237" s="291"/>
      <c r="LK237" s="291"/>
      <c r="LL237" s="291"/>
      <c r="LM237" s="291"/>
      <c r="LN237" s="291"/>
      <c r="LO237" s="291"/>
      <c r="LP237" s="291"/>
      <c r="LQ237" s="291"/>
      <c r="LR237" s="291"/>
      <c r="LS237" s="291"/>
      <c r="LT237" s="291"/>
      <c r="LU237" s="291"/>
      <c r="LV237" s="291"/>
      <c r="LW237" s="291"/>
      <c r="LX237" s="291"/>
      <c r="LY237" s="291"/>
      <c r="LZ237" s="291"/>
      <c r="MA237" s="291"/>
      <c r="MB237" s="291"/>
      <c r="MC237" s="291"/>
      <c r="MD237" s="291"/>
      <c r="ME237" s="291"/>
      <c r="MF237" s="291"/>
      <c r="MG237" s="291"/>
      <c r="MH237" s="291"/>
      <c r="MI237" s="291"/>
      <c r="MJ237" s="291"/>
      <c r="MK237" s="291"/>
      <c r="ML237" s="291"/>
      <c r="MM237" s="291"/>
      <c r="MN237" s="291"/>
      <c r="MO237" s="291"/>
      <c r="MP237" s="291"/>
      <c r="MQ237" s="291"/>
      <c r="MR237" s="291"/>
      <c r="MS237" s="291"/>
      <c r="MT237" s="291"/>
      <c r="MU237" s="291"/>
      <c r="MV237" s="291"/>
      <c r="MW237" s="291"/>
      <c r="MX237" s="291"/>
      <c r="MY237" s="291"/>
      <c r="MZ237" s="291"/>
      <c r="NA237" s="291"/>
      <c r="NB237" s="291"/>
      <c r="NC237" s="291"/>
      <c r="ND237" s="291"/>
      <c r="NE237" s="291"/>
      <c r="NF237" s="291"/>
      <c r="NG237" s="291"/>
      <c r="NH237" s="291"/>
      <c r="NI237" s="291"/>
      <c r="NJ237" s="291"/>
      <c r="NK237" s="291"/>
      <c r="NL237" s="291"/>
      <c r="NM237" s="291"/>
      <c r="NN237" s="291"/>
      <c r="NO237" s="291"/>
      <c r="NP237" s="291"/>
      <c r="NQ237" s="291"/>
      <c r="NR237" s="291"/>
      <c r="NS237" s="291"/>
      <c r="NT237" s="291"/>
      <c r="NU237" s="291"/>
      <c r="NV237" s="291"/>
      <c r="NW237" s="291"/>
      <c r="NX237" s="291"/>
      <c r="NY237" s="291"/>
      <c r="NZ237" s="291"/>
      <c r="OA237" s="291"/>
      <c r="OB237" s="291"/>
      <c r="OC237" s="291"/>
      <c r="OD237" s="291"/>
      <c r="OE237" s="291"/>
      <c r="OF237" s="291"/>
      <c r="OG237" s="291"/>
      <c r="OH237" s="291"/>
      <c r="OI237" s="291"/>
      <c r="OJ237" s="291"/>
      <c r="OK237" s="291"/>
      <c r="OL237" s="291"/>
      <c r="OM237" s="291"/>
      <c r="ON237" s="291"/>
      <c r="OO237" s="291"/>
      <c r="OP237" s="291"/>
      <c r="OQ237" s="291"/>
      <c r="OR237" s="291"/>
      <c r="OS237" s="291"/>
      <c r="OT237" s="291"/>
      <c r="OU237" s="291"/>
      <c r="OV237" s="291"/>
      <c r="OW237" s="291"/>
    </row>
    <row r="238" spans="1:413" s="257" customFormat="1" ht="22.5" hidden="1" x14ac:dyDescent="0.2">
      <c r="A238" s="291"/>
      <c r="B238" s="524">
        <f t="shared" si="15"/>
        <v>222</v>
      </c>
      <c r="C238" s="510" t="s">
        <v>38</v>
      </c>
      <c r="D238" s="511">
        <v>40017246</v>
      </c>
      <c r="E238" s="511"/>
      <c r="F238" s="512" t="s">
        <v>1397</v>
      </c>
      <c r="G238" s="513" t="s">
        <v>45</v>
      </c>
      <c r="H238" s="514" t="s">
        <v>1094</v>
      </c>
      <c r="I238" s="515" t="s">
        <v>1217</v>
      </c>
      <c r="J238" s="346" t="s">
        <v>43</v>
      </c>
      <c r="K238" s="526">
        <v>113414</v>
      </c>
      <c r="L238" s="527"/>
      <c r="M238" s="528">
        <v>4670</v>
      </c>
      <c r="N238" s="520">
        <v>108744</v>
      </c>
      <c r="O238" s="520">
        <v>0</v>
      </c>
      <c r="P238" s="520">
        <v>0</v>
      </c>
      <c r="Q238" s="520">
        <v>0</v>
      </c>
      <c r="R238" s="520">
        <v>0</v>
      </c>
      <c r="S238" s="520">
        <v>0</v>
      </c>
      <c r="T238" s="18"/>
      <c r="U238" s="18"/>
      <c r="V238" s="18"/>
      <c r="W238" s="18"/>
      <c r="X238" s="18"/>
      <c r="Y238" s="18"/>
      <c r="Z238" s="18">
        <f t="shared" si="12"/>
        <v>108744</v>
      </c>
      <c r="AA238" s="309">
        <v>108744</v>
      </c>
      <c r="AB238" s="19">
        <v>2</v>
      </c>
      <c r="AC238" s="521">
        <v>44221</v>
      </c>
      <c r="AD238" s="316">
        <v>44225</v>
      </c>
      <c r="AE238" s="309"/>
      <c r="AF238" s="314"/>
      <c r="AG238" s="315"/>
      <c r="AH238" s="316"/>
      <c r="AI238" s="309"/>
      <c r="AJ238" s="338"/>
      <c r="AK238" s="315"/>
      <c r="AL238" s="316"/>
      <c r="AM238" s="309"/>
      <c r="AN238" s="338"/>
      <c r="AO238" s="21"/>
      <c r="AP238" s="25"/>
      <c r="AQ238" s="309"/>
      <c r="AR238" s="19"/>
      <c r="AS238" s="21"/>
      <c r="AT238" s="25"/>
      <c r="AU238" s="522">
        <f t="shared" si="13"/>
        <v>108744</v>
      </c>
      <c r="AV238" s="311">
        <f t="shared" si="14"/>
        <v>0</v>
      </c>
      <c r="AW238" s="305"/>
      <c r="AX238" s="291"/>
      <c r="AY238" s="291"/>
      <c r="AZ238" s="291"/>
      <c r="BA238" s="291"/>
      <c r="BB238" s="291"/>
      <c r="BC238" s="291"/>
      <c r="BD238" s="291"/>
      <c r="BE238" s="291"/>
      <c r="BF238" s="291"/>
      <c r="BG238" s="291"/>
      <c r="BH238" s="291"/>
      <c r="BI238" s="291"/>
      <c r="BJ238" s="291"/>
      <c r="BK238" s="291"/>
      <c r="BL238" s="291"/>
      <c r="BM238" s="291"/>
      <c r="BN238" s="291"/>
      <c r="BO238" s="291"/>
      <c r="BP238" s="291"/>
      <c r="BQ238" s="291"/>
      <c r="BR238" s="291"/>
      <c r="BS238" s="291"/>
      <c r="BT238" s="291"/>
      <c r="BU238" s="291"/>
      <c r="BV238" s="291"/>
      <c r="BW238" s="291"/>
      <c r="BX238" s="291"/>
      <c r="BY238" s="291"/>
      <c r="BZ238" s="291"/>
      <c r="CA238" s="291"/>
      <c r="CB238" s="291"/>
      <c r="CC238" s="291"/>
      <c r="CD238" s="291"/>
      <c r="CE238" s="291"/>
      <c r="CF238" s="291"/>
      <c r="CG238" s="291"/>
      <c r="CH238" s="291"/>
      <c r="CI238" s="291"/>
      <c r="CJ238" s="291"/>
      <c r="CK238" s="291"/>
      <c r="CL238" s="291"/>
      <c r="CM238" s="291"/>
      <c r="CN238" s="291"/>
      <c r="CO238" s="291"/>
      <c r="CP238" s="291"/>
      <c r="CQ238" s="291"/>
      <c r="CR238" s="291"/>
      <c r="CS238" s="291"/>
      <c r="CT238" s="291"/>
      <c r="CU238" s="291"/>
      <c r="CV238" s="291"/>
      <c r="CW238" s="291"/>
      <c r="CX238" s="291"/>
      <c r="CY238" s="291"/>
      <c r="CZ238" s="291"/>
      <c r="DA238" s="291"/>
      <c r="DB238" s="291"/>
      <c r="DC238" s="291"/>
      <c r="DD238" s="291"/>
      <c r="DE238" s="291"/>
      <c r="DF238" s="291"/>
      <c r="DG238" s="291"/>
      <c r="DH238" s="291"/>
      <c r="DI238" s="291"/>
      <c r="DJ238" s="291"/>
      <c r="DK238" s="291"/>
      <c r="DL238" s="291"/>
      <c r="DM238" s="291"/>
      <c r="DN238" s="291"/>
      <c r="DO238" s="291"/>
      <c r="DP238" s="291"/>
      <c r="DQ238" s="291"/>
      <c r="DR238" s="291"/>
      <c r="DS238" s="291"/>
      <c r="DT238" s="291"/>
      <c r="DU238" s="291"/>
      <c r="DV238" s="291"/>
      <c r="DW238" s="291"/>
      <c r="DX238" s="291"/>
      <c r="DY238" s="291"/>
      <c r="DZ238" s="291"/>
      <c r="EA238" s="291"/>
      <c r="EB238" s="291"/>
      <c r="EC238" s="291"/>
      <c r="ED238" s="291"/>
      <c r="EE238" s="291"/>
      <c r="EF238" s="291"/>
      <c r="EG238" s="291"/>
      <c r="EH238" s="291"/>
      <c r="EI238" s="291"/>
      <c r="EJ238" s="291"/>
      <c r="EK238" s="291"/>
      <c r="EL238" s="291"/>
      <c r="EM238" s="291"/>
      <c r="EN238" s="291"/>
      <c r="EO238" s="291"/>
      <c r="EP238" s="291"/>
      <c r="EQ238" s="291"/>
      <c r="ER238" s="291"/>
      <c r="ES238" s="291"/>
      <c r="ET238" s="291"/>
      <c r="EU238" s="291"/>
      <c r="EV238" s="291"/>
      <c r="EW238" s="291"/>
      <c r="EX238" s="291"/>
      <c r="EY238" s="291"/>
      <c r="EZ238" s="291"/>
      <c r="FA238" s="291"/>
      <c r="FB238" s="291"/>
      <c r="FC238" s="291"/>
      <c r="FD238" s="291"/>
      <c r="FE238" s="291"/>
      <c r="FF238" s="291"/>
      <c r="FG238" s="291"/>
      <c r="FH238" s="291"/>
      <c r="FI238" s="291"/>
      <c r="FJ238" s="291"/>
      <c r="FK238" s="291"/>
      <c r="FL238" s="291"/>
      <c r="FM238" s="291"/>
      <c r="FN238" s="291"/>
      <c r="FO238" s="291"/>
      <c r="FP238" s="291"/>
      <c r="FQ238" s="291"/>
      <c r="FR238" s="291"/>
      <c r="FS238" s="291"/>
      <c r="FT238" s="291"/>
      <c r="FU238" s="291"/>
      <c r="FV238" s="291"/>
      <c r="FW238" s="291"/>
      <c r="FX238" s="291"/>
      <c r="FY238" s="291"/>
      <c r="FZ238" s="291"/>
      <c r="GA238" s="291"/>
      <c r="GB238" s="291"/>
      <c r="GC238" s="291"/>
      <c r="GD238" s="291"/>
      <c r="GE238" s="291"/>
      <c r="GF238" s="291"/>
      <c r="GG238" s="291"/>
      <c r="GH238" s="291"/>
      <c r="GI238" s="291"/>
      <c r="GJ238" s="291"/>
      <c r="GK238" s="291"/>
      <c r="GL238" s="291"/>
      <c r="GM238" s="291"/>
      <c r="GN238" s="291"/>
      <c r="GO238" s="291"/>
      <c r="GP238" s="291"/>
      <c r="GQ238" s="291"/>
      <c r="GR238" s="291"/>
      <c r="GS238" s="291"/>
      <c r="GT238" s="291"/>
      <c r="GU238" s="291"/>
      <c r="GV238" s="291"/>
      <c r="GW238" s="291"/>
      <c r="GX238" s="291"/>
      <c r="GY238" s="291"/>
      <c r="GZ238" s="291"/>
      <c r="HA238" s="291"/>
      <c r="HB238" s="291"/>
      <c r="HC238" s="291"/>
      <c r="HD238" s="291"/>
      <c r="HE238" s="291"/>
      <c r="HF238" s="291"/>
      <c r="HG238" s="291"/>
      <c r="HH238" s="291"/>
      <c r="HI238" s="291"/>
      <c r="HJ238" s="291"/>
      <c r="HK238" s="291"/>
      <c r="HL238" s="291"/>
      <c r="HM238" s="291"/>
      <c r="HN238" s="291"/>
      <c r="HO238" s="291"/>
      <c r="HP238" s="291"/>
      <c r="HQ238" s="291"/>
      <c r="HR238" s="291"/>
      <c r="HS238" s="291"/>
      <c r="HT238" s="291"/>
      <c r="HU238" s="291"/>
      <c r="HV238" s="291"/>
      <c r="HW238" s="291"/>
      <c r="HX238" s="291"/>
      <c r="HY238" s="291"/>
      <c r="HZ238" s="291"/>
      <c r="IA238" s="291"/>
      <c r="IB238" s="291"/>
      <c r="IC238" s="291"/>
      <c r="ID238" s="291"/>
      <c r="IE238" s="291"/>
      <c r="IF238" s="291"/>
      <c r="IG238" s="291"/>
      <c r="IH238" s="291"/>
      <c r="II238" s="291"/>
      <c r="IJ238" s="291"/>
      <c r="IK238" s="291"/>
      <c r="IL238" s="291"/>
      <c r="IM238" s="291"/>
      <c r="IN238" s="291"/>
      <c r="IO238" s="291"/>
      <c r="IP238" s="291"/>
      <c r="IQ238" s="291"/>
      <c r="IR238" s="291"/>
      <c r="IS238" s="291"/>
      <c r="IT238" s="291"/>
      <c r="IU238" s="291"/>
      <c r="IV238" s="291"/>
      <c r="IW238" s="291"/>
      <c r="IX238" s="291"/>
      <c r="IY238" s="291"/>
      <c r="IZ238" s="291"/>
      <c r="JA238" s="291"/>
      <c r="JB238" s="291"/>
      <c r="JC238" s="291"/>
      <c r="JD238" s="291"/>
      <c r="JE238" s="291"/>
      <c r="JF238" s="291"/>
      <c r="JG238" s="291"/>
      <c r="JH238" s="291"/>
      <c r="JI238" s="291"/>
      <c r="JJ238" s="291"/>
      <c r="JK238" s="291"/>
      <c r="JL238" s="291"/>
      <c r="JM238" s="291"/>
      <c r="JN238" s="291"/>
      <c r="JO238" s="291"/>
      <c r="JP238" s="291"/>
      <c r="JQ238" s="291"/>
      <c r="JR238" s="291"/>
      <c r="JS238" s="291"/>
      <c r="JT238" s="291"/>
      <c r="JU238" s="291"/>
      <c r="JV238" s="291"/>
      <c r="JW238" s="291"/>
      <c r="JX238" s="291"/>
      <c r="JY238" s="291"/>
      <c r="JZ238" s="291"/>
      <c r="KA238" s="291"/>
      <c r="KB238" s="291"/>
      <c r="KC238" s="291"/>
      <c r="KD238" s="291"/>
      <c r="KE238" s="291"/>
      <c r="KF238" s="291"/>
      <c r="KG238" s="291"/>
      <c r="KH238" s="291"/>
      <c r="KI238" s="291"/>
      <c r="KJ238" s="291"/>
      <c r="KK238" s="291"/>
      <c r="KL238" s="291"/>
      <c r="KM238" s="291"/>
      <c r="KN238" s="291"/>
      <c r="KO238" s="291"/>
      <c r="KP238" s="291"/>
      <c r="KQ238" s="291"/>
      <c r="KR238" s="291"/>
      <c r="KS238" s="291"/>
      <c r="KT238" s="291"/>
      <c r="KU238" s="291"/>
      <c r="KV238" s="291"/>
      <c r="KW238" s="291"/>
      <c r="KX238" s="291"/>
      <c r="KY238" s="291"/>
      <c r="KZ238" s="291"/>
      <c r="LA238" s="291"/>
      <c r="LB238" s="291"/>
      <c r="LC238" s="291"/>
      <c r="LD238" s="291"/>
      <c r="LE238" s="291"/>
      <c r="LF238" s="291"/>
      <c r="LG238" s="291"/>
      <c r="LH238" s="291"/>
      <c r="LI238" s="291"/>
      <c r="LJ238" s="291"/>
      <c r="LK238" s="291"/>
      <c r="LL238" s="291"/>
      <c r="LM238" s="291"/>
      <c r="LN238" s="291"/>
      <c r="LO238" s="291"/>
      <c r="LP238" s="291"/>
      <c r="LQ238" s="291"/>
      <c r="LR238" s="291"/>
      <c r="LS238" s="291"/>
      <c r="LT238" s="291"/>
      <c r="LU238" s="291"/>
      <c r="LV238" s="291"/>
      <c r="LW238" s="291"/>
      <c r="LX238" s="291"/>
      <c r="LY238" s="291"/>
      <c r="LZ238" s="291"/>
      <c r="MA238" s="291"/>
      <c r="MB238" s="291"/>
      <c r="MC238" s="291"/>
      <c r="MD238" s="291"/>
      <c r="ME238" s="291"/>
      <c r="MF238" s="291"/>
      <c r="MG238" s="291"/>
      <c r="MH238" s="291"/>
      <c r="MI238" s="291"/>
      <c r="MJ238" s="291"/>
      <c r="MK238" s="291"/>
      <c r="ML238" s="291"/>
      <c r="MM238" s="291"/>
      <c r="MN238" s="291"/>
      <c r="MO238" s="291"/>
      <c r="MP238" s="291"/>
      <c r="MQ238" s="291"/>
      <c r="MR238" s="291"/>
      <c r="MS238" s="291"/>
      <c r="MT238" s="291"/>
      <c r="MU238" s="291"/>
      <c r="MV238" s="291"/>
      <c r="MW238" s="291"/>
      <c r="MX238" s="291"/>
      <c r="MY238" s="291"/>
      <c r="MZ238" s="291"/>
      <c r="NA238" s="291"/>
      <c r="NB238" s="291"/>
      <c r="NC238" s="291"/>
      <c r="ND238" s="291"/>
      <c r="NE238" s="291"/>
      <c r="NF238" s="291"/>
      <c r="NG238" s="291"/>
      <c r="NH238" s="291"/>
      <c r="NI238" s="291"/>
      <c r="NJ238" s="291"/>
      <c r="NK238" s="291"/>
      <c r="NL238" s="291"/>
      <c r="NM238" s="291"/>
      <c r="NN238" s="291"/>
      <c r="NO238" s="291"/>
      <c r="NP238" s="291"/>
      <c r="NQ238" s="291"/>
      <c r="NR238" s="291"/>
      <c r="NS238" s="291"/>
      <c r="NT238" s="291"/>
      <c r="NU238" s="291"/>
      <c r="NV238" s="291"/>
      <c r="NW238" s="291"/>
      <c r="NX238" s="291"/>
      <c r="NY238" s="291"/>
      <c r="NZ238" s="291"/>
      <c r="OA238" s="291"/>
      <c r="OB238" s="291"/>
      <c r="OC238" s="291"/>
      <c r="OD238" s="291"/>
      <c r="OE238" s="291"/>
      <c r="OF238" s="291"/>
      <c r="OG238" s="291"/>
      <c r="OH238" s="291"/>
      <c r="OI238" s="291"/>
      <c r="OJ238" s="291"/>
      <c r="OK238" s="291"/>
      <c r="OL238" s="291"/>
      <c r="OM238" s="291"/>
      <c r="ON238" s="291"/>
      <c r="OO238" s="291"/>
      <c r="OP238" s="291"/>
      <c r="OQ238" s="291"/>
      <c r="OR238" s="291"/>
      <c r="OS238" s="291"/>
      <c r="OT238" s="291"/>
      <c r="OU238" s="291"/>
      <c r="OV238" s="291"/>
      <c r="OW238" s="291"/>
    </row>
    <row r="239" spans="1:413" s="257" customFormat="1" hidden="1" x14ac:dyDescent="0.2">
      <c r="A239" s="291"/>
      <c r="B239" s="524">
        <f t="shared" si="15"/>
        <v>223</v>
      </c>
      <c r="C239" s="510" t="s">
        <v>38</v>
      </c>
      <c r="D239" s="511" t="s">
        <v>1398</v>
      </c>
      <c r="E239" s="511"/>
      <c r="F239" s="512" t="s">
        <v>1399</v>
      </c>
      <c r="G239" s="513" t="s">
        <v>897</v>
      </c>
      <c r="H239" s="514" t="s">
        <v>1098</v>
      </c>
      <c r="I239" s="515" t="s">
        <v>1099</v>
      </c>
      <c r="J239" s="346"/>
      <c r="K239" s="526">
        <v>213614</v>
      </c>
      <c r="L239" s="527">
        <v>0</v>
      </c>
      <c r="M239" s="528">
        <v>113614</v>
      </c>
      <c r="N239" s="520">
        <v>0</v>
      </c>
      <c r="O239" s="520">
        <v>0</v>
      </c>
      <c r="P239" s="520">
        <v>0</v>
      </c>
      <c r="Q239" s="520">
        <v>0</v>
      </c>
      <c r="R239" s="520">
        <v>0</v>
      </c>
      <c r="S239" s="520">
        <v>0</v>
      </c>
      <c r="T239" s="18"/>
      <c r="U239" s="18"/>
      <c r="V239" s="18"/>
      <c r="W239" s="18"/>
      <c r="X239" s="18"/>
      <c r="Y239" s="18"/>
      <c r="Z239" s="18">
        <f t="shared" si="12"/>
        <v>0</v>
      </c>
      <c r="AA239" s="309">
        <v>100000</v>
      </c>
      <c r="AB239" s="19">
        <v>50</v>
      </c>
      <c r="AC239" s="521">
        <v>44356</v>
      </c>
      <c r="AD239" s="25">
        <v>44377</v>
      </c>
      <c r="AE239" s="309"/>
      <c r="AF239" s="314"/>
      <c r="AG239" s="315"/>
      <c r="AH239" s="316"/>
      <c r="AI239" s="309"/>
      <c r="AJ239" s="338"/>
      <c r="AK239" s="315"/>
      <c r="AL239" s="316"/>
      <c r="AM239" s="309"/>
      <c r="AN239" s="338"/>
      <c r="AO239" s="21"/>
      <c r="AP239" s="25"/>
      <c r="AQ239" s="309"/>
      <c r="AR239" s="19"/>
      <c r="AS239" s="21"/>
      <c r="AT239" s="25"/>
      <c r="AU239" s="522">
        <f t="shared" si="13"/>
        <v>100000</v>
      </c>
      <c r="AV239" s="311">
        <f t="shared" si="14"/>
        <v>100000</v>
      </c>
      <c r="AW239" s="305"/>
      <c r="AX239" s="291"/>
      <c r="AY239" s="291"/>
      <c r="AZ239" s="291"/>
      <c r="BA239" s="291"/>
      <c r="BB239" s="291"/>
      <c r="BC239" s="291"/>
      <c r="BD239" s="291"/>
      <c r="BE239" s="291"/>
      <c r="BF239" s="291"/>
      <c r="BG239" s="291"/>
      <c r="BH239" s="291"/>
      <c r="BI239" s="291"/>
      <c r="BJ239" s="291"/>
      <c r="BK239" s="291"/>
      <c r="BL239" s="291"/>
      <c r="BM239" s="291"/>
      <c r="BN239" s="291"/>
      <c r="BO239" s="291"/>
      <c r="BP239" s="291"/>
      <c r="BQ239" s="291"/>
      <c r="BR239" s="291"/>
      <c r="BS239" s="291"/>
      <c r="BT239" s="291"/>
      <c r="BU239" s="291"/>
      <c r="BV239" s="291"/>
      <c r="BW239" s="291"/>
      <c r="BX239" s="291"/>
      <c r="BY239" s="291"/>
      <c r="BZ239" s="291"/>
      <c r="CA239" s="291"/>
      <c r="CB239" s="291"/>
      <c r="CC239" s="291"/>
      <c r="CD239" s="291"/>
      <c r="CE239" s="291"/>
      <c r="CF239" s="291"/>
      <c r="CG239" s="291"/>
      <c r="CH239" s="291"/>
      <c r="CI239" s="291"/>
      <c r="CJ239" s="291"/>
      <c r="CK239" s="291"/>
      <c r="CL239" s="291"/>
      <c r="CM239" s="291"/>
      <c r="CN239" s="291"/>
      <c r="CO239" s="291"/>
      <c r="CP239" s="291"/>
      <c r="CQ239" s="291"/>
      <c r="CR239" s="291"/>
      <c r="CS239" s="291"/>
      <c r="CT239" s="291"/>
      <c r="CU239" s="291"/>
      <c r="CV239" s="291"/>
      <c r="CW239" s="291"/>
      <c r="CX239" s="291"/>
      <c r="CY239" s="291"/>
      <c r="CZ239" s="291"/>
      <c r="DA239" s="291"/>
      <c r="DB239" s="291"/>
      <c r="DC239" s="291"/>
      <c r="DD239" s="291"/>
      <c r="DE239" s="291"/>
      <c r="DF239" s="291"/>
      <c r="DG239" s="291"/>
      <c r="DH239" s="291"/>
      <c r="DI239" s="291"/>
      <c r="DJ239" s="291"/>
      <c r="DK239" s="291"/>
      <c r="DL239" s="291"/>
      <c r="DM239" s="291"/>
      <c r="DN239" s="291"/>
      <c r="DO239" s="291"/>
      <c r="DP239" s="291"/>
      <c r="DQ239" s="291"/>
      <c r="DR239" s="291"/>
      <c r="DS239" s="291"/>
      <c r="DT239" s="291"/>
      <c r="DU239" s="291"/>
      <c r="DV239" s="291"/>
      <c r="DW239" s="291"/>
      <c r="DX239" s="291"/>
      <c r="DY239" s="291"/>
      <c r="DZ239" s="291"/>
      <c r="EA239" s="291"/>
      <c r="EB239" s="291"/>
      <c r="EC239" s="291"/>
      <c r="ED239" s="291"/>
      <c r="EE239" s="291"/>
      <c r="EF239" s="291"/>
      <c r="EG239" s="291"/>
      <c r="EH239" s="291"/>
      <c r="EI239" s="291"/>
      <c r="EJ239" s="291"/>
      <c r="EK239" s="291"/>
      <c r="EL239" s="291"/>
      <c r="EM239" s="291"/>
      <c r="EN239" s="291"/>
      <c r="EO239" s="291"/>
      <c r="EP239" s="291"/>
      <c r="EQ239" s="291"/>
      <c r="ER239" s="291"/>
      <c r="ES239" s="291"/>
      <c r="ET239" s="291"/>
      <c r="EU239" s="291"/>
      <c r="EV239" s="291"/>
      <c r="EW239" s="291"/>
      <c r="EX239" s="291"/>
      <c r="EY239" s="291"/>
      <c r="EZ239" s="291"/>
      <c r="FA239" s="291"/>
      <c r="FB239" s="291"/>
      <c r="FC239" s="291"/>
      <c r="FD239" s="291"/>
      <c r="FE239" s="291"/>
      <c r="FF239" s="291"/>
      <c r="FG239" s="291"/>
      <c r="FH239" s="291"/>
      <c r="FI239" s="291"/>
      <c r="FJ239" s="291"/>
      <c r="FK239" s="291"/>
      <c r="FL239" s="291"/>
      <c r="FM239" s="291"/>
      <c r="FN239" s="291"/>
      <c r="FO239" s="291"/>
      <c r="FP239" s="291"/>
      <c r="FQ239" s="291"/>
      <c r="FR239" s="291"/>
      <c r="FS239" s="291"/>
      <c r="FT239" s="291"/>
      <c r="FU239" s="291"/>
      <c r="FV239" s="291"/>
      <c r="FW239" s="291"/>
      <c r="FX239" s="291"/>
      <c r="FY239" s="291"/>
      <c r="FZ239" s="291"/>
      <c r="GA239" s="291"/>
      <c r="GB239" s="291"/>
      <c r="GC239" s="291"/>
      <c r="GD239" s="291"/>
      <c r="GE239" s="291"/>
      <c r="GF239" s="291"/>
      <c r="GG239" s="291"/>
      <c r="GH239" s="291"/>
      <c r="GI239" s="291"/>
      <c r="GJ239" s="291"/>
      <c r="GK239" s="291"/>
      <c r="GL239" s="291"/>
      <c r="GM239" s="291"/>
      <c r="GN239" s="291"/>
      <c r="GO239" s="291"/>
      <c r="GP239" s="291"/>
      <c r="GQ239" s="291"/>
      <c r="GR239" s="291"/>
      <c r="GS239" s="291"/>
      <c r="GT239" s="291"/>
      <c r="GU239" s="291"/>
      <c r="GV239" s="291"/>
      <c r="GW239" s="291"/>
      <c r="GX239" s="291"/>
      <c r="GY239" s="291"/>
      <c r="GZ239" s="291"/>
      <c r="HA239" s="291"/>
      <c r="HB239" s="291"/>
      <c r="HC239" s="291"/>
      <c r="HD239" s="291"/>
      <c r="HE239" s="291"/>
      <c r="HF239" s="291"/>
      <c r="HG239" s="291"/>
      <c r="HH239" s="291"/>
      <c r="HI239" s="291"/>
      <c r="HJ239" s="291"/>
      <c r="HK239" s="291"/>
      <c r="HL239" s="291"/>
      <c r="HM239" s="291"/>
      <c r="HN239" s="291"/>
      <c r="HO239" s="291"/>
      <c r="HP239" s="291"/>
      <c r="HQ239" s="291"/>
      <c r="HR239" s="291"/>
      <c r="HS239" s="291"/>
      <c r="HT239" s="291"/>
      <c r="HU239" s="291"/>
      <c r="HV239" s="291"/>
      <c r="HW239" s="291"/>
      <c r="HX239" s="291"/>
      <c r="HY239" s="291"/>
      <c r="HZ239" s="291"/>
      <c r="IA239" s="291"/>
      <c r="IB239" s="291"/>
      <c r="IC239" s="291"/>
      <c r="ID239" s="291"/>
      <c r="IE239" s="291"/>
      <c r="IF239" s="291"/>
      <c r="IG239" s="291"/>
      <c r="IH239" s="291"/>
      <c r="II239" s="291"/>
      <c r="IJ239" s="291"/>
      <c r="IK239" s="291"/>
      <c r="IL239" s="291"/>
      <c r="IM239" s="291"/>
      <c r="IN239" s="291"/>
      <c r="IO239" s="291"/>
      <c r="IP239" s="291"/>
      <c r="IQ239" s="291"/>
      <c r="IR239" s="291"/>
      <c r="IS239" s="291"/>
      <c r="IT239" s="291"/>
      <c r="IU239" s="291"/>
      <c r="IV239" s="291"/>
      <c r="IW239" s="291"/>
      <c r="IX239" s="291"/>
      <c r="IY239" s="291"/>
      <c r="IZ239" s="291"/>
      <c r="JA239" s="291"/>
      <c r="JB239" s="291"/>
      <c r="JC239" s="291"/>
      <c r="JD239" s="291"/>
      <c r="JE239" s="291"/>
      <c r="JF239" s="291"/>
      <c r="JG239" s="291"/>
      <c r="JH239" s="291"/>
      <c r="JI239" s="291"/>
      <c r="JJ239" s="291"/>
      <c r="JK239" s="291"/>
      <c r="JL239" s="291"/>
      <c r="JM239" s="291"/>
      <c r="JN239" s="291"/>
      <c r="JO239" s="291"/>
      <c r="JP239" s="291"/>
      <c r="JQ239" s="291"/>
      <c r="JR239" s="291"/>
      <c r="JS239" s="291"/>
      <c r="JT239" s="291"/>
      <c r="JU239" s="291"/>
      <c r="JV239" s="291"/>
      <c r="JW239" s="291"/>
      <c r="JX239" s="291"/>
      <c r="JY239" s="291"/>
      <c r="JZ239" s="291"/>
      <c r="KA239" s="291"/>
      <c r="KB239" s="291"/>
      <c r="KC239" s="291"/>
      <c r="KD239" s="291"/>
      <c r="KE239" s="291"/>
      <c r="KF239" s="291"/>
      <c r="KG239" s="291"/>
      <c r="KH239" s="291"/>
      <c r="KI239" s="291"/>
      <c r="KJ239" s="291"/>
      <c r="KK239" s="291"/>
      <c r="KL239" s="291"/>
      <c r="KM239" s="291"/>
      <c r="KN239" s="291"/>
      <c r="KO239" s="291"/>
      <c r="KP239" s="291"/>
      <c r="KQ239" s="291"/>
      <c r="KR239" s="291"/>
      <c r="KS239" s="291"/>
      <c r="KT239" s="291"/>
      <c r="KU239" s="291"/>
      <c r="KV239" s="291"/>
      <c r="KW239" s="291"/>
      <c r="KX239" s="291"/>
      <c r="KY239" s="291"/>
      <c r="KZ239" s="291"/>
      <c r="LA239" s="291"/>
      <c r="LB239" s="291"/>
      <c r="LC239" s="291"/>
      <c r="LD239" s="291"/>
      <c r="LE239" s="291"/>
      <c r="LF239" s="291"/>
      <c r="LG239" s="291"/>
      <c r="LH239" s="291"/>
      <c r="LI239" s="291"/>
      <c r="LJ239" s="291"/>
      <c r="LK239" s="291"/>
      <c r="LL239" s="291"/>
      <c r="LM239" s="291"/>
      <c r="LN239" s="291"/>
      <c r="LO239" s="291"/>
      <c r="LP239" s="291"/>
      <c r="LQ239" s="291"/>
      <c r="LR239" s="291"/>
      <c r="LS239" s="291"/>
      <c r="LT239" s="291"/>
      <c r="LU239" s="291"/>
      <c r="LV239" s="291"/>
      <c r="LW239" s="291"/>
      <c r="LX239" s="291"/>
      <c r="LY239" s="291"/>
      <c r="LZ239" s="291"/>
      <c r="MA239" s="291"/>
      <c r="MB239" s="291"/>
      <c r="MC239" s="291"/>
      <c r="MD239" s="291"/>
      <c r="ME239" s="291"/>
      <c r="MF239" s="291"/>
      <c r="MG239" s="291"/>
      <c r="MH239" s="291"/>
      <c r="MI239" s="291"/>
      <c r="MJ239" s="291"/>
      <c r="MK239" s="291"/>
      <c r="ML239" s="291"/>
      <c r="MM239" s="291"/>
      <c r="MN239" s="291"/>
      <c r="MO239" s="291"/>
      <c r="MP239" s="291"/>
      <c r="MQ239" s="291"/>
      <c r="MR239" s="291"/>
      <c r="MS239" s="291"/>
      <c r="MT239" s="291"/>
      <c r="MU239" s="291"/>
      <c r="MV239" s="291"/>
      <c r="MW239" s="291"/>
      <c r="MX239" s="291"/>
      <c r="MY239" s="291"/>
      <c r="MZ239" s="291"/>
      <c r="NA239" s="291"/>
      <c r="NB239" s="291"/>
      <c r="NC239" s="291"/>
      <c r="ND239" s="291"/>
      <c r="NE239" s="291"/>
      <c r="NF239" s="291"/>
      <c r="NG239" s="291"/>
      <c r="NH239" s="291"/>
      <c r="NI239" s="291"/>
      <c r="NJ239" s="291"/>
      <c r="NK239" s="291"/>
      <c r="NL239" s="291"/>
      <c r="NM239" s="291"/>
      <c r="NN239" s="291"/>
      <c r="NO239" s="291"/>
      <c r="NP239" s="291"/>
      <c r="NQ239" s="291"/>
      <c r="NR239" s="291"/>
      <c r="NS239" s="291"/>
      <c r="NT239" s="291"/>
      <c r="NU239" s="291"/>
      <c r="NV239" s="291"/>
      <c r="NW239" s="291"/>
      <c r="NX239" s="291"/>
      <c r="NY239" s="291"/>
      <c r="NZ239" s="291"/>
      <c r="OA239" s="291"/>
      <c r="OB239" s="291"/>
      <c r="OC239" s="291"/>
      <c r="OD239" s="291"/>
      <c r="OE239" s="291"/>
      <c r="OF239" s="291"/>
      <c r="OG239" s="291"/>
      <c r="OH239" s="291"/>
      <c r="OI239" s="291"/>
      <c r="OJ239" s="291"/>
      <c r="OK239" s="291"/>
      <c r="OL239" s="291"/>
      <c r="OM239" s="291"/>
      <c r="ON239" s="291"/>
      <c r="OO239" s="291"/>
      <c r="OP239" s="291"/>
      <c r="OQ239" s="291"/>
      <c r="OR239" s="291"/>
      <c r="OS239" s="291"/>
      <c r="OT239" s="291"/>
      <c r="OU239" s="291"/>
      <c r="OV239" s="291"/>
      <c r="OW239" s="291"/>
    </row>
    <row r="240" spans="1:413" s="257" customFormat="1" ht="22.5" hidden="1" x14ac:dyDescent="0.2">
      <c r="A240" s="291"/>
      <c r="B240" s="524">
        <f t="shared" si="15"/>
        <v>224</v>
      </c>
      <c r="C240" s="510" t="s">
        <v>38</v>
      </c>
      <c r="D240" s="511">
        <v>40017931</v>
      </c>
      <c r="E240" s="511"/>
      <c r="F240" s="512" t="s">
        <v>1400</v>
      </c>
      <c r="G240" s="513" t="s">
        <v>45</v>
      </c>
      <c r="H240" s="514" t="s">
        <v>1094</v>
      </c>
      <c r="I240" s="515" t="s">
        <v>1134</v>
      </c>
      <c r="J240" s="346" t="s">
        <v>43</v>
      </c>
      <c r="K240" s="526">
        <v>347719</v>
      </c>
      <c r="L240" s="527"/>
      <c r="M240" s="528">
        <v>52314</v>
      </c>
      <c r="N240" s="520">
        <v>295405</v>
      </c>
      <c r="O240" s="520">
        <v>0</v>
      </c>
      <c r="P240" s="520">
        <v>0</v>
      </c>
      <c r="Q240" s="520">
        <v>0</v>
      </c>
      <c r="R240" s="520">
        <v>0</v>
      </c>
      <c r="S240" s="520">
        <v>0</v>
      </c>
      <c r="T240" s="18"/>
      <c r="U240" s="18"/>
      <c r="V240" s="18"/>
      <c r="W240" s="18"/>
      <c r="X240" s="18"/>
      <c r="Y240" s="18"/>
      <c r="Z240" s="18">
        <f t="shared" si="12"/>
        <v>295405</v>
      </c>
      <c r="AA240" s="309">
        <v>295405</v>
      </c>
      <c r="AB240" s="19">
        <v>2</v>
      </c>
      <c r="AC240" s="521">
        <v>44221</v>
      </c>
      <c r="AD240" s="25">
        <v>44225</v>
      </c>
      <c r="AE240" s="309"/>
      <c r="AF240" s="314"/>
      <c r="AG240" s="315"/>
      <c r="AH240" s="316"/>
      <c r="AI240" s="309"/>
      <c r="AJ240" s="338"/>
      <c r="AK240" s="315"/>
      <c r="AL240" s="316"/>
      <c r="AM240" s="309"/>
      <c r="AN240" s="338"/>
      <c r="AO240" s="21"/>
      <c r="AP240" s="25"/>
      <c r="AQ240" s="309"/>
      <c r="AR240" s="19"/>
      <c r="AS240" s="21"/>
      <c r="AT240" s="25"/>
      <c r="AU240" s="522">
        <f t="shared" si="13"/>
        <v>295405</v>
      </c>
      <c r="AV240" s="311">
        <f t="shared" si="14"/>
        <v>0</v>
      </c>
      <c r="AW240" s="305"/>
      <c r="AX240" s="291"/>
      <c r="AY240" s="291"/>
      <c r="AZ240" s="291"/>
      <c r="BA240" s="291"/>
      <c r="BB240" s="291"/>
      <c r="BC240" s="291"/>
      <c r="BD240" s="291"/>
      <c r="BE240" s="291"/>
      <c r="BF240" s="291"/>
      <c r="BG240" s="291"/>
      <c r="BH240" s="291"/>
      <c r="BI240" s="291"/>
      <c r="BJ240" s="291"/>
      <c r="BK240" s="291"/>
      <c r="BL240" s="291"/>
      <c r="BM240" s="291"/>
      <c r="BN240" s="291"/>
      <c r="BO240" s="291"/>
      <c r="BP240" s="291"/>
      <c r="BQ240" s="291"/>
      <c r="BR240" s="291"/>
      <c r="BS240" s="291"/>
      <c r="BT240" s="291"/>
      <c r="BU240" s="291"/>
      <c r="BV240" s="291"/>
      <c r="BW240" s="291"/>
      <c r="BX240" s="291"/>
      <c r="BY240" s="291"/>
      <c r="BZ240" s="291"/>
      <c r="CA240" s="291"/>
      <c r="CB240" s="291"/>
      <c r="CC240" s="291"/>
      <c r="CD240" s="291"/>
      <c r="CE240" s="291"/>
      <c r="CF240" s="291"/>
      <c r="CG240" s="291"/>
      <c r="CH240" s="291"/>
      <c r="CI240" s="291"/>
      <c r="CJ240" s="291"/>
      <c r="CK240" s="291"/>
      <c r="CL240" s="291"/>
      <c r="CM240" s="291"/>
      <c r="CN240" s="291"/>
      <c r="CO240" s="291"/>
      <c r="CP240" s="291"/>
      <c r="CQ240" s="291"/>
      <c r="CR240" s="291"/>
      <c r="CS240" s="291"/>
      <c r="CT240" s="291"/>
      <c r="CU240" s="291"/>
      <c r="CV240" s="291"/>
      <c r="CW240" s="291"/>
      <c r="CX240" s="291"/>
      <c r="CY240" s="291"/>
      <c r="CZ240" s="291"/>
      <c r="DA240" s="291"/>
      <c r="DB240" s="291"/>
      <c r="DC240" s="291"/>
      <c r="DD240" s="291"/>
      <c r="DE240" s="291"/>
      <c r="DF240" s="291"/>
      <c r="DG240" s="291"/>
      <c r="DH240" s="291"/>
      <c r="DI240" s="291"/>
      <c r="DJ240" s="291"/>
      <c r="DK240" s="291"/>
      <c r="DL240" s="291"/>
      <c r="DM240" s="291"/>
      <c r="DN240" s="291"/>
      <c r="DO240" s="291"/>
      <c r="DP240" s="291"/>
      <c r="DQ240" s="291"/>
      <c r="DR240" s="291"/>
      <c r="DS240" s="291"/>
      <c r="DT240" s="291"/>
      <c r="DU240" s="291"/>
      <c r="DV240" s="291"/>
      <c r="DW240" s="291"/>
      <c r="DX240" s="291"/>
      <c r="DY240" s="291"/>
      <c r="DZ240" s="291"/>
      <c r="EA240" s="291"/>
      <c r="EB240" s="291"/>
      <c r="EC240" s="291"/>
      <c r="ED240" s="291"/>
      <c r="EE240" s="291"/>
      <c r="EF240" s="291"/>
      <c r="EG240" s="291"/>
      <c r="EH240" s="291"/>
      <c r="EI240" s="291"/>
      <c r="EJ240" s="291"/>
      <c r="EK240" s="291"/>
      <c r="EL240" s="291"/>
      <c r="EM240" s="291"/>
      <c r="EN240" s="291"/>
      <c r="EO240" s="291"/>
      <c r="EP240" s="291"/>
      <c r="EQ240" s="291"/>
      <c r="ER240" s="291"/>
      <c r="ES240" s="291"/>
      <c r="ET240" s="291"/>
      <c r="EU240" s="291"/>
      <c r="EV240" s="291"/>
      <c r="EW240" s="291"/>
      <c r="EX240" s="291"/>
      <c r="EY240" s="291"/>
      <c r="EZ240" s="291"/>
      <c r="FA240" s="291"/>
      <c r="FB240" s="291"/>
      <c r="FC240" s="291"/>
      <c r="FD240" s="291"/>
      <c r="FE240" s="291"/>
      <c r="FF240" s="291"/>
      <c r="FG240" s="291"/>
      <c r="FH240" s="291"/>
      <c r="FI240" s="291"/>
      <c r="FJ240" s="291"/>
      <c r="FK240" s="291"/>
      <c r="FL240" s="291"/>
      <c r="FM240" s="291"/>
      <c r="FN240" s="291"/>
      <c r="FO240" s="291"/>
      <c r="FP240" s="291"/>
      <c r="FQ240" s="291"/>
      <c r="FR240" s="291"/>
      <c r="FS240" s="291"/>
      <c r="FT240" s="291"/>
      <c r="FU240" s="291"/>
      <c r="FV240" s="291"/>
      <c r="FW240" s="291"/>
      <c r="FX240" s="291"/>
      <c r="FY240" s="291"/>
      <c r="FZ240" s="291"/>
      <c r="GA240" s="291"/>
      <c r="GB240" s="291"/>
      <c r="GC240" s="291"/>
      <c r="GD240" s="291"/>
      <c r="GE240" s="291"/>
      <c r="GF240" s="291"/>
      <c r="GG240" s="291"/>
      <c r="GH240" s="291"/>
      <c r="GI240" s="291"/>
      <c r="GJ240" s="291"/>
      <c r="GK240" s="291"/>
      <c r="GL240" s="291"/>
      <c r="GM240" s="291"/>
      <c r="GN240" s="291"/>
      <c r="GO240" s="291"/>
      <c r="GP240" s="291"/>
      <c r="GQ240" s="291"/>
      <c r="GR240" s="291"/>
      <c r="GS240" s="291"/>
      <c r="GT240" s="291"/>
      <c r="GU240" s="291"/>
      <c r="GV240" s="291"/>
      <c r="GW240" s="291"/>
      <c r="GX240" s="291"/>
      <c r="GY240" s="291"/>
      <c r="GZ240" s="291"/>
      <c r="HA240" s="291"/>
      <c r="HB240" s="291"/>
      <c r="HC240" s="291"/>
      <c r="HD240" s="291"/>
      <c r="HE240" s="291"/>
      <c r="HF240" s="291"/>
      <c r="HG240" s="291"/>
      <c r="HH240" s="291"/>
      <c r="HI240" s="291"/>
      <c r="HJ240" s="291"/>
      <c r="HK240" s="291"/>
      <c r="HL240" s="291"/>
      <c r="HM240" s="291"/>
      <c r="HN240" s="291"/>
      <c r="HO240" s="291"/>
      <c r="HP240" s="291"/>
      <c r="HQ240" s="291"/>
      <c r="HR240" s="291"/>
      <c r="HS240" s="291"/>
      <c r="HT240" s="291"/>
      <c r="HU240" s="291"/>
      <c r="HV240" s="291"/>
      <c r="HW240" s="291"/>
      <c r="HX240" s="291"/>
      <c r="HY240" s="291"/>
      <c r="HZ240" s="291"/>
      <c r="IA240" s="291"/>
      <c r="IB240" s="291"/>
      <c r="IC240" s="291"/>
      <c r="ID240" s="291"/>
      <c r="IE240" s="291"/>
      <c r="IF240" s="291"/>
      <c r="IG240" s="291"/>
      <c r="IH240" s="291"/>
      <c r="II240" s="291"/>
      <c r="IJ240" s="291"/>
      <c r="IK240" s="291"/>
      <c r="IL240" s="291"/>
      <c r="IM240" s="291"/>
      <c r="IN240" s="291"/>
      <c r="IO240" s="291"/>
      <c r="IP240" s="291"/>
      <c r="IQ240" s="291"/>
      <c r="IR240" s="291"/>
      <c r="IS240" s="291"/>
      <c r="IT240" s="291"/>
      <c r="IU240" s="291"/>
      <c r="IV240" s="291"/>
      <c r="IW240" s="291"/>
      <c r="IX240" s="291"/>
      <c r="IY240" s="291"/>
      <c r="IZ240" s="291"/>
      <c r="JA240" s="291"/>
      <c r="JB240" s="291"/>
      <c r="JC240" s="291"/>
      <c r="JD240" s="291"/>
      <c r="JE240" s="291"/>
      <c r="JF240" s="291"/>
      <c r="JG240" s="291"/>
      <c r="JH240" s="291"/>
      <c r="JI240" s="291"/>
      <c r="JJ240" s="291"/>
      <c r="JK240" s="291"/>
      <c r="JL240" s="291"/>
      <c r="JM240" s="291"/>
      <c r="JN240" s="291"/>
      <c r="JO240" s="291"/>
      <c r="JP240" s="291"/>
      <c r="JQ240" s="291"/>
      <c r="JR240" s="291"/>
      <c r="JS240" s="291"/>
      <c r="JT240" s="291"/>
      <c r="JU240" s="291"/>
      <c r="JV240" s="291"/>
      <c r="JW240" s="291"/>
      <c r="JX240" s="291"/>
      <c r="JY240" s="291"/>
      <c r="JZ240" s="291"/>
      <c r="KA240" s="291"/>
      <c r="KB240" s="291"/>
      <c r="KC240" s="291"/>
      <c r="KD240" s="291"/>
      <c r="KE240" s="291"/>
      <c r="KF240" s="291"/>
      <c r="KG240" s="291"/>
      <c r="KH240" s="291"/>
      <c r="KI240" s="291"/>
      <c r="KJ240" s="291"/>
      <c r="KK240" s="291"/>
      <c r="KL240" s="291"/>
      <c r="KM240" s="291"/>
      <c r="KN240" s="291"/>
      <c r="KO240" s="291"/>
      <c r="KP240" s="291"/>
      <c r="KQ240" s="291"/>
      <c r="KR240" s="291"/>
      <c r="KS240" s="291"/>
      <c r="KT240" s="291"/>
      <c r="KU240" s="291"/>
      <c r="KV240" s="291"/>
      <c r="KW240" s="291"/>
      <c r="KX240" s="291"/>
      <c r="KY240" s="291"/>
      <c r="KZ240" s="291"/>
      <c r="LA240" s="291"/>
      <c r="LB240" s="291"/>
      <c r="LC240" s="291"/>
      <c r="LD240" s="291"/>
      <c r="LE240" s="291"/>
      <c r="LF240" s="291"/>
      <c r="LG240" s="291"/>
      <c r="LH240" s="291"/>
      <c r="LI240" s="291"/>
      <c r="LJ240" s="291"/>
      <c r="LK240" s="291"/>
      <c r="LL240" s="291"/>
      <c r="LM240" s="291"/>
      <c r="LN240" s="291"/>
      <c r="LO240" s="291"/>
      <c r="LP240" s="291"/>
      <c r="LQ240" s="291"/>
      <c r="LR240" s="291"/>
      <c r="LS240" s="291"/>
      <c r="LT240" s="291"/>
      <c r="LU240" s="291"/>
      <c r="LV240" s="291"/>
      <c r="LW240" s="291"/>
      <c r="LX240" s="291"/>
      <c r="LY240" s="291"/>
      <c r="LZ240" s="291"/>
      <c r="MA240" s="291"/>
      <c r="MB240" s="291"/>
      <c r="MC240" s="291"/>
      <c r="MD240" s="291"/>
      <c r="ME240" s="291"/>
      <c r="MF240" s="291"/>
      <c r="MG240" s="291"/>
      <c r="MH240" s="291"/>
      <c r="MI240" s="291"/>
      <c r="MJ240" s="291"/>
      <c r="MK240" s="291"/>
      <c r="ML240" s="291"/>
      <c r="MM240" s="291"/>
      <c r="MN240" s="291"/>
      <c r="MO240" s="291"/>
      <c r="MP240" s="291"/>
      <c r="MQ240" s="291"/>
      <c r="MR240" s="291"/>
      <c r="MS240" s="291"/>
      <c r="MT240" s="291"/>
      <c r="MU240" s="291"/>
      <c r="MV240" s="291"/>
      <c r="MW240" s="291"/>
      <c r="MX240" s="291"/>
      <c r="MY240" s="291"/>
      <c r="MZ240" s="291"/>
      <c r="NA240" s="291"/>
      <c r="NB240" s="291"/>
      <c r="NC240" s="291"/>
      <c r="ND240" s="291"/>
      <c r="NE240" s="291"/>
      <c r="NF240" s="291"/>
      <c r="NG240" s="291"/>
      <c r="NH240" s="291"/>
      <c r="NI240" s="291"/>
      <c r="NJ240" s="291"/>
      <c r="NK240" s="291"/>
      <c r="NL240" s="291"/>
      <c r="NM240" s="291"/>
      <c r="NN240" s="291"/>
      <c r="NO240" s="291"/>
      <c r="NP240" s="291"/>
      <c r="NQ240" s="291"/>
      <c r="NR240" s="291"/>
      <c r="NS240" s="291"/>
      <c r="NT240" s="291"/>
      <c r="NU240" s="291"/>
      <c r="NV240" s="291"/>
      <c r="NW240" s="291"/>
      <c r="NX240" s="291"/>
      <c r="NY240" s="291"/>
      <c r="NZ240" s="291"/>
      <c r="OA240" s="291"/>
      <c r="OB240" s="291"/>
      <c r="OC240" s="291"/>
      <c r="OD240" s="291"/>
      <c r="OE240" s="291"/>
      <c r="OF240" s="291"/>
      <c r="OG240" s="291"/>
      <c r="OH240" s="291"/>
      <c r="OI240" s="291"/>
      <c r="OJ240" s="291"/>
      <c r="OK240" s="291"/>
      <c r="OL240" s="291"/>
      <c r="OM240" s="291"/>
      <c r="ON240" s="291"/>
      <c r="OO240" s="291"/>
      <c r="OP240" s="291"/>
      <c r="OQ240" s="291"/>
      <c r="OR240" s="291"/>
      <c r="OS240" s="291"/>
      <c r="OT240" s="291"/>
      <c r="OU240" s="291"/>
      <c r="OV240" s="291"/>
      <c r="OW240" s="291"/>
    </row>
    <row r="241" spans="1:413" s="257" customFormat="1" ht="22.5" hidden="1" x14ac:dyDescent="0.2">
      <c r="A241" s="291"/>
      <c r="B241" s="524">
        <f t="shared" si="15"/>
        <v>225</v>
      </c>
      <c r="C241" s="510" t="s">
        <v>38</v>
      </c>
      <c r="D241" s="511">
        <v>40018610</v>
      </c>
      <c r="E241" s="511"/>
      <c r="F241" s="512" t="s">
        <v>1401</v>
      </c>
      <c r="G241" s="513" t="s">
        <v>45</v>
      </c>
      <c r="H241" s="514" t="s">
        <v>1094</v>
      </c>
      <c r="I241" s="515" t="s">
        <v>1176</v>
      </c>
      <c r="J241" s="346" t="s">
        <v>43</v>
      </c>
      <c r="K241" s="526">
        <v>150552</v>
      </c>
      <c r="L241" s="527"/>
      <c r="M241" s="528">
        <v>11033</v>
      </c>
      <c r="N241" s="520">
        <v>139519</v>
      </c>
      <c r="O241" s="520">
        <v>0</v>
      </c>
      <c r="P241" s="520">
        <v>0</v>
      </c>
      <c r="Q241" s="520">
        <v>0</v>
      </c>
      <c r="R241" s="520">
        <v>0</v>
      </c>
      <c r="S241" s="520">
        <v>0</v>
      </c>
      <c r="T241" s="18"/>
      <c r="U241" s="18"/>
      <c r="V241" s="18"/>
      <c r="W241" s="18"/>
      <c r="X241" s="18"/>
      <c r="Y241" s="18"/>
      <c r="Z241" s="18">
        <f t="shared" si="12"/>
        <v>139519</v>
      </c>
      <c r="AA241" s="309">
        <v>139519</v>
      </c>
      <c r="AB241" s="19">
        <v>2</v>
      </c>
      <c r="AC241" s="521">
        <v>44221</v>
      </c>
      <c r="AD241" s="25">
        <v>44225</v>
      </c>
      <c r="AE241" s="309"/>
      <c r="AF241" s="314"/>
      <c r="AG241" s="315"/>
      <c r="AH241" s="316"/>
      <c r="AI241" s="309"/>
      <c r="AJ241" s="338"/>
      <c r="AK241" s="315"/>
      <c r="AL241" s="316"/>
      <c r="AM241" s="309"/>
      <c r="AN241" s="338"/>
      <c r="AO241" s="21"/>
      <c r="AP241" s="25"/>
      <c r="AQ241" s="309"/>
      <c r="AR241" s="19"/>
      <c r="AS241" s="21"/>
      <c r="AT241" s="25"/>
      <c r="AU241" s="522">
        <f t="shared" si="13"/>
        <v>139519</v>
      </c>
      <c r="AV241" s="311">
        <f t="shared" si="14"/>
        <v>0</v>
      </c>
      <c r="AW241" s="305"/>
      <c r="AX241" s="291"/>
      <c r="AY241" s="291"/>
      <c r="AZ241" s="291"/>
      <c r="BA241" s="291"/>
      <c r="BB241" s="291"/>
      <c r="BC241" s="291"/>
      <c r="BD241" s="291"/>
      <c r="BE241" s="291"/>
      <c r="BF241" s="291"/>
      <c r="BG241" s="291"/>
      <c r="BH241" s="291"/>
      <c r="BI241" s="291"/>
      <c r="BJ241" s="291"/>
      <c r="BK241" s="291"/>
      <c r="BL241" s="291"/>
      <c r="BM241" s="291"/>
      <c r="BN241" s="291"/>
      <c r="BO241" s="291"/>
      <c r="BP241" s="291"/>
      <c r="BQ241" s="291"/>
      <c r="BR241" s="291"/>
      <c r="BS241" s="291"/>
      <c r="BT241" s="291"/>
      <c r="BU241" s="291"/>
      <c r="BV241" s="291"/>
      <c r="BW241" s="291"/>
      <c r="BX241" s="291"/>
      <c r="BY241" s="291"/>
      <c r="BZ241" s="291"/>
      <c r="CA241" s="291"/>
      <c r="CB241" s="291"/>
      <c r="CC241" s="291"/>
      <c r="CD241" s="291"/>
      <c r="CE241" s="291"/>
      <c r="CF241" s="291"/>
      <c r="CG241" s="291"/>
      <c r="CH241" s="291"/>
      <c r="CI241" s="291"/>
      <c r="CJ241" s="291"/>
      <c r="CK241" s="291"/>
      <c r="CL241" s="291"/>
      <c r="CM241" s="291"/>
      <c r="CN241" s="291"/>
      <c r="CO241" s="291"/>
      <c r="CP241" s="291"/>
      <c r="CQ241" s="291"/>
      <c r="CR241" s="291"/>
      <c r="CS241" s="291"/>
      <c r="CT241" s="291"/>
      <c r="CU241" s="291"/>
      <c r="CV241" s="291"/>
      <c r="CW241" s="291"/>
      <c r="CX241" s="291"/>
      <c r="CY241" s="291"/>
      <c r="CZ241" s="291"/>
      <c r="DA241" s="291"/>
      <c r="DB241" s="291"/>
      <c r="DC241" s="291"/>
      <c r="DD241" s="291"/>
      <c r="DE241" s="291"/>
      <c r="DF241" s="291"/>
      <c r="DG241" s="291"/>
      <c r="DH241" s="291"/>
      <c r="DI241" s="291"/>
      <c r="DJ241" s="291"/>
      <c r="DK241" s="291"/>
      <c r="DL241" s="291"/>
      <c r="DM241" s="291"/>
      <c r="DN241" s="291"/>
      <c r="DO241" s="291"/>
      <c r="DP241" s="291"/>
      <c r="DQ241" s="291"/>
      <c r="DR241" s="291"/>
      <c r="DS241" s="291"/>
      <c r="DT241" s="291"/>
      <c r="DU241" s="291"/>
      <c r="DV241" s="291"/>
      <c r="DW241" s="291"/>
      <c r="DX241" s="291"/>
      <c r="DY241" s="291"/>
      <c r="DZ241" s="291"/>
      <c r="EA241" s="291"/>
      <c r="EB241" s="291"/>
      <c r="EC241" s="291"/>
      <c r="ED241" s="291"/>
      <c r="EE241" s="291"/>
      <c r="EF241" s="291"/>
      <c r="EG241" s="291"/>
      <c r="EH241" s="291"/>
      <c r="EI241" s="291"/>
      <c r="EJ241" s="291"/>
      <c r="EK241" s="291"/>
      <c r="EL241" s="291"/>
      <c r="EM241" s="291"/>
      <c r="EN241" s="291"/>
      <c r="EO241" s="291"/>
      <c r="EP241" s="291"/>
      <c r="EQ241" s="291"/>
      <c r="ER241" s="291"/>
      <c r="ES241" s="291"/>
      <c r="ET241" s="291"/>
      <c r="EU241" s="291"/>
      <c r="EV241" s="291"/>
      <c r="EW241" s="291"/>
      <c r="EX241" s="291"/>
      <c r="EY241" s="291"/>
      <c r="EZ241" s="291"/>
      <c r="FA241" s="291"/>
      <c r="FB241" s="291"/>
      <c r="FC241" s="291"/>
      <c r="FD241" s="291"/>
      <c r="FE241" s="291"/>
      <c r="FF241" s="291"/>
      <c r="FG241" s="291"/>
      <c r="FH241" s="291"/>
      <c r="FI241" s="291"/>
      <c r="FJ241" s="291"/>
      <c r="FK241" s="291"/>
      <c r="FL241" s="291"/>
      <c r="FM241" s="291"/>
      <c r="FN241" s="291"/>
      <c r="FO241" s="291"/>
      <c r="FP241" s="291"/>
      <c r="FQ241" s="291"/>
      <c r="FR241" s="291"/>
      <c r="FS241" s="291"/>
      <c r="FT241" s="291"/>
      <c r="FU241" s="291"/>
      <c r="FV241" s="291"/>
      <c r="FW241" s="291"/>
      <c r="FX241" s="291"/>
      <c r="FY241" s="291"/>
      <c r="FZ241" s="291"/>
      <c r="GA241" s="291"/>
      <c r="GB241" s="291"/>
      <c r="GC241" s="291"/>
      <c r="GD241" s="291"/>
      <c r="GE241" s="291"/>
      <c r="GF241" s="291"/>
      <c r="GG241" s="291"/>
      <c r="GH241" s="291"/>
      <c r="GI241" s="291"/>
      <c r="GJ241" s="291"/>
      <c r="GK241" s="291"/>
      <c r="GL241" s="291"/>
      <c r="GM241" s="291"/>
      <c r="GN241" s="291"/>
      <c r="GO241" s="291"/>
      <c r="GP241" s="291"/>
      <c r="GQ241" s="291"/>
      <c r="GR241" s="291"/>
      <c r="GS241" s="291"/>
      <c r="GT241" s="291"/>
      <c r="GU241" s="291"/>
      <c r="GV241" s="291"/>
      <c r="GW241" s="291"/>
      <c r="GX241" s="291"/>
      <c r="GY241" s="291"/>
      <c r="GZ241" s="291"/>
      <c r="HA241" s="291"/>
      <c r="HB241" s="291"/>
      <c r="HC241" s="291"/>
      <c r="HD241" s="291"/>
      <c r="HE241" s="291"/>
      <c r="HF241" s="291"/>
      <c r="HG241" s="291"/>
      <c r="HH241" s="291"/>
      <c r="HI241" s="291"/>
      <c r="HJ241" s="291"/>
      <c r="HK241" s="291"/>
      <c r="HL241" s="291"/>
      <c r="HM241" s="291"/>
      <c r="HN241" s="291"/>
      <c r="HO241" s="291"/>
      <c r="HP241" s="291"/>
      <c r="HQ241" s="291"/>
      <c r="HR241" s="291"/>
      <c r="HS241" s="291"/>
      <c r="HT241" s="291"/>
      <c r="HU241" s="291"/>
      <c r="HV241" s="291"/>
      <c r="HW241" s="291"/>
      <c r="HX241" s="291"/>
      <c r="HY241" s="291"/>
      <c r="HZ241" s="291"/>
      <c r="IA241" s="291"/>
      <c r="IB241" s="291"/>
      <c r="IC241" s="291"/>
      <c r="ID241" s="291"/>
      <c r="IE241" s="291"/>
      <c r="IF241" s="291"/>
      <c r="IG241" s="291"/>
      <c r="IH241" s="291"/>
      <c r="II241" s="291"/>
      <c r="IJ241" s="291"/>
      <c r="IK241" s="291"/>
      <c r="IL241" s="291"/>
      <c r="IM241" s="291"/>
      <c r="IN241" s="291"/>
      <c r="IO241" s="291"/>
      <c r="IP241" s="291"/>
      <c r="IQ241" s="291"/>
      <c r="IR241" s="291"/>
      <c r="IS241" s="291"/>
      <c r="IT241" s="291"/>
      <c r="IU241" s="291"/>
      <c r="IV241" s="291"/>
      <c r="IW241" s="291"/>
      <c r="IX241" s="291"/>
      <c r="IY241" s="291"/>
      <c r="IZ241" s="291"/>
      <c r="JA241" s="291"/>
      <c r="JB241" s="291"/>
      <c r="JC241" s="291"/>
      <c r="JD241" s="291"/>
      <c r="JE241" s="291"/>
      <c r="JF241" s="291"/>
      <c r="JG241" s="291"/>
      <c r="JH241" s="291"/>
      <c r="JI241" s="291"/>
      <c r="JJ241" s="291"/>
      <c r="JK241" s="291"/>
      <c r="JL241" s="291"/>
      <c r="JM241" s="291"/>
      <c r="JN241" s="291"/>
      <c r="JO241" s="291"/>
      <c r="JP241" s="291"/>
      <c r="JQ241" s="291"/>
      <c r="JR241" s="291"/>
      <c r="JS241" s="291"/>
      <c r="JT241" s="291"/>
      <c r="JU241" s="291"/>
      <c r="JV241" s="291"/>
      <c r="JW241" s="291"/>
      <c r="JX241" s="291"/>
      <c r="JY241" s="291"/>
      <c r="JZ241" s="291"/>
      <c r="KA241" s="291"/>
      <c r="KB241" s="291"/>
      <c r="KC241" s="291"/>
      <c r="KD241" s="291"/>
      <c r="KE241" s="291"/>
      <c r="KF241" s="291"/>
      <c r="KG241" s="291"/>
      <c r="KH241" s="291"/>
      <c r="KI241" s="291"/>
      <c r="KJ241" s="291"/>
      <c r="KK241" s="291"/>
      <c r="KL241" s="291"/>
      <c r="KM241" s="291"/>
      <c r="KN241" s="291"/>
      <c r="KO241" s="291"/>
      <c r="KP241" s="291"/>
      <c r="KQ241" s="291"/>
      <c r="KR241" s="291"/>
      <c r="KS241" s="291"/>
      <c r="KT241" s="291"/>
      <c r="KU241" s="291"/>
      <c r="KV241" s="291"/>
      <c r="KW241" s="291"/>
      <c r="KX241" s="291"/>
      <c r="KY241" s="291"/>
      <c r="KZ241" s="291"/>
      <c r="LA241" s="291"/>
      <c r="LB241" s="291"/>
      <c r="LC241" s="291"/>
      <c r="LD241" s="291"/>
      <c r="LE241" s="291"/>
      <c r="LF241" s="291"/>
      <c r="LG241" s="291"/>
      <c r="LH241" s="291"/>
      <c r="LI241" s="291"/>
      <c r="LJ241" s="291"/>
      <c r="LK241" s="291"/>
      <c r="LL241" s="291"/>
      <c r="LM241" s="291"/>
      <c r="LN241" s="291"/>
      <c r="LO241" s="291"/>
      <c r="LP241" s="291"/>
      <c r="LQ241" s="291"/>
      <c r="LR241" s="291"/>
      <c r="LS241" s="291"/>
      <c r="LT241" s="291"/>
      <c r="LU241" s="291"/>
      <c r="LV241" s="291"/>
      <c r="LW241" s="291"/>
      <c r="LX241" s="291"/>
      <c r="LY241" s="291"/>
      <c r="LZ241" s="291"/>
      <c r="MA241" s="291"/>
      <c r="MB241" s="291"/>
      <c r="MC241" s="291"/>
      <c r="MD241" s="291"/>
      <c r="ME241" s="291"/>
      <c r="MF241" s="291"/>
      <c r="MG241" s="291"/>
      <c r="MH241" s="291"/>
      <c r="MI241" s="291"/>
      <c r="MJ241" s="291"/>
      <c r="MK241" s="291"/>
      <c r="ML241" s="291"/>
      <c r="MM241" s="291"/>
      <c r="MN241" s="291"/>
      <c r="MO241" s="291"/>
      <c r="MP241" s="291"/>
      <c r="MQ241" s="291"/>
      <c r="MR241" s="291"/>
      <c r="MS241" s="291"/>
      <c r="MT241" s="291"/>
      <c r="MU241" s="291"/>
      <c r="MV241" s="291"/>
      <c r="MW241" s="291"/>
      <c r="MX241" s="291"/>
      <c r="MY241" s="291"/>
      <c r="MZ241" s="291"/>
      <c r="NA241" s="291"/>
      <c r="NB241" s="291"/>
      <c r="NC241" s="291"/>
      <c r="ND241" s="291"/>
      <c r="NE241" s="291"/>
      <c r="NF241" s="291"/>
      <c r="NG241" s="291"/>
      <c r="NH241" s="291"/>
      <c r="NI241" s="291"/>
      <c r="NJ241" s="291"/>
      <c r="NK241" s="291"/>
      <c r="NL241" s="291"/>
      <c r="NM241" s="291"/>
      <c r="NN241" s="291"/>
      <c r="NO241" s="291"/>
      <c r="NP241" s="291"/>
      <c r="NQ241" s="291"/>
      <c r="NR241" s="291"/>
      <c r="NS241" s="291"/>
      <c r="NT241" s="291"/>
      <c r="NU241" s="291"/>
      <c r="NV241" s="291"/>
      <c r="NW241" s="291"/>
      <c r="NX241" s="291"/>
      <c r="NY241" s="291"/>
      <c r="NZ241" s="291"/>
      <c r="OA241" s="291"/>
      <c r="OB241" s="291"/>
      <c r="OC241" s="291"/>
      <c r="OD241" s="291"/>
      <c r="OE241" s="291"/>
      <c r="OF241" s="291"/>
      <c r="OG241" s="291"/>
      <c r="OH241" s="291"/>
      <c r="OI241" s="291"/>
      <c r="OJ241" s="291"/>
      <c r="OK241" s="291"/>
      <c r="OL241" s="291"/>
      <c r="OM241" s="291"/>
      <c r="ON241" s="291"/>
      <c r="OO241" s="291"/>
      <c r="OP241" s="291"/>
      <c r="OQ241" s="291"/>
      <c r="OR241" s="291"/>
      <c r="OS241" s="291"/>
      <c r="OT241" s="291"/>
      <c r="OU241" s="291"/>
      <c r="OV241" s="291"/>
      <c r="OW241" s="291"/>
    </row>
    <row r="242" spans="1:413" s="257" customFormat="1" hidden="1" x14ac:dyDescent="0.2">
      <c r="A242" s="291"/>
      <c r="B242" s="524">
        <f t="shared" si="15"/>
        <v>226</v>
      </c>
      <c r="C242" s="510" t="s">
        <v>38</v>
      </c>
      <c r="D242" s="511">
        <v>40018682</v>
      </c>
      <c r="E242" s="511"/>
      <c r="F242" s="512" t="s">
        <v>1402</v>
      </c>
      <c r="G242" s="513" t="s">
        <v>45</v>
      </c>
      <c r="H242" s="514" t="s">
        <v>1094</v>
      </c>
      <c r="I242" s="515" t="s">
        <v>1163</v>
      </c>
      <c r="J242" s="346" t="s">
        <v>43</v>
      </c>
      <c r="K242" s="526">
        <v>246214</v>
      </c>
      <c r="L242" s="527"/>
      <c r="M242" s="528">
        <v>5579</v>
      </c>
      <c r="N242" s="520">
        <v>240635</v>
      </c>
      <c r="O242" s="520">
        <v>0</v>
      </c>
      <c r="P242" s="520">
        <v>0</v>
      </c>
      <c r="Q242" s="520">
        <v>0</v>
      </c>
      <c r="R242" s="520">
        <v>0</v>
      </c>
      <c r="S242" s="520">
        <v>0</v>
      </c>
      <c r="T242" s="18"/>
      <c r="U242" s="18"/>
      <c r="V242" s="18"/>
      <c r="W242" s="18"/>
      <c r="X242" s="18"/>
      <c r="Y242" s="18"/>
      <c r="Z242" s="18">
        <f t="shared" si="12"/>
        <v>240635</v>
      </c>
      <c r="AA242" s="309">
        <v>240635</v>
      </c>
      <c r="AB242" s="19">
        <v>2</v>
      </c>
      <c r="AC242" s="521">
        <v>44221</v>
      </c>
      <c r="AD242" s="25">
        <v>44225</v>
      </c>
      <c r="AE242" s="309"/>
      <c r="AF242" s="314"/>
      <c r="AG242" s="315"/>
      <c r="AH242" s="316"/>
      <c r="AI242" s="309"/>
      <c r="AJ242" s="338"/>
      <c r="AK242" s="315"/>
      <c r="AL242" s="316"/>
      <c r="AM242" s="309"/>
      <c r="AN242" s="338"/>
      <c r="AO242" s="21"/>
      <c r="AP242" s="25"/>
      <c r="AQ242" s="309"/>
      <c r="AR242" s="19"/>
      <c r="AS242" s="21"/>
      <c r="AT242" s="25"/>
      <c r="AU242" s="522">
        <f t="shared" si="13"/>
        <v>240635</v>
      </c>
      <c r="AV242" s="311">
        <f t="shared" si="14"/>
        <v>0</v>
      </c>
      <c r="AW242" s="305"/>
      <c r="AX242" s="291"/>
      <c r="AY242" s="291"/>
      <c r="AZ242" s="291"/>
      <c r="BA242" s="291"/>
      <c r="BB242" s="291"/>
      <c r="BC242" s="291"/>
      <c r="BD242" s="291"/>
      <c r="BE242" s="291"/>
      <c r="BF242" s="291"/>
      <c r="BG242" s="291"/>
      <c r="BH242" s="291"/>
      <c r="BI242" s="291"/>
      <c r="BJ242" s="291"/>
      <c r="BK242" s="291"/>
      <c r="BL242" s="291"/>
      <c r="BM242" s="291"/>
      <c r="BN242" s="291"/>
      <c r="BO242" s="291"/>
      <c r="BP242" s="291"/>
      <c r="BQ242" s="291"/>
      <c r="BR242" s="291"/>
      <c r="BS242" s="291"/>
      <c r="BT242" s="291"/>
      <c r="BU242" s="291"/>
      <c r="BV242" s="291"/>
      <c r="BW242" s="291"/>
      <c r="BX242" s="291"/>
      <c r="BY242" s="291"/>
      <c r="BZ242" s="291"/>
      <c r="CA242" s="291"/>
      <c r="CB242" s="291"/>
      <c r="CC242" s="291"/>
      <c r="CD242" s="291"/>
      <c r="CE242" s="291"/>
      <c r="CF242" s="291"/>
      <c r="CG242" s="291"/>
      <c r="CH242" s="291"/>
      <c r="CI242" s="291"/>
      <c r="CJ242" s="291"/>
      <c r="CK242" s="291"/>
      <c r="CL242" s="291"/>
      <c r="CM242" s="291"/>
      <c r="CN242" s="291"/>
      <c r="CO242" s="291"/>
      <c r="CP242" s="291"/>
      <c r="CQ242" s="291"/>
      <c r="CR242" s="291"/>
      <c r="CS242" s="291"/>
      <c r="CT242" s="291"/>
      <c r="CU242" s="291"/>
      <c r="CV242" s="291"/>
      <c r="CW242" s="291"/>
      <c r="CX242" s="291"/>
      <c r="CY242" s="291"/>
      <c r="CZ242" s="291"/>
      <c r="DA242" s="291"/>
      <c r="DB242" s="291"/>
      <c r="DC242" s="291"/>
      <c r="DD242" s="291"/>
      <c r="DE242" s="291"/>
      <c r="DF242" s="291"/>
      <c r="DG242" s="291"/>
      <c r="DH242" s="291"/>
      <c r="DI242" s="291"/>
      <c r="DJ242" s="291"/>
      <c r="DK242" s="291"/>
      <c r="DL242" s="291"/>
      <c r="DM242" s="291"/>
      <c r="DN242" s="291"/>
      <c r="DO242" s="291"/>
      <c r="DP242" s="291"/>
      <c r="DQ242" s="291"/>
      <c r="DR242" s="291"/>
      <c r="DS242" s="291"/>
      <c r="DT242" s="291"/>
      <c r="DU242" s="291"/>
      <c r="DV242" s="291"/>
      <c r="DW242" s="291"/>
      <c r="DX242" s="291"/>
      <c r="DY242" s="291"/>
      <c r="DZ242" s="291"/>
      <c r="EA242" s="291"/>
      <c r="EB242" s="291"/>
      <c r="EC242" s="291"/>
      <c r="ED242" s="291"/>
      <c r="EE242" s="291"/>
      <c r="EF242" s="291"/>
      <c r="EG242" s="291"/>
      <c r="EH242" s="291"/>
      <c r="EI242" s="291"/>
      <c r="EJ242" s="291"/>
      <c r="EK242" s="291"/>
      <c r="EL242" s="291"/>
      <c r="EM242" s="291"/>
      <c r="EN242" s="291"/>
      <c r="EO242" s="291"/>
      <c r="EP242" s="291"/>
      <c r="EQ242" s="291"/>
      <c r="ER242" s="291"/>
      <c r="ES242" s="291"/>
      <c r="ET242" s="291"/>
      <c r="EU242" s="291"/>
      <c r="EV242" s="291"/>
      <c r="EW242" s="291"/>
      <c r="EX242" s="291"/>
      <c r="EY242" s="291"/>
      <c r="EZ242" s="291"/>
      <c r="FA242" s="291"/>
      <c r="FB242" s="291"/>
      <c r="FC242" s="291"/>
      <c r="FD242" s="291"/>
      <c r="FE242" s="291"/>
      <c r="FF242" s="291"/>
      <c r="FG242" s="291"/>
      <c r="FH242" s="291"/>
      <c r="FI242" s="291"/>
      <c r="FJ242" s="291"/>
      <c r="FK242" s="291"/>
      <c r="FL242" s="291"/>
      <c r="FM242" s="291"/>
      <c r="FN242" s="291"/>
      <c r="FO242" s="291"/>
      <c r="FP242" s="291"/>
      <c r="FQ242" s="291"/>
      <c r="FR242" s="291"/>
      <c r="FS242" s="291"/>
      <c r="FT242" s="291"/>
      <c r="FU242" s="291"/>
      <c r="FV242" s="291"/>
      <c r="FW242" s="291"/>
      <c r="FX242" s="291"/>
      <c r="FY242" s="291"/>
      <c r="FZ242" s="291"/>
      <c r="GA242" s="291"/>
      <c r="GB242" s="291"/>
      <c r="GC242" s="291"/>
      <c r="GD242" s="291"/>
      <c r="GE242" s="291"/>
      <c r="GF242" s="291"/>
      <c r="GG242" s="291"/>
      <c r="GH242" s="291"/>
      <c r="GI242" s="291"/>
      <c r="GJ242" s="291"/>
      <c r="GK242" s="291"/>
      <c r="GL242" s="291"/>
      <c r="GM242" s="291"/>
      <c r="GN242" s="291"/>
      <c r="GO242" s="291"/>
      <c r="GP242" s="291"/>
      <c r="GQ242" s="291"/>
      <c r="GR242" s="291"/>
      <c r="GS242" s="291"/>
      <c r="GT242" s="291"/>
      <c r="GU242" s="291"/>
      <c r="GV242" s="291"/>
      <c r="GW242" s="291"/>
      <c r="GX242" s="291"/>
      <c r="GY242" s="291"/>
      <c r="GZ242" s="291"/>
      <c r="HA242" s="291"/>
      <c r="HB242" s="291"/>
      <c r="HC242" s="291"/>
      <c r="HD242" s="291"/>
      <c r="HE242" s="291"/>
      <c r="HF242" s="291"/>
      <c r="HG242" s="291"/>
      <c r="HH242" s="291"/>
      <c r="HI242" s="291"/>
      <c r="HJ242" s="291"/>
      <c r="HK242" s="291"/>
      <c r="HL242" s="291"/>
      <c r="HM242" s="291"/>
      <c r="HN242" s="291"/>
      <c r="HO242" s="291"/>
      <c r="HP242" s="291"/>
      <c r="HQ242" s="291"/>
      <c r="HR242" s="291"/>
      <c r="HS242" s="291"/>
      <c r="HT242" s="291"/>
      <c r="HU242" s="291"/>
      <c r="HV242" s="291"/>
      <c r="HW242" s="291"/>
      <c r="HX242" s="291"/>
      <c r="HY242" s="291"/>
      <c r="HZ242" s="291"/>
      <c r="IA242" s="291"/>
      <c r="IB242" s="291"/>
      <c r="IC242" s="291"/>
      <c r="ID242" s="291"/>
      <c r="IE242" s="291"/>
      <c r="IF242" s="291"/>
      <c r="IG242" s="291"/>
      <c r="IH242" s="291"/>
      <c r="II242" s="291"/>
      <c r="IJ242" s="291"/>
      <c r="IK242" s="291"/>
      <c r="IL242" s="291"/>
      <c r="IM242" s="291"/>
      <c r="IN242" s="291"/>
      <c r="IO242" s="291"/>
      <c r="IP242" s="291"/>
      <c r="IQ242" s="291"/>
      <c r="IR242" s="291"/>
      <c r="IS242" s="291"/>
      <c r="IT242" s="291"/>
      <c r="IU242" s="291"/>
      <c r="IV242" s="291"/>
      <c r="IW242" s="291"/>
      <c r="IX242" s="291"/>
      <c r="IY242" s="291"/>
      <c r="IZ242" s="291"/>
      <c r="JA242" s="291"/>
      <c r="JB242" s="291"/>
      <c r="JC242" s="291"/>
      <c r="JD242" s="291"/>
      <c r="JE242" s="291"/>
      <c r="JF242" s="291"/>
      <c r="JG242" s="291"/>
      <c r="JH242" s="291"/>
      <c r="JI242" s="291"/>
      <c r="JJ242" s="291"/>
      <c r="JK242" s="291"/>
      <c r="JL242" s="291"/>
      <c r="JM242" s="291"/>
      <c r="JN242" s="291"/>
      <c r="JO242" s="291"/>
      <c r="JP242" s="291"/>
      <c r="JQ242" s="291"/>
      <c r="JR242" s="291"/>
      <c r="JS242" s="291"/>
      <c r="JT242" s="291"/>
      <c r="JU242" s="291"/>
      <c r="JV242" s="291"/>
      <c r="JW242" s="291"/>
      <c r="JX242" s="291"/>
      <c r="JY242" s="291"/>
      <c r="JZ242" s="291"/>
      <c r="KA242" s="291"/>
      <c r="KB242" s="291"/>
      <c r="KC242" s="291"/>
      <c r="KD242" s="291"/>
      <c r="KE242" s="291"/>
      <c r="KF242" s="291"/>
      <c r="KG242" s="291"/>
      <c r="KH242" s="291"/>
      <c r="KI242" s="291"/>
      <c r="KJ242" s="291"/>
      <c r="KK242" s="291"/>
      <c r="KL242" s="291"/>
      <c r="KM242" s="291"/>
      <c r="KN242" s="291"/>
      <c r="KO242" s="291"/>
      <c r="KP242" s="291"/>
      <c r="KQ242" s="291"/>
      <c r="KR242" s="291"/>
      <c r="KS242" s="291"/>
      <c r="KT242" s="291"/>
      <c r="KU242" s="291"/>
      <c r="KV242" s="291"/>
      <c r="KW242" s="291"/>
      <c r="KX242" s="291"/>
      <c r="KY242" s="291"/>
      <c r="KZ242" s="291"/>
      <c r="LA242" s="291"/>
      <c r="LB242" s="291"/>
      <c r="LC242" s="291"/>
      <c r="LD242" s="291"/>
      <c r="LE242" s="291"/>
      <c r="LF242" s="291"/>
      <c r="LG242" s="291"/>
      <c r="LH242" s="291"/>
      <c r="LI242" s="291"/>
      <c r="LJ242" s="291"/>
      <c r="LK242" s="291"/>
      <c r="LL242" s="291"/>
      <c r="LM242" s="291"/>
      <c r="LN242" s="291"/>
      <c r="LO242" s="291"/>
      <c r="LP242" s="291"/>
      <c r="LQ242" s="291"/>
      <c r="LR242" s="291"/>
      <c r="LS242" s="291"/>
      <c r="LT242" s="291"/>
      <c r="LU242" s="291"/>
      <c r="LV242" s="291"/>
      <c r="LW242" s="291"/>
      <c r="LX242" s="291"/>
      <c r="LY242" s="291"/>
      <c r="LZ242" s="291"/>
      <c r="MA242" s="291"/>
      <c r="MB242" s="291"/>
      <c r="MC242" s="291"/>
      <c r="MD242" s="291"/>
      <c r="ME242" s="291"/>
      <c r="MF242" s="291"/>
      <c r="MG242" s="291"/>
      <c r="MH242" s="291"/>
      <c r="MI242" s="291"/>
      <c r="MJ242" s="291"/>
      <c r="MK242" s="291"/>
      <c r="ML242" s="291"/>
      <c r="MM242" s="291"/>
      <c r="MN242" s="291"/>
      <c r="MO242" s="291"/>
      <c r="MP242" s="291"/>
      <c r="MQ242" s="291"/>
      <c r="MR242" s="291"/>
      <c r="MS242" s="291"/>
      <c r="MT242" s="291"/>
      <c r="MU242" s="291"/>
      <c r="MV242" s="291"/>
      <c r="MW242" s="291"/>
      <c r="MX242" s="291"/>
      <c r="MY242" s="291"/>
      <c r="MZ242" s="291"/>
      <c r="NA242" s="291"/>
      <c r="NB242" s="291"/>
      <c r="NC242" s="291"/>
      <c r="ND242" s="291"/>
      <c r="NE242" s="291"/>
      <c r="NF242" s="291"/>
      <c r="NG242" s="291"/>
      <c r="NH242" s="291"/>
      <c r="NI242" s="291"/>
      <c r="NJ242" s="291"/>
      <c r="NK242" s="291"/>
      <c r="NL242" s="291"/>
      <c r="NM242" s="291"/>
      <c r="NN242" s="291"/>
      <c r="NO242" s="291"/>
      <c r="NP242" s="291"/>
      <c r="NQ242" s="291"/>
      <c r="NR242" s="291"/>
      <c r="NS242" s="291"/>
      <c r="NT242" s="291"/>
      <c r="NU242" s="291"/>
      <c r="NV242" s="291"/>
      <c r="NW242" s="291"/>
      <c r="NX242" s="291"/>
      <c r="NY242" s="291"/>
      <c r="NZ242" s="291"/>
      <c r="OA242" s="291"/>
      <c r="OB242" s="291"/>
      <c r="OC242" s="291"/>
      <c r="OD242" s="291"/>
      <c r="OE242" s="291"/>
      <c r="OF242" s="291"/>
      <c r="OG242" s="291"/>
      <c r="OH242" s="291"/>
      <c r="OI242" s="291"/>
      <c r="OJ242" s="291"/>
      <c r="OK242" s="291"/>
      <c r="OL242" s="291"/>
      <c r="OM242" s="291"/>
      <c r="ON242" s="291"/>
      <c r="OO242" s="291"/>
      <c r="OP242" s="291"/>
      <c r="OQ242" s="291"/>
      <c r="OR242" s="291"/>
      <c r="OS242" s="291"/>
      <c r="OT242" s="291"/>
      <c r="OU242" s="291"/>
      <c r="OV242" s="291"/>
      <c r="OW242" s="291"/>
    </row>
    <row r="243" spans="1:413" s="257" customFormat="1" hidden="1" x14ac:dyDescent="0.2">
      <c r="A243" s="291"/>
      <c r="B243" s="524">
        <f t="shared" si="15"/>
        <v>227</v>
      </c>
      <c r="C243" s="510" t="s">
        <v>38</v>
      </c>
      <c r="D243" s="511">
        <v>40019245</v>
      </c>
      <c r="E243" s="511"/>
      <c r="F243" s="512" t="s">
        <v>1403</v>
      </c>
      <c r="G243" s="513" t="s">
        <v>45</v>
      </c>
      <c r="H243" s="514" t="s">
        <v>1094</v>
      </c>
      <c r="I243" s="515" t="s">
        <v>1099</v>
      </c>
      <c r="J243" s="346" t="s">
        <v>43</v>
      </c>
      <c r="K243" s="526">
        <v>458736</v>
      </c>
      <c r="L243" s="527">
        <v>0</v>
      </c>
      <c r="M243" s="528">
        <v>408736</v>
      </c>
      <c r="N243" s="520">
        <v>0</v>
      </c>
      <c r="O243" s="520">
        <v>0</v>
      </c>
      <c r="P243" s="520">
        <v>0</v>
      </c>
      <c r="Q243" s="520">
        <v>0</v>
      </c>
      <c r="R243" s="520">
        <v>0</v>
      </c>
      <c r="S243" s="520">
        <v>0</v>
      </c>
      <c r="T243" s="18"/>
      <c r="U243" s="18"/>
      <c r="V243" s="18"/>
      <c r="W243" s="18"/>
      <c r="X243" s="18"/>
      <c r="Y243" s="18"/>
      <c r="Z243" s="18">
        <f t="shared" si="12"/>
        <v>0</v>
      </c>
      <c r="AA243" s="309">
        <v>50000</v>
      </c>
      <c r="AB243" s="19">
        <v>3</v>
      </c>
      <c r="AC243" s="521">
        <v>44222</v>
      </c>
      <c r="AD243" s="25">
        <v>44225</v>
      </c>
      <c r="AE243" s="309"/>
      <c r="AF243" s="314"/>
      <c r="AG243" s="315"/>
      <c r="AH243" s="316"/>
      <c r="AI243" s="309"/>
      <c r="AJ243" s="338"/>
      <c r="AK243" s="315"/>
      <c r="AL243" s="316"/>
      <c r="AM243" s="309"/>
      <c r="AN243" s="338"/>
      <c r="AO243" s="21"/>
      <c r="AP243" s="25"/>
      <c r="AQ243" s="309"/>
      <c r="AR243" s="19"/>
      <c r="AS243" s="21"/>
      <c r="AT243" s="25"/>
      <c r="AU243" s="522">
        <f t="shared" si="13"/>
        <v>50000</v>
      </c>
      <c r="AV243" s="311">
        <f t="shared" si="14"/>
        <v>50000</v>
      </c>
      <c r="AW243" s="305"/>
      <c r="AX243" s="291"/>
      <c r="AY243" s="291"/>
      <c r="AZ243" s="291"/>
      <c r="BA243" s="291"/>
      <c r="BB243" s="291"/>
      <c r="BC243" s="291"/>
      <c r="BD243" s="291"/>
      <c r="BE243" s="291"/>
      <c r="BF243" s="291"/>
      <c r="BG243" s="291"/>
      <c r="BH243" s="291"/>
      <c r="BI243" s="291"/>
      <c r="BJ243" s="291"/>
      <c r="BK243" s="291"/>
      <c r="BL243" s="291"/>
      <c r="BM243" s="291"/>
      <c r="BN243" s="291"/>
      <c r="BO243" s="291"/>
      <c r="BP243" s="291"/>
      <c r="BQ243" s="291"/>
      <c r="BR243" s="291"/>
      <c r="BS243" s="291"/>
      <c r="BT243" s="291"/>
      <c r="BU243" s="291"/>
      <c r="BV243" s="291"/>
      <c r="BW243" s="291"/>
      <c r="BX243" s="291"/>
      <c r="BY243" s="291"/>
      <c r="BZ243" s="291"/>
      <c r="CA243" s="291"/>
      <c r="CB243" s="291"/>
      <c r="CC243" s="291"/>
      <c r="CD243" s="291"/>
      <c r="CE243" s="291"/>
      <c r="CF243" s="291"/>
      <c r="CG243" s="291"/>
      <c r="CH243" s="291"/>
      <c r="CI243" s="291"/>
      <c r="CJ243" s="291"/>
      <c r="CK243" s="291"/>
      <c r="CL243" s="291"/>
      <c r="CM243" s="291"/>
      <c r="CN243" s="291"/>
      <c r="CO243" s="291"/>
      <c r="CP243" s="291"/>
      <c r="CQ243" s="291"/>
      <c r="CR243" s="291"/>
      <c r="CS243" s="291"/>
      <c r="CT243" s="291"/>
      <c r="CU243" s="291"/>
      <c r="CV243" s="291"/>
      <c r="CW243" s="291"/>
      <c r="CX243" s="291"/>
      <c r="CY243" s="291"/>
      <c r="CZ243" s="291"/>
      <c r="DA243" s="291"/>
      <c r="DB243" s="291"/>
      <c r="DC243" s="291"/>
      <c r="DD243" s="291"/>
      <c r="DE243" s="291"/>
      <c r="DF243" s="291"/>
      <c r="DG243" s="291"/>
      <c r="DH243" s="291"/>
      <c r="DI243" s="291"/>
      <c r="DJ243" s="291"/>
      <c r="DK243" s="291"/>
      <c r="DL243" s="291"/>
      <c r="DM243" s="291"/>
      <c r="DN243" s="291"/>
      <c r="DO243" s="291"/>
      <c r="DP243" s="291"/>
      <c r="DQ243" s="291"/>
      <c r="DR243" s="291"/>
      <c r="DS243" s="291"/>
      <c r="DT243" s="291"/>
      <c r="DU243" s="291"/>
      <c r="DV243" s="291"/>
      <c r="DW243" s="291"/>
      <c r="DX243" s="291"/>
      <c r="DY243" s="291"/>
      <c r="DZ243" s="291"/>
      <c r="EA243" s="291"/>
      <c r="EB243" s="291"/>
      <c r="EC243" s="291"/>
      <c r="ED243" s="291"/>
      <c r="EE243" s="291"/>
      <c r="EF243" s="291"/>
      <c r="EG243" s="291"/>
      <c r="EH243" s="291"/>
      <c r="EI243" s="291"/>
      <c r="EJ243" s="291"/>
      <c r="EK243" s="291"/>
      <c r="EL243" s="291"/>
      <c r="EM243" s="291"/>
      <c r="EN243" s="291"/>
      <c r="EO243" s="291"/>
      <c r="EP243" s="291"/>
      <c r="EQ243" s="291"/>
      <c r="ER243" s="291"/>
      <c r="ES243" s="291"/>
      <c r="ET243" s="291"/>
      <c r="EU243" s="291"/>
      <c r="EV243" s="291"/>
      <c r="EW243" s="291"/>
      <c r="EX243" s="291"/>
      <c r="EY243" s="291"/>
      <c r="EZ243" s="291"/>
      <c r="FA243" s="291"/>
      <c r="FB243" s="291"/>
      <c r="FC243" s="291"/>
      <c r="FD243" s="291"/>
      <c r="FE243" s="291"/>
      <c r="FF243" s="291"/>
      <c r="FG243" s="291"/>
      <c r="FH243" s="291"/>
      <c r="FI243" s="291"/>
      <c r="FJ243" s="291"/>
      <c r="FK243" s="291"/>
      <c r="FL243" s="291"/>
      <c r="FM243" s="291"/>
      <c r="FN243" s="291"/>
      <c r="FO243" s="291"/>
      <c r="FP243" s="291"/>
      <c r="FQ243" s="291"/>
      <c r="FR243" s="291"/>
      <c r="FS243" s="291"/>
      <c r="FT243" s="291"/>
      <c r="FU243" s="291"/>
      <c r="FV243" s="291"/>
      <c r="FW243" s="291"/>
      <c r="FX243" s="291"/>
      <c r="FY243" s="291"/>
      <c r="FZ243" s="291"/>
      <c r="GA243" s="291"/>
      <c r="GB243" s="291"/>
      <c r="GC243" s="291"/>
      <c r="GD243" s="291"/>
      <c r="GE243" s="291"/>
      <c r="GF243" s="291"/>
      <c r="GG243" s="291"/>
      <c r="GH243" s="291"/>
      <c r="GI243" s="291"/>
      <c r="GJ243" s="291"/>
      <c r="GK243" s="291"/>
      <c r="GL243" s="291"/>
      <c r="GM243" s="291"/>
      <c r="GN243" s="291"/>
      <c r="GO243" s="291"/>
      <c r="GP243" s="291"/>
      <c r="GQ243" s="291"/>
      <c r="GR243" s="291"/>
      <c r="GS243" s="291"/>
      <c r="GT243" s="291"/>
      <c r="GU243" s="291"/>
      <c r="GV243" s="291"/>
      <c r="GW243" s="291"/>
      <c r="GX243" s="291"/>
      <c r="GY243" s="291"/>
      <c r="GZ243" s="291"/>
      <c r="HA243" s="291"/>
      <c r="HB243" s="291"/>
      <c r="HC243" s="291"/>
      <c r="HD243" s="291"/>
      <c r="HE243" s="291"/>
      <c r="HF243" s="291"/>
      <c r="HG243" s="291"/>
      <c r="HH243" s="291"/>
      <c r="HI243" s="291"/>
      <c r="HJ243" s="291"/>
      <c r="HK243" s="291"/>
      <c r="HL243" s="291"/>
      <c r="HM243" s="291"/>
      <c r="HN243" s="291"/>
      <c r="HO243" s="291"/>
      <c r="HP243" s="291"/>
      <c r="HQ243" s="291"/>
      <c r="HR243" s="291"/>
      <c r="HS243" s="291"/>
      <c r="HT243" s="291"/>
      <c r="HU243" s="291"/>
      <c r="HV243" s="291"/>
      <c r="HW243" s="291"/>
      <c r="HX243" s="291"/>
      <c r="HY243" s="291"/>
      <c r="HZ243" s="291"/>
      <c r="IA243" s="291"/>
      <c r="IB243" s="291"/>
      <c r="IC243" s="291"/>
      <c r="ID243" s="291"/>
      <c r="IE243" s="291"/>
      <c r="IF243" s="291"/>
      <c r="IG243" s="291"/>
      <c r="IH243" s="291"/>
      <c r="II243" s="291"/>
      <c r="IJ243" s="291"/>
      <c r="IK243" s="291"/>
      <c r="IL243" s="291"/>
      <c r="IM243" s="291"/>
      <c r="IN243" s="291"/>
      <c r="IO243" s="291"/>
      <c r="IP243" s="291"/>
      <c r="IQ243" s="291"/>
      <c r="IR243" s="291"/>
      <c r="IS243" s="291"/>
      <c r="IT243" s="291"/>
      <c r="IU243" s="291"/>
      <c r="IV243" s="291"/>
      <c r="IW243" s="291"/>
      <c r="IX243" s="291"/>
      <c r="IY243" s="291"/>
      <c r="IZ243" s="291"/>
      <c r="JA243" s="291"/>
      <c r="JB243" s="291"/>
      <c r="JC243" s="291"/>
      <c r="JD243" s="291"/>
      <c r="JE243" s="291"/>
      <c r="JF243" s="291"/>
      <c r="JG243" s="291"/>
      <c r="JH243" s="291"/>
      <c r="JI243" s="291"/>
      <c r="JJ243" s="291"/>
      <c r="JK243" s="291"/>
      <c r="JL243" s="291"/>
      <c r="JM243" s="291"/>
      <c r="JN243" s="291"/>
      <c r="JO243" s="291"/>
      <c r="JP243" s="291"/>
      <c r="JQ243" s="291"/>
      <c r="JR243" s="291"/>
      <c r="JS243" s="291"/>
      <c r="JT243" s="291"/>
      <c r="JU243" s="291"/>
      <c r="JV243" s="291"/>
      <c r="JW243" s="291"/>
      <c r="JX243" s="291"/>
      <c r="JY243" s="291"/>
      <c r="JZ243" s="291"/>
      <c r="KA243" s="291"/>
      <c r="KB243" s="291"/>
      <c r="KC243" s="291"/>
      <c r="KD243" s="291"/>
      <c r="KE243" s="291"/>
      <c r="KF243" s="291"/>
      <c r="KG243" s="291"/>
      <c r="KH243" s="291"/>
      <c r="KI243" s="291"/>
      <c r="KJ243" s="291"/>
      <c r="KK243" s="291"/>
      <c r="KL243" s="291"/>
      <c r="KM243" s="291"/>
      <c r="KN243" s="291"/>
      <c r="KO243" s="291"/>
      <c r="KP243" s="291"/>
      <c r="KQ243" s="291"/>
      <c r="KR243" s="291"/>
      <c r="KS243" s="291"/>
      <c r="KT243" s="291"/>
      <c r="KU243" s="291"/>
      <c r="KV243" s="291"/>
      <c r="KW243" s="291"/>
      <c r="KX243" s="291"/>
      <c r="KY243" s="291"/>
      <c r="KZ243" s="291"/>
      <c r="LA243" s="291"/>
      <c r="LB243" s="291"/>
      <c r="LC243" s="291"/>
      <c r="LD243" s="291"/>
      <c r="LE243" s="291"/>
      <c r="LF243" s="291"/>
      <c r="LG243" s="291"/>
      <c r="LH243" s="291"/>
      <c r="LI243" s="291"/>
      <c r="LJ243" s="291"/>
      <c r="LK243" s="291"/>
      <c r="LL243" s="291"/>
      <c r="LM243" s="291"/>
      <c r="LN243" s="291"/>
      <c r="LO243" s="291"/>
      <c r="LP243" s="291"/>
      <c r="LQ243" s="291"/>
      <c r="LR243" s="291"/>
      <c r="LS243" s="291"/>
      <c r="LT243" s="291"/>
      <c r="LU243" s="291"/>
      <c r="LV243" s="291"/>
      <c r="LW243" s="291"/>
      <c r="LX243" s="291"/>
      <c r="LY243" s="291"/>
      <c r="LZ243" s="291"/>
      <c r="MA243" s="291"/>
      <c r="MB243" s="291"/>
      <c r="MC243" s="291"/>
      <c r="MD243" s="291"/>
      <c r="ME243" s="291"/>
      <c r="MF243" s="291"/>
      <c r="MG243" s="291"/>
      <c r="MH243" s="291"/>
      <c r="MI243" s="291"/>
      <c r="MJ243" s="291"/>
      <c r="MK243" s="291"/>
      <c r="ML243" s="291"/>
      <c r="MM243" s="291"/>
      <c r="MN243" s="291"/>
      <c r="MO243" s="291"/>
      <c r="MP243" s="291"/>
      <c r="MQ243" s="291"/>
      <c r="MR243" s="291"/>
      <c r="MS243" s="291"/>
      <c r="MT243" s="291"/>
      <c r="MU243" s="291"/>
      <c r="MV243" s="291"/>
      <c r="MW243" s="291"/>
      <c r="MX243" s="291"/>
      <c r="MY243" s="291"/>
      <c r="MZ243" s="291"/>
      <c r="NA243" s="291"/>
      <c r="NB243" s="291"/>
      <c r="NC243" s="291"/>
      <c r="ND243" s="291"/>
      <c r="NE243" s="291"/>
      <c r="NF243" s="291"/>
      <c r="NG243" s="291"/>
      <c r="NH243" s="291"/>
      <c r="NI243" s="291"/>
      <c r="NJ243" s="291"/>
      <c r="NK243" s="291"/>
      <c r="NL243" s="291"/>
      <c r="NM243" s="291"/>
      <c r="NN243" s="291"/>
      <c r="NO243" s="291"/>
      <c r="NP243" s="291"/>
      <c r="NQ243" s="291"/>
      <c r="NR243" s="291"/>
      <c r="NS243" s="291"/>
      <c r="NT243" s="291"/>
      <c r="NU243" s="291"/>
      <c r="NV243" s="291"/>
      <c r="NW243" s="291"/>
      <c r="NX243" s="291"/>
      <c r="NY243" s="291"/>
      <c r="NZ243" s="291"/>
      <c r="OA243" s="291"/>
      <c r="OB243" s="291"/>
      <c r="OC243" s="291"/>
      <c r="OD243" s="291"/>
      <c r="OE243" s="291"/>
      <c r="OF243" s="291"/>
      <c r="OG243" s="291"/>
      <c r="OH243" s="291"/>
      <c r="OI243" s="291"/>
      <c r="OJ243" s="291"/>
      <c r="OK243" s="291"/>
      <c r="OL243" s="291"/>
      <c r="OM243" s="291"/>
      <c r="ON243" s="291"/>
      <c r="OO243" s="291"/>
      <c r="OP243" s="291"/>
      <c r="OQ243" s="291"/>
      <c r="OR243" s="291"/>
      <c r="OS243" s="291"/>
      <c r="OT243" s="291"/>
      <c r="OU243" s="291"/>
      <c r="OV243" s="291"/>
      <c r="OW243" s="291"/>
    </row>
    <row r="244" spans="1:413" s="257" customFormat="1" ht="22.5" hidden="1" x14ac:dyDescent="0.2">
      <c r="A244" s="291"/>
      <c r="B244" s="524">
        <f t="shared" si="15"/>
        <v>228</v>
      </c>
      <c r="C244" s="510" t="s">
        <v>38</v>
      </c>
      <c r="D244" s="511">
        <v>40022373</v>
      </c>
      <c r="E244" s="511"/>
      <c r="F244" s="512" t="s">
        <v>1404</v>
      </c>
      <c r="G244" s="513" t="s">
        <v>45</v>
      </c>
      <c r="H244" s="514" t="s">
        <v>1094</v>
      </c>
      <c r="I244" s="515" t="s">
        <v>1282</v>
      </c>
      <c r="J244" s="346" t="s">
        <v>43</v>
      </c>
      <c r="K244" s="526">
        <v>283338</v>
      </c>
      <c r="L244" s="527"/>
      <c r="M244" s="528">
        <v>8161</v>
      </c>
      <c r="N244" s="520">
        <v>275177</v>
      </c>
      <c r="O244" s="520">
        <v>0</v>
      </c>
      <c r="P244" s="520">
        <v>0</v>
      </c>
      <c r="Q244" s="520">
        <v>0</v>
      </c>
      <c r="R244" s="520">
        <v>0</v>
      </c>
      <c r="S244" s="520">
        <v>0</v>
      </c>
      <c r="T244" s="18"/>
      <c r="U244" s="18"/>
      <c r="V244" s="18"/>
      <c r="W244" s="18"/>
      <c r="X244" s="18"/>
      <c r="Y244" s="18"/>
      <c r="Z244" s="18">
        <f t="shared" si="12"/>
        <v>275177</v>
      </c>
      <c r="AA244" s="309">
        <v>275177</v>
      </c>
      <c r="AB244" s="19">
        <v>2</v>
      </c>
      <c r="AC244" s="521">
        <v>44221</v>
      </c>
      <c r="AD244" s="25">
        <v>44225</v>
      </c>
      <c r="AE244" s="309"/>
      <c r="AF244" s="314"/>
      <c r="AG244" s="315"/>
      <c r="AH244" s="316"/>
      <c r="AI244" s="309"/>
      <c r="AJ244" s="338"/>
      <c r="AK244" s="315"/>
      <c r="AL244" s="316"/>
      <c r="AM244" s="309"/>
      <c r="AN244" s="338"/>
      <c r="AO244" s="21"/>
      <c r="AP244" s="25"/>
      <c r="AQ244" s="309"/>
      <c r="AR244" s="19"/>
      <c r="AS244" s="21"/>
      <c r="AT244" s="25"/>
      <c r="AU244" s="522">
        <f t="shared" si="13"/>
        <v>275177</v>
      </c>
      <c r="AV244" s="311">
        <f t="shared" si="14"/>
        <v>0</v>
      </c>
      <c r="AW244" s="305"/>
      <c r="AX244" s="291"/>
      <c r="AY244" s="291"/>
      <c r="AZ244" s="291"/>
      <c r="BA244" s="291"/>
      <c r="BB244" s="291"/>
      <c r="BC244" s="291"/>
      <c r="BD244" s="291"/>
      <c r="BE244" s="291"/>
      <c r="BF244" s="291"/>
      <c r="BG244" s="291"/>
      <c r="BH244" s="291"/>
      <c r="BI244" s="291"/>
      <c r="BJ244" s="291"/>
      <c r="BK244" s="291"/>
      <c r="BL244" s="291"/>
      <c r="BM244" s="291"/>
      <c r="BN244" s="291"/>
      <c r="BO244" s="291"/>
      <c r="BP244" s="291"/>
      <c r="BQ244" s="291"/>
      <c r="BR244" s="291"/>
      <c r="BS244" s="291"/>
      <c r="BT244" s="291"/>
      <c r="BU244" s="291"/>
      <c r="BV244" s="291"/>
      <c r="BW244" s="291"/>
      <c r="BX244" s="291"/>
      <c r="BY244" s="291"/>
      <c r="BZ244" s="291"/>
      <c r="CA244" s="291"/>
      <c r="CB244" s="291"/>
      <c r="CC244" s="291"/>
      <c r="CD244" s="291"/>
      <c r="CE244" s="291"/>
      <c r="CF244" s="291"/>
      <c r="CG244" s="291"/>
      <c r="CH244" s="291"/>
      <c r="CI244" s="291"/>
      <c r="CJ244" s="291"/>
      <c r="CK244" s="291"/>
      <c r="CL244" s="291"/>
      <c r="CM244" s="291"/>
      <c r="CN244" s="291"/>
      <c r="CO244" s="291"/>
      <c r="CP244" s="291"/>
      <c r="CQ244" s="291"/>
      <c r="CR244" s="291"/>
      <c r="CS244" s="291"/>
      <c r="CT244" s="291"/>
      <c r="CU244" s="291"/>
      <c r="CV244" s="291"/>
      <c r="CW244" s="291"/>
      <c r="CX244" s="291"/>
      <c r="CY244" s="291"/>
      <c r="CZ244" s="291"/>
      <c r="DA244" s="291"/>
      <c r="DB244" s="291"/>
      <c r="DC244" s="291"/>
      <c r="DD244" s="291"/>
      <c r="DE244" s="291"/>
      <c r="DF244" s="291"/>
      <c r="DG244" s="291"/>
      <c r="DH244" s="291"/>
      <c r="DI244" s="291"/>
      <c r="DJ244" s="291"/>
      <c r="DK244" s="291"/>
      <c r="DL244" s="291"/>
      <c r="DM244" s="291"/>
      <c r="DN244" s="291"/>
      <c r="DO244" s="291"/>
      <c r="DP244" s="291"/>
      <c r="DQ244" s="291"/>
      <c r="DR244" s="291"/>
      <c r="DS244" s="291"/>
      <c r="DT244" s="291"/>
      <c r="DU244" s="291"/>
      <c r="DV244" s="291"/>
      <c r="DW244" s="291"/>
      <c r="DX244" s="291"/>
      <c r="DY244" s="291"/>
      <c r="DZ244" s="291"/>
      <c r="EA244" s="291"/>
      <c r="EB244" s="291"/>
      <c r="EC244" s="291"/>
      <c r="ED244" s="291"/>
      <c r="EE244" s="291"/>
      <c r="EF244" s="291"/>
      <c r="EG244" s="291"/>
      <c r="EH244" s="291"/>
      <c r="EI244" s="291"/>
      <c r="EJ244" s="291"/>
      <c r="EK244" s="291"/>
      <c r="EL244" s="291"/>
      <c r="EM244" s="291"/>
      <c r="EN244" s="291"/>
      <c r="EO244" s="291"/>
      <c r="EP244" s="291"/>
      <c r="EQ244" s="291"/>
      <c r="ER244" s="291"/>
      <c r="ES244" s="291"/>
      <c r="ET244" s="291"/>
      <c r="EU244" s="291"/>
      <c r="EV244" s="291"/>
      <c r="EW244" s="291"/>
      <c r="EX244" s="291"/>
      <c r="EY244" s="291"/>
      <c r="EZ244" s="291"/>
      <c r="FA244" s="291"/>
      <c r="FB244" s="291"/>
      <c r="FC244" s="291"/>
      <c r="FD244" s="291"/>
      <c r="FE244" s="291"/>
      <c r="FF244" s="291"/>
      <c r="FG244" s="291"/>
      <c r="FH244" s="291"/>
      <c r="FI244" s="291"/>
      <c r="FJ244" s="291"/>
      <c r="FK244" s="291"/>
      <c r="FL244" s="291"/>
      <c r="FM244" s="291"/>
      <c r="FN244" s="291"/>
      <c r="FO244" s="291"/>
      <c r="FP244" s="291"/>
      <c r="FQ244" s="291"/>
      <c r="FR244" s="291"/>
      <c r="FS244" s="291"/>
      <c r="FT244" s="291"/>
      <c r="FU244" s="291"/>
      <c r="FV244" s="291"/>
      <c r="FW244" s="291"/>
      <c r="FX244" s="291"/>
      <c r="FY244" s="291"/>
      <c r="FZ244" s="291"/>
      <c r="GA244" s="291"/>
      <c r="GB244" s="291"/>
      <c r="GC244" s="291"/>
      <c r="GD244" s="291"/>
      <c r="GE244" s="291"/>
      <c r="GF244" s="291"/>
      <c r="GG244" s="291"/>
      <c r="GH244" s="291"/>
      <c r="GI244" s="291"/>
      <c r="GJ244" s="291"/>
      <c r="GK244" s="291"/>
      <c r="GL244" s="291"/>
      <c r="GM244" s="291"/>
      <c r="GN244" s="291"/>
      <c r="GO244" s="291"/>
      <c r="GP244" s="291"/>
      <c r="GQ244" s="291"/>
      <c r="GR244" s="291"/>
      <c r="GS244" s="291"/>
      <c r="GT244" s="291"/>
      <c r="GU244" s="291"/>
      <c r="GV244" s="291"/>
      <c r="GW244" s="291"/>
      <c r="GX244" s="291"/>
      <c r="GY244" s="291"/>
      <c r="GZ244" s="291"/>
      <c r="HA244" s="291"/>
      <c r="HB244" s="291"/>
      <c r="HC244" s="291"/>
      <c r="HD244" s="291"/>
      <c r="HE244" s="291"/>
      <c r="HF244" s="291"/>
      <c r="HG244" s="291"/>
      <c r="HH244" s="291"/>
      <c r="HI244" s="291"/>
      <c r="HJ244" s="291"/>
      <c r="HK244" s="291"/>
      <c r="HL244" s="291"/>
      <c r="HM244" s="291"/>
      <c r="HN244" s="291"/>
      <c r="HO244" s="291"/>
      <c r="HP244" s="291"/>
      <c r="HQ244" s="291"/>
      <c r="HR244" s="291"/>
      <c r="HS244" s="291"/>
      <c r="HT244" s="291"/>
      <c r="HU244" s="291"/>
      <c r="HV244" s="291"/>
      <c r="HW244" s="291"/>
      <c r="HX244" s="291"/>
      <c r="HY244" s="291"/>
      <c r="HZ244" s="291"/>
      <c r="IA244" s="291"/>
      <c r="IB244" s="291"/>
      <c r="IC244" s="291"/>
      <c r="ID244" s="291"/>
      <c r="IE244" s="291"/>
      <c r="IF244" s="291"/>
      <c r="IG244" s="291"/>
      <c r="IH244" s="291"/>
      <c r="II244" s="291"/>
      <c r="IJ244" s="291"/>
      <c r="IK244" s="291"/>
      <c r="IL244" s="291"/>
      <c r="IM244" s="291"/>
      <c r="IN244" s="291"/>
      <c r="IO244" s="291"/>
      <c r="IP244" s="291"/>
      <c r="IQ244" s="291"/>
      <c r="IR244" s="291"/>
      <c r="IS244" s="291"/>
      <c r="IT244" s="291"/>
      <c r="IU244" s="291"/>
      <c r="IV244" s="291"/>
      <c r="IW244" s="291"/>
      <c r="IX244" s="291"/>
      <c r="IY244" s="291"/>
      <c r="IZ244" s="291"/>
      <c r="JA244" s="291"/>
      <c r="JB244" s="291"/>
      <c r="JC244" s="291"/>
      <c r="JD244" s="291"/>
      <c r="JE244" s="291"/>
      <c r="JF244" s="291"/>
      <c r="JG244" s="291"/>
      <c r="JH244" s="291"/>
      <c r="JI244" s="291"/>
      <c r="JJ244" s="291"/>
      <c r="JK244" s="291"/>
      <c r="JL244" s="291"/>
      <c r="JM244" s="291"/>
      <c r="JN244" s="291"/>
      <c r="JO244" s="291"/>
      <c r="JP244" s="291"/>
      <c r="JQ244" s="291"/>
      <c r="JR244" s="291"/>
      <c r="JS244" s="291"/>
      <c r="JT244" s="291"/>
      <c r="JU244" s="291"/>
      <c r="JV244" s="291"/>
      <c r="JW244" s="291"/>
      <c r="JX244" s="291"/>
      <c r="JY244" s="291"/>
      <c r="JZ244" s="291"/>
      <c r="KA244" s="291"/>
      <c r="KB244" s="291"/>
      <c r="KC244" s="291"/>
      <c r="KD244" s="291"/>
      <c r="KE244" s="291"/>
      <c r="KF244" s="291"/>
      <c r="KG244" s="291"/>
      <c r="KH244" s="291"/>
      <c r="KI244" s="291"/>
      <c r="KJ244" s="291"/>
      <c r="KK244" s="291"/>
      <c r="KL244" s="291"/>
      <c r="KM244" s="291"/>
      <c r="KN244" s="291"/>
      <c r="KO244" s="291"/>
      <c r="KP244" s="291"/>
      <c r="KQ244" s="291"/>
      <c r="KR244" s="291"/>
      <c r="KS244" s="291"/>
      <c r="KT244" s="291"/>
      <c r="KU244" s="291"/>
      <c r="KV244" s="291"/>
      <c r="KW244" s="291"/>
      <c r="KX244" s="291"/>
      <c r="KY244" s="291"/>
      <c r="KZ244" s="291"/>
      <c r="LA244" s="291"/>
      <c r="LB244" s="291"/>
      <c r="LC244" s="291"/>
      <c r="LD244" s="291"/>
      <c r="LE244" s="291"/>
      <c r="LF244" s="291"/>
      <c r="LG244" s="291"/>
      <c r="LH244" s="291"/>
      <c r="LI244" s="291"/>
      <c r="LJ244" s="291"/>
      <c r="LK244" s="291"/>
      <c r="LL244" s="291"/>
      <c r="LM244" s="291"/>
      <c r="LN244" s="291"/>
      <c r="LO244" s="291"/>
      <c r="LP244" s="291"/>
      <c r="LQ244" s="291"/>
      <c r="LR244" s="291"/>
      <c r="LS244" s="291"/>
      <c r="LT244" s="291"/>
      <c r="LU244" s="291"/>
      <c r="LV244" s="291"/>
      <c r="LW244" s="291"/>
      <c r="LX244" s="291"/>
      <c r="LY244" s="291"/>
      <c r="LZ244" s="291"/>
      <c r="MA244" s="291"/>
      <c r="MB244" s="291"/>
      <c r="MC244" s="291"/>
      <c r="MD244" s="291"/>
      <c r="ME244" s="291"/>
      <c r="MF244" s="291"/>
      <c r="MG244" s="291"/>
      <c r="MH244" s="291"/>
      <c r="MI244" s="291"/>
      <c r="MJ244" s="291"/>
      <c r="MK244" s="291"/>
      <c r="ML244" s="291"/>
      <c r="MM244" s="291"/>
      <c r="MN244" s="291"/>
      <c r="MO244" s="291"/>
      <c r="MP244" s="291"/>
      <c r="MQ244" s="291"/>
      <c r="MR244" s="291"/>
      <c r="MS244" s="291"/>
      <c r="MT244" s="291"/>
      <c r="MU244" s="291"/>
      <c r="MV244" s="291"/>
      <c r="MW244" s="291"/>
      <c r="MX244" s="291"/>
      <c r="MY244" s="291"/>
      <c r="MZ244" s="291"/>
      <c r="NA244" s="291"/>
      <c r="NB244" s="291"/>
      <c r="NC244" s="291"/>
      <c r="ND244" s="291"/>
      <c r="NE244" s="291"/>
      <c r="NF244" s="291"/>
      <c r="NG244" s="291"/>
      <c r="NH244" s="291"/>
      <c r="NI244" s="291"/>
      <c r="NJ244" s="291"/>
      <c r="NK244" s="291"/>
      <c r="NL244" s="291"/>
      <c r="NM244" s="291"/>
      <c r="NN244" s="291"/>
      <c r="NO244" s="291"/>
      <c r="NP244" s="291"/>
      <c r="NQ244" s="291"/>
      <c r="NR244" s="291"/>
      <c r="NS244" s="291"/>
      <c r="NT244" s="291"/>
      <c r="NU244" s="291"/>
      <c r="NV244" s="291"/>
      <c r="NW244" s="291"/>
      <c r="NX244" s="291"/>
      <c r="NY244" s="291"/>
      <c r="NZ244" s="291"/>
      <c r="OA244" s="291"/>
      <c r="OB244" s="291"/>
      <c r="OC244" s="291"/>
      <c r="OD244" s="291"/>
      <c r="OE244" s="291"/>
      <c r="OF244" s="291"/>
      <c r="OG244" s="291"/>
      <c r="OH244" s="291"/>
      <c r="OI244" s="291"/>
      <c r="OJ244" s="291"/>
      <c r="OK244" s="291"/>
      <c r="OL244" s="291"/>
      <c r="OM244" s="291"/>
      <c r="ON244" s="291"/>
      <c r="OO244" s="291"/>
      <c r="OP244" s="291"/>
      <c r="OQ244" s="291"/>
      <c r="OR244" s="291"/>
      <c r="OS244" s="291"/>
      <c r="OT244" s="291"/>
      <c r="OU244" s="291"/>
      <c r="OV244" s="291"/>
      <c r="OW244" s="291"/>
    </row>
    <row r="245" spans="1:413" s="257" customFormat="1" hidden="1" x14ac:dyDescent="0.2">
      <c r="A245" s="291"/>
      <c r="B245" s="524">
        <f t="shared" si="15"/>
        <v>229</v>
      </c>
      <c r="C245" s="510" t="s">
        <v>38</v>
      </c>
      <c r="D245" s="511" t="s">
        <v>1405</v>
      </c>
      <c r="E245" s="511"/>
      <c r="F245" s="512" t="s">
        <v>1406</v>
      </c>
      <c r="G245" s="513" t="s">
        <v>897</v>
      </c>
      <c r="H245" s="514" t="s">
        <v>1098</v>
      </c>
      <c r="I245" s="515" t="s">
        <v>1134</v>
      </c>
      <c r="J245" s="346"/>
      <c r="K245" s="526">
        <v>292465</v>
      </c>
      <c r="L245" s="527">
        <v>0</v>
      </c>
      <c r="M245" s="528">
        <v>187065</v>
      </c>
      <c r="N245" s="520">
        <v>0</v>
      </c>
      <c r="O245" s="520">
        <v>0</v>
      </c>
      <c r="P245" s="520">
        <v>0</v>
      </c>
      <c r="Q245" s="520">
        <v>0</v>
      </c>
      <c r="R245" s="520">
        <v>0</v>
      </c>
      <c r="S245" s="520">
        <v>0</v>
      </c>
      <c r="T245" s="18"/>
      <c r="U245" s="18"/>
      <c r="V245" s="18"/>
      <c r="W245" s="18"/>
      <c r="X245" s="18"/>
      <c r="Y245" s="18"/>
      <c r="Z245" s="18">
        <f t="shared" si="12"/>
        <v>0</v>
      </c>
      <c r="AA245" s="309">
        <v>105400</v>
      </c>
      <c r="AB245" s="19">
        <v>50</v>
      </c>
      <c r="AC245" s="521">
        <v>44356</v>
      </c>
      <c r="AD245" s="25">
        <v>44377</v>
      </c>
      <c r="AE245" s="309"/>
      <c r="AF245" s="314"/>
      <c r="AG245" s="315"/>
      <c r="AH245" s="316"/>
      <c r="AI245" s="309"/>
      <c r="AJ245" s="338"/>
      <c r="AK245" s="315"/>
      <c r="AL245" s="316"/>
      <c r="AM245" s="309"/>
      <c r="AN245" s="338"/>
      <c r="AO245" s="21"/>
      <c r="AP245" s="25"/>
      <c r="AQ245" s="309"/>
      <c r="AR245" s="19"/>
      <c r="AS245" s="21"/>
      <c r="AT245" s="25"/>
      <c r="AU245" s="522">
        <f t="shared" si="13"/>
        <v>105400</v>
      </c>
      <c r="AV245" s="311">
        <f t="shared" si="14"/>
        <v>105400</v>
      </c>
      <c r="AW245" s="305"/>
      <c r="AX245" s="291"/>
      <c r="AY245" s="291"/>
      <c r="AZ245" s="291"/>
      <c r="BA245" s="291"/>
      <c r="BB245" s="291"/>
      <c r="BC245" s="291"/>
      <c r="BD245" s="291"/>
      <c r="BE245" s="291"/>
      <c r="BF245" s="291"/>
      <c r="BG245" s="291"/>
      <c r="BH245" s="291"/>
      <c r="BI245" s="291"/>
      <c r="BJ245" s="291"/>
      <c r="BK245" s="291"/>
      <c r="BL245" s="291"/>
      <c r="BM245" s="291"/>
      <c r="BN245" s="291"/>
      <c r="BO245" s="291"/>
      <c r="BP245" s="291"/>
      <c r="BQ245" s="291"/>
      <c r="BR245" s="291"/>
      <c r="BS245" s="291"/>
      <c r="BT245" s="291"/>
      <c r="BU245" s="291"/>
      <c r="BV245" s="291"/>
      <c r="BW245" s="291"/>
      <c r="BX245" s="291"/>
      <c r="BY245" s="291"/>
      <c r="BZ245" s="291"/>
      <c r="CA245" s="291"/>
      <c r="CB245" s="291"/>
      <c r="CC245" s="291"/>
      <c r="CD245" s="291"/>
      <c r="CE245" s="291"/>
      <c r="CF245" s="291"/>
      <c r="CG245" s="291"/>
      <c r="CH245" s="291"/>
      <c r="CI245" s="291"/>
      <c r="CJ245" s="291"/>
      <c r="CK245" s="291"/>
      <c r="CL245" s="291"/>
      <c r="CM245" s="291"/>
      <c r="CN245" s="291"/>
      <c r="CO245" s="291"/>
      <c r="CP245" s="291"/>
      <c r="CQ245" s="291"/>
      <c r="CR245" s="291"/>
      <c r="CS245" s="291"/>
      <c r="CT245" s="291"/>
      <c r="CU245" s="291"/>
      <c r="CV245" s="291"/>
      <c r="CW245" s="291"/>
      <c r="CX245" s="291"/>
      <c r="CY245" s="291"/>
      <c r="CZ245" s="291"/>
      <c r="DA245" s="291"/>
      <c r="DB245" s="291"/>
      <c r="DC245" s="291"/>
      <c r="DD245" s="291"/>
      <c r="DE245" s="291"/>
      <c r="DF245" s="291"/>
      <c r="DG245" s="291"/>
      <c r="DH245" s="291"/>
      <c r="DI245" s="291"/>
      <c r="DJ245" s="291"/>
      <c r="DK245" s="291"/>
      <c r="DL245" s="291"/>
      <c r="DM245" s="291"/>
      <c r="DN245" s="291"/>
      <c r="DO245" s="291"/>
      <c r="DP245" s="291"/>
      <c r="DQ245" s="291"/>
      <c r="DR245" s="291"/>
      <c r="DS245" s="291"/>
      <c r="DT245" s="291"/>
      <c r="DU245" s="291"/>
      <c r="DV245" s="291"/>
      <c r="DW245" s="291"/>
      <c r="DX245" s="291"/>
      <c r="DY245" s="291"/>
      <c r="DZ245" s="291"/>
      <c r="EA245" s="291"/>
      <c r="EB245" s="291"/>
      <c r="EC245" s="291"/>
      <c r="ED245" s="291"/>
      <c r="EE245" s="291"/>
      <c r="EF245" s="291"/>
      <c r="EG245" s="291"/>
      <c r="EH245" s="291"/>
      <c r="EI245" s="291"/>
      <c r="EJ245" s="291"/>
      <c r="EK245" s="291"/>
      <c r="EL245" s="291"/>
      <c r="EM245" s="291"/>
      <c r="EN245" s="291"/>
      <c r="EO245" s="291"/>
      <c r="EP245" s="291"/>
      <c r="EQ245" s="291"/>
      <c r="ER245" s="291"/>
      <c r="ES245" s="291"/>
      <c r="ET245" s="291"/>
      <c r="EU245" s="291"/>
      <c r="EV245" s="291"/>
      <c r="EW245" s="291"/>
      <c r="EX245" s="291"/>
      <c r="EY245" s="291"/>
      <c r="EZ245" s="291"/>
      <c r="FA245" s="291"/>
      <c r="FB245" s="291"/>
      <c r="FC245" s="291"/>
      <c r="FD245" s="291"/>
      <c r="FE245" s="291"/>
      <c r="FF245" s="291"/>
      <c r="FG245" s="291"/>
      <c r="FH245" s="291"/>
      <c r="FI245" s="291"/>
      <c r="FJ245" s="291"/>
      <c r="FK245" s="291"/>
      <c r="FL245" s="291"/>
      <c r="FM245" s="291"/>
      <c r="FN245" s="291"/>
      <c r="FO245" s="291"/>
      <c r="FP245" s="291"/>
      <c r="FQ245" s="291"/>
      <c r="FR245" s="291"/>
      <c r="FS245" s="291"/>
      <c r="FT245" s="291"/>
      <c r="FU245" s="291"/>
      <c r="FV245" s="291"/>
      <c r="FW245" s="291"/>
      <c r="FX245" s="291"/>
      <c r="FY245" s="291"/>
      <c r="FZ245" s="291"/>
      <c r="GA245" s="291"/>
      <c r="GB245" s="291"/>
      <c r="GC245" s="291"/>
      <c r="GD245" s="291"/>
      <c r="GE245" s="291"/>
      <c r="GF245" s="291"/>
      <c r="GG245" s="291"/>
      <c r="GH245" s="291"/>
      <c r="GI245" s="291"/>
      <c r="GJ245" s="291"/>
      <c r="GK245" s="291"/>
      <c r="GL245" s="291"/>
      <c r="GM245" s="291"/>
      <c r="GN245" s="291"/>
      <c r="GO245" s="291"/>
      <c r="GP245" s="291"/>
      <c r="GQ245" s="291"/>
      <c r="GR245" s="291"/>
      <c r="GS245" s="291"/>
      <c r="GT245" s="291"/>
      <c r="GU245" s="291"/>
      <c r="GV245" s="291"/>
      <c r="GW245" s="291"/>
      <c r="GX245" s="291"/>
      <c r="GY245" s="291"/>
      <c r="GZ245" s="291"/>
      <c r="HA245" s="291"/>
      <c r="HB245" s="291"/>
      <c r="HC245" s="291"/>
      <c r="HD245" s="291"/>
      <c r="HE245" s="291"/>
      <c r="HF245" s="291"/>
      <c r="HG245" s="291"/>
      <c r="HH245" s="291"/>
      <c r="HI245" s="291"/>
      <c r="HJ245" s="291"/>
      <c r="HK245" s="291"/>
      <c r="HL245" s="291"/>
      <c r="HM245" s="291"/>
      <c r="HN245" s="291"/>
      <c r="HO245" s="291"/>
      <c r="HP245" s="291"/>
      <c r="HQ245" s="291"/>
      <c r="HR245" s="291"/>
      <c r="HS245" s="291"/>
      <c r="HT245" s="291"/>
      <c r="HU245" s="291"/>
      <c r="HV245" s="291"/>
      <c r="HW245" s="291"/>
      <c r="HX245" s="291"/>
      <c r="HY245" s="291"/>
      <c r="HZ245" s="291"/>
      <c r="IA245" s="291"/>
      <c r="IB245" s="291"/>
      <c r="IC245" s="291"/>
      <c r="ID245" s="291"/>
      <c r="IE245" s="291"/>
      <c r="IF245" s="291"/>
      <c r="IG245" s="291"/>
      <c r="IH245" s="291"/>
      <c r="II245" s="291"/>
      <c r="IJ245" s="291"/>
      <c r="IK245" s="291"/>
      <c r="IL245" s="291"/>
      <c r="IM245" s="291"/>
      <c r="IN245" s="291"/>
      <c r="IO245" s="291"/>
      <c r="IP245" s="291"/>
      <c r="IQ245" s="291"/>
      <c r="IR245" s="291"/>
      <c r="IS245" s="291"/>
      <c r="IT245" s="291"/>
      <c r="IU245" s="291"/>
      <c r="IV245" s="291"/>
      <c r="IW245" s="291"/>
      <c r="IX245" s="291"/>
      <c r="IY245" s="291"/>
      <c r="IZ245" s="291"/>
      <c r="JA245" s="291"/>
      <c r="JB245" s="291"/>
      <c r="JC245" s="291"/>
      <c r="JD245" s="291"/>
      <c r="JE245" s="291"/>
      <c r="JF245" s="291"/>
      <c r="JG245" s="291"/>
      <c r="JH245" s="291"/>
      <c r="JI245" s="291"/>
      <c r="JJ245" s="291"/>
      <c r="JK245" s="291"/>
      <c r="JL245" s="291"/>
      <c r="JM245" s="291"/>
      <c r="JN245" s="291"/>
      <c r="JO245" s="291"/>
      <c r="JP245" s="291"/>
      <c r="JQ245" s="291"/>
      <c r="JR245" s="291"/>
      <c r="JS245" s="291"/>
      <c r="JT245" s="291"/>
      <c r="JU245" s="291"/>
      <c r="JV245" s="291"/>
      <c r="JW245" s="291"/>
      <c r="JX245" s="291"/>
      <c r="JY245" s="291"/>
      <c r="JZ245" s="291"/>
      <c r="KA245" s="291"/>
      <c r="KB245" s="291"/>
      <c r="KC245" s="291"/>
      <c r="KD245" s="291"/>
      <c r="KE245" s="291"/>
      <c r="KF245" s="291"/>
      <c r="KG245" s="291"/>
      <c r="KH245" s="291"/>
      <c r="KI245" s="291"/>
      <c r="KJ245" s="291"/>
      <c r="KK245" s="291"/>
      <c r="KL245" s="291"/>
      <c r="KM245" s="291"/>
      <c r="KN245" s="291"/>
      <c r="KO245" s="291"/>
      <c r="KP245" s="291"/>
      <c r="KQ245" s="291"/>
      <c r="KR245" s="291"/>
      <c r="KS245" s="291"/>
      <c r="KT245" s="291"/>
      <c r="KU245" s="291"/>
      <c r="KV245" s="291"/>
      <c r="KW245" s="291"/>
      <c r="KX245" s="291"/>
      <c r="KY245" s="291"/>
      <c r="KZ245" s="291"/>
      <c r="LA245" s="291"/>
      <c r="LB245" s="291"/>
      <c r="LC245" s="291"/>
      <c r="LD245" s="291"/>
      <c r="LE245" s="291"/>
      <c r="LF245" s="291"/>
      <c r="LG245" s="291"/>
      <c r="LH245" s="291"/>
      <c r="LI245" s="291"/>
      <c r="LJ245" s="291"/>
      <c r="LK245" s="291"/>
      <c r="LL245" s="291"/>
      <c r="LM245" s="291"/>
      <c r="LN245" s="291"/>
      <c r="LO245" s="291"/>
      <c r="LP245" s="291"/>
      <c r="LQ245" s="291"/>
      <c r="LR245" s="291"/>
      <c r="LS245" s="291"/>
      <c r="LT245" s="291"/>
      <c r="LU245" s="291"/>
      <c r="LV245" s="291"/>
      <c r="LW245" s="291"/>
      <c r="LX245" s="291"/>
      <c r="LY245" s="291"/>
      <c r="LZ245" s="291"/>
      <c r="MA245" s="291"/>
      <c r="MB245" s="291"/>
      <c r="MC245" s="291"/>
      <c r="MD245" s="291"/>
      <c r="ME245" s="291"/>
      <c r="MF245" s="291"/>
      <c r="MG245" s="291"/>
      <c r="MH245" s="291"/>
      <c r="MI245" s="291"/>
      <c r="MJ245" s="291"/>
      <c r="MK245" s="291"/>
      <c r="ML245" s="291"/>
      <c r="MM245" s="291"/>
      <c r="MN245" s="291"/>
      <c r="MO245" s="291"/>
      <c r="MP245" s="291"/>
      <c r="MQ245" s="291"/>
      <c r="MR245" s="291"/>
      <c r="MS245" s="291"/>
      <c r="MT245" s="291"/>
      <c r="MU245" s="291"/>
      <c r="MV245" s="291"/>
      <c r="MW245" s="291"/>
      <c r="MX245" s="291"/>
      <c r="MY245" s="291"/>
      <c r="MZ245" s="291"/>
      <c r="NA245" s="291"/>
      <c r="NB245" s="291"/>
      <c r="NC245" s="291"/>
      <c r="ND245" s="291"/>
      <c r="NE245" s="291"/>
      <c r="NF245" s="291"/>
      <c r="NG245" s="291"/>
      <c r="NH245" s="291"/>
      <c r="NI245" s="291"/>
      <c r="NJ245" s="291"/>
      <c r="NK245" s="291"/>
      <c r="NL245" s="291"/>
      <c r="NM245" s="291"/>
      <c r="NN245" s="291"/>
      <c r="NO245" s="291"/>
      <c r="NP245" s="291"/>
      <c r="NQ245" s="291"/>
      <c r="NR245" s="291"/>
      <c r="NS245" s="291"/>
      <c r="NT245" s="291"/>
      <c r="NU245" s="291"/>
      <c r="NV245" s="291"/>
      <c r="NW245" s="291"/>
      <c r="NX245" s="291"/>
      <c r="NY245" s="291"/>
      <c r="NZ245" s="291"/>
      <c r="OA245" s="291"/>
      <c r="OB245" s="291"/>
      <c r="OC245" s="291"/>
      <c r="OD245" s="291"/>
      <c r="OE245" s="291"/>
      <c r="OF245" s="291"/>
      <c r="OG245" s="291"/>
      <c r="OH245" s="291"/>
      <c r="OI245" s="291"/>
      <c r="OJ245" s="291"/>
      <c r="OK245" s="291"/>
      <c r="OL245" s="291"/>
      <c r="OM245" s="291"/>
      <c r="ON245" s="291"/>
      <c r="OO245" s="291"/>
      <c r="OP245" s="291"/>
      <c r="OQ245" s="291"/>
      <c r="OR245" s="291"/>
      <c r="OS245" s="291"/>
      <c r="OT245" s="291"/>
      <c r="OU245" s="291"/>
      <c r="OV245" s="291"/>
      <c r="OW245" s="291"/>
    </row>
    <row r="246" spans="1:413" s="257" customFormat="1" x14ac:dyDescent="0.2">
      <c r="A246" s="291"/>
      <c r="B246" s="524">
        <f t="shared" si="15"/>
        <v>230</v>
      </c>
      <c r="C246" s="510" t="s">
        <v>38</v>
      </c>
      <c r="D246" s="511">
        <v>40030615</v>
      </c>
      <c r="E246" s="511"/>
      <c r="F246" s="512" t="s">
        <v>1407</v>
      </c>
      <c r="G246" s="513" t="s">
        <v>45</v>
      </c>
      <c r="H246" s="514" t="s">
        <v>1098</v>
      </c>
      <c r="I246" s="515" t="s">
        <v>1099</v>
      </c>
      <c r="J246" s="346"/>
      <c r="K246" s="526">
        <v>498127</v>
      </c>
      <c r="L246" s="527">
        <v>0</v>
      </c>
      <c r="M246" s="528">
        <v>398127</v>
      </c>
      <c r="N246" s="520">
        <v>0</v>
      </c>
      <c r="O246" s="520">
        <v>0</v>
      </c>
      <c r="P246" s="520">
        <v>0</v>
      </c>
      <c r="Q246" s="520">
        <v>0</v>
      </c>
      <c r="R246" s="520">
        <v>0</v>
      </c>
      <c r="S246" s="520">
        <v>0</v>
      </c>
      <c r="T246" s="18"/>
      <c r="U246" s="18"/>
      <c r="V246" s="18"/>
      <c r="W246" s="18"/>
      <c r="X246" s="18"/>
      <c r="Y246" s="18"/>
      <c r="Z246" s="18">
        <f t="shared" si="12"/>
        <v>0</v>
      </c>
      <c r="AA246" s="309">
        <v>100000</v>
      </c>
      <c r="AB246" s="19">
        <v>22</v>
      </c>
      <c r="AC246" s="521">
        <v>44301</v>
      </c>
      <c r="AD246" s="25">
        <v>44313</v>
      </c>
      <c r="AE246" s="309"/>
      <c r="AF246" s="20"/>
      <c r="AG246" s="23"/>
      <c r="AH246" s="25"/>
      <c r="AI246" s="309"/>
      <c r="AJ246" s="19"/>
      <c r="AK246" s="23"/>
      <c r="AL246" s="25"/>
      <c r="AM246" s="309"/>
      <c r="AN246" s="19"/>
      <c r="AO246" s="21"/>
      <c r="AP246" s="25"/>
      <c r="AQ246" s="309"/>
      <c r="AR246" s="19"/>
      <c r="AS246" s="21"/>
      <c r="AT246" s="25"/>
      <c r="AU246" s="522">
        <f t="shared" si="13"/>
        <v>100000</v>
      </c>
      <c r="AV246" s="311">
        <f t="shared" si="14"/>
        <v>100000</v>
      </c>
      <c r="AW246" s="305"/>
      <c r="AX246" s="291"/>
      <c r="AY246" s="291"/>
      <c r="AZ246" s="291"/>
      <c r="BA246" s="291"/>
      <c r="BB246" s="291"/>
      <c r="BC246" s="291"/>
      <c r="BD246" s="291"/>
      <c r="BE246" s="291"/>
      <c r="BF246" s="291"/>
      <c r="BG246" s="291"/>
      <c r="BH246" s="291"/>
      <c r="BI246" s="291"/>
      <c r="BJ246" s="291"/>
      <c r="BK246" s="291"/>
      <c r="BL246" s="291"/>
      <c r="BM246" s="291"/>
      <c r="BN246" s="291"/>
      <c r="BO246" s="291"/>
      <c r="BP246" s="291"/>
      <c r="BQ246" s="291"/>
      <c r="BR246" s="291"/>
      <c r="BS246" s="291"/>
      <c r="BT246" s="291"/>
      <c r="BU246" s="291"/>
      <c r="BV246" s="291"/>
      <c r="BW246" s="291"/>
      <c r="BX246" s="291"/>
      <c r="BY246" s="291"/>
      <c r="BZ246" s="291"/>
      <c r="CA246" s="291"/>
      <c r="CB246" s="291"/>
      <c r="CC246" s="291"/>
      <c r="CD246" s="291"/>
      <c r="CE246" s="291"/>
      <c r="CF246" s="291"/>
      <c r="CG246" s="291"/>
      <c r="CH246" s="291"/>
      <c r="CI246" s="291"/>
      <c r="CJ246" s="291"/>
      <c r="CK246" s="291"/>
      <c r="CL246" s="291"/>
      <c r="CM246" s="291"/>
      <c r="CN246" s="291"/>
      <c r="CO246" s="291"/>
      <c r="CP246" s="291"/>
      <c r="CQ246" s="291"/>
      <c r="CR246" s="291"/>
      <c r="CS246" s="291"/>
      <c r="CT246" s="291"/>
      <c r="CU246" s="291"/>
      <c r="CV246" s="291"/>
      <c r="CW246" s="291"/>
      <c r="CX246" s="291"/>
      <c r="CY246" s="291"/>
      <c r="CZ246" s="291"/>
      <c r="DA246" s="291"/>
      <c r="DB246" s="291"/>
      <c r="DC246" s="291"/>
      <c r="DD246" s="291"/>
      <c r="DE246" s="291"/>
      <c r="DF246" s="291"/>
      <c r="DG246" s="291"/>
      <c r="DH246" s="291"/>
      <c r="DI246" s="291"/>
      <c r="DJ246" s="291"/>
      <c r="DK246" s="291"/>
      <c r="DL246" s="291"/>
      <c r="DM246" s="291"/>
      <c r="DN246" s="291"/>
      <c r="DO246" s="291"/>
      <c r="DP246" s="291"/>
      <c r="DQ246" s="291"/>
      <c r="DR246" s="291"/>
      <c r="DS246" s="291"/>
      <c r="DT246" s="291"/>
      <c r="DU246" s="291"/>
      <c r="DV246" s="291"/>
      <c r="DW246" s="291"/>
      <c r="DX246" s="291"/>
      <c r="DY246" s="291"/>
      <c r="DZ246" s="291"/>
      <c r="EA246" s="291"/>
      <c r="EB246" s="291"/>
      <c r="EC246" s="291"/>
      <c r="ED246" s="291"/>
      <c r="EE246" s="291"/>
      <c r="EF246" s="291"/>
      <c r="EG246" s="291"/>
      <c r="EH246" s="291"/>
      <c r="EI246" s="291"/>
      <c r="EJ246" s="291"/>
      <c r="EK246" s="291"/>
      <c r="EL246" s="291"/>
      <c r="EM246" s="291"/>
      <c r="EN246" s="291"/>
      <c r="EO246" s="291"/>
      <c r="EP246" s="291"/>
      <c r="EQ246" s="291"/>
      <c r="ER246" s="291"/>
      <c r="ES246" s="291"/>
      <c r="ET246" s="291"/>
      <c r="EU246" s="291"/>
      <c r="EV246" s="291"/>
      <c r="EW246" s="291"/>
      <c r="EX246" s="291"/>
      <c r="EY246" s="291"/>
      <c r="EZ246" s="291"/>
      <c r="FA246" s="291"/>
      <c r="FB246" s="291"/>
      <c r="FC246" s="291"/>
      <c r="FD246" s="291"/>
      <c r="FE246" s="291"/>
      <c r="FF246" s="291"/>
      <c r="FG246" s="291"/>
      <c r="FH246" s="291"/>
      <c r="FI246" s="291"/>
      <c r="FJ246" s="291"/>
      <c r="FK246" s="291"/>
      <c r="FL246" s="291"/>
      <c r="FM246" s="291"/>
      <c r="FN246" s="291"/>
      <c r="FO246" s="291"/>
      <c r="FP246" s="291"/>
      <c r="FQ246" s="291"/>
      <c r="FR246" s="291"/>
      <c r="FS246" s="291"/>
      <c r="FT246" s="291"/>
      <c r="FU246" s="291"/>
      <c r="FV246" s="291"/>
      <c r="FW246" s="291"/>
      <c r="FX246" s="291"/>
      <c r="FY246" s="291"/>
      <c r="FZ246" s="291"/>
      <c r="GA246" s="291"/>
      <c r="GB246" s="291"/>
      <c r="GC246" s="291"/>
      <c r="GD246" s="291"/>
      <c r="GE246" s="291"/>
      <c r="GF246" s="291"/>
      <c r="GG246" s="291"/>
      <c r="GH246" s="291"/>
      <c r="GI246" s="291"/>
      <c r="GJ246" s="291"/>
      <c r="GK246" s="291"/>
      <c r="GL246" s="291"/>
      <c r="GM246" s="291"/>
      <c r="GN246" s="291"/>
      <c r="GO246" s="291"/>
      <c r="GP246" s="291"/>
      <c r="GQ246" s="291"/>
      <c r="GR246" s="291"/>
      <c r="GS246" s="291"/>
      <c r="GT246" s="291"/>
      <c r="GU246" s="291"/>
      <c r="GV246" s="291"/>
      <c r="GW246" s="291"/>
      <c r="GX246" s="291"/>
      <c r="GY246" s="291"/>
      <c r="GZ246" s="291"/>
      <c r="HA246" s="291"/>
      <c r="HB246" s="291"/>
      <c r="HC246" s="291"/>
      <c r="HD246" s="291"/>
      <c r="HE246" s="291"/>
      <c r="HF246" s="291"/>
      <c r="HG246" s="291"/>
      <c r="HH246" s="291"/>
      <c r="HI246" s="291"/>
      <c r="HJ246" s="291"/>
      <c r="HK246" s="291"/>
      <c r="HL246" s="291"/>
      <c r="HM246" s="291"/>
      <c r="HN246" s="291"/>
      <c r="HO246" s="291"/>
      <c r="HP246" s="291"/>
      <c r="HQ246" s="291"/>
      <c r="HR246" s="291"/>
      <c r="HS246" s="291"/>
      <c r="HT246" s="291"/>
      <c r="HU246" s="291"/>
      <c r="HV246" s="291"/>
      <c r="HW246" s="291"/>
      <c r="HX246" s="291"/>
      <c r="HY246" s="291"/>
      <c r="HZ246" s="291"/>
      <c r="IA246" s="291"/>
      <c r="IB246" s="291"/>
      <c r="IC246" s="291"/>
      <c r="ID246" s="291"/>
      <c r="IE246" s="291"/>
      <c r="IF246" s="291"/>
      <c r="IG246" s="291"/>
      <c r="IH246" s="291"/>
      <c r="II246" s="291"/>
      <c r="IJ246" s="291"/>
      <c r="IK246" s="291"/>
      <c r="IL246" s="291"/>
      <c r="IM246" s="291"/>
      <c r="IN246" s="291"/>
      <c r="IO246" s="291"/>
      <c r="IP246" s="291"/>
      <c r="IQ246" s="291"/>
      <c r="IR246" s="291"/>
      <c r="IS246" s="291"/>
      <c r="IT246" s="291"/>
      <c r="IU246" s="291"/>
      <c r="IV246" s="291"/>
      <c r="IW246" s="291"/>
      <c r="IX246" s="291"/>
      <c r="IY246" s="291"/>
      <c r="IZ246" s="291"/>
      <c r="JA246" s="291"/>
      <c r="JB246" s="291"/>
      <c r="JC246" s="291"/>
      <c r="JD246" s="291"/>
      <c r="JE246" s="291"/>
      <c r="JF246" s="291"/>
      <c r="JG246" s="291"/>
      <c r="JH246" s="291"/>
      <c r="JI246" s="291"/>
      <c r="JJ246" s="291"/>
      <c r="JK246" s="291"/>
      <c r="JL246" s="291"/>
      <c r="JM246" s="291"/>
      <c r="JN246" s="291"/>
      <c r="JO246" s="291"/>
      <c r="JP246" s="291"/>
      <c r="JQ246" s="291"/>
      <c r="JR246" s="291"/>
      <c r="JS246" s="291"/>
      <c r="JT246" s="291"/>
      <c r="JU246" s="291"/>
      <c r="JV246" s="291"/>
      <c r="JW246" s="291"/>
      <c r="JX246" s="291"/>
      <c r="JY246" s="291"/>
      <c r="JZ246" s="291"/>
      <c r="KA246" s="291"/>
      <c r="KB246" s="291"/>
      <c r="KC246" s="291"/>
      <c r="KD246" s="291"/>
      <c r="KE246" s="291"/>
      <c r="KF246" s="291"/>
      <c r="KG246" s="291"/>
      <c r="KH246" s="291"/>
      <c r="KI246" s="291"/>
      <c r="KJ246" s="291"/>
      <c r="KK246" s="291"/>
      <c r="KL246" s="291"/>
      <c r="KM246" s="291"/>
      <c r="KN246" s="291"/>
      <c r="KO246" s="291"/>
      <c r="KP246" s="291"/>
      <c r="KQ246" s="291"/>
      <c r="KR246" s="291"/>
      <c r="KS246" s="291"/>
      <c r="KT246" s="291"/>
      <c r="KU246" s="291"/>
      <c r="KV246" s="291"/>
      <c r="KW246" s="291"/>
      <c r="KX246" s="291"/>
      <c r="KY246" s="291"/>
      <c r="KZ246" s="291"/>
      <c r="LA246" s="291"/>
      <c r="LB246" s="291"/>
      <c r="LC246" s="291"/>
      <c r="LD246" s="291"/>
      <c r="LE246" s="291"/>
      <c r="LF246" s="291"/>
      <c r="LG246" s="291"/>
      <c r="LH246" s="291"/>
      <c r="LI246" s="291"/>
      <c r="LJ246" s="291"/>
      <c r="LK246" s="291"/>
      <c r="LL246" s="291"/>
      <c r="LM246" s="291"/>
      <c r="LN246" s="291"/>
      <c r="LO246" s="291"/>
      <c r="LP246" s="291"/>
      <c r="LQ246" s="291"/>
      <c r="LR246" s="291"/>
      <c r="LS246" s="291"/>
      <c r="LT246" s="291"/>
      <c r="LU246" s="291"/>
      <c r="LV246" s="291"/>
      <c r="LW246" s="291"/>
      <c r="LX246" s="291"/>
      <c r="LY246" s="291"/>
      <c r="LZ246" s="291"/>
      <c r="MA246" s="291"/>
      <c r="MB246" s="291"/>
      <c r="MC246" s="291"/>
      <c r="MD246" s="291"/>
      <c r="ME246" s="291"/>
      <c r="MF246" s="291"/>
      <c r="MG246" s="291"/>
      <c r="MH246" s="291"/>
      <c r="MI246" s="291"/>
      <c r="MJ246" s="291"/>
      <c r="MK246" s="291"/>
      <c r="ML246" s="291"/>
      <c r="MM246" s="291"/>
      <c r="MN246" s="291"/>
      <c r="MO246" s="291"/>
      <c r="MP246" s="291"/>
      <c r="MQ246" s="291"/>
      <c r="MR246" s="291"/>
      <c r="MS246" s="291"/>
      <c r="MT246" s="291"/>
      <c r="MU246" s="291"/>
      <c r="MV246" s="291"/>
      <c r="MW246" s="291"/>
      <c r="MX246" s="291"/>
      <c r="MY246" s="291"/>
      <c r="MZ246" s="291"/>
      <c r="NA246" s="291"/>
      <c r="NB246" s="291"/>
      <c r="NC246" s="291"/>
      <c r="ND246" s="291"/>
      <c r="NE246" s="291"/>
      <c r="NF246" s="291"/>
      <c r="NG246" s="291"/>
      <c r="NH246" s="291"/>
      <c r="NI246" s="291"/>
      <c r="NJ246" s="291"/>
      <c r="NK246" s="291"/>
      <c r="NL246" s="291"/>
      <c r="NM246" s="291"/>
      <c r="NN246" s="291"/>
      <c r="NO246" s="291"/>
      <c r="NP246" s="291"/>
      <c r="NQ246" s="291"/>
      <c r="NR246" s="291"/>
      <c r="NS246" s="291"/>
      <c r="NT246" s="291"/>
      <c r="NU246" s="291"/>
      <c r="NV246" s="291"/>
      <c r="NW246" s="291"/>
      <c r="NX246" s="291"/>
      <c r="NY246" s="291"/>
      <c r="NZ246" s="291"/>
      <c r="OA246" s="291"/>
      <c r="OB246" s="291"/>
      <c r="OC246" s="291"/>
      <c r="OD246" s="291"/>
      <c r="OE246" s="291"/>
      <c r="OF246" s="291"/>
      <c r="OG246" s="291"/>
      <c r="OH246" s="291"/>
      <c r="OI246" s="291"/>
      <c r="OJ246" s="291"/>
      <c r="OK246" s="291"/>
      <c r="OL246" s="291"/>
      <c r="OM246" s="291"/>
      <c r="ON246" s="291"/>
      <c r="OO246" s="291"/>
      <c r="OP246" s="291"/>
      <c r="OQ246" s="291"/>
      <c r="OR246" s="291"/>
      <c r="OS246" s="291"/>
      <c r="OT246" s="291"/>
      <c r="OU246" s="291"/>
      <c r="OV246" s="291"/>
      <c r="OW246" s="291"/>
    </row>
    <row r="247" spans="1:413" s="257" customFormat="1" x14ac:dyDescent="0.2">
      <c r="A247" s="291"/>
      <c r="B247" s="277"/>
      <c r="C247" s="258"/>
      <c r="D247" s="259"/>
      <c r="E247" s="259"/>
      <c r="F247" s="260"/>
      <c r="G247" s="261"/>
      <c r="H247" s="262"/>
      <c r="I247" s="263"/>
      <c r="J247" s="264"/>
      <c r="K247" s="278"/>
      <c r="L247" s="279"/>
      <c r="M247" s="278"/>
      <c r="N247" s="266"/>
      <c r="O247" s="266"/>
      <c r="P247" s="266"/>
      <c r="Q247" s="266"/>
      <c r="R247" s="266"/>
      <c r="S247" s="266"/>
      <c r="T247" s="267"/>
      <c r="U247" s="267"/>
      <c r="V247" s="267"/>
      <c r="W247" s="267"/>
      <c r="X247" s="267"/>
      <c r="Y247" s="267"/>
      <c r="Z247" s="267"/>
      <c r="AA247" s="268"/>
      <c r="AB247" s="272"/>
      <c r="AC247" s="269"/>
      <c r="AD247" s="271"/>
      <c r="AE247" s="268"/>
      <c r="AF247" s="273"/>
      <c r="AG247" s="274"/>
      <c r="AH247" s="271"/>
      <c r="AI247" s="268"/>
      <c r="AJ247" s="272"/>
      <c r="AK247" s="274"/>
      <c r="AL247" s="271"/>
      <c r="AM247" s="268"/>
      <c r="AN247" s="272"/>
      <c r="AO247" s="270"/>
      <c r="AP247" s="271"/>
      <c r="AQ247" s="268"/>
      <c r="AR247" s="272"/>
      <c r="AS247" s="270"/>
      <c r="AT247" s="271"/>
      <c r="AU247" s="280"/>
      <c r="AV247" s="275"/>
      <c r="AW247" s="305"/>
      <c r="AX247" s="291"/>
      <c r="AY247" s="291"/>
      <c r="AZ247" s="291"/>
      <c r="BA247" s="291"/>
      <c r="BB247" s="291"/>
      <c r="BC247" s="291"/>
      <c r="BD247" s="291"/>
      <c r="BE247" s="291"/>
      <c r="BF247" s="291"/>
      <c r="BG247" s="291"/>
      <c r="BH247" s="291"/>
      <c r="BI247" s="291"/>
      <c r="BJ247" s="291"/>
      <c r="BK247" s="291"/>
      <c r="BL247" s="291"/>
      <c r="BM247" s="291"/>
      <c r="BN247" s="291"/>
      <c r="BO247" s="291"/>
      <c r="BP247" s="291"/>
      <c r="BQ247" s="291"/>
      <c r="BR247" s="291"/>
      <c r="BS247" s="291"/>
      <c r="BT247" s="291"/>
      <c r="BU247" s="291"/>
      <c r="BV247" s="291"/>
      <c r="BW247" s="291"/>
      <c r="BX247" s="291"/>
      <c r="BY247" s="291"/>
      <c r="BZ247" s="291"/>
      <c r="CA247" s="291"/>
      <c r="CB247" s="291"/>
      <c r="CC247" s="291"/>
      <c r="CD247" s="291"/>
      <c r="CE247" s="291"/>
      <c r="CF247" s="291"/>
      <c r="CG247" s="291"/>
      <c r="CH247" s="291"/>
      <c r="CI247" s="291"/>
      <c r="CJ247" s="291"/>
      <c r="CK247" s="291"/>
      <c r="CL247" s="291"/>
      <c r="CM247" s="291"/>
      <c r="CN247" s="291"/>
      <c r="CO247" s="291"/>
      <c r="CP247" s="291"/>
      <c r="CQ247" s="291"/>
      <c r="CR247" s="291"/>
      <c r="CS247" s="291"/>
      <c r="CT247" s="291"/>
      <c r="CU247" s="291"/>
      <c r="CV247" s="291"/>
      <c r="CW247" s="291"/>
      <c r="CX247" s="291"/>
      <c r="CY247" s="291"/>
      <c r="CZ247" s="291"/>
      <c r="DA247" s="291"/>
      <c r="DB247" s="291"/>
      <c r="DC247" s="291"/>
      <c r="DD247" s="291"/>
      <c r="DE247" s="291"/>
      <c r="DF247" s="291"/>
      <c r="DG247" s="291"/>
      <c r="DH247" s="291"/>
      <c r="DI247" s="291"/>
      <c r="DJ247" s="291"/>
      <c r="DK247" s="291"/>
      <c r="DL247" s="291"/>
      <c r="DM247" s="291"/>
      <c r="DN247" s="291"/>
      <c r="DO247" s="291"/>
      <c r="DP247" s="291"/>
      <c r="DQ247" s="291"/>
      <c r="DR247" s="291"/>
      <c r="DS247" s="291"/>
      <c r="DT247" s="291"/>
      <c r="DU247" s="291"/>
      <c r="DV247" s="291"/>
      <c r="DW247" s="291"/>
      <c r="DX247" s="291"/>
      <c r="DY247" s="291"/>
      <c r="DZ247" s="291"/>
      <c r="EA247" s="291"/>
      <c r="EB247" s="291"/>
      <c r="EC247" s="291"/>
      <c r="ED247" s="291"/>
      <c r="EE247" s="291"/>
      <c r="EF247" s="291"/>
      <c r="EG247" s="291"/>
      <c r="EH247" s="291"/>
      <c r="EI247" s="291"/>
      <c r="EJ247" s="291"/>
      <c r="EK247" s="291"/>
      <c r="EL247" s="291"/>
      <c r="EM247" s="291"/>
      <c r="EN247" s="291"/>
      <c r="EO247" s="291"/>
      <c r="EP247" s="291"/>
      <c r="EQ247" s="291"/>
      <c r="ER247" s="291"/>
      <c r="ES247" s="291"/>
      <c r="ET247" s="291"/>
      <c r="EU247" s="291"/>
      <c r="EV247" s="291"/>
      <c r="EW247" s="291"/>
      <c r="EX247" s="291"/>
      <c r="EY247" s="291"/>
      <c r="EZ247" s="291"/>
      <c r="FA247" s="291"/>
      <c r="FB247" s="291"/>
      <c r="FC247" s="291"/>
      <c r="FD247" s="291"/>
      <c r="FE247" s="291"/>
      <c r="FF247" s="291"/>
      <c r="FG247" s="291"/>
      <c r="FH247" s="291"/>
      <c r="FI247" s="291"/>
      <c r="FJ247" s="291"/>
      <c r="FK247" s="291"/>
      <c r="FL247" s="291"/>
      <c r="FM247" s="291"/>
      <c r="FN247" s="291"/>
      <c r="FO247" s="291"/>
      <c r="FP247" s="291"/>
      <c r="FQ247" s="291"/>
      <c r="FR247" s="291"/>
      <c r="FS247" s="291"/>
      <c r="FT247" s="291"/>
      <c r="FU247" s="291"/>
      <c r="FV247" s="291"/>
      <c r="FW247" s="291"/>
      <c r="FX247" s="291"/>
      <c r="FY247" s="291"/>
      <c r="FZ247" s="291"/>
      <c r="GA247" s="291"/>
      <c r="GB247" s="291"/>
      <c r="GC247" s="291"/>
      <c r="GD247" s="291"/>
      <c r="GE247" s="291"/>
      <c r="GF247" s="291"/>
      <c r="GG247" s="291"/>
      <c r="GH247" s="291"/>
      <c r="GI247" s="291"/>
      <c r="GJ247" s="291"/>
      <c r="GK247" s="291"/>
      <c r="GL247" s="291"/>
      <c r="GM247" s="291"/>
      <c r="GN247" s="291"/>
      <c r="GO247" s="291"/>
      <c r="GP247" s="291"/>
      <c r="GQ247" s="291"/>
      <c r="GR247" s="291"/>
      <c r="GS247" s="291"/>
      <c r="GT247" s="291"/>
      <c r="GU247" s="291"/>
      <c r="GV247" s="291"/>
      <c r="GW247" s="291"/>
      <c r="GX247" s="291"/>
      <c r="GY247" s="291"/>
      <c r="GZ247" s="291"/>
      <c r="HA247" s="291"/>
      <c r="HB247" s="291"/>
      <c r="HC247" s="291"/>
      <c r="HD247" s="291"/>
      <c r="HE247" s="291"/>
      <c r="HF247" s="291"/>
      <c r="HG247" s="291"/>
      <c r="HH247" s="291"/>
      <c r="HI247" s="291"/>
      <c r="HJ247" s="291"/>
      <c r="HK247" s="291"/>
      <c r="HL247" s="291"/>
      <c r="HM247" s="291"/>
      <c r="HN247" s="291"/>
      <c r="HO247" s="291"/>
      <c r="HP247" s="291"/>
      <c r="HQ247" s="291"/>
      <c r="HR247" s="291"/>
      <c r="HS247" s="291"/>
      <c r="HT247" s="291"/>
      <c r="HU247" s="291"/>
      <c r="HV247" s="291"/>
      <c r="HW247" s="291"/>
      <c r="HX247" s="291"/>
      <c r="HY247" s="291"/>
      <c r="HZ247" s="291"/>
      <c r="IA247" s="291"/>
      <c r="IB247" s="291"/>
      <c r="IC247" s="291"/>
      <c r="ID247" s="291"/>
      <c r="IE247" s="291"/>
      <c r="IF247" s="291"/>
      <c r="IG247" s="291"/>
      <c r="IH247" s="291"/>
      <c r="II247" s="291"/>
      <c r="IJ247" s="291"/>
      <c r="IK247" s="291"/>
      <c r="IL247" s="291"/>
      <c r="IM247" s="291"/>
      <c r="IN247" s="291"/>
      <c r="IO247" s="291"/>
      <c r="IP247" s="291"/>
      <c r="IQ247" s="291"/>
      <c r="IR247" s="291"/>
      <c r="IS247" s="291"/>
      <c r="IT247" s="291"/>
      <c r="IU247" s="291"/>
      <c r="IV247" s="291"/>
      <c r="IW247" s="291"/>
      <c r="IX247" s="291"/>
      <c r="IY247" s="291"/>
      <c r="IZ247" s="291"/>
      <c r="JA247" s="291"/>
      <c r="JB247" s="291"/>
      <c r="JC247" s="291"/>
      <c r="JD247" s="291"/>
      <c r="JE247" s="291"/>
      <c r="JF247" s="291"/>
      <c r="JG247" s="291"/>
      <c r="JH247" s="291"/>
      <c r="JI247" s="291"/>
      <c r="JJ247" s="291"/>
      <c r="JK247" s="291"/>
      <c r="JL247" s="291"/>
      <c r="JM247" s="291"/>
      <c r="JN247" s="291"/>
      <c r="JO247" s="291"/>
      <c r="JP247" s="291"/>
      <c r="JQ247" s="291"/>
      <c r="JR247" s="291"/>
      <c r="JS247" s="291"/>
      <c r="JT247" s="291"/>
      <c r="JU247" s="291"/>
      <c r="JV247" s="291"/>
      <c r="JW247" s="291"/>
      <c r="JX247" s="291"/>
      <c r="JY247" s="291"/>
      <c r="JZ247" s="291"/>
      <c r="KA247" s="291"/>
      <c r="KB247" s="291"/>
      <c r="KC247" s="291"/>
      <c r="KD247" s="291"/>
      <c r="KE247" s="291"/>
      <c r="KF247" s="291"/>
      <c r="KG247" s="291"/>
      <c r="KH247" s="291"/>
      <c r="KI247" s="291"/>
      <c r="KJ247" s="291"/>
      <c r="KK247" s="291"/>
      <c r="KL247" s="291"/>
      <c r="KM247" s="291"/>
      <c r="KN247" s="291"/>
      <c r="KO247" s="291"/>
      <c r="KP247" s="291"/>
      <c r="KQ247" s="291"/>
      <c r="KR247" s="291"/>
      <c r="KS247" s="291"/>
      <c r="KT247" s="291"/>
      <c r="KU247" s="291"/>
      <c r="KV247" s="291"/>
      <c r="KW247" s="291"/>
      <c r="KX247" s="291"/>
      <c r="KY247" s="291"/>
      <c r="KZ247" s="291"/>
      <c r="LA247" s="291"/>
      <c r="LB247" s="291"/>
      <c r="LC247" s="291"/>
      <c r="LD247" s="291"/>
      <c r="LE247" s="291"/>
      <c r="LF247" s="291"/>
      <c r="LG247" s="291"/>
      <c r="LH247" s="291"/>
      <c r="LI247" s="291"/>
      <c r="LJ247" s="291"/>
      <c r="LK247" s="291"/>
      <c r="LL247" s="291"/>
      <c r="LM247" s="291"/>
      <c r="LN247" s="291"/>
      <c r="LO247" s="291"/>
      <c r="LP247" s="291"/>
      <c r="LQ247" s="291"/>
      <c r="LR247" s="291"/>
      <c r="LS247" s="291"/>
      <c r="LT247" s="291"/>
      <c r="LU247" s="291"/>
      <c r="LV247" s="291"/>
      <c r="LW247" s="291"/>
      <c r="LX247" s="291"/>
      <c r="LY247" s="291"/>
      <c r="LZ247" s="291"/>
      <c r="MA247" s="291"/>
      <c r="MB247" s="291"/>
      <c r="MC247" s="291"/>
      <c r="MD247" s="291"/>
      <c r="ME247" s="291"/>
      <c r="MF247" s="291"/>
      <c r="MG247" s="291"/>
      <c r="MH247" s="291"/>
      <c r="MI247" s="291"/>
      <c r="MJ247" s="291"/>
      <c r="MK247" s="291"/>
      <c r="ML247" s="291"/>
      <c r="MM247" s="291"/>
      <c r="MN247" s="291"/>
      <c r="MO247" s="291"/>
      <c r="MP247" s="291"/>
      <c r="MQ247" s="291"/>
      <c r="MR247" s="291"/>
      <c r="MS247" s="291"/>
      <c r="MT247" s="291"/>
      <c r="MU247" s="291"/>
      <c r="MV247" s="291"/>
      <c r="MW247" s="291"/>
      <c r="MX247" s="291"/>
      <c r="MY247" s="291"/>
      <c r="MZ247" s="291"/>
      <c r="NA247" s="291"/>
      <c r="NB247" s="291"/>
      <c r="NC247" s="291"/>
      <c r="ND247" s="291"/>
      <c r="NE247" s="291"/>
      <c r="NF247" s="291"/>
      <c r="NG247" s="291"/>
      <c r="NH247" s="291"/>
      <c r="NI247" s="291"/>
      <c r="NJ247" s="291"/>
      <c r="NK247" s="291"/>
      <c r="NL247" s="291"/>
      <c r="NM247" s="291"/>
      <c r="NN247" s="291"/>
      <c r="NO247" s="291"/>
      <c r="NP247" s="291"/>
      <c r="NQ247" s="291"/>
      <c r="NR247" s="291"/>
      <c r="NS247" s="291"/>
      <c r="NT247" s="291"/>
      <c r="NU247" s="291"/>
      <c r="NV247" s="291"/>
      <c r="NW247" s="291"/>
      <c r="NX247" s="291"/>
      <c r="NY247" s="291"/>
      <c r="NZ247" s="291"/>
      <c r="OA247" s="291"/>
      <c r="OB247" s="291"/>
      <c r="OC247" s="291"/>
      <c r="OD247" s="291"/>
      <c r="OE247" s="291"/>
      <c r="OF247" s="291"/>
      <c r="OG247" s="291"/>
      <c r="OH247" s="291"/>
      <c r="OI247" s="291"/>
      <c r="OJ247" s="291"/>
      <c r="OK247" s="291"/>
      <c r="OL247" s="291"/>
      <c r="OM247" s="291"/>
      <c r="ON247" s="291"/>
      <c r="OO247" s="291"/>
      <c r="OP247" s="291"/>
      <c r="OQ247" s="291"/>
      <c r="OR247" s="291"/>
      <c r="OS247" s="291"/>
      <c r="OT247" s="291"/>
      <c r="OU247" s="291"/>
      <c r="OV247" s="291"/>
      <c r="OW247" s="291"/>
    </row>
    <row r="248" spans="1:413" s="257" customFormat="1" x14ac:dyDescent="0.25">
      <c r="A248" s="291"/>
      <c r="B248" s="281"/>
      <c r="C248" s="281"/>
      <c r="D248" s="282"/>
      <c r="E248" s="282"/>
      <c r="F248" s="283"/>
      <c r="G248" s="283"/>
      <c r="H248" s="284"/>
      <c r="I248" s="285"/>
      <c r="J248" s="286"/>
      <c r="K248" s="265"/>
      <c r="L248" s="267"/>
      <c r="M248" s="267"/>
      <c r="N248" s="267"/>
      <c r="O248" s="267"/>
      <c r="P248" s="267"/>
      <c r="Q248" s="267"/>
      <c r="R248" s="267"/>
      <c r="S248" s="267"/>
      <c r="T248" s="267"/>
      <c r="U248" s="267"/>
      <c r="V248" s="267"/>
      <c r="W248" s="267"/>
      <c r="X248" s="267"/>
      <c r="Y248" s="267"/>
      <c r="Z248" s="267"/>
      <c r="AA248" s="268"/>
      <c r="AB248" s="272"/>
      <c r="AC248" s="270"/>
      <c r="AD248" s="271"/>
      <c r="AE248" s="268"/>
      <c r="AF248" s="273"/>
      <c r="AG248" s="274"/>
      <c r="AH248" s="271"/>
      <c r="AI248" s="268"/>
      <c r="AJ248" s="272"/>
      <c r="AK248" s="274"/>
      <c r="AL248" s="271"/>
      <c r="AM248" s="268"/>
      <c r="AN248" s="272"/>
      <c r="AO248" s="270"/>
      <c r="AP248" s="271"/>
      <c r="AQ248" s="268"/>
      <c r="AR248" s="272"/>
      <c r="AS248" s="270"/>
      <c r="AT248" s="271"/>
      <c r="AU248" s="280"/>
      <c r="AV248" s="275"/>
      <c r="AW248" s="305"/>
      <c r="AX248" s="291"/>
      <c r="AY248" s="291"/>
      <c r="AZ248" s="291"/>
      <c r="BA248" s="291"/>
      <c r="BB248" s="291"/>
      <c r="BC248" s="291"/>
      <c r="BD248" s="291"/>
      <c r="BE248" s="291"/>
      <c r="BF248" s="291"/>
      <c r="BG248" s="291"/>
      <c r="BH248" s="291"/>
      <c r="BI248" s="291"/>
      <c r="BJ248" s="291"/>
      <c r="BK248" s="291"/>
      <c r="BL248" s="291"/>
      <c r="BM248" s="291"/>
      <c r="BN248" s="291"/>
      <c r="BO248" s="291"/>
      <c r="BP248" s="291"/>
      <c r="BQ248" s="291"/>
      <c r="BR248" s="291"/>
      <c r="BS248" s="291"/>
      <c r="BT248" s="291"/>
      <c r="BU248" s="291"/>
      <c r="BV248" s="291"/>
      <c r="BW248" s="291"/>
      <c r="BX248" s="291"/>
      <c r="BY248" s="291"/>
      <c r="BZ248" s="291"/>
      <c r="CA248" s="291"/>
      <c r="CB248" s="291"/>
      <c r="CC248" s="291"/>
      <c r="CD248" s="291"/>
      <c r="CE248" s="291"/>
      <c r="CF248" s="291"/>
      <c r="CG248" s="291"/>
      <c r="CH248" s="291"/>
      <c r="CI248" s="291"/>
      <c r="CJ248" s="291"/>
      <c r="CK248" s="291"/>
      <c r="CL248" s="291"/>
      <c r="CM248" s="291"/>
      <c r="CN248" s="291"/>
      <c r="CO248" s="291"/>
      <c r="CP248" s="291"/>
      <c r="CQ248" s="291"/>
      <c r="CR248" s="291"/>
      <c r="CS248" s="291"/>
      <c r="CT248" s="291"/>
      <c r="CU248" s="291"/>
      <c r="CV248" s="291"/>
      <c r="CW248" s="291"/>
      <c r="CX248" s="291"/>
      <c r="CY248" s="291"/>
      <c r="CZ248" s="291"/>
      <c r="DA248" s="291"/>
      <c r="DB248" s="291"/>
      <c r="DC248" s="291"/>
      <c r="DD248" s="291"/>
      <c r="DE248" s="291"/>
      <c r="DF248" s="291"/>
      <c r="DG248" s="291"/>
      <c r="DH248" s="291"/>
      <c r="DI248" s="291"/>
      <c r="DJ248" s="291"/>
      <c r="DK248" s="291"/>
      <c r="DL248" s="291"/>
      <c r="DM248" s="291"/>
      <c r="DN248" s="291"/>
      <c r="DO248" s="291"/>
      <c r="DP248" s="291"/>
      <c r="DQ248" s="291"/>
      <c r="DR248" s="291"/>
      <c r="DS248" s="291"/>
      <c r="DT248" s="291"/>
      <c r="DU248" s="291"/>
      <c r="DV248" s="291"/>
      <c r="DW248" s="291"/>
      <c r="DX248" s="291"/>
      <c r="DY248" s="291"/>
      <c r="DZ248" s="291"/>
      <c r="EA248" s="291"/>
      <c r="EB248" s="291"/>
      <c r="EC248" s="291"/>
      <c r="ED248" s="291"/>
      <c r="EE248" s="291"/>
      <c r="EF248" s="291"/>
      <c r="EG248" s="291"/>
      <c r="EH248" s="291"/>
      <c r="EI248" s="291"/>
      <c r="EJ248" s="291"/>
      <c r="EK248" s="291"/>
      <c r="EL248" s="291"/>
      <c r="EM248" s="291"/>
      <c r="EN248" s="291"/>
      <c r="EO248" s="291"/>
      <c r="EP248" s="291"/>
      <c r="EQ248" s="291"/>
      <c r="ER248" s="291"/>
      <c r="ES248" s="291"/>
      <c r="ET248" s="291"/>
      <c r="EU248" s="291"/>
      <c r="EV248" s="291"/>
      <c r="EW248" s="291"/>
      <c r="EX248" s="291"/>
      <c r="EY248" s="291"/>
      <c r="EZ248" s="291"/>
      <c r="FA248" s="291"/>
      <c r="FB248" s="291"/>
      <c r="FC248" s="291"/>
      <c r="FD248" s="291"/>
      <c r="FE248" s="291"/>
      <c r="FF248" s="291"/>
      <c r="FG248" s="291"/>
      <c r="FH248" s="291"/>
      <c r="FI248" s="291"/>
      <c r="FJ248" s="291"/>
      <c r="FK248" s="291"/>
      <c r="FL248" s="291"/>
      <c r="FM248" s="291"/>
      <c r="FN248" s="291"/>
      <c r="FO248" s="291"/>
      <c r="FP248" s="291"/>
      <c r="FQ248" s="291"/>
      <c r="FR248" s="291"/>
      <c r="FS248" s="291"/>
      <c r="FT248" s="291"/>
      <c r="FU248" s="291"/>
      <c r="FV248" s="291"/>
      <c r="FW248" s="291"/>
      <c r="FX248" s="291"/>
      <c r="FY248" s="291"/>
      <c r="FZ248" s="291"/>
      <c r="GA248" s="291"/>
      <c r="GB248" s="291"/>
      <c r="GC248" s="291"/>
      <c r="GD248" s="291"/>
      <c r="GE248" s="291"/>
      <c r="GF248" s="291"/>
      <c r="GG248" s="291"/>
      <c r="GH248" s="291"/>
      <c r="GI248" s="291"/>
      <c r="GJ248" s="291"/>
      <c r="GK248" s="291"/>
      <c r="GL248" s="291"/>
      <c r="GM248" s="291"/>
      <c r="GN248" s="291"/>
      <c r="GO248" s="291"/>
      <c r="GP248" s="291"/>
      <c r="GQ248" s="291"/>
      <c r="GR248" s="291"/>
      <c r="GS248" s="291"/>
      <c r="GT248" s="291"/>
      <c r="GU248" s="291"/>
      <c r="GV248" s="291"/>
      <c r="GW248" s="291"/>
      <c r="GX248" s="291"/>
      <c r="GY248" s="291"/>
      <c r="GZ248" s="291"/>
      <c r="HA248" s="291"/>
      <c r="HB248" s="291"/>
      <c r="HC248" s="291"/>
      <c r="HD248" s="291"/>
      <c r="HE248" s="291"/>
      <c r="HF248" s="291"/>
      <c r="HG248" s="291"/>
      <c r="HH248" s="291"/>
      <c r="HI248" s="291"/>
      <c r="HJ248" s="291"/>
      <c r="HK248" s="291"/>
      <c r="HL248" s="291"/>
      <c r="HM248" s="291"/>
      <c r="HN248" s="291"/>
      <c r="HO248" s="291"/>
      <c r="HP248" s="291"/>
      <c r="HQ248" s="291"/>
      <c r="HR248" s="291"/>
      <c r="HS248" s="291"/>
      <c r="HT248" s="291"/>
      <c r="HU248" s="291"/>
      <c r="HV248" s="291"/>
      <c r="HW248" s="291"/>
      <c r="HX248" s="291"/>
      <c r="HY248" s="291"/>
      <c r="HZ248" s="291"/>
      <c r="IA248" s="291"/>
      <c r="IB248" s="291"/>
      <c r="IC248" s="291"/>
      <c r="ID248" s="291"/>
      <c r="IE248" s="291"/>
      <c r="IF248" s="291"/>
      <c r="IG248" s="291"/>
      <c r="IH248" s="291"/>
      <c r="II248" s="291"/>
      <c r="IJ248" s="291"/>
      <c r="IK248" s="291"/>
      <c r="IL248" s="291"/>
      <c r="IM248" s="291"/>
      <c r="IN248" s="291"/>
      <c r="IO248" s="291"/>
      <c r="IP248" s="291"/>
      <c r="IQ248" s="291"/>
      <c r="IR248" s="291"/>
      <c r="IS248" s="291"/>
      <c r="IT248" s="291"/>
      <c r="IU248" s="291"/>
      <c r="IV248" s="291"/>
      <c r="IW248" s="291"/>
      <c r="IX248" s="291"/>
      <c r="IY248" s="291"/>
      <c r="IZ248" s="291"/>
      <c r="JA248" s="291"/>
      <c r="JB248" s="291"/>
      <c r="JC248" s="291"/>
      <c r="JD248" s="291"/>
      <c r="JE248" s="291"/>
      <c r="JF248" s="291"/>
      <c r="JG248" s="291"/>
      <c r="JH248" s="291"/>
      <c r="JI248" s="291"/>
      <c r="JJ248" s="291"/>
      <c r="JK248" s="291"/>
      <c r="JL248" s="291"/>
      <c r="JM248" s="291"/>
      <c r="JN248" s="291"/>
      <c r="JO248" s="291"/>
      <c r="JP248" s="291"/>
      <c r="JQ248" s="291"/>
      <c r="JR248" s="291"/>
      <c r="JS248" s="291"/>
      <c r="JT248" s="291"/>
      <c r="JU248" s="291"/>
      <c r="JV248" s="291"/>
      <c r="JW248" s="291"/>
      <c r="JX248" s="291"/>
      <c r="JY248" s="291"/>
      <c r="JZ248" s="291"/>
      <c r="KA248" s="291"/>
      <c r="KB248" s="291"/>
      <c r="KC248" s="291"/>
      <c r="KD248" s="291"/>
      <c r="KE248" s="291"/>
      <c r="KF248" s="291"/>
      <c r="KG248" s="291"/>
      <c r="KH248" s="291"/>
      <c r="KI248" s="291"/>
      <c r="KJ248" s="291"/>
      <c r="KK248" s="291"/>
      <c r="KL248" s="291"/>
      <c r="KM248" s="291"/>
      <c r="KN248" s="291"/>
      <c r="KO248" s="291"/>
      <c r="KP248" s="291"/>
      <c r="KQ248" s="291"/>
      <c r="KR248" s="291"/>
      <c r="KS248" s="291"/>
      <c r="KT248" s="291"/>
      <c r="KU248" s="291"/>
      <c r="KV248" s="291"/>
      <c r="KW248" s="291"/>
      <c r="KX248" s="291"/>
      <c r="KY248" s="291"/>
      <c r="KZ248" s="291"/>
      <c r="LA248" s="291"/>
      <c r="LB248" s="291"/>
      <c r="LC248" s="291"/>
      <c r="LD248" s="291"/>
      <c r="LE248" s="291"/>
      <c r="LF248" s="291"/>
      <c r="LG248" s="291"/>
      <c r="LH248" s="291"/>
      <c r="LI248" s="291"/>
      <c r="LJ248" s="291"/>
      <c r="LK248" s="291"/>
      <c r="LL248" s="291"/>
      <c r="LM248" s="291"/>
      <c r="LN248" s="291"/>
      <c r="LO248" s="291"/>
      <c r="LP248" s="291"/>
      <c r="LQ248" s="291"/>
      <c r="LR248" s="291"/>
      <c r="LS248" s="291"/>
      <c r="LT248" s="291"/>
      <c r="LU248" s="291"/>
      <c r="LV248" s="291"/>
      <c r="LW248" s="291"/>
      <c r="LX248" s="291"/>
      <c r="LY248" s="291"/>
      <c r="LZ248" s="291"/>
      <c r="MA248" s="291"/>
      <c r="MB248" s="291"/>
      <c r="MC248" s="291"/>
      <c r="MD248" s="291"/>
      <c r="ME248" s="291"/>
      <c r="MF248" s="291"/>
      <c r="MG248" s="291"/>
      <c r="MH248" s="291"/>
      <c r="MI248" s="291"/>
      <c r="MJ248" s="291"/>
      <c r="MK248" s="291"/>
      <c r="ML248" s="291"/>
      <c r="MM248" s="291"/>
      <c r="MN248" s="291"/>
      <c r="MO248" s="291"/>
      <c r="MP248" s="291"/>
      <c r="MQ248" s="291"/>
      <c r="MR248" s="291"/>
      <c r="MS248" s="291"/>
      <c r="MT248" s="291"/>
      <c r="MU248" s="291"/>
      <c r="MV248" s="291"/>
      <c r="MW248" s="291"/>
      <c r="MX248" s="291"/>
      <c r="MY248" s="291"/>
      <c r="MZ248" s="291"/>
      <c r="NA248" s="291"/>
      <c r="NB248" s="291"/>
      <c r="NC248" s="291"/>
      <c r="ND248" s="291"/>
      <c r="NE248" s="291"/>
      <c r="NF248" s="291"/>
      <c r="NG248" s="291"/>
      <c r="NH248" s="291"/>
      <c r="NI248" s="291"/>
      <c r="NJ248" s="291"/>
      <c r="NK248" s="291"/>
      <c r="NL248" s="291"/>
      <c r="NM248" s="291"/>
      <c r="NN248" s="291"/>
      <c r="NO248" s="291"/>
      <c r="NP248" s="291"/>
      <c r="NQ248" s="291"/>
      <c r="NR248" s="291"/>
      <c r="NS248" s="291"/>
      <c r="NT248" s="291"/>
      <c r="NU248" s="291"/>
      <c r="NV248" s="291"/>
      <c r="NW248" s="291"/>
      <c r="NX248" s="291"/>
      <c r="NY248" s="291"/>
      <c r="NZ248" s="291"/>
      <c r="OA248" s="291"/>
      <c r="OB248" s="291"/>
      <c r="OC248" s="291"/>
      <c r="OD248" s="291"/>
      <c r="OE248" s="291"/>
      <c r="OF248" s="291"/>
      <c r="OG248" s="291"/>
      <c r="OH248" s="291"/>
      <c r="OI248" s="291"/>
      <c r="OJ248" s="291"/>
      <c r="OK248" s="291"/>
      <c r="OL248" s="291"/>
      <c r="OM248" s="291"/>
      <c r="ON248" s="291"/>
      <c r="OO248" s="291"/>
      <c r="OP248" s="291"/>
      <c r="OQ248" s="291"/>
      <c r="OR248" s="291"/>
      <c r="OS248" s="291"/>
      <c r="OT248" s="291"/>
      <c r="OU248" s="291"/>
      <c r="OV248" s="291"/>
      <c r="OW248" s="291"/>
    </row>
    <row r="249" spans="1:413" ht="15" customHeight="1" x14ac:dyDescent="0.2">
      <c r="B249" s="759" t="s">
        <v>39</v>
      </c>
      <c r="C249" s="760"/>
      <c r="D249" s="760"/>
      <c r="E249" s="760"/>
      <c r="F249" s="760"/>
      <c r="G249" s="760"/>
      <c r="H249" s="760"/>
      <c r="I249" s="760"/>
      <c r="J249" s="761"/>
      <c r="K249" s="287">
        <f>SUBTOTAL(9,K17:K246)</f>
        <v>5003376</v>
      </c>
      <c r="L249" s="287">
        <f t="shared" ref="L249:M249" si="16">SUBTOTAL(9,L17:L246)</f>
        <v>926941</v>
      </c>
      <c r="M249" s="287">
        <f t="shared" si="16"/>
        <v>2534299</v>
      </c>
      <c r="N249" s="287">
        <f t="shared" ref="N249:Y249" si="17">SUM(N16:N248)</f>
        <v>2920894</v>
      </c>
      <c r="O249" s="287">
        <f t="shared" si="17"/>
        <v>5969323</v>
      </c>
      <c r="P249" s="287">
        <f t="shared" si="17"/>
        <v>7917563</v>
      </c>
      <c r="Q249" s="287">
        <f t="shared" si="17"/>
        <v>4960056</v>
      </c>
      <c r="R249" s="287">
        <f t="shared" si="17"/>
        <v>6528075</v>
      </c>
      <c r="S249" s="287">
        <f t="shared" si="17"/>
        <v>4889246</v>
      </c>
      <c r="T249" s="287">
        <f t="shared" si="17"/>
        <v>0</v>
      </c>
      <c r="U249" s="287">
        <f t="shared" si="17"/>
        <v>0</v>
      </c>
      <c r="V249" s="287">
        <f t="shared" si="17"/>
        <v>0</v>
      </c>
      <c r="W249" s="287">
        <f t="shared" si="17"/>
        <v>0</v>
      </c>
      <c r="X249" s="287">
        <f t="shared" si="17"/>
        <v>0</v>
      </c>
      <c r="Y249" s="287">
        <f t="shared" si="17"/>
        <v>0</v>
      </c>
      <c r="Z249" s="287">
        <f>SUM(Z16:Z248)</f>
        <v>33185157</v>
      </c>
      <c r="AA249" s="287">
        <f>SUBTOTAL(9,AA16:AA246)</f>
        <v>1251819</v>
      </c>
      <c r="AB249" s="288"/>
      <c r="AC249" s="288"/>
      <c r="AD249" s="288"/>
      <c r="AE249" s="287">
        <f>SUBTOTAL(9,AE16:AE246)</f>
        <v>127051</v>
      </c>
      <c r="AF249" s="288"/>
      <c r="AG249" s="289"/>
      <c r="AH249" s="288"/>
      <c r="AI249" s="287">
        <f t="shared" ref="AI249" si="18">SUBTOTAL(9,AI17:AI246)</f>
        <v>0</v>
      </c>
      <c r="AJ249" s="288"/>
      <c r="AK249" s="289"/>
      <c r="AL249" s="288"/>
      <c r="AM249" s="287">
        <f t="shared" ref="AM249" si="19">SUBTOTAL(9,AM17:AM246)</f>
        <v>0</v>
      </c>
      <c r="AN249" s="288"/>
      <c r="AO249" s="288"/>
      <c r="AP249" s="288"/>
      <c r="AQ249" s="287">
        <f t="shared" ref="AQ249" si="20">SUBTOTAL(9,AQ17:AQ246)</f>
        <v>0</v>
      </c>
      <c r="AR249" s="288"/>
      <c r="AS249" s="288"/>
      <c r="AT249" s="288"/>
      <c r="AU249" s="288">
        <f>SUBTOTAL(9,AU16:AU246)</f>
        <v>1378870</v>
      </c>
      <c r="AV249" s="288">
        <f>SUBTOTAL(9,AV17:AV173)</f>
        <v>1146568</v>
      </c>
      <c r="AW249" s="306"/>
    </row>
    <row r="250" spans="1:413" s="290" customFormat="1" x14ac:dyDescent="0.2">
      <c r="B250" s="302"/>
      <c r="D250" s="302"/>
      <c r="E250" s="302"/>
      <c r="K250" s="303"/>
      <c r="L250" s="303"/>
      <c r="M250" s="303"/>
      <c r="AB250" s="298"/>
      <c r="AC250" s="297"/>
      <c r="AF250" s="296"/>
      <c r="AG250" s="297"/>
      <c r="AJ250" s="298"/>
      <c r="AK250" s="297"/>
      <c r="AN250" s="298"/>
      <c r="AR250" s="298"/>
    </row>
    <row r="251" spans="1:413" s="290" customFormat="1" x14ac:dyDescent="0.2">
      <c r="B251" s="302"/>
      <c r="D251" s="302"/>
      <c r="E251" s="302"/>
      <c r="K251" s="303"/>
      <c r="L251" s="303"/>
      <c r="M251" s="303"/>
      <c r="AB251" s="298"/>
      <c r="AC251" s="297"/>
      <c r="AF251" s="296"/>
      <c r="AG251" s="297"/>
      <c r="AJ251" s="298"/>
      <c r="AK251" s="297"/>
      <c r="AN251" s="298"/>
      <c r="AR251" s="298"/>
    </row>
    <row r="252" spans="1:413" s="290" customFormat="1" x14ac:dyDescent="0.2">
      <c r="B252" s="302"/>
      <c r="D252" s="302"/>
      <c r="E252" s="302"/>
      <c r="K252" s="303"/>
      <c r="L252" s="303"/>
      <c r="M252" s="303"/>
      <c r="AB252" s="298"/>
      <c r="AC252" s="297"/>
      <c r="AF252" s="296"/>
      <c r="AG252" s="297"/>
      <c r="AJ252" s="298"/>
      <c r="AK252" s="297"/>
      <c r="AN252" s="298"/>
      <c r="AR252" s="298"/>
    </row>
    <row r="253" spans="1:413" s="290" customFormat="1" x14ac:dyDescent="0.2">
      <c r="B253" s="302"/>
      <c r="D253" s="302"/>
      <c r="E253" s="302"/>
      <c r="K253" s="303"/>
      <c r="L253" s="303"/>
      <c r="M253" s="303"/>
      <c r="AB253" s="298"/>
      <c r="AC253" s="297"/>
      <c r="AF253" s="296"/>
      <c r="AG253" s="297"/>
      <c r="AJ253" s="298"/>
      <c r="AK253" s="297"/>
      <c r="AN253" s="298"/>
      <c r="AR253" s="298"/>
    </row>
    <row r="254" spans="1:413" s="290" customFormat="1" x14ac:dyDescent="0.2">
      <c r="B254" s="302"/>
      <c r="D254" s="302"/>
      <c r="E254" s="302"/>
      <c r="K254" s="303"/>
      <c r="L254" s="303"/>
      <c r="M254" s="303"/>
      <c r="AB254" s="298"/>
      <c r="AC254" s="297"/>
      <c r="AF254" s="296"/>
      <c r="AG254" s="297"/>
      <c r="AJ254" s="298"/>
      <c r="AK254" s="297"/>
      <c r="AN254" s="298"/>
      <c r="AR254" s="298"/>
    </row>
    <row r="255" spans="1:413" s="290" customFormat="1" x14ac:dyDescent="0.2">
      <c r="B255" s="302"/>
      <c r="D255" s="302"/>
      <c r="E255" s="302"/>
      <c r="K255" s="303"/>
      <c r="L255" s="303"/>
      <c r="M255" s="303"/>
      <c r="AB255" s="298"/>
      <c r="AC255" s="297"/>
      <c r="AF255" s="296"/>
      <c r="AG255" s="297"/>
      <c r="AJ255" s="298"/>
      <c r="AK255" s="297"/>
      <c r="AN255" s="298"/>
      <c r="AR255" s="298"/>
    </row>
    <row r="256" spans="1:413" s="290" customFormat="1" x14ac:dyDescent="0.2">
      <c r="B256" s="302"/>
      <c r="D256" s="302"/>
      <c r="E256" s="302"/>
      <c r="K256" s="303"/>
      <c r="L256" s="303"/>
      <c r="M256" s="303"/>
      <c r="AB256" s="298"/>
      <c r="AC256" s="297"/>
      <c r="AF256" s="296"/>
      <c r="AG256" s="297"/>
      <c r="AJ256" s="298"/>
      <c r="AK256" s="297"/>
      <c r="AN256" s="298"/>
      <c r="AR256" s="298"/>
    </row>
    <row r="257" spans="2:44" s="290" customFormat="1" x14ac:dyDescent="0.2">
      <c r="B257" s="302"/>
      <c r="D257" s="302"/>
      <c r="E257" s="302"/>
      <c r="K257" s="303"/>
      <c r="L257" s="303"/>
      <c r="M257" s="303"/>
      <c r="AB257" s="298"/>
      <c r="AC257" s="297"/>
      <c r="AF257" s="296"/>
      <c r="AG257" s="297"/>
      <c r="AJ257" s="298"/>
      <c r="AK257" s="297"/>
      <c r="AN257" s="298"/>
      <c r="AR257" s="298"/>
    </row>
    <row r="258" spans="2:44" s="290" customFormat="1" x14ac:dyDescent="0.2">
      <c r="B258" s="302"/>
      <c r="D258" s="302"/>
      <c r="E258" s="302"/>
      <c r="K258" s="303"/>
      <c r="L258" s="303"/>
      <c r="M258" s="303"/>
      <c r="AB258" s="298"/>
      <c r="AC258" s="297"/>
      <c r="AF258" s="296"/>
      <c r="AG258" s="297"/>
      <c r="AJ258" s="298"/>
      <c r="AK258" s="297"/>
      <c r="AN258" s="298"/>
      <c r="AR258" s="298"/>
    </row>
    <row r="259" spans="2:44" s="290" customFormat="1" x14ac:dyDescent="0.2">
      <c r="B259" s="302"/>
      <c r="D259" s="302"/>
      <c r="E259" s="302"/>
      <c r="K259" s="303"/>
      <c r="L259" s="303"/>
      <c r="M259" s="303"/>
      <c r="AB259" s="298"/>
      <c r="AC259" s="297"/>
      <c r="AF259" s="296"/>
      <c r="AG259" s="297"/>
      <c r="AJ259" s="298"/>
      <c r="AK259" s="297"/>
      <c r="AN259" s="298"/>
      <c r="AR259" s="298"/>
    </row>
    <row r="260" spans="2:44" s="290" customFormat="1" x14ac:dyDescent="0.2">
      <c r="B260" s="302"/>
      <c r="D260" s="302"/>
      <c r="E260" s="302"/>
      <c r="K260" s="303"/>
      <c r="L260" s="303"/>
      <c r="M260" s="303"/>
      <c r="AB260" s="298"/>
      <c r="AC260" s="297"/>
      <c r="AF260" s="296"/>
      <c r="AG260" s="297"/>
      <c r="AJ260" s="298"/>
      <c r="AK260" s="297"/>
      <c r="AN260" s="298"/>
      <c r="AR260" s="298"/>
    </row>
    <row r="261" spans="2:44" s="290" customFormat="1" x14ac:dyDescent="0.2">
      <c r="B261" s="302"/>
      <c r="D261" s="302"/>
      <c r="E261" s="302"/>
      <c r="K261" s="303"/>
      <c r="L261" s="303"/>
      <c r="M261" s="303"/>
      <c r="AB261" s="298"/>
      <c r="AC261" s="297"/>
      <c r="AF261" s="296"/>
      <c r="AG261" s="297"/>
      <c r="AJ261" s="298"/>
      <c r="AK261" s="297"/>
      <c r="AN261" s="298"/>
      <c r="AR261" s="298"/>
    </row>
    <row r="262" spans="2:44" s="290" customFormat="1" x14ac:dyDescent="0.2">
      <c r="B262" s="302"/>
      <c r="D262" s="302"/>
      <c r="E262" s="302"/>
      <c r="K262" s="303"/>
      <c r="L262" s="303"/>
      <c r="M262" s="303"/>
      <c r="AB262" s="298"/>
      <c r="AC262" s="297"/>
      <c r="AF262" s="296"/>
      <c r="AG262" s="297"/>
      <c r="AJ262" s="298"/>
      <c r="AK262" s="297"/>
      <c r="AN262" s="298"/>
      <c r="AR262" s="298"/>
    </row>
    <row r="263" spans="2:44" s="290" customFormat="1" x14ac:dyDescent="0.2">
      <c r="B263" s="302"/>
      <c r="D263" s="302"/>
      <c r="E263" s="302"/>
      <c r="K263" s="303"/>
      <c r="L263" s="303"/>
      <c r="M263" s="303"/>
      <c r="AB263" s="298"/>
      <c r="AC263" s="297"/>
      <c r="AF263" s="296"/>
      <c r="AG263" s="297"/>
      <c r="AJ263" s="298"/>
      <c r="AK263" s="297"/>
      <c r="AN263" s="298"/>
      <c r="AR263" s="298"/>
    </row>
    <row r="264" spans="2:44" s="290" customFormat="1" x14ac:dyDescent="0.2">
      <c r="B264" s="302"/>
      <c r="D264" s="302"/>
      <c r="E264" s="302"/>
      <c r="K264" s="303"/>
      <c r="L264" s="303"/>
      <c r="M264" s="303"/>
      <c r="AB264" s="298"/>
      <c r="AC264" s="297"/>
      <c r="AF264" s="296"/>
      <c r="AG264" s="297"/>
      <c r="AJ264" s="298"/>
      <c r="AK264" s="297"/>
      <c r="AN264" s="298"/>
      <c r="AR264" s="298"/>
    </row>
    <row r="265" spans="2:44" s="290" customFormat="1" x14ac:dyDescent="0.2">
      <c r="B265" s="302"/>
      <c r="D265" s="302"/>
      <c r="E265" s="302"/>
      <c r="K265" s="303"/>
      <c r="L265" s="303"/>
      <c r="M265" s="303"/>
      <c r="AB265" s="298"/>
      <c r="AC265" s="297"/>
      <c r="AF265" s="296"/>
      <c r="AG265" s="297"/>
      <c r="AJ265" s="298"/>
      <c r="AK265" s="297"/>
      <c r="AN265" s="298"/>
      <c r="AR265" s="298"/>
    </row>
    <row r="266" spans="2:44" s="290" customFormat="1" x14ac:dyDescent="0.2">
      <c r="B266" s="302"/>
      <c r="D266" s="302"/>
      <c r="E266" s="302"/>
      <c r="K266" s="303"/>
      <c r="L266" s="303"/>
      <c r="M266" s="303"/>
      <c r="AB266" s="298"/>
      <c r="AC266" s="297"/>
      <c r="AF266" s="296"/>
      <c r="AG266" s="297"/>
      <c r="AJ266" s="298"/>
      <c r="AK266" s="297"/>
      <c r="AN266" s="298"/>
      <c r="AR266" s="298"/>
    </row>
    <row r="267" spans="2:44" s="290" customFormat="1" x14ac:dyDescent="0.2">
      <c r="B267" s="302"/>
      <c r="D267" s="302"/>
      <c r="E267" s="302"/>
      <c r="K267" s="303"/>
      <c r="L267" s="303"/>
      <c r="M267" s="303"/>
      <c r="AB267" s="298"/>
      <c r="AC267" s="297"/>
      <c r="AF267" s="296"/>
      <c r="AG267" s="297"/>
      <c r="AJ267" s="298"/>
      <c r="AK267" s="297"/>
      <c r="AN267" s="298"/>
      <c r="AR267" s="298"/>
    </row>
    <row r="268" spans="2:44" s="290" customFormat="1" x14ac:dyDescent="0.2">
      <c r="B268" s="302"/>
      <c r="D268" s="302"/>
      <c r="E268" s="302"/>
      <c r="K268" s="303"/>
      <c r="L268" s="303"/>
      <c r="M268" s="303"/>
      <c r="AB268" s="298"/>
      <c r="AC268" s="297"/>
      <c r="AF268" s="296"/>
      <c r="AG268" s="297"/>
      <c r="AJ268" s="298"/>
      <c r="AK268" s="297"/>
      <c r="AN268" s="298"/>
      <c r="AR268" s="298"/>
    </row>
    <row r="269" spans="2:44" s="290" customFormat="1" x14ac:dyDescent="0.2">
      <c r="B269" s="302"/>
      <c r="D269" s="302"/>
      <c r="E269" s="302"/>
      <c r="K269" s="303"/>
      <c r="L269" s="303"/>
      <c r="M269" s="303"/>
      <c r="AB269" s="298"/>
      <c r="AC269" s="297"/>
      <c r="AF269" s="296"/>
      <c r="AG269" s="297"/>
      <c r="AJ269" s="298"/>
      <c r="AK269" s="297"/>
      <c r="AN269" s="298"/>
      <c r="AR269" s="298"/>
    </row>
    <row r="270" spans="2:44" s="290" customFormat="1" x14ac:dyDescent="0.2">
      <c r="B270" s="302"/>
      <c r="D270" s="302"/>
      <c r="E270" s="302"/>
      <c r="K270" s="303"/>
      <c r="L270" s="303"/>
      <c r="M270" s="303"/>
      <c r="AB270" s="298"/>
      <c r="AC270" s="297"/>
      <c r="AF270" s="296"/>
      <c r="AG270" s="297"/>
      <c r="AJ270" s="298"/>
      <c r="AK270" s="297"/>
      <c r="AN270" s="298"/>
      <c r="AR270" s="298"/>
    </row>
    <row r="271" spans="2:44" s="290" customFormat="1" x14ac:dyDescent="0.2">
      <c r="B271" s="302"/>
      <c r="D271" s="302"/>
      <c r="E271" s="302"/>
      <c r="K271" s="303"/>
      <c r="L271" s="303"/>
      <c r="M271" s="303"/>
      <c r="AB271" s="298"/>
      <c r="AC271" s="297"/>
      <c r="AF271" s="296"/>
      <c r="AG271" s="297"/>
      <c r="AJ271" s="298"/>
      <c r="AK271" s="297"/>
      <c r="AN271" s="298"/>
      <c r="AR271" s="298"/>
    </row>
    <row r="272" spans="2:44" s="290" customFormat="1" x14ac:dyDescent="0.2">
      <c r="B272" s="302"/>
      <c r="D272" s="302"/>
      <c r="E272" s="302"/>
      <c r="K272" s="303"/>
      <c r="L272" s="303"/>
      <c r="M272" s="303"/>
      <c r="AB272" s="298"/>
      <c r="AC272" s="297"/>
      <c r="AF272" s="296"/>
      <c r="AG272" s="297"/>
      <c r="AJ272" s="298"/>
      <c r="AK272" s="297"/>
      <c r="AN272" s="298"/>
      <c r="AR272" s="298"/>
    </row>
    <row r="273" spans="2:44" s="290" customFormat="1" x14ac:dyDescent="0.2">
      <c r="B273" s="302"/>
      <c r="D273" s="302"/>
      <c r="E273" s="302"/>
      <c r="K273" s="303"/>
      <c r="L273" s="303"/>
      <c r="M273" s="303"/>
      <c r="AB273" s="298"/>
      <c r="AC273" s="297"/>
      <c r="AF273" s="296"/>
      <c r="AG273" s="297"/>
      <c r="AJ273" s="298"/>
      <c r="AK273" s="297"/>
      <c r="AN273" s="298"/>
      <c r="AR273" s="298"/>
    </row>
    <row r="274" spans="2:44" s="290" customFormat="1" x14ac:dyDescent="0.2">
      <c r="B274" s="302"/>
      <c r="D274" s="302"/>
      <c r="E274" s="302"/>
      <c r="K274" s="303"/>
      <c r="L274" s="303"/>
      <c r="M274" s="303"/>
      <c r="AB274" s="298"/>
      <c r="AC274" s="297"/>
      <c r="AF274" s="296"/>
      <c r="AG274" s="297"/>
      <c r="AJ274" s="298"/>
      <c r="AK274" s="297"/>
      <c r="AN274" s="298"/>
      <c r="AR274" s="298"/>
    </row>
    <row r="275" spans="2:44" s="290" customFormat="1" x14ac:dyDescent="0.2">
      <c r="B275" s="302"/>
      <c r="D275" s="302"/>
      <c r="E275" s="302"/>
      <c r="K275" s="303"/>
      <c r="L275" s="303"/>
      <c r="M275" s="303"/>
      <c r="AB275" s="298"/>
      <c r="AC275" s="297"/>
      <c r="AF275" s="296"/>
      <c r="AG275" s="297"/>
      <c r="AJ275" s="298"/>
      <c r="AK275" s="297"/>
      <c r="AN275" s="298"/>
      <c r="AR275" s="298"/>
    </row>
    <row r="276" spans="2:44" s="290" customFormat="1" x14ac:dyDescent="0.2">
      <c r="B276" s="302"/>
      <c r="D276" s="302"/>
      <c r="E276" s="302"/>
      <c r="K276" s="303"/>
      <c r="L276" s="303"/>
      <c r="M276" s="303"/>
      <c r="AB276" s="298"/>
      <c r="AC276" s="297"/>
      <c r="AF276" s="296"/>
      <c r="AG276" s="297"/>
      <c r="AJ276" s="298"/>
      <c r="AK276" s="297"/>
      <c r="AN276" s="298"/>
      <c r="AR276" s="298"/>
    </row>
    <row r="277" spans="2:44" s="290" customFormat="1" x14ac:dyDescent="0.2">
      <c r="B277" s="302"/>
      <c r="D277" s="302"/>
      <c r="E277" s="302"/>
      <c r="K277" s="303"/>
      <c r="L277" s="303"/>
      <c r="M277" s="303"/>
      <c r="AB277" s="298"/>
      <c r="AC277" s="297"/>
      <c r="AF277" s="296"/>
      <c r="AG277" s="297"/>
      <c r="AJ277" s="298"/>
      <c r="AK277" s="297"/>
      <c r="AN277" s="298"/>
      <c r="AR277" s="298"/>
    </row>
    <row r="278" spans="2:44" s="290" customFormat="1" x14ac:dyDescent="0.2">
      <c r="B278" s="302"/>
      <c r="D278" s="302"/>
      <c r="E278" s="302"/>
      <c r="K278" s="303"/>
      <c r="L278" s="303"/>
      <c r="M278" s="303"/>
      <c r="AB278" s="298"/>
      <c r="AC278" s="297"/>
      <c r="AF278" s="296"/>
      <c r="AG278" s="297"/>
      <c r="AJ278" s="298"/>
      <c r="AK278" s="297"/>
      <c r="AN278" s="298"/>
      <c r="AR278" s="298"/>
    </row>
    <row r="279" spans="2:44" s="290" customFormat="1" x14ac:dyDescent="0.2">
      <c r="B279" s="302"/>
      <c r="D279" s="302"/>
      <c r="E279" s="302"/>
      <c r="K279" s="303"/>
      <c r="L279" s="303"/>
      <c r="M279" s="303"/>
      <c r="AB279" s="298"/>
      <c r="AC279" s="297"/>
      <c r="AF279" s="296"/>
      <c r="AG279" s="297"/>
      <c r="AJ279" s="298"/>
      <c r="AK279" s="297"/>
      <c r="AN279" s="298"/>
      <c r="AR279" s="298"/>
    </row>
    <row r="280" spans="2:44" s="290" customFormat="1" x14ac:dyDescent="0.2">
      <c r="B280" s="302"/>
      <c r="D280" s="302"/>
      <c r="E280" s="302"/>
      <c r="K280" s="303"/>
      <c r="L280" s="303"/>
      <c r="M280" s="303"/>
      <c r="AB280" s="298"/>
      <c r="AC280" s="297"/>
      <c r="AF280" s="296"/>
      <c r="AG280" s="297"/>
      <c r="AJ280" s="298"/>
      <c r="AK280" s="297"/>
      <c r="AN280" s="298"/>
      <c r="AR280" s="298"/>
    </row>
    <row r="281" spans="2:44" s="290" customFormat="1" x14ac:dyDescent="0.2">
      <c r="B281" s="302"/>
      <c r="D281" s="302"/>
      <c r="E281" s="302"/>
      <c r="K281" s="303"/>
      <c r="L281" s="303"/>
      <c r="M281" s="303"/>
      <c r="AB281" s="298"/>
      <c r="AC281" s="297"/>
      <c r="AF281" s="296"/>
      <c r="AG281" s="297"/>
      <c r="AJ281" s="298"/>
      <c r="AK281" s="297"/>
      <c r="AN281" s="298"/>
      <c r="AR281" s="298"/>
    </row>
    <row r="282" spans="2:44" s="290" customFormat="1" x14ac:dyDescent="0.2">
      <c r="B282" s="302"/>
      <c r="D282" s="302"/>
      <c r="E282" s="302"/>
      <c r="K282" s="303"/>
      <c r="L282" s="303"/>
      <c r="M282" s="303"/>
      <c r="AB282" s="298"/>
      <c r="AC282" s="297"/>
      <c r="AF282" s="296"/>
      <c r="AG282" s="297"/>
      <c r="AJ282" s="298"/>
      <c r="AK282" s="297"/>
      <c r="AN282" s="298"/>
      <c r="AR282" s="298"/>
    </row>
    <row r="283" spans="2:44" s="290" customFormat="1" x14ac:dyDescent="0.2">
      <c r="B283" s="302"/>
      <c r="D283" s="302"/>
      <c r="E283" s="302"/>
      <c r="K283" s="303"/>
      <c r="L283" s="303"/>
      <c r="M283" s="303"/>
      <c r="AB283" s="298"/>
      <c r="AC283" s="297"/>
      <c r="AF283" s="296"/>
      <c r="AG283" s="297"/>
      <c r="AJ283" s="298"/>
      <c r="AK283" s="297"/>
      <c r="AN283" s="298"/>
      <c r="AR283" s="298"/>
    </row>
    <row r="284" spans="2:44" s="290" customFormat="1" x14ac:dyDescent="0.2">
      <c r="B284" s="302"/>
      <c r="D284" s="302"/>
      <c r="E284" s="302"/>
      <c r="K284" s="303"/>
      <c r="L284" s="303"/>
      <c r="M284" s="303"/>
      <c r="AB284" s="298"/>
      <c r="AC284" s="297"/>
      <c r="AF284" s="296"/>
      <c r="AG284" s="297"/>
      <c r="AJ284" s="298"/>
      <c r="AK284" s="297"/>
      <c r="AN284" s="298"/>
      <c r="AR284" s="298"/>
    </row>
    <row r="285" spans="2:44" s="290" customFormat="1" x14ac:dyDescent="0.2">
      <c r="B285" s="302"/>
      <c r="D285" s="302"/>
      <c r="E285" s="302"/>
      <c r="K285" s="303"/>
      <c r="L285" s="303"/>
      <c r="M285" s="303"/>
      <c r="AB285" s="298"/>
      <c r="AC285" s="297"/>
      <c r="AF285" s="296"/>
      <c r="AG285" s="297"/>
      <c r="AJ285" s="298"/>
      <c r="AK285" s="297"/>
      <c r="AN285" s="298"/>
      <c r="AR285" s="298"/>
    </row>
    <row r="286" spans="2:44" s="290" customFormat="1" x14ac:dyDescent="0.2">
      <c r="B286" s="302"/>
      <c r="D286" s="302"/>
      <c r="E286" s="302"/>
      <c r="K286" s="303"/>
      <c r="L286" s="303"/>
      <c r="M286" s="303"/>
      <c r="AB286" s="298"/>
      <c r="AC286" s="297"/>
      <c r="AF286" s="296"/>
      <c r="AG286" s="297"/>
      <c r="AJ286" s="298"/>
      <c r="AK286" s="297"/>
      <c r="AN286" s="298"/>
      <c r="AR286" s="298"/>
    </row>
    <row r="287" spans="2:44" s="290" customFormat="1" x14ac:dyDescent="0.2">
      <c r="B287" s="302"/>
      <c r="D287" s="302"/>
      <c r="E287" s="302"/>
      <c r="K287" s="303"/>
      <c r="L287" s="303"/>
      <c r="M287" s="303"/>
      <c r="AB287" s="298"/>
      <c r="AC287" s="297"/>
      <c r="AF287" s="296"/>
      <c r="AG287" s="297"/>
      <c r="AJ287" s="298"/>
      <c r="AK287" s="297"/>
      <c r="AN287" s="298"/>
      <c r="AR287" s="298"/>
    </row>
    <row r="288" spans="2:44" s="290" customFormat="1" x14ac:dyDescent="0.2">
      <c r="B288" s="302"/>
      <c r="D288" s="302"/>
      <c r="E288" s="302"/>
      <c r="K288" s="303"/>
      <c r="L288" s="303"/>
      <c r="M288" s="303"/>
      <c r="AB288" s="298"/>
      <c r="AC288" s="297"/>
      <c r="AF288" s="296"/>
      <c r="AG288" s="297"/>
      <c r="AJ288" s="298"/>
      <c r="AK288" s="297"/>
      <c r="AN288" s="298"/>
      <c r="AR288" s="298"/>
    </row>
    <row r="289" spans="2:44" s="290" customFormat="1" x14ac:dyDescent="0.2">
      <c r="B289" s="302"/>
      <c r="D289" s="302"/>
      <c r="E289" s="302"/>
      <c r="K289" s="303"/>
      <c r="L289" s="303"/>
      <c r="M289" s="303"/>
      <c r="AB289" s="298"/>
      <c r="AC289" s="297"/>
      <c r="AF289" s="296"/>
      <c r="AG289" s="297"/>
      <c r="AJ289" s="298"/>
      <c r="AK289" s="297"/>
      <c r="AN289" s="298"/>
      <c r="AR289" s="298"/>
    </row>
    <row r="290" spans="2:44" s="290" customFormat="1" x14ac:dyDescent="0.2">
      <c r="B290" s="302"/>
      <c r="D290" s="302"/>
      <c r="E290" s="302"/>
      <c r="K290" s="303"/>
      <c r="L290" s="303"/>
      <c r="M290" s="303"/>
      <c r="AB290" s="298"/>
      <c r="AC290" s="297"/>
      <c r="AF290" s="296"/>
      <c r="AG290" s="297"/>
      <c r="AJ290" s="298"/>
      <c r="AK290" s="297"/>
      <c r="AN290" s="298"/>
      <c r="AR290" s="298"/>
    </row>
    <row r="291" spans="2:44" s="290" customFormat="1" x14ac:dyDescent="0.2">
      <c r="B291" s="302"/>
      <c r="D291" s="302"/>
      <c r="E291" s="302"/>
      <c r="K291" s="303"/>
      <c r="L291" s="303"/>
      <c r="M291" s="303"/>
      <c r="AB291" s="298"/>
      <c r="AC291" s="297"/>
      <c r="AF291" s="296"/>
      <c r="AG291" s="297"/>
      <c r="AJ291" s="298"/>
      <c r="AK291" s="297"/>
      <c r="AN291" s="298"/>
      <c r="AR291" s="298"/>
    </row>
    <row r="292" spans="2:44" s="290" customFormat="1" x14ac:dyDescent="0.2">
      <c r="B292" s="302"/>
      <c r="D292" s="302"/>
      <c r="E292" s="302"/>
      <c r="K292" s="303"/>
      <c r="L292" s="303"/>
      <c r="M292" s="303"/>
      <c r="AB292" s="298"/>
      <c r="AC292" s="297"/>
      <c r="AF292" s="296"/>
      <c r="AG292" s="297"/>
      <c r="AJ292" s="298"/>
      <c r="AK292" s="297"/>
      <c r="AN292" s="298"/>
      <c r="AR292" s="298"/>
    </row>
    <row r="293" spans="2:44" s="290" customFormat="1" x14ac:dyDescent="0.2">
      <c r="B293" s="302"/>
      <c r="D293" s="302"/>
      <c r="E293" s="302"/>
      <c r="K293" s="303"/>
      <c r="L293" s="303"/>
      <c r="M293" s="303"/>
      <c r="AB293" s="298"/>
      <c r="AC293" s="297"/>
      <c r="AF293" s="296"/>
      <c r="AG293" s="297"/>
      <c r="AJ293" s="298"/>
      <c r="AK293" s="297"/>
      <c r="AN293" s="298"/>
      <c r="AR293" s="298"/>
    </row>
    <row r="294" spans="2:44" s="290" customFormat="1" x14ac:dyDescent="0.2">
      <c r="B294" s="302"/>
      <c r="D294" s="302"/>
      <c r="E294" s="302"/>
      <c r="K294" s="303"/>
      <c r="L294" s="303"/>
      <c r="M294" s="303"/>
      <c r="AB294" s="298"/>
      <c r="AC294" s="297"/>
      <c r="AF294" s="296"/>
      <c r="AG294" s="297"/>
      <c r="AJ294" s="298"/>
      <c r="AK294" s="297"/>
      <c r="AN294" s="298"/>
      <c r="AR294" s="298"/>
    </row>
    <row r="295" spans="2:44" s="290" customFormat="1" x14ac:dyDescent="0.2">
      <c r="B295" s="302"/>
      <c r="D295" s="302"/>
      <c r="E295" s="302"/>
      <c r="K295" s="303"/>
      <c r="L295" s="303"/>
      <c r="M295" s="303"/>
      <c r="AB295" s="298"/>
      <c r="AC295" s="297"/>
      <c r="AF295" s="296"/>
      <c r="AG295" s="297"/>
      <c r="AJ295" s="298"/>
      <c r="AK295" s="297"/>
      <c r="AN295" s="298"/>
      <c r="AR295" s="298"/>
    </row>
    <row r="296" spans="2:44" s="290" customFormat="1" x14ac:dyDescent="0.2">
      <c r="B296" s="302"/>
      <c r="D296" s="302"/>
      <c r="E296" s="302"/>
      <c r="K296" s="303"/>
      <c r="L296" s="303"/>
      <c r="M296" s="303"/>
      <c r="AB296" s="298"/>
      <c r="AC296" s="297"/>
      <c r="AF296" s="296"/>
      <c r="AG296" s="297"/>
      <c r="AJ296" s="298"/>
      <c r="AK296" s="297"/>
      <c r="AN296" s="298"/>
      <c r="AR296" s="298"/>
    </row>
    <row r="297" spans="2:44" s="290" customFormat="1" x14ac:dyDescent="0.2">
      <c r="B297" s="302"/>
      <c r="D297" s="302"/>
      <c r="E297" s="302"/>
      <c r="K297" s="303"/>
      <c r="L297" s="303"/>
      <c r="M297" s="303"/>
      <c r="AB297" s="298"/>
      <c r="AC297" s="297"/>
      <c r="AF297" s="296"/>
      <c r="AG297" s="297"/>
      <c r="AJ297" s="298"/>
      <c r="AK297" s="297"/>
      <c r="AN297" s="298"/>
      <c r="AR297" s="298"/>
    </row>
    <row r="298" spans="2:44" s="290" customFormat="1" x14ac:dyDescent="0.2">
      <c r="B298" s="302"/>
      <c r="D298" s="302"/>
      <c r="E298" s="302"/>
      <c r="K298" s="303"/>
      <c r="L298" s="303"/>
      <c r="M298" s="303"/>
      <c r="AB298" s="298"/>
      <c r="AC298" s="297"/>
      <c r="AF298" s="296"/>
      <c r="AG298" s="297"/>
      <c r="AJ298" s="298"/>
      <c r="AK298" s="297"/>
      <c r="AN298" s="298"/>
      <c r="AR298" s="298"/>
    </row>
    <row r="299" spans="2:44" s="290" customFormat="1" x14ac:dyDescent="0.2">
      <c r="B299" s="302"/>
      <c r="D299" s="302"/>
      <c r="E299" s="302"/>
      <c r="K299" s="303"/>
      <c r="L299" s="303"/>
      <c r="M299" s="303"/>
      <c r="AB299" s="298"/>
      <c r="AC299" s="297"/>
      <c r="AF299" s="296"/>
      <c r="AG299" s="297"/>
      <c r="AJ299" s="298"/>
      <c r="AK299" s="297"/>
      <c r="AN299" s="298"/>
      <c r="AR299" s="298"/>
    </row>
    <row r="300" spans="2:44" s="290" customFormat="1" x14ac:dyDescent="0.2">
      <c r="B300" s="302"/>
      <c r="D300" s="302"/>
      <c r="E300" s="302"/>
      <c r="K300" s="303"/>
      <c r="L300" s="303"/>
      <c r="M300" s="303"/>
      <c r="AB300" s="298"/>
      <c r="AC300" s="297"/>
      <c r="AF300" s="296"/>
      <c r="AG300" s="297"/>
      <c r="AJ300" s="298"/>
      <c r="AK300" s="297"/>
      <c r="AN300" s="298"/>
      <c r="AR300" s="298"/>
    </row>
    <row r="301" spans="2:44" s="290" customFormat="1" x14ac:dyDescent="0.2">
      <c r="B301" s="302"/>
      <c r="D301" s="302"/>
      <c r="E301" s="302"/>
      <c r="K301" s="303"/>
      <c r="L301" s="303"/>
      <c r="M301" s="303"/>
      <c r="AB301" s="298"/>
      <c r="AC301" s="297"/>
      <c r="AF301" s="296"/>
      <c r="AG301" s="297"/>
      <c r="AJ301" s="298"/>
      <c r="AK301" s="297"/>
      <c r="AN301" s="298"/>
      <c r="AR301" s="298"/>
    </row>
    <row r="302" spans="2:44" s="290" customFormat="1" x14ac:dyDescent="0.2">
      <c r="B302" s="302"/>
      <c r="D302" s="302"/>
      <c r="E302" s="302"/>
      <c r="K302" s="303"/>
      <c r="L302" s="303"/>
      <c r="M302" s="303"/>
      <c r="AB302" s="298"/>
      <c r="AC302" s="297"/>
      <c r="AF302" s="296"/>
      <c r="AG302" s="297"/>
      <c r="AJ302" s="298"/>
      <c r="AK302" s="297"/>
      <c r="AN302" s="298"/>
      <c r="AR302" s="298"/>
    </row>
    <row r="303" spans="2:44" s="290" customFormat="1" x14ac:dyDescent="0.2">
      <c r="B303" s="302"/>
      <c r="D303" s="302"/>
      <c r="E303" s="302"/>
      <c r="K303" s="303"/>
      <c r="L303" s="303"/>
      <c r="M303" s="303"/>
      <c r="AB303" s="298"/>
      <c r="AC303" s="297"/>
      <c r="AF303" s="296"/>
      <c r="AG303" s="297"/>
      <c r="AJ303" s="298"/>
      <c r="AK303" s="297"/>
      <c r="AN303" s="298"/>
      <c r="AR303" s="298"/>
    </row>
    <row r="304" spans="2:44" s="290" customFormat="1" x14ac:dyDescent="0.2">
      <c r="B304" s="302"/>
      <c r="D304" s="302"/>
      <c r="E304" s="302"/>
      <c r="K304" s="303"/>
      <c r="L304" s="303"/>
      <c r="M304" s="303"/>
      <c r="AB304" s="298"/>
      <c r="AC304" s="297"/>
      <c r="AF304" s="296"/>
      <c r="AG304" s="297"/>
      <c r="AJ304" s="298"/>
      <c r="AK304" s="297"/>
      <c r="AN304" s="298"/>
      <c r="AR304" s="298"/>
    </row>
    <row r="305" spans="2:44" s="290" customFormat="1" x14ac:dyDescent="0.2">
      <c r="B305" s="302"/>
      <c r="D305" s="302"/>
      <c r="E305" s="302"/>
      <c r="K305" s="303"/>
      <c r="L305" s="303"/>
      <c r="M305" s="303"/>
      <c r="AB305" s="298"/>
      <c r="AC305" s="297"/>
      <c r="AF305" s="296"/>
      <c r="AG305" s="297"/>
      <c r="AJ305" s="298"/>
      <c r="AK305" s="297"/>
      <c r="AN305" s="298"/>
      <c r="AR305" s="298"/>
    </row>
    <row r="306" spans="2:44" s="290" customFormat="1" x14ac:dyDescent="0.2">
      <c r="B306" s="302"/>
      <c r="D306" s="302"/>
      <c r="E306" s="302"/>
      <c r="K306" s="303"/>
      <c r="L306" s="303"/>
      <c r="M306" s="303"/>
      <c r="AB306" s="298"/>
      <c r="AC306" s="297"/>
      <c r="AF306" s="296"/>
      <c r="AG306" s="297"/>
      <c r="AJ306" s="298"/>
      <c r="AK306" s="297"/>
      <c r="AN306" s="298"/>
      <c r="AR306" s="298"/>
    </row>
    <row r="307" spans="2:44" s="290" customFormat="1" x14ac:dyDescent="0.2">
      <c r="B307" s="302"/>
      <c r="D307" s="302"/>
      <c r="E307" s="302"/>
      <c r="K307" s="303"/>
      <c r="L307" s="303"/>
      <c r="M307" s="303"/>
      <c r="AB307" s="298"/>
      <c r="AC307" s="297"/>
      <c r="AF307" s="296"/>
      <c r="AG307" s="297"/>
      <c r="AJ307" s="298"/>
      <c r="AK307" s="297"/>
      <c r="AN307" s="298"/>
      <c r="AR307" s="298"/>
    </row>
    <row r="308" spans="2:44" s="290" customFormat="1" x14ac:dyDescent="0.2">
      <c r="B308" s="302"/>
      <c r="D308" s="302"/>
      <c r="E308" s="302"/>
      <c r="K308" s="303"/>
      <c r="L308" s="303"/>
      <c r="M308" s="303"/>
      <c r="AB308" s="298"/>
      <c r="AC308" s="297"/>
      <c r="AF308" s="296"/>
      <c r="AG308" s="297"/>
      <c r="AJ308" s="298"/>
      <c r="AK308" s="297"/>
      <c r="AN308" s="298"/>
      <c r="AR308" s="298"/>
    </row>
    <row r="309" spans="2:44" s="290" customFormat="1" x14ac:dyDescent="0.2">
      <c r="B309" s="302"/>
      <c r="D309" s="302"/>
      <c r="E309" s="302"/>
      <c r="K309" s="303"/>
      <c r="L309" s="303"/>
      <c r="M309" s="303"/>
      <c r="AB309" s="298"/>
      <c r="AC309" s="297"/>
      <c r="AF309" s="296"/>
      <c r="AG309" s="297"/>
      <c r="AJ309" s="298"/>
      <c r="AK309" s="297"/>
      <c r="AN309" s="298"/>
      <c r="AR309" s="298"/>
    </row>
    <row r="310" spans="2:44" s="290" customFormat="1" x14ac:dyDescent="0.2">
      <c r="B310" s="302"/>
      <c r="D310" s="302"/>
      <c r="E310" s="302"/>
      <c r="K310" s="303"/>
      <c r="L310" s="303"/>
      <c r="M310" s="303"/>
      <c r="AB310" s="298"/>
      <c r="AC310" s="297"/>
      <c r="AF310" s="296"/>
      <c r="AG310" s="297"/>
      <c r="AJ310" s="298"/>
      <c r="AK310" s="297"/>
      <c r="AN310" s="298"/>
      <c r="AR310" s="298"/>
    </row>
    <row r="311" spans="2:44" s="290" customFormat="1" x14ac:dyDescent="0.2">
      <c r="B311" s="302"/>
      <c r="D311" s="302"/>
      <c r="E311" s="302"/>
      <c r="K311" s="303"/>
      <c r="L311" s="303"/>
      <c r="M311" s="303"/>
      <c r="AB311" s="298"/>
      <c r="AC311" s="297"/>
      <c r="AF311" s="296"/>
      <c r="AG311" s="297"/>
      <c r="AJ311" s="298"/>
      <c r="AK311" s="297"/>
      <c r="AN311" s="298"/>
      <c r="AR311" s="298"/>
    </row>
    <row r="312" spans="2:44" s="290" customFormat="1" x14ac:dyDescent="0.2">
      <c r="B312" s="302"/>
      <c r="D312" s="302"/>
      <c r="E312" s="302"/>
      <c r="K312" s="303"/>
      <c r="L312" s="303"/>
      <c r="M312" s="303"/>
      <c r="AB312" s="298"/>
      <c r="AC312" s="297"/>
      <c r="AF312" s="296"/>
      <c r="AG312" s="297"/>
      <c r="AJ312" s="298"/>
      <c r="AK312" s="297"/>
      <c r="AN312" s="298"/>
      <c r="AR312" s="298"/>
    </row>
    <row r="313" spans="2:44" s="290" customFormat="1" x14ac:dyDescent="0.2">
      <c r="B313" s="302"/>
      <c r="D313" s="302"/>
      <c r="E313" s="302"/>
      <c r="K313" s="303"/>
      <c r="L313" s="303"/>
      <c r="M313" s="303"/>
      <c r="AB313" s="298"/>
      <c r="AC313" s="297"/>
      <c r="AF313" s="296"/>
      <c r="AG313" s="297"/>
      <c r="AJ313" s="298"/>
      <c r="AK313" s="297"/>
      <c r="AN313" s="298"/>
      <c r="AR313" s="298"/>
    </row>
    <row r="314" spans="2:44" s="290" customFormat="1" x14ac:dyDescent="0.2">
      <c r="B314" s="302"/>
      <c r="D314" s="302"/>
      <c r="E314" s="302"/>
      <c r="K314" s="303"/>
      <c r="L314" s="303"/>
      <c r="M314" s="303"/>
      <c r="AB314" s="298"/>
      <c r="AC314" s="297"/>
      <c r="AF314" s="296"/>
      <c r="AG314" s="297"/>
      <c r="AJ314" s="298"/>
      <c r="AK314" s="297"/>
      <c r="AN314" s="298"/>
      <c r="AR314" s="298"/>
    </row>
    <row r="315" spans="2:44" s="290" customFormat="1" x14ac:dyDescent="0.2">
      <c r="B315" s="302"/>
      <c r="D315" s="302"/>
      <c r="E315" s="302"/>
      <c r="K315" s="303"/>
      <c r="L315" s="303"/>
      <c r="M315" s="303"/>
      <c r="AB315" s="298"/>
      <c r="AC315" s="297"/>
      <c r="AF315" s="296"/>
      <c r="AG315" s="297"/>
      <c r="AJ315" s="298"/>
      <c r="AK315" s="297"/>
      <c r="AN315" s="298"/>
      <c r="AR315" s="298"/>
    </row>
    <row r="316" spans="2:44" s="290" customFormat="1" x14ac:dyDescent="0.2">
      <c r="B316" s="302"/>
      <c r="D316" s="302"/>
      <c r="E316" s="302"/>
      <c r="K316" s="303"/>
      <c r="L316" s="303"/>
      <c r="M316" s="303"/>
      <c r="AB316" s="298"/>
      <c r="AC316" s="297"/>
      <c r="AF316" s="296"/>
      <c r="AG316" s="297"/>
      <c r="AJ316" s="298"/>
      <c r="AK316" s="297"/>
      <c r="AN316" s="298"/>
      <c r="AR316" s="298"/>
    </row>
    <row r="317" spans="2:44" s="290" customFormat="1" x14ac:dyDescent="0.2">
      <c r="B317" s="302"/>
      <c r="D317" s="302"/>
      <c r="E317" s="302"/>
      <c r="K317" s="303"/>
      <c r="L317" s="303"/>
      <c r="M317" s="303"/>
      <c r="AB317" s="298"/>
      <c r="AC317" s="297"/>
      <c r="AF317" s="296"/>
      <c r="AG317" s="297"/>
      <c r="AJ317" s="298"/>
      <c r="AK317" s="297"/>
      <c r="AN317" s="298"/>
      <c r="AR317" s="298"/>
    </row>
    <row r="318" spans="2:44" s="290" customFormat="1" x14ac:dyDescent="0.2">
      <c r="B318" s="302"/>
      <c r="D318" s="302"/>
      <c r="E318" s="302"/>
      <c r="K318" s="303"/>
      <c r="L318" s="303"/>
      <c r="M318" s="303"/>
      <c r="AB318" s="298"/>
      <c r="AC318" s="297"/>
      <c r="AF318" s="296"/>
      <c r="AG318" s="297"/>
      <c r="AJ318" s="298"/>
      <c r="AK318" s="297"/>
      <c r="AN318" s="298"/>
      <c r="AR318" s="298"/>
    </row>
    <row r="319" spans="2:44" s="290" customFormat="1" x14ac:dyDescent="0.2">
      <c r="B319" s="302"/>
      <c r="D319" s="302"/>
      <c r="E319" s="302"/>
      <c r="K319" s="303"/>
      <c r="L319" s="303"/>
      <c r="M319" s="303"/>
      <c r="AB319" s="298"/>
      <c r="AC319" s="297"/>
      <c r="AF319" s="296"/>
      <c r="AG319" s="297"/>
      <c r="AJ319" s="298"/>
      <c r="AK319" s="297"/>
      <c r="AN319" s="298"/>
      <c r="AR319" s="298"/>
    </row>
    <row r="320" spans="2:44" s="290" customFormat="1" x14ac:dyDescent="0.2">
      <c r="B320" s="302"/>
      <c r="D320" s="302"/>
      <c r="E320" s="302"/>
      <c r="K320" s="303"/>
      <c r="L320" s="303"/>
      <c r="M320" s="303"/>
      <c r="AB320" s="298"/>
      <c r="AC320" s="297"/>
      <c r="AF320" s="296"/>
      <c r="AG320" s="297"/>
      <c r="AJ320" s="298"/>
      <c r="AK320" s="297"/>
      <c r="AN320" s="298"/>
      <c r="AR320" s="298"/>
    </row>
    <row r="321" spans="2:44" s="290" customFormat="1" x14ac:dyDescent="0.2">
      <c r="B321" s="302"/>
      <c r="D321" s="302"/>
      <c r="E321" s="302"/>
      <c r="K321" s="303"/>
      <c r="L321" s="303"/>
      <c r="M321" s="303"/>
      <c r="AB321" s="298"/>
      <c r="AC321" s="297"/>
      <c r="AF321" s="296"/>
      <c r="AG321" s="297"/>
      <c r="AJ321" s="298"/>
      <c r="AK321" s="297"/>
      <c r="AN321" s="298"/>
      <c r="AR321" s="298"/>
    </row>
    <row r="322" spans="2:44" s="290" customFormat="1" x14ac:dyDescent="0.2">
      <c r="B322" s="302"/>
      <c r="D322" s="302"/>
      <c r="E322" s="302"/>
      <c r="K322" s="303"/>
      <c r="L322" s="303"/>
      <c r="M322" s="303"/>
      <c r="AB322" s="298"/>
      <c r="AC322" s="297"/>
      <c r="AF322" s="296"/>
      <c r="AG322" s="297"/>
      <c r="AJ322" s="298"/>
      <c r="AK322" s="297"/>
      <c r="AN322" s="298"/>
      <c r="AR322" s="298"/>
    </row>
    <row r="323" spans="2:44" s="290" customFormat="1" x14ac:dyDescent="0.2">
      <c r="B323" s="302"/>
      <c r="D323" s="302"/>
      <c r="E323" s="302"/>
      <c r="K323" s="303"/>
      <c r="L323" s="303"/>
      <c r="M323" s="303"/>
      <c r="AB323" s="298"/>
      <c r="AC323" s="297"/>
      <c r="AF323" s="296"/>
      <c r="AG323" s="297"/>
      <c r="AJ323" s="298"/>
      <c r="AK323" s="297"/>
      <c r="AN323" s="298"/>
      <c r="AR323" s="298"/>
    </row>
    <row r="324" spans="2:44" s="290" customFormat="1" x14ac:dyDescent="0.2">
      <c r="B324" s="302"/>
      <c r="D324" s="302"/>
      <c r="E324" s="302"/>
      <c r="K324" s="303"/>
      <c r="L324" s="303"/>
      <c r="M324" s="303"/>
      <c r="AB324" s="298"/>
      <c r="AC324" s="297"/>
      <c r="AF324" s="296"/>
      <c r="AG324" s="297"/>
      <c r="AJ324" s="298"/>
      <c r="AK324" s="297"/>
      <c r="AN324" s="298"/>
      <c r="AR324" s="298"/>
    </row>
    <row r="325" spans="2:44" s="290" customFormat="1" x14ac:dyDescent="0.2">
      <c r="B325" s="302"/>
      <c r="D325" s="302"/>
      <c r="E325" s="302"/>
      <c r="K325" s="303"/>
      <c r="L325" s="303"/>
      <c r="M325" s="303"/>
      <c r="AB325" s="298"/>
      <c r="AC325" s="297"/>
      <c r="AF325" s="296"/>
      <c r="AG325" s="297"/>
      <c r="AJ325" s="298"/>
      <c r="AK325" s="297"/>
      <c r="AN325" s="298"/>
      <c r="AR325" s="298"/>
    </row>
    <row r="326" spans="2:44" s="290" customFormat="1" x14ac:dyDescent="0.2">
      <c r="B326" s="302"/>
      <c r="D326" s="302"/>
      <c r="E326" s="302"/>
      <c r="K326" s="303"/>
      <c r="L326" s="303"/>
      <c r="M326" s="303"/>
      <c r="AB326" s="298"/>
      <c r="AC326" s="297"/>
      <c r="AF326" s="296"/>
      <c r="AG326" s="297"/>
      <c r="AJ326" s="298"/>
      <c r="AK326" s="297"/>
      <c r="AN326" s="298"/>
      <c r="AR326" s="298"/>
    </row>
    <row r="327" spans="2:44" s="290" customFormat="1" x14ac:dyDescent="0.2">
      <c r="B327" s="302"/>
      <c r="D327" s="302"/>
      <c r="E327" s="302"/>
      <c r="K327" s="303"/>
      <c r="L327" s="303"/>
      <c r="M327" s="303"/>
      <c r="AB327" s="298"/>
      <c r="AC327" s="297"/>
      <c r="AF327" s="296"/>
      <c r="AG327" s="297"/>
      <c r="AJ327" s="298"/>
      <c r="AK327" s="297"/>
      <c r="AN327" s="298"/>
      <c r="AR327" s="298"/>
    </row>
    <row r="328" spans="2:44" s="290" customFormat="1" x14ac:dyDescent="0.2">
      <c r="B328" s="302"/>
      <c r="D328" s="302"/>
      <c r="E328" s="302"/>
      <c r="K328" s="303"/>
      <c r="L328" s="303"/>
      <c r="M328" s="303"/>
      <c r="AB328" s="298"/>
      <c r="AC328" s="297"/>
      <c r="AF328" s="296"/>
      <c r="AG328" s="297"/>
      <c r="AJ328" s="298"/>
      <c r="AK328" s="297"/>
      <c r="AN328" s="298"/>
      <c r="AR328" s="298"/>
    </row>
    <row r="329" spans="2:44" s="290" customFormat="1" x14ac:dyDescent="0.2">
      <c r="B329" s="302"/>
      <c r="D329" s="302"/>
      <c r="E329" s="302"/>
      <c r="K329" s="303"/>
      <c r="L329" s="303"/>
      <c r="M329" s="303"/>
      <c r="AB329" s="298"/>
      <c r="AC329" s="297"/>
      <c r="AF329" s="296"/>
      <c r="AG329" s="297"/>
      <c r="AJ329" s="298"/>
      <c r="AK329" s="297"/>
      <c r="AN329" s="298"/>
      <c r="AR329" s="298"/>
    </row>
    <row r="330" spans="2:44" s="290" customFormat="1" x14ac:dyDescent="0.2">
      <c r="B330" s="302"/>
      <c r="D330" s="302"/>
      <c r="E330" s="302"/>
      <c r="K330" s="303"/>
      <c r="L330" s="303"/>
      <c r="M330" s="303"/>
      <c r="AB330" s="298"/>
      <c r="AC330" s="297"/>
      <c r="AF330" s="296"/>
      <c r="AG330" s="297"/>
      <c r="AJ330" s="298"/>
      <c r="AK330" s="297"/>
      <c r="AN330" s="298"/>
      <c r="AR330" s="298"/>
    </row>
    <row r="331" spans="2:44" s="290" customFormat="1" x14ac:dyDescent="0.2">
      <c r="B331" s="302"/>
      <c r="D331" s="302"/>
      <c r="E331" s="302"/>
      <c r="K331" s="303"/>
      <c r="L331" s="303"/>
      <c r="M331" s="303"/>
      <c r="AB331" s="298"/>
      <c r="AC331" s="297"/>
      <c r="AF331" s="296"/>
      <c r="AG331" s="297"/>
      <c r="AJ331" s="298"/>
      <c r="AK331" s="297"/>
      <c r="AN331" s="298"/>
      <c r="AR331" s="298"/>
    </row>
    <row r="332" spans="2:44" s="290" customFormat="1" x14ac:dyDescent="0.2">
      <c r="B332" s="302"/>
      <c r="D332" s="302"/>
      <c r="E332" s="302"/>
      <c r="K332" s="303"/>
      <c r="L332" s="303"/>
      <c r="M332" s="303"/>
      <c r="AB332" s="298"/>
      <c r="AC332" s="297"/>
      <c r="AF332" s="296"/>
      <c r="AG332" s="297"/>
      <c r="AJ332" s="298"/>
      <c r="AK332" s="297"/>
      <c r="AN332" s="298"/>
      <c r="AR332" s="298"/>
    </row>
    <row r="333" spans="2:44" s="290" customFormat="1" x14ac:dyDescent="0.2">
      <c r="B333" s="302"/>
      <c r="D333" s="302"/>
      <c r="E333" s="302"/>
      <c r="K333" s="303"/>
      <c r="L333" s="303"/>
      <c r="M333" s="303"/>
      <c r="AB333" s="298"/>
      <c r="AC333" s="297"/>
      <c r="AF333" s="296"/>
      <c r="AG333" s="297"/>
      <c r="AJ333" s="298"/>
      <c r="AK333" s="297"/>
      <c r="AN333" s="298"/>
      <c r="AR333" s="298"/>
    </row>
    <row r="334" spans="2:44" s="290" customFormat="1" x14ac:dyDescent="0.2">
      <c r="B334" s="302"/>
      <c r="D334" s="302"/>
      <c r="E334" s="302"/>
      <c r="K334" s="303"/>
      <c r="L334" s="303"/>
      <c r="M334" s="303"/>
      <c r="AB334" s="298"/>
      <c r="AC334" s="297"/>
      <c r="AF334" s="296"/>
      <c r="AG334" s="297"/>
      <c r="AJ334" s="298"/>
      <c r="AK334" s="297"/>
      <c r="AN334" s="298"/>
      <c r="AR334" s="298"/>
    </row>
    <row r="335" spans="2:44" s="290" customFormat="1" x14ac:dyDescent="0.2">
      <c r="B335" s="302"/>
      <c r="D335" s="302"/>
      <c r="E335" s="302"/>
      <c r="K335" s="303"/>
      <c r="L335" s="303"/>
      <c r="M335" s="303"/>
      <c r="AB335" s="298"/>
      <c r="AC335" s="297"/>
      <c r="AF335" s="296"/>
      <c r="AG335" s="297"/>
      <c r="AJ335" s="298"/>
      <c r="AK335" s="297"/>
      <c r="AN335" s="298"/>
      <c r="AR335" s="298"/>
    </row>
    <row r="336" spans="2:44" s="290" customFormat="1" x14ac:dyDescent="0.2">
      <c r="B336" s="302"/>
      <c r="D336" s="302"/>
      <c r="E336" s="302"/>
      <c r="K336" s="303"/>
      <c r="L336" s="303"/>
      <c r="M336" s="303"/>
      <c r="AB336" s="298"/>
      <c r="AC336" s="297"/>
      <c r="AF336" s="296"/>
      <c r="AG336" s="297"/>
      <c r="AJ336" s="298"/>
      <c r="AK336" s="297"/>
      <c r="AN336" s="298"/>
      <c r="AR336" s="298"/>
    </row>
    <row r="337" spans="2:44" s="290" customFormat="1" x14ac:dyDescent="0.2">
      <c r="B337" s="302"/>
      <c r="D337" s="302"/>
      <c r="E337" s="302"/>
      <c r="K337" s="303"/>
      <c r="L337" s="303"/>
      <c r="M337" s="303"/>
      <c r="AB337" s="298"/>
      <c r="AC337" s="297"/>
      <c r="AF337" s="296"/>
      <c r="AG337" s="297"/>
      <c r="AJ337" s="298"/>
      <c r="AK337" s="297"/>
      <c r="AN337" s="298"/>
      <c r="AR337" s="298"/>
    </row>
    <row r="338" spans="2:44" s="290" customFormat="1" x14ac:dyDescent="0.2">
      <c r="B338" s="302"/>
      <c r="D338" s="302"/>
      <c r="E338" s="302"/>
      <c r="K338" s="303"/>
      <c r="L338" s="303"/>
      <c r="M338" s="303"/>
      <c r="AB338" s="298"/>
      <c r="AC338" s="297"/>
      <c r="AF338" s="296"/>
      <c r="AG338" s="297"/>
      <c r="AJ338" s="298"/>
      <c r="AK338" s="297"/>
      <c r="AN338" s="298"/>
      <c r="AR338" s="298"/>
    </row>
    <row r="339" spans="2:44" s="290" customFormat="1" x14ac:dyDescent="0.2">
      <c r="B339" s="302"/>
      <c r="D339" s="302"/>
      <c r="E339" s="302"/>
      <c r="K339" s="303"/>
      <c r="L339" s="303"/>
      <c r="M339" s="303"/>
      <c r="AB339" s="298"/>
      <c r="AC339" s="297"/>
      <c r="AF339" s="296"/>
      <c r="AG339" s="297"/>
      <c r="AJ339" s="298"/>
      <c r="AK339" s="297"/>
      <c r="AN339" s="298"/>
      <c r="AR339" s="298"/>
    </row>
    <row r="340" spans="2:44" s="290" customFormat="1" x14ac:dyDescent="0.2">
      <c r="B340" s="302"/>
      <c r="D340" s="302"/>
      <c r="E340" s="302"/>
      <c r="K340" s="303"/>
      <c r="L340" s="303"/>
      <c r="M340" s="303"/>
      <c r="AB340" s="298"/>
      <c r="AC340" s="297"/>
      <c r="AF340" s="296"/>
      <c r="AG340" s="297"/>
      <c r="AJ340" s="298"/>
      <c r="AK340" s="297"/>
      <c r="AN340" s="298"/>
      <c r="AR340" s="298"/>
    </row>
    <row r="341" spans="2:44" s="290" customFormat="1" x14ac:dyDescent="0.2">
      <c r="B341" s="302"/>
      <c r="D341" s="302"/>
      <c r="E341" s="302"/>
      <c r="K341" s="303"/>
      <c r="L341" s="303"/>
      <c r="M341" s="303"/>
      <c r="AB341" s="298"/>
      <c r="AC341" s="297"/>
      <c r="AF341" s="296"/>
      <c r="AG341" s="297"/>
      <c r="AJ341" s="298"/>
      <c r="AK341" s="297"/>
      <c r="AN341" s="298"/>
      <c r="AR341" s="298"/>
    </row>
    <row r="342" spans="2:44" s="290" customFormat="1" x14ac:dyDescent="0.2">
      <c r="B342" s="302"/>
      <c r="D342" s="302"/>
      <c r="E342" s="302"/>
      <c r="K342" s="303"/>
      <c r="L342" s="303"/>
      <c r="M342" s="303"/>
      <c r="AB342" s="298"/>
      <c r="AC342" s="297"/>
      <c r="AF342" s="296"/>
      <c r="AG342" s="297"/>
      <c r="AJ342" s="298"/>
      <c r="AK342" s="297"/>
      <c r="AN342" s="298"/>
      <c r="AR342" s="298"/>
    </row>
    <row r="343" spans="2:44" s="290" customFormat="1" x14ac:dyDescent="0.2">
      <c r="B343" s="302"/>
      <c r="D343" s="302"/>
      <c r="E343" s="302"/>
      <c r="K343" s="303"/>
      <c r="L343" s="303"/>
      <c r="M343" s="303"/>
      <c r="AB343" s="298"/>
      <c r="AC343" s="297"/>
      <c r="AF343" s="296"/>
      <c r="AG343" s="297"/>
      <c r="AJ343" s="298"/>
      <c r="AK343" s="297"/>
      <c r="AN343" s="298"/>
      <c r="AR343" s="298"/>
    </row>
    <row r="344" spans="2:44" s="290" customFormat="1" x14ac:dyDescent="0.2">
      <c r="B344" s="302"/>
      <c r="D344" s="302"/>
      <c r="E344" s="302"/>
      <c r="K344" s="303"/>
      <c r="L344" s="303"/>
      <c r="M344" s="303"/>
      <c r="AB344" s="298"/>
      <c r="AC344" s="297"/>
      <c r="AF344" s="296"/>
      <c r="AG344" s="297"/>
      <c r="AJ344" s="298"/>
      <c r="AK344" s="297"/>
      <c r="AN344" s="298"/>
      <c r="AR344" s="298"/>
    </row>
    <row r="345" spans="2:44" s="290" customFormat="1" x14ac:dyDescent="0.2">
      <c r="B345" s="302"/>
      <c r="D345" s="302"/>
      <c r="E345" s="302"/>
      <c r="K345" s="303"/>
      <c r="L345" s="303"/>
      <c r="M345" s="303"/>
      <c r="AB345" s="298"/>
      <c r="AC345" s="297"/>
      <c r="AF345" s="296"/>
      <c r="AG345" s="297"/>
      <c r="AJ345" s="298"/>
      <c r="AK345" s="297"/>
      <c r="AN345" s="298"/>
      <c r="AR345" s="298"/>
    </row>
    <row r="346" spans="2:44" s="290" customFormat="1" x14ac:dyDescent="0.2">
      <c r="B346" s="302"/>
      <c r="D346" s="302"/>
      <c r="E346" s="302"/>
      <c r="K346" s="303"/>
      <c r="L346" s="303"/>
      <c r="M346" s="303"/>
      <c r="AB346" s="298"/>
      <c r="AC346" s="297"/>
      <c r="AF346" s="296"/>
      <c r="AG346" s="297"/>
      <c r="AJ346" s="298"/>
      <c r="AK346" s="297"/>
      <c r="AN346" s="298"/>
      <c r="AR346" s="298"/>
    </row>
    <row r="347" spans="2:44" s="290" customFormat="1" x14ac:dyDescent="0.2">
      <c r="B347" s="302"/>
      <c r="D347" s="302"/>
      <c r="E347" s="302"/>
      <c r="K347" s="303"/>
      <c r="L347" s="303"/>
      <c r="M347" s="303"/>
      <c r="AB347" s="298"/>
      <c r="AC347" s="297"/>
      <c r="AF347" s="296"/>
      <c r="AG347" s="297"/>
      <c r="AJ347" s="298"/>
      <c r="AK347" s="297"/>
      <c r="AN347" s="298"/>
      <c r="AR347" s="298"/>
    </row>
    <row r="348" spans="2:44" s="290" customFormat="1" x14ac:dyDescent="0.2">
      <c r="B348" s="302"/>
      <c r="D348" s="302"/>
      <c r="E348" s="302"/>
      <c r="K348" s="303"/>
      <c r="L348" s="303"/>
      <c r="M348" s="303"/>
      <c r="AB348" s="298"/>
      <c r="AC348" s="297"/>
      <c r="AF348" s="296"/>
      <c r="AG348" s="297"/>
      <c r="AJ348" s="298"/>
      <c r="AK348" s="297"/>
      <c r="AN348" s="298"/>
      <c r="AR348" s="298"/>
    </row>
    <row r="349" spans="2:44" s="290" customFormat="1" x14ac:dyDescent="0.2">
      <c r="B349" s="302"/>
      <c r="D349" s="302"/>
      <c r="E349" s="302"/>
      <c r="K349" s="303"/>
      <c r="L349" s="303"/>
      <c r="M349" s="303"/>
      <c r="AB349" s="298"/>
      <c r="AC349" s="297"/>
      <c r="AF349" s="296"/>
      <c r="AG349" s="297"/>
      <c r="AJ349" s="298"/>
      <c r="AK349" s="297"/>
      <c r="AN349" s="298"/>
      <c r="AR349" s="298"/>
    </row>
    <row r="350" spans="2:44" s="290" customFormat="1" x14ac:dyDescent="0.2">
      <c r="B350" s="302"/>
      <c r="D350" s="302"/>
      <c r="E350" s="302"/>
      <c r="K350" s="303"/>
      <c r="L350" s="303"/>
      <c r="M350" s="303"/>
      <c r="AB350" s="298"/>
      <c r="AC350" s="297"/>
      <c r="AF350" s="296"/>
      <c r="AG350" s="297"/>
      <c r="AJ350" s="298"/>
      <c r="AK350" s="297"/>
      <c r="AN350" s="298"/>
      <c r="AR350" s="298"/>
    </row>
    <row r="351" spans="2:44" s="290" customFormat="1" x14ac:dyDescent="0.2">
      <c r="B351" s="302"/>
      <c r="D351" s="302"/>
      <c r="E351" s="302"/>
      <c r="K351" s="303"/>
      <c r="L351" s="303"/>
      <c r="M351" s="303"/>
      <c r="AB351" s="298"/>
      <c r="AC351" s="297"/>
      <c r="AF351" s="296"/>
      <c r="AG351" s="297"/>
      <c r="AJ351" s="298"/>
      <c r="AK351" s="297"/>
      <c r="AN351" s="298"/>
      <c r="AR351" s="298"/>
    </row>
    <row r="352" spans="2:44" s="290" customFormat="1" x14ac:dyDescent="0.2">
      <c r="B352" s="302"/>
      <c r="D352" s="302"/>
      <c r="E352" s="302"/>
      <c r="K352" s="303"/>
      <c r="L352" s="303"/>
      <c r="M352" s="303"/>
      <c r="AB352" s="298"/>
      <c r="AC352" s="297"/>
      <c r="AF352" s="296"/>
      <c r="AG352" s="297"/>
      <c r="AJ352" s="298"/>
      <c r="AK352" s="297"/>
      <c r="AN352" s="298"/>
      <c r="AR352" s="298"/>
    </row>
    <row r="353" spans="2:44" s="290" customFormat="1" x14ac:dyDescent="0.2">
      <c r="B353" s="302"/>
      <c r="D353" s="302"/>
      <c r="E353" s="302"/>
      <c r="K353" s="303"/>
      <c r="L353" s="303"/>
      <c r="M353" s="303"/>
      <c r="AB353" s="298"/>
      <c r="AC353" s="297"/>
      <c r="AF353" s="296"/>
      <c r="AG353" s="297"/>
      <c r="AJ353" s="298"/>
      <c r="AK353" s="297"/>
      <c r="AN353" s="298"/>
      <c r="AR353" s="298"/>
    </row>
    <row r="354" spans="2:44" s="290" customFormat="1" x14ac:dyDescent="0.2">
      <c r="B354" s="302"/>
      <c r="D354" s="302"/>
      <c r="E354" s="302"/>
      <c r="K354" s="303"/>
      <c r="L354" s="303"/>
      <c r="M354" s="303"/>
      <c r="AB354" s="298"/>
      <c r="AC354" s="297"/>
      <c r="AF354" s="296"/>
      <c r="AG354" s="297"/>
      <c r="AJ354" s="298"/>
      <c r="AK354" s="297"/>
      <c r="AN354" s="298"/>
      <c r="AR354" s="298"/>
    </row>
    <row r="355" spans="2:44" s="290" customFormat="1" x14ac:dyDescent="0.2">
      <c r="B355" s="302"/>
      <c r="D355" s="302"/>
      <c r="E355" s="302"/>
      <c r="K355" s="303"/>
      <c r="L355" s="303"/>
      <c r="M355" s="303"/>
      <c r="AB355" s="298"/>
      <c r="AC355" s="297"/>
      <c r="AF355" s="296"/>
      <c r="AG355" s="297"/>
      <c r="AJ355" s="298"/>
      <c r="AK355" s="297"/>
      <c r="AN355" s="298"/>
      <c r="AR355" s="298"/>
    </row>
    <row r="356" spans="2:44" s="290" customFormat="1" x14ac:dyDescent="0.2">
      <c r="B356" s="302"/>
      <c r="D356" s="302"/>
      <c r="E356" s="302"/>
      <c r="K356" s="303"/>
      <c r="L356" s="303"/>
      <c r="M356" s="303"/>
      <c r="AB356" s="298"/>
      <c r="AC356" s="297"/>
      <c r="AF356" s="296"/>
      <c r="AG356" s="297"/>
      <c r="AJ356" s="298"/>
      <c r="AK356" s="297"/>
      <c r="AN356" s="298"/>
      <c r="AR356" s="298"/>
    </row>
    <row r="357" spans="2:44" s="290" customFormat="1" x14ac:dyDescent="0.2">
      <c r="B357" s="302"/>
      <c r="D357" s="302"/>
      <c r="E357" s="302"/>
      <c r="K357" s="303"/>
      <c r="L357" s="303"/>
      <c r="M357" s="303"/>
      <c r="AB357" s="298"/>
      <c r="AC357" s="297"/>
      <c r="AF357" s="296"/>
      <c r="AG357" s="297"/>
      <c r="AJ357" s="298"/>
      <c r="AK357" s="297"/>
      <c r="AN357" s="298"/>
      <c r="AR357" s="298"/>
    </row>
    <row r="358" spans="2:44" s="290" customFormat="1" x14ac:dyDescent="0.2">
      <c r="B358" s="302"/>
      <c r="D358" s="302"/>
      <c r="E358" s="302"/>
      <c r="K358" s="303"/>
      <c r="L358" s="303"/>
      <c r="M358" s="303"/>
      <c r="AB358" s="298"/>
      <c r="AC358" s="297"/>
      <c r="AF358" s="296"/>
      <c r="AG358" s="297"/>
      <c r="AJ358" s="298"/>
      <c r="AK358" s="297"/>
      <c r="AN358" s="298"/>
      <c r="AR358" s="298"/>
    </row>
    <row r="359" spans="2:44" s="290" customFormat="1" x14ac:dyDescent="0.2">
      <c r="B359" s="302"/>
      <c r="D359" s="302"/>
      <c r="E359" s="302"/>
      <c r="K359" s="303"/>
      <c r="L359" s="303"/>
      <c r="M359" s="303"/>
      <c r="AB359" s="298"/>
      <c r="AC359" s="297"/>
      <c r="AF359" s="296"/>
      <c r="AG359" s="297"/>
      <c r="AJ359" s="298"/>
      <c r="AK359" s="297"/>
      <c r="AN359" s="298"/>
      <c r="AR359" s="298"/>
    </row>
    <row r="360" spans="2:44" s="290" customFormat="1" x14ac:dyDescent="0.2">
      <c r="B360" s="302"/>
      <c r="D360" s="302"/>
      <c r="E360" s="302"/>
      <c r="K360" s="303"/>
      <c r="L360" s="303"/>
      <c r="M360" s="303"/>
      <c r="AB360" s="298"/>
      <c r="AC360" s="297"/>
      <c r="AF360" s="296"/>
      <c r="AG360" s="297"/>
      <c r="AJ360" s="298"/>
      <c r="AK360" s="297"/>
      <c r="AN360" s="298"/>
      <c r="AR360" s="298"/>
    </row>
    <row r="361" spans="2:44" s="290" customFormat="1" x14ac:dyDescent="0.2">
      <c r="B361" s="302"/>
      <c r="D361" s="302"/>
      <c r="E361" s="302"/>
      <c r="K361" s="303"/>
      <c r="L361" s="303"/>
      <c r="M361" s="303"/>
      <c r="AB361" s="298"/>
      <c r="AC361" s="297"/>
      <c r="AF361" s="296"/>
      <c r="AG361" s="297"/>
      <c r="AJ361" s="298"/>
      <c r="AK361" s="297"/>
      <c r="AN361" s="298"/>
      <c r="AR361" s="298"/>
    </row>
    <row r="362" spans="2:44" s="290" customFormat="1" x14ac:dyDescent="0.2">
      <c r="B362" s="302"/>
      <c r="D362" s="302"/>
      <c r="E362" s="302"/>
      <c r="K362" s="303"/>
      <c r="L362" s="303"/>
      <c r="M362" s="303"/>
      <c r="AB362" s="298"/>
      <c r="AC362" s="297"/>
      <c r="AF362" s="296"/>
      <c r="AG362" s="297"/>
      <c r="AJ362" s="298"/>
      <c r="AK362" s="297"/>
      <c r="AN362" s="298"/>
      <c r="AR362" s="298"/>
    </row>
    <row r="363" spans="2:44" s="290" customFormat="1" x14ac:dyDescent="0.2">
      <c r="B363" s="302"/>
      <c r="D363" s="302"/>
      <c r="E363" s="302"/>
      <c r="K363" s="303"/>
      <c r="L363" s="303"/>
      <c r="M363" s="303"/>
      <c r="AB363" s="298"/>
      <c r="AC363" s="297"/>
      <c r="AF363" s="296"/>
      <c r="AG363" s="297"/>
      <c r="AJ363" s="298"/>
      <c r="AK363" s="297"/>
      <c r="AN363" s="298"/>
      <c r="AR363" s="298"/>
    </row>
    <row r="364" spans="2:44" s="290" customFormat="1" x14ac:dyDescent="0.2">
      <c r="B364" s="302"/>
      <c r="D364" s="302"/>
      <c r="E364" s="302"/>
      <c r="K364" s="303"/>
      <c r="L364" s="303"/>
      <c r="M364" s="303"/>
      <c r="AB364" s="298"/>
      <c r="AC364" s="297"/>
      <c r="AF364" s="296"/>
      <c r="AG364" s="297"/>
      <c r="AJ364" s="298"/>
      <c r="AK364" s="297"/>
      <c r="AN364" s="298"/>
      <c r="AR364" s="298"/>
    </row>
    <row r="365" spans="2:44" s="290" customFormat="1" x14ac:dyDescent="0.2">
      <c r="B365" s="302"/>
      <c r="D365" s="302"/>
      <c r="E365" s="302"/>
      <c r="K365" s="303"/>
      <c r="L365" s="303"/>
      <c r="M365" s="303"/>
      <c r="AB365" s="298"/>
      <c r="AC365" s="297"/>
      <c r="AF365" s="296"/>
      <c r="AG365" s="297"/>
      <c r="AJ365" s="298"/>
      <c r="AK365" s="297"/>
      <c r="AN365" s="298"/>
      <c r="AR365" s="298"/>
    </row>
    <row r="366" spans="2:44" s="290" customFormat="1" x14ac:dyDescent="0.2">
      <c r="B366" s="302"/>
      <c r="D366" s="302"/>
      <c r="E366" s="302"/>
      <c r="K366" s="303"/>
      <c r="L366" s="303"/>
      <c r="M366" s="303"/>
      <c r="AB366" s="298"/>
      <c r="AC366" s="297"/>
      <c r="AF366" s="296"/>
      <c r="AG366" s="297"/>
      <c r="AJ366" s="298"/>
      <c r="AK366" s="297"/>
      <c r="AN366" s="298"/>
      <c r="AR366" s="298"/>
    </row>
    <row r="367" spans="2:44" s="290" customFormat="1" x14ac:dyDescent="0.2">
      <c r="B367" s="302"/>
      <c r="D367" s="302"/>
      <c r="E367" s="302"/>
      <c r="K367" s="303"/>
      <c r="L367" s="303"/>
      <c r="M367" s="303"/>
      <c r="AB367" s="298"/>
      <c r="AC367" s="297"/>
      <c r="AF367" s="296"/>
      <c r="AG367" s="297"/>
      <c r="AJ367" s="298"/>
      <c r="AK367" s="297"/>
      <c r="AN367" s="298"/>
      <c r="AR367" s="298"/>
    </row>
    <row r="368" spans="2:44" s="290" customFormat="1" x14ac:dyDescent="0.2">
      <c r="B368" s="302"/>
      <c r="D368" s="302"/>
      <c r="E368" s="302"/>
      <c r="K368" s="303"/>
      <c r="L368" s="303"/>
      <c r="M368" s="303"/>
      <c r="AB368" s="298"/>
      <c r="AC368" s="297"/>
      <c r="AF368" s="296"/>
      <c r="AG368" s="297"/>
      <c r="AJ368" s="298"/>
      <c r="AK368" s="297"/>
      <c r="AN368" s="298"/>
      <c r="AR368" s="298"/>
    </row>
    <row r="369" spans="2:44" s="290" customFormat="1" x14ac:dyDescent="0.2">
      <c r="B369" s="302"/>
      <c r="D369" s="302"/>
      <c r="E369" s="302"/>
      <c r="K369" s="303"/>
      <c r="L369" s="303"/>
      <c r="M369" s="303"/>
      <c r="AB369" s="298"/>
      <c r="AC369" s="297"/>
      <c r="AF369" s="296"/>
      <c r="AG369" s="297"/>
      <c r="AJ369" s="298"/>
      <c r="AK369" s="297"/>
      <c r="AN369" s="298"/>
      <c r="AR369" s="298"/>
    </row>
    <row r="370" spans="2:44" s="290" customFormat="1" x14ac:dyDescent="0.2">
      <c r="B370" s="302"/>
      <c r="D370" s="302"/>
      <c r="E370" s="302"/>
      <c r="K370" s="303"/>
      <c r="L370" s="303"/>
      <c r="M370" s="303"/>
      <c r="AB370" s="298"/>
      <c r="AC370" s="297"/>
      <c r="AF370" s="296"/>
      <c r="AG370" s="297"/>
      <c r="AJ370" s="298"/>
      <c r="AK370" s="297"/>
      <c r="AN370" s="298"/>
      <c r="AR370" s="298"/>
    </row>
    <row r="371" spans="2:44" s="290" customFormat="1" x14ac:dyDescent="0.2">
      <c r="B371" s="302"/>
      <c r="D371" s="302"/>
      <c r="E371" s="302"/>
      <c r="K371" s="303"/>
      <c r="L371" s="303"/>
      <c r="M371" s="303"/>
      <c r="AB371" s="298"/>
      <c r="AC371" s="297"/>
      <c r="AF371" s="296"/>
      <c r="AG371" s="297"/>
      <c r="AJ371" s="298"/>
      <c r="AK371" s="297"/>
      <c r="AN371" s="298"/>
      <c r="AR371" s="298"/>
    </row>
    <row r="372" spans="2:44" s="290" customFormat="1" x14ac:dyDescent="0.2">
      <c r="B372" s="302"/>
      <c r="D372" s="302"/>
      <c r="E372" s="302"/>
      <c r="K372" s="303"/>
      <c r="L372" s="303"/>
      <c r="M372" s="303"/>
      <c r="AB372" s="298"/>
      <c r="AC372" s="297"/>
      <c r="AF372" s="296"/>
      <c r="AG372" s="297"/>
      <c r="AJ372" s="298"/>
      <c r="AK372" s="297"/>
      <c r="AN372" s="298"/>
      <c r="AR372" s="298"/>
    </row>
    <row r="373" spans="2:44" s="290" customFormat="1" x14ac:dyDescent="0.2">
      <c r="B373" s="302"/>
      <c r="D373" s="302"/>
      <c r="E373" s="302"/>
      <c r="K373" s="303"/>
      <c r="L373" s="303"/>
      <c r="M373" s="303"/>
      <c r="AB373" s="298"/>
      <c r="AC373" s="297"/>
      <c r="AF373" s="296"/>
      <c r="AG373" s="297"/>
      <c r="AJ373" s="298"/>
      <c r="AK373" s="297"/>
      <c r="AN373" s="298"/>
      <c r="AR373" s="298"/>
    </row>
    <row r="374" spans="2:44" s="290" customFormat="1" x14ac:dyDescent="0.2">
      <c r="B374" s="302"/>
      <c r="D374" s="302"/>
      <c r="E374" s="302"/>
      <c r="K374" s="303"/>
      <c r="L374" s="303"/>
      <c r="M374" s="303"/>
      <c r="AB374" s="298"/>
      <c r="AC374" s="297"/>
      <c r="AF374" s="296"/>
      <c r="AG374" s="297"/>
      <c r="AJ374" s="298"/>
      <c r="AK374" s="297"/>
      <c r="AN374" s="298"/>
      <c r="AR374" s="298"/>
    </row>
    <row r="375" spans="2:44" s="290" customFormat="1" x14ac:dyDescent="0.2">
      <c r="B375" s="302"/>
      <c r="D375" s="302"/>
      <c r="E375" s="302"/>
      <c r="K375" s="303"/>
      <c r="L375" s="303"/>
      <c r="M375" s="303"/>
      <c r="AB375" s="298"/>
      <c r="AC375" s="297"/>
      <c r="AF375" s="296"/>
      <c r="AG375" s="297"/>
      <c r="AJ375" s="298"/>
      <c r="AK375" s="297"/>
      <c r="AN375" s="298"/>
      <c r="AR375" s="298"/>
    </row>
    <row r="376" spans="2:44" s="290" customFormat="1" x14ac:dyDescent="0.2">
      <c r="B376" s="302"/>
      <c r="D376" s="302"/>
      <c r="E376" s="302"/>
      <c r="K376" s="303"/>
      <c r="L376" s="303"/>
      <c r="M376" s="303"/>
      <c r="AB376" s="298"/>
      <c r="AC376" s="297"/>
      <c r="AF376" s="296"/>
      <c r="AG376" s="297"/>
      <c r="AJ376" s="298"/>
      <c r="AK376" s="297"/>
      <c r="AN376" s="298"/>
      <c r="AR376" s="298"/>
    </row>
    <row r="377" spans="2:44" s="290" customFormat="1" x14ac:dyDescent="0.2">
      <c r="B377" s="302"/>
      <c r="D377" s="302"/>
      <c r="E377" s="302"/>
      <c r="K377" s="303"/>
      <c r="L377" s="303"/>
      <c r="M377" s="303"/>
      <c r="AB377" s="298"/>
      <c r="AC377" s="297"/>
      <c r="AF377" s="296"/>
      <c r="AG377" s="297"/>
      <c r="AJ377" s="298"/>
      <c r="AK377" s="297"/>
      <c r="AN377" s="298"/>
      <c r="AR377" s="298"/>
    </row>
    <row r="378" spans="2:44" s="290" customFormat="1" x14ac:dyDescent="0.2">
      <c r="B378" s="302"/>
      <c r="D378" s="302"/>
      <c r="E378" s="302"/>
      <c r="K378" s="303"/>
      <c r="L378" s="303"/>
      <c r="M378" s="303"/>
      <c r="AB378" s="298"/>
      <c r="AC378" s="297"/>
      <c r="AF378" s="296"/>
      <c r="AG378" s="297"/>
      <c r="AJ378" s="298"/>
      <c r="AK378" s="297"/>
      <c r="AN378" s="298"/>
      <c r="AR378" s="298"/>
    </row>
    <row r="379" spans="2:44" s="290" customFormat="1" x14ac:dyDescent="0.2">
      <c r="B379" s="302"/>
      <c r="D379" s="302"/>
      <c r="E379" s="302"/>
      <c r="K379" s="303"/>
      <c r="L379" s="303"/>
      <c r="M379" s="303"/>
      <c r="AB379" s="298"/>
      <c r="AC379" s="297"/>
      <c r="AF379" s="296"/>
      <c r="AG379" s="297"/>
      <c r="AJ379" s="298"/>
      <c r="AK379" s="297"/>
      <c r="AN379" s="298"/>
      <c r="AR379" s="298"/>
    </row>
    <row r="380" spans="2:44" s="290" customFormat="1" x14ac:dyDescent="0.2">
      <c r="B380" s="302"/>
      <c r="D380" s="302"/>
      <c r="E380" s="302"/>
      <c r="K380" s="303"/>
      <c r="L380" s="303"/>
      <c r="M380" s="303"/>
      <c r="AB380" s="298"/>
      <c r="AC380" s="297"/>
      <c r="AF380" s="296"/>
      <c r="AG380" s="297"/>
      <c r="AJ380" s="298"/>
      <c r="AK380" s="297"/>
      <c r="AN380" s="298"/>
      <c r="AR380" s="298"/>
    </row>
    <row r="381" spans="2:44" s="290" customFormat="1" x14ac:dyDescent="0.2">
      <c r="B381" s="302"/>
      <c r="D381" s="302"/>
      <c r="E381" s="302"/>
      <c r="K381" s="303"/>
      <c r="L381" s="303"/>
      <c r="M381" s="303"/>
      <c r="AB381" s="298"/>
      <c r="AC381" s="297"/>
      <c r="AF381" s="296"/>
      <c r="AG381" s="297"/>
      <c r="AJ381" s="298"/>
      <c r="AK381" s="297"/>
      <c r="AN381" s="298"/>
      <c r="AR381" s="298"/>
    </row>
    <row r="382" spans="2:44" s="290" customFormat="1" x14ac:dyDescent="0.2">
      <c r="B382" s="302"/>
      <c r="D382" s="302"/>
      <c r="E382" s="302"/>
      <c r="K382" s="303"/>
      <c r="L382" s="303"/>
      <c r="M382" s="303"/>
      <c r="AB382" s="298"/>
      <c r="AC382" s="297"/>
      <c r="AF382" s="296"/>
      <c r="AG382" s="297"/>
      <c r="AJ382" s="298"/>
      <c r="AK382" s="297"/>
      <c r="AN382" s="298"/>
      <c r="AR382" s="298"/>
    </row>
    <row r="383" spans="2:44" s="290" customFormat="1" x14ac:dyDescent="0.2">
      <c r="B383" s="302"/>
      <c r="D383" s="302"/>
      <c r="E383" s="302"/>
      <c r="K383" s="303"/>
      <c r="L383" s="303"/>
      <c r="M383" s="303"/>
      <c r="AB383" s="298"/>
      <c r="AC383" s="297"/>
      <c r="AF383" s="296"/>
      <c r="AG383" s="297"/>
      <c r="AJ383" s="298"/>
      <c r="AK383" s="297"/>
      <c r="AN383" s="298"/>
      <c r="AR383" s="298"/>
    </row>
    <row r="384" spans="2:44" s="290" customFormat="1" x14ac:dyDescent="0.2">
      <c r="B384" s="302"/>
      <c r="D384" s="302"/>
      <c r="E384" s="302"/>
      <c r="K384" s="303"/>
      <c r="L384" s="303"/>
      <c r="M384" s="303"/>
      <c r="AB384" s="298"/>
      <c r="AC384" s="297"/>
      <c r="AF384" s="296"/>
      <c r="AG384" s="297"/>
      <c r="AJ384" s="298"/>
      <c r="AK384" s="297"/>
      <c r="AN384" s="298"/>
      <c r="AR384" s="298"/>
    </row>
    <row r="385" spans="2:44" s="290" customFormat="1" x14ac:dyDescent="0.2">
      <c r="B385" s="302"/>
      <c r="D385" s="302"/>
      <c r="E385" s="302"/>
      <c r="K385" s="303"/>
      <c r="L385" s="303"/>
      <c r="M385" s="303"/>
      <c r="AB385" s="298"/>
      <c r="AC385" s="297"/>
      <c r="AF385" s="296"/>
      <c r="AG385" s="297"/>
      <c r="AJ385" s="298"/>
      <c r="AK385" s="297"/>
      <c r="AN385" s="298"/>
      <c r="AR385" s="298"/>
    </row>
    <row r="386" spans="2:44" s="290" customFormat="1" x14ac:dyDescent="0.2">
      <c r="B386" s="302"/>
      <c r="D386" s="302"/>
      <c r="E386" s="302"/>
      <c r="K386" s="303"/>
      <c r="L386" s="303"/>
      <c r="M386" s="303"/>
      <c r="AB386" s="298"/>
      <c r="AC386" s="297"/>
      <c r="AF386" s="296"/>
      <c r="AG386" s="297"/>
      <c r="AJ386" s="298"/>
      <c r="AK386" s="297"/>
      <c r="AN386" s="298"/>
      <c r="AR386" s="298"/>
    </row>
    <row r="387" spans="2:44" s="290" customFormat="1" x14ac:dyDescent="0.2">
      <c r="B387" s="302"/>
      <c r="D387" s="302"/>
      <c r="E387" s="302"/>
      <c r="K387" s="303"/>
      <c r="L387" s="303"/>
      <c r="M387" s="303"/>
      <c r="AB387" s="298"/>
      <c r="AC387" s="297"/>
      <c r="AF387" s="296"/>
      <c r="AG387" s="297"/>
      <c r="AJ387" s="298"/>
      <c r="AK387" s="297"/>
      <c r="AN387" s="298"/>
      <c r="AR387" s="298"/>
    </row>
    <row r="388" spans="2:44" s="290" customFormat="1" x14ac:dyDescent="0.2">
      <c r="B388" s="302"/>
      <c r="D388" s="302"/>
      <c r="E388" s="302"/>
      <c r="K388" s="303"/>
      <c r="L388" s="303"/>
      <c r="M388" s="303"/>
      <c r="AB388" s="298"/>
      <c r="AC388" s="297"/>
      <c r="AF388" s="296"/>
      <c r="AG388" s="297"/>
      <c r="AJ388" s="298"/>
      <c r="AK388" s="297"/>
      <c r="AN388" s="298"/>
      <c r="AR388" s="298"/>
    </row>
    <row r="389" spans="2:44" s="290" customFormat="1" x14ac:dyDescent="0.2">
      <c r="B389" s="302"/>
      <c r="D389" s="302"/>
      <c r="E389" s="302"/>
      <c r="K389" s="303"/>
      <c r="L389" s="303"/>
      <c r="M389" s="303"/>
      <c r="AB389" s="298"/>
      <c r="AC389" s="297"/>
      <c r="AF389" s="296"/>
      <c r="AG389" s="297"/>
      <c r="AJ389" s="298"/>
      <c r="AK389" s="297"/>
      <c r="AN389" s="298"/>
      <c r="AR389" s="298"/>
    </row>
    <row r="390" spans="2:44" s="290" customFormat="1" x14ac:dyDescent="0.2">
      <c r="B390" s="302"/>
      <c r="D390" s="302"/>
      <c r="E390" s="302"/>
      <c r="K390" s="303"/>
      <c r="L390" s="303"/>
      <c r="M390" s="303"/>
      <c r="AB390" s="298"/>
      <c r="AC390" s="297"/>
      <c r="AF390" s="296"/>
      <c r="AG390" s="297"/>
      <c r="AJ390" s="298"/>
      <c r="AK390" s="297"/>
      <c r="AN390" s="298"/>
      <c r="AR390" s="298"/>
    </row>
    <row r="391" spans="2:44" s="290" customFormat="1" x14ac:dyDescent="0.2">
      <c r="B391" s="302"/>
      <c r="D391" s="302"/>
      <c r="E391" s="302"/>
      <c r="K391" s="303"/>
      <c r="L391" s="303"/>
      <c r="M391" s="303"/>
      <c r="AB391" s="298"/>
      <c r="AC391" s="297"/>
      <c r="AF391" s="296"/>
      <c r="AG391" s="297"/>
      <c r="AJ391" s="298"/>
      <c r="AK391" s="297"/>
      <c r="AN391" s="298"/>
      <c r="AR391" s="298"/>
    </row>
    <row r="392" spans="2:44" s="290" customFormat="1" x14ac:dyDescent="0.2">
      <c r="B392" s="302"/>
      <c r="D392" s="302"/>
      <c r="E392" s="302"/>
      <c r="K392" s="303"/>
      <c r="L392" s="303"/>
      <c r="M392" s="303"/>
      <c r="AB392" s="298"/>
      <c r="AC392" s="297"/>
      <c r="AF392" s="296"/>
      <c r="AG392" s="297"/>
      <c r="AJ392" s="298"/>
      <c r="AK392" s="297"/>
      <c r="AN392" s="298"/>
      <c r="AR392" s="298"/>
    </row>
    <row r="393" spans="2:44" s="290" customFormat="1" x14ac:dyDescent="0.2">
      <c r="B393" s="302"/>
      <c r="D393" s="302"/>
      <c r="E393" s="302"/>
      <c r="K393" s="303"/>
      <c r="L393" s="303"/>
      <c r="M393" s="303"/>
      <c r="AB393" s="298"/>
      <c r="AC393" s="297"/>
      <c r="AF393" s="296"/>
      <c r="AG393" s="297"/>
      <c r="AJ393" s="298"/>
      <c r="AK393" s="297"/>
      <c r="AN393" s="298"/>
      <c r="AR393" s="298"/>
    </row>
    <row r="394" spans="2:44" s="290" customFormat="1" x14ac:dyDescent="0.2">
      <c r="B394" s="302"/>
      <c r="D394" s="302"/>
      <c r="E394" s="302"/>
      <c r="K394" s="303"/>
      <c r="L394" s="303"/>
      <c r="M394" s="303"/>
      <c r="AB394" s="298"/>
      <c r="AC394" s="297"/>
      <c r="AF394" s="296"/>
      <c r="AG394" s="297"/>
      <c r="AJ394" s="298"/>
      <c r="AK394" s="297"/>
      <c r="AN394" s="298"/>
      <c r="AR394" s="298"/>
    </row>
    <row r="395" spans="2:44" s="290" customFormat="1" x14ac:dyDescent="0.2">
      <c r="B395" s="302"/>
      <c r="D395" s="302"/>
      <c r="E395" s="302"/>
      <c r="K395" s="303"/>
      <c r="L395" s="303"/>
      <c r="M395" s="303"/>
      <c r="AB395" s="298"/>
      <c r="AC395" s="297"/>
      <c r="AF395" s="296"/>
      <c r="AG395" s="297"/>
      <c r="AJ395" s="298"/>
      <c r="AK395" s="297"/>
      <c r="AN395" s="298"/>
      <c r="AR395" s="298"/>
    </row>
    <row r="396" spans="2:44" s="290" customFormat="1" x14ac:dyDescent="0.2">
      <c r="B396" s="302"/>
      <c r="D396" s="302"/>
      <c r="E396" s="302"/>
      <c r="K396" s="303"/>
      <c r="L396" s="303"/>
      <c r="M396" s="303"/>
      <c r="AB396" s="298"/>
      <c r="AC396" s="297"/>
      <c r="AF396" s="296"/>
      <c r="AG396" s="297"/>
      <c r="AJ396" s="298"/>
      <c r="AK396" s="297"/>
      <c r="AN396" s="298"/>
      <c r="AR396" s="298"/>
    </row>
    <row r="397" spans="2:44" s="290" customFormat="1" x14ac:dyDescent="0.2">
      <c r="B397" s="302"/>
      <c r="D397" s="302"/>
      <c r="E397" s="302"/>
      <c r="K397" s="303"/>
      <c r="L397" s="303"/>
      <c r="M397" s="303"/>
      <c r="AB397" s="298"/>
      <c r="AC397" s="297"/>
      <c r="AF397" s="296"/>
      <c r="AG397" s="297"/>
      <c r="AJ397" s="298"/>
      <c r="AK397" s="297"/>
      <c r="AN397" s="298"/>
      <c r="AR397" s="298"/>
    </row>
    <row r="398" spans="2:44" s="290" customFormat="1" x14ac:dyDescent="0.2">
      <c r="B398" s="302"/>
      <c r="D398" s="302"/>
      <c r="E398" s="302"/>
      <c r="K398" s="303"/>
      <c r="L398" s="303"/>
      <c r="M398" s="303"/>
      <c r="AB398" s="298"/>
      <c r="AC398" s="297"/>
      <c r="AF398" s="296"/>
      <c r="AG398" s="297"/>
      <c r="AJ398" s="298"/>
      <c r="AK398" s="297"/>
      <c r="AN398" s="298"/>
      <c r="AR398" s="298"/>
    </row>
    <row r="399" spans="2:44" s="290" customFormat="1" x14ac:dyDescent="0.2">
      <c r="B399" s="302"/>
      <c r="D399" s="302"/>
      <c r="E399" s="302"/>
      <c r="K399" s="303"/>
      <c r="L399" s="303"/>
      <c r="M399" s="303"/>
      <c r="AB399" s="298"/>
      <c r="AC399" s="297"/>
      <c r="AF399" s="296"/>
      <c r="AG399" s="297"/>
      <c r="AJ399" s="298"/>
      <c r="AK399" s="297"/>
      <c r="AN399" s="298"/>
      <c r="AR399" s="298"/>
    </row>
    <row r="400" spans="2:44" s="290" customFormat="1" x14ac:dyDescent="0.2">
      <c r="B400" s="302"/>
      <c r="D400" s="302"/>
      <c r="E400" s="302"/>
      <c r="K400" s="303"/>
      <c r="L400" s="303"/>
      <c r="M400" s="303"/>
      <c r="AB400" s="298"/>
      <c r="AC400" s="297"/>
      <c r="AF400" s="296"/>
      <c r="AG400" s="297"/>
      <c r="AJ400" s="298"/>
      <c r="AK400" s="297"/>
      <c r="AN400" s="298"/>
      <c r="AR400" s="298"/>
    </row>
    <row r="401" spans="2:44" s="290" customFormat="1" x14ac:dyDescent="0.2">
      <c r="B401" s="302"/>
      <c r="D401" s="302"/>
      <c r="E401" s="302"/>
      <c r="K401" s="303"/>
      <c r="L401" s="303"/>
      <c r="M401" s="303"/>
      <c r="AB401" s="298"/>
      <c r="AC401" s="297"/>
      <c r="AF401" s="296"/>
      <c r="AG401" s="297"/>
      <c r="AJ401" s="298"/>
      <c r="AK401" s="297"/>
      <c r="AN401" s="298"/>
      <c r="AR401" s="298"/>
    </row>
    <row r="402" spans="2:44" s="290" customFormat="1" x14ac:dyDescent="0.2">
      <c r="B402" s="302"/>
      <c r="D402" s="302"/>
      <c r="E402" s="302"/>
      <c r="K402" s="303"/>
      <c r="L402" s="303"/>
      <c r="M402" s="303"/>
      <c r="AB402" s="298"/>
      <c r="AC402" s="297"/>
      <c r="AF402" s="296"/>
      <c r="AG402" s="297"/>
      <c r="AJ402" s="298"/>
      <c r="AK402" s="297"/>
      <c r="AN402" s="298"/>
      <c r="AR402" s="298"/>
    </row>
    <row r="403" spans="2:44" s="290" customFormat="1" x14ac:dyDescent="0.2">
      <c r="B403" s="302"/>
      <c r="D403" s="302"/>
      <c r="E403" s="302"/>
      <c r="K403" s="303"/>
      <c r="L403" s="303"/>
      <c r="M403" s="303"/>
      <c r="AB403" s="298"/>
      <c r="AC403" s="297"/>
      <c r="AF403" s="296"/>
      <c r="AG403" s="297"/>
      <c r="AJ403" s="298"/>
      <c r="AK403" s="297"/>
      <c r="AN403" s="298"/>
      <c r="AR403" s="298"/>
    </row>
    <row r="404" spans="2:44" s="290" customFormat="1" x14ac:dyDescent="0.2">
      <c r="B404" s="302"/>
      <c r="D404" s="302"/>
      <c r="E404" s="302"/>
      <c r="K404" s="303"/>
      <c r="L404" s="303"/>
      <c r="M404" s="303"/>
      <c r="AB404" s="298"/>
      <c r="AC404" s="297"/>
      <c r="AF404" s="296"/>
      <c r="AG404" s="297"/>
      <c r="AJ404" s="298"/>
      <c r="AK404" s="297"/>
      <c r="AN404" s="298"/>
      <c r="AR404" s="298"/>
    </row>
    <row r="405" spans="2:44" s="290" customFormat="1" x14ac:dyDescent="0.2">
      <c r="B405" s="302"/>
      <c r="D405" s="302"/>
      <c r="E405" s="302"/>
      <c r="K405" s="303"/>
      <c r="L405" s="303"/>
      <c r="M405" s="303"/>
      <c r="AB405" s="298"/>
      <c r="AC405" s="297"/>
      <c r="AF405" s="296"/>
      <c r="AG405" s="297"/>
      <c r="AJ405" s="298"/>
      <c r="AK405" s="297"/>
      <c r="AN405" s="298"/>
      <c r="AR405" s="298"/>
    </row>
    <row r="406" spans="2:44" s="290" customFormat="1" x14ac:dyDescent="0.2">
      <c r="B406" s="302"/>
      <c r="D406" s="302"/>
      <c r="E406" s="302"/>
      <c r="K406" s="303"/>
      <c r="L406" s="303"/>
      <c r="M406" s="303"/>
      <c r="AB406" s="298"/>
      <c r="AC406" s="297"/>
      <c r="AF406" s="296"/>
      <c r="AG406" s="297"/>
      <c r="AJ406" s="298"/>
      <c r="AK406" s="297"/>
      <c r="AN406" s="298"/>
      <c r="AR406" s="298"/>
    </row>
    <row r="407" spans="2:44" s="290" customFormat="1" x14ac:dyDescent="0.2">
      <c r="B407" s="302"/>
      <c r="D407" s="302"/>
      <c r="E407" s="302"/>
      <c r="K407" s="303"/>
      <c r="L407" s="303"/>
      <c r="M407" s="303"/>
      <c r="AB407" s="298"/>
      <c r="AC407" s="297"/>
      <c r="AF407" s="296"/>
      <c r="AG407" s="297"/>
      <c r="AJ407" s="298"/>
      <c r="AK407" s="297"/>
      <c r="AN407" s="298"/>
      <c r="AR407" s="298"/>
    </row>
    <row r="408" spans="2:44" s="290" customFormat="1" x14ac:dyDescent="0.2">
      <c r="B408" s="302"/>
      <c r="D408" s="302"/>
      <c r="E408" s="302"/>
      <c r="K408" s="303"/>
      <c r="L408" s="303"/>
      <c r="M408" s="303"/>
      <c r="AB408" s="298"/>
      <c r="AC408" s="297"/>
      <c r="AF408" s="296"/>
      <c r="AG408" s="297"/>
      <c r="AJ408" s="298"/>
      <c r="AK408" s="297"/>
      <c r="AN408" s="298"/>
      <c r="AR408" s="298"/>
    </row>
    <row r="409" spans="2:44" s="290" customFormat="1" x14ac:dyDescent="0.2">
      <c r="B409" s="302"/>
      <c r="D409" s="302"/>
      <c r="E409" s="302"/>
      <c r="K409" s="303"/>
      <c r="L409" s="303"/>
      <c r="M409" s="303"/>
      <c r="AB409" s="298"/>
      <c r="AC409" s="297"/>
      <c r="AF409" s="296"/>
      <c r="AG409" s="297"/>
      <c r="AJ409" s="298"/>
      <c r="AK409" s="297"/>
      <c r="AN409" s="298"/>
      <c r="AR409" s="298"/>
    </row>
    <row r="410" spans="2:44" s="290" customFormat="1" x14ac:dyDescent="0.2">
      <c r="B410" s="302"/>
      <c r="D410" s="302"/>
      <c r="E410" s="302"/>
      <c r="K410" s="303"/>
      <c r="L410" s="303"/>
      <c r="M410" s="303"/>
      <c r="AB410" s="298"/>
      <c r="AC410" s="297"/>
      <c r="AF410" s="296"/>
      <c r="AG410" s="297"/>
      <c r="AJ410" s="298"/>
      <c r="AK410" s="297"/>
      <c r="AN410" s="298"/>
      <c r="AR410" s="298"/>
    </row>
    <row r="411" spans="2:44" s="290" customFormat="1" x14ac:dyDescent="0.2">
      <c r="B411" s="302"/>
      <c r="D411" s="302"/>
      <c r="E411" s="302"/>
      <c r="K411" s="303"/>
      <c r="L411" s="303"/>
      <c r="M411" s="303"/>
      <c r="AB411" s="298"/>
      <c r="AC411" s="297"/>
      <c r="AF411" s="296"/>
      <c r="AG411" s="297"/>
      <c r="AJ411" s="298"/>
      <c r="AK411" s="297"/>
      <c r="AN411" s="298"/>
      <c r="AR411" s="298"/>
    </row>
    <row r="412" spans="2:44" s="290" customFormat="1" x14ac:dyDescent="0.2">
      <c r="B412" s="302"/>
      <c r="D412" s="302"/>
      <c r="E412" s="302"/>
      <c r="K412" s="303"/>
      <c r="L412" s="303"/>
      <c r="M412" s="303"/>
      <c r="AB412" s="298"/>
      <c r="AC412" s="297"/>
      <c r="AF412" s="296"/>
      <c r="AG412" s="297"/>
      <c r="AJ412" s="298"/>
      <c r="AK412" s="297"/>
      <c r="AN412" s="298"/>
      <c r="AR412" s="298"/>
    </row>
    <row r="413" spans="2:44" s="290" customFormat="1" x14ac:dyDescent="0.2">
      <c r="B413" s="302"/>
      <c r="D413" s="302"/>
      <c r="E413" s="302"/>
      <c r="K413" s="303"/>
      <c r="L413" s="303"/>
      <c r="M413" s="303"/>
      <c r="AB413" s="298"/>
      <c r="AC413" s="297"/>
      <c r="AF413" s="296"/>
      <c r="AG413" s="297"/>
      <c r="AJ413" s="298"/>
      <c r="AK413" s="297"/>
      <c r="AN413" s="298"/>
      <c r="AR413" s="298"/>
    </row>
    <row r="414" spans="2:44" s="290" customFormat="1" x14ac:dyDescent="0.2">
      <c r="B414" s="302"/>
      <c r="D414" s="302"/>
      <c r="E414" s="302"/>
      <c r="K414" s="303"/>
      <c r="L414" s="303"/>
      <c r="M414" s="303"/>
      <c r="AB414" s="298"/>
      <c r="AC414" s="297"/>
      <c r="AF414" s="296"/>
      <c r="AG414" s="297"/>
      <c r="AJ414" s="298"/>
      <c r="AK414" s="297"/>
      <c r="AN414" s="298"/>
      <c r="AR414" s="298"/>
    </row>
    <row r="415" spans="2:44" s="290" customFormat="1" x14ac:dyDescent="0.2">
      <c r="B415" s="302"/>
      <c r="D415" s="302"/>
      <c r="E415" s="302"/>
      <c r="K415" s="303"/>
      <c r="L415" s="303"/>
      <c r="M415" s="303"/>
      <c r="AB415" s="298"/>
      <c r="AC415" s="297"/>
      <c r="AF415" s="296"/>
      <c r="AG415" s="297"/>
      <c r="AJ415" s="298"/>
      <c r="AK415" s="297"/>
      <c r="AN415" s="298"/>
      <c r="AR415" s="298"/>
    </row>
    <row r="416" spans="2:44" s="290" customFormat="1" x14ac:dyDescent="0.2">
      <c r="B416" s="302"/>
      <c r="D416" s="302"/>
      <c r="E416" s="302"/>
      <c r="K416" s="303"/>
      <c r="L416" s="303"/>
      <c r="M416" s="303"/>
      <c r="AB416" s="298"/>
      <c r="AC416" s="297"/>
      <c r="AF416" s="296"/>
      <c r="AG416" s="297"/>
      <c r="AJ416" s="298"/>
      <c r="AK416" s="297"/>
      <c r="AN416" s="298"/>
      <c r="AR416" s="298"/>
    </row>
    <row r="417" spans="2:44" s="290" customFormat="1" x14ac:dyDescent="0.2">
      <c r="B417" s="302"/>
      <c r="D417" s="302"/>
      <c r="E417" s="302"/>
      <c r="K417" s="303"/>
      <c r="L417" s="303"/>
      <c r="M417" s="303"/>
      <c r="AB417" s="298"/>
      <c r="AC417" s="297"/>
      <c r="AF417" s="296"/>
      <c r="AG417" s="297"/>
      <c r="AJ417" s="298"/>
      <c r="AK417" s="297"/>
      <c r="AN417" s="298"/>
      <c r="AR417" s="298"/>
    </row>
    <row r="418" spans="2:44" s="290" customFormat="1" x14ac:dyDescent="0.2">
      <c r="B418" s="302"/>
      <c r="D418" s="302"/>
      <c r="E418" s="302"/>
      <c r="K418" s="303"/>
      <c r="L418" s="303"/>
      <c r="M418" s="303"/>
      <c r="AB418" s="298"/>
      <c r="AC418" s="297"/>
      <c r="AF418" s="296"/>
      <c r="AG418" s="297"/>
      <c r="AJ418" s="298"/>
      <c r="AK418" s="297"/>
      <c r="AN418" s="298"/>
      <c r="AR418" s="298"/>
    </row>
    <row r="419" spans="2:44" s="290" customFormat="1" x14ac:dyDescent="0.2">
      <c r="B419" s="302"/>
      <c r="D419" s="302"/>
      <c r="E419" s="302"/>
      <c r="K419" s="303"/>
      <c r="L419" s="303"/>
      <c r="M419" s="303"/>
      <c r="AB419" s="298"/>
      <c r="AC419" s="297"/>
      <c r="AF419" s="296"/>
      <c r="AG419" s="297"/>
      <c r="AJ419" s="298"/>
      <c r="AK419" s="297"/>
      <c r="AN419" s="298"/>
      <c r="AR419" s="298"/>
    </row>
    <row r="420" spans="2:44" s="290" customFormat="1" x14ac:dyDescent="0.2">
      <c r="B420" s="302"/>
      <c r="D420" s="302"/>
      <c r="E420" s="302"/>
      <c r="K420" s="303"/>
      <c r="L420" s="303"/>
      <c r="M420" s="303"/>
      <c r="AB420" s="298"/>
      <c r="AC420" s="297"/>
      <c r="AF420" s="296"/>
      <c r="AG420" s="297"/>
      <c r="AJ420" s="298"/>
      <c r="AK420" s="297"/>
      <c r="AN420" s="298"/>
      <c r="AR420" s="298"/>
    </row>
    <row r="421" spans="2:44" s="290" customFormat="1" x14ac:dyDescent="0.2">
      <c r="B421" s="302"/>
      <c r="D421" s="302"/>
      <c r="E421" s="302"/>
      <c r="K421" s="303"/>
      <c r="L421" s="303"/>
      <c r="M421" s="303"/>
      <c r="AB421" s="298"/>
      <c r="AC421" s="297"/>
      <c r="AF421" s="296"/>
      <c r="AG421" s="297"/>
      <c r="AJ421" s="298"/>
      <c r="AK421" s="297"/>
      <c r="AN421" s="298"/>
      <c r="AR421" s="298"/>
    </row>
    <row r="422" spans="2:44" s="290" customFormat="1" x14ac:dyDescent="0.2">
      <c r="B422" s="302"/>
      <c r="D422" s="302"/>
      <c r="E422" s="302"/>
      <c r="K422" s="303"/>
      <c r="L422" s="303"/>
      <c r="M422" s="303"/>
      <c r="AB422" s="298"/>
      <c r="AC422" s="297"/>
      <c r="AF422" s="296"/>
      <c r="AG422" s="297"/>
      <c r="AJ422" s="298"/>
      <c r="AK422" s="297"/>
      <c r="AN422" s="298"/>
      <c r="AR422" s="298"/>
    </row>
    <row r="423" spans="2:44" s="290" customFormat="1" x14ac:dyDescent="0.2">
      <c r="B423" s="302"/>
      <c r="D423" s="302"/>
      <c r="E423" s="302"/>
      <c r="K423" s="303"/>
      <c r="L423" s="303"/>
      <c r="M423" s="303"/>
      <c r="AB423" s="298"/>
      <c r="AC423" s="297"/>
      <c r="AF423" s="296"/>
      <c r="AG423" s="297"/>
      <c r="AJ423" s="298"/>
      <c r="AK423" s="297"/>
      <c r="AN423" s="298"/>
      <c r="AR423" s="298"/>
    </row>
    <row r="424" spans="2:44" s="290" customFormat="1" x14ac:dyDescent="0.2">
      <c r="B424" s="302"/>
      <c r="D424" s="302"/>
      <c r="E424" s="302"/>
      <c r="K424" s="303"/>
      <c r="L424" s="303"/>
      <c r="M424" s="303"/>
      <c r="AB424" s="298"/>
      <c r="AC424" s="297"/>
      <c r="AF424" s="296"/>
      <c r="AG424" s="297"/>
      <c r="AJ424" s="298"/>
      <c r="AK424" s="297"/>
      <c r="AN424" s="298"/>
      <c r="AR424" s="298"/>
    </row>
    <row r="425" spans="2:44" s="290" customFormat="1" x14ac:dyDescent="0.2">
      <c r="B425" s="302"/>
      <c r="D425" s="302"/>
      <c r="E425" s="302"/>
      <c r="K425" s="303"/>
      <c r="L425" s="303"/>
      <c r="M425" s="303"/>
      <c r="AB425" s="298"/>
      <c r="AC425" s="297"/>
      <c r="AF425" s="296"/>
      <c r="AG425" s="297"/>
      <c r="AJ425" s="298"/>
      <c r="AK425" s="297"/>
      <c r="AN425" s="298"/>
      <c r="AR425" s="298"/>
    </row>
    <row r="426" spans="2:44" s="290" customFormat="1" x14ac:dyDescent="0.2">
      <c r="B426" s="302"/>
      <c r="D426" s="302"/>
      <c r="E426" s="302"/>
      <c r="K426" s="303"/>
      <c r="L426" s="303"/>
      <c r="M426" s="303"/>
      <c r="AB426" s="298"/>
      <c r="AC426" s="297"/>
      <c r="AF426" s="296"/>
      <c r="AG426" s="297"/>
      <c r="AJ426" s="298"/>
      <c r="AK426" s="297"/>
      <c r="AN426" s="298"/>
      <c r="AR426" s="298"/>
    </row>
    <row r="427" spans="2:44" s="290" customFormat="1" x14ac:dyDescent="0.2">
      <c r="B427" s="302"/>
      <c r="D427" s="302"/>
      <c r="E427" s="302"/>
      <c r="K427" s="303"/>
      <c r="L427" s="303"/>
      <c r="M427" s="303"/>
      <c r="AB427" s="298"/>
      <c r="AC427" s="297"/>
      <c r="AF427" s="296"/>
      <c r="AG427" s="297"/>
      <c r="AJ427" s="298"/>
      <c r="AK427" s="297"/>
      <c r="AN427" s="298"/>
      <c r="AR427" s="298"/>
    </row>
    <row r="428" spans="2:44" s="290" customFormat="1" x14ac:dyDescent="0.2">
      <c r="B428" s="302"/>
      <c r="D428" s="302"/>
      <c r="E428" s="302"/>
      <c r="K428" s="303"/>
      <c r="L428" s="303"/>
      <c r="M428" s="303"/>
      <c r="AB428" s="298"/>
      <c r="AC428" s="297"/>
      <c r="AF428" s="296"/>
      <c r="AG428" s="297"/>
      <c r="AJ428" s="298"/>
      <c r="AK428" s="297"/>
      <c r="AN428" s="298"/>
      <c r="AR428" s="298"/>
    </row>
    <row r="429" spans="2:44" s="290" customFormat="1" x14ac:dyDescent="0.2">
      <c r="B429" s="302"/>
      <c r="D429" s="302"/>
      <c r="E429" s="302"/>
      <c r="K429" s="303"/>
      <c r="L429" s="303"/>
      <c r="M429" s="303"/>
      <c r="AB429" s="298"/>
      <c r="AC429" s="297"/>
      <c r="AF429" s="296"/>
      <c r="AG429" s="297"/>
      <c r="AJ429" s="298"/>
      <c r="AK429" s="297"/>
      <c r="AN429" s="298"/>
      <c r="AR429" s="298"/>
    </row>
    <row r="430" spans="2:44" s="290" customFormat="1" x14ac:dyDescent="0.2">
      <c r="B430" s="302"/>
      <c r="D430" s="302"/>
      <c r="E430" s="302"/>
      <c r="K430" s="303"/>
      <c r="L430" s="303"/>
      <c r="M430" s="303"/>
      <c r="AB430" s="298"/>
      <c r="AC430" s="297"/>
      <c r="AF430" s="296"/>
      <c r="AG430" s="297"/>
      <c r="AJ430" s="298"/>
      <c r="AK430" s="297"/>
      <c r="AN430" s="298"/>
      <c r="AR430" s="298"/>
    </row>
    <row r="431" spans="2:44" s="290" customFormat="1" x14ac:dyDescent="0.2">
      <c r="B431" s="302"/>
      <c r="D431" s="302"/>
      <c r="E431" s="302"/>
      <c r="K431" s="303"/>
      <c r="L431" s="303"/>
      <c r="M431" s="303"/>
      <c r="AB431" s="298"/>
      <c r="AC431" s="297"/>
      <c r="AF431" s="296"/>
      <c r="AG431" s="297"/>
      <c r="AJ431" s="298"/>
      <c r="AK431" s="297"/>
      <c r="AN431" s="298"/>
      <c r="AR431" s="298"/>
    </row>
    <row r="432" spans="2:44" s="290" customFormat="1" x14ac:dyDescent="0.2">
      <c r="B432" s="302"/>
      <c r="D432" s="302"/>
      <c r="E432" s="302"/>
      <c r="K432" s="303"/>
      <c r="L432" s="303"/>
      <c r="M432" s="303"/>
      <c r="AB432" s="298"/>
      <c r="AC432" s="297"/>
      <c r="AF432" s="296"/>
      <c r="AG432" s="297"/>
      <c r="AJ432" s="298"/>
      <c r="AK432" s="297"/>
      <c r="AN432" s="298"/>
      <c r="AR432" s="298"/>
    </row>
    <row r="433" spans="2:44" s="290" customFormat="1" x14ac:dyDescent="0.2">
      <c r="B433" s="302"/>
      <c r="D433" s="302"/>
      <c r="E433" s="302"/>
      <c r="K433" s="303"/>
      <c r="L433" s="303"/>
      <c r="M433" s="303"/>
      <c r="AB433" s="298"/>
      <c r="AC433" s="297"/>
      <c r="AF433" s="296"/>
      <c r="AG433" s="297"/>
      <c r="AJ433" s="298"/>
      <c r="AK433" s="297"/>
      <c r="AN433" s="298"/>
      <c r="AR433" s="298"/>
    </row>
    <row r="434" spans="2:44" s="290" customFormat="1" x14ac:dyDescent="0.2">
      <c r="B434" s="302"/>
      <c r="D434" s="302"/>
      <c r="E434" s="302"/>
      <c r="K434" s="303"/>
      <c r="L434" s="303"/>
      <c r="M434" s="303"/>
      <c r="AB434" s="298"/>
      <c r="AC434" s="297"/>
      <c r="AF434" s="296"/>
      <c r="AG434" s="297"/>
      <c r="AJ434" s="298"/>
      <c r="AK434" s="297"/>
      <c r="AN434" s="298"/>
      <c r="AR434" s="298"/>
    </row>
    <row r="435" spans="2:44" s="290" customFormat="1" x14ac:dyDescent="0.2">
      <c r="B435" s="302"/>
      <c r="D435" s="302"/>
      <c r="E435" s="302"/>
      <c r="K435" s="303"/>
      <c r="L435" s="303"/>
      <c r="M435" s="303"/>
      <c r="AB435" s="298"/>
      <c r="AC435" s="297"/>
      <c r="AF435" s="296"/>
      <c r="AG435" s="297"/>
      <c r="AJ435" s="298"/>
      <c r="AK435" s="297"/>
      <c r="AN435" s="298"/>
      <c r="AR435" s="298"/>
    </row>
    <row r="436" spans="2:44" s="290" customFormat="1" x14ac:dyDescent="0.2">
      <c r="B436" s="302"/>
      <c r="D436" s="302"/>
      <c r="E436" s="302"/>
      <c r="K436" s="303"/>
      <c r="L436" s="303"/>
      <c r="M436" s="303"/>
      <c r="AB436" s="298"/>
      <c r="AC436" s="297"/>
      <c r="AF436" s="296"/>
      <c r="AG436" s="297"/>
      <c r="AJ436" s="298"/>
      <c r="AK436" s="297"/>
      <c r="AN436" s="298"/>
      <c r="AR436" s="298"/>
    </row>
    <row r="437" spans="2:44" s="290" customFormat="1" x14ac:dyDescent="0.2">
      <c r="B437" s="302"/>
      <c r="D437" s="302"/>
      <c r="E437" s="302"/>
      <c r="K437" s="303"/>
      <c r="L437" s="303"/>
      <c r="M437" s="303"/>
      <c r="AB437" s="298"/>
      <c r="AC437" s="297"/>
      <c r="AF437" s="296"/>
      <c r="AG437" s="297"/>
      <c r="AJ437" s="298"/>
      <c r="AK437" s="297"/>
      <c r="AN437" s="298"/>
      <c r="AR437" s="298"/>
    </row>
    <row r="438" spans="2:44" s="290" customFormat="1" x14ac:dyDescent="0.2">
      <c r="B438" s="302"/>
      <c r="D438" s="302"/>
      <c r="E438" s="302"/>
      <c r="K438" s="303"/>
      <c r="L438" s="303"/>
      <c r="M438" s="303"/>
      <c r="AB438" s="298"/>
      <c r="AC438" s="297"/>
      <c r="AF438" s="296"/>
      <c r="AG438" s="297"/>
      <c r="AJ438" s="298"/>
      <c r="AK438" s="297"/>
      <c r="AN438" s="298"/>
      <c r="AR438" s="298"/>
    </row>
    <row r="439" spans="2:44" s="290" customFormat="1" x14ac:dyDescent="0.2">
      <c r="B439" s="302"/>
      <c r="D439" s="302"/>
      <c r="E439" s="302"/>
      <c r="K439" s="303"/>
      <c r="L439" s="303"/>
      <c r="M439" s="303"/>
      <c r="AB439" s="298"/>
      <c r="AC439" s="297"/>
      <c r="AF439" s="296"/>
      <c r="AG439" s="297"/>
      <c r="AJ439" s="298"/>
      <c r="AK439" s="297"/>
      <c r="AN439" s="298"/>
      <c r="AR439" s="298"/>
    </row>
    <row r="440" spans="2:44" s="290" customFormat="1" x14ac:dyDescent="0.2">
      <c r="B440" s="302"/>
      <c r="D440" s="302"/>
      <c r="E440" s="302"/>
      <c r="K440" s="303"/>
      <c r="L440" s="303"/>
      <c r="M440" s="303"/>
      <c r="AB440" s="298"/>
      <c r="AC440" s="297"/>
      <c r="AF440" s="296"/>
      <c r="AG440" s="297"/>
      <c r="AJ440" s="298"/>
      <c r="AK440" s="297"/>
      <c r="AN440" s="298"/>
      <c r="AR440" s="298"/>
    </row>
    <row r="441" spans="2:44" s="290" customFormat="1" x14ac:dyDescent="0.2">
      <c r="B441" s="302"/>
      <c r="D441" s="302"/>
      <c r="E441" s="302"/>
      <c r="K441" s="303"/>
      <c r="L441" s="303"/>
      <c r="M441" s="303"/>
      <c r="AB441" s="298"/>
      <c r="AC441" s="297"/>
      <c r="AF441" s="296"/>
      <c r="AG441" s="297"/>
      <c r="AJ441" s="298"/>
      <c r="AK441" s="297"/>
      <c r="AN441" s="298"/>
      <c r="AR441" s="298"/>
    </row>
    <row r="442" spans="2:44" s="290" customFormat="1" x14ac:dyDescent="0.2">
      <c r="B442" s="302"/>
      <c r="D442" s="302"/>
      <c r="E442" s="302"/>
      <c r="K442" s="303"/>
      <c r="L442" s="303"/>
      <c r="M442" s="303"/>
      <c r="AB442" s="298"/>
      <c r="AC442" s="297"/>
      <c r="AF442" s="296"/>
      <c r="AG442" s="297"/>
      <c r="AJ442" s="298"/>
      <c r="AK442" s="297"/>
      <c r="AN442" s="298"/>
      <c r="AR442" s="298"/>
    </row>
    <row r="443" spans="2:44" s="290" customFormat="1" x14ac:dyDescent="0.2">
      <c r="B443" s="302"/>
      <c r="D443" s="302"/>
      <c r="E443" s="302"/>
      <c r="K443" s="303"/>
      <c r="L443" s="303"/>
      <c r="M443" s="303"/>
      <c r="AB443" s="298"/>
      <c r="AC443" s="297"/>
      <c r="AF443" s="296"/>
      <c r="AG443" s="297"/>
      <c r="AJ443" s="298"/>
      <c r="AK443" s="297"/>
      <c r="AN443" s="298"/>
      <c r="AR443" s="298"/>
    </row>
    <row r="444" spans="2:44" s="290" customFormat="1" x14ac:dyDescent="0.2">
      <c r="B444" s="302"/>
      <c r="D444" s="302"/>
      <c r="E444" s="302"/>
      <c r="K444" s="303"/>
      <c r="L444" s="303"/>
      <c r="M444" s="303"/>
      <c r="AB444" s="298"/>
      <c r="AC444" s="297"/>
      <c r="AF444" s="296"/>
      <c r="AG444" s="297"/>
      <c r="AJ444" s="298"/>
      <c r="AK444" s="297"/>
      <c r="AN444" s="298"/>
      <c r="AR444" s="298"/>
    </row>
    <row r="445" spans="2:44" s="290" customFormat="1" x14ac:dyDescent="0.2">
      <c r="B445" s="302"/>
      <c r="D445" s="302"/>
      <c r="E445" s="302"/>
      <c r="K445" s="303"/>
      <c r="L445" s="303"/>
      <c r="M445" s="303"/>
      <c r="AB445" s="298"/>
      <c r="AC445" s="297"/>
      <c r="AF445" s="296"/>
      <c r="AG445" s="297"/>
      <c r="AJ445" s="298"/>
      <c r="AK445" s="297"/>
      <c r="AN445" s="298"/>
      <c r="AR445" s="298"/>
    </row>
    <row r="446" spans="2:44" s="290" customFormat="1" x14ac:dyDescent="0.2">
      <c r="B446" s="302"/>
      <c r="D446" s="302"/>
      <c r="E446" s="302"/>
      <c r="K446" s="303"/>
      <c r="L446" s="303"/>
      <c r="M446" s="303"/>
      <c r="AB446" s="298"/>
      <c r="AC446" s="297"/>
      <c r="AF446" s="296"/>
      <c r="AG446" s="297"/>
      <c r="AJ446" s="298"/>
      <c r="AK446" s="297"/>
      <c r="AN446" s="298"/>
      <c r="AR446" s="298"/>
    </row>
    <row r="447" spans="2:44" s="290" customFormat="1" x14ac:dyDescent="0.2">
      <c r="B447" s="302"/>
      <c r="D447" s="302"/>
      <c r="E447" s="302"/>
      <c r="K447" s="303"/>
      <c r="L447" s="303"/>
      <c r="M447" s="303"/>
      <c r="AB447" s="298"/>
      <c r="AC447" s="297"/>
      <c r="AF447" s="296"/>
      <c r="AG447" s="297"/>
      <c r="AJ447" s="298"/>
      <c r="AK447" s="297"/>
      <c r="AN447" s="298"/>
      <c r="AR447" s="298"/>
    </row>
    <row r="448" spans="2:44" s="290" customFormat="1" x14ac:dyDescent="0.2">
      <c r="B448" s="302"/>
      <c r="D448" s="302"/>
      <c r="E448" s="302"/>
      <c r="K448" s="303"/>
      <c r="L448" s="303"/>
      <c r="M448" s="303"/>
      <c r="AB448" s="298"/>
      <c r="AC448" s="297"/>
      <c r="AF448" s="296"/>
      <c r="AG448" s="297"/>
      <c r="AJ448" s="298"/>
      <c r="AK448" s="297"/>
      <c r="AN448" s="298"/>
      <c r="AR448" s="298"/>
    </row>
    <row r="449" spans="2:44" s="290" customFormat="1" x14ac:dyDescent="0.2">
      <c r="B449" s="302"/>
      <c r="D449" s="302"/>
      <c r="E449" s="302"/>
      <c r="K449" s="303"/>
      <c r="L449" s="303"/>
      <c r="M449" s="303"/>
      <c r="AB449" s="298"/>
      <c r="AC449" s="297"/>
      <c r="AF449" s="296"/>
      <c r="AG449" s="297"/>
      <c r="AJ449" s="298"/>
      <c r="AK449" s="297"/>
      <c r="AN449" s="298"/>
      <c r="AR449" s="298"/>
    </row>
    <row r="450" spans="2:44" s="290" customFormat="1" x14ac:dyDescent="0.2">
      <c r="B450" s="302"/>
      <c r="D450" s="302"/>
      <c r="E450" s="302"/>
      <c r="K450" s="303"/>
      <c r="L450" s="303"/>
      <c r="M450" s="303"/>
      <c r="AB450" s="298"/>
      <c r="AC450" s="297"/>
      <c r="AF450" s="296"/>
      <c r="AG450" s="297"/>
      <c r="AJ450" s="298"/>
      <c r="AK450" s="297"/>
      <c r="AN450" s="298"/>
      <c r="AR450" s="298"/>
    </row>
    <row r="451" spans="2:44" s="290" customFormat="1" x14ac:dyDescent="0.2">
      <c r="B451" s="302"/>
      <c r="D451" s="302"/>
      <c r="E451" s="302"/>
      <c r="K451" s="303"/>
      <c r="L451" s="303"/>
      <c r="M451" s="303"/>
      <c r="AB451" s="298"/>
      <c r="AC451" s="297"/>
      <c r="AF451" s="296"/>
      <c r="AG451" s="297"/>
      <c r="AJ451" s="298"/>
      <c r="AK451" s="297"/>
      <c r="AN451" s="298"/>
      <c r="AR451" s="298"/>
    </row>
    <row r="452" spans="2:44" s="290" customFormat="1" x14ac:dyDescent="0.2">
      <c r="B452" s="302"/>
      <c r="D452" s="302"/>
      <c r="E452" s="302"/>
      <c r="K452" s="303"/>
      <c r="L452" s="303"/>
      <c r="M452" s="303"/>
      <c r="AB452" s="298"/>
      <c r="AC452" s="297"/>
      <c r="AF452" s="296"/>
      <c r="AG452" s="297"/>
      <c r="AJ452" s="298"/>
      <c r="AK452" s="297"/>
      <c r="AN452" s="298"/>
      <c r="AR452" s="298"/>
    </row>
    <row r="453" spans="2:44" s="290" customFormat="1" x14ac:dyDescent="0.2">
      <c r="B453" s="302"/>
      <c r="D453" s="302"/>
      <c r="E453" s="302"/>
      <c r="K453" s="303"/>
      <c r="L453" s="303"/>
      <c r="M453" s="303"/>
      <c r="AB453" s="298"/>
      <c r="AC453" s="297"/>
      <c r="AF453" s="296"/>
      <c r="AG453" s="297"/>
      <c r="AJ453" s="298"/>
      <c r="AK453" s="297"/>
      <c r="AN453" s="298"/>
      <c r="AR453" s="298"/>
    </row>
    <row r="454" spans="2:44" s="290" customFormat="1" x14ac:dyDescent="0.2">
      <c r="B454" s="302"/>
      <c r="D454" s="302"/>
      <c r="E454" s="302"/>
      <c r="K454" s="303"/>
      <c r="L454" s="303"/>
      <c r="M454" s="303"/>
      <c r="AB454" s="298"/>
      <c r="AC454" s="297"/>
      <c r="AF454" s="296"/>
      <c r="AG454" s="297"/>
      <c r="AJ454" s="298"/>
      <c r="AK454" s="297"/>
      <c r="AN454" s="298"/>
      <c r="AR454" s="298"/>
    </row>
    <row r="455" spans="2:44" s="290" customFormat="1" x14ac:dyDescent="0.2">
      <c r="B455" s="302"/>
      <c r="D455" s="302"/>
      <c r="E455" s="302"/>
      <c r="K455" s="303"/>
      <c r="L455" s="303"/>
      <c r="M455" s="303"/>
      <c r="AB455" s="298"/>
      <c r="AC455" s="297"/>
      <c r="AF455" s="296"/>
      <c r="AG455" s="297"/>
      <c r="AJ455" s="298"/>
      <c r="AK455" s="297"/>
      <c r="AN455" s="298"/>
      <c r="AR455" s="298"/>
    </row>
    <row r="456" spans="2:44" s="290" customFormat="1" x14ac:dyDescent="0.2">
      <c r="B456" s="302"/>
      <c r="D456" s="302"/>
      <c r="E456" s="302"/>
      <c r="K456" s="303"/>
      <c r="L456" s="303"/>
      <c r="M456" s="303"/>
      <c r="AB456" s="298"/>
      <c r="AC456" s="297"/>
      <c r="AF456" s="296"/>
      <c r="AG456" s="297"/>
      <c r="AJ456" s="298"/>
      <c r="AK456" s="297"/>
      <c r="AN456" s="298"/>
      <c r="AR456" s="298"/>
    </row>
    <row r="457" spans="2:44" s="290" customFormat="1" x14ac:dyDescent="0.2">
      <c r="B457" s="302"/>
      <c r="D457" s="302"/>
      <c r="E457" s="302"/>
      <c r="K457" s="303"/>
      <c r="L457" s="303"/>
      <c r="M457" s="303"/>
      <c r="AB457" s="298"/>
      <c r="AC457" s="297"/>
      <c r="AF457" s="296"/>
      <c r="AG457" s="297"/>
      <c r="AJ457" s="298"/>
      <c r="AK457" s="297"/>
      <c r="AN457" s="298"/>
      <c r="AR457" s="298"/>
    </row>
    <row r="458" spans="2:44" s="290" customFormat="1" x14ac:dyDescent="0.2">
      <c r="B458" s="302"/>
      <c r="D458" s="302"/>
      <c r="E458" s="302"/>
      <c r="K458" s="303"/>
      <c r="L458" s="303"/>
      <c r="M458" s="303"/>
      <c r="AB458" s="298"/>
      <c r="AC458" s="297"/>
      <c r="AF458" s="296"/>
      <c r="AG458" s="297"/>
      <c r="AJ458" s="298"/>
      <c r="AK458" s="297"/>
      <c r="AN458" s="298"/>
      <c r="AR458" s="298"/>
    </row>
    <row r="459" spans="2:44" s="290" customFormat="1" x14ac:dyDescent="0.2">
      <c r="B459" s="302"/>
      <c r="D459" s="302"/>
      <c r="E459" s="302"/>
      <c r="K459" s="303"/>
      <c r="L459" s="303"/>
      <c r="M459" s="303"/>
      <c r="AB459" s="298"/>
      <c r="AC459" s="297"/>
      <c r="AF459" s="296"/>
      <c r="AG459" s="297"/>
      <c r="AJ459" s="298"/>
      <c r="AK459" s="297"/>
      <c r="AN459" s="298"/>
      <c r="AR459" s="298"/>
    </row>
    <row r="460" spans="2:44" s="290" customFormat="1" x14ac:dyDescent="0.2">
      <c r="B460" s="302"/>
      <c r="D460" s="302"/>
      <c r="E460" s="302"/>
      <c r="K460" s="303"/>
      <c r="L460" s="303"/>
      <c r="M460" s="303"/>
      <c r="AB460" s="298"/>
      <c r="AC460" s="297"/>
      <c r="AF460" s="296"/>
      <c r="AG460" s="297"/>
      <c r="AJ460" s="298"/>
      <c r="AK460" s="297"/>
      <c r="AN460" s="298"/>
      <c r="AR460" s="298"/>
    </row>
    <row r="461" spans="2:44" s="290" customFormat="1" x14ac:dyDescent="0.2">
      <c r="B461" s="302"/>
      <c r="D461" s="302"/>
      <c r="E461" s="302"/>
      <c r="K461" s="303"/>
      <c r="L461" s="303"/>
      <c r="M461" s="303"/>
      <c r="AB461" s="298"/>
      <c r="AC461" s="297"/>
      <c r="AF461" s="296"/>
      <c r="AG461" s="297"/>
      <c r="AJ461" s="298"/>
      <c r="AK461" s="297"/>
      <c r="AN461" s="298"/>
      <c r="AR461" s="298"/>
    </row>
    <row r="462" spans="2:44" s="290" customFormat="1" x14ac:dyDescent="0.2">
      <c r="B462" s="302"/>
      <c r="D462" s="302"/>
      <c r="E462" s="302"/>
      <c r="K462" s="303"/>
      <c r="L462" s="303"/>
      <c r="M462" s="303"/>
      <c r="AB462" s="298"/>
      <c r="AC462" s="297"/>
      <c r="AF462" s="296"/>
      <c r="AG462" s="297"/>
      <c r="AJ462" s="298"/>
      <c r="AK462" s="297"/>
      <c r="AN462" s="298"/>
      <c r="AR462" s="298"/>
    </row>
    <row r="463" spans="2:44" s="290" customFormat="1" x14ac:dyDescent="0.2">
      <c r="B463" s="302"/>
      <c r="D463" s="302"/>
      <c r="E463" s="302"/>
      <c r="K463" s="303"/>
      <c r="L463" s="303"/>
      <c r="M463" s="303"/>
      <c r="AB463" s="298"/>
      <c r="AC463" s="297"/>
      <c r="AF463" s="296"/>
      <c r="AG463" s="297"/>
      <c r="AJ463" s="298"/>
      <c r="AK463" s="297"/>
      <c r="AN463" s="298"/>
      <c r="AR463" s="298"/>
    </row>
    <row r="464" spans="2:44" s="290" customFormat="1" x14ac:dyDescent="0.2">
      <c r="B464" s="302"/>
      <c r="D464" s="302"/>
      <c r="E464" s="302"/>
      <c r="K464" s="303"/>
      <c r="L464" s="303"/>
      <c r="M464" s="303"/>
      <c r="AB464" s="298"/>
      <c r="AC464" s="297"/>
      <c r="AF464" s="296"/>
      <c r="AG464" s="297"/>
      <c r="AJ464" s="298"/>
      <c r="AK464" s="297"/>
      <c r="AN464" s="298"/>
      <c r="AR464" s="298"/>
    </row>
    <row r="465" spans="2:44" s="290" customFormat="1" x14ac:dyDescent="0.2">
      <c r="B465" s="302"/>
      <c r="D465" s="302"/>
      <c r="E465" s="302"/>
      <c r="K465" s="303"/>
      <c r="L465" s="303"/>
      <c r="M465" s="303"/>
      <c r="AB465" s="298"/>
      <c r="AC465" s="297"/>
      <c r="AF465" s="296"/>
      <c r="AG465" s="297"/>
      <c r="AJ465" s="298"/>
      <c r="AK465" s="297"/>
      <c r="AN465" s="298"/>
      <c r="AR465" s="298"/>
    </row>
    <row r="466" spans="2:44" s="290" customFormat="1" x14ac:dyDescent="0.2">
      <c r="B466" s="302"/>
      <c r="D466" s="302"/>
      <c r="E466" s="302"/>
      <c r="K466" s="303"/>
      <c r="L466" s="303"/>
      <c r="M466" s="303"/>
      <c r="AB466" s="298"/>
      <c r="AC466" s="297"/>
      <c r="AF466" s="296"/>
      <c r="AG466" s="297"/>
      <c r="AJ466" s="298"/>
      <c r="AK466" s="297"/>
      <c r="AN466" s="298"/>
      <c r="AR466" s="298"/>
    </row>
    <row r="467" spans="2:44" s="290" customFormat="1" x14ac:dyDescent="0.2">
      <c r="B467" s="302"/>
      <c r="D467" s="302"/>
      <c r="E467" s="302"/>
      <c r="K467" s="303"/>
      <c r="L467" s="303"/>
      <c r="M467" s="303"/>
      <c r="AB467" s="298"/>
      <c r="AC467" s="297"/>
      <c r="AF467" s="296"/>
      <c r="AG467" s="297"/>
      <c r="AJ467" s="298"/>
      <c r="AK467" s="297"/>
      <c r="AN467" s="298"/>
      <c r="AR467" s="298"/>
    </row>
    <row r="468" spans="2:44" s="290" customFormat="1" x14ac:dyDescent="0.2">
      <c r="B468" s="302"/>
      <c r="D468" s="302"/>
      <c r="E468" s="302"/>
      <c r="K468" s="303"/>
      <c r="L468" s="303"/>
      <c r="M468" s="303"/>
      <c r="AB468" s="298"/>
      <c r="AC468" s="297"/>
      <c r="AF468" s="296"/>
      <c r="AG468" s="297"/>
      <c r="AJ468" s="298"/>
      <c r="AK468" s="297"/>
      <c r="AN468" s="298"/>
      <c r="AR468" s="298"/>
    </row>
    <row r="469" spans="2:44" s="290" customFormat="1" x14ac:dyDescent="0.2">
      <c r="B469" s="302"/>
      <c r="D469" s="302"/>
      <c r="E469" s="302"/>
      <c r="K469" s="303"/>
      <c r="L469" s="303"/>
      <c r="M469" s="303"/>
      <c r="AB469" s="298"/>
      <c r="AC469" s="297"/>
      <c r="AF469" s="296"/>
      <c r="AG469" s="297"/>
      <c r="AJ469" s="298"/>
      <c r="AK469" s="297"/>
      <c r="AN469" s="298"/>
      <c r="AR469" s="298"/>
    </row>
    <row r="470" spans="2:44" s="290" customFormat="1" x14ac:dyDescent="0.2">
      <c r="B470" s="302"/>
      <c r="D470" s="302"/>
      <c r="E470" s="302"/>
      <c r="K470" s="303"/>
      <c r="L470" s="303"/>
      <c r="M470" s="303"/>
      <c r="AB470" s="298"/>
      <c r="AC470" s="297"/>
      <c r="AF470" s="296"/>
      <c r="AG470" s="297"/>
      <c r="AJ470" s="298"/>
      <c r="AK470" s="297"/>
      <c r="AN470" s="298"/>
      <c r="AR470" s="298"/>
    </row>
    <row r="471" spans="2:44" s="290" customFormat="1" x14ac:dyDescent="0.2">
      <c r="B471" s="302"/>
      <c r="D471" s="302"/>
      <c r="E471" s="302"/>
      <c r="K471" s="303"/>
      <c r="L471" s="303"/>
      <c r="M471" s="303"/>
      <c r="AB471" s="298"/>
      <c r="AC471" s="297"/>
      <c r="AF471" s="296"/>
      <c r="AG471" s="297"/>
      <c r="AJ471" s="298"/>
      <c r="AK471" s="297"/>
      <c r="AN471" s="298"/>
      <c r="AR471" s="298"/>
    </row>
    <row r="472" spans="2:44" s="290" customFormat="1" x14ac:dyDescent="0.2">
      <c r="B472" s="302"/>
      <c r="D472" s="302"/>
      <c r="E472" s="302"/>
      <c r="K472" s="303"/>
      <c r="L472" s="303"/>
      <c r="M472" s="303"/>
      <c r="AB472" s="298"/>
      <c r="AC472" s="297"/>
      <c r="AF472" s="296"/>
      <c r="AG472" s="297"/>
      <c r="AJ472" s="298"/>
      <c r="AK472" s="297"/>
      <c r="AN472" s="298"/>
      <c r="AR472" s="298"/>
    </row>
    <row r="473" spans="2:44" s="290" customFormat="1" x14ac:dyDescent="0.2">
      <c r="B473" s="302"/>
      <c r="D473" s="302"/>
      <c r="E473" s="302"/>
      <c r="K473" s="303"/>
      <c r="L473" s="303"/>
      <c r="M473" s="303"/>
      <c r="AB473" s="298"/>
      <c r="AC473" s="297"/>
      <c r="AF473" s="296"/>
      <c r="AG473" s="297"/>
      <c r="AJ473" s="298"/>
      <c r="AK473" s="297"/>
      <c r="AN473" s="298"/>
      <c r="AR473" s="298"/>
    </row>
    <row r="474" spans="2:44" s="290" customFormat="1" x14ac:dyDescent="0.2">
      <c r="B474" s="302"/>
      <c r="D474" s="302"/>
      <c r="E474" s="302"/>
      <c r="K474" s="303"/>
      <c r="L474" s="303"/>
      <c r="M474" s="303"/>
      <c r="AB474" s="298"/>
      <c r="AC474" s="297"/>
      <c r="AF474" s="296"/>
      <c r="AG474" s="297"/>
      <c r="AJ474" s="298"/>
      <c r="AK474" s="297"/>
      <c r="AN474" s="298"/>
      <c r="AR474" s="298"/>
    </row>
    <row r="475" spans="2:44" s="290" customFormat="1" x14ac:dyDescent="0.2">
      <c r="B475" s="302"/>
      <c r="D475" s="302"/>
      <c r="E475" s="302"/>
      <c r="K475" s="303"/>
      <c r="L475" s="303"/>
      <c r="M475" s="303"/>
      <c r="AB475" s="298"/>
      <c r="AC475" s="297"/>
      <c r="AF475" s="296"/>
      <c r="AG475" s="297"/>
      <c r="AJ475" s="298"/>
      <c r="AK475" s="297"/>
      <c r="AN475" s="298"/>
      <c r="AR475" s="298"/>
    </row>
    <row r="476" spans="2:44" s="290" customFormat="1" x14ac:dyDescent="0.2">
      <c r="B476" s="302"/>
      <c r="D476" s="302"/>
      <c r="E476" s="302"/>
      <c r="K476" s="303"/>
      <c r="L476" s="303"/>
      <c r="M476" s="303"/>
      <c r="AB476" s="298"/>
      <c r="AC476" s="297"/>
      <c r="AF476" s="296"/>
      <c r="AG476" s="297"/>
      <c r="AJ476" s="298"/>
      <c r="AK476" s="297"/>
      <c r="AN476" s="298"/>
      <c r="AR476" s="298"/>
    </row>
    <row r="477" spans="2:44" s="290" customFormat="1" x14ac:dyDescent="0.2">
      <c r="B477" s="302"/>
      <c r="D477" s="302"/>
      <c r="E477" s="302"/>
      <c r="K477" s="303"/>
      <c r="L477" s="303"/>
      <c r="M477" s="303"/>
      <c r="AB477" s="298"/>
      <c r="AC477" s="297"/>
      <c r="AF477" s="296"/>
      <c r="AG477" s="297"/>
      <c r="AJ477" s="298"/>
      <c r="AK477" s="297"/>
      <c r="AN477" s="298"/>
      <c r="AR477" s="298"/>
    </row>
    <row r="478" spans="2:44" s="290" customFormat="1" x14ac:dyDescent="0.2">
      <c r="B478" s="302"/>
      <c r="D478" s="302"/>
      <c r="E478" s="302"/>
      <c r="K478" s="303"/>
      <c r="L478" s="303"/>
      <c r="M478" s="303"/>
      <c r="AB478" s="298"/>
      <c r="AC478" s="297"/>
      <c r="AF478" s="296"/>
      <c r="AG478" s="297"/>
      <c r="AJ478" s="298"/>
      <c r="AK478" s="297"/>
      <c r="AN478" s="298"/>
      <c r="AR478" s="298"/>
    </row>
    <row r="479" spans="2:44" s="290" customFormat="1" x14ac:dyDescent="0.2">
      <c r="B479" s="302"/>
      <c r="D479" s="302"/>
      <c r="E479" s="302"/>
      <c r="K479" s="303"/>
      <c r="L479" s="303"/>
      <c r="M479" s="303"/>
      <c r="AB479" s="298"/>
      <c r="AC479" s="297"/>
      <c r="AF479" s="296"/>
      <c r="AG479" s="297"/>
      <c r="AJ479" s="298"/>
      <c r="AK479" s="297"/>
      <c r="AN479" s="298"/>
      <c r="AR479" s="298"/>
    </row>
    <row r="480" spans="2:44" s="290" customFormat="1" x14ac:dyDescent="0.2">
      <c r="B480" s="302"/>
      <c r="D480" s="302"/>
      <c r="E480" s="302"/>
      <c r="K480" s="303"/>
      <c r="L480" s="303"/>
      <c r="M480" s="303"/>
      <c r="AB480" s="298"/>
      <c r="AC480" s="297"/>
      <c r="AF480" s="296"/>
      <c r="AG480" s="297"/>
      <c r="AJ480" s="298"/>
      <c r="AK480" s="297"/>
      <c r="AN480" s="298"/>
      <c r="AR480" s="298"/>
    </row>
    <row r="481" spans="2:44" s="290" customFormat="1" x14ac:dyDescent="0.2">
      <c r="B481" s="302"/>
      <c r="D481" s="302"/>
      <c r="E481" s="302"/>
      <c r="K481" s="303"/>
      <c r="L481" s="303"/>
      <c r="M481" s="303"/>
      <c r="AB481" s="298"/>
      <c r="AC481" s="297"/>
      <c r="AF481" s="296"/>
      <c r="AG481" s="297"/>
      <c r="AJ481" s="298"/>
      <c r="AK481" s="297"/>
      <c r="AN481" s="298"/>
      <c r="AR481" s="298"/>
    </row>
    <row r="482" spans="2:44" s="290" customFormat="1" x14ac:dyDescent="0.2">
      <c r="B482" s="302"/>
      <c r="D482" s="302"/>
      <c r="E482" s="302"/>
      <c r="K482" s="303"/>
      <c r="L482" s="303"/>
      <c r="M482" s="303"/>
      <c r="AB482" s="298"/>
      <c r="AC482" s="297"/>
      <c r="AF482" s="296"/>
      <c r="AG482" s="297"/>
      <c r="AJ482" s="298"/>
      <c r="AK482" s="297"/>
      <c r="AN482" s="298"/>
      <c r="AR482" s="298"/>
    </row>
    <row r="483" spans="2:44" s="290" customFormat="1" x14ac:dyDescent="0.2">
      <c r="B483" s="302"/>
      <c r="D483" s="302"/>
      <c r="E483" s="302"/>
      <c r="K483" s="303"/>
      <c r="L483" s="303"/>
      <c r="M483" s="303"/>
      <c r="AB483" s="298"/>
      <c r="AC483" s="297"/>
      <c r="AF483" s="296"/>
      <c r="AG483" s="297"/>
      <c r="AJ483" s="298"/>
      <c r="AK483" s="297"/>
      <c r="AN483" s="298"/>
      <c r="AR483" s="298"/>
    </row>
    <row r="484" spans="2:44" s="290" customFormat="1" x14ac:dyDescent="0.2">
      <c r="B484" s="302"/>
      <c r="D484" s="302"/>
      <c r="E484" s="302"/>
      <c r="K484" s="303"/>
      <c r="L484" s="303"/>
      <c r="M484" s="303"/>
      <c r="AB484" s="298"/>
      <c r="AC484" s="297"/>
      <c r="AF484" s="296"/>
      <c r="AG484" s="297"/>
      <c r="AJ484" s="298"/>
      <c r="AK484" s="297"/>
      <c r="AN484" s="298"/>
      <c r="AR484" s="298"/>
    </row>
    <row r="485" spans="2:44" s="290" customFormat="1" x14ac:dyDescent="0.2">
      <c r="B485" s="302"/>
      <c r="D485" s="302"/>
      <c r="E485" s="302"/>
      <c r="K485" s="303"/>
      <c r="L485" s="303"/>
      <c r="M485" s="303"/>
      <c r="AB485" s="298"/>
      <c r="AC485" s="297"/>
      <c r="AF485" s="296"/>
      <c r="AG485" s="297"/>
      <c r="AJ485" s="298"/>
      <c r="AK485" s="297"/>
      <c r="AN485" s="298"/>
      <c r="AR485" s="298"/>
    </row>
    <row r="486" spans="2:44" s="290" customFormat="1" x14ac:dyDescent="0.2">
      <c r="B486" s="302"/>
      <c r="D486" s="302"/>
      <c r="E486" s="302"/>
      <c r="K486" s="303"/>
      <c r="L486" s="303"/>
      <c r="M486" s="303"/>
      <c r="AB486" s="298"/>
      <c r="AC486" s="297"/>
      <c r="AF486" s="296"/>
      <c r="AG486" s="297"/>
      <c r="AJ486" s="298"/>
      <c r="AK486" s="297"/>
      <c r="AN486" s="298"/>
      <c r="AR486" s="298"/>
    </row>
    <row r="487" spans="2:44" s="290" customFormat="1" x14ac:dyDescent="0.2">
      <c r="B487" s="302"/>
      <c r="D487" s="302"/>
      <c r="E487" s="302"/>
      <c r="K487" s="303"/>
      <c r="L487" s="303"/>
      <c r="M487" s="303"/>
      <c r="AB487" s="298"/>
      <c r="AC487" s="297"/>
      <c r="AF487" s="296"/>
      <c r="AG487" s="297"/>
      <c r="AJ487" s="298"/>
      <c r="AK487" s="297"/>
      <c r="AN487" s="298"/>
      <c r="AR487" s="298"/>
    </row>
    <row r="488" spans="2:44" s="290" customFormat="1" x14ac:dyDescent="0.2">
      <c r="B488" s="302"/>
      <c r="D488" s="302"/>
      <c r="E488" s="302"/>
      <c r="K488" s="303"/>
      <c r="L488" s="303"/>
      <c r="M488" s="303"/>
      <c r="AB488" s="298"/>
      <c r="AC488" s="297"/>
      <c r="AF488" s="296"/>
      <c r="AG488" s="297"/>
      <c r="AJ488" s="298"/>
      <c r="AK488" s="297"/>
      <c r="AN488" s="298"/>
      <c r="AR488" s="298"/>
    </row>
    <row r="489" spans="2:44" s="290" customFormat="1" x14ac:dyDescent="0.2">
      <c r="B489" s="302"/>
      <c r="D489" s="302"/>
      <c r="E489" s="302"/>
      <c r="K489" s="303"/>
      <c r="L489" s="303"/>
      <c r="M489" s="303"/>
      <c r="AB489" s="298"/>
      <c r="AC489" s="297"/>
      <c r="AF489" s="296"/>
      <c r="AG489" s="297"/>
      <c r="AJ489" s="298"/>
      <c r="AK489" s="297"/>
      <c r="AN489" s="298"/>
      <c r="AR489" s="298"/>
    </row>
    <row r="490" spans="2:44" s="290" customFormat="1" x14ac:dyDescent="0.2">
      <c r="B490" s="302"/>
      <c r="D490" s="302"/>
      <c r="E490" s="302"/>
      <c r="K490" s="303"/>
      <c r="L490" s="303"/>
      <c r="M490" s="303"/>
      <c r="AB490" s="298"/>
      <c r="AC490" s="297"/>
      <c r="AF490" s="296"/>
      <c r="AG490" s="297"/>
      <c r="AJ490" s="298"/>
      <c r="AK490" s="297"/>
      <c r="AN490" s="298"/>
      <c r="AR490" s="298"/>
    </row>
    <row r="491" spans="2:44" s="290" customFormat="1" x14ac:dyDescent="0.2">
      <c r="B491" s="302"/>
      <c r="D491" s="302"/>
      <c r="E491" s="302"/>
      <c r="K491" s="303"/>
      <c r="L491" s="303"/>
      <c r="M491" s="303"/>
      <c r="AB491" s="298"/>
      <c r="AC491" s="297"/>
      <c r="AF491" s="296"/>
      <c r="AG491" s="297"/>
      <c r="AJ491" s="298"/>
      <c r="AK491" s="297"/>
      <c r="AN491" s="298"/>
      <c r="AR491" s="298"/>
    </row>
    <row r="492" spans="2:44" s="290" customFormat="1" x14ac:dyDescent="0.2">
      <c r="B492" s="302"/>
      <c r="D492" s="302"/>
      <c r="E492" s="302"/>
      <c r="K492" s="303"/>
      <c r="L492" s="303"/>
      <c r="M492" s="303"/>
      <c r="AB492" s="298"/>
      <c r="AC492" s="297"/>
      <c r="AF492" s="296"/>
      <c r="AG492" s="297"/>
      <c r="AJ492" s="298"/>
      <c r="AK492" s="297"/>
      <c r="AN492" s="298"/>
      <c r="AR492" s="298"/>
    </row>
    <row r="493" spans="2:44" s="290" customFormat="1" x14ac:dyDescent="0.2">
      <c r="B493" s="302"/>
      <c r="D493" s="302"/>
      <c r="E493" s="302"/>
      <c r="K493" s="303"/>
      <c r="L493" s="303"/>
      <c r="M493" s="303"/>
      <c r="AB493" s="298"/>
      <c r="AC493" s="297"/>
      <c r="AF493" s="296"/>
      <c r="AG493" s="297"/>
      <c r="AJ493" s="298"/>
      <c r="AK493" s="297"/>
      <c r="AN493" s="298"/>
      <c r="AR493" s="298"/>
    </row>
    <row r="494" spans="2:44" s="290" customFormat="1" x14ac:dyDescent="0.2">
      <c r="B494" s="302"/>
      <c r="D494" s="302"/>
      <c r="E494" s="302"/>
      <c r="K494" s="303"/>
      <c r="L494" s="303"/>
      <c r="M494" s="303"/>
      <c r="AB494" s="298"/>
      <c r="AC494" s="297"/>
      <c r="AF494" s="296"/>
      <c r="AG494" s="297"/>
      <c r="AJ494" s="298"/>
      <c r="AK494" s="297"/>
      <c r="AN494" s="298"/>
      <c r="AR494" s="298"/>
    </row>
    <row r="495" spans="2:44" s="290" customFormat="1" x14ac:dyDescent="0.2">
      <c r="B495" s="302"/>
      <c r="D495" s="302"/>
      <c r="E495" s="302"/>
      <c r="K495" s="303"/>
      <c r="L495" s="303"/>
      <c r="M495" s="303"/>
      <c r="AB495" s="298"/>
      <c r="AC495" s="297"/>
      <c r="AF495" s="296"/>
      <c r="AG495" s="297"/>
      <c r="AJ495" s="298"/>
      <c r="AK495" s="297"/>
      <c r="AN495" s="298"/>
      <c r="AR495" s="298"/>
    </row>
    <row r="496" spans="2:44" s="290" customFormat="1" x14ac:dyDescent="0.2">
      <c r="B496" s="302"/>
      <c r="D496" s="302"/>
      <c r="E496" s="302"/>
      <c r="K496" s="303"/>
      <c r="L496" s="303"/>
      <c r="M496" s="303"/>
      <c r="AB496" s="298"/>
      <c r="AC496" s="297"/>
      <c r="AF496" s="296"/>
      <c r="AG496" s="297"/>
      <c r="AJ496" s="298"/>
      <c r="AK496" s="297"/>
      <c r="AN496" s="298"/>
      <c r="AR496" s="298"/>
    </row>
    <row r="497" spans="2:44" s="290" customFormat="1" x14ac:dyDescent="0.2">
      <c r="B497" s="302"/>
      <c r="D497" s="302"/>
      <c r="E497" s="302"/>
      <c r="K497" s="303"/>
      <c r="L497" s="303"/>
      <c r="M497" s="303"/>
      <c r="AB497" s="298"/>
      <c r="AC497" s="297"/>
      <c r="AF497" s="296"/>
      <c r="AG497" s="297"/>
      <c r="AJ497" s="298"/>
      <c r="AK497" s="297"/>
      <c r="AN497" s="298"/>
      <c r="AR497" s="298"/>
    </row>
    <row r="498" spans="2:44" s="290" customFormat="1" x14ac:dyDescent="0.2">
      <c r="B498" s="302"/>
      <c r="D498" s="302"/>
      <c r="E498" s="302"/>
      <c r="K498" s="303"/>
      <c r="L498" s="303"/>
      <c r="M498" s="303"/>
      <c r="AB498" s="298"/>
      <c r="AC498" s="297"/>
      <c r="AF498" s="296"/>
      <c r="AG498" s="297"/>
      <c r="AJ498" s="298"/>
      <c r="AK498" s="297"/>
      <c r="AN498" s="298"/>
      <c r="AR498" s="298"/>
    </row>
    <row r="499" spans="2:44" s="290" customFormat="1" x14ac:dyDescent="0.2">
      <c r="B499" s="302"/>
      <c r="D499" s="302"/>
      <c r="E499" s="302"/>
      <c r="K499" s="303"/>
      <c r="L499" s="303"/>
      <c r="M499" s="303"/>
      <c r="AB499" s="298"/>
      <c r="AC499" s="297"/>
      <c r="AF499" s="296"/>
      <c r="AG499" s="297"/>
      <c r="AJ499" s="298"/>
      <c r="AK499" s="297"/>
      <c r="AN499" s="298"/>
      <c r="AR499" s="298"/>
    </row>
    <row r="500" spans="2:44" s="290" customFormat="1" x14ac:dyDescent="0.2">
      <c r="B500" s="302"/>
      <c r="D500" s="302"/>
      <c r="E500" s="302"/>
      <c r="K500" s="303"/>
      <c r="L500" s="303"/>
      <c r="M500" s="303"/>
      <c r="AB500" s="298"/>
      <c r="AC500" s="297"/>
      <c r="AF500" s="296"/>
      <c r="AG500" s="297"/>
      <c r="AJ500" s="298"/>
      <c r="AK500" s="297"/>
      <c r="AN500" s="298"/>
      <c r="AR500" s="298"/>
    </row>
    <row r="501" spans="2:44" s="290" customFormat="1" x14ac:dyDescent="0.2">
      <c r="B501" s="302"/>
      <c r="D501" s="302"/>
      <c r="E501" s="302"/>
      <c r="K501" s="303"/>
      <c r="L501" s="303"/>
      <c r="M501" s="303"/>
      <c r="AB501" s="298"/>
      <c r="AC501" s="297"/>
      <c r="AF501" s="296"/>
      <c r="AG501" s="297"/>
      <c r="AJ501" s="298"/>
      <c r="AK501" s="297"/>
      <c r="AN501" s="298"/>
      <c r="AR501" s="298"/>
    </row>
    <row r="502" spans="2:44" s="290" customFormat="1" x14ac:dyDescent="0.2">
      <c r="B502" s="302"/>
      <c r="D502" s="302"/>
      <c r="E502" s="302"/>
      <c r="K502" s="303"/>
      <c r="L502" s="303"/>
      <c r="M502" s="303"/>
      <c r="AB502" s="298"/>
      <c r="AC502" s="297"/>
      <c r="AF502" s="296"/>
      <c r="AG502" s="297"/>
      <c r="AJ502" s="298"/>
      <c r="AK502" s="297"/>
      <c r="AN502" s="298"/>
      <c r="AR502" s="298"/>
    </row>
    <row r="503" spans="2:44" s="290" customFormat="1" x14ac:dyDescent="0.2">
      <c r="B503" s="302"/>
      <c r="D503" s="302"/>
      <c r="E503" s="302"/>
      <c r="K503" s="303"/>
      <c r="L503" s="303"/>
      <c r="M503" s="303"/>
      <c r="AB503" s="298"/>
      <c r="AC503" s="297"/>
      <c r="AF503" s="296"/>
      <c r="AG503" s="297"/>
      <c r="AJ503" s="298"/>
      <c r="AK503" s="297"/>
      <c r="AN503" s="298"/>
      <c r="AR503" s="298"/>
    </row>
    <row r="504" spans="2:44" s="290" customFormat="1" x14ac:dyDescent="0.2">
      <c r="B504" s="302"/>
      <c r="D504" s="302"/>
      <c r="E504" s="302"/>
      <c r="K504" s="303"/>
      <c r="L504" s="303"/>
      <c r="M504" s="303"/>
      <c r="AB504" s="298"/>
      <c r="AC504" s="297"/>
      <c r="AF504" s="296"/>
      <c r="AG504" s="297"/>
      <c r="AJ504" s="298"/>
      <c r="AK504" s="297"/>
      <c r="AN504" s="298"/>
      <c r="AR504" s="298"/>
    </row>
    <row r="505" spans="2:44" s="290" customFormat="1" x14ac:dyDescent="0.2">
      <c r="B505" s="302"/>
      <c r="D505" s="302"/>
      <c r="E505" s="302"/>
      <c r="K505" s="303"/>
      <c r="L505" s="303"/>
      <c r="M505" s="303"/>
      <c r="AB505" s="298"/>
      <c r="AC505" s="297"/>
      <c r="AF505" s="296"/>
      <c r="AG505" s="297"/>
      <c r="AJ505" s="298"/>
      <c r="AK505" s="297"/>
      <c r="AN505" s="298"/>
      <c r="AR505" s="298"/>
    </row>
    <row r="506" spans="2:44" s="290" customFormat="1" x14ac:dyDescent="0.2">
      <c r="B506" s="302"/>
      <c r="D506" s="302"/>
      <c r="E506" s="302"/>
      <c r="K506" s="303"/>
      <c r="L506" s="303"/>
      <c r="M506" s="303"/>
      <c r="AB506" s="298"/>
      <c r="AC506" s="297"/>
      <c r="AF506" s="296"/>
      <c r="AG506" s="297"/>
      <c r="AJ506" s="298"/>
      <c r="AK506" s="297"/>
      <c r="AN506" s="298"/>
      <c r="AR506" s="298"/>
    </row>
    <row r="507" spans="2:44" s="290" customFormat="1" x14ac:dyDescent="0.2">
      <c r="B507" s="302"/>
      <c r="D507" s="302"/>
      <c r="E507" s="302"/>
      <c r="K507" s="303"/>
      <c r="L507" s="303"/>
      <c r="M507" s="303"/>
      <c r="AB507" s="298"/>
      <c r="AC507" s="297"/>
      <c r="AF507" s="296"/>
      <c r="AG507" s="297"/>
      <c r="AJ507" s="298"/>
      <c r="AK507" s="297"/>
      <c r="AN507" s="298"/>
      <c r="AR507" s="298"/>
    </row>
    <row r="508" spans="2:44" s="290" customFormat="1" x14ac:dyDescent="0.2">
      <c r="B508" s="302"/>
      <c r="D508" s="302"/>
      <c r="E508" s="302"/>
      <c r="K508" s="303"/>
      <c r="L508" s="303"/>
      <c r="M508" s="303"/>
      <c r="AB508" s="298"/>
      <c r="AC508" s="297"/>
      <c r="AF508" s="296"/>
      <c r="AG508" s="297"/>
      <c r="AJ508" s="298"/>
      <c r="AK508" s="297"/>
      <c r="AN508" s="298"/>
      <c r="AR508" s="298"/>
    </row>
    <row r="509" spans="2:44" s="290" customFormat="1" x14ac:dyDescent="0.2">
      <c r="B509" s="302"/>
      <c r="D509" s="302"/>
      <c r="E509" s="302"/>
      <c r="K509" s="303"/>
      <c r="L509" s="303"/>
      <c r="M509" s="303"/>
      <c r="AB509" s="298"/>
      <c r="AC509" s="297"/>
      <c r="AF509" s="296"/>
      <c r="AG509" s="297"/>
      <c r="AJ509" s="298"/>
      <c r="AK509" s="297"/>
      <c r="AN509" s="298"/>
      <c r="AR509" s="298"/>
    </row>
    <row r="510" spans="2:44" s="290" customFormat="1" x14ac:dyDescent="0.2">
      <c r="B510" s="302"/>
      <c r="D510" s="302"/>
      <c r="E510" s="302"/>
      <c r="K510" s="303"/>
      <c r="L510" s="303"/>
      <c r="M510" s="303"/>
      <c r="AB510" s="298"/>
      <c r="AC510" s="297"/>
      <c r="AF510" s="296"/>
      <c r="AG510" s="297"/>
      <c r="AJ510" s="298"/>
      <c r="AK510" s="297"/>
      <c r="AN510" s="298"/>
      <c r="AR510" s="298"/>
    </row>
    <row r="511" spans="2:44" s="290" customFormat="1" x14ac:dyDescent="0.2">
      <c r="B511" s="302"/>
      <c r="D511" s="302"/>
      <c r="E511" s="302"/>
      <c r="K511" s="303"/>
      <c r="L511" s="303"/>
      <c r="M511" s="303"/>
      <c r="AB511" s="298"/>
      <c r="AC511" s="297"/>
      <c r="AF511" s="296"/>
      <c r="AG511" s="297"/>
      <c r="AJ511" s="298"/>
      <c r="AK511" s="297"/>
      <c r="AN511" s="298"/>
      <c r="AR511" s="298"/>
    </row>
    <row r="512" spans="2:44" s="290" customFormat="1" x14ac:dyDescent="0.2">
      <c r="B512" s="302"/>
      <c r="D512" s="302"/>
      <c r="E512" s="302"/>
      <c r="K512" s="303"/>
      <c r="L512" s="303"/>
      <c r="M512" s="303"/>
      <c r="AB512" s="298"/>
      <c r="AC512" s="297"/>
      <c r="AF512" s="296"/>
      <c r="AG512" s="297"/>
      <c r="AJ512" s="298"/>
      <c r="AK512" s="297"/>
      <c r="AN512" s="298"/>
      <c r="AR512" s="298"/>
    </row>
    <row r="513" spans="2:44" s="290" customFormat="1" x14ac:dyDescent="0.2">
      <c r="B513" s="302"/>
      <c r="D513" s="302"/>
      <c r="E513" s="302"/>
      <c r="K513" s="303"/>
      <c r="L513" s="303"/>
      <c r="M513" s="303"/>
      <c r="AB513" s="298"/>
      <c r="AC513" s="297"/>
      <c r="AF513" s="296"/>
      <c r="AG513" s="297"/>
      <c r="AJ513" s="298"/>
      <c r="AK513" s="297"/>
      <c r="AN513" s="298"/>
      <c r="AR513" s="298"/>
    </row>
    <row r="514" spans="2:44" s="290" customFormat="1" x14ac:dyDescent="0.2">
      <c r="B514" s="302"/>
      <c r="D514" s="302"/>
      <c r="E514" s="302"/>
      <c r="K514" s="303"/>
      <c r="L514" s="303"/>
      <c r="M514" s="303"/>
      <c r="AB514" s="298"/>
      <c r="AC514" s="297"/>
      <c r="AF514" s="296"/>
      <c r="AG514" s="297"/>
      <c r="AJ514" s="298"/>
      <c r="AK514" s="297"/>
      <c r="AN514" s="298"/>
      <c r="AR514" s="298"/>
    </row>
    <row r="515" spans="2:44" s="290" customFormat="1" x14ac:dyDescent="0.2">
      <c r="B515" s="302"/>
      <c r="D515" s="302"/>
      <c r="E515" s="302"/>
      <c r="K515" s="303"/>
      <c r="L515" s="303"/>
      <c r="M515" s="303"/>
      <c r="AB515" s="298"/>
      <c r="AC515" s="297"/>
      <c r="AF515" s="296"/>
      <c r="AG515" s="297"/>
      <c r="AJ515" s="298"/>
      <c r="AK515" s="297"/>
      <c r="AN515" s="298"/>
      <c r="AR515" s="298"/>
    </row>
    <row r="516" spans="2:44" s="290" customFormat="1" x14ac:dyDescent="0.2">
      <c r="B516" s="302"/>
      <c r="D516" s="302"/>
      <c r="E516" s="302"/>
      <c r="K516" s="303"/>
      <c r="L516" s="303"/>
      <c r="M516" s="303"/>
      <c r="AB516" s="298"/>
      <c r="AC516" s="297"/>
      <c r="AF516" s="296"/>
      <c r="AG516" s="297"/>
      <c r="AJ516" s="298"/>
      <c r="AK516" s="297"/>
      <c r="AN516" s="298"/>
      <c r="AR516" s="298"/>
    </row>
    <row r="517" spans="2:44" s="290" customFormat="1" x14ac:dyDescent="0.2">
      <c r="B517" s="302"/>
      <c r="D517" s="302"/>
      <c r="E517" s="302"/>
      <c r="K517" s="303"/>
      <c r="L517" s="303"/>
      <c r="M517" s="303"/>
      <c r="AB517" s="298"/>
      <c r="AC517" s="297"/>
      <c r="AF517" s="296"/>
      <c r="AG517" s="297"/>
      <c r="AJ517" s="298"/>
      <c r="AK517" s="297"/>
      <c r="AN517" s="298"/>
      <c r="AR517" s="298"/>
    </row>
    <row r="518" spans="2:44" s="290" customFormat="1" x14ac:dyDescent="0.2">
      <c r="B518" s="302"/>
      <c r="D518" s="302"/>
      <c r="E518" s="302"/>
      <c r="K518" s="303"/>
      <c r="L518" s="303"/>
      <c r="M518" s="303"/>
      <c r="AB518" s="298"/>
      <c r="AC518" s="297"/>
      <c r="AF518" s="296"/>
      <c r="AG518" s="297"/>
      <c r="AJ518" s="298"/>
      <c r="AK518" s="297"/>
      <c r="AN518" s="298"/>
      <c r="AR518" s="298"/>
    </row>
    <row r="519" spans="2:44" s="290" customFormat="1" x14ac:dyDescent="0.2">
      <c r="B519" s="302"/>
      <c r="D519" s="302"/>
      <c r="E519" s="302"/>
      <c r="K519" s="303"/>
      <c r="L519" s="303"/>
      <c r="M519" s="303"/>
      <c r="AB519" s="298"/>
      <c r="AC519" s="297"/>
      <c r="AF519" s="296"/>
      <c r="AG519" s="297"/>
      <c r="AJ519" s="298"/>
      <c r="AK519" s="297"/>
      <c r="AN519" s="298"/>
      <c r="AR519" s="298"/>
    </row>
    <row r="520" spans="2:44" s="290" customFormat="1" x14ac:dyDescent="0.2">
      <c r="B520" s="302"/>
      <c r="D520" s="302"/>
      <c r="E520" s="302"/>
      <c r="K520" s="303"/>
      <c r="L520" s="303"/>
      <c r="M520" s="303"/>
      <c r="AB520" s="298"/>
      <c r="AC520" s="297"/>
      <c r="AF520" s="296"/>
      <c r="AG520" s="297"/>
      <c r="AJ520" s="298"/>
      <c r="AK520" s="297"/>
      <c r="AN520" s="298"/>
      <c r="AR520" s="298"/>
    </row>
    <row r="521" spans="2:44" s="290" customFormat="1" x14ac:dyDescent="0.2">
      <c r="B521" s="302"/>
      <c r="D521" s="302"/>
      <c r="E521" s="302"/>
      <c r="K521" s="303"/>
      <c r="L521" s="303"/>
      <c r="M521" s="303"/>
      <c r="AB521" s="298"/>
      <c r="AC521" s="297"/>
      <c r="AF521" s="296"/>
      <c r="AG521" s="297"/>
      <c r="AJ521" s="298"/>
      <c r="AK521" s="297"/>
      <c r="AN521" s="298"/>
      <c r="AR521" s="298"/>
    </row>
    <row r="522" spans="2:44" s="290" customFormat="1" x14ac:dyDescent="0.2">
      <c r="B522" s="302"/>
      <c r="D522" s="302"/>
      <c r="E522" s="302"/>
      <c r="K522" s="303"/>
      <c r="L522" s="303"/>
      <c r="M522" s="303"/>
      <c r="AB522" s="298"/>
      <c r="AC522" s="297"/>
      <c r="AF522" s="296"/>
      <c r="AG522" s="297"/>
      <c r="AJ522" s="298"/>
      <c r="AK522" s="297"/>
      <c r="AN522" s="298"/>
      <c r="AR522" s="298"/>
    </row>
    <row r="523" spans="2:44" s="290" customFormat="1" x14ac:dyDescent="0.2">
      <c r="B523" s="302"/>
      <c r="D523" s="302"/>
      <c r="E523" s="302"/>
      <c r="K523" s="303"/>
      <c r="L523" s="303"/>
      <c r="M523" s="303"/>
      <c r="AB523" s="298"/>
      <c r="AC523" s="297"/>
      <c r="AF523" s="296"/>
      <c r="AG523" s="297"/>
      <c r="AJ523" s="298"/>
      <c r="AK523" s="297"/>
      <c r="AN523" s="298"/>
      <c r="AR523" s="298"/>
    </row>
    <row r="524" spans="2:44" s="290" customFormat="1" x14ac:dyDescent="0.2">
      <c r="B524" s="302"/>
      <c r="D524" s="302"/>
      <c r="E524" s="302"/>
      <c r="K524" s="303"/>
      <c r="L524" s="303"/>
      <c r="M524" s="303"/>
      <c r="AB524" s="298"/>
      <c r="AC524" s="297"/>
      <c r="AF524" s="296"/>
      <c r="AG524" s="297"/>
      <c r="AJ524" s="298"/>
      <c r="AK524" s="297"/>
      <c r="AN524" s="298"/>
      <c r="AR524" s="298"/>
    </row>
    <row r="525" spans="2:44" s="290" customFormat="1" x14ac:dyDescent="0.2">
      <c r="B525" s="302"/>
      <c r="D525" s="302"/>
      <c r="E525" s="302"/>
      <c r="K525" s="303"/>
      <c r="L525" s="303"/>
      <c r="M525" s="303"/>
      <c r="AB525" s="298"/>
      <c r="AC525" s="297"/>
      <c r="AF525" s="296"/>
      <c r="AG525" s="297"/>
      <c r="AJ525" s="298"/>
      <c r="AK525" s="297"/>
      <c r="AN525" s="298"/>
      <c r="AR525" s="298"/>
    </row>
    <row r="526" spans="2:44" s="290" customFormat="1" x14ac:dyDescent="0.2">
      <c r="B526" s="302"/>
      <c r="D526" s="302"/>
      <c r="E526" s="302"/>
      <c r="K526" s="303"/>
      <c r="L526" s="303"/>
      <c r="M526" s="303"/>
      <c r="AB526" s="298"/>
      <c r="AC526" s="297"/>
      <c r="AF526" s="296"/>
      <c r="AG526" s="297"/>
      <c r="AJ526" s="298"/>
      <c r="AK526" s="297"/>
      <c r="AN526" s="298"/>
      <c r="AR526" s="298"/>
    </row>
    <row r="527" spans="2:44" s="290" customFormat="1" x14ac:dyDescent="0.2">
      <c r="B527" s="302"/>
      <c r="D527" s="302"/>
      <c r="E527" s="302"/>
      <c r="K527" s="303"/>
      <c r="L527" s="303"/>
      <c r="M527" s="303"/>
      <c r="AB527" s="298"/>
      <c r="AC527" s="297"/>
      <c r="AF527" s="296"/>
      <c r="AG527" s="297"/>
      <c r="AJ527" s="298"/>
      <c r="AK527" s="297"/>
      <c r="AN527" s="298"/>
      <c r="AR527" s="298"/>
    </row>
    <row r="528" spans="2:44" s="290" customFormat="1" x14ac:dyDescent="0.2">
      <c r="B528" s="302"/>
      <c r="D528" s="302"/>
      <c r="E528" s="302"/>
      <c r="K528" s="303"/>
      <c r="L528" s="303"/>
      <c r="M528" s="303"/>
      <c r="AB528" s="298"/>
      <c r="AC528" s="297"/>
      <c r="AF528" s="296"/>
      <c r="AG528" s="297"/>
      <c r="AJ528" s="298"/>
      <c r="AK528" s="297"/>
      <c r="AN528" s="298"/>
      <c r="AR528" s="298"/>
    </row>
    <row r="529" spans="2:44" s="290" customFormat="1" x14ac:dyDescent="0.2">
      <c r="B529" s="302"/>
      <c r="D529" s="302"/>
      <c r="E529" s="302"/>
      <c r="K529" s="303"/>
      <c r="L529" s="303"/>
      <c r="M529" s="303"/>
      <c r="AB529" s="298"/>
      <c r="AC529" s="297"/>
      <c r="AF529" s="296"/>
      <c r="AG529" s="297"/>
      <c r="AJ529" s="298"/>
      <c r="AK529" s="297"/>
      <c r="AN529" s="298"/>
      <c r="AR529" s="298"/>
    </row>
    <row r="530" spans="2:44" s="290" customFormat="1" x14ac:dyDescent="0.2">
      <c r="B530" s="302"/>
      <c r="D530" s="302"/>
      <c r="E530" s="302"/>
      <c r="K530" s="303"/>
      <c r="L530" s="303"/>
      <c r="M530" s="303"/>
      <c r="AB530" s="298"/>
      <c r="AC530" s="297"/>
      <c r="AF530" s="296"/>
      <c r="AG530" s="297"/>
      <c r="AJ530" s="298"/>
      <c r="AK530" s="297"/>
      <c r="AN530" s="298"/>
      <c r="AR530" s="298"/>
    </row>
    <row r="531" spans="2:44" s="290" customFormat="1" x14ac:dyDescent="0.2">
      <c r="B531" s="302"/>
      <c r="D531" s="302"/>
      <c r="E531" s="302"/>
      <c r="K531" s="303"/>
      <c r="L531" s="303"/>
      <c r="M531" s="303"/>
      <c r="AB531" s="298"/>
      <c r="AC531" s="297"/>
      <c r="AF531" s="296"/>
      <c r="AG531" s="297"/>
      <c r="AJ531" s="298"/>
      <c r="AK531" s="297"/>
      <c r="AN531" s="298"/>
      <c r="AR531" s="298"/>
    </row>
    <row r="532" spans="2:44" s="290" customFormat="1" x14ac:dyDescent="0.2">
      <c r="B532" s="302"/>
      <c r="D532" s="302"/>
      <c r="E532" s="302"/>
      <c r="K532" s="303"/>
      <c r="L532" s="303"/>
      <c r="M532" s="303"/>
      <c r="AB532" s="298"/>
      <c r="AC532" s="297"/>
      <c r="AF532" s="296"/>
      <c r="AG532" s="297"/>
      <c r="AJ532" s="298"/>
      <c r="AK532" s="297"/>
      <c r="AN532" s="298"/>
      <c r="AR532" s="298"/>
    </row>
    <row r="533" spans="2:44" s="290" customFormat="1" x14ac:dyDescent="0.2">
      <c r="B533" s="302"/>
      <c r="D533" s="302"/>
      <c r="E533" s="302"/>
      <c r="K533" s="303"/>
      <c r="L533" s="303"/>
      <c r="M533" s="303"/>
      <c r="AB533" s="298"/>
      <c r="AC533" s="297"/>
      <c r="AF533" s="296"/>
      <c r="AG533" s="297"/>
      <c r="AJ533" s="298"/>
      <c r="AK533" s="297"/>
      <c r="AN533" s="298"/>
      <c r="AR533" s="298"/>
    </row>
    <row r="534" spans="2:44" s="290" customFormat="1" x14ac:dyDescent="0.2">
      <c r="B534" s="302"/>
      <c r="D534" s="302"/>
      <c r="E534" s="302"/>
      <c r="K534" s="303"/>
      <c r="L534" s="303"/>
      <c r="M534" s="303"/>
      <c r="AB534" s="298"/>
      <c r="AC534" s="297"/>
      <c r="AF534" s="296"/>
      <c r="AG534" s="297"/>
      <c r="AJ534" s="298"/>
      <c r="AK534" s="297"/>
      <c r="AN534" s="298"/>
      <c r="AR534" s="298"/>
    </row>
    <row r="535" spans="2:44" s="290" customFormat="1" x14ac:dyDescent="0.2">
      <c r="B535" s="302"/>
      <c r="D535" s="302"/>
      <c r="E535" s="302"/>
      <c r="K535" s="303"/>
      <c r="L535" s="303"/>
      <c r="M535" s="303"/>
      <c r="AB535" s="298"/>
      <c r="AC535" s="297"/>
      <c r="AF535" s="296"/>
      <c r="AG535" s="297"/>
      <c r="AJ535" s="298"/>
      <c r="AK535" s="297"/>
      <c r="AN535" s="298"/>
      <c r="AR535" s="298"/>
    </row>
    <row r="536" spans="2:44" s="290" customFormat="1" x14ac:dyDescent="0.2">
      <c r="B536" s="302"/>
      <c r="D536" s="302"/>
      <c r="E536" s="302"/>
      <c r="K536" s="303"/>
      <c r="L536" s="303"/>
      <c r="M536" s="303"/>
      <c r="AB536" s="298"/>
      <c r="AC536" s="297"/>
      <c r="AF536" s="296"/>
      <c r="AG536" s="297"/>
      <c r="AJ536" s="298"/>
      <c r="AK536" s="297"/>
      <c r="AN536" s="298"/>
      <c r="AR536" s="298"/>
    </row>
    <row r="537" spans="2:44" s="290" customFormat="1" x14ac:dyDescent="0.2">
      <c r="B537" s="302"/>
      <c r="D537" s="302"/>
      <c r="E537" s="302"/>
      <c r="K537" s="303"/>
      <c r="L537" s="303"/>
      <c r="M537" s="303"/>
      <c r="AB537" s="298"/>
      <c r="AC537" s="297"/>
      <c r="AF537" s="296"/>
      <c r="AG537" s="297"/>
      <c r="AJ537" s="298"/>
      <c r="AK537" s="297"/>
      <c r="AN537" s="298"/>
      <c r="AR537" s="298"/>
    </row>
    <row r="538" spans="2:44" s="290" customFormat="1" x14ac:dyDescent="0.2">
      <c r="B538" s="302"/>
      <c r="D538" s="302"/>
      <c r="E538" s="302"/>
      <c r="K538" s="303"/>
      <c r="L538" s="303"/>
      <c r="M538" s="303"/>
      <c r="AB538" s="298"/>
      <c r="AC538" s="297"/>
      <c r="AF538" s="296"/>
      <c r="AG538" s="297"/>
      <c r="AJ538" s="298"/>
      <c r="AK538" s="297"/>
      <c r="AN538" s="298"/>
      <c r="AR538" s="298"/>
    </row>
    <row r="539" spans="2:44" s="290" customFormat="1" x14ac:dyDescent="0.2">
      <c r="B539" s="302"/>
      <c r="D539" s="302"/>
      <c r="E539" s="302"/>
      <c r="K539" s="303"/>
      <c r="L539" s="303"/>
      <c r="M539" s="303"/>
      <c r="AB539" s="298"/>
      <c r="AC539" s="297"/>
      <c r="AF539" s="296"/>
      <c r="AG539" s="297"/>
      <c r="AJ539" s="298"/>
      <c r="AK539" s="297"/>
      <c r="AN539" s="298"/>
      <c r="AR539" s="298"/>
    </row>
    <row r="540" spans="2:44" s="290" customFormat="1" x14ac:dyDescent="0.2">
      <c r="B540" s="302"/>
      <c r="D540" s="302"/>
      <c r="E540" s="302"/>
      <c r="K540" s="303"/>
      <c r="L540" s="303"/>
      <c r="M540" s="303"/>
      <c r="AB540" s="298"/>
      <c r="AC540" s="297"/>
      <c r="AF540" s="296"/>
      <c r="AG540" s="297"/>
      <c r="AJ540" s="298"/>
      <c r="AK540" s="297"/>
      <c r="AN540" s="298"/>
      <c r="AR540" s="298"/>
    </row>
    <row r="541" spans="2:44" s="290" customFormat="1" x14ac:dyDescent="0.2">
      <c r="B541" s="302"/>
      <c r="D541" s="302"/>
      <c r="E541" s="302"/>
      <c r="K541" s="303"/>
      <c r="L541" s="303"/>
      <c r="M541" s="303"/>
      <c r="AB541" s="298"/>
      <c r="AC541" s="297"/>
      <c r="AF541" s="296"/>
      <c r="AG541" s="297"/>
      <c r="AJ541" s="298"/>
      <c r="AK541" s="297"/>
      <c r="AN541" s="298"/>
      <c r="AR541" s="298"/>
    </row>
    <row r="542" spans="2:44" s="290" customFormat="1" x14ac:dyDescent="0.2">
      <c r="B542" s="302"/>
      <c r="D542" s="302"/>
      <c r="E542" s="302"/>
      <c r="K542" s="303"/>
      <c r="L542" s="303"/>
      <c r="M542" s="303"/>
      <c r="AB542" s="298"/>
      <c r="AC542" s="297"/>
      <c r="AF542" s="296"/>
      <c r="AG542" s="297"/>
      <c r="AJ542" s="298"/>
      <c r="AK542" s="297"/>
      <c r="AN542" s="298"/>
      <c r="AR542" s="298"/>
    </row>
    <row r="543" spans="2:44" s="290" customFormat="1" x14ac:dyDescent="0.2">
      <c r="B543" s="302"/>
      <c r="D543" s="302"/>
      <c r="E543" s="302"/>
      <c r="K543" s="303"/>
      <c r="L543" s="303"/>
      <c r="M543" s="303"/>
      <c r="AB543" s="298"/>
      <c r="AC543" s="297"/>
      <c r="AF543" s="296"/>
      <c r="AG543" s="297"/>
      <c r="AJ543" s="298"/>
      <c r="AK543" s="297"/>
      <c r="AN543" s="298"/>
      <c r="AR543" s="298"/>
    </row>
    <row r="544" spans="2:44" s="290" customFormat="1" x14ac:dyDescent="0.2">
      <c r="B544" s="302"/>
      <c r="D544" s="302"/>
      <c r="E544" s="302"/>
      <c r="K544" s="303"/>
      <c r="L544" s="303"/>
      <c r="M544" s="303"/>
      <c r="AB544" s="298"/>
      <c r="AC544" s="297"/>
      <c r="AF544" s="296"/>
      <c r="AG544" s="297"/>
      <c r="AJ544" s="298"/>
      <c r="AK544" s="297"/>
      <c r="AN544" s="298"/>
      <c r="AR544" s="298"/>
    </row>
    <row r="545" spans="2:44" s="290" customFormat="1" x14ac:dyDescent="0.2">
      <c r="B545" s="302"/>
      <c r="D545" s="302"/>
      <c r="E545" s="302"/>
      <c r="K545" s="303"/>
      <c r="L545" s="303"/>
      <c r="M545" s="303"/>
      <c r="AB545" s="298"/>
      <c r="AC545" s="297"/>
      <c r="AF545" s="296"/>
      <c r="AG545" s="297"/>
      <c r="AJ545" s="298"/>
      <c r="AK545" s="297"/>
      <c r="AN545" s="298"/>
      <c r="AR545" s="298"/>
    </row>
    <row r="546" spans="2:44" s="290" customFormat="1" x14ac:dyDescent="0.2">
      <c r="B546" s="302"/>
      <c r="D546" s="302"/>
      <c r="E546" s="302"/>
      <c r="K546" s="303"/>
      <c r="L546" s="303"/>
      <c r="M546" s="303"/>
      <c r="AB546" s="298"/>
      <c r="AC546" s="297"/>
      <c r="AF546" s="296"/>
      <c r="AG546" s="297"/>
      <c r="AJ546" s="298"/>
      <c r="AK546" s="297"/>
      <c r="AN546" s="298"/>
      <c r="AR546" s="298"/>
    </row>
    <row r="547" spans="2:44" s="290" customFormat="1" x14ac:dyDescent="0.2">
      <c r="B547" s="302"/>
      <c r="D547" s="302"/>
      <c r="E547" s="302"/>
      <c r="K547" s="303"/>
      <c r="L547" s="303"/>
      <c r="M547" s="303"/>
      <c r="AB547" s="298"/>
      <c r="AC547" s="297"/>
      <c r="AF547" s="296"/>
      <c r="AG547" s="297"/>
      <c r="AJ547" s="298"/>
      <c r="AK547" s="297"/>
      <c r="AN547" s="298"/>
      <c r="AR547" s="298"/>
    </row>
    <row r="548" spans="2:44" s="290" customFormat="1" x14ac:dyDescent="0.2">
      <c r="B548" s="302"/>
      <c r="D548" s="302"/>
      <c r="E548" s="302"/>
      <c r="K548" s="303"/>
      <c r="L548" s="303"/>
      <c r="M548" s="303"/>
      <c r="AB548" s="298"/>
      <c r="AC548" s="297"/>
      <c r="AF548" s="296"/>
      <c r="AG548" s="297"/>
      <c r="AJ548" s="298"/>
      <c r="AK548" s="297"/>
      <c r="AN548" s="298"/>
      <c r="AR548" s="298"/>
    </row>
    <row r="549" spans="2:44" s="290" customFormat="1" x14ac:dyDescent="0.2">
      <c r="B549" s="302"/>
      <c r="D549" s="302"/>
      <c r="E549" s="302"/>
      <c r="K549" s="303"/>
      <c r="L549" s="303"/>
      <c r="M549" s="303"/>
      <c r="AB549" s="298"/>
      <c r="AC549" s="297"/>
      <c r="AF549" s="296"/>
      <c r="AG549" s="297"/>
      <c r="AJ549" s="298"/>
      <c r="AK549" s="297"/>
      <c r="AN549" s="298"/>
      <c r="AR549" s="298"/>
    </row>
    <row r="550" spans="2:44" s="290" customFormat="1" x14ac:dyDescent="0.2">
      <c r="B550" s="302"/>
      <c r="D550" s="302"/>
      <c r="E550" s="302"/>
      <c r="K550" s="303"/>
      <c r="L550" s="303"/>
      <c r="M550" s="303"/>
      <c r="AB550" s="298"/>
      <c r="AC550" s="297"/>
      <c r="AF550" s="296"/>
      <c r="AG550" s="297"/>
      <c r="AJ550" s="298"/>
      <c r="AK550" s="297"/>
      <c r="AN550" s="298"/>
      <c r="AR550" s="298"/>
    </row>
    <row r="551" spans="2:44" s="290" customFormat="1" x14ac:dyDescent="0.2">
      <c r="B551" s="302"/>
      <c r="D551" s="302"/>
      <c r="E551" s="302"/>
      <c r="K551" s="303"/>
      <c r="L551" s="303"/>
      <c r="M551" s="303"/>
      <c r="AB551" s="298"/>
      <c r="AC551" s="297"/>
      <c r="AF551" s="296"/>
      <c r="AG551" s="297"/>
      <c r="AJ551" s="298"/>
      <c r="AK551" s="297"/>
      <c r="AN551" s="298"/>
      <c r="AR551" s="298"/>
    </row>
    <row r="552" spans="2:44" s="290" customFormat="1" x14ac:dyDescent="0.2">
      <c r="B552" s="302"/>
      <c r="D552" s="302"/>
      <c r="E552" s="302"/>
      <c r="K552" s="303"/>
      <c r="L552" s="303"/>
      <c r="M552" s="303"/>
      <c r="AB552" s="298"/>
      <c r="AC552" s="297"/>
      <c r="AF552" s="296"/>
      <c r="AG552" s="297"/>
      <c r="AJ552" s="298"/>
      <c r="AK552" s="297"/>
      <c r="AN552" s="298"/>
      <c r="AR552" s="298"/>
    </row>
    <row r="553" spans="2:44" s="290" customFormat="1" x14ac:dyDescent="0.2">
      <c r="B553" s="302"/>
      <c r="D553" s="302"/>
      <c r="E553" s="302"/>
      <c r="K553" s="303"/>
      <c r="L553" s="303"/>
      <c r="M553" s="303"/>
      <c r="AB553" s="298"/>
      <c r="AC553" s="297"/>
      <c r="AF553" s="296"/>
      <c r="AG553" s="297"/>
      <c r="AJ553" s="298"/>
      <c r="AK553" s="297"/>
      <c r="AN553" s="298"/>
      <c r="AR553" s="298"/>
    </row>
    <row r="554" spans="2:44" s="290" customFormat="1" x14ac:dyDescent="0.2">
      <c r="B554" s="302"/>
      <c r="D554" s="302"/>
      <c r="E554" s="302"/>
      <c r="K554" s="303"/>
      <c r="L554" s="303"/>
      <c r="M554" s="303"/>
      <c r="AB554" s="298"/>
      <c r="AC554" s="297"/>
      <c r="AF554" s="296"/>
      <c r="AG554" s="297"/>
      <c r="AJ554" s="298"/>
      <c r="AK554" s="297"/>
      <c r="AN554" s="298"/>
      <c r="AR554" s="298"/>
    </row>
    <row r="555" spans="2:44" s="290" customFormat="1" x14ac:dyDescent="0.2">
      <c r="B555" s="302"/>
      <c r="D555" s="302"/>
      <c r="E555" s="302"/>
      <c r="K555" s="303"/>
      <c r="L555" s="303"/>
      <c r="M555" s="303"/>
      <c r="AB555" s="298"/>
      <c r="AC555" s="297"/>
      <c r="AF555" s="296"/>
      <c r="AG555" s="297"/>
      <c r="AJ555" s="298"/>
      <c r="AK555" s="297"/>
      <c r="AN555" s="298"/>
      <c r="AR555" s="298"/>
    </row>
    <row r="556" spans="2:44" s="290" customFormat="1" x14ac:dyDescent="0.2">
      <c r="B556" s="302"/>
      <c r="D556" s="302"/>
      <c r="E556" s="302"/>
      <c r="K556" s="303"/>
      <c r="L556" s="303"/>
      <c r="M556" s="303"/>
      <c r="AB556" s="298"/>
      <c r="AC556" s="297"/>
      <c r="AF556" s="296"/>
      <c r="AG556" s="297"/>
      <c r="AJ556" s="298"/>
      <c r="AK556" s="297"/>
      <c r="AN556" s="298"/>
      <c r="AR556" s="298"/>
    </row>
    <row r="557" spans="2:44" s="290" customFormat="1" x14ac:dyDescent="0.2">
      <c r="B557" s="302"/>
      <c r="D557" s="302"/>
      <c r="E557" s="302"/>
      <c r="K557" s="303"/>
      <c r="L557" s="303"/>
      <c r="M557" s="303"/>
      <c r="AB557" s="298"/>
      <c r="AC557" s="297"/>
      <c r="AF557" s="296"/>
      <c r="AG557" s="297"/>
      <c r="AJ557" s="298"/>
      <c r="AK557" s="297"/>
      <c r="AN557" s="298"/>
      <c r="AR557" s="298"/>
    </row>
    <row r="558" spans="2:44" s="290" customFormat="1" x14ac:dyDescent="0.2">
      <c r="B558" s="302"/>
      <c r="D558" s="302"/>
      <c r="E558" s="302"/>
      <c r="K558" s="303"/>
      <c r="L558" s="303"/>
      <c r="M558" s="303"/>
      <c r="AB558" s="298"/>
      <c r="AC558" s="297"/>
      <c r="AF558" s="296"/>
      <c r="AG558" s="297"/>
      <c r="AJ558" s="298"/>
      <c r="AK558" s="297"/>
      <c r="AN558" s="298"/>
      <c r="AR558" s="298"/>
    </row>
    <row r="559" spans="2:44" s="290" customFormat="1" x14ac:dyDescent="0.2">
      <c r="B559" s="302"/>
      <c r="D559" s="302"/>
      <c r="E559" s="302"/>
      <c r="K559" s="303"/>
      <c r="L559" s="303"/>
      <c r="M559" s="303"/>
      <c r="AB559" s="298"/>
      <c r="AC559" s="297"/>
      <c r="AF559" s="296"/>
      <c r="AG559" s="297"/>
      <c r="AJ559" s="298"/>
      <c r="AK559" s="297"/>
      <c r="AN559" s="298"/>
      <c r="AR559" s="298"/>
    </row>
    <row r="560" spans="2:44" s="290" customFormat="1" x14ac:dyDescent="0.2">
      <c r="B560" s="302"/>
      <c r="D560" s="302"/>
      <c r="E560" s="302"/>
      <c r="K560" s="303"/>
      <c r="L560" s="303"/>
      <c r="M560" s="303"/>
      <c r="AB560" s="298"/>
      <c r="AC560" s="297"/>
      <c r="AF560" s="296"/>
      <c r="AG560" s="297"/>
      <c r="AJ560" s="298"/>
      <c r="AK560" s="297"/>
      <c r="AN560" s="298"/>
      <c r="AR560" s="298"/>
    </row>
    <row r="561" spans="2:44" s="290" customFormat="1" x14ac:dyDescent="0.2">
      <c r="B561" s="302"/>
      <c r="D561" s="302"/>
      <c r="E561" s="302"/>
      <c r="K561" s="303"/>
      <c r="L561" s="303"/>
      <c r="M561" s="303"/>
      <c r="AB561" s="298"/>
      <c r="AC561" s="297"/>
      <c r="AF561" s="296"/>
      <c r="AG561" s="297"/>
      <c r="AJ561" s="298"/>
      <c r="AK561" s="297"/>
      <c r="AN561" s="298"/>
      <c r="AR561" s="298"/>
    </row>
    <row r="562" spans="2:44" s="290" customFormat="1" x14ac:dyDescent="0.2">
      <c r="B562" s="302"/>
      <c r="D562" s="302"/>
      <c r="E562" s="302"/>
      <c r="K562" s="303"/>
      <c r="L562" s="303"/>
      <c r="M562" s="303"/>
      <c r="AB562" s="298"/>
      <c r="AC562" s="297"/>
      <c r="AF562" s="296"/>
      <c r="AG562" s="297"/>
      <c r="AJ562" s="298"/>
      <c r="AK562" s="297"/>
      <c r="AN562" s="298"/>
      <c r="AR562" s="298"/>
    </row>
    <row r="563" spans="2:44" s="290" customFormat="1" x14ac:dyDescent="0.2">
      <c r="B563" s="302"/>
      <c r="D563" s="302"/>
      <c r="E563" s="302"/>
      <c r="K563" s="303"/>
      <c r="L563" s="303"/>
      <c r="M563" s="303"/>
      <c r="AB563" s="298"/>
      <c r="AC563" s="297"/>
      <c r="AF563" s="296"/>
      <c r="AG563" s="297"/>
      <c r="AJ563" s="298"/>
      <c r="AK563" s="297"/>
      <c r="AN563" s="298"/>
      <c r="AR563" s="298"/>
    </row>
    <row r="564" spans="2:44" s="290" customFormat="1" x14ac:dyDescent="0.2">
      <c r="B564" s="302"/>
      <c r="D564" s="302"/>
      <c r="E564" s="302"/>
      <c r="K564" s="303"/>
      <c r="L564" s="303"/>
      <c r="M564" s="303"/>
      <c r="AB564" s="298"/>
      <c r="AC564" s="297"/>
      <c r="AF564" s="296"/>
      <c r="AG564" s="297"/>
      <c r="AJ564" s="298"/>
      <c r="AK564" s="297"/>
      <c r="AN564" s="298"/>
      <c r="AR564" s="298"/>
    </row>
    <row r="565" spans="2:44" s="290" customFormat="1" x14ac:dyDescent="0.2">
      <c r="B565" s="302"/>
      <c r="D565" s="302"/>
      <c r="E565" s="302"/>
      <c r="K565" s="303"/>
      <c r="L565" s="303"/>
      <c r="M565" s="303"/>
      <c r="AB565" s="298"/>
      <c r="AC565" s="297"/>
      <c r="AF565" s="296"/>
      <c r="AG565" s="297"/>
      <c r="AJ565" s="298"/>
      <c r="AK565" s="297"/>
      <c r="AN565" s="298"/>
      <c r="AR565" s="298"/>
    </row>
    <row r="566" spans="2:44" s="290" customFormat="1" x14ac:dyDescent="0.2">
      <c r="B566" s="302"/>
      <c r="D566" s="302"/>
      <c r="E566" s="302"/>
      <c r="K566" s="303"/>
      <c r="L566" s="303"/>
      <c r="M566" s="303"/>
      <c r="AB566" s="298"/>
      <c r="AC566" s="297"/>
      <c r="AF566" s="296"/>
      <c r="AG566" s="297"/>
      <c r="AJ566" s="298"/>
      <c r="AK566" s="297"/>
      <c r="AN566" s="298"/>
      <c r="AR566" s="298"/>
    </row>
    <row r="567" spans="2:44" s="290" customFormat="1" x14ac:dyDescent="0.2">
      <c r="B567" s="302"/>
      <c r="D567" s="302"/>
      <c r="E567" s="302"/>
      <c r="K567" s="303"/>
      <c r="L567" s="303"/>
      <c r="M567" s="303"/>
      <c r="AB567" s="298"/>
      <c r="AC567" s="297"/>
      <c r="AF567" s="296"/>
      <c r="AG567" s="297"/>
      <c r="AJ567" s="298"/>
      <c r="AK567" s="297"/>
      <c r="AN567" s="298"/>
      <c r="AR567" s="298"/>
    </row>
    <row r="568" spans="2:44" s="290" customFormat="1" x14ac:dyDescent="0.2">
      <c r="B568" s="302"/>
      <c r="D568" s="302"/>
      <c r="E568" s="302"/>
      <c r="K568" s="303"/>
      <c r="L568" s="303"/>
      <c r="M568" s="303"/>
      <c r="AB568" s="298"/>
      <c r="AC568" s="297"/>
      <c r="AF568" s="296"/>
      <c r="AG568" s="297"/>
      <c r="AJ568" s="298"/>
      <c r="AK568" s="297"/>
      <c r="AN568" s="298"/>
      <c r="AR568" s="298"/>
    </row>
    <row r="569" spans="2:44" s="290" customFormat="1" x14ac:dyDescent="0.2">
      <c r="B569" s="302"/>
      <c r="D569" s="302"/>
      <c r="E569" s="302"/>
      <c r="K569" s="303"/>
      <c r="L569" s="303"/>
      <c r="M569" s="303"/>
      <c r="AB569" s="298"/>
      <c r="AC569" s="297"/>
      <c r="AF569" s="296"/>
      <c r="AG569" s="297"/>
      <c r="AJ569" s="298"/>
      <c r="AK569" s="297"/>
      <c r="AN569" s="298"/>
      <c r="AR569" s="298"/>
    </row>
    <row r="570" spans="2:44" s="290" customFormat="1" x14ac:dyDescent="0.2">
      <c r="B570" s="302"/>
      <c r="D570" s="302"/>
      <c r="E570" s="302"/>
      <c r="K570" s="303"/>
      <c r="L570" s="303"/>
      <c r="M570" s="303"/>
      <c r="AB570" s="298"/>
      <c r="AC570" s="297"/>
      <c r="AF570" s="296"/>
      <c r="AG570" s="297"/>
      <c r="AJ570" s="298"/>
      <c r="AK570" s="297"/>
      <c r="AN570" s="298"/>
      <c r="AR570" s="298"/>
    </row>
    <row r="571" spans="2:44" s="290" customFormat="1" x14ac:dyDescent="0.2">
      <c r="B571" s="302"/>
      <c r="D571" s="302"/>
      <c r="E571" s="302"/>
      <c r="K571" s="303"/>
      <c r="L571" s="303"/>
      <c r="M571" s="303"/>
      <c r="AB571" s="298"/>
      <c r="AC571" s="297"/>
      <c r="AF571" s="296"/>
      <c r="AG571" s="297"/>
      <c r="AJ571" s="298"/>
      <c r="AK571" s="297"/>
      <c r="AN571" s="298"/>
      <c r="AR571" s="298"/>
    </row>
    <row r="572" spans="2:44" s="290" customFormat="1" x14ac:dyDescent="0.2">
      <c r="B572" s="302"/>
      <c r="D572" s="302"/>
      <c r="E572" s="302"/>
      <c r="K572" s="303"/>
      <c r="L572" s="303"/>
      <c r="M572" s="303"/>
      <c r="AB572" s="298"/>
      <c r="AC572" s="297"/>
      <c r="AF572" s="296"/>
      <c r="AG572" s="297"/>
      <c r="AJ572" s="298"/>
      <c r="AK572" s="297"/>
      <c r="AN572" s="298"/>
      <c r="AR572" s="298"/>
    </row>
    <row r="573" spans="2:44" s="290" customFormat="1" x14ac:dyDescent="0.2">
      <c r="B573" s="302"/>
      <c r="D573" s="302"/>
      <c r="E573" s="302"/>
      <c r="K573" s="303"/>
      <c r="L573" s="303"/>
      <c r="M573" s="303"/>
      <c r="AB573" s="298"/>
      <c r="AC573" s="297"/>
      <c r="AF573" s="296"/>
      <c r="AG573" s="297"/>
      <c r="AJ573" s="298"/>
      <c r="AK573" s="297"/>
      <c r="AN573" s="298"/>
      <c r="AR573" s="298"/>
    </row>
    <row r="574" spans="2:44" s="290" customFormat="1" x14ac:dyDescent="0.2">
      <c r="B574" s="302"/>
      <c r="D574" s="302"/>
      <c r="E574" s="302"/>
      <c r="K574" s="303"/>
      <c r="L574" s="303"/>
      <c r="M574" s="303"/>
      <c r="AB574" s="298"/>
      <c r="AC574" s="297"/>
      <c r="AF574" s="296"/>
      <c r="AG574" s="297"/>
      <c r="AJ574" s="298"/>
      <c r="AK574" s="297"/>
      <c r="AN574" s="298"/>
      <c r="AR574" s="298"/>
    </row>
    <row r="575" spans="2:44" s="290" customFormat="1" x14ac:dyDescent="0.2">
      <c r="B575" s="302"/>
      <c r="D575" s="302"/>
      <c r="E575" s="302"/>
      <c r="K575" s="303"/>
      <c r="L575" s="303"/>
      <c r="M575" s="303"/>
      <c r="AB575" s="298"/>
      <c r="AC575" s="297"/>
      <c r="AF575" s="296"/>
      <c r="AG575" s="297"/>
      <c r="AJ575" s="298"/>
      <c r="AK575" s="297"/>
      <c r="AN575" s="298"/>
      <c r="AR575" s="298"/>
    </row>
    <row r="576" spans="2:44" s="290" customFormat="1" x14ac:dyDescent="0.2">
      <c r="B576" s="302"/>
      <c r="D576" s="302"/>
      <c r="E576" s="302"/>
      <c r="K576" s="303"/>
      <c r="L576" s="303"/>
      <c r="M576" s="303"/>
      <c r="AB576" s="298"/>
      <c r="AC576" s="297"/>
      <c r="AF576" s="296"/>
      <c r="AG576" s="297"/>
      <c r="AJ576" s="298"/>
      <c r="AK576" s="297"/>
      <c r="AN576" s="298"/>
      <c r="AR576" s="298"/>
    </row>
    <row r="577" spans="2:44" s="290" customFormat="1" x14ac:dyDescent="0.2">
      <c r="B577" s="302"/>
      <c r="D577" s="302"/>
      <c r="E577" s="302"/>
      <c r="K577" s="303"/>
      <c r="L577" s="303"/>
      <c r="M577" s="303"/>
      <c r="AB577" s="298"/>
      <c r="AC577" s="297"/>
      <c r="AF577" s="296"/>
      <c r="AG577" s="297"/>
      <c r="AJ577" s="298"/>
      <c r="AK577" s="297"/>
      <c r="AN577" s="298"/>
      <c r="AR577" s="298"/>
    </row>
    <row r="578" spans="2:44" s="290" customFormat="1" x14ac:dyDescent="0.2">
      <c r="B578" s="302"/>
      <c r="D578" s="302"/>
      <c r="E578" s="302"/>
      <c r="K578" s="303"/>
      <c r="L578" s="303"/>
      <c r="M578" s="303"/>
      <c r="AB578" s="298"/>
      <c r="AC578" s="297"/>
      <c r="AF578" s="296"/>
      <c r="AG578" s="297"/>
      <c r="AJ578" s="298"/>
      <c r="AK578" s="297"/>
      <c r="AN578" s="298"/>
      <c r="AR578" s="298"/>
    </row>
    <row r="579" spans="2:44" s="290" customFormat="1" x14ac:dyDescent="0.2">
      <c r="B579" s="302"/>
      <c r="D579" s="302"/>
      <c r="E579" s="302"/>
      <c r="K579" s="303"/>
      <c r="L579" s="303"/>
      <c r="M579" s="303"/>
      <c r="AB579" s="298"/>
      <c r="AC579" s="297"/>
      <c r="AF579" s="296"/>
      <c r="AG579" s="297"/>
      <c r="AJ579" s="298"/>
      <c r="AK579" s="297"/>
      <c r="AN579" s="298"/>
      <c r="AR579" s="298"/>
    </row>
    <row r="580" spans="2:44" s="290" customFormat="1" x14ac:dyDescent="0.2">
      <c r="B580" s="302"/>
      <c r="D580" s="302"/>
      <c r="E580" s="302"/>
      <c r="K580" s="303"/>
      <c r="L580" s="303"/>
      <c r="M580" s="303"/>
      <c r="AB580" s="298"/>
      <c r="AC580" s="297"/>
      <c r="AF580" s="296"/>
      <c r="AG580" s="297"/>
      <c r="AJ580" s="298"/>
      <c r="AK580" s="297"/>
      <c r="AN580" s="298"/>
      <c r="AR580" s="298"/>
    </row>
    <row r="581" spans="2:44" s="290" customFormat="1" x14ac:dyDescent="0.2">
      <c r="B581" s="302"/>
      <c r="D581" s="302"/>
      <c r="E581" s="302"/>
      <c r="K581" s="303"/>
      <c r="L581" s="303"/>
      <c r="M581" s="303"/>
      <c r="AB581" s="298"/>
      <c r="AC581" s="297"/>
      <c r="AF581" s="296"/>
      <c r="AG581" s="297"/>
      <c r="AJ581" s="298"/>
      <c r="AK581" s="297"/>
      <c r="AN581" s="298"/>
      <c r="AR581" s="298"/>
    </row>
    <row r="582" spans="2:44" s="290" customFormat="1" x14ac:dyDescent="0.2">
      <c r="B582" s="302"/>
      <c r="D582" s="302"/>
      <c r="E582" s="302"/>
      <c r="K582" s="303"/>
      <c r="L582" s="303"/>
      <c r="M582" s="303"/>
      <c r="AB582" s="298"/>
      <c r="AC582" s="297"/>
      <c r="AF582" s="296"/>
      <c r="AG582" s="297"/>
      <c r="AJ582" s="298"/>
      <c r="AK582" s="297"/>
      <c r="AN582" s="298"/>
      <c r="AR582" s="298"/>
    </row>
    <row r="583" spans="2:44" s="290" customFormat="1" x14ac:dyDescent="0.2">
      <c r="B583" s="302"/>
      <c r="D583" s="302"/>
      <c r="E583" s="302"/>
      <c r="K583" s="303"/>
      <c r="L583" s="303"/>
      <c r="M583" s="303"/>
      <c r="AB583" s="298"/>
      <c r="AC583" s="297"/>
      <c r="AF583" s="296"/>
      <c r="AG583" s="297"/>
      <c r="AJ583" s="298"/>
      <c r="AK583" s="297"/>
      <c r="AN583" s="298"/>
      <c r="AR583" s="298"/>
    </row>
    <row r="584" spans="2:44" s="290" customFormat="1" x14ac:dyDescent="0.2">
      <c r="B584" s="302"/>
      <c r="D584" s="302"/>
      <c r="E584" s="302"/>
      <c r="K584" s="303"/>
      <c r="L584" s="303"/>
      <c r="M584" s="303"/>
      <c r="AB584" s="298"/>
      <c r="AC584" s="297"/>
      <c r="AF584" s="296"/>
      <c r="AG584" s="297"/>
      <c r="AJ584" s="298"/>
      <c r="AK584" s="297"/>
      <c r="AN584" s="298"/>
      <c r="AR584" s="298"/>
    </row>
    <row r="585" spans="2:44" s="290" customFormat="1" x14ac:dyDescent="0.2">
      <c r="B585" s="302"/>
      <c r="D585" s="302"/>
      <c r="E585" s="302"/>
      <c r="K585" s="303"/>
      <c r="L585" s="303"/>
      <c r="M585" s="303"/>
      <c r="AB585" s="298"/>
      <c r="AC585" s="297"/>
      <c r="AF585" s="296"/>
      <c r="AG585" s="297"/>
      <c r="AJ585" s="298"/>
      <c r="AK585" s="297"/>
      <c r="AN585" s="298"/>
      <c r="AR585" s="298"/>
    </row>
    <row r="586" spans="2:44" s="290" customFormat="1" x14ac:dyDescent="0.2">
      <c r="B586" s="302"/>
      <c r="D586" s="302"/>
      <c r="E586" s="302"/>
      <c r="K586" s="303"/>
      <c r="L586" s="303"/>
      <c r="M586" s="303"/>
      <c r="AB586" s="298"/>
      <c r="AC586" s="297"/>
      <c r="AF586" s="296"/>
      <c r="AG586" s="297"/>
      <c r="AJ586" s="298"/>
      <c r="AK586" s="297"/>
      <c r="AN586" s="298"/>
      <c r="AR586" s="298"/>
    </row>
    <row r="587" spans="2:44" s="290" customFormat="1" x14ac:dyDescent="0.2">
      <c r="B587" s="302"/>
      <c r="D587" s="302"/>
      <c r="E587" s="302"/>
      <c r="K587" s="303"/>
      <c r="L587" s="303"/>
      <c r="M587" s="303"/>
      <c r="AB587" s="298"/>
      <c r="AC587" s="297"/>
      <c r="AF587" s="296"/>
      <c r="AG587" s="297"/>
      <c r="AJ587" s="298"/>
      <c r="AK587" s="297"/>
      <c r="AN587" s="298"/>
      <c r="AR587" s="298"/>
    </row>
    <row r="588" spans="2:44" s="290" customFormat="1" x14ac:dyDescent="0.2">
      <c r="B588" s="302"/>
      <c r="D588" s="302"/>
      <c r="E588" s="302"/>
      <c r="K588" s="303"/>
      <c r="L588" s="303"/>
      <c r="M588" s="303"/>
      <c r="AB588" s="298"/>
      <c r="AC588" s="297"/>
      <c r="AF588" s="296"/>
      <c r="AG588" s="297"/>
      <c r="AJ588" s="298"/>
      <c r="AK588" s="297"/>
      <c r="AN588" s="298"/>
      <c r="AR588" s="298"/>
    </row>
    <row r="589" spans="2:44" s="290" customFormat="1" x14ac:dyDescent="0.2">
      <c r="B589" s="302"/>
      <c r="D589" s="302"/>
      <c r="E589" s="302"/>
      <c r="K589" s="303"/>
      <c r="L589" s="303"/>
      <c r="M589" s="303"/>
      <c r="AB589" s="298"/>
      <c r="AC589" s="297"/>
      <c r="AF589" s="296"/>
      <c r="AG589" s="297"/>
      <c r="AJ589" s="298"/>
      <c r="AK589" s="297"/>
      <c r="AN589" s="298"/>
      <c r="AR589" s="298"/>
    </row>
    <row r="590" spans="2:44" s="290" customFormat="1" x14ac:dyDescent="0.2">
      <c r="B590" s="302"/>
      <c r="D590" s="302"/>
      <c r="E590" s="302"/>
      <c r="K590" s="303"/>
      <c r="L590" s="303"/>
      <c r="M590" s="303"/>
      <c r="AB590" s="298"/>
      <c r="AC590" s="297"/>
      <c r="AF590" s="296"/>
      <c r="AG590" s="297"/>
      <c r="AJ590" s="298"/>
      <c r="AK590" s="297"/>
      <c r="AN590" s="298"/>
      <c r="AR590" s="298"/>
    </row>
    <row r="591" spans="2:44" s="290" customFormat="1" x14ac:dyDescent="0.2">
      <c r="B591" s="302"/>
      <c r="D591" s="302"/>
      <c r="E591" s="302"/>
      <c r="K591" s="303"/>
      <c r="L591" s="303"/>
      <c r="M591" s="303"/>
      <c r="AB591" s="298"/>
      <c r="AC591" s="297"/>
      <c r="AF591" s="296"/>
      <c r="AG591" s="297"/>
      <c r="AJ591" s="298"/>
      <c r="AK591" s="297"/>
      <c r="AN591" s="298"/>
      <c r="AR591" s="298"/>
    </row>
    <row r="592" spans="2:44" s="290" customFormat="1" x14ac:dyDescent="0.2">
      <c r="B592" s="302"/>
      <c r="D592" s="302"/>
      <c r="E592" s="302"/>
      <c r="K592" s="303"/>
      <c r="L592" s="303"/>
      <c r="M592" s="303"/>
      <c r="AB592" s="298"/>
      <c r="AC592" s="297"/>
      <c r="AF592" s="296"/>
      <c r="AG592" s="297"/>
      <c r="AJ592" s="298"/>
      <c r="AK592" s="297"/>
      <c r="AN592" s="298"/>
      <c r="AR592" s="298"/>
    </row>
    <row r="593" spans="2:44" s="290" customFormat="1" x14ac:dyDescent="0.2">
      <c r="B593" s="302"/>
      <c r="D593" s="302"/>
      <c r="E593" s="302"/>
      <c r="K593" s="303"/>
      <c r="L593" s="303"/>
      <c r="M593" s="303"/>
      <c r="AB593" s="298"/>
      <c r="AC593" s="297"/>
      <c r="AF593" s="296"/>
      <c r="AG593" s="297"/>
      <c r="AJ593" s="298"/>
      <c r="AK593" s="297"/>
      <c r="AN593" s="298"/>
      <c r="AR593" s="298"/>
    </row>
    <row r="594" spans="2:44" s="290" customFormat="1" x14ac:dyDescent="0.2">
      <c r="B594" s="302"/>
      <c r="D594" s="302"/>
      <c r="E594" s="302"/>
      <c r="K594" s="303"/>
      <c r="L594" s="303"/>
      <c r="M594" s="303"/>
      <c r="AB594" s="298"/>
      <c r="AC594" s="297"/>
      <c r="AF594" s="296"/>
      <c r="AG594" s="297"/>
      <c r="AJ594" s="298"/>
      <c r="AK594" s="297"/>
      <c r="AN594" s="298"/>
      <c r="AR594" s="298"/>
    </row>
    <row r="595" spans="2:44" s="290" customFormat="1" x14ac:dyDescent="0.2">
      <c r="B595" s="302"/>
      <c r="D595" s="302"/>
      <c r="E595" s="302"/>
      <c r="K595" s="303"/>
      <c r="L595" s="303"/>
      <c r="M595" s="303"/>
      <c r="AB595" s="298"/>
      <c r="AC595" s="297"/>
      <c r="AF595" s="296"/>
      <c r="AG595" s="297"/>
      <c r="AJ595" s="298"/>
      <c r="AK595" s="297"/>
      <c r="AN595" s="298"/>
      <c r="AR595" s="298"/>
    </row>
    <row r="596" spans="2:44" s="290" customFormat="1" x14ac:dyDescent="0.2">
      <c r="B596" s="302"/>
      <c r="D596" s="302"/>
      <c r="E596" s="302"/>
      <c r="K596" s="303"/>
      <c r="L596" s="303"/>
      <c r="M596" s="303"/>
      <c r="AB596" s="298"/>
      <c r="AC596" s="297"/>
      <c r="AF596" s="296"/>
      <c r="AG596" s="297"/>
      <c r="AJ596" s="298"/>
      <c r="AK596" s="297"/>
      <c r="AN596" s="298"/>
      <c r="AR596" s="298"/>
    </row>
    <row r="597" spans="2:44" s="290" customFormat="1" x14ac:dyDescent="0.2">
      <c r="B597" s="302"/>
      <c r="D597" s="302"/>
      <c r="E597" s="302"/>
      <c r="K597" s="303"/>
      <c r="L597" s="303"/>
      <c r="M597" s="303"/>
      <c r="AB597" s="298"/>
      <c r="AC597" s="297"/>
      <c r="AF597" s="296"/>
      <c r="AG597" s="297"/>
      <c r="AJ597" s="298"/>
      <c r="AK597" s="297"/>
      <c r="AN597" s="298"/>
      <c r="AR597" s="298"/>
    </row>
    <row r="598" spans="2:44" s="290" customFormat="1" x14ac:dyDescent="0.2">
      <c r="B598" s="302"/>
      <c r="D598" s="302"/>
      <c r="E598" s="302"/>
      <c r="K598" s="303"/>
      <c r="L598" s="303"/>
      <c r="M598" s="303"/>
      <c r="AB598" s="298"/>
      <c r="AC598" s="297"/>
      <c r="AF598" s="296"/>
      <c r="AG598" s="297"/>
      <c r="AJ598" s="298"/>
      <c r="AK598" s="297"/>
      <c r="AN598" s="298"/>
      <c r="AR598" s="298"/>
    </row>
    <row r="599" spans="2:44" s="290" customFormat="1" x14ac:dyDescent="0.2">
      <c r="B599" s="302"/>
      <c r="D599" s="302"/>
      <c r="E599" s="302"/>
      <c r="K599" s="303"/>
      <c r="L599" s="303"/>
      <c r="M599" s="303"/>
      <c r="AB599" s="298"/>
      <c r="AC599" s="297"/>
      <c r="AF599" s="296"/>
      <c r="AG599" s="297"/>
      <c r="AJ599" s="298"/>
      <c r="AK599" s="297"/>
      <c r="AN599" s="298"/>
      <c r="AR599" s="298"/>
    </row>
    <row r="600" spans="2:44" s="290" customFormat="1" x14ac:dyDescent="0.2">
      <c r="B600" s="302"/>
      <c r="D600" s="302"/>
      <c r="E600" s="302"/>
      <c r="K600" s="303"/>
      <c r="L600" s="303"/>
      <c r="M600" s="303"/>
      <c r="AB600" s="298"/>
      <c r="AC600" s="297"/>
      <c r="AF600" s="296"/>
      <c r="AG600" s="297"/>
      <c r="AJ600" s="298"/>
      <c r="AK600" s="297"/>
      <c r="AN600" s="298"/>
      <c r="AR600" s="298"/>
    </row>
    <row r="601" spans="2:44" s="290" customFormat="1" x14ac:dyDescent="0.2">
      <c r="B601" s="302"/>
      <c r="D601" s="302"/>
      <c r="E601" s="302"/>
      <c r="K601" s="303"/>
      <c r="L601" s="303"/>
      <c r="M601" s="303"/>
      <c r="AB601" s="298"/>
      <c r="AC601" s="297"/>
      <c r="AF601" s="296"/>
      <c r="AG601" s="297"/>
      <c r="AJ601" s="298"/>
      <c r="AK601" s="297"/>
      <c r="AN601" s="298"/>
      <c r="AR601" s="298"/>
    </row>
    <row r="602" spans="2:44" s="290" customFormat="1" x14ac:dyDescent="0.2">
      <c r="B602" s="302"/>
      <c r="D602" s="302"/>
      <c r="E602" s="302"/>
      <c r="K602" s="303"/>
      <c r="L602" s="303"/>
      <c r="M602" s="303"/>
      <c r="AB602" s="298"/>
      <c r="AC602" s="297"/>
      <c r="AF602" s="296"/>
      <c r="AG602" s="297"/>
      <c r="AJ602" s="298"/>
      <c r="AK602" s="297"/>
      <c r="AN602" s="298"/>
      <c r="AR602" s="298"/>
    </row>
    <row r="603" spans="2:44" s="290" customFormat="1" x14ac:dyDescent="0.2">
      <c r="B603" s="302"/>
      <c r="D603" s="302"/>
      <c r="E603" s="302"/>
      <c r="K603" s="303"/>
      <c r="L603" s="303"/>
      <c r="M603" s="303"/>
      <c r="AB603" s="298"/>
      <c r="AC603" s="297"/>
      <c r="AF603" s="296"/>
      <c r="AG603" s="297"/>
      <c r="AJ603" s="298"/>
      <c r="AK603" s="297"/>
      <c r="AN603" s="298"/>
      <c r="AR603" s="298"/>
    </row>
    <row r="604" spans="2:44" s="290" customFormat="1" x14ac:dyDescent="0.2">
      <c r="B604" s="302"/>
      <c r="D604" s="302"/>
      <c r="E604" s="302"/>
      <c r="K604" s="303"/>
      <c r="L604" s="303"/>
      <c r="M604" s="303"/>
      <c r="AB604" s="298"/>
      <c r="AC604" s="297"/>
      <c r="AF604" s="296"/>
      <c r="AG604" s="297"/>
      <c r="AJ604" s="298"/>
      <c r="AK604" s="297"/>
      <c r="AN604" s="298"/>
      <c r="AR604" s="298"/>
    </row>
    <row r="605" spans="2:44" s="290" customFormat="1" x14ac:dyDescent="0.2">
      <c r="B605" s="302"/>
      <c r="D605" s="302"/>
      <c r="E605" s="302"/>
      <c r="K605" s="303"/>
      <c r="L605" s="303"/>
      <c r="M605" s="303"/>
      <c r="AB605" s="298"/>
      <c r="AC605" s="297"/>
      <c r="AF605" s="296"/>
      <c r="AG605" s="297"/>
      <c r="AJ605" s="298"/>
      <c r="AK605" s="297"/>
      <c r="AN605" s="298"/>
      <c r="AR605" s="298"/>
    </row>
    <row r="606" spans="2:44" s="290" customFormat="1" x14ac:dyDescent="0.2">
      <c r="B606" s="302"/>
      <c r="D606" s="302"/>
      <c r="E606" s="302"/>
      <c r="K606" s="303"/>
      <c r="L606" s="303"/>
      <c r="M606" s="303"/>
      <c r="AB606" s="298"/>
      <c r="AC606" s="297"/>
      <c r="AF606" s="296"/>
      <c r="AG606" s="297"/>
      <c r="AJ606" s="298"/>
      <c r="AK606" s="297"/>
      <c r="AN606" s="298"/>
      <c r="AR606" s="298"/>
    </row>
    <row r="607" spans="2:44" s="290" customFormat="1" x14ac:dyDescent="0.2">
      <c r="B607" s="302"/>
      <c r="D607" s="302"/>
      <c r="E607" s="302"/>
      <c r="K607" s="303"/>
      <c r="L607" s="303"/>
      <c r="M607" s="303"/>
      <c r="AB607" s="298"/>
      <c r="AC607" s="297"/>
      <c r="AF607" s="296"/>
      <c r="AG607" s="297"/>
      <c r="AJ607" s="298"/>
      <c r="AK607" s="297"/>
      <c r="AN607" s="298"/>
      <c r="AR607" s="298"/>
    </row>
    <row r="608" spans="2:44" s="290" customFormat="1" x14ac:dyDescent="0.2">
      <c r="B608" s="302"/>
      <c r="D608" s="302"/>
      <c r="E608" s="302"/>
      <c r="K608" s="303"/>
      <c r="L608" s="303"/>
      <c r="M608" s="303"/>
      <c r="AB608" s="298"/>
      <c r="AC608" s="297"/>
      <c r="AF608" s="296"/>
      <c r="AG608" s="297"/>
      <c r="AJ608" s="298"/>
      <c r="AK608" s="297"/>
      <c r="AN608" s="298"/>
      <c r="AR608" s="298"/>
    </row>
    <row r="609" spans="2:44" s="290" customFormat="1" x14ac:dyDescent="0.2">
      <c r="B609" s="302"/>
      <c r="D609" s="302"/>
      <c r="E609" s="302"/>
      <c r="K609" s="303"/>
      <c r="L609" s="303"/>
      <c r="M609" s="303"/>
      <c r="AB609" s="298"/>
      <c r="AC609" s="297"/>
      <c r="AF609" s="296"/>
      <c r="AG609" s="297"/>
      <c r="AJ609" s="298"/>
      <c r="AK609" s="297"/>
      <c r="AN609" s="298"/>
      <c r="AR609" s="298"/>
    </row>
    <row r="610" spans="2:44" s="290" customFormat="1" x14ac:dyDescent="0.2">
      <c r="B610" s="302"/>
      <c r="D610" s="302"/>
      <c r="E610" s="302"/>
      <c r="K610" s="303"/>
      <c r="L610" s="303"/>
      <c r="M610" s="303"/>
      <c r="AB610" s="298"/>
      <c r="AC610" s="297"/>
      <c r="AF610" s="296"/>
      <c r="AG610" s="297"/>
      <c r="AJ610" s="298"/>
      <c r="AK610" s="297"/>
      <c r="AN610" s="298"/>
      <c r="AR610" s="298"/>
    </row>
    <row r="611" spans="2:44" s="290" customFormat="1" x14ac:dyDescent="0.2">
      <c r="B611" s="302"/>
      <c r="D611" s="302"/>
      <c r="E611" s="302"/>
      <c r="K611" s="303"/>
      <c r="L611" s="303"/>
      <c r="M611" s="303"/>
      <c r="AB611" s="298"/>
      <c r="AC611" s="297"/>
      <c r="AF611" s="296"/>
      <c r="AG611" s="297"/>
      <c r="AJ611" s="298"/>
      <c r="AK611" s="297"/>
      <c r="AN611" s="298"/>
      <c r="AR611" s="298"/>
    </row>
    <row r="612" spans="2:44" s="290" customFormat="1" x14ac:dyDescent="0.2">
      <c r="B612" s="302"/>
      <c r="D612" s="302"/>
      <c r="E612" s="302"/>
      <c r="K612" s="303"/>
      <c r="L612" s="303"/>
      <c r="M612" s="303"/>
      <c r="AB612" s="298"/>
      <c r="AC612" s="297"/>
      <c r="AF612" s="296"/>
      <c r="AG612" s="297"/>
      <c r="AJ612" s="298"/>
      <c r="AK612" s="297"/>
      <c r="AN612" s="298"/>
      <c r="AR612" s="298"/>
    </row>
    <row r="613" spans="2:44" s="290" customFormat="1" x14ac:dyDescent="0.2">
      <c r="B613" s="302"/>
      <c r="D613" s="302"/>
      <c r="E613" s="302"/>
      <c r="K613" s="303"/>
      <c r="L613" s="303"/>
      <c r="M613" s="303"/>
      <c r="AB613" s="298"/>
      <c r="AC613" s="297"/>
      <c r="AF613" s="296"/>
      <c r="AG613" s="297"/>
      <c r="AJ613" s="298"/>
      <c r="AK613" s="297"/>
      <c r="AN613" s="298"/>
      <c r="AR613" s="298"/>
    </row>
    <row r="614" spans="2:44" s="290" customFormat="1" x14ac:dyDescent="0.2">
      <c r="B614" s="302"/>
      <c r="D614" s="302"/>
      <c r="E614" s="302"/>
      <c r="K614" s="303"/>
      <c r="L614" s="303"/>
      <c r="M614" s="303"/>
      <c r="AB614" s="298"/>
      <c r="AC614" s="297"/>
      <c r="AF614" s="296"/>
      <c r="AG614" s="297"/>
      <c r="AJ614" s="298"/>
      <c r="AK614" s="297"/>
      <c r="AN614" s="298"/>
      <c r="AR614" s="298"/>
    </row>
    <row r="615" spans="2:44" s="290" customFormat="1" x14ac:dyDescent="0.2">
      <c r="B615" s="302"/>
      <c r="D615" s="302"/>
      <c r="E615" s="302"/>
      <c r="K615" s="303"/>
      <c r="L615" s="303"/>
      <c r="M615" s="303"/>
      <c r="AB615" s="298"/>
      <c r="AC615" s="297"/>
      <c r="AF615" s="296"/>
      <c r="AG615" s="297"/>
      <c r="AJ615" s="298"/>
      <c r="AK615" s="297"/>
      <c r="AN615" s="298"/>
      <c r="AR615" s="298"/>
    </row>
    <row r="616" spans="2:44" s="290" customFormat="1" x14ac:dyDescent="0.2">
      <c r="B616" s="302"/>
      <c r="D616" s="302"/>
      <c r="E616" s="302"/>
      <c r="K616" s="303"/>
      <c r="L616" s="303"/>
      <c r="M616" s="303"/>
      <c r="AB616" s="298"/>
      <c r="AC616" s="297"/>
      <c r="AF616" s="296"/>
      <c r="AG616" s="297"/>
      <c r="AJ616" s="298"/>
      <c r="AK616" s="297"/>
      <c r="AN616" s="298"/>
      <c r="AR616" s="298"/>
    </row>
    <row r="617" spans="2:44" s="290" customFormat="1" x14ac:dyDescent="0.2">
      <c r="B617" s="302"/>
      <c r="D617" s="302"/>
      <c r="E617" s="302"/>
      <c r="K617" s="303"/>
      <c r="L617" s="303"/>
      <c r="M617" s="303"/>
      <c r="AB617" s="298"/>
      <c r="AC617" s="297"/>
      <c r="AF617" s="296"/>
      <c r="AG617" s="297"/>
      <c r="AJ617" s="298"/>
      <c r="AK617" s="297"/>
      <c r="AN617" s="298"/>
      <c r="AR617" s="298"/>
    </row>
    <row r="618" spans="2:44" s="290" customFormat="1" x14ac:dyDescent="0.2">
      <c r="B618" s="302"/>
      <c r="D618" s="302"/>
      <c r="E618" s="302"/>
      <c r="K618" s="303"/>
      <c r="L618" s="303"/>
      <c r="M618" s="303"/>
      <c r="AB618" s="298"/>
      <c r="AC618" s="297"/>
      <c r="AF618" s="296"/>
      <c r="AG618" s="297"/>
      <c r="AJ618" s="298"/>
      <c r="AK618" s="297"/>
      <c r="AN618" s="298"/>
      <c r="AR618" s="298"/>
    </row>
    <row r="619" spans="2:44" s="290" customFormat="1" x14ac:dyDescent="0.2">
      <c r="B619" s="302"/>
      <c r="D619" s="302"/>
      <c r="E619" s="302"/>
      <c r="K619" s="303"/>
      <c r="L619" s="303"/>
      <c r="M619" s="303"/>
      <c r="AB619" s="298"/>
      <c r="AC619" s="297"/>
      <c r="AF619" s="296"/>
      <c r="AG619" s="297"/>
      <c r="AJ619" s="298"/>
      <c r="AK619" s="297"/>
      <c r="AN619" s="298"/>
      <c r="AR619" s="298"/>
    </row>
    <row r="620" spans="2:44" s="290" customFormat="1" x14ac:dyDescent="0.2">
      <c r="B620" s="302"/>
      <c r="D620" s="302"/>
      <c r="E620" s="302"/>
      <c r="K620" s="303"/>
      <c r="L620" s="303"/>
      <c r="M620" s="303"/>
      <c r="AB620" s="298"/>
      <c r="AC620" s="297"/>
      <c r="AF620" s="296"/>
      <c r="AG620" s="297"/>
      <c r="AJ620" s="298"/>
      <c r="AK620" s="297"/>
      <c r="AN620" s="298"/>
      <c r="AR620" s="298"/>
    </row>
    <row r="621" spans="2:44" s="290" customFormat="1" x14ac:dyDescent="0.2">
      <c r="B621" s="302"/>
      <c r="D621" s="302"/>
      <c r="E621" s="302"/>
      <c r="K621" s="303"/>
      <c r="L621" s="303"/>
      <c r="M621" s="303"/>
      <c r="AB621" s="298"/>
      <c r="AC621" s="297"/>
      <c r="AF621" s="296"/>
      <c r="AG621" s="297"/>
      <c r="AJ621" s="298"/>
      <c r="AK621" s="297"/>
      <c r="AN621" s="298"/>
      <c r="AR621" s="298"/>
    </row>
    <row r="622" spans="2:44" s="290" customFormat="1" x14ac:dyDescent="0.2">
      <c r="B622" s="302"/>
      <c r="D622" s="302"/>
      <c r="E622" s="302"/>
      <c r="K622" s="303"/>
      <c r="L622" s="303"/>
      <c r="M622" s="303"/>
      <c r="AB622" s="298"/>
      <c r="AC622" s="297"/>
      <c r="AF622" s="296"/>
      <c r="AG622" s="297"/>
      <c r="AJ622" s="298"/>
      <c r="AK622" s="297"/>
      <c r="AN622" s="298"/>
      <c r="AR622" s="298"/>
    </row>
    <row r="623" spans="2:44" s="290" customFormat="1" x14ac:dyDescent="0.2">
      <c r="B623" s="302"/>
      <c r="D623" s="302"/>
      <c r="E623" s="302"/>
      <c r="K623" s="303"/>
      <c r="L623" s="303"/>
      <c r="M623" s="303"/>
      <c r="AB623" s="298"/>
      <c r="AC623" s="297"/>
      <c r="AF623" s="296"/>
      <c r="AG623" s="297"/>
      <c r="AJ623" s="298"/>
      <c r="AK623" s="297"/>
      <c r="AN623" s="298"/>
      <c r="AR623" s="298"/>
    </row>
    <row r="624" spans="2:44" s="290" customFormat="1" x14ac:dyDescent="0.2">
      <c r="B624" s="302"/>
      <c r="D624" s="302"/>
      <c r="E624" s="302"/>
      <c r="K624" s="303"/>
      <c r="L624" s="303"/>
      <c r="M624" s="303"/>
      <c r="AB624" s="298"/>
      <c r="AC624" s="297"/>
      <c r="AF624" s="296"/>
      <c r="AG624" s="297"/>
      <c r="AJ624" s="298"/>
      <c r="AK624" s="297"/>
      <c r="AN624" s="298"/>
      <c r="AR624" s="298"/>
    </row>
    <row r="625" spans="2:44" s="290" customFormat="1" x14ac:dyDescent="0.2">
      <c r="B625" s="302"/>
      <c r="D625" s="302"/>
      <c r="E625" s="302"/>
      <c r="K625" s="303"/>
      <c r="L625" s="303"/>
      <c r="M625" s="303"/>
      <c r="AB625" s="298"/>
      <c r="AC625" s="297"/>
      <c r="AF625" s="296"/>
      <c r="AG625" s="297"/>
      <c r="AJ625" s="298"/>
      <c r="AK625" s="297"/>
      <c r="AN625" s="298"/>
      <c r="AR625" s="298"/>
    </row>
    <row r="626" spans="2:44" s="290" customFormat="1" x14ac:dyDescent="0.2">
      <c r="B626" s="302"/>
      <c r="D626" s="302"/>
      <c r="E626" s="302"/>
      <c r="K626" s="303"/>
      <c r="L626" s="303"/>
      <c r="M626" s="303"/>
      <c r="AB626" s="298"/>
      <c r="AC626" s="297"/>
      <c r="AF626" s="296"/>
      <c r="AG626" s="297"/>
      <c r="AJ626" s="298"/>
      <c r="AK626" s="297"/>
      <c r="AN626" s="298"/>
      <c r="AR626" s="298"/>
    </row>
    <row r="627" spans="2:44" s="290" customFormat="1" x14ac:dyDescent="0.2">
      <c r="B627" s="302"/>
      <c r="D627" s="302"/>
      <c r="E627" s="302"/>
      <c r="K627" s="303"/>
      <c r="L627" s="303"/>
      <c r="M627" s="303"/>
      <c r="AB627" s="298"/>
      <c r="AC627" s="297"/>
      <c r="AF627" s="296"/>
      <c r="AG627" s="297"/>
      <c r="AJ627" s="298"/>
      <c r="AK627" s="297"/>
      <c r="AN627" s="298"/>
      <c r="AR627" s="298"/>
    </row>
    <row r="628" spans="2:44" s="290" customFormat="1" x14ac:dyDescent="0.2">
      <c r="B628" s="302"/>
      <c r="D628" s="302"/>
      <c r="E628" s="302"/>
      <c r="K628" s="303"/>
      <c r="L628" s="303"/>
      <c r="M628" s="303"/>
      <c r="AB628" s="298"/>
      <c r="AC628" s="297"/>
      <c r="AF628" s="296"/>
      <c r="AG628" s="297"/>
      <c r="AJ628" s="298"/>
      <c r="AK628" s="297"/>
      <c r="AN628" s="298"/>
      <c r="AR628" s="298"/>
    </row>
    <row r="629" spans="2:44" s="290" customFormat="1" x14ac:dyDescent="0.2">
      <c r="B629" s="302"/>
      <c r="D629" s="302"/>
      <c r="E629" s="302"/>
      <c r="K629" s="303"/>
      <c r="L629" s="303"/>
      <c r="M629" s="303"/>
      <c r="AB629" s="298"/>
      <c r="AC629" s="297"/>
      <c r="AF629" s="296"/>
      <c r="AG629" s="297"/>
      <c r="AJ629" s="298"/>
      <c r="AK629" s="297"/>
      <c r="AN629" s="298"/>
      <c r="AR629" s="298"/>
    </row>
    <row r="630" spans="2:44" s="290" customFormat="1" x14ac:dyDescent="0.2">
      <c r="B630" s="302"/>
      <c r="D630" s="302"/>
      <c r="E630" s="302"/>
      <c r="K630" s="303"/>
      <c r="L630" s="303"/>
      <c r="M630" s="303"/>
      <c r="AB630" s="298"/>
      <c r="AC630" s="297"/>
      <c r="AF630" s="296"/>
      <c r="AG630" s="297"/>
      <c r="AJ630" s="298"/>
      <c r="AK630" s="297"/>
      <c r="AN630" s="298"/>
      <c r="AR630" s="298"/>
    </row>
    <row r="631" spans="2:44" s="290" customFormat="1" x14ac:dyDescent="0.2">
      <c r="B631" s="302"/>
      <c r="D631" s="302"/>
      <c r="E631" s="302"/>
      <c r="K631" s="303"/>
      <c r="L631" s="303"/>
      <c r="M631" s="303"/>
      <c r="AB631" s="298"/>
      <c r="AC631" s="297"/>
      <c r="AF631" s="296"/>
      <c r="AG631" s="297"/>
      <c r="AJ631" s="298"/>
      <c r="AK631" s="297"/>
      <c r="AN631" s="298"/>
      <c r="AR631" s="298"/>
    </row>
    <row r="632" spans="2:44" s="290" customFormat="1" x14ac:dyDescent="0.2">
      <c r="B632" s="302"/>
      <c r="D632" s="302"/>
      <c r="E632" s="302"/>
      <c r="K632" s="303"/>
      <c r="L632" s="303"/>
      <c r="M632" s="303"/>
      <c r="AB632" s="298"/>
      <c r="AC632" s="297"/>
      <c r="AF632" s="296"/>
      <c r="AG632" s="297"/>
      <c r="AJ632" s="298"/>
      <c r="AK632" s="297"/>
      <c r="AN632" s="298"/>
      <c r="AR632" s="298"/>
    </row>
    <row r="633" spans="2:44" s="290" customFormat="1" x14ac:dyDescent="0.2">
      <c r="B633" s="302"/>
      <c r="D633" s="302"/>
      <c r="E633" s="302"/>
      <c r="K633" s="303"/>
      <c r="L633" s="303"/>
      <c r="M633" s="303"/>
      <c r="AB633" s="298"/>
      <c r="AC633" s="297"/>
      <c r="AF633" s="296"/>
      <c r="AG633" s="297"/>
      <c r="AJ633" s="298"/>
      <c r="AK633" s="297"/>
      <c r="AN633" s="298"/>
      <c r="AR633" s="298"/>
    </row>
    <row r="634" spans="2:44" s="290" customFormat="1" x14ac:dyDescent="0.2">
      <c r="B634" s="302"/>
      <c r="D634" s="302"/>
      <c r="E634" s="302"/>
      <c r="K634" s="303"/>
      <c r="L634" s="303"/>
      <c r="M634" s="303"/>
      <c r="AB634" s="298"/>
      <c r="AC634" s="297"/>
      <c r="AF634" s="296"/>
      <c r="AG634" s="297"/>
      <c r="AJ634" s="298"/>
      <c r="AK634" s="297"/>
      <c r="AN634" s="298"/>
      <c r="AR634" s="298"/>
    </row>
    <row r="635" spans="2:44" s="290" customFormat="1" x14ac:dyDescent="0.2">
      <c r="B635" s="302"/>
      <c r="D635" s="302"/>
      <c r="E635" s="302"/>
      <c r="K635" s="303"/>
      <c r="L635" s="303"/>
      <c r="M635" s="303"/>
      <c r="AB635" s="298"/>
      <c r="AC635" s="297"/>
      <c r="AF635" s="296"/>
      <c r="AG635" s="297"/>
      <c r="AJ635" s="298"/>
      <c r="AK635" s="297"/>
      <c r="AN635" s="298"/>
      <c r="AR635" s="298"/>
    </row>
    <row r="636" spans="2:44" s="290" customFormat="1" x14ac:dyDescent="0.2">
      <c r="B636" s="302"/>
      <c r="D636" s="302"/>
      <c r="E636" s="302"/>
      <c r="K636" s="303"/>
      <c r="L636" s="303"/>
      <c r="M636" s="303"/>
      <c r="AB636" s="298"/>
      <c r="AC636" s="297"/>
      <c r="AF636" s="296"/>
      <c r="AG636" s="297"/>
      <c r="AJ636" s="298"/>
      <c r="AK636" s="297"/>
      <c r="AN636" s="298"/>
      <c r="AR636" s="298"/>
    </row>
    <row r="637" spans="2:44" s="290" customFormat="1" x14ac:dyDescent="0.2">
      <c r="B637" s="302"/>
      <c r="D637" s="302"/>
      <c r="E637" s="302"/>
      <c r="K637" s="303"/>
      <c r="L637" s="303"/>
      <c r="M637" s="303"/>
      <c r="AB637" s="298"/>
      <c r="AC637" s="297"/>
      <c r="AF637" s="296"/>
      <c r="AG637" s="297"/>
      <c r="AJ637" s="298"/>
      <c r="AK637" s="297"/>
      <c r="AN637" s="298"/>
      <c r="AR637" s="298"/>
    </row>
    <row r="638" spans="2:44" s="290" customFormat="1" x14ac:dyDescent="0.2">
      <c r="B638" s="302"/>
      <c r="D638" s="302"/>
      <c r="E638" s="302"/>
      <c r="K638" s="303"/>
      <c r="L638" s="303"/>
      <c r="M638" s="303"/>
      <c r="AB638" s="298"/>
      <c r="AC638" s="297"/>
      <c r="AF638" s="296"/>
      <c r="AG638" s="297"/>
      <c r="AJ638" s="298"/>
      <c r="AK638" s="297"/>
      <c r="AN638" s="298"/>
      <c r="AR638" s="298"/>
    </row>
    <row r="639" spans="2:44" s="290" customFormat="1" x14ac:dyDescent="0.2">
      <c r="B639" s="302"/>
      <c r="D639" s="302"/>
      <c r="E639" s="302"/>
      <c r="K639" s="303"/>
      <c r="L639" s="303"/>
      <c r="M639" s="303"/>
      <c r="AB639" s="298"/>
      <c r="AC639" s="297"/>
      <c r="AF639" s="296"/>
      <c r="AG639" s="297"/>
      <c r="AJ639" s="298"/>
      <c r="AK639" s="297"/>
      <c r="AN639" s="298"/>
      <c r="AR639" s="298"/>
    </row>
    <row r="640" spans="2:44" s="290" customFormat="1" x14ac:dyDescent="0.2">
      <c r="B640" s="302"/>
      <c r="D640" s="302"/>
      <c r="E640" s="302"/>
      <c r="K640" s="303"/>
      <c r="L640" s="303"/>
      <c r="M640" s="303"/>
      <c r="AB640" s="298"/>
      <c r="AC640" s="297"/>
      <c r="AF640" s="296"/>
      <c r="AG640" s="297"/>
      <c r="AJ640" s="298"/>
      <c r="AK640" s="297"/>
      <c r="AN640" s="298"/>
      <c r="AR640" s="298"/>
    </row>
    <row r="641" spans="2:44" s="290" customFormat="1" x14ac:dyDescent="0.2">
      <c r="B641" s="302"/>
      <c r="D641" s="302"/>
      <c r="E641" s="302"/>
      <c r="K641" s="303"/>
      <c r="L641" s="303"/>
      <c r="M641" s="303"/>
      <c r="AB641" s="298"/>
      <c r="AC641" s="297"/>
      <c r="AF641" s="296"/>
      <c r="AG641" s="297"/>
      <c r="AJ641" s="298"/>
      <c r="AK641" s="297"/>
      <c r="AN641" s="298"/>
      <c r="AR641" s="298"/>
    </row>
    <row r="642" spans="2:44" s="290" customFormat="1" x14ac:dyDescent="0.2">
      <c r="B642" s="302"/>
      <c r="D642" s="302"/>
      <c r="E642" s="302"/>
      <c r="K642" s="303"/>
      <c r="L642" s="303"/>
      <c r="M642" s="303"/>
      <c r="AB642" s="298"/>
      <c r="AC642" s="297"/>
      <c r="AF642" s="296"/>
      <c r="AG642" s="297"/>
      <c r="AJ642" s="298"/>
      <c r="AK642" s="297"/>
      <c r="AN642" s="298"/>
      <c r="AR642" s="298"/>
    </row>
    <row r="643" spans="2:44" s="290" customFormat="1" x14ac:dyDescent="0.2">
      <c r="B643" s="302"/>
      <c r="D643" s="302"/>
      <c r="E643" s="302"/>
      <c r="K643" s="303"/>
      <c r="L643" s="303"/>
      <c r="M643" s="303"/>
      <c r="AB643" s="298"/>
      <c r="AC643" s="297"/>
      <c r="AF643" s="296"/>
      <c r="AG643" s="297"/>
      <c r="AJ643" s="298"/>
      <c r="AK643" s="297"/>
      <c r="AN643" s="298"/>
      <c r="AR643" s="298"/>
    </row>
    <row r="644" spans="2:44" s="290" customFormat="1" x14ac:dyDescent="0.2">
      <c r="B644" s="302"/>
      <c r="D644" s="302"/>
      <c r="E644" s="302"/>
      <c r="K644" s="303"/>
      <c r="L644" s="303"/>
      <c r="M644" s="303"/>
      <c r="AB644" s="298"/>
      <c r="AC644" s="297"/>
      <c r="AF644" s="296"/>
      <c r="AG644" s="297"/>
      <c r="AJ644" s="298"/>
      <c r="AK644" s="297"/>
      <c r="AN644" s="298"/>
      <c r="AR644" s="298"/>
    </row>
    <row r="645" spans="2:44" s="290" customFormat="1" x14ac:dyDescent="0.2">
      <c r="B645" s="302"/>
      <c r="D645" s="302"/>
      <c r="E645" s="302"/>
      <c r="K645" s="303"/>
      <c r="L645" s="303"/>
      <c r="M645" s="303"/>
      <c r="AB645" s="298"/>
      <c r="AC645" s="297"/>
      <c r="AF645" s="296"/>
      <c r="AG645" s="297"/>
      <c r="AJ645" s="298"/>
      <c r="AK645" s="297"/>
      <c r="AN645" s="298"/>
      <c r="AR645" s="298"/>
    </row>
    <row r="646" spans="2:44" s="290" customFormat="1" x14ac:dyDescent="0.2">
      <c r="B646" s="302"/>
      <c r="D646" s="302"/>
      <c r="E646" s="302"/>
      <c r="K646" s="303"/>
      <c r="L646" s="303"/>
      <c r="M646" s="303"/>
      <c r="AB646" s="298"/>
      <c r="AC646" s="297"/>
      <c r="AF646" s="296"/>
      <c r="AG646" s="297"/>
      <c r="AJ646" s="298"/>
      <c r="AK646" s="297"/>
      <c r="AN646" s="298"/>
      <c r="AR646" s="298"/>
    </row>
    <row r="647" spans="2:44" s="290" customFormat="1" x14ac:dyDescent="0.2">
      <c r="B647" s="302"/>
      <c r="D647" s="302"/>
      <c r="E647" s="302"/>
      <c r="K647" s="303"/>
      <c r="L647" s="303"/>
      <c r="M647" s="303"/>
      <c r="AB647" s="298"/>
      <c r="AC647" s="297"/>
      <c r="AF647" s="296"/>
      <c r="AG647" s="297"/>
      <c r="AJ647" s="298"/>
      <c r="AK647" s="297"/>
      <c r="AN647" s="298"/>
      <c r="AR647" s="298"/>
    </row>
    <row r="648" spans="2:44" s="290" customFormat="1" x14ac:dyDescent="0.2">
      <c r="B648" s="302"/>
      <c r="D648" s="302"/>
      <c r="E648" s="302"/>
      <c r="K648" s="303"/>
      <c r="L648" s="303"/>
      <c r="M648" s="303"/>
      <c r="AB648" s="298"/>
      <c r="AC648" s="297"/>
      <c r="AF648" s="296"/>
      <c r="AG648" s="297"/>
      <c r="AJ648" s="298"/>
      <c r="AK648" s="297"/>
      <c r="AN648" s="298"/>
      <c r="AR648" s="298"/>
    </row>
    <row r="649" spans="2:44" s="290" customFormat="1" x14ac:dyDescent="0.2">
      <c r="B649" s="302"/>
      <c r="D649" s="302"/>
      <c r="E649" s="302"/>
      <c r="K649" s="303"/>
      <c r="L649" s="303"/>
      <c r="M649" s="303"/>
      <c r="AB649" s="298"/>
      <c r="AC649" s="297"/>
      <c r="AF649" s="296"/>
      <c r="AG649" s="297"/>
      <c r="AJ649" s="298"/>
      <c r="AK649" s="297"/>
      <c r="AN649" s="298"/>
      <c r="AR649" s="298"/>
    </row>
    <row r="650" spans="2:44" s="290" customFormat="1" x14ac:dyDescent="0.2">
      <c r="B650" s="302"/>
      <c r="D650" s="302"/>
      <c r="E650" s="302"/>
      <c r="K650" s="303"/>
      <c r="L650" s="303"/>
      <c r="M650" s="303"/>
      <c r="AB650" s="298"/>
      <c r="AC650" s="297"/>
      <c r="AF650" s="296"/>
      <c r="AG650" s="297"/>
      <c r="AJ650" s="298"/>
      <c r="AK650" s="297"/>
      <c r="AN650" s="298"/>
      <c r="AR650" s="298"/>
    </row>
    <row r="651" spans="2:44" s="290" customFormat="1" x14ac:dyDescent="0.2">
      <c r="B651" s="302"/>
      <c r="D651" s="302"/>
      <c r="E651" s="302"/>
      <c r="K651" s="303"/>
      <c r="L651" s="303"/>
      <c r="M651" s="303"/>
      <c r="AB651" s="298"/>
      <c r="AC651" s="297"/>
      <c r="AF651" s="296"/>
      <c r="AG651" s="297"/>
      <c r="AJ651" s="298"/>
      <c r="AK651" s="297"/>
      <c r="AN651" s="298"/>
      <c r="AR651" s="298"/>
    </row>
    <row r="652" spans="2:44" s="290" customFormat="1" x14ac:dyDescent="0.2">
      <c r="B652" s="302"/>
      <c r="D652" s="302"/>
      <c r="E652" s="302"/>
      <c r="K652" s="303"/>
      <c r="L652" s="303"/>
      <c r="M652" s="303"/>
      <c r="AB652" s="298"/>
      <c r="AC652" s="297"/>
      <c r="AF652" s="296"/>
      <c r="AG652" s="297"/>
      <c r="AJ652" s="298"/>
      <c r="AK652" s="297"/>
      <c r="AN652" s="298"/>
      <c r="AR652" s="298"/>
    </row>
    <row r="653" spans="2:44" s="290" customFormat="1" x14ac:dyDescent="0.2">
      <c r="B653" s="302"/>
      <c r="D653" s="302"/>
      <c r="E653" s="302"/>
      <c r="K653" s="303"/>
      <c r="L653" s="303"/>
      <c r="M653" s="303"/>
      <c r="AB653" s="298"/>
      <c r="AC653" s="297"/>
      <c r="AF653" s="296"/>
      <c r="AG653" s="297"/>
      <c r="AJ653" s="298"/>
      <c r="AK653" s="297"/>
      <c r="AN653" s="298"/>
      <c r="AR653" s="298"/>
    </row>
    <row r="654" spans="2:44" s="290" customFormat="1" x14ac:dyDescent="0.2">
      <c r="B654" s="302"/>
      <c r="D654" s="302"/>
      <c r="E654" s="302"/>
      <c r="K654" s="303"/>
      <c r="L654" s="303"/>
      <c r="M654" s="303"/>
      <c r="AB654" s="298"/>
      <c r="AC654" s="297"/>
      <c r="AF654" s="296"/>
      <c r="AG654" s="297"/>
      <c r="AJ654" s="298"/>
      <c r="AK654" s="297"/>
      <c r="AN654" s="298"/>
      <c r="AR654" s="298"/>
    </row>
    <row r="655" spans="2:44" s="290" customFormat="1" x14ac:dyDescent="0.2">
      <c r="B655" s="302"/>
      <c r="D655" s="302"/>
      <c r="E655" s="302"/>
      <c r="K655" s="303"/>
      <c r="L655" s="303"/>
      <c r="M655" s="303"/>
      <c r="AB655" s="298"/>
      <c r="AC655" s="297"/>
      <c r="AF655" s="296"/>
      <c r="AG655" s="297"/>
      <c r="AJ655" s="298"/>
      <c r="AK655" s="297"/>
      <c r="AN655" s="298"/>
      <c r="AR655" s="298"/>
    </row>
    <row r="656" spans="2:44" s="290" customFormat="1" x14ac:dyDescent="0.2">
      <c r="B656" s="302"/>
      <c r="D656" s="302"/>
      <c r="E656" s="302"/>
      <c r="K656" s="303"/>
      <c r="L656" s="303"/>
      <c r="M656" s="303"/>
      <c r="AB656" s="298"/>
      <c r="AC656" s="297"/>
      <c r="AF656" s="296"/>
      <c r="AG656" s="297"/>
      <c r="AJ656" s="298"/>
      <c r="AK656" s="297"/>
      <c r="AN656" s="298"/>
      <c r="AR656" s="298"/>
    </row>
    <row r="657" spans="2:44" s="290" customFormat="1" x14ac:dyDescent="0.2">
      <c r="B657" s="302"/>
      <c r="D657" s="302"/>
      <c r="E657" s="302"/>
      <c r="K657" s="303"/>
      <c r="L657" s="303"/>
      <c r="M657" s="303"/>
      <c r="AB657" s="298"/>
      <c r="AC657" s="297"/>
      <c r="AF657" s="296"/>
      <c r="AG657" s="297"/>
      <c r="AJ657" s="298"/>
      <c r="AK657" s="297"/>
      <c r="AN657" s="298"/>
      <c r="AR657" s="298"/>
    </row>
    <row r="658" spans="2:44" s="290" customFormat="1" x14ac:dyDescent="0.2">
      <c r="B658" s="302"/>
      <c r="D658" s="302"/>
      <c r="E658" s="302"/>
      <c r="K658" s="303"/>
      <c r="L658" s="303"/>
      <c r="M658" s="303"/>
      <c r="AB658" s="298"/>
      <c r="AC658" s="297"/>
      <c r="AF658" s="296"/>
      <c r="AG658" s="297"/>
      <c r="AJ658" s="298"/>
      <c r="AK658" s="297"/>
      <c r="AN658" s="298"/>
      <c r="AR658" s="298"/>
    </row>
    <row r="659" spans="2:44" s="290" customFormat="1" x14ac:dyDescent="0.2">
      <c r="B659" s="302"/>
      <c r="D659" s="302"/>
      <c r="E659" s="302"/>
      <c r="K659" s="303"/>
      <c r="L659" s="303"/>
      <c r="M659" s="303"/>
      <c r="AB659" s="298"/>
      <c r="AC659" s="297"/>
      <c r="AF659" s="296"/>
      <c r="AG659" s="297"/>
      <c r="AJ659" s="298"/>
      <c r="AK659" s="297"/>
      <c r="AN659" s="298"/>
      <c r="AR659" s="298"/>
    </row>
    <row r="660" spans="2:44" s="290" customFormat="1" x14ac:dyDescent="0.2">
      <c r="B660" s="302"/>
      <c r="D660" s="302"/>
      <c r="E660" s="302"/>
      <c r="K660" s="303"/>
      <c r="L660" s="303"/>
      <c r="M660" s="303"/>
      <c r="AB660" s="298"/>
      <c r="AC660" s="297"/>
      <c r="AF660" s="296"/>
      <c r="AG660" s="297"/>
      <c r="AJ660" s="298"/>
      <c r="AK660" s="297"/>
      <c r="AN660" s="298"/>
      <c r="AR660" s="298"/>
    </row>
    <row r="661" spans="2:44" s="290" customFormat="1" x14ac:dyDescent="0.2">
      <c r="B661" s="302"/>
      <c r="D661" s="302"/>
      <c r="E661" s="302"/>
      <c r="K661" s="303"/>
      <c r="L661" s="303"/>
      <c r="M661" s="303"/>
      <c r="AB661" s="298"/>
      <c r="AC661" s="297"/>
      <c r="AF661" s="296"/>
      <c r="AG661" s="297"/>
      <c r="AJ661" s="298"/>
      <c r="AK661" s="297"/>
      <c r="AN661" s="298"/>
      <c r="AR661" s="298"/>
    </row>
    <row r="662" spans="2:44" s="290" customFormat="1" x14ac:dyDescent="0.2">
      <c r="B662" s="302"/>
      <c r="D662" s="302"/>
      <c r="E662" s="302"/>
      <c r="K662" s="303"/>
      <c r="L662" s="303"/>
      <c r="M662" s="303"/>
      <c r="AB662" s="298"/>
      <c r="AC662" s="297"/>
      <c r="AF662" s="296"/>
      <c r="AG662" s="297"/>
      <c r="AJ662" s="298"/>
      <c r="AK662" s="297"/>
      <c r="AN662" s="298"/>
      <c r="AR662" s="298"/>
    </row>
    <row r="663" spans="2:44" s="290" customFormat="1" x14ac:dyDescent="0.2">
      <c r="B663" s="302"/>
      <c r="D663" s="302"/>
      <c r="E663" s="302"/>
      <c r="K663" s="303"/>
      <c r="L663" s="303"/>
      <c r="M663" s="303"/>
      <c r="AB663" s="298"/>
      <c r="AC663" s="297"/>
      <c r="AF663" s="296"/>
      <c r="AG663" s="297"/>
      <c r="AJ663" s="298"/>
      <c r="AK663" s="297"/>
      <c r="AN663" s="298"/>
      <c r="AR663" s="298"/>
    </row>
    <row r="664" spans="2:44" s="290" customFormat="1" x14ac:dyDescent="0.2">
      <c r="B664" s="302"/>
      <c r="D664" s="302"/>
      <c r="E664" s="302"/>
      <c r="K664" s="303"/>
      <c r="L664" s="303"/>
      <c r="M664" s="303"/>
      <c r="AB664" s="298"/>
      <c r="AC664" s="297"/>
      <c r="AF664" s="296"/>
      <c r="AG664" s="297"/>
      <c r="AJ664" s="298"/>
      <c r="AK664" s="297"/>
      <c r="AN664" s="298"/>
      <c r="AR664" s="298"/>
    </row>
    <row r="665" spans="2:44" s="290" customFormat="1" x14ac:dyDescent="0.2">
      <c r="B665" s="302"/>
      <c r="D665" s="302"/>
      <c r="E665" s="302"/>
      <c r="K665" s="303"/>
      <c r="L665" s="303"/>
      <c r="M665" s="303"/>
      <c r="AB665" s="298"/>
      <c r="AC665" s="297"/>
      <c r="AF665" s="296"/>
      <c r="AG665" s="297"/>
      <c r="AJ665" s="298"/>
      <c r="AK665" s="297"/>
      <c r="AN665" s="298"/>
      <c r="AR665" s="298"/>
    </row>
    <row r="666" spans="2:44" s="290" customFormat="1" x14ac:dyDescent="0.2">
      <c r="B666" s="302"/>
      <c r="D666" s="302"/>
      <c r="E666" s="302"/>
      <c r="K666" s="303"/>
      <c r="L666" s="303"/>
      <c r="M666" s="303"/>
      <c r="AB666" s="298"/>
      <c r="AC666" s="297"/>
      <c r="AF666" s="296"/>
      <c r="AG666" s="297"/>
      <c r="AJ666" s="298"/>
      <c r="AK666" s="297"/>
      <c r="AN666" s="298"/>
      <c r="AR666" s="298"/>
    </row>
    <row r="667" spans="2:44" s="290" customFormat="1" x14ac:dyDescent="0.2">
      <c r="B667" s="302"/>
      <c r="D667" s="302"/>
      <c r="E667" s="302"/>
      <c r="K667" s="303"/>
      <c r="L667" s="303"/>
      <c r="M667" s="303"/>
      <c r="AB667" s="298"/>
      <c r="AC667" s="297"/>
      <c r="AF667" s="296"/>
      <c r="AG667" s="297"/>
      <c r="AJ667" s="298"/>
      <c r="AK667" s="297"/>
      <c r="AN667" s="298"/>
      <c r="AR667" s="298"/>
    </row>
    <row r="668" spans="2:44" s="290" customFormat="1" x14ac:dyDescent="0.2">
      <c r="B668" s="302"/>
      <c r="D668" s="302"/>
      <c r="E668" s="302"/>
      <c r="K668" s="303"/>
      <c r="L668" s="303"/>
      <c r="M668" s="303"/>
      <c r="AB668" s="298"/>
      <c r="AC668" s="297"/>
      <c r="AF668" s="296"/>
      <c r="AG668" s="297"/>
      <c r="AJ668" s="298"/>
      <c r="AK668" s="297"/>
      <c r="AN668" s="298"/>
      <c r="AR668" s="298"/>
    </row>
    <row r="669" spans="2:44" s="290" customFormat="1" x14ac:dyDescent="0.2">
      <c r="B669" s="302"/>
      <c r="D669" s="302"/>
      <c r="E669" s="302"/>
      <c r="K669" s="303"/>
      <c r="L669" s="303"/>
      <c r="M669" s="303"/>
      <c r="AB669" s="298"/>
      <c r="AC669" s="297"/>
      <c r="AF669" s="296"/>
      <c r="AG669" s="297"/>
      <c r="AJ669" s="298"/>
      <c r="AK669" s="297"/>
      <c r="AN669" s="298"/>
      <c r="AR669" s="298"/>
    </row>
    <row r="670" spans="2:44" s="290" customFormat="1" x14ac:dyDescent="0.2">
      <c r="B670" s="302"/>
      <c r="D670" s="302"/>
      <c r="E670" s="302"/>
      <c r="K670" s="303"/>
      <c r="L670" s="303"/>
      <c r="M670" s="303"/>
      <c r="AB670" s="298"/>
      <c r="AC670" s="297"/>
      <c r="AF670" s="296"/>
      <c r="AG670" s="297"/>
      <c r="AJ670" s="298"/>
      <c r="AK670" s="297"/>
      <c r="AN670" s="298"/>
      <c r="AR670" s="298"/>
    </row>
    <row r="671" spans="2:44" s="290" customFormat="1" x14ac:dyDescent="0.2">
      <c r="B671" s="302"/>
      <c r="D671" s="302"/>
      <c r="E671" s="302"/>
      <c r="K671" s="303"/>
      <c r="L671" s="303"/>
      <c r="M671" s="303"/>
      <c r="AB671" s="298"/>
      <c r="AC671" s="297"/>
      <c r="AF671" s="296"/>
      <c r="AG671" s="297"/>
      <c r="AJ671" s="298"/>
      <c r="AK671" s="297"/>
      <c r="AN671" s="298"/>
      <c r="AR671" s="298"/>
    </row>
    <row r="672" spans="2:44" s="290" customFormat="1" x14ac:dyDescent="0.2">
      <c r="B672" s="302"/>
      <c r="D672" s="302"/>
      <c r="E672" s="302"/>
      <c r="K672" s="303"/>
      <c r="L672" s="303"/>
      <c r="M672" s="303"/>
      <c r="AB672" s="298"/>
      <c r="AC672" s="297"/>
      <c r="AF672" s="296"/>
      <c r="AG672" s="297"/>
      <c r="AJ672" s="298"/>
      <c r="AK672" s="297"/>
      <c r="AN672" s="298"/>
      <c r="AR672" s="298"/>
    </row>
    <row r="673" spans="2:44" s="290" customFormat="1" x14ac:dyDescent="0.2">
      <c r="B673" s="302"/>
      <c r="D673" s="302"/>
      <c r="E673" s="302"/>
      <c r="K673" s="303"/>
      <c r="L673" s="303"/>
      <c r="M673" s="303"/>
      <c r="AB673" s="298"/>
      <c r="AC673" s="297"/>
      <c r="AF673" s="296"/>
      <c r="AG673" s="297"/>
      <c r="AJ673" s="298"/>
      <c r="AK673" s="297"/>
      <c r="AN673" s="298"/>
      <c r="AR673" s="298"/>
    </row>
    <row r="674" spans="2:44" s="290" customFormat="1" x14ac:dyDescent="0.2">
      <c r="B674" s="302"/>
      <c r="D674" s="302"/>
      <c r="E674" s="302"/>
      <c r="K674" s="303"/>
      <c r="L674" s="303"/>
      <c r="M674" s="303"/>
      <c r="AB674" s="298"/>
      <c r="AC674" s="297"/>
      <c r="AF674" s="296"/>
      <c r="AG674" s="297"/>
      <c r="AJ674" s="298"/>
      <c r="AK674" s="297"/>
      <c r="AN674" s="298"/>
      <c r="AR674" s="298"/>
    </row>
    <row r="675" spans="2:44" s="290" customFormat="1" x14ac:dyDescent="0.2">
      <c r="B675" s="302"/>
      <c r="D675" s="302"/>
      <c r="E675" s="302"/>
      <c r="K675" s="303"/>
      <c r="L675" s="303"/>
      <c r="M675" s="303"/>
      <c r="AB675" s="298"/>
      <c r="AC675" s="297"/>
      <c r="AF675" s="296"/>
      <c r="AG675" s="297"/>
      <c r="AJ675" s="298"/>
      <c r="AK675" s="297"/>
      <c r="AN675" s="298"/>
      <c r="AR675" s="298"/>
    </row>
    <row r="676" spans="2:44" s="290" customFormat="1" x14ac:dyDescent="0.2">
      <c r="B676" s="302"/>
      <c r="D676" s="302"/>
      <c r="E676" s="302"/>
      <c r="K676" s="303"/>
      <c r="L676" s="303"/>
      <c r="M676" s="303"/>
      <c r="AB676" s="298"/>
      <c r="AC676" s="297"/>
      <c r="AF676" s="296"/>
      <c r="AG676" s="297"/>
      <c r="AJ676" s="298"/>
      <c r="AK676" s="297"/>
      <c r="AN676" s="298"/>
      <c r="AR676" s="298"/>
    </row>
    <row r="677" spans="2:44" s="290" customFormat="1" x14ac:dyDescent="0.2">
      <c r="B677" s="302"/>
      <c r="D677" s="302"/>
      <c r="E677" s="302"/>
      <c r="K677" s="303"/>
      <c r="L677" s="303"/>
      <c r="M677" s="303"/>
      <c r="AB677" s="298"/>
      <c r="AC677" s="297"/>
      <c r="AF677" s="296"/>
      <c r="AG677" s="297"/>
      <c r="AJ677" s="298"/>
      <c r="AK677" s="297"/>
      <c r="AN677" s="298"/>
      <c r="AR677" s="298"/>
    </row>
    <row r="678" spans="2:44" s="290" customFormat="1" x14ac:dyDescent="0.2">
      <c r="B678" s="302"/>
      <c r="D678" s="302"/>
      <c r="E678" s="302"/>
      <c r="K678" s="303"/>
      <c r="L678" s="303"/>
      <c r="M678" s="303"/>
      <c r="AB678" s="298"/>
      <c r="AC678" s="297"/>
      <c r="AF678" s="296"/>
      <c r="AG678" s="297"/>
      <c r="AJ678" s="298"/>
      <c r="AK678" s="297"/>
      <c r="AN678" s="298"/>
      <c r="AR678" s="298"/>
    </row>
    <row r="679" spans="2:44" s="290" customFormat="1" x14ac:dyDescent="0.2">
      <c r="B679" s="302"/>
      <c r="D679" s="302"/>
      <c r="E679" s="302"/>
      <c r="K679" s="303"/>
      <c r="L679" s="303"/>
      <c r="M679" s="303"/>
      <c r="AB679" s="298"/>
      <c r="AC679" s="297"/>
      <c r="AF679" s="296"/>
      <c r="AG679" s="297"/>
      <c r="AJ679" s="298"/>
      <c r="AK679" s="297"/>
      <c r="AN679" s="298"/>
      <c r="AR679" s="298"/>
    </row>
    <row r="680" spans="2:44" s="290" customFormat="1" x14ac:dyDescent="0.2">
      <c r="B680" s="302"/>
      <c r="D680" s="302"/>
      <c r="E680" s="302"/>
      <c r="K680" s="303"/>
      <c r="L680" s="303"/>
      <c r="M680" s="303"/>
      <c r="AB680" s="298"/>
      <c r="AC680" s="297"/>
      <c r="AF680" s="296"/>
      <c r="AG680" s="297"/>
      <c r="AJ680" s="298"/>
      <c r="AK680" s="297"/>
      <c r="AN680" s="298"/>
      <c r="AR680" s="298"/>
    </row>
    <row r="681" spans="2:44" s="290" customFormat="1" x14ac:dyDescent="0.2">
      <c r="B681" s="302"/>
      <c r="D681" s="302"/>
      <c r="E681" s="302"/>
      <c r="K681" s="303"/>
      <c r="L681" s="303"/>
      <c r="M681" s="303"/>
      <c r="AB681" s="298"/>
      <c r="AC681" s="297"/>
      <c r="AF681" s="296"/>
      <c r="AG681" s="297"/>
      <c r="AJ681" s="298"/>
      <c r="AK681" s="297"/>
      <c r="AN681" s="298"/>
      <c r="AR681" s="298"/>
    </row>
    <row r="682" spans="2:44" s="290" customFormat="1" x14ac:dyDescent="0.2">
      <c r="B682" s="302"/>
      <c r="D682" s="302"/>
      <c r="E682" s="302"/>
      <c r="K682" s="303"/>
      <c r="L682" s="303"/>
      <c r="M682" s="303"/>
      <c r="AB682" s="298"/>
      <c r="AC682" s="297"/>
      <c r="AF682" s="296"/>
      <c r="AG682" s="297"/>
      <c r="AJ682" s="298"/>
      <c r="AK682" s="297"/>
      <c r="AN682" s="298"/>
      <c r="AR682" s="298"/>
    </row>
    <row r="683" spans="2:44" s="290" customFormat="1" x14ac:dyDescent="0.2">
      <c r="B683" s="302"/>
      <c r="D683" s="302"/>
      <c r="E683" s="302"/>
      <c r="K683" s="303"/>
      <c r="L683" s="303"/>
      <c r="M683" s="303"/>
      <c r="AB683" s="298"/>
      <c r="AC683" s="297"/>
      <c r="AF683" s="296"/>
      <c r="AG683" s="297"/>
      <c r="AJ683" s="298"/>
      <c r="AK683" s="297"/>
      <c r="AN683" s="298"/>
      <c r="AR683" s="298"/>
    </row>
    <row r="684" spans="2:44" s="290" customFormat="1" x14ac:dyDescent="0.2">
      <c r="B684" s="302"/>
      <c r="D684" s="302"/>
      <c r="E684" s="302"/>
      <c r="K684" s="303"/>
      <c r="L684" s="303"/>
      <c r="M684" s="303"/>
      <c r="AB684" s="298"/>
      <c r="AC684" s="297"/>
      <c r="AF684" s="296"/>
      <c r="AG684" s="297"/>
      <c r="AJ684" s="298"/>
      <c r="AK684" s="297"/>
      <c r="AN684" s="298"/>
      <c r="AR684" s="298"/>
    </row>
    <row r="685" spans="2:44" s="290" customFormat="1" x14ac:dyDescent="0.2">
      <c r="B685" s="302"/>
      <c r="D685" s="302"/>
      <c r="E685" s="302"/>
      <c r="K685" s="303"/>
      <c r="L685" s="303"/>
      <c r="M685" s="303"/>
      <c r="AB685" s="298"/>
      <c r="AC685" s="297"/>
      <c r="AF685" s="296"/>
      <c r="AG685" s="297"/>
      <c r="AJ685" s="298"/>
      <c r="AK685" s="297"/>
      <c r="AN685" s="298"/>
      <c r="AR685" s="298"/>
    </row>
    <row r="686" spans="2:44" s="290" customFormat="1" x14ac:dyDescent="0.2">
      <c r="B686" s="302"/>
      <c r="D686" s="302"/>
      <c r="E686" s="302"/>
      <c r="K686" s="303"/>
      <c r="L686" s="303"/>
      <c r="M686" s="303"/>
      <c r="AB686" s="298"/>
      <c r="AC686" s="297"/>
      <c r="AF686" s="296"/>
      <c r="AG686" s="297"/>
      <c r="AJ686" s="298"/>
      <c r="AK686" s="297"/>
      <c r="AN686" s="298"/>
      <c r="AR686" s="298"/>
    </row>
    <row r="687" spans="2:44" s="290" customFormat="1" x14ac:dyDescent="0.2">
      <c r="B687" s="302"/>
      <c r="D687" s="302"/>
      <c r="E687" s="302"/>
      <c r="K687" s="303"/>
      <c r="L687" s="303"/>
      <c r="M687" s="303"/>
      <c r="AB687" s="298"/>
      <c r="AC687" s="297"/>
      <c r="AF687" s="296"/>
      <c r="AG687" s="297"/>
      <c r="AJ687" s="298"/>
      <c r="AK687" s="297"/>
      <c r="AN687" s="298"/>
      <c r="AR687" s="298"/>
    </row>
    <row r="688" spans="2:44" s="290" customFormat="1" x14ac:dyDescent="0.2">
      <c r="B688" s="302"/>
      <c r="D688" s="302"/>
      <c r="E688" s="302"/>
      <c r="K688" s="303"/>
      <c r="L688" s="303"/>
      <c r="M688" s="303"/>
      <c r="AB688" s="298"/>
      <c r="AC688" s="297"/>
      <c r="AF688" s="296"/>
      <c r="AG688" s="297"/>
      <c r="AJ688" s="298"/>
      <c r="AK688" s="297"/>
      <c r="AN688" s="298"/>
      <c r="AR688" s="298"/>
    </row>
    <row r="689" spans="2:44" s="290" customFormat="1" x14ac:dyDescent="0.2">
      <c r="B689" s="302"/>
      <c r="D689" s="302"/>
      <c r="E689" s="302"/>
      <c r="K689" s="303"/>
      <c r="L689" s="303"/>
      <c r="M689" s="303"/>
      <c r="AB689" s="298"/>
      <c r="AC689" s="297"/>
      <c r="AF689" s="296"/>
      <c r="AG689" s="297"/>
      <c r="AJ689" s="298"/>
      <c r="AK689" s="297"/>
      <c r="AN689" s="298"/>
      <c r="AR689" s="298"/>
    </row>
    <row r="690" spans="2:44" s="290" customFormat="1" x14ac:dyDescent="0.2">
      <c r="B690" s="302"/>
      <c r="D690" s="302"/>
      <c r="E690" s="302"/>
      <c r="K690" s="303"/>
      <c r="L690" s="303"/>
      <c r="M690" s="303"/>
      <c r="AB690" s="298"/>
      <c r="AC690" s="297"/>
      <c r="AF690" s="296"/>
      <c r="AG690" s="297"/>
      <c r="AJ690" s="298"/>
      <c r="AK690" s="297"/>
      <c r="AN690" s="298"/>
      <c r="AR690" s="298"/>
    </row>
    <row r="691" spans="2:44" s="290" customFormat="1" x14ac:dyDescent="0.2">
      <c r="B691" s="302"/>
      <c r="D691" s="302"/>
      <c r="E691" s="302"/>
      <c r="K691" s="303"/>
      <c r="L691" s="303"/>
      <c r="M691" s="303"/>
      <c r="AB691" s="298"/>
      <c r="AC691" s="297"/>
      <c r="AF691" s="296"/>
      <c r="AG691" s="297"/>
      <c r="AJ691" s="298"/>
      <c r="AK691" s="297"/>
      <c r="AN691" s="298"/>
      <c r="AR691" s="298"/>
    </row>
    <row r="692" spans="2:44" s="290" customFormat="1" x14ac:dyDescent="0.2">
      <c r="B692" s="302"/>
      <c r="D692" s="302"/>
      <c r="E692" s="302"/>
      <c r="K692" s="303"/>
      <c r="L692" s="303"/>
      <c r="M692" s="303"/>
      <c r="AB692" s="298"/>
      <c r="AC692" s="297"/>
      <c r="AF692" s="296"/>
      <c r="AG692" s="297"/>
      <c r="AJ692" s="298"/>
      <c r="AK692" s="297"/>
      <c r="AN692" s="298"/>
      <c r="AR692" s="298"/>
    </row>
    <row r="693" spans="2:44" s="290" customFormat="1" x14ac:dyDescent="0.2">
      <c r="B693" s="302"/>
      <c r="D693" s="302"/>
      <c r="E693" s="302"/>
      <c r="K693" s="303"/>
      <c r="L693" s="303"/>
      <c r="M693" s="303"/>
      <c r="AB693" s="298"/>
      <c r="AC693" s="297"/>
      <c r="AF693" s="296"/>
      <c r="AG693" s="297"/>
      <c r="AJ693" s="298"/>
      <c r="AK693" s="297"/>
      <c r="AN693" s="298"/>
      <c r="AR693" s="298"/>
    </row>
    <row r="694" spans="2:44" s="290" customFormat="1" x14ac:dyDescent="0.2">
      <c r="B694" s="302"/>
      <c r="D694" s="302"/>
      <c r="E694" s="302"/>
      <c r="K694" s="303"/>
      <c r="L694" s="303"/>
      <c r="M694" s="303"/>
      <c r="AB694" s="298"/>
      <c r="AC694" s="297"/>
      <c r="AF694" s="296"/>
      <c r="AG694" s="297"/>
      <c r="AJ694" s="298"/>
      <c r="AK694" s="297"/>
      <c r="AN694" s="298"/>
      <c r="AR694" s="298"/>
    </row>
    <row r="695" spans="2:44" s="290" customFormat="1" x14ac:dyDescent="0.2">
      <c r="B695" s="302"/>
      <c r="D695" s="302"/>
      <c r="E695" s="302"/>
      <c r="K695" s="303"/>
      <c r="L695" s="303"/>
      <c r="M695" s="303"/>
      <c r="AB695" s="298"/>
      <c r="AC695" s="297"/>
      <c r="AF695" s="296"/>
      <c r="AG695" s="297"/>
      <c r="AJ695" s="298"/>
      <c r="AK695" s="297"/>
      <c r="AN695" s="298"/>
      <c r="AR695" s="298"/>
    </row>
    <row r="696" spans="2:44" s="290" customFormat="1" x14ac:dyDescent="0.2">
      <c r="B696" s="302"/>
      <c r="D696" s="302"/>
      <c r="E696" s="302"/>
      <c r="K696" s="303"/>
      <c r="L696" s="303"/>
      <c r="M696" s="303"/>
      <c r="AB696" s="298"/>
      <c r="AC696" s="297"/>
      <c r="AF696" s="296"/>
      <c r="AG696" s="297"/>
      <c r="AJ696" s="298"/>
      <c r="AK696" s="297"/>
      <c r="AN696" s="298"/>
      <c r="AR696" s="298"/>
    </row>
    <row r="697" spans="2:44" s="290" customFormat="1" x14ac:dyDescent="0.2">
      <c r="B697" s="302"/>
      <c r="D697" s="302"/>
      <c r="E697" s="302"/>
      <c r="K697" s="303"/>
      <c r="L697" s="303"/>
      <c r="M697" s="303"/>
      <c r="AB697" s="298"/>
      <c r="AC697" s="297"/>
      <c r="AF697" s="296"/>
      <c r="AG697" s="297"/>
      <c r="AJ697" s="298"/>
      <c r="AK697" s="297"/>
      <c r="AN697" s="298"/>
      <c r="AR697" s="298"/>
    </row>
    <row r="698" spans="2:44" s="290" customFormat="1" x14ac:dyDescent="0.2">
      <c r="B698" s="302"/>
      <c r="D698" s="302"/>
      <c r="E698" s="302"/>
      <c r="K698" s="303"/>
      <c r="L698" s="303"/>
      <c r="M698" s="303"/>
      <c r="AB698" s="298"/>
      <c r="AC698" s="297"/>
      <c r="AF698" s="296"/>
      <c r="AG698" s="297"/>
      <c r="AJ698" s="298"/>
      <c r="AK698" s="297"/>
      <c r="AN698" s="298"/>
      <c r="AR698" s="298"/>
    </row>
    <row r="699" spans="2:44" s="290" customFormat="1" x14ac:dyDescent="0.2">
      <c r="B699" s="302"/>
      <c r="D699" s="302"/>
      <c r="E699" s="302"/>
      <c r="K699" s="303"/>
      <c r="L699" s="303"/>
      <c r="M699" s="303"/>
      <c r="AB699" s="298"/>
      <c r="AC699" s="297"/>
      <c r="AF699" s="296"/>
      <c r="AG699" s="297"/>
      <c r="AJ699" s="298"/>
      <c r="AK699" s="297"/>
      <c r="AN699" s="298"/>
      <c r="AR699" s="298"/>
    </row>
    <row r="700" spans="2:44" s="290" customFormat="1" x14ac:dyDescent="0.2">
      <c r="B700" s="302"/>
      <c r="D700" s="302"/>
      <c r="E700" s="302"/>
      <c r="K700" s="303"/>
      <c r="L700" s="303"/>
      <c r="M700" s="303"/>
      <c r="AB700" s="298"/>
      <c r="AC700" s="297"/>
      <c r="AF700" s="296"/>
      <c r="AG700" s="297"/>
      <c r="AJ700" s="298"/>
      <c r="AK700" s="297"/>
      <c r="AN700" s="298"/>
      <c r="AR700" s="298"/>
    </row>
    <row r="701" spans="2:44" s="290" customFormat="1" x14ac:dyDescent="0.2">
      <c r="B701" s="302"/>
      <c r="D701" s="302"/>
      <c r="E701" s="302"/>
      <c r="K701" s="303"/>
      <c r="L701" s="303"/>
      <c r="M701" s="303"/>
      <c r="AB701" s="298"/>
      <c r="AC701" s="297"/>
      <c r="AF701" s="296"/>
      <c r="AG701" s="297"/>
      <c r="AJ701" s="298"/>
      <c r="AK701" s="297"/>
      <c r="AN701" s="298"/>
      <c r="AR701" s="298"/>
    </row>
    <row r="702" spans="2:44" s="290" customFormat="1" x14ac:dyDescent="0.2">
      <c r="B702" s="302"/>
      <c r="D702" s="302"/>
      <c r="E702" s="302"/>
      <c r="K702" s="303"/>
      <c r="L702" s="303"/>
      <c r="M702" s="303"/>
      <c r="AB702" s="298"/>
      <c r="AC702" s="297"/>
      <c r="AF702" s="296"/>
      <c r="AG702" s="297"/>
      <c r="AJ702" s="298"/>
      <c r="AK702" s="297"/>
      <c r="AN702" s="298"/>
      <c r="AR702" s="298"/>
    </row>
    <row r="703" spans="2:44" s="290" customFormat="1" x14ac:dyDescent="0.2">
      <c r="B703" s="302"/>
      <c r="D703" s="302"/>
      <c r="E703" s="302"/>
      <c r="K703" s="303"/>
      <c r="L703" s="303"/>
      <c r="M703" s="303"/>
      <c r="AB703" s="298"/>
      <c r="AC703" s="297"/>
      <c r="AF703" s="296"/>
      <c r="AG703" s="297"/>
      <c r="AJ703" s="298"/>
      <c r="AK703" s="297"/>
      <c r="AN703" s="298"/>
      <c r="AR703" s="298"/>
    </row>
    <row r="704" spans="2:44" s="290" customFormat="1" x14ac:dyDescent="0.2">
      <c r="B704" s="302"/>
      <c r="D704" s="302"/>
      <c r="E704" s="302"/>
      <c r="K704" s="303"/>
      <c r="L704" s="303"/>
      <c r="M704" s="303"/>
      <c r="AB704" s="298"/>
      <c r="AC704" s="297"/>
      <c r="AF704" s="296"/>
      <c r="AG704" s="297"/>
      <c r="AJ704" s="298"/>
      <c r="AK704" s="297"/>
      <c r="AN704" s="298"/>
      <c r="AR704" s="298"/>
    </row>
    <row r="705" spans="2:44" s="290" customFormat="1" x14ac:dyDescent="0.2">
      <c r="B705" s="302"/>
      <c r="D705" s="302"/>
      <c r="E705" s="302"/>
      <c r="K705" s="303"/>
      <c r="L705" s="303"/>
      <c r="M705" s="303"/>
      <c r="AB705" s="298"/>
      <c r="AC705" s="297"/>
      <c r="AF705" s="296"/>
      <c r="AG705" s="297"/>
      <c r="AJ705" s="298"/>
      <c r="AK705" s="297"/>
      <c r="AN705" s="298"/>
      <c r="AR705" s="298"/>
    </row>
    <row r="706" spans="2:44" s="290" customFormat="1" x14ac:dyDescent="0.2">
      <c r="B706" s="302"/>
      <c r="D706" s="302"/>
      <c r="E706" s="302"/>
      <c r="K706" s="303"/>
      <c r="L706" s="303"/>
      <c r="M706" s="303"/>
      <c r="AB706" s="298"/>
      <c r="AC706" s="297"/>
      <c r="AF706" s="296"/>
      <c r="AG706" s="297"/>
      <c r="AJ706" s="298"/>
      <c r="AK706" s="297"/>
      <c r="AN706" s="298"/>
      <c r="AR706" s="298"/>
    </row>
    <row r="707" spans="2:44" s="290" customFormat="1" x14ac:dyDescent="0.2">
      <c r="B707" s="302"/>
      <c r="D707" s="302"/>
      <c r="E707" s="302"/>
      <c r="K707" s="303"/>
      <c r="L707" s="303"/>
      <c r="M707" s="303"/>
      <c r="AB707" s="298"/>
      <c r="AC707" s="297"/>
      <c r="AF707" s="296"/>
      <c r="AG707" s="297"/>
      <c r="AJ707" s="298"/>
      <c r="AK707" s="297"/>
      <c r="AN707" s="298"/>
      <c r="AR707" s="298"/>
    </row>
    <row r="708" spans="2:44" s="290" customFormat="1" x14ac:dyDescent="0.2">
      <c r="B708" s="302"/>
      <c r="D708" s="302"/>
      <c r="E708" s="302"/>
      <c r="K708" s="303"/>
      <c r="L708" s="303"/>
      <c r="M708" s="303"/>
      <c r="AB708" s="298"/>
      <c r="AC708" s="297"/>
      <c r="AF708" s="296"/>
      <c r="AG708" s="297"/>
      <c r="AJ708" s="298"/>
      <c r="AK708" s="297"/>
      <c r="AN708" s="298"/>
      <c r="AR708" s="298"/>
    </row>
    <row r="709" spans="2:44" s="290" customFormat="1" x14ac:dyDescent="0.2">
      <c r="B709" s="302"/>
      <c r="D709" s="302"/>
      <c r="E709" s="302"/>
      <c r="K709" s="303"/>
      <c r="L709" s="303"/>
      <c r="M709" s="303"/>
      <c r="AB709" s="298"/>
      <c r="AC709" s="297"/>
      <c r="AF709" s="296"/>
      <c r="AG709" s="297"/>
      <c r="AJ709" s="298"/>
      <c r="AK709" s="297"/>
      <c r="AN709" s="298"/>
      <c r="AR709" s="298"/>
    </row>
    <row r="710" spans="2:44" s="290" customFormat="1" x14ac:dyDescent="0.2">
      <c r="B710" s="302"/>
      <c r="D710" s="302"/>
      <c r="E710" s="302"/>
      <c r="K710" s="303"/>
      <c r="L710" s="303"/>
      <c r="M710" s="303"/>
      <c r="AB710" s="298"/>
      <c r="AC710" s="297"/>
      <c r="AF710" s="296"/>
      <c r="AG710" s="297"/>
      <c r="AJ710" s="298"/>
      <c r="AK710" s="297"/>
      <c r="AN710" s="298"/>
      <c r="AR710" s="298"/>
    </row>
    <row r="711" spans="2:44" s="290" customFormat="1" x14ac:dyDescent="0.2">
      <c r="B711" s="302"/>
      <c r="D711" s="302"/>
      <c r="E711" s="302"/>
      <c r="K711" s="303"/>
      <c r="L711" s="303"/>
      <c r="M711" s="303"/>
      <c r="AB711" s="298"/>
      <c r="AC711" s="297"/>
      <c r="AF711" s="296"/>
      <c r="AG711" s="297"/>
      <c r="AJ711" s="298"/>
      <c r="AK711" s="297"/>
      <c r="AN711" s="298"/>
      <c r="AR711" s="298"/>
    </row>
    <row r="712" spans="2:44" s="290" customFormat="1" x14ac:dyDescent="0.2">
      <c r="B712" s="302"/>
      <c r="D712" s="302"/>
      <c r="E712" s="302"/>
      <c r="K712" s="303"/>
      <c r="L712" s="303"/>
      <c r="M712" s="303"/>
      <c r="AB712" s="298"/>
      <c r="AC712" s="297"/>
      <c r="AF712" s="296"/>
      <c r="AG712" s="297"/>
      <c r="AJ712" s="298"/>
      <c r="AK712" s="297"/>
      <c r="AN712" s="298"/>
      <c r="AR712" s="298"/>
    </row>
    <row r="713" spans="2:44" s="290" customFormat="1" x14ac:dyDescent="0.2">
      <c r="B713" s="302"/>
      <c r="D713" s="302"/>
      <c r="E713" s="302"/>
      <c r="K713" s="303"/>
      <c r="L713" s="303"/>
      <c r="M713" s="303"/>
      <c r="AB713" s="298"/>
      <c r="AC713" s="297"/>
      <c r="AF713" s="296"/>
      <c r="AG713" s="297"/>
      <c r="AJ713" s="298"/>
      <c r="AK713" s="297"/>
      <c r="AN713" s="298"/>
      <c r="AR713" s="298"/>
    </row>
    <row r="714" spans="2:44" s="290" customFormat="1" x14ac:dyDescent="0.2">
      <c r="B714" s="302"/>
      <c r="D714" s="302"/>
      <c r="E714" s="302"/>
      <c r="K714" s="303"/>
      <c r="L714" s="303"/>
      <c r="M714" s="303"/>
      <c r="AB714" s="298"/>
      <c r="AC714" s="297"/>
      <c r="AF714" s="296"/>
      <c r="AG714" s="297"/>
      <c r="AJ714" s="298"/>
      <c r="AK714" s="297"/>
      <c r="AN714" s="298"/>
      <c r="AR714" s="298"/>
    </row>
    <row r="715" spans="2:44" s="290" customFormat="1" x14ac:dyDescent="0.2">
      <c r="B715" s="302"/>
      <c r="D715" s="302"/>
      <c r="E715" s="302"/>
      <c r="K715" s="303"/>
      <c r="L715" s="303"/>
      <c r="M715" s="303"/>
      <c r="AB715" s="298"/>
      <c r="AC715" s="297"/>
      <c r="AF715" s="296"/>
      <c r="AG715" s="297"/>
      <c r="AJ715" s="298"/>
      <c r="AK715" s="297"/>
      <c r="AN715" s="298"/>
      <c r="AR715" s="298"/>
    </row>
    <row r="716" spans="2:44" s="290" customFormat="1" x14ac:dyDescent="0.2">
      <c r="B716" s="302"/>
      <c r="D716" s="302"/>
      <c r="E716" s="302"/>
      <c r="K716" s="303"/>
      <c r="L716" s="303"/>
      <c r="M716" s="303"/>
      <c r="AB716" s="298"/>
      <c r="AC716" s="297"/>
      <c r="AF716" s="296"/>
      <c r="AG716" s="297"/>
      <c r="AJ716" s="298"/>
      <c r="AK716" s="297"/>
      <c r="AN716" s="298"/>
      <c r="AR716" s="298"/>
    </row>
    <row r="717" spans="2:44" s="290" customFormat="1" x14ac:dyDescent="0.2">
      <c r="B717" s="302"/>
      <c r="D717" s="302"/>
      <c r="E717" s="302"/>
      <c r="K717" s="303"/>
      <c r="L717" s="303"/>
      <c r="M717" s="303"/>
      <c r="AB717" s="298"/>
      <c r="AC717" s="297"/>
      <c r="AF717" s="296"/>
      <c r="AG717" s="297"/>
      <c r="AJ717" s="298"/>
      <c r="AK717" s="297"/>
      <c r="AN717" s="298"/>
      <c r="AR717" s="298"/>
    </row>
    <row r="718" spans="2:44" s="290" customFormat="1" x14ac:dyDescent="0.2">
      <c r="B718" s="302"/>
      <c r="D718" s="302"/>
      <c r="E718" s="302"/>
      <c r="K718" s="303"/>
      <c r="L718" s="303"/>
      <c r="M718" s="303"/>
      <c r="AB718" s="298"/>
      <c r="AC718" s="297"/>
      <c r="AF718" s="296"/>
      <c r="AG718" s="297"/>
      <c r="AJ718" s="298"/>
      <c r="AK718" s="297"/>
      <c r="AN718" s="298"/>
      <c r="AR718" s="298"/>
    </row>
    <row r="719" spans="2:44" s="290" customFormat="1" x14ac:dyDescent="0.2">
      <c r="B719" s="302"/>
      <c r="D719" s="302"/>
      <c r="E719" s="302"/>
      <c r="K719" s="303"/>
      <c r="L719" s="303"/>
      <c r="M719" s="303"/>
      <c r="AB719" s="298"/>
      <c r="AC719" s="297"/>
      <c r="AF719" s="296"/>
      <c r="AG719" s="297"/>
      <c r="AJ719" s="298"/>
      <c r="AK719" s="297"/>
      <c r="AN719" s="298"/>
      <c r="AR719" s="298"/>
    </row>
    <row r="720" spans="2:44" s="290" customFormat="1" x14ac:dyDescent="0.2">
      <c r="B720" s="302"/>
      <c r="D720" s="302"/>
      <c r="E720" s="302"/>
      <c r="K720" s="303"/>
      <c r="L720" s="303"/>
      <c r="M720" s="303"/>
      <c r="AB720" s="298"/>
      <c r="AC720" s="297"/>
      <c r="AF720" s="296"/>
      <c r="AG720" s="297"/>
      <c r="AJ720" s="298"/>
      <c r="AK720" s="297"/>
      <c r="AN720" s="298"/>
      <c r="AR720" s="298"/>
    </row>
    <row r="721" spans="2:44" s="290" customFormat="1" x14ac:dyDescent="0.2">
      <c r="B721" s="302"/>
      <c r="D721" s="302"/>
      <c r="E721" s="302"/>
      <c r="K721" s="303"/>
      <c r="L721" s="303"/>
      <c r="M721" s="303"/>
      <c r="AB721" s="298"/>
      <c r="AC721" s="297"/>
      <c r="AF721" s="296"/>
      <c r="AG721" s="297"/>
      <c r="AJ721" s="298"/>
      <c r="AK721" s="297"/>
      <c r="AN721" s="298"/>
      <c r="AR721" s="298"/>
    </row>
    <row r="722" spans="2:44" s="290" customFormat="1" x14ac:dyDescent="0.2">
      <c r="B722" s="302"/>
      <c r="D722" s="302"/>
      <c r="E722" s="302"/>
      <c r="K722" s="303"/>
      <c r="L722" s="303"/>
      <c r="M722" s="303"/>
      <c r="AB722" s="298"/>
      <c r="AC722" s="297"/>
      <c r="AF722" s="296"/>
      <c r="AG722" s="297"/>
      <c r="AJ722" s="298"/>
      <c r="AK722" s="297"/>
      <c r="AN722" s="298"/>
      <c r="AR722" s="298"/>
    </row>
    <row r="723" spans="2:44" s="290" customFormat="1" x14ac:dyDescent="0.2">
      <c r="B723" s="302"/>
      <c r="D723" s="302"/>
      <c r="E723" s="302"/>
      <c r="K723" s="303"/>
      <c r="L723" s="303"/>
      <c r="M723" s="303"/>
      <c r="AB723" s="298"/>
      <c r="AC723" s="297"/>
      <c r="AF723" s="296"/>
      <c r="AG723" s="297"/>
      <c r="AJ723" s="298"/>
      <c r="AK723" s="297"/>
      <c r="AN723" s="298"/>
      <c r="AR723" s="298"/>
    </row>
    <row r="724" spans="2:44" s="290" customFormat="1" x14ac:dyDescent="0.2">
      <c r="B724" s="302"/>
      <c r="D724" s="302"/>
      <c r="E724" s="302"/>
      <c r="K724" s="303"/>
      <c r="L724" s="303"/>
      <c r="M724" s="303"/>
      <c r="AB724" s="298"/>
      <c r="AC724" s="297"/>
      <c r="AF724" s="296"/>
      <c r="AG724" s="297"/>
      <c r="AJ724" s="298"/>
      <c r="AK724" s="297"/>
      <c r="AN724" s="298"/>
      <c r="AR724" s="298"/>
    </row>
    <row r="725" spans="2:44" s="290" customFormat="1" x14ac:dyDescent="0.2">
      <c r="B725" s="302"/>
      <c r="D725" s="302"/>
      <c r="E725" s="302"/>
      <c r="K725" s="303"/>
      <c r="L725" s="303"/>
      <c r="M725" s="303"/>
      <c r="AB725" s="298"/>
      <c r="AC725" s="297"/>
      <c r="AF725" s="296"/>
      <c r="AG725" s="297"/>
      <c r="AJ725" s="298"/>
      <c r="AK725" s="297"/>
      <c r="AN725" s="298"/>
      <c r="AR725" s="298"/>
    </row>
    <row r="726" spans="2:44" s="290" customFormat="1" x14ac:dyDescent="0.2">
      <c r="B726" s="302"/>
      <c r="D726" s="302"/>
      <c r="E726" s="302"/>
      <c r="K726" s="303"/>
      <c r="L726" s="303"/>
      <c r="M726" s="303"/>
      <c r="AB726" s="298"/>
      <c r="AC726" s="297"/>
      <c r="AF726" s="296"/>
      <c r="AG726" s="297"/>
      <c r="AJ726" s="298"/>
      <c r="AK726" s="297"/>
      <c r="AN726" s="298"/>
      <c r="AR726" s="298"/>
    </row>
    <row r="727" spans="2:44" s="290" customFormat="1" x14ac:dyDescent="0.2">
      <c r="B727" s="302"/>
      <c r="D727" s="302"/>
      <c r="E727" s="302"/>
      <c r="K727" s="303"/>
      <c r="L727" s="303"/>
      <c r="M727" s="303"/>
      <c r="AB727" s="298"/>
      <c r="AC727" s="297"/>
      <c r="AF727" s="296"/>
      <c r="AG727" s="297"/>
      <c r="AJ727" s="298"/>
      <c r="AK727" s="297"/>
      <c r="AN727" s="298"/>
      <c r="AR727" s="298"/>
    </row>
    <row r="728" spans="2:44" s="290" customFormat="1" x14ac:dyDescent="0.2">
      <c r="B728" s="302"/>
      <c r="D728" s="302"/>
      <c r="E728" s="302"/>
      <c r="K728" s="303"/>
      <c r="L728" s="303"/>
      <c r="M728" s="303"/>
      <c r="AB728" s="298"/>
      <c r="AC728" s="297"/>
      <c r="AF728" s="296"/>
      <c r="AG728" s="297"/>
      <c r="AJ728" s="298"/>
      <c r="AK728" s="297"/>
      <c r="AN728" s="298"/>
      <c r="AR728" s="298"/>
    </row>
    <row r="729" spans="2:44" s="290" customFormat="1" x14ac:dyDescent="0.2">
      <c r="B729" s="302"/>
      <c r="D729" s="302"/>
      <c r="E729" s="302"/>
      <c r="K729" s="303"/>
      <c r="L729" s="303"/>
      <c r="M729" s="303"/>
      <c r="AB729" s="298"/>
      <c r="AC729" s="297"/>
      <c r="AF729" s="296"/>
      <c r="AG729" s="297"/>
      <c r="AJ729" s="298"/>
      <c r="AK729" s="297"/>
      <c r="AN729" s="298"/>
      <c r="AR729" s="298"/>
    </row>
    <row r="730" spans="2:44" s="290" customFormat="1" x14ac:dyDescent="0.2">
      <c r="B730" s="302"/>
      <c r="D730" s="302"/>
      <c r="E730" s="302"/>
      <c r="K730" s="303"/>
      <c r="L730" s="303"/>
      <c r="M730" s="303"/>
      <c r="AB730" s="298"/>
      <c r="AC730" s="297"/>
      <c r="AF730" s="296"/>
      <c r="AG730" s="297"/>
      <c r="AJ730" s="298"/>
      <c r="AK730" s="297"/>
      <c r="AN730" s="298"/>
      <c r="AR730" s="298"/>
    </row>
    <row r="731" spans="2:44" s="290" customFormat="1" x14ac:dyDescent="0.2">
      <c r="B731" s="302"/>
      <c r="D731" s="302"/>
      <c r="E731" s="302"/>
      <c r="K731" s="303"/>
      <c r="L731" s="303"/>
      <c r="M731" s="303"/>
      <c r="AB731" s="298"/>
      <c r="AC731" s="297"/>
      <c r="AF731" s="296"/>
      <c r="AG731" s="297"/>
      <c r="AJ731" s="298"/>
      <c r="AK731" s="297"/>
      <c r="AN731" s="298"/>
      <c r="AR731" s="298"/>
    </row>
    <row r="732" spans="2:44" s="290" customFormat="1" x14ac:dyDescent="0.2">
      <c r="B732" s="302"/>
      <c r="D732" s="302"/>
      <c r="E732" s="302"/>
      <c r="K732" s="303"/>
      <c r="L732" s="303"/>
      <c r="M732" s="303"/>
      <c r="AB732" s="298"/>
      <c r="AC732" s="297"/>
      <c r="AF732" s="296"/>
      <c r="AG732" s="297"/>
      <c r="AJ732" s="298"/>
      <c r="AK732" s="297"/>
      <c r="AN732" s="298"/>
      <c r="AR732" s="298"/>
    </row>
    <row r="733" spans="2:44" s="290" customFormat="1" x14ac:dyDescent="0.2">
      <c r="B733" s="302"/>
      <c r="D733" s="302"/>
      <c r="E733" s="302"/>
      <c r="K733" s="303"/>
      <c r="L733" s="303"/>
      <c r="M733" s="303"/>
      <c r="AB733" s="298"/>
      <c r="AC733" s="297"/>
      <c r="AF733" s="296"/>
      <c r="AG733" s="297"/>
      <c r="AJ733" s="298"/>
      <c r="AK733" s="297"/>
      <c r="AN733" s="298"/>
      <c r="AR733" s="298"/>
    </row>
    <row r="734" spans="2:44" s="290" customFormat="1" x14ac:dyDescent="0.2">
      <c r="B734" s="302"/>
      <c r="D734" s="302"/>
      <c r="E734" s="302"/>
      <c r="K734" s="303"/>
      <c r="L734" s="303"/>
      <c r="M734" s="303"/>
      <c r="AB734" s="298"/>
      <c r="AC734" s="297"/>
      <c r="AF734" s="296"/>
      <c r="AG734" s="297"/>
      <c r="AJ734" s="298"/>
      <c r="AK734" s="297"/>
      <c r="AN734" s="298"/>
      <c r="AR734" s="298"/>
    </row>
    <row r="735" spans="2:44" s="290" customFormat="1" x14ac:dyDescent="0.2">
      <c r="B735" s="302"/>
      <c r="D735" s="302"/>
      <c r="E735" s="302"/>
      <c r="K735" s="303"/>
      <c r="L735" s="303"/>
      <c r="M735" s="303"/>
      <c r="AB735" s="298"/>
      <c r="AC735" s="297"/>
      <c r="AF735" s="296"/>
      <c r="AG735" s="297"/>
      <c r="AJ735" s="298"/>
      <c r="AK735" s="297"/>
      <c r="AN735" s="298"/>
      <c r="AR735" s="298"/>
    </row>
    <row r="736" spans="2:44" s="290" customFormat="1" x14ac:dyDescent="0.2">
      <c r="B736" s="302"/>
      <c r="D736" s="302"/>
      <c r="E736" s="302"/>
      <c r="K736" s="303"/>
      <c r="L736" s="303"/>
      <c r="M736" s="303"/>
      <c r="AB736" s="298"/>
      <c r="AC736" s="297"/>
      <c r="AF736" s="296"/>
      <c r="AG736" s="297"/>
      <c r="AJ736" s="298"/>
      <c r="AK736" s="297"/>
      <c r="AN736" s="298"/>
      <c r="AR736" s="298"/>
    </row>
    <row r="737" spans="2:44" s="290" customFormat="1" x14ac:dyDescent="0.2">
      <c r="B737" s="302"/>
      <c r="D737" s="302"/>
      <c r="E737" s="302"/>
      <c r="K737" s="303"/>
      <c r="L737" s="303"/>
      <c r="M737" s="303"/>
      <c r="AB737" s="298"/>
      <c r="AC737" s="297"/>
      <c r="AF737" s="296"/>
      <c r="AG737" s="297"/>
      <c r="AJ737" s="298"/>
      <c r="AK737" s="297"/>
      <c r="AN737" s="298"/>
      <c r="AR737" s="298"/>
    </row>
    <row r="738" spans="2:44" s="290" customFormat="1" x14ac:dyDescent="0.2">
      <c r="B738" s="302"/>
      <c r="D738" s="302"/>
      <c r="E738" s="302"/>
      <c r="K738" s="303"/>
      <c r="L738" s="303"/>
      <c r="M738" s="303"/>
      <c r="AB738" s="298"/>
      <c r="AC738" s="297"/>
      <c r="AF738" s="296"/>
      <c r="AG738" s="297"/>
      <c r="AJ738" s="298"/>
      <c r="AK738" s="297"/>
      <c r="AN738" s="298"/>
      <c r="AR738" s="298"/>
    </row>
    <row r="739" spans="2:44" s="290" customFormat="1" x14ac:dyDescent="0.2">
      <c r="B739" s="302"/>
      <c r="D739" s="302"/>
      <c r="E739" s="302"/>
      <c r="K739" s="303"/>
      <c r="L739" s="303"/>
      <c r="M739" s="303"/>
      <c r="AB739" s="298"/>
      <c r="AC739" s="297"/>
      <c r="AF739" s="296"/>
      <c r="AG739" s="297"/>
      <c r="AJ739" s="298"/>
      <c r="AK739" s="297"/>
      <c r="AN739" s="298"/>
      <c r="AR739" s="298"/>
    </row>
    <row r="740" spans="2:44" s="290" customFormat="1" x14ac:dyDescent="0.2">
      <c r="B740" s="302"/>
      <c r="D740" s="302"/>
      <c r="E740" s="302"/>
      <c r="K740" s="303"/>
      <c r="L740" s="303"/>
      <c r="M740" s="303"/>
      <c r="AB740" s="298"/>
      <c r="AC740" s="297"/>
      <c r="AF740" s="296"/>
      <c r="AG740" s="297"/>
      <c r="AJ740" s="298"/>
      <c r="AK740" s="297"/>
      <c r="AN740" s="298"/>
      <c r="AR740" s="298"/>
    </row>
    <row r="741" spans="2:44" s="290" customFormat="1" x14ac:dyDescent="0.2">
      <c r="B741" s="302"/>
      <c r="D741" s="302"/>
      <c r="E741" s="302"/>
      <c r="K741" s="303"/>
      <c r="L741" s="303"/>
      <c r="M741" s="303"/>
      <c r="AB741" s="298"/>
      <c r="AC741" s="297"/>
      <c r="AF741" s="296"/>
      <c r="AG741" s="297"/>
      <c r="AJ741" s="298"/>
      <c r="AK741" s="297"/>
      <c r="AN741" s="298"/>
      <c r="AR741" s="298"/>
    </row>
    <row r="742" spans="2:44" s="290" customFormat="1" x14ac:dyDescent="0.2">
      <c r="B742" s="302"/>
      <c r="D742" s="302"/>
      <c r="E742" s="302"/>
      <c r="K742" s="303"/>
      <c r="L742" s="303"/>
      <c r="M742" s="303"/>
      <c r="AB742" s="298"/>
      <c r="AC742" s="297"/>
      <c r="AF742" s="296"/>
      <c r="AG742" s="297"/>
      <c r="AJ742" s="298"/>
      <c r="AK742" s="297"/>
      <c r="AN742" s="298"/>
      <c r="AR742" s="298"/>
    </row>
    <row r="743" spans="2:44" s="290" customFormat="1" x14ac:dyDescent="0.2">
      <c r="B743" s="302"/>
      <c r="D743" s="302"/>
      <c r="E743" s="302"/>
      <c r="K743" s="303"/>
      <c r="L743" s="303"/>
      <c r="M743" s="303"/>
      <c r="AB743" s="298"/>
      <c r="AC743" s="297"/>
      <c r="AF743" s="296"/>
      <c r="AG743" s="297"/>
      <c r="AJ743" s="298"/>
      <c r="AK743" s="297"/>
      <c r="AN743" s="298"/>
      <c r="AR743" s="298"/>
    </row>
    <row r="744" spans="2:44" s="290" customFormat="1" x14ac:dyDescent="0.2">
      <c r="B744" s="302"/>
      <c r="D744" s="302"/>
      <c r="E744" s="302"/>
      <c r="K744" s="303"/>
      <c r="L744" s="303"/>
      <c r="M744" s="303"/>
      <c r="AB744" s="298"/>
      <c r="AC744" s="297"/>
      <c r="AF744" s="296"/>
      <c r="AG744" s="297"/>
      <c r="AJ744" s="298"/>
      <c r="AK744" s="297"/>
      <c r="AN744" s="298"/>
      <c r="AR744" s="298"/>
    </row>
    <row r="745" spans="2:44" s="290" customFormat="1" x14ac:dyDescent="0.2">
      <c r="B745" s="302"/>
      <c r="D745" s="302"/>
      <c r="E745" s="302"/>
      <c r="K745" s="303"/>
      <c r="L745" s="303"/>
      <c r="M745" s="303"/>
      <c r="AB745" s="298"/>
      <c r="AC745" s="297"/>
      <c r="AF745" s="296"/>
      <c r="AG745" s="297"/>
      <c r="AJ745" s="298"/>
      <c r="AK745" s="297"/>
      <c r="AN745" s="298"/>
      <c r="AR745" s="298"/>
    </row>
    <row r="746" spans="2:44" s="290" customFormat="1" x14ac:dyDescent="0.2">
      <c r="B746" s="302"/>
      <c r="D746" s="302"/>
      <c r="E746" s="302"/>
      <c r="K746" s="303"/>
      <c r="L746" s="303"/>
      <c r="M746" s="303"/>
      <c r="AB746" s="298"/>
      <c r="AC746" s="297"/>
      <c r="AF746" s="296"/>
      <c r="AG746" s="297"/>
      <c r="AJ746" s="298"/>
      <c r="AK746" s="297"/>
      <c r="AN746" s="298"/>
      <c r="AR746" s="298"/>
    </row>
    <row r="747" spans="2:44" s="290" customFormat="1" x14ac:dyDescent="0.2">
      <c r="B747" s="302"/>
      <c r="D747" s="302"/>
      <c r="E747" s="302"/>
      <c r="K747" s="303"/>
      <c r="L747" s="303"/>
      <c r="M747" s="303"/>
      <c r="AB747" s="298"/>
      <c r="AC747" s="297"/>
      <c r="AF747" s="296"/>
      <c r="AG747" s="297"/>
      <c r="AJ747" s="298"/>
      <c r="AK747" s="297"/>
      <c r="AN747" s="298"/>
      <c r="AR747" s="298"/>
    </row>
    <row r="748" spans="2:44" s="290" customFormat="1" x14ac:dyDescent="0.2">
      <c r="B748" s="302"/>
      <c r="D748" s="302"/>
      <c r="E748" s="302"/>
      <c r="K748" s="303"/>
      <c r="L748" s="303"/>
      <c r="M748" s="303"/>
      <c r="AB748" s="298"/>
      <c r="AC748" s="297"/>
      <c r="AF748" s="296"/>
      <c r="AG748" s="297"/>
      <c r="AJ748" s="298"/>
      <c r="AK748" s="297"/>
      <c r="AN748" s="298"/>
      <c r="AR748" s="298"/>
    </row>
    <row r="749" spans="2:44" s="290" customFormat="1" x14ac:dyDescent="0.2">
      <c r="B749" s="302"/>
      <c r="D749" s="302"/>
      <c r="E749" s="302"/>
      <c r="K749" s="303"/>
      <c r="L749" s="303"/>
      <c r="M749" s="303"/>
      <c r="AB749" s="298"/>
      <c r="AC749" s="297"/>
      <c r="AF749" s="296"/>
      <c r="AG749" s="297"/>
      <c r="AJ749" s="298"/>
      <c r="AK749" s="297"/>
      <c r="AN749" s="298"/>
      <c r="AR749" s="298"/>
    </row>
    <row r="750" spans="2:44" s="290" customFormat="1" x14ac:dyDescent="0.2">
      <c r="B750" s="302"/>
      <c r="D750" s="302"/>
      <c r="E750" s="302"/>
      <c r="K750" s="303"/>
      <c r="L750" s="303"/>
      <c r="M750" s="303"/>
      <c r="AB750" s="298"/>
      <c r="AC750" s="297"/>
      <c r="AF750" s="296"/>
      <c r="AG750" s="297"/>
      <c r="AJ750" s="298"/>
      <c r="AK750" s="297"/>
      <c r="AN750" s="298"/>
      <c r="AR750" s="298"/>
    </row>
    <row r="751" spans="2:44" s="290" customFormat="1" x14ac:dyDescent="0.2">
      <c r="B751" s="302"/>
      <c r="D751" s="302"/>
      <c r="E751" s="302"/>
      <c r="K751" s="303"/>
      <c r="L751" s="303"/>
      <c r="M751" s="303"/>
      <c r="AB751" s="298"/>
      <c r="AC751" s="297"/>
      <c r="AF751" s="296"/>
      <c r="AG751" s="297"/>
      <c r="AJ751" s="298"/>
      <c r="AK751" s="297"/>
      <c r="AN751" s="298"/>
      <c r="AR751" s="298"/>
    </row>
    <row r="752" spans="2:44" s="290" customFormat="1" x14ac:dyDescent="0.2">
      <c r="B752" s="302"/>
      <c r="D752" s="302"/>
      <c r="E752" s="302"/>
      <c r="K752" s="303"/>
      <c r="L752" s="303"/>
      <c r="M752" s="303"/>
      <c r="AB752" s="298"/>
      <c r="AC752" s="297"/>
      <c r="AF752" s="296"/>
      <c r="AG752" s="297"/>
      <c r="AJ752" s="298"/>
      <c r="AK752" s="297"/>
      <c r="AN752" s="298"/>
      <c r="AR752" s="298"/>
    </row>
    <row r="753" spans="2:44" s="290" customFormat="1" x14ac:dyDescent="0.2">
      <c r="B753" s="302"/>
      <c r="D753" s="302"/>
      <c r="E753" s="302"/>
      <c r="K753" s="303"/>
      <c r="L753" s="303"/>
      <c r="M753" s="303"/>
      <c r="AB753" s="298"/>
      <c r="AC753" s="297"/>
      <c r="AF753" s="296"/>
      <c r="AG753" s="297"/>
      <c r="AJ753" s="298"/>
      <c r="AK753" s="297"/>
      <c r="AN753" s="298"/>
      <c r="AR753" s="298"/>
    </row>
    <row r="754" spans="2:44" s="290" customFormat="1" x14ac:dyDescent="0.2">
      <c r="B754" s="302"/>
      <c r="D754" s="302"/>
      <c r="E754" s="302"/>
      <c r="K754" s="303"/>
      <c r="L754" s="303"/>
      <c r="M754" s="303"/>
      <c r="AB754" s="298"/>
      <c r="AC754" s="297"/>
      <c r="AF754" s="296"/>
      <c r="AG754" s="297"/>
      <c r="AJ754" s="298"/>
      <c r="AK754" s="297"/>
      <c r="AN754" s="298"/>
      <c r="AR754" s="298"/>
    </row>
    <row r="755" spans="2:44" s="290" customFormat="1" x14ac:dyDescent="0.2">
      <c r="B755" s="302"/>
      <c r="D755" s="302"/>
      <c r="E755" s="302"/>
      <c r="K755" s="303"/>
      <c r="L755" s="303"/>
      <c r="M755" s="303"/>
      <c r="AB755" s="298"/>
      <c r="AC755" s="297"/>
      <c r="AF755" s="296"/>
      <c r="AG755" s="297"/>
      <c r="AJ755" s="298"/>
      <c r="AK755" s="297"/>
      <c r="AN755" s="298"/>
      <c r="AR755" s="298"/>
    </row>
    <row r="756" spans="2:44" s="290" customFormat="1" x14ac:dyDescent="0.2">
      <c r="B756" s="302"/>
      <c r="D756" s="302"/>
      <c r="E756" s="302"/>
      <c r="K756" s="303"/>
      <c r="L756" s="303"/>
      <c r="M756" s="303"/>
      <c r="AB756" s="298"/>
      <c r="AC756" s="297"/>
      <c r="AF756" s="296"/>
      <c r="AG756" s="297"/>
      <c r="AJ756" s="298"/>
      <c r="AK756" s="297"/>
      <c r="AN756" s="298"/>
      <c r="AR756" s="298"/>
    </row>
    <row r="757" spans="2:44" s="290" customFormat="1" x14ac:dyDescent="0.2">
      <c r="B757" s="302"/>
      <c r="D757" s="302"/>
      <c r="E757" s="302"/>
      <c r="K757" s="303"/>
      <c r="L757" s="303"/>
      <c r="M757" s="303"/>
      <c r="AB757" s="298"/>
      <c r="AC757" s="297"/>
      <c r="AF757" s="296"/>
      <c r="AG757" s="297"/>
      <c r="AJ757" s="298"/>
      <c r="AK757" s="297"/>
      <c r="AN757" s="298"/>
      <c r="AR757" s="298"/>
    </row>
    <row r="758" spans="2:44" s="290" customFormat="1" x14ac:dyDescent="0.2">
      <c r="B758" s="302"/>
      <c r="D758" s="302"/>
      <c r="E758" s="302"/>
      <c r="K758" s="303"/>
      <c r="L758" s="303"/>
      <c r="M758" s="303"/>
      <c r="AB758" s="298"/>
      <c r="AC758" s="297"/>
      <c r="AF758" s="296"/>
      <c r="AG758" s="297"/>
      <c r="AJ758" s="298"/>
      <c r="AK758" s="297"/>
      <c r="AN758" s="298"/>
      <c r="AR758" s="298"/>
    </row>
    <row r="759" spans="2:44" s="290" customFormat="1" x14ac:dyDescent="0.2">
      <c r="B759" s="302"/>
      <c r="D759" s="302"/>
      <c r="E759" s="302"/>
      <c r="K759" s="303"/>
      <c r="L759" s="303"/>
      <c r="M759" s="303"/>
      <c r="AB759" s="298"/>
      <c r="AC759" s="297"/>
      <c r="AF759" s="296"/>
      <c r="AG759" s="297"/>
      <c r="AJ759" s="298"/>
      <c r="AK759" s="297"/>
      <c r="AN759" s="298"/>
      <c r="AR759" s="298"/>
    </row>
    <row r="760" spans="2:44" s="290" customFormat="1" x14ac:dyDescent="0.2">
      <c r="B760" s="302"/>
      <c r="D760" s="302"/>
      <c r="E760" s="302"/>
      <c r="K760" s="303"/>
      <c r="L760" s="303"/>
      <c r="M760" s="303"/>
      <c r="AB760" s="298"/>
      <c r="AC760" s="297"/>
      <c r="AF760" s="296"/>
      <c r="AG760" s="297"/>
      <c r="AJ760" s="298"/>
      <c r="AK760" s="297"/>
      <c r="AN760" s="298"/>
      <c r="AR760" s="298"/>
    </row>
    <row r="761" spans="2:44" s="290" customFormat="1" x14ac:dyDescent="0.2">
      <c r="B761" s="302"/>
      <c r="D761" s="302"/>
      <c r="E761" s="302"/>
      <c r="K761" s="303"/>
      <c r="L761" s="303"/>
      <c r="M761" s="303"/>
      <c r="AB761" s="298"/>
      <c r="AC761" s="297"/>
      <c r="AF761" s="296"/>
      <c r="AG761" s="297"/>
      <c r="AJ761" s="298"/>
      <c r="AK761" s="297"/>
      <c r="AN761" s="298"/>
      <c r="AR761" s="298"/>
    </row>
    <row r="762" spans="2:44" s="290" customFormat="1" x14ac:dyDescent="0.2">
      <c r="B762" s="302"/>
      <c r="D762" s="302"/>
      <c r="E762" s="302"/>
      <c r="K762" s="303"/>
      <c r="L762" s="303"/>
      <c r="M762" s="303"/>
      <c r="AB762" s="298"/>
      <c r="AC762" s="297"/>
      <c r="AF762" s="296"/>
      <c r="AG762" s="297"/>
      <c r="AJ762" s="298"/>
      <c r="AK762" s="297"/>
      <c r="AN762" s="298"/>
      <c r="AR762" s="298"/>
    </row>
    <row r="763" spans="2:44" s="290" customFormat="1" x14ac:dyDescent="0.2">
      <c r="B763" s="302"/>
      <c r="D763" s="302"/>
      <c r="E763" s="302"/>
      <c r="K763" s="303"/>
      <c r="L763" s="303"/>
      <c r="M763" s="303"/>
      <c r="AB763" s="298"/>
      <c r="AC763" s="297"/>
      <c r="AF763" s="296"/>
      <c r="AG763" s="297"/>
      <c r="AJ763" s="298"/>
      <c r="AK763" s="297"/>
      <c r="AN763" s="298"/>
      <c r="AR763" s="298"/>
    </row>
    <row r="764" spans="2:44" s="290" customFormat="1" x14ac:dyDescent="0.2">
      <c r="B764" s="302"/>
      <c r="D764" s="302"/>
      <c r="E764" s="302"/>
      <c r="K764" s="303"/>
      <c r="L764" s="303"/>
      <c r="M764" s="303"/>
      <c r="AB764" s="298"/>
      <c r="AC764" s="297"/>
      <c r="AF764" s="296"/>
      <c r="AG764" s="297"/>
      <c r="AJ764" s="298"/>
      <c r="AK764" s="297"/>
      <c r="AN764" s="298"/>
      <c r="AR764" s="298"/>
    </row>
    <row r="765" spans="2:44" s="290" customFormat="1" x14ac:dyDescent="0.2">
      <c r="B765" s="302"/>
      <c r="D765" s="302"/>
      <c r="E765" s="302"/>
      <c r="K765" s="303"/>
      <c r="L765" s="303"/>
      <c r="M765" s="303"/>
      <c r="AB765" s="298"/>
      <c r="AC765" s="297"/>
      <c r="AF765" s="296"/>
      <c r="AG765" s="297"/>
      <c r="AJ765" s="298"/>
      <c r="AK765" s="297"/>
      <c r="AN765" s="298"/>
      <c r="AR765" s="298"/>
    </row>
    <row r="766" spans="2:44" s="290" customFormat="1" x14ac:dyDescent="0.2">
      <c r="B766" s="302"/>
      <c r="D766" s="302"/>
      <c r="E766" s="302"/>
      <c r="K766" s="303"/>
      <c r="L766" s="303"/>
      <c r="M766" s="303"/>
      <c r="AB766" s="298"/>
      <c r="AC766" s="297"/>
      <c r="AF766" s="296"/>
      <c r="AG766" s="297"/>
      <c r="AJ766" s="298"/>
      <c r="AK766" s="297"/>
      <c r="AN766" s="298"/>
      <c r="AR766" s="298"/>
    </row>
    <row r="767" spans="2:44" s="290" customFormat="1" x14ac:dyDescent="0.2">
      <c r="B767" s="302"/>
      <c r="D767" s="302"/>
      <c r="E767" s="302"/>
      <c r="K767" s="303"/>
      <c r="L767" s="303"/>
      <c r="M767" s="303"/>
      <c r="AB767" s="298"/>
      <c r="AC767" s="297"/>
      <c r="AF767" s="296"/>
      <c r="AG767" s="297"/>
      <c r="AJ767" s="298"/>
      <c r="AK767" s="297"/>
      <c r="AN767" s="298"/>
      <c r="AR767" s="298"/>
    </row>
    <row r="768" spans="2:44" s="290" customFormat="1" x14ac:dyDescent="0.2">
      <c r="B768" s="302"/>
      <c r="D768" s="302"/>
      <c r="E768" s="302"/>
      <c r="K768" s="303"/>
      <c r="L768" s="303"/>
      <c r="M768" s="303"/>
      <c r="AB768" s="298"/>
      <c r="AC768" s="297"/>
      <c r="AF768" s="296"/>
      <c r="AG768" s="297"/>
      <c r="AJ768" s="298"/>
      <c r="AK768" s="297"/>
      <c r="AN768" s="298"/>
      <c r="AR768" s="298"/>
    </row>
    <row r="769" spans="2:44" s="290" customFormat="1" x14ac:dyDescent="0.2">
      <c r="B769" s="302"/>
      <c r="D769" s="302"/>
      <c r="E769" s="302"/>
      <c r="K769" s="303"/>
      <c r="L769" s="303"/>
      <c r="M769" s="303"/>
      <c r="AB769" s="298"/>
      <c r="AC769" s="297"/>
      <c r="AF769" s="296"/>
      <c r="AG769" s="297"/>
      <c r="AJ769" s="298"/>
      <c r="AK769" s="297"/>
      <c r="AN769" s="298"/>
      <c r="AR769" s="298"/>
    </row>
    <row r="770" spans="2:44" s="290" customFormat="1" x14ac:dyDescent="0.2">
      <c r="B770" s="302"/>
      <c r="D770" s="302"/>
      <c r="E770" s="302"/>
      <c r="K770" s="303"/>
      <c r="L770" s="303"/>
      <c r="M770" s="303"/>
      <c r="AB770" s="298"/>
      <c r="AC770" s="297"/>
      <c r="AF770" s="296"/>
      <c r="AG770" s="297"/>
      <c r="AJ770" s="298"/>
      <c r="AK770" s="297"/>
      <c r="AN770" s="298"/>
      <c r="AR770" s="298"/>
    </row>
    <row r="771" spans="2:44" s="290" customFormat="1" x14ac:dyDescent="0.2">
      <c r="B771" s="302"/>
      <c r="D771" s="302"/>
      <c r="E771" s="302"/>
      <c r="K771" s="303"/>
      <c r="L771" s="303"/>
      <c r="M771" s="303"/>
      <c r="AB771" s="298"/>
      <c r="AC771" s="297"/>
      <c r="AF771" s="296"/>
      <c r="AG771" s="297"/>
      <c r="AJ771" s="298"/>
      <c r="AK771" s="297"/>
      <c r="AN771" s="298"/>
      <c r="AR771" s="298"/>
    </row>
    <row r="772" spans="2:44" s="290" customFormat="1" x14ac:dyDescent="0.2">
      <c r="B772" s="302"/>
      <c r="D772" s="302"/>
      <c r="E772" s="302"/>
      <c r="K772" s="303"/>
      <c r="L772" s="303"/>
      <c r="M772" s="303"/>
      <c r="AB772" s="298"/>
      <c r="AC772" s="297"/>
      <c r="AF772" s="296"/>
      <c r="AG772" s="297"/>
      <c r="AJ772" s="298"/>
      <c r="AK772" s="297"/>
      <c r="AN772" s="298"/>
      <c r="AR772" s="298"/>
    </row>
    <row r="773" spans="2:44" s="290" customFormat="1" x14ac:dyDescent="0.2">
      <c r="B773" s="302"/>
      <c r="D773" s="302"/>
      <c r="E773" s="302"/>
      <c r="K773" s="303"/>
      <c r="L773" s="303"/>
      <c r="M773" s="303"/>
      <c r="AB773" s="298"/>
      <c r="AC773" s="297"/>
      <c r="AF773" s="296"/>
      <c r="AG773" s="297"/>
      <c r="AJ773" s="298"/>
      <c r="AK773" s="297"/>
      <c r="AN773" s="298"/>
      <c r="AR773" s="298"/>
    </row>
    <row r="774" spans="2:44" s="290" customFormat="1" x14ac:dyDescent="0.2">
      <c r="B774" s="302"/>
      <c r="D774" s="302"/>
      <c r="E774" s="302"/>
      <c r="K774" s="303"/>
      <c r="L774" s="303"/>
      <c r="M774" s="303"/>
      <c r="AB774" s="298"/>
      <c r="AC774" s="297"/>
      <c r="AF774" s="296"/>
      <c r="AG774" s="297"/>
      <c r="AJ774" s="298"/>
      <c r="AK774" s="297"/>
      <c r="AN774" s="298"/>
      <c r="AR774" s="298"/>
    </row>
    <row r="775" spans="2:44" s="290" customFormat="1" x14ac:dyDescent="0.2">
      <c r="B775" s="302"/>
      <c r="D775" s="302"/>
      <c r="E775" s="302"/>
      <c r="K775" s="303"/>
      <c r="L775" s="303"/>
      <c r="M775" s="303"/>
      <c r="AB775" s="298"/>
      <c r="AC775" s="297"/>
      <c r="AF775" s="296"/>
      <c r="AG775" s="297"/>
      <c r="AJ775" s="298"/>
      <c r="AK775" s="297"/>
      <c r="AN775" s="298"/>
      <c r="AR775" s="298"/>
    </row>
    <row r="776" spans="2:44" s="290" customFormat="1" x14ac:dyDescent="0.2">
      <c r="B776" s="302"/>
      <c r="D776" s="302"/>
      <c r="E776" s="302"/>
      <c r="K776" s="303"/>
      <c r="L776" s="303"/>
      <c r="M776" s="303"/>
      <c r="AB776" s="298"/>
      <c r="AC776" s="297"/>
      <c r="AF776" s="296"/>
      <c r="AG776" s="297"/>
      <c r="AJ776" s="298"/>
      <c r="AK776" s="297"/>
      <c r="AN776" s="298"/>
      <c r="AR776" s="298"/>
    </row>
    <row r="777" spans="2:44" s="290" customFormat="1" x14ac:dyDescent="0.2">
      <c r="B777" s="302"/>
      <c r="D777" s="302"/>
      <c r="E777" s="302"/>
      <c r="K777" s="303"/>
      <c r="L777" s="303"/>
      <c r="M777" s="303"/>
      <c r="AB777" s="298"/>
      <c r="AC777" s="297"/>
      <c r="AF777" s="296"/>
      <c r="AG777" s="297"/>
      <c r="AJ777" s="298"/>
      <c r="AK777" s="297"/>
      <c r="AN777" s="298"/>
      <c r="AR777" s="298"/>
    </row>
    <row r="778" spans="2:44" s="290" customFormat="1" x14ac:dyDescent="0.2">
      <c r="B778" s="302"/>
      <c r="D778" s="302"/>
      <c r="E778" s="302"/>
      <c r="K778" s="303"/>
      <c r="L778" s="303"/>
      <c r="M778" s="303"/>
      <c r="AB778" s="298"/>
      <c r="AC778" s="297"/>
      <c r="AF778" s="296"/>
      <c r="AG778" s="297"/>
      <c r="AJ778" s="298"/>
      <c r="AK778" s="297"/>
      <c r="AN778" s="298"/>
      <c r="AR778" s="298"/>
    </row>
    <row r="779" spans="2:44" s="290" customFormat="1" x14ac:dyDescent="0.2">
      <c r="B779" s="302"/>
      <c r="D779" s="302"/>
      <c r="E779" s="302"/>
      <c r="K779" s="303"/>
      <c r="L779" s="303"/>
      <c r="M779" s="303"/>
      <c r="AB779" s="298"/>
      <c r="AC779" s="297"/>
      <c r="AF779" s="296"/>
      <c r="AG779" s="297"/>
      <c r="AJ779" s="298"/>
      <c r="AK779" s="297"/>
      <c r="AN779" s="298"/>
      <c r="AR779" s="298"/>
    </row>
    <row r="780" spans="2:44" s="290" customFormat="1" x14ac:dyDescent="0.2">
      <c r="B780" s="302"/>
      <c r="D780" s="302"/>
      <c r="E780" s="302"/>
      <c r="K780" s="303"/>
      <c r="L780" s="303"/>
      <c r="M780" s="303"/>
      <c r="AB780" s="298"/>
      <c r="AC780" s="297"/>
      <c r="AF780" s="296"/>
      <c r="AG780" s="297"/>
      <c r="AJ780" s="298"/>
      <c r="AK780" s="297"/>
      <c r="AN780" s="298"/>
      <c r="AR780" s="298"/>
    </row>
    <row r="781" spans="2:44" s="290" customFormat="1" x14ac:dyDescent="0.2">
      <c r="B781" s="302"/>
      <c r="D781" s="302"/>
      <c r="E781" s="302"/>
      <c r="K781" s="303"/>
      <c r="L781" s="303"/>
      <c r="M781" s="303"/>
      <c r="AB781" s="298"/>
      <c r="AC781" s="297"/>
      <c r="AF781" s="296"/>
      <c r="AG781" s="297"/>
      <c r="AJ781" s="298"/>
      <c r="AK781" s="297"/>
      <c r="AN781" s="298"/>
      <c r="AR781" s="298"/>
    </row>
    <row r="782" spans="2:44" s="290" customFormat="1" x14ac:dyDescent="0.2">
      <c r="B782" s="302"/>
      <c r="D782" s="302"/>
      <c r="E782" s="302"/>
      <c r="K782" s="303"/>
      <c r="L782" s="303"/>
      <c r="M782" s="303"/>
      <c r="AB782" s="298"/>
      <c r="AC782" s="297"/>
      <c r="AF782" s="296"/>
      <c r="AG782" s="297"/>
      <c r="AJ782" s="298"/>
      <c r="AK782" s="297"/>
      <c r="AN782" s="298"/>
      <c r="AR782" s="298"/>
    </row>
    <row r="783" spans="2:44" s="290" customFormat="1" x14ac:dyDescent="0.2">
      <c r="B783" s="302"/>
      <c r="D783" s="302"/>
      <c r="E783" s="302"/>
      <c r="K783" s="303"/>
      <c r="L783" s="303"/>
      <c r="M783" s="303"/>
      <c r="AB783" s="298"/>
      <c r="AC783" s="297"/>
      <c r="AF783" s="296"/>
      <c r="AG783" s="297"/>
      <c r="AJ783" s="298"/>
      <c r="AK783" s="297"/>
      <c r="AN783" s="298"/>
      <c r="AR783" s="298"/>
    </row>
    <row r="784" spans="2:44" s="290" customFormat="1" x14ac:dyDescent="0.2">
      <c r="B784" s="302"/>
      <c r="D784" s="302"/>
      <c r="E784" s="302"/>
      <c r="K784" s="303"/>
      <c r="L784" s="303"/>
      <c r="M784" s="303"/>
      <c r="AB784" s="298"/>
      <c r="AC784" s="297"/>
      <c r="AF784" s="296"/>
      <c r="AG784" s="297"/>
      <c r="AJ784" s="298"/>
      <c r="AK784" s="297"/>
      <c r="AN784" s="298"/>
      <c r="AR784" s="298"/>
    </row>
    <row r="785" spans="2:44" s="290" customFormat="1" x14ac:dyDescent="0.2">
      <c r="B785" s="302"/>
      <c r="D785" s="302"/>
      <c r="E785" s="302"/>
      <c r="K785" s="303"/>
      <c r="L785" s="303"/>
      <c r="M785" s="303"/>
      <c r="AB785" s="298"/>
      <c r="AC785" s="297"/>
      <c r="AF785" s="296"/>
      <c r="AG785" s="297"/>
      <c r="AJ785" s="298"/>
      <c r="AK785" s="297"/>
      <c r="AN785" s="298"/>
      <c r="AR785" s="298"/>
    </row>
    <row r="786" spans="2:44" s="290" customFormat="1" x14ac:dyDescent="0.2">
      <c r="B786" s="302"/>
      <c r="D786" s="302"/>
      <c r="E786" s="302"/>
      <c r="K786" s="303"/>
      <c r="L786" s="303"/>
      <c r="M786" s="303"/>
      <c r="AB786" s="298"/>
      <c r="AC786" s="297"/>
      <c r="AF786" s="296"/>
      <c r="AG786" s="297"/>
      <c r="AJ786" s="298"/>
      <c r="AK786" s="297"/>
      <c r="AN786" s="298"/>
      <c r="AR786" s="298"/>
    </row>
    <row r="787" spans="2:44" s="290" customFormat="1" x14ac:dyDescent="0.2">
      <c r="B787" s="302"/>
      <c r="D787" s="302"/>
      <c r="E787" s="302"/>
      <c r="K787" s="303"/>
      <c r="L787" s="303"/>
      <c r="M787" s="303"/>
      <c r="AB787" s="298"/>
      <c r="AC787" s="297"/>
      <c r="AF787" s="296"/>
      <c r="AG787" s="297"/>
      <c r="AJ787" s="298"/>
      <c r="AK787" s="297"/>
      <c r="AN787" s="298"/>
      <c r="AR787" s="298"/>
    </row>
    <row r="788" spans="2:44" s="290" customFormat="1" x14ac:dyDescent="0.2">
      <c r="B788" s="302"/>
      <c r="D788" s="302"/>
      <c r="E788" s="302"/>
      <c r="K788" s="303"/>
      <c r="L788" s="303"/>
      <c r="M788" s="303"/>
      <c r="AB788" s="298"/>
      <c r="AC788" s="297"/>
      <c r="AF788" s="296"/>
      <c r="AG788" s="297"/>
      <c r="AJ788" s="298"/>
      <c r="AK788" s="297"/>
      <c r="AN788" s="298"/>
      <c r="AR788" s="298"/>
    </row>
    <row r="789" spans="2:44" s="290" customFormat="1" x14ac:dyDescent="0.2">
      <c r="B789" s="302"/>
      <c r="D789" s="302"/>
      <c r="E789" s="302"/>
      <c r="K789" s="303"/>
      <c r="L789" s="303"/>
      <c r="M789" s="303"/>
      <c r="AB789" s="298"/>
      <c r="AC789" s="297"/>
      <c r="AF789" s="296"/>
      <c r="AG789" s="297"/>
      <c r="AJ789" s="298"/>
      <c r="AK789" s="297"/>
      <c r="AN789" s="298"/>
      <c r="AR789" s="298"/>
    </row>
    <row r="790" spans="2:44" s="290" customFormat="1" x14ac:dyDescent="0.2">
      <c r="B790" s="302"/>
      <c r="D790" s="302"/>
      <c r="E790" s="302"/>
      <c r="K790" s="303"/>
      <c r="L790" s="303"/>
      <c r="M790" s="303"/>
      <c r="AB790" s="298"/>
      <c r="AC790" s="297"/>
      <c r="AF790" s="296"/>
      <c r="AG790" s="297"/>
      <c r="AJ790" s="298"/>
      <c r="AK790" s="297"/>
      <c r="AN790" s="298"/>
      <c r="AR790" s="298"/>
    </row>
    <row r="791" spans="2:44" s="290" customFormat="1" x14ac:dyDescent="0.2">
      <c r="B791" s="302"/>
      <c r="D791" s="302"/>
      <c r="E791" s="302"/>
      <c r="K791" s="303"/>
      <c r="L791" s="303"/>
      <c r="M791" s="303"/>
      <c r="AB791" s="298"/>
      <c r="AC791" s="297"/>
      <c r="AF791" s="296"/>
      <c r="AG791" s="297"/>
      <c r="AJ791" s="298"/>
      <c r="AK791" s="297"/>
      <c r="AN791" s="298"/>
      <c r="AR791" s="298"/>
    </row>
    <row r="792" spans="2:44" s="290" customFormat="1" x14ac:dyDescent="0.2">
      <c r="B792" s="302"/>
      <c r="D792" s="302"/>
      <c r="E792" s="302"/>
      <c r="K792" s="303"/>
      <c r="L792" s="303"/>
      <c r="M792" s="303"/>
      <c r="AB792" s="298"/>
      <c r="AC792" s="297"/>
      <c r="AF792" s="296"/>
      <c r="AG792" s="297"/>
      <c r="AJ792" s="298"/>
      <c r="AK792" s="297"/>
      <c r="AN792" s="298"/>
      <c r="AR792" s="298"/>
    </row>
    <row r="793" spans="2:44" s="290" customFormat="1" x14ac:dyDescent="0.2">
      <c r="B793" s="302"/>
      <c r="D793" s="302"/>
      <c r="E793" s="302"/>
      <c r="K793" s="303"/>
      <c r="L793" s="303"/>
      <c r="M793" s="303"/>
      <c r="AB793" s="298"/>
      <c r="AC793" s="297"/>
      <c r="AF793" s="296"/>
      <c r="AG793" s="297"/>
      <c r="AJ793" s="298"/>
      <c r="AK793" s="297"/>
      <c r="AN793" s="298"/>
      <c r="AR793" s="298"/>
    </row>
    <row r="794" spans="2:44" s="290" customFormat="1" x14ac:dyDescent="0.2">
      <c r="B794" s="302"/>
      <c r="D794" s="302"/>
      <c r="E794" s="302"/>
      <c r="K794" s="303"/>
      <c r="L794" s="303"/>
      <c r="M794" s="303"/>
      <c r="AB794" s="298"/>
      <c r="AC794" s="297"/>
      <c r="AF794" s="296"/>
      <c r="AG794" s="297"/>
      <c r="AJ794" s="298"/>
      <c r="AK794" s="297"/>
      <c r="AN794" s="298"/>
      <c r="AR794" s="298"/>
    </row>
    <row r="795" spans="2:44" s="290" customFormat="1" x14ac:dyDescent="0.2">
      <c r="B795" s="302"/>
      <c r="D795" s="302"/>
      <c r="E795" s="302"/>
      <c r="K795" s="303"/>
      <c r="L795" s="303"/>
      <c r="M795" s="303"/>
      <c r="AB795" s="298"/>
      <c r="AC795" s="297"/>
      <c r="AF795" s="296"/>
      <c r="AG795" s="297"/>
      <c r="AJ795" s="298"/>
      <c r="AK795" s="297"/>
      <c r="AN795" s="298"/>
      <c r="AR795" s="298"/>
    </row>
    <row r="796" spans="2:44" s="290" customFormat="1" x14ac:dyDescent="0.2">
      <c r="B796" s="302"/>
      <c r="D796" s="302"/>
      <c r="E796" s="302"/>
      <c r="K796" s="303"/>
      <c r="L796" s="303"/>
      <c r="M796" s="303"/>
      <c r="AB796" s="298"/>
      <c r="AC796" s="297"/>
      <c r="AF796" s="296"/>
      <c r="AG796" s="297"/>
      <c r="AJ796" s="298"/>
      <c r="AK796" s="297"/>
      <c r="AN796" s="298"/>
      <c r="AR796" s="298"/>
    </row>
    <row r="797" spans="2:44" s="290" customFormat="1" x14ac:dyDescent="0.2">
      <c r="B797" s="302"/>
      <c r="D797" s="302"/>
      <c r="E797" s="302"/>
      <c r="K797" s="303"/>
      <c r="L797" s="303"/>
      <c r="M797" s="303"/>
      <c r="AB797" s="298"/>
      <c r="AC797" s="297"/>
      <c r="AF797" s="296"/>
      <c r="AG797" s="297"/>
      <c r="AJ797" s="298"/>
      <c r="AK797" s="297"/>
      <c r="AN797" s="298"/>
      <c r="AR797" s="298"/>
    </row>
    <row r="798" spans="2:44" s="290" customFormat="1" x14ac:dyDescent="0.2">
      <c r="B798" s="302"/>
      <c r="D798" s="302"/>
      <c r="E798" s="302"/>
      <c r="K798" s="303"/>
      <c r="L798" s="303"/>
      <c r="M798" s="303"/>
      <c r="AB798" s="298"/>
      <c r="AC798" s="297"/>
      <c r="AF798" s="296"/>
      <c r="AG798" s="297"/>
      <c r="AJ798" s="298"/>
      <c r="AK798" s="297"/>
      <c r="AN798" s="298"/>
      <c r="AR798" s="298"/>
    </row>
    <row r="799" spans="2:44" s="290" customFormat="1" x14ac:dyDescent="0.2">
      <c r="B799" s="302"/>
      <c r="D799" s="302"/>
      <c r="E799" s="302"/>
      <c r="K799" s="303"/>
      <c r="L799" s="303"/>
      <c r="M799" s="303"/>
      <c r="AB799" s="298"/>
      <c r="AC799" s="297"/>
      <c r="AF799" s="296"/>
      <c r="AG799" s="297"/>
      <c r="AJ799" s="298"/>
      <c r="AK799" s="297"/>
      <c r="AN799" s="298"/>
      <c r="AR799" s="298"/>
    </row>
    <row r="800" spans="2:44" s="290" customFormat="1" x14ac:dyDescent="0.2">
      <c r="B800" s="302"/>
      <c r="D800" s="302"/>
      <c r="E800" s="302"/>
      <c r="K800" s="303"/>
      <c r="L800" s="303"/>
      <c r="M800" s="303"/>
      <c r="AB800" s="298"/>
      <c r="AC800" s="297"/>
      <c r="AF800" s="296"/>
      <c r="AG800" s="297"/>
      <c r="AJ800" s="298"/>
      <c r="AK800" s="297"/>
      <c r="AN800" s="298"/>
      <c r="AR800" s="298"/>
    </row>
    <row r="801" spans="2:44" s="290" customFormat="1" x14ac:dyDescent="0.2">
      <c r="B801" s="302"/>
      <c r="D801" s="302"/>
      <c r="E801" s="302"/>
      <c r="K801" s="303"/>
      <c r="L801" s="303"/>
      <c r="M801" s="303"/>
      <c r="AB801" s="298"/>
      <c r="AC801" s="297"/>
      <c r="AF801" s="296"/>
      <c r="AG801" s="297"/>
      <c r="AJ801" s="298"/>
      <c r="AK801" s="297"/>
      <c r="AN801" s="298"/>
      <c r="AR801" s="298"/>
    </row>
    <row r="802" spans="2:44" s="290" customFormat="1" x14ac:dyDescent="0.2">
      <c r="B802" s="302"/>
      <c r="D802" s="302"/>
      <c r="E802" s="302"/>
      <c r="K802" s="303"/>
      <c r="L802" s="303"/>
      <c r="M802" s="303"/>
      <c r="AB802" s="298"/>
      <c r="AC802" s="297"/>
      <c r="AF802" s="296"/>
      <c r="AG802" s="297"/>
      <c r="AJ802" s="298"/>
      <c r="AK802" s="297"/>
      <c r="AN802" s="298"/>
      <c r="AR802" s="298"/>
    </row>
    <row r="803" spans="2:44" s="290" customFormat="1" x14ac:dyDescent="0.2">
      <c r="B803" s="302"/>
      <c r="D803" s="302"/>
      <c r="E803" s="302"/>
      <c r="K803" s="303"/>
      <c r="L803" s="303"/>
      <c r="M803" s="303"/>
      <c r="AB803" s="298"/>
      <c r="AC803" s="297"/>
      <c r="AF803" s="296"/>
      <c r="AG803" s="297"/>
      <c r="AJ803" s="298"/>
      <c r="AK803" s="297"/>
      <c r="AN803" s="298"/>
      <c r="AR803" s="298"/>
    </row>
    <row r="804" spans="2:44" s="290" customFormat="1" x14ac:dyDescent="0.2">
      <c r="B804" s="302"/>
      <c r="D804" s="302"/>
      <c r="E804" s="302"/>
      <c r="K804" s="303"/>
      <c r="L804" s="303"/>
      <c r="M804" s="303"/>
      <c r="AB804" s="298"/>
      <c r="AC804" s="297"/>
      <c r="AF804" s="296"/>
      <c r="AG804" s="297"/>
      <c r="AJ804" s="298"/>
      <c r="AK804" s="297"/>
      <c r="AN804" s="298"/>
      <c r="AR804" s="298"/>
    </row>
    <row r="805" spans="2:44" s="290" customFormat="1" x14ac:dyDescent="0.2">
      <c r="B805" s="302"/>
      <c r="D805" s="302"/>
      <c r="E805" s="302"/>
      <c r="K805" s="303"/>
      <c r="L805" s="303"/>
      <c r="M805" s="303"/>
      <c r="AB805" s="298"/>
      <c r="AC805" s="297"/>
      <c r="AF805" s="296"/>
      <c r="AG805" s="297"/>
      <c r="AJ805" s="298"/>
      <c r="AK805" s="297"/>
      <c r="AN805" s="298"/>
      <c r="AR805" s="298"/>
    </row>
    <row r="806" spans="2:44" s="290" customFormat="1" x14ac:dyDescent="0.2">
      <c r="B806" s="302"/>
      <c r="D806" s="302"/>
      <c r="E806" s="302"/>
      <c r="K806" s="303"/>
      <c r="L806" s="303"/>
      <c r="M806" s="303"/>
      <c r="AB806" s="298"/>
      <c r="AC806" s="297"/>
      <c r="AF806" s="296"/>
      <c r="AG806" s="297"/>
      <c r="AJ806" s="298"/>
      <c r="AK806" s="297"/>
      <c r="AN806" s="298"/>
      <c r="AR806" s="298"/>
    </row>
    <row r="807" spans="2:44" s="290" customFormat="1" x14ac:dyDescent="0.2">
      <c r="B807" s="302"/>
      <c r="D807" s="302"/>
      <c r="E807" s="302"/>
      <c r="K807" s="303"/>
      <c r="L807" s="303"/>
      <c r="M807" s="303"/>
      <c r="AB807" s="298"/>
      <c r="AC807" s="297"/>
      <c r="AF807" s="296"/>
      <c r="AG807" s="297"/>
      <c r="AJ807" s="298"/>
      <c r="AK807" s="297"/>
      <c r="AN807" s="298"/>
      <c r="AR807" s="298"/>
    </row>
    <row r="808" spans="2:44" s="290" customFormat="1" x14ac:dyDescent="0.2">
      <c r="B808" s="302"/>
      <c r="D808" s="302"/>
      <c r="E808" s="302"/>
      <c r="K808" s="303"/>
      <c r="L808" s="303"/>
      <c r="M808" s="303"/>
      <c r="AB808" s="298"/>
      <c r="AC808" s="297"/>
      <c r="AF808" s="296"/>
      <c r="AG808" s="297"/>
      <c r="AJ808" s="298"/>
      <c r="AK808" s="297"/>
      <c r="AN808" s="298"/>
      <c r="AR808" s="298"/>
    </row>
    <row r="809" spans="2:44" s="290" customFormat="1" x14ac:dyDescent="0.2">
      <c r="B809" s="302"/>
      <c r="D809" s="302"/>
      <c r="E809" s="302"/>
      <c r="K809" s="303"/>
      <c r="L809" s="303"/>
      <c r="M809" s="303"/>
      <c r="AB809" s="298"/>
      <c r="AC809" s="297"/>
      <c r="AF809" s="296"/>
      <c r="AG809" s="297"/>
      <c r="AJ809" s="298"/>
      <c r="AK809" s="297"/>
      <c r="AN809" s="298"/>
      <c r="AR809" s="298"/>
    </row>
    <row r="810" spans="2:44" s="290" customFormat="1" x14ac:dyDescent="0.2">
      <c r="B810" s="302"/>
      <c r="D810" s="302"/>
      <c r="E810" s="302"/>
      <c r="K810" s="303"/>
      <c r="L810" s="303"/>
      <c r="M810" s="303"/>
      <c r="AB810" s="298"/>
      <c r="AC810" s="297"/>
      <c r="AF810" s="296"/>
      <c r="AG810" s="297"/>
      <c r="AJ810" s="298"/>
      <c r="AK810" s="297"/>
      <c r="AN810" s="298"/>
      <c r="AR810" s="298"/>
    </row>
    <row r="811" spans="2:44" s="290" customFormat="1" x14ac:dyDescent="0.2">
      <c r="B811" s="302"/>
      <c r="D811" s="302"/>
      <c r="E811" s="302"/>
      <c r="K811" s="303"/>
      <c r="L811" s="303"/>
      <c r="M811" s="303"/>
      <c r="AB811" s="298"/>
      <c r="AC811" s="297"/>
      <c r="AF811" s="296"/>
      <c r="AG811" s="297"/>
      <c r="AJ811" s="298"/>
      <c r="AK811" s="297"/>
      <c r="AN811" s="298"/>
      <c r="AR811" s="298"/>
    </row>
    <row r="812" spans="2:44" s="290" customFormat="1" x14ac:dyDescent="0.2">
      <c r="B812" s="302"/>
      <c r="D812" s="302"/>
      <c r="E812" s="302"/>
      <c r="K812" s="303"/>
      <c r="L812" s="303"/>
      <c r="M812" s="303"/>
      <c r="AB812" s="298"/>
      <c r="AC812" s="297"/>
      <c r="AF812" s="296"/>
      <c r="AG812" s="297"/>
      <c r="AJ812" s="298"/>
      <c r="AK812" s="297"/>
      <c r="AN812" s="298"/>
      <c r="AR812" s="298"/>
    </row>
    <row r="813" spans="2:44" s="290" customFormat="1" x14ac:dyDescent="0.2">
      <c r="B813" s="302"/>
      <c r="D813" s="302"/>
      <c r="E813" s="302"/>
      <c r="K813" s="303"/>
      <c r="L813" s="303"/>
      <c r="M813" s="303"/>
      <c r="AB813" s="298"/>
      <c r="AC813" s="297"/>
      <c r="AF813" s="296"/>
      <c r="AG813" s="297"/>
      <c r="AJ813" s="298"/>
      <c r="AK813" s="297"/>
      <c r="AN813" s="298"/>
      <c r="AR813" s="298"/>
    </row>
    <row r="814" spans="2:44" s="290" customFormat="1" x14ac:dyDescent="0.2">
      <c r="B814" s="302"/>
      <c r="D814" s="302"/>
      <c r="E814" s="302"/>
      <c r="K814" s="303"/>
      <c r="L814" s="303"/>
      <c r="M814" s="303"/>
      <c r="AB814" s="298"/>
      <c r="AC814" s="297"/>
      <c r="AF814" s="296"/>
      <c r="AG814" s="297"/>
      <c r="AJ814" s="298"/>
      <c r="AK814" s="297"/>
      <c r="AN814" s="298"/>
      <c r="AR814" s="298"/>
    </row>
    <row r="815" spans="2:44" s="290" customFormat="1" x14ac:dyDescent="0.2">
      <c r="B815" s="302"/>
      <c r="D815" s="302"/>
      <c r="E815" s="302"/>
      <c r="K815" s="303"/>
      <c r="L815" s="303"/>
      <c r="M815" s="303"/>
      <c r="AB815" s="298"/>
      <c r="AC815" s="297"/>
      <c r="AF815" s="296"/>
      <c r="AG815" s="297"/>
      <c r="AJ815" s="298"/>
      <c r="AK815" s="297"/>
      <c r="AN815" s="298"/>
      <c r="AR815" s="298"/>
    </row>
    <row r="816" spans="2:44" s="290" customFormat="1" x14ac:dyDescent="0.2">
      <c r="B816" s="302"/>
      <c r="D816" s="302"/>
      <c r="E816" s="302"/>
      <c r="K816" s="303"/>
      <c r="L816" s="303"/>
      <c r="M816" s="303"/>
      <c r="AB816" s="298"/>
      <c r="AC816" s="297"/>
      <c r="AF816" s="296"/>
      <c r="AG816" s="297"/>
      <c r="AJ816" s="298"/>
      <c r="AK816" s="297"/>
      <c r="AN816" s="298"/>
      <c r="AR816" s="298"/>
    </row>
    <row r="817" spans="2:44" s="290" customFormat="1" x14ac:dyDescent="0.2">
      <c r="B817" s="302"/>
      <c r="D817" s="302"/>
      <c r="E817" s="302"/>
      <c r="K817" s="303"/>
      <c r="L817" s="303"/>
      <c r="M817" s="303"/>
      <c r="AB817" s="298"/>
      <c r="AC817" s="297"/>
      <c r="AF817" s="296"/>
      <c r="AG817" s="297"/>
      <c r="AJ817" s="298"/>
      <c r="AK817" s="297"/>
      <c r="AN817" s="298"/>
      <c r="AR817" s="298"/>
    </row>
    <row r="818" spans="2:44" s="290" customFormat="1" x14ac:dyDescent="0.2">
      <c r="B818" s="302"/>
      <c r="D818" s="302"/>
      <c r="E818" s="302"/>
      <c r="K818" s="303"/>
      <c r="L818" s="303"/>
      <c r="M818" s="303"/>
      <c r="AB818" s="298"/>
      <c r="AC818" s="297"/>
      <c r="AF818" s="296"/>
      <c r="AG818" s="297"/>
      <c r="AJ818" s="298"/>
      <c r="AK818" s="297"/>
      <c r="AN818" s="298"/>
      <c r="AR818" s="298"/>
    </row>
    <row r="819" spans="2:44" s="290" customFormat="1" x14ac:dyDescent="0.2">
      <c r="B819" s="302"/>
      <c r="D819" s="302"/>
      <c r="E819" s="302"/>
      <c r="K819" s="303"/>
      <c r="L819" s="303"/>
      <c r="M819" s="303"/>
      <c r="AB819" s="298"/>
      <c r="AC819" s="297"/>
      <c r="AF819" s="296"/>
      <c r="AG819" s="297"/>
      <c r="AJ819" s="298"/>
      <c r="AK819" s="297"/>
      <c r="AN819" s="298"/>
      <c r="AR819" s="298"/>
    </row>
    <row r="820" spans="2:44" s="290" customFormat="1" x14ac:dyDescent="0.2">
      <c r="B820" s="302"/>
      <c r="D820" s="302"/>
      <c r="E820" s="302"/>
      <c r="K820" s="303"/>
      <c r="L820" s="303"/>
      <c r="M820" s="303"/>
      <c r="AB820" s="298"/>
      <c r="AC820" s="297"/>
      <c r="AF820" s="296"/>
      <c r="AG820" s="297"/>
      <c r="AJ820" s="298"/>
      <c r="AK820" s="297"/>
      <c r="AN820" s="298"/>
      <c r="AR820" s="298"/>
    </row>
    <row r="821" spans="2:44" s="290" customFormat="1" x14ac:dyDescent="0.2">
      <c r="B821" s="302"/>
      <c r="D821" s="302"/>
      <c r="E821" s="302"/>
      <c r="K821" s="303"/>
      <c r="L821" s="303"/>
      <c r="M821" s="303"/>
      <c r="AB821" s="298"/>
      <c r="AC821" s="297"/>
      <c r="AF821" s="296"/>
      <c r="AG821" s="297"/>
      <c r="AJ821" s="298"/>
      <c r="AK821" s="297"/>
      <c r="AN821" s="298"/>
      <c r="AR821" s="298"/>
    </row>
    <row r="822" spans="2:44" s="290" customFormat="1" x14ac:dyDescent="0.2">
      <c r="B822" s="302"/>
      <c r="D822" s="302"/>
      <c r="E822" s="302"/>
      <c r="K822" s="303"/>
      <c r="L822" s="303"/>
      <c r="M822" s="303"/>
      <c r="AB822" s="298"/>
      <c r="AC822" s="297"/>
      <c r="AF822" s="296"/>
      <c r="AG822" s="297"/>
      <c r="AJ822" s="298"/>
      <c r="AK822" s="297"/>
      <c r="AN822" s="298"/>
      <c r="AR822" s="298"/>
    </row>
    <row r="823" spans="2:44" s="290" customFormat="1" x14ac:dyDescent="0.2">
      <c r="B823" s="302"/>
      <c r="D823" s="302"/>
      <c r="E823" s="302"/>
      <c r="K823" s="303"/>
      <c r="L823" s="303"/>
      <c r="M823" s="303"/>
      <c r="AB823" s="298"/>
      <c r="AC823" s="297"/>
      <c r="AF823" s="296"/>
      <c r="AG823" s="297"/>
      <c r="AJ823" s="298"/>
      <c r="AK823" s="297"/>
      <c r="AN823" s="298"/>
      <c r="AR823" s="298"/>
    </row>
    <row r="824" spans="2:44" s="290" customFormat="1" x14ac:dyDescent="0.2">
      <c r="B824" s="302"/>
      <c r="D824" s="302"/>
      <c r="E824" s="302"/>
      <c r="K824" s="303"/>
      <c r="L824" s="303"/>
      <c r="M824" s="303"/>
      <c r="AB824" s="298"/>
      <c r="AC824" s="297"/>
      <c r="AF824" s="296"/>
      <c r="AG824" s="297"/>
      <c r="AJ824" s="298"/>
      <c r="AK824" s="297"/>
      <c r="AN824" s="298"/>
      <c r="AR824" s="298"/>
    </row>
    <row r="825" spans="2:44" s="290" customFormat="1" x14ac:dyDescent="0.2">
      <c r="B825" s="302"/>
      <c r="D825" s="302"/>
      <c r="E825" s="302"/>
      <c r="K825" s="303"/>
      <c r="L825" s="303"/>
      <c r="M825" s="303"/>
      <c r="AB825" s="298"/>
      <c r="AC825" s="297"/>
      <c r="AF825" s="296"/>
      <c r="AG825" s="297"/>
      <c r="AJ825" s="298"/>
      <c r="AK825" s="297"/>
      <c r="AN825" s="298"/>
      <c r="AR825" s="298"/>
    </row>
    <row r="826" spans="2:44" s="290" customFormat="1" x14ac:dyDescent="0.2">
      <c r="B826" s="302"/>
      <c r="D826" s="302"/>
      <c r="E826" s="302"/>
      <c r="K826" s="303"/>
      <c r="L826" s="303"/>
      <c r="M826" s="303"/>
      <c r="AB826" s="298"/>
      <c r="AC826" s="297"/>
      <c r="AF826" s="296"/>
      <c r="AG826" s="297"/>
      <c r="AJ826" s="298"/>
      <c r="AK826" s="297"/>
      <c r="AN826" s="298"/>
      <c r="AR826" s="298"/>
    </row>
    <row r="827" spans="2:44" s="290" customFormat="1" x14ac:dyDescent="0.2">
      <c r="B827" s="302"/>
      <c r="D827" s="302"/>
      <c r="E827" s="302"/>
      <c r="K827" s="303"/>
      <c r="L827" s="303"/>
      <c r="M827" s="303"/>
      <c r="AB827" s="298"/>
      <c r="AC827" s="297"/>
      <c r="AF827" s="296"/>
      <c r="AG827" s="297"/>
      <c r="AJ827" s="298"/>
      <c r="AK827" s="297"/>
      <c r="AN827" s="298"/>
      <c r="AR827" s="298"/>
    </row>
    <row r="828" spans="2:44" s="290" customFormat="1" x14ac:dyDescent="0.2">
      <c r="B828" s="302"/>
      <c r="D828" s="302"/>
      <c r="E828" s="302"/>
      <c r="K828" s="303"/>
      <c r="L828" s="303"/>
      <c r="M828" s="303"/>
      <c r="AB828" s="298"/>
      <c r="AC828" s="297"/>
      <c r="AF828" s="296"/>
      <c r="AG828" s="297"/>
      <c r="AJ828" s="298"/>
      <c r="AK828" s="297"/>
      <c r="AN828" s="298"/>
      <c r="AR828" s="298"/>
    </row>
    <row r="829" spans="2:44" s="290" customFormat="1" x14ac:dyDescent="0.2">
      <c r="B829" s="302"/>
      <c r="D829" s="302"/>
      <c r="E829" s="302"/>
      <c r="K829" s="303"/>
      <c r="L829" s="303"/>
      <c r="M829" s="303"/>
      <c r="AB829" s="298"/>
      <c r="AC829" s="297"/>
      <c r="AF829" s="296"/>
      <c r="AG829" s="297"/>
      <c r="AJ829" s="298"/>
      <c r="AK829" s="297"/>
      <c r="AN829" s="298"/>
      <c r="AR829" s="298"/>
    </row>
    <row r="830" spans="2:44" s="290" customFormat="1" x14ac:dyDescent="0.2">
      <c r="B830" s="302"/>
      <c r="D830" s="302"/>
      <c r="E830" s="302"/>
      <c r="K830" s="303"/>
      <c r="L830" s="303"/>
      <c r="M830" s="303"/>
      <c r="AB830" s="298"/>
      <c r="AC830" s="297"/>
      <c r="AF830" s="296"/>
      <c r="AG830" s="297"/>
      <c r="AJ830" s="298"/>
      <c r="AK830" s="297"/>
      <c r="AN830" s="298"/>
      <c r="AR830" s="298"/>
    </row>
    <row r="831" spans="2:44" s="290" customFormat="1" x14ac:dyDescent="0.2">
      <c r="B831" s="302"/>
      <c r="D831" s="302"/>
      <c r="E831" s="302"/>
      <c r="K831" s="303"/>
      <c r="L831" s="303"/>
      <c r="M831" s="303"/>
      <c r="AB831" s="298"/>
      <c r="AC831" s="297"/>
      <c r="AF831" s="296"/>
      <c r="AG831" s="297"/>
      <c r="AJ831" s="298"/>
      <c r="AK831" s="297"/>
      <c r="AN831" s="298"/>
      <c r="AR831" s="298"/>
    </row>
    <row r="832" spans="2:44" s="290" customFormat="1" x14ac:dyDescent="0.2">
      <c r="B832" s="302"/>
      <c r="D832" s="302"/>
      <c r="E832" s="302"/>
      <c r="K832" s="303"/>
      <c r="L832" s="303"/>
      <c r="M832" s="303"/>
      <c r="AB832" s="298"/>
      <c r="AC832" s="297"/>
      <c r="AF832" s="296"/>
      <c r="AG832" s="297"/>
      <c r="AJ832" s="298"/>
      <c r="AK832" s="297"/>
      <c r="AN832" s="298"/>
      <c r="AR832" s="298"/>
    </row>
    <row r="833" spans="2:44" s="290" customFormat="1" x14ac:dyDescent="0.2">
      <c r="B833" s="302"/>
      <c r="D833" s="302"/>
      <c r="E833" s="302"/>
      <c r="K833" s="303"/>
      <c r="L833" s="303"/>
      <c r="M833" s="303"/>
      <c r="AB833" s="298"/>
      <c r="AC833" s="297"/>
      <c r="AF833" s="296"/>
      <c r="AG833" s="297"/>
      <c r="AJ833" s="298"/>
      <c r="AK833" s="297"/>
      <c r="AN833" s="298"/>
      <c r="AR833" s="298"/>
    </row>
    <row r="834" spans="2:44" s="290" customFormat="1" x14ac:dyDescent="0.2">
      <c r="B834" s="302"/>
      <c r="D834" s="302"/>
      <c r="E834" s="302"/>
      <c r="K834" s="303"/>
      <c r="L834" s="303"/>
      <c r="M834" s="303"/>
      <c r="AB834" s="298"/>
      <c r="AC834" s="297"/>
      <c r="AF834" s="296"/>
      <c r="AG834" s="297"/>
      <c r="AJ834" s="298"/>
      <c r="AK834" s="297"/>
      <c r="AN834" s="298"/>
      <c r="AR834" s="298"/>
    </row>
    <row r="835" spans="2:44" s="290" customFormat="1" x14ac:dyDescent="0.2">
      <c r="B835" s="302"/>
      <c r="D835" s="302"/>
      <c r="E835" s="302"/>
      <c r="K835" s="303"/>
      <c r="L835" s="303"/>
      <c r="M835" s="303"/>
      <c r="AB835" s="298"/>
      <c r="AC835" s="297"/>
      <c r="AF835" s="296"/>
      <c r="AG835" s="297"/>
      <c r="AJ835" s="298"/>
      <c r="AK835" s="297"/>
      <c r="AN835" s="298"/>
      <c r="AR835" s="298"/>
    </row>
    <row r="836" spans="2:44" s="290" customFormat="1" x14ac:dyDescent="0.2">
      <c r="B836" s="302"/>
      <c r="D836" s="302"/>
      <c r="E836" s="302"/>
      <c r="K836" s="303"/>
      <c r="L836" s="303"/>
      <c r="M836" s="303"/>
      <c r="AB836" s="298"/>
      <c r="AC836" s="297"/>
      <c r="AF836" s="296"/>
      <c r="AG836" s="297"/>
      <c r="AJ836" s="298"/>
      <c r="AK836" s="297"/>
      <c r="AN836" s="298"/>
      <c r="AR836" s="298"/>
    </row>
    <row r="837" spans="2:44" s="290" customFormat="1" x14ac:dyDescent="0.2">
      <c r="B837" s="302"/>
      <c r="D837" s="302"/>
      <c r="E837" s="302"/>
      <c r="K837" s="303"/>
      <c r="L837" s="303"/>
      <c r="M837" s="303"/>
      <c r="AB837" s="298"/>
      <c r="AC837" s="297"/>
      <c r="AF837" s="296"/>
      <c r="AG837" s="297"/>
      <c r="AJ837" s="298"/>
      <c r="AK837" s="297"/>
      <c r="AN837" s="298"/>
      <c r="AR837" s="298"/>
    </row>
    <row r="838" spans="2:44" s="290" customFormat="1" x14ac:dyDescent="0.2">
      <c r="B838" s="302"/>
      <c r="D838" s="302"/>
      <c r="E838" s="302"/>
      <c r="K838" s="303"/>
      <c r="L838" s="303"/>
      <c r="M838" s="303"/>
      <c r="AB838" s="298"/>
      <c r="AC838" s="297"/>
      <c r="AF838" s="296"/>
      <c r="AG838" s="297"/>
      <c r="AJ838" s="298"/>
      <c r="AK838" s="297"/>
      <c r="AN838" s="298"/>
      <c r="AR838" s="298"/>
    </row>
    <row r="839" spans="2:44" s="290" customFormat="1" x14ac:dyDescent="0.2">
      <c r="B839" s="302"/>
      <c r="D839" s="302"/>
      <c r="E839" s="302"/>
      <c r="K839" s="303"/>
      <c r="L839" s="303"/>
      <c r="M839" s="303"/>
      <c r="AB839" s="298"/>
      <c r="AC839" s="297"/>
      <c r="AF839" s="296"/>
      <c r="AG839" s="297"/>
      <c r="AJ839" s="298"/>
      <c r="AK839" s="297"/>
      <c r="AN839" s="298"/>
      <c r="AR839" s="298"/>
    </row>
    <row r="840" spans="2:44" s="290" customFormat="1" x14ac:dyDescent="0.2">
      <c r="B840" s="302"/>
      <c r="D840" s="302"/>
      <c r="E840" s="302"/>
      <c r="K840" s="303"/>
      <c r="L840" s="303"/>
      <c r="M840" s="303"/>
      <c r="AB840" s="298"/>
      <c r="AC840" s="297"/>
      <c r="AF840" s="296"/>
      <c r="AG840" s="297"/>
      <c r="AJ840" s="298"/>
      <c r="AK840" s="297"/>
      <c r="AN840" s="298"/>
      <c r="AR840" s="298"/>
    </row>
    <row r="841" spans="2:44" s="290" customFormat="1" x14ac:dyDescent="0.2">
      <c r="B841" s="302"/>
      <c r="D841" s="302"/>
      <c r="E841" s="302"/>
      <c r="K841" s="303"/>
      <c r="L841" s="303"/>
      <c r="M841" s="303"/>
      <c r="AB841" s="298"/>
      <c r="AC841" s="297"/>
      <c r="AF841" s="296"/>
      <c r="AG841" s="297"/>
      <c r="AJ841" s="298"/>
      <c r="AK841" s="297"/>
      <c r="AN841" s="298"/>
      <c r="AR841" s="298"/>
    </row>
    <row r="842" spans="2:44" s="290" customFormat="1" x14ac:dyDescent="0.2">
      <c r="B842" s="302"/>
      <c r="D842" s="302"/>
      <c r="E842" s="302"/>
      <c r="K842" s="303"/>
      <c r="L842" s="303"/>
      <c r="M842" s="303"/>
      <c r="AB842" s="298"/>
      <c r="AC842" s="297"/>
      <c r="AF842" s="296"/>
      <c r="AG842" s="297"/>
      <c r="AJ842" s="298"/>
      <c r="AK842" s="297"/>
      <c r="AN842" s="298"/>
      <c r="AR842" s="298"/>
    </row>
    <row r="843" spans="2:44" s="290" customFormat="1" x14ac:dyDescent="0.2">
      <c r="B843" s="302"/>
      <c r="D843" s="302"/>
      <c r="E843" s="302"/>
      <c r="K843" s="303"/>
      <c r="L843" s="303"/>
      <c r="M843" s="303"/>
      <c r="AB843" s="298"/>
      <c r="AC843" s="297"/>
      <c r="AF843" s="296"/>
      <c r="AG843" s="297"/>
      <c r="AJ843" s="298"/>
      <c r="AK843" s="297"/>
      <c r="AN843" s="298"/>
      <c r="AR843" s="298"/>
    </row>
    <row r="844" spans="2:44" s="290" customFormat="1" x14ac:dyDescent="0.2">
      <c r="B844" s="302"/>
      <c r="D844" s="302"/>
      <c r="E844" s="302"/>
      <c r="K844" s="303"/>
      <c r="L844" s="303"/>
      <c r="M844" s="303"/>
      <c r="AB844" s="298"/>
      <c r="AC844" s="297"/>
      <c r="AF844" s="296"/>
      <c r="AG844" s="297"/>
      <c r="AJ844" s="298"/>
      <c r="AK844" s="297"/>
      <c r="AN844" s="298"/>
      <c r="AR844" s="298"/>
    </row>
    <row r="845" spans="2:44" s="290" customFormat="1" x14ac:dyDescent="0.2">
      <c r="B845" s="302"/>
      <c r="D845" s="302"/>
      <c r="E845" s="302"/>
      <c r="K845" s="303"/>
      <c r="L845" s="303"/>
      <c r="M845" s="303"/>
      <c r="AB845" s="298"/>
      <c r="AC845" s="297"/>
      <c r="AF845" s="296"/>
      <c r="AG845" s="297"/>
      <c r="AJ845" s="298"/>
      <c r="AK845" s="297"/>
      <c r="AN845" s="298"/>
      <c r="AR845" s="298"/>
    </row>
    <row r="846" spans="2:44" s="290" customFormat="1" x14ac:dyDescent="0.2">
      <c r="B846" s="302"/>
      <c r="D846" s="302"/>
      <c r="E846" s="302"/>
      <c r="K846" s="303"/>
      <c r="L846" s="303"/>
      <c r="M846" s="303"/>
      <c r="AB846" s="298"/>
      <c r="AC846" s="297"/>
      <c r="AF846" s="296"/>
      <c r="AG846" s="297"/>
      <c r="AJ846" s="298"/>
      <c r="AK846" s="297"/>
      <c r="AN846" s="298"/>
      <c r="AR846" s="298"/>
    </row>
    <row r="847" spans="2:44" s="290" customFormat="1" x14ac:dyDescent="0.2">
      <c r="B847" s="302"/>
      <c r="D847" s="302"/>
      <c r="E847" s="302"/>
      <c r="K847" s="303"/>
      <c r="L847" s="303"/>
      <c r="M847" s="303"/>
      <c r="AB847" s="298"/>
      <c r="AC847" s="297"/>
      <c r="AF847" s="296"/>
      <c r="AG847" s="297"/>
      <c r="AJ847" s="298"/>
      <c r="AK847" s="297"/>
      <c r="AN847" s="298"/>
      <c r="AR847" s="298"/>
    </row>
    <row r="848" spans="2:44" s="290" customFormat="1" x14ac:dyDescent="0.2">
      <c r="B848" s="302"/>
      <c r="D848" s="302"/>
      <c r="E848" s="302"/>
      <c r="K848" s="303"/>
      <c r="L848" s="303"/>
      <c r="M848" s="303"/>
      <c r="AB848" s="298"/>
      <c r="AC848" s="297"/>
      <c r="AF848" s="296"/>
      <c r="AG848" s="297"/>
      <c r="AJ848" s="298"/>
      <c r="AK848" s="297"/>
      <c r="AN848" s="298"/>
      <c r="AR848" s="298"/>
    </row>
    <row r="849" spans="2:44" s="290" customFormat="1" x14ac:dyDescent="0.2">
      <c r="B849" s="302"/>
      <c r="D849" s="302"/>
      <c r="E849" s="302"/>
      <c r="K849" s="303"/>
      <c r="L849" s="303"/>
      <c r="M849" s="303"/>
      <c r="AB849" s="298"/>
      <c r="AC849" s="297"/>
      <c r="AF849" s="296"/>
      <c r="AG849" s="297"/>
      <c r="AJ849" s="298"/>
      <c r="AK849" s="297"/>
      <c r="AN849" s="298"/>
      <c r="AR849" s="298"/>
    </row>
    <row r="850" spans="2:44" s="290" customFormat="1" x14ac:dyDescent="0.2">
      <c r="B850" s="302"/>
      <c r="D850" s="302"/>
      <c r="E850" s="302"/>
      <c r="K850" s="303"/>
      <c r="L850" s="303"/>
      <c r="M850" s="303"/>
      <c r="AB850" s="298"/>
      <c r="AC850" s="297"/>
      <c r="AF850" s="296"/>
      <c r="AG850" s="297"/>
      <c r="AJ850" s="298"/>
      <c r="AK850" s="297"/>
      <c r="AN850" s="298"/>
      <c r="AR850" s="298"/>
    </row>
    <row r="851" spans="2:44" s="290" customFormat="1" x14ac:dyDescent="0.2">
      <c r="B851" s="302"/>
      <c r="D851" s="302"/>
      <c r="E851" s="302"/>
      <c r="K851" s="303"/>
      <c r="L851" s="303"/>
      <c r="M851" s="303"/>
      <c r="AB851" s="298"/>
      <c r="AC851" s="297"/>
      <c r="AF851" s="296"/>
      <c r="AG851" s="297"/>
      <c r="AJ851" s="298"/>
      <c r="AK851" s="297"/>
      <c r="AN851" s="298"/>
      <c r="AR851" s="298"/>
    </row>
    <row r="852" spans="2:44" s="290" customFormat="1" x14ac:dyDescent="0.2">
      <c r="B852" s="302"/>
      <c r="D852" s="302"/>
      <c r="E852" s="302"/>
      <c r="K852" s="303"/>
      <c r="L852" s="303"/>
      <c r="M852" s="303"/>
      <c r="AB852" s="298"/>
      <c r="AC852" s="297"/>
      <c r="AF852" s="296"/>
      <c r="AG852" s="297"/>
      <c r="AJ852" s="298"/>
      <c r="AK852" s="297"/>
      <c r="AN852" s="298"/>
      <c r="AR852" s="298"/>
    </row>
    <row r="853" spans="2:44" s="290" customFormat="1" x14ac:dyDescent="0.2">
      <c r="B853" s="302"/>
      <c r="D853" s="302"/>
      <c r="E853" s="302"/>
      <c r="K853" s="303"/>
      <c r="L853" s="303"/>
      <c r="M853" s="303"/>
      <c r="AB853" s="298"/>
      <c r="AC853" s="297"/>
      <c r="AF853" s="296"/>
      <c r="AG853" s="297"/>
      <c r="AJ853" s="298"/>
      <c r="AK853" s="297"/>
      <c r="AN853" s="298"/>
      <c r="AR853" s="298"/>
    </row>
    <row r="854" spans="2:44" s="290" customFormat="1" x14ac:dyDescent="0.2">
      <c r="B854" s="302"/>
      <c r="D854" s="302"/>
      <c r="E854" s="302"/>
      <c r="K854" s="303"/>
      <c r="L854" s="303"/>
      <c r="M854" s="303"/>
      <c r="AB854" s="298"/>
      <c r="AC854" s="297"/>
      <c r="AF854" s="296"/>
      <c r="AG854" s="297"/>
      <c r="AJ854" s="298"/>
      <c r="AK854" s="297"/>
      <c r="AN854" s="298"/>
      <c r="AR854" s="298"/>
    </row>
    <row r="855" spans="2:44" s="290" customFormat="1" x14ac:dyDescent="0.2">
      <c r="B855" s="302"/>
      <c r="D855" s="302"/>
      <c r="E855" s="302"/>
      <c r="K855" s="303"/>
      <c r="L855" s="303"/>
      <c r="M855" s="303"/>
      <c r="AB855" s="298"/>
      <c r="AC855" s="297"/>
      <c r="AF855" s="296"/>
      <c r="AG855" s="297"/>
      <c r="AJ855" s="298"/>
      <c r="AK855" s="297"/>
      <c r="AN855" s="298"/>
      <c r="AR855" s="298"/>
    </row>
    <row r="856" spans="2:44" s="290" customFormat="1" x14ac:dyDescent="0.2">
      <c r="B856" s="302"/>
      <c r="D856" s="302"/>
      <c r="E856" s="302"/>
      <c r="K856" s="303"/>
      <c r="L856" s="303"/>
      <c r="M856" s="303"/>
      <c r="AB856" s="298"/>
      <c r="AC856" s="297"/>
      <c r="AF856" s="296"/>
      <c r="AG856" s="297"/>
      <c r="AJ856" s="298"/>
      <c r="AK856" s="297"/>
      <c r="AN856" s="298"/>
      <c r="AR856" s="298"/>
    </row>
    <row r="857" spans="2:44" s="290" customFormat="1" x14ac:dyDescent="0.2">
      <c r="B857" s="302"/>
      <c r="D857" s="302"/>
      <c r="E857" s="302"/>
      <c r="K857" s="303"/>
      <c r="L857" s="303"/>
      <c r="M857" s="303"/>
      <c r="AB857" s="298"/>
      <c r="AC857" s="297"/>
      <c r="AF857" s="296"/>
      <c r="AG857" s="297"/>
      <c r="AJ857" s="298"/>
      <c r="AK857" s="297"/>
      <c r="AN857" s="298"/>
      <c r="AR857" s="298"/>
    </row>
    <row r="858" spans="2:44" s="290" customFormat="1" x14ac:dyDescent="0.2">
      <c r="B858" s="302"/>
      <c r="D858" s="302"/>
      <c r="E858" s="302"/>
      <c r="K858" s="303"/>
      <c r="L858" s="303"/>
      <c r="M858" s="303"/>
      <c r="AB858" s="298"/>
      <c r="AC858" s="297"/>
      <c r="AF858" s="296"/>
      <c r="AG858" s="297"/>
      <c r="AJ858" s="298"/>
      <c r="AK858" s="297"/>
      <c r="AN858" s="298"/>
      <c r="AR858" s="298"/>
    </row>
    <row r="859" spans="2:44" s="290" customFormat="1" x14ac:dyDescent="0.2">
      <c r="B859" s="302"/>
      <c r="D859" s="302"/>
      <c r="E859" s="302"/>
      <c r="K859" s="303"/>
      <c r="L859" s="303"/>
      <c r="M859" s="303"/>
      <c r="AB859" s="298"/>
      <c r="AC859" s="297"/>
      <c r="AF859" s="296"/>
      <c r="AG859" s="297"/>
      <c r="AJ859" s="298"/>
      <c r="AK859" s="297"/>
      <c r="AN859" s="298"/>
      <c r="AR859" s="298"/>
    </row>
    <row r="860" spans="2:44" s="290" customFormat="1" x14ac:dyDescent="0.2">
      <c r="B860" s="302"/>
      <c r="D860" s="302"/>
      <c r="E860" s="302"/>
      <c r="K860" s="303"/>
      <c r="L860" s="303"/>
      <c r="M860" s="303"/>
      <c r="AB860" s="298"/>
      <c r="AC860" s="297"/>
      <c r="AF860" s="296"/>
      <c r="AG860" s="297"/>
      <c r="AJ860" s="298"/>
      <c r="AK860" s="297"/>
      <c r="AN860" s="298"/>
      <c r="AR860" s="298"/>
    </row>
    <row r="861" spans="2:44" s="290" customFormat="1" x14ac:dyDescent="0.2">
      <c r="B861" s="302"/>
      <c r="D861" s="302"/>
      <c r="E861" s="302"/>
      <c r="K861" s="303"/>
      <c r="L861" s="303"/>
      <c r="M861" s="303"/>
      <c r="AB861" s="298"/>
      <c r="AC861" s="297"/>
      <c r="AF861" s="296"/>
      <c r="AG861" s="297"/>
      <c r="AJ861" s="298"/>
      <c r="AK861" s="297"/>
      <c r="AN861" s="298"/>
      <c r="AR861" s="298"/>
    </row>
    <row r="862" spans="2:44" s="290" customFormat="1" x14ac:dyDescent="0.2">
      <c r="B862" s="302"/>
      <c r="D862" s="302"/>
      <c r="E862" s="302"/>
      <c r="K862" s="303"/>
      <c r="L862" s="303"/>
      <c r="M862" s="303"/>
      <c r="AB862" s="298"/>
      <c r="AC862" s="297"/>
      <c r="AF862" s="296"/>
      <c r="AG862" s="297"/>
      <c r="AJ862" s="298"/>
      <c r="AK862" s="297"/>
      <c r="AN862" s="298"/>
      <c r="AR862" s="298"/>
    </row>
    <row r="863" spans="2:44" s="290" customFormat="1" x14ac:dyDescent="0.2">
      <c r="B863" s="302"/>
      <c r="D863" s="302"/>
      <c r="E863" s="302"/>
      <c r="K863" s="303"/>
      <c r="L863" s="303"/>
      <c r="M863" s="303"/>
      <c r="AB863" s="298"/>
      <c r="AC863" s="297"/>
      <c r="AF863" s="296"/>
      <c r="AG863" s="297"/>
      <c r="AJ863" s="298"/>
      <c r="AK863" s="297"/>
      <c r="AN863" s="298"/>
      <c r="AR863" s="298"/>
    </row>
    <row r="864" spans="2:44" s="290" customFormat="1" x14ac:dyDescent="0.2">
      <c r="B864" s="302"/>
      <c r="D864" s="302"/>
      <c r="E864" s="302"/>
      <c r="K864" s="303"/>
      <c r="L864" s="303"/>
      <c r="M864" s="303"/>
      <c r="AB864" s="298"/>
      <c r="AC864" s="297"/>
      <c r="AF864" s="296"/>
      <c r="AG864" s="297"/>
      <c r="AJ864" s="298"/>
      <c r="AK864" s="297"/>
      <c r="AN864" s="298"/>
      <c r="AR864" s="298"/>
    </row>
    <row r="865" spans="2:44" s="290" customFormat="1" x14ac:dyDescent="0.2">
      <c r="B865" s="302"/>
      <c r="D865" s="302"/>
      <c r="E865" s="302"/>
      <c r="K865" s="303"/>
      <c r="L865" s="303"/>
      <c r="M865" s="303"/>
      <c r="AB865" s="298"/>
      <c r="AC865" s="297"/>
      <c r="AF865" s="296"/>
      <c r="AG865" s="297"/>
      <c r="AJ865" s="298"/>
      <c r="AK865" s="297"/>
      <c r="AN865" s="298"/>
      <c r="AR865" s="298"/>
    </row>
    <row r="866" spans="2:44" s="290" customFormat="1" x14ac:dyDescent="0.2">
      <c r="B866" s="302"/>
      <c r="D866" s="302"/>
      <c r="E866" s="302"/>
      <c r="K866" s="303"/>
      <c r="L866" s="303"/>
      <c r="M866" s="303"/>
      <c r="AB866" s="298"/>
      <c r="AC866" s="297"/>
      <c r="AF866" s="296"/>
      <c r="AG866" s="297"/>
      <c r="AJ866" s="298"/>
      <c r="AK866" s="297"/>
      <c r="AN866" s="298"/>
      <c r="AR866" s="298"/>
    </row>
    <row r="867" spans="2:44" s="290" customFormat="1" x14ac:dyDescent="0.2">
      <c r="B867" s="302"/>
      <c r="D867" s="302"/>
      <c r="E867" s="302"/>
      <c r="K867" s="303"/>
      <c r="L867" s="303"/>
      <c r="M867" s="303"/>
      <c r="AB867" s="298"/>
      <c r="AC867" s="297"/>
      <c r="AF867" s="296"/>
      <c r="AG867" s="297"/>
      <c r="AJ867" s="298"/>
      <c r="AK867" s="297"/>
      <c r="AN867" s="298"/>
      <c r="AR867" s="298"/>
    </row>
    <row r="868" spans="2:44" s="290" customFormat="1" x14ac:dyDescent="0.2">
      <c r="B868" s="302"/>
      <c r="D868" s="302"/>
      <c r="E868" s="302"/>
      <c r="K868" s="303"/>
      <c r="L868" s="303"/>
      <c r="M868" s="303"/>
      <c r="AB868" s="298"/>
      <c r="AC868" s="297"/>
      <c r="AF868" s="296"/>
      <c r="AG868" s="297"/>
      <c r="AJ868" s="298"/>
      <c r="AK868" s="297"/>
      <c r="AN868" s="298"/>
      <c r="AR868" s="298"/>
    </row>
    <row r="869" spans="2:44" s="290" customFormat="1" x14ac:dyDescent="0.2">
      <c r="B869" s="302"/>
      <c r="D869" s="302"/>
      <c r="E869" s="302"/>
      <c r="K869" s="303"/>
      <c r="L869" s="303"/>
      <c r="M869" s="303"/>
      <c r="AB869" s="298"/>
      <c r="AC869" s="297"/>
      <c r="AF869" s="296"/>
      <c r="AG869" s="297"/>
      <c r="AJ869" s="298"/>
      <c r="AK869" s="297"/>
      <c r="AN869" s="298"/>
      <c r="AR869" s="298"/>
    </row>
    <row r="870" spans="2:44" s="290" customFormat="1" x14ac:dyDescent="0.2">
      <c r="B870" s="302"/>
      <c r="D870" s="302"/>
      <c r="E870" s="302"/>
      <c r="K870" s="303"/>
      <c r="L870" s="303"/>
      <c r="M870" s="303"/>
      <c r="AB870" s="298"/>
      <c r="AC870" s="297"/>
      <c r="AF870" s="296"/>
      <c r="AG870" s="297"/>
      <c r="AJ870" s="298"/>
      <c r="AK870" s="297"/>
      <c r="AN870" s="298"/>
      <c r="AR870" s="298"/>
    </row>
    <row r="871" spans="2:44" s="290" customFormat="1" x14ac:dyDescent="0.2">
      <c r="B871" s="302"/>
      <c r="D871" s="302"/>
      <c r="E871" s="302"/>
      <c r="K871" s="303"/>
      <c r="L871" s="303"/>
      <c r="M871" s="303"/>
      <c r="AB871" s="298"/>
      <c r="AC871" s="297"/>
      <c r="AF871" s="296"/>
      <c r="AG871" s="297"/>
      <c r="AJ871" s="298"/>
      <c r="AK871" s="297"/>
      <c r="AN871" s="298"/>
      <c r="AR871" s="298"/>
    </row>
    <row r="872" spans="2:44" s="290" customFormat="1" x14ac:dyDescent="0.2">
      <c r="B872" s="302"/>
      <c r="D872" s="302"/>
      <c r="E872" s="302"/>
      <c r="K872" s="303"/>
      <c r="L872" s="303"/>
      <c r="M872" s="303"/>
      <c r="AB872" s="298"/>
      <c r="AC872" s="297"/>
      <c r="AF872" s="296"/>
      <c r="AG872" s="297"/>
      <c r="AJ872" s="298"/>
      <c r="AK872" s="297"/>
      <c r="AN872" s="298"/>
      <c r="AR872" s="298"/>
    </row>
    <row r="873" spans="2:44" s="290" customFormat="1" x14ac:dyDescent="0.2">
      <c r="B873" s="302"/>
      <c r="D873" s="302"/>
      <c r="E873" s="302"/>
      <c r="K873" s="303"/>
      <c r="L873" s="303"/>
      <c r="M873" s="303"/>
      <c r="AB873" s="298"/>
      <c r="AC873" s="297"/>
      <c r="AF873" s="296"/>
      <c r="AG873" s="297"/>
      <c r="AJ873" s="298"/>
      <c r="AK873" s="297"/>
      <c r="AN873" s="298"/>
      <c r="AR873" s="298"/>
    </row>
    <row r="874" spans="2:44" s="290" customFormat="1" x14ac:dyDescent="0.2">
      <c r="B874" s="302"/>
      <c r="D874" s="302"/>
      <c r="E874" s="302"/>
      <c r="K874" s="303"/>
      <c r="L874" s="303"/>
      <c r="M874" s="303"/>
      <c r="AB874" s="298"/>
      <c r="AC874" s="297"/>
      <c r="AF874" s="296"/>
      <c r="AG874" s="297"/>
      <c r="AJ874" s="298"/>
      <c r="AK874" s="297"/>
      <c r="AN874" s="298"/>
      <c r="AR874" s="298"/>
    </row>
    <row r="875" spans="2:44" s="290" customFormat="1" x14ac:dyDescent="0.2">
      <c r="B875" s="302"/>
      <c r="D875" s="302"/>
      <c r="E875" s="302"/>
      <c r="K875" s="303"/>
      <c r="L875" s="303"/>
      <c r="M875" s="303"/>
      <c r="AB875" s="298"/>
      <c r="AC875" s="297"/>
      <c r="AF875" s="296"/>
      <c r="AG875" s="297"/>
      <c r="AJ875" s="298"/>
      <c r="AK875" s="297"/>
      <c r="AN875" s="298"/>
      <c r="AR875" s="298"/>
    </row>
    <row r="876" spans="2:44" s="290" customFormat="1" x14ac:dyDescent="0.2">
      <c r="B876" s="302"/>
      <c r="D876" s="302"/>
      <c r="E876" s="302"/>
      <c r="K876" s="303"/>
      <c r="L876" s="303"/>
      <c r="M876" s="303"/>
      <c r="AB876" s="298"/>
      <c r="AC876" s="297"/>
      <c r="AF876" s="296"/>
      <c r="AG876" s="297"/>
      <c r="AJ876" s="298"/>
      <c r="AK876" s="297"/>
      <c r="AN876" s="298"/>
      <c r="AR876" s="298"/>
    </row>
    <row r="877" spans="2:44" s="290" customFormat="1" x14ac:dyDescent="0.2">
      <c r="B877" s="302"/>
      <c r="D877" s="302"/>
      <c r="E877" s="302"/>
      <c r="K877" s="303"/>
      <c r="L877" s="303"/>
      <c r="M877" s="303"/>
      <c r="AB877" s="298"/>
      <c r="AC877" s="297"/>
      <c r="AF877" s="296"/>
      <c r="AG877" s="297"/>
      <c r="AJ877" s="298"/>
      <c r="AK877" s="297"/>
      <c r="AN877" s="298"/>
      <c r="AR877" s="298"/>
    </row>
    <row r="878" spans="2:44" s="290" customFormat="1" x14ac:dyDescent="0.2">
      <c r="B878" s="302"/>
      <c r="D878" s="302"/>
      <c r="E878" s="302"/>
      <c r="K878" s="303"/>
      <c r="L878" s="303"/>
      <c r="M878" s="303"/>
      <c r="AB878" s="298"/>
      <c r="AC878" s="297"/>
      <c r="AF878" s="296"/>
      <c r="AG878" s="297"/>
      <c r="AJ878" s="298"/>
      <c r="AK878" s="297"/>
      <c r="AN878" s="298"/>
      <c r="AR878" s="298"/>
    </row>
    <row r="879" spans="2:44" s="290" customFormat="1" x14ac:dyDescent="0.2">
      <c r="B879" s="302"/>
      <c r="D879" s="302"/>
      <c r="E879" s="302"/>
      <c r="K879" s="303"/>
      <c r="L879" s="303"/>
      <c r="M879" s="303"/>
      <c r="AB879" s="298"/>
      <c r="AC879" s="297"/>
      <c r="AF879" s="296"/>
      <c r="AG879" s="297"/>
      <c r="AJ879" s="298"/>
      <c r="AK879" s="297"/>
      <c r="AN879" s="298"/>
      <c r="AR879" s="298"/>
    </row>
    <row r="880" spans="2:44" s="290" customFormat="1" x14ac:dyDescent="0.2">
      <c r="B880" s="302"/>
      <c r="D880" s="302"/>
      <c r="E880" s="302"/>
      <c r="K880" s="303"/>
      <c r="L880" s="303"/>
      <c r="M880" s="303"/>
      <c r="AB880" s="298"/>
      <c r="AC880" s="297"/>
      <c r="AF880" s="296"/>
      <c r="AG880" s="297"/>
      <c r="AJ880" s="298"/>
      <c r="AK880" s="297"/>
      <c r="AN880" s="298"/>
      <c r="AR880" s="298"/>
    </row>
    <row r="881" spans="2:44" s="290" customFormat="1" x14ac:dyDescent="0.2">
      <c r="B881" s="302"/>
      <c r="D881" s="302"/>
      <c r="E881" s="302"/>
      <c r="K881" s="303"/>
      <c r="L881" s="303"/>
      <c r="M881" s="303"/>
      <c r="AB881" s="298"/>
      <c r="AC881" s="297"/>
      <c r="AF881" s="296"/>
      <c r="AG881" s="297"/>
      <c r="AJ881" s="298"/>
      <c r="AK881" s="297"/>
      <c r="AN881" s="298"/>
      <c r="AR881" s="298"/>
    </row>
    <row r="882" spans="2:44" s="290" customFormat="1" x14ac:dyDescent="0.2">
      <c r="B882" s="302"/>
      <c r="D882" s="302"/>
      <c r="E882" s="302"/>
      <c r="K882" s="303"/>
      <c r="L882" s="303"/>
      <c r="M882" s="303"/>
      <c r="AB882" s="298"/>
      <c r="AC882" s="297"/>
      <c r="AF882" s="296"/>
      <c r="AG882" s="297"/>
      <c r="AJ882" s="298"/>
      <c r="AK882" s="297"/>
      <c r="AN882" s="298"/>
      <c r="AR882" s="298"/>
    </row>
    <row r="883" spans="2:44" s="290" customFormat="1" x14ac:dyDescent="0.2">
      <c r="B883" s="302"/>
      <c r="D883" s="302"/>
      <c r="E883" s="302"/>
      <c r="K883" s="303"/>
      <c r="L883" s="303"/>
      <c r="M883" s="303"/>
      <c r="AB883" s="298"/>
      <c r="AC883" s="297"/>
      <c r="AF883" s="296"/>
      <c r="AG883" s="297"/>
      <c r="AJ883" s="298"/>
      <c r="AK883" s="297"/>
      <c r="AN883" s="298"/>
      <c r="AR883" s="298"/>
    </row>
    <row r="884" spans="2:44" s="290" customFormat="1" x14ac:dyDescent="0.2">
      <c r="B884" s="302"/>
      <c r="D884" s="302"/>
      <c r="E884" s="302"/>
      <c r="K884" s="303"/>
      <c r="L884" s="303"/>
      <c r="M884" s="303"/>
      <c r="AB884" s="298"/>
      <c r="AC884" s="297"/>
      <c r="AF884" s="296"/>
      <c r="AG884" s="297"/>
      <c r="AJ884" s="298"/>
      <c r="AK884" s="297"/>
      <c r="AN884" s="298"/>
      <c r="AR884" s="298"/>
    </row>
    <row r="885" spans="2:44" s="290" customFormat="1" x14ac:dyDescent="0.2">
      <c r="B885" s="302"/>
      <c r="D885" s="302"/>
      <c r="E885" s="302"/>
      <c r="K885" s="303"/>
      <c r="L885" s="303"/>
      <c r="M885" s="303"/>
      <c r="AB885" s="298"/>
      <c r="AC885" s="297"/>
      <c r="AF885" s="296"/>
      <c r="AG885" s="297"/>
      <c r="AJ885" s="298"/>
      <c r="AK885" s="297"/>
      <c r="AN885" s="298"/>
      <c r="AR885" s="298"/>
    </row>
    <row r="886" spans="2:44" s="290" customFormat="1" x14ac:dyDescent="0.2">
      <c r="B886" s="302"/>
      <c r="D886" s="302"/>
      <c r="E886" s="302"/>
      <c r="K886" s="303"/>
      <c r="L886" s="303"/>
      <c r="M886" s="303"/>
      <c r="AB886" s="298"/>
      <c r="AC886" s="297"/>
      <c r="AF886" s="296"/>
      <c r="AG886" s="297"/>
      <c r="AJ886" s="298"/>
      <c r="AK886" s="297"/>
      <c r="AN886" s="298"/>
      <c r="AR886" s="298"/>
    </row>
    <row r="887" spans="2:44" s="290" customFormat="1" x14ac:dyDescent="0.2">
      <c r="B887" s="302"/>
      <c r="D887" s="302"/>
      <c r="E887" s="302"/>
      <c r="K887" s="303"/>
      <c r="L887" s="303"/>
      <c r="M887" s="303"/>
      <c r="AB887" s="298"/>
      <c r="AC887" s="297"/>
      <c r="AF887" s="296"/>
      <c r="AG887" s="297"/>
      <c r="AJ887" s="298"/>
      <c r="AK887" s="297"/>
      <c r="AN887" s="298"/>
      <c r="AR887" s="298"/>
    </row>
    <row r="888" spans="2:44" s="290" customFormat="1" x14ac:dyDescent="0.2">
      <c r="B888" s="302"/>
      <c r="D888" s="302"/>
      <c r="E888" s="302"/>
      <c r="K888" s="303"/>
      <c r="L888" s="303"/>
      <c r="M888" s="303"/>
      <c r="AB888" s="298"/>
      <c r="AC888" s="297"/>
      <c r="AF888" s="296"/>
      <c r="AG888" s="297"/>
      <c r="AJ888" s="298"/>
      <c r="AK888" s="297"/>
      <c r="AN888" s="298"/>
      <c r="AR888" s="298"/>
    </row>
    <row r="889" spans="2:44" s="290" customFormat="1" x14ac:dyDescent="0.2">
      <c r="B889" s="302"/>
      <c r="D889" s="302"/>
      <c r="E889" s="302"/>
      <c r="K889" s="303"/>
      <c r="L889" s="303"/>
      <c r="M889" s="303"/>
      <c r="AB889" s="298"/>
      <c r="AC889" s="297"/>
      <c r="AF889" s="296"/>
      <c r="AG889" s="297"/>
      <c r="AJ889" s="298"/>
      <c r="AK889" s="297"/>
      <c r="AN889" s="298"/>
      <c r="AR889" s="298"/>
    </row>
    <row r="890" spans="2:44" s="290" customFormat="1" x14ac:dyDescent="0.2">
      <c r="B890" s="302"/>
      <c r="D890" s="302"/>
      <c r="E890" s="302"/>
      <c r="K890" s="303"/>
      <c r="L890" s="303"/>
      <c r="M890" s="303"/>
      <c r="AB890" s="298"/>
      <c r="AC890" s="297"/>
      <c r="AF890" s="296"/>
      <c r="AG890" s="297"/>
      <c r="AJ890" s="298"/>
      <c r="AK890" s="297"/>
      <c r="AN890" s="298"/>
      <c r="AR890" s="298"/>
    </row>
    <row r="891" spans="2:44" s="290" customFormat="1" x14ac:dyDescent="0.2">
      <c r="B891" s="302"/>
      <c r="D891" s="302"/>
      <c r="E891" s="302"/>
      <c r="K891" s="303"/>
      <c r="L891" s="303"/>
      <c r="M891" s="303"/>
      <c r="AB891" s="298"/>
      <c r="AC891" s="297"/>
      <c r="AF891" s="296"/>
      <c r="AG891" s="297"/>
      <c r="AJ891" s="298"/>
      <c r="AK891" s="297"/>
      <c r="AN891" s="298"/>
      <c r="AR891" s="298"/>
    </row>
    <row r="892" spans="2:44" s="290" customFormat="1" x14ac:dyDescent="0.2">
      <c r="B892" s="302"/>
      <c r="D892" s="302"/>
      <c r="E892" s="302"/>
      <c r="K892" s="303"/>
      <c r="L892" s="303"/>
      <c r="M892" s="303"/>
      <c r="AB892" s="298"/>
      <c r="AC892" s="297"/>
      <c r="AF892" s="296"/>
      <c r="AG892" s="297"/>
      <c r="AJ892" s="298"/>
      <c r="AK892" s="297"/>
      <c r="AN892" s="298"/>
      <c r="AR892" s="298"/>
    </row>
    <row r="893" spans="2:44" s="290" customFormat="1" x14ac:dyDescent="0.2">
      <c r="B893" s="302"/>
      <c r="D893" s="302"/>
      <c r="E893" s="302"/>
      <c r="K893" s="303"/>
      <c r="L893" s="303"/>
      <c r="M893" s="303"/>
      <c r="AB893" s="298"/>
      <c r="AC893" s="297"/>
      <c r="AF893" s="296"/>
      <c r="AG893" s="297"/>
      <c r="AJ893" s="298"/>
      <c r="AK893" s="297"/>
      <c r="AN893" s="298"/>
      <c r="AR893" s="298"/>
    </row>
    <row r="894" spans="2:44" s="290" customFormat="1" x14ac:dyDescent="0.2">
      <c r="B894" s="302"/>
      <c r="D894" s="302"/>
      <c r="E894" s="302"/>
      <c r="K894" s="303"/>
      <c r="L894" s="303"/>
      <c r="M894" s="303"/>
      <c r="AB894" s="298"/>
      <c r="AC894" s="297"/>
      <c r="AF894" s="296"/>
      <c r="AG894" s="297"/>
      <c r="AJ894" s="298"/>
      <c r="AK894" s="297"/>
      <c r="AN894" s="298"/>
      <c r="AR894" s="298"/>
    </row>
    <row r="895" spans="2:44" s="290" customFormat="1" x14ac:dyDescent="0.2">
      <c r="B895" s="302"/>
      <c r="D895" s="302"/>
      <c r="E895" s="302"/>
      <c r="K895" s="303"/>
      <c r="L895" s="303"/>
      <c r="M895" s="303"/>
      <c r="AB895" s="298"/>
      <c r="AC895" s="297"/>
      <c r="AF895" s="296"/>
      <c r="AG895" s="297"/>
      <c r="AJ895" s="298"/>
      <c r="AK895" s="297"/>
      <c r="AN895" s="298"/>
      <c r="AR895" s="298"/>
    </row>
    <row r="896" spans="2:44" s="290" customFormat="1" x14ac:dyDescent="0.2">
      <c r="B896" s="302"/>
      <c r="D896" s="302"/>
      <c r="E896" s="302"/>
      <c r="K896" s="303"/>
      <c r="L896" s="303"/>
      <c r="M896" s="303"/>
      <c r="AB896" s="298"/>
      <c r="AC896" s="297"/>
      <c r="AF896" s="296"/>
      <c r="AG896" s="297"/>
      <c r="AJ896" s="298"/>
      <c r="AK896" s="297"/>
      <c r="AN896" s="298"/>
      <c r="AR896" s="298"/>
    </row>
    <row r="897" spans="2:44" s="290" customFormat="1" x14ac:dyDescent="0.2">
      <c r="B897" s="302"/>
      <c r="D897" s="302"/>
      <c r="E897" s="302"/>
      <c r="K897" s="303"/>
      <c r="L897" s="303"/>
      <c r="M897" s="303"/>
      <c r="AB897" s="298"/>
      <c r="AC897" s="297"/>
      <c r="AF897" s="296"/>
      <c r="AG897" s="297"/>
      <c r="AJ897" s="298"/>
      <c r="AK897" s="297"/>
      <c r="AN897" s="298"/>
      <c r="AR897" s="298"/>
    </row>
    <row r="898" spans="2:44" s="290" customFormat="1" x14ac:dyDescent="0.2">
      <c r="B898" s="302"/>
      <c r="D898" s="302"/>
      <c r="E898" s="302"/>
      <c r="K898" s="303"/>
      <c r="L898" s="303"/>
      <c r="M898" s="303"/>
      <c r="AB898" s="298"/>
      <c r="AC898" s="297"/>
      <c r="AF898" s="296"/>
      <c r="AG898" s="297"/>
      <c r="AJ898" s="298"/>
      <c r="AK898" s="297"/>
      <c r="AN898" s="298"/>
      <c r="AR898" s="298"/>
    </row>
    <row r="899" spans="2:44" s="290" customFormat="1" x14ac:dyDescent="0.2">
      <c r="B899" s="302"/>
      <c r="D899" s="302"/>
      <c r="E899" s="302"/>
      <c r="K899" s="303"/>
      <c r="L899" s="303"/>
      <c r="M899" s="303"/>
      <c r="AB899" s="298"/>
      <c r="AC899" s="297"/>
      <c r="AF899" s="296"/>
      <c r="AG899" s="297"/>
      <c r="AJ899" s="298"/>
      <c r="AK899" s="297"/>
      <c r="AN899" s="298"/>
      <c r="AR899" s="298"/>
    </row>
    <row r="900" spans="2:44" s="290" customFormat="1" x14ac:dyDescent="0.2">
      <c r="B900" s="302"/>
      <c r="D900" s="302"/>
      <c r="E900" s="302"/>
      <c r="K900" s="303"/>
      <c r="L900" s="303"/>
      <c r="M900" s="303"/>
      <c r="AB900" s="298"/>
      <c r="AC900" s="297"/>
      <c r="AF900" s="296"/>
      <c r="AG900" s="297"/>
      <c r="AJ900" s="298"/>
      <c r="AK900" s="297"/>
      <c r="AN900" s="298"/>
      <c r="AR900" s="298"/>
    </row>
    <row r="901" spans="2:44" s="290" customFormat="1" x14ac:dyDescent="0.2">
      <c r="B901" s="302"/>
      <c r="D901" s="302"/>
      <c r="E901" s="302"/>
      <c r="K901" s="303"/>
      <c r="L901" s="303"/>
      <c r="M901" s="303"/>
      <c r="AB901" s="298"/>
      <c r="AC901" s="297"/>
      <c r="AF901" s="296"/>
      <c r="AG901" s="297"/>
      <c r="AJ901" s="298"/>
      <c r="AK901" s="297"/>
      <c r="AN901" s="298"/>
      <c r="AR901" s="298"/>
    </row>
    <row r="902" spans="2:44" s="290" customFormat="1" x14ac:dyDescent="0.2">
      <c r="B902" s="302"/>
      <c r="D902" s="302"/>
      <c r="E902" s="302"/>
      <c r="K902" s="303"/>
      <c r="L902" s="303"/>
      <c r="M902" s="303"/>
      <c r="AB902" s="298"/>
      <c r="AC902" s="297"/>
      <c r="AF902" s="296"/>
      <c r="AG902" s="297"/>
      <c r="AJ902" s="298"/>
      <c r="AK902" s="297"/>
      <c r="AN902" s="298"/>
      <c r="AR902" s="298"/>
    </row>
    <row r="903" spans="2:44" s="290" customFormat="1" x14ac:dyDescent="0.2">
      <c r="B903" s="302"/>
      <c r="D903" s="302"/>
      <c r="E903" s="302"/>
      <c r="K903" s="303"/>
      <c r="L903" s="303"/>
      <c r="M903" s="303"/>
      <c r="AB903" s="298"/>
      <c r="AC903" s="297"/>
      <c r="AF903" s="296"/>
      <c r="AG903" s="297"/>
      <c r="AJ903" s="298"/>
      <c r="AK903" s="297"/>
      <c r="AN903" s="298"/>
      <c r="AR903" s="298"/>
    </row>
    <row r="904" spans="2:44" s="290" customFormat="1" x14ac:dyDescent="0.2">
      <c r="B904" s="302"/>
      <c r="D904" s="302"/>
      <c r="E904" s="302"/>
      <c r="K904" s="303"/>
      <c r="L904" s="303"/>
      <c r="M904" s="303"/>
      <c r="AB904" s="298"/>
      <c r="AC904" s="297"/>
      <c r="AF904" s="296"/>
      <c r="AG904" s="297"/>
      <c r="AJ904" s="298"/>
      <c r="AK904" s="297"/>
      <c r="AN904" s="298"/>
      <c r="AR904" s="298"/>
    </row>
    <row r="905" spans="2:44" s="290" customFormat="1" x14ac:dyDescent="0.2">
      <c r="B905" s="302"/>
      <c r="D905" s="302"/>
      <c r="E905" s="302"/>
      <c r="K905" s="303"/>
      <c r="L905" s="303"/>
      <c r="M905" s="303"/>
      <c r="AB905" s="298"/>
      <c r="AC905" s="297"/>
      <c r="AF905" s="296"/>
      <c r="AG905" s="297"/>
      <c r="AJ905" s="298"/>
      <c r="AK905" s="297"/>
      <c r="AN905" s="298"/>
      <c r="AR905" s="298"/>
    </row>
    <row r="906" spans="2:44" s="290" customFormat="1" x14ac:dyDescent="0.2">
      <c r="B906" s="302"/>
      <c r="D906" s="302"/>
      <c r="E906" s="302"/>
      <c r="K906" s="303"/>
      <c r="L906" s="303"/>
      <c r="M906" s="303"/>
      <c r="AB906" s="298"/>
      <c r="AC906" s="297"/>
      <c r="AF906" s="296"/>
      <c r="AG906" s="297"/>
      <c r="AJ906" s="298"/>
      <c r="AK906" s="297"/>
      <c r="AN906" s="298"/>
      <c r="AR906" s="298"/>
    </row>
    <row r="907" spans="2:44" s="290" customFormat="1" x14ac:dyDescent="0.2">
      <c r="B907" s="302"/>
      <c r="D907" s="302"/>
      <c r="E907" s="302"/>
      <c r="K907" s="303"/>
      <c r="L907" s="303"/>
      <c r="M907" s="303"/>
      <c r="AB907" s="298"/>
      <c r="AC907" s="297"/>
      <c r="AF907" s="296"/>
      <c r="AG907" s="297"/>
      <c r="AJ907" s="298"/>
      <c r="AK907" s="297"/>
      <c r="AN907" s="298"/>
      <c r="AR907" s="298"/>
    </row>
    <row r="908" spans="2:44" s="290" customFormat="1" x14ac:dyDescent="0.2">
      <c r="B908" s="302"/>
      <c r="D908" s="302"/>
      <c r="E908" s="302"/>
      <c r="K908" s="303"/>
      <c r="L908" s="303"/>
      <c r="M908" s="303"/>
      <c r="AB908" s="298"/>
      <c r="AC908" s="297"/>
      <c r="AF908" s="296"/>
      <c r="AG908" s="297"/>
      <c r="AJ908" s="298"/>
      <c r="AK908" s="297"/>
      <c r="AN908" s="298"/>
      <c r="AR908" s="298"/>
    </row>
    <row r="909" spans="2:44" s="290" customFormat="1" x14ac:dyDescent="0.2">
      <c r="B909" s="302"/>
      <c r="D909" s="302"/>
      <c r="E909" s="302"/>
      <c r="K909" s="303"/>
      <c r="L909" s="303"/>
      <c r="M909" s="303"/>
      <c r="AB909" s="298"/>
      <c r="AC909" s="297"/>
      <c r="AF909" s="296"/>
      <c r="AG909" s="297"/>
      <c r="AJ909" s="298"/>
      <c r="AK909" s="297"/>
      <c r="AN909" s="298"/>
      <c r="AR909" s="298"/>
    </row>
    <row r="910" spans="2:44" s="290" customFormat="1" x14ac:dyDescent="0.2">
      <c r="B910" s="302"/>
      <c r="D910" s="302"/>
      <c r="E910" s="302"/>
      <c r="K910" s="303"/>
      <c r="L910" s="303"/>
      <c r="M910" s="303"/>
      <c r="AB910" s="298"/>
      <c r="AC910" s="297"/>
      <c r="AF910" s="296"/>
      <c r="AG910" s="297"/>
      <c r="AJ910" s="298"/>
      <c r="AK910" s="297"/>
      <c r="AN910" s="298"/>
      <c r="AR910" s="298"/>
    </row>
    <row r="911" spans="2:44" s="290" customFormat="1" x14ac:dyDescent="0.2">
      <c r="B911" s="302"/>
      <c r="D911" s="302"/>
      <c r="E911" s="302"/>
      <c r="K911" s="303"/>
      <c r="L911" s="303"/>
      <c r="M911" s="303"/>
      <c r="AB911" s="298"/>
      <c r="AC911" s="297"/>
      <c r="AF911" s="296"/>
      <c r="AG911" s="297"/>
      <c r="AJ911" s="298"/>
      <c r="AK911" s="297"/>
      <c r="AN911" s="298"/>
      <c r="AR911" s="298"/>
    </row>
    <row r="912" spans="2:44" s="290" customFormat="1" x14ac:dyDescent="0.2">
      <c r="B912" s="302"/>
      <c r="D912" s="302"/>
      <c r="E912" s="302"/>
      <c r="K912" s="303"/>
      <c r="L912" s="303"/>
      <c r="M912" s="303"/>
      <c r="AB912" s="298"/>
      <c r="AC912" s="297"/>
      <c r="AF912" s="296"/>
      <c r="AG912" s="297"/>
      <c r="AJ912" s="298"/>
      <c r="AK912" s="297"/>
      <c r="AN912" s="298"/>
      <c r="AR912" s="298"/>
    </row>
    <row r="913" spans="2:44" s="290" customFormat="1" x14ac:dyDescent="0.2">
      <c r="B913" s="302"/>
      <c r="D913" s="302"/>
      <c r="E913" s="302"/>
      <c r="K913" s="303"/>
      <c r="L913" s="303"/>
      <c r="M913" s="303"/>
      <c r="AB913" s="298"/>
      <c r="AC913" s="297"/>
      <c r="AF913" s="296"/>
      <c r="AG913" s="297"/>
      <c r="AJ913" s="298"/>
      <c r="AK913" s="297"/>
      <c r="AN913" s="298"/>
      <c r="AR913" s="298"/>
    </row>
    <row r="914" spans="2:44" s="290" customFormat="1" x14ac:dyDescent="0.2">
      <c r="B914" s="302"/>
      <c r="D914" s="302"/>
      <c r="E914" s="302"/>
      <c r="K914" s="303"/>
      <c r="L914" s="303"/>
      <c r="M914" s="303"/>
      <c r="AB914" s="298"/>
      <c r="AC914" s="297"/>
      <c r="AF914" s="296"/>
      <c r="AG914" s="297"/>
      <c r="AJ914" s="298"/>
      <c r="AK914" s="297"/>
      <c r="AN914" s="298"/>
      <c r="AR914" s="298"/>
    </row>
    <row r="915" spans="2:44" s="290" customFormat="1" x14ac:dyDescent="0.2">
      <c r="B915" s="302"/>
      <c r="D915" s="302"/>
      <c r="E915" s="302"/>
      <c r="K915" s="303"/>
      <c r="L915" s="303"/>
      <c r="M915" s="303"/>
      <c r="AB915" s="298"/>
      <c r="AC915" s="297"/>
      <c r="AF915" s="296"/>
      <c r="AG915" s="297"/>
      <c r="AJ915" s="298"/>
      <c r="AK915" s="297"/>
      <c r="AN915" s="298"/>
      <c r="AR915" s="298"/>
    </row>
    <row r="916" spans="2:44" s="290" customFormat="1" x14ac:dyDescent="0.2">
      <c r="B916" s="302"/>
      <c r="D916" s="302"/>
      <c r="E916" s="302"/>
      <c r="K916" s="303"/>
      <c r="L916" s="303"/>
      <c r="M916" s="303"/>
      <c r="AB916" s="298"/>
      <c r="AC916" s="297"/>
      <c r="AF916" s="296"/>
      <c r="AG916" s="297"/>
      <c r="AJ916" s="298"/>
      <c r="AK916" s="297"/>
      <c r="AN916" s="298"/>
      <c r="AR916" s="298"/>
    </row>
    <row r="917" spans="2:44" s="290" customFormat="1" x14ac:dyDescent="0.2">
      <c r="B917" s="302"/>
      <c r="D917" s="302"/>
      <c r="E917" s="302"/>
      <c r="K917" s="303"/>
      <c r="L917" s="303"/>
      <c r="M917" s="303"/>
      <c r="AB917" s="298"/>
      <c r="AC917" s="297"/>
      <c r="AF917" s="296"/>
      <c r="AG917" s="297"/>
      <c r="AJ917" s="298"/>
      <c r="AK917" s="297"/>
      <c r="AN917" s="298"/>
      <c r="AR917" s="298"/>
    </row>
    <row r="918" spans="2:44" s="290" customFormat="1" x14ac:dyDescent="0.2">
      <c r="B918" s="302"/>
      <c r="D918" s="302"/>
      <c r="E918" s="302"/>
      <c r="K918" s="303"/>
      <c r="L918" s="303"/>
      <c r="M918" s="303"/>
      <c r="AB918" s="298"/>
      <c r="AC918" s="297"/>
      <c r="AF918" s="296"/>
      <c r="AG918" s="297"/>
      <c r="AJ918" s="298"/>
      <c r="AK918" s="297"/>
      <c r="AN918" s="298"/>
      <c r="AR918" s="298"/>
    </row>
    <row r="919" spans="2:44" s="290" customFormat="1" x14ac:dyDescent="0.2">
      <c r="B919" s="302"/>
      <c r="D919" s="302"/>
      <c r="E919" s="302"/>
      <c r="K919" s="303"/>
      <c r="L919" s="303"/>
      <c r="M919" s="303"/>
      <c r="AB919" s="298"/>
      <c r="AC919" s="297"/>
      <c r="AF919" s="296"/>
      <c r="AG919" s="297"/>
      <c r="AJ919" s="298"/>
      <c r="AK919" s="297"/>
      <c r="AN919" s="298"/>
      <c r="AR919" s="298"/>
    </row>
    <row r="920" spans="2:44" s="290" customFormat="1" x14ac:dyDescent="0.2">
      <c r="B920" s="302"/>
      <c r="D920" s="302"/>
      <c r="E920" s="302"/>
      <c r="K920" s="303"/>
      <c r="L920" s="303"/>
      <c r="M920" s="303"/>
      <c r="AB920" s="298"/>
      <c r="AC920" s="297"/>
      <c r="AF920" s="296"/>
      <c r="AG920" s="297"/>
      <c r="AJ920" s="298"/>
      <c r="AK920" s="297"/>
      <c r="AN920" s="298"/>
      <c r="AR920" s="298"/>
    </row>
    <row r="921" spans="2:44" s="290" customFormat="1" x14ac:dyDescent="0.2">
      <c r="B921" s="302"/>
      <c r="D921" s="302"/>
      <c r="E921" s="302"/>
      <c r="K921" s="303"/>
      <c r="L921" s="303"/>
      <c r="M921" s="303"/>
      <c r="AB921" s="298"/>
      <c r="AC921" s="297"/>
      <c r="AF921" s="296"/>
      <c r="AG921" s="297"/>
      <c r="AJ921" s="298"/>
      <c r="AK921" s="297"/>
      <c r="AN921" s="298"/>
      <c r="AR921" s="298"/>
    </row>
    <row r="922" spans="2:44" s="290" customFormat="1" x14ac:dyDescent="0.2">
      <c r="B922" s="302"/>
      <c r="D922" s="302"/>
      <c r="E922" s="302"/>
      <c r="K922" s="303"/>
      <c r="L922" s="303"/>
      <c r="M922" s="303"/>
      <c r="AB922" s="298"/>
      <c r="AC922" s="297"/>
      <c r="AF922" s="296"/>
      <c r="AG922" s="297"/>
      <c r="AJ922" s="298"/>
      <c r="AK922" s="297"/>
      <c r="AN922" s="298"/>
      <c r="AR922" s="298"/>
    </row>
    <row r="923" spans="2:44" s="290" customFormat="1" x14ac:dyDescent="0.2">
      <c r="B923" s="302"/>
      <c r="D923" s="302"/>
      <c r="E923" s="302"/>
      <c r="K923" s="303"/>
      <c r="L923" s="303"/>
      <c r="M923" s="303"/>
      <c r="AB923" s="298"/>
      <c r="AC923" s="297"/>
      <c r="AF923" s="296"/>
      <c r="AG923" s="297"/>
      <c r="AJ923" s="298"/>
      <c r="AK923" s="297"/>
      <c r="AN923" s="298"/>
      <c r="AR923" s="298"/>
    </row>
    <row r="924" spans="2:44" s="290" customFormat="1" x14ac:dyDescent="0.2">
      <c r="B924" s="302"/>
      <c r="D924" s="302"/>
      <c r="E924" s="302"/>
      <c r="K924" s="303"/>
      <c r="L924" s="303"/>
      <c r="M924" s="303"/>
      <c r="AB924" s="298"/>
      <c r="AC924" s="297"/>
      <c r="AF924" s="296"/>
      <c r="AG924" s="297"/>
      <c r="AJ924" s="298"/>
      <c r="AK924" s="297"/>
      <c r="AN924" s="298"/>
      <c r="AR924" s="298"/>
    </row>
    <row r="925" spans="2:44" s="290" customFormat="1" x14ac:dyDescent="0.2">
      <c r="B925" s="302"/>
      <c r="D925" s="302"/>
      <c r="E925" s="302"/>
      <c r="K925" s="303"/>
      <c r="L925" s="303"/>
      <c r="M925" s="303"/>
      <c r="AB925" s="298"/>
      <c r="AC925" s="297"/>
      <c r="AF925" s="296"/>
      <c r="AG925" s="297"/>
      <c r="AJ925" s="298"/>
      <c r="AK925" s="297"/>
      <c r="AN925" s="298"/>
      <c r="AR925" s="298"/>
    </row>
    <row r="926" spans="2:44" s="290" customFormat="1" x14ac:dyDescent="0.2">
      <c r="B926" s="302"/>
      <c r="D926" s="302"/>
      <c r="E926" s="302"/>
      <c r="K926" s="303"/>
      <c r="L926" s="303"/>
      <c r="M926" s="303"/>
      <c r="AB926" s="298"/>
      <c r="AC926" s="297"/>
      <c r="AF926" s="296"/>
      <c r="AG926" s="297"/>
      <c r="AJ926" s="298"/>
      <c r="AK926" s="297"/>
      <c r="AN926" s="298"/>
      <c r="AR926" s="298"/>
    </row>
    <row r="927" spans="2:44" s="290" customFormat="1" x14ac:dyDescent="0.2">
      <c r="B927" s="302"/>
      <c r="D927" s="302"/>
      <c r="E927" s="302"/>
      <c r="K927" s="303"/>
      <c r="L927" s="303"/>
      <c r="M927" s="303"/>
      <c r="AB927" s="298"/>
      <c r="AC927" s="297"/>
      <c r="AF927" s="296"/>
      <c r="AG927" s="297"/>
      <c r="AJ927" s="298"/>
      <c r="AK927" s="297"/>
      <c r="AN927" s="298"/>
      <c r="AR927" s="298"/>
    </row>
    <row r="928" spans="2:44" s="290" customFormat="1" x14ac:dyDescent="0.2">
      <c r="B928" s="302"/>
      <c r="D928" s="302"/>
      <c r="E928" s="302"/>
      <c r="K928" s="303"/>
      <c r="L928" s="303"/>
      <c r="M928" s="303"/>
      <c r="AB928" s="298"/>
      <c r="AC928" s="297"/>
      <c r="AF928" s="296"/>
      <c r="AG928" s="297"/>
      <c r="AJ928" s="298"/>
      <c r="AK928" s="297"/>
      <c r="AN928" s="298"/>
      <c r="AR928" s="298"/>
    </row>
    <row r="929" spans="2:44" s="290" customFormat="1" x14ac:dyDescent="0.2">
      <c r="B929" s="302"/>
      <c r="D929" s="302"/>
      <c r="E929" s="302"/>
      <c r="K929" s="303"/>
      <c r="L929" s="303"/>
      <c r="M929" s="303"/>
      <c r="AB929" s="298"/>
      <c r="AC929" s="297"/>
      <c r="AF929" s="296"/>
      <c r="AG929" s="297"/>
      <c r="AJ929" s="298"/>
      <c r="AK929" s="297"/>
      <c r="AN929" s="298"/>
      <c r="AR929" s="298"/>
    </row>
    <row r="930" spans="2:44" s="290" customFormat="1" x14ac:dyDescent="0.2">
      <c r="B930" s="302"/>
      <c r="D930" s="302"/>
      <c r="E930" s="302"/>
      <c r="K930" s="303"/>
      <c r="L930" s="303"/>
      <c r="M930" s="303"/>
      <c r="AB930" s="298"/>
      <c r="AC930" s="297"/>
      <c r="AF930" s="296"/>
      <c r="AG930" s="297"/>
      <c r="AJ930" s="298"/>
      <c r="AK930" s="297"/>
      <c r="AN930" s="298"/>
      <c r="AR930" s="298"/>
    </row>
    <row r="931" spans="2:44" s="290" customFormat="1" x14ac:dyDescent="0.2">
      <c r="B931" s="302"/>
      <c r="D931" s="302"/>
      <c r="E931" s="302"/>
      <c r="K931" s="303"/>
      <c r="L931" s="303"/>
      <c r="M931" s="303"/>
      <c r="AB931" s="298"/>
      <c r="AC931" s="297"/>
      <c r="AF931" s="296"/>
      <c r="AG931" s="297"/>
      <c r="AJ931" s="298"/>
      <c r="AK931" s="297"/>
      <c r="AN931" s="298"/>
      <c r="AR931" s="298"/>
    </row>
    <row r="932" spans="2:44" s="290" customFormat="1" x14ac:dyDescent="0.2">
      <c r="B932" s="302"/>
      <c r="D932" s="302"/>
      <c r="E932" s="302"/>
      <c r="K932" s="303"/>
      <c r="L932" s="303"/>
      <c r="M932" s="303"/>
      <c r="AB932" s="298"/>
      <c r="AC932" s="297"/>
      <c r="AF932" s="296"/>
      <c r="AG932" s="297"/>
      <c r="AJ932" s="298"/>
      <c r="AK932" s="297"/>
      <c r="AN932" s="298"/>
      <c r="AR932" s="298"/>
    </row>
    <row r="933" spans="2:44" s="290" customFormat="1" x14ac:dyDescent="0.2">
      <c r="B933" s="302"/>
      <c r="D933" s="302"/>
      <c r="E933" s="302"/>
      <c r="K933" s="303"/>
      <c r="L933" s="303"/>
      <c r="M933" s="303"/>
      <c r="AB933" s="298"/>
      <c r="AC933" s="297"/>
      <c r="AF933" s="296"/>
      <c r="AG933" s="297"/>
      <c r="AJ933" s="298"/>
      <c r="AK933" s="297"/>
      <c r="AN933" s="298"/>
      <c r="AR933" s="298"/>
    </row>
    <row r="934" spans="2:44" s="290" customFormat="1" x14ac:dyDescent="0.2">
      <c r="B934" s="302"/>
      <c r="D934" s="302"/>
      <c r="E934" s="302"/>
      <c r="K934" s="303"/>
      <c r="L934" s="303"/>
      <c r="M934" s="303"/>
      <c r="AB934" s="298"/>
      <c r="AC934" s="297"/>
      <c r="AF934" s="296"/>
      <c r="AG934" s="297"/>
      <c r="AJ934" s="298"/>
      <c r="AK934" s="297"/>
      <c r="AN934" s="298"/>
      <c r="AR934" s="298"/>
    </row>
    <row r="935" spans="2:44" s="290" customFormat="1" x14ac:dyDescent="0.2">
      <c r="B935" s="302"/>
      <c r="D935" s="302"/>
      <c r="E935" s="302"/>
      <c r="K935" s="303"/>
      <c r="L935" s="303"/>
      <c r="M935" s="303"/>
      <c r="AB935" s="298"/>
      <c r="AC935" s="297"/>
      <c r="AF935" s="296"/>
      <c r="AG935" s="297"/>
      <c r="AJ935" s="298"/>
      <c r="AK935" s="297"/>
      <c r="AN935" s="298"/>
      <c r="AR935" s="298"/>
    </row>
    <row r="936" spans="2:44" s="290" customFormat="1" x14ac:dyDescent="0.2">
      <c r="B936" s="302"/>
      <c r="D936" s="302"/>
      <c r="E936" s="302"/>
      <c r="K936" s="303"/>
      <c r="L936" s="303"/>
      <c r="M936" s="303"/>
      <c r="AB936" s="298"/>
      <c r="AC936" s="297"/>
      <c r="AF936" s="296"/>
      <c r="AG936" s="297"/>
      <c r="AJ936" s="298"/>
      <c r="AK936" s="297"/>
      <c r="AN936" s="298"/>
      <c r="AR936" s="298"/>
    </row>
    <row r="937" spans="2:44" s="290" customFormat="1" x14ac:dyDescent="0.2">
      <c r="B937" s="302"/>
      <c r="D937" s="302"/>
      <c r="E937" s="302"/>
      <c r="K937" s="303"/>
      <c r="L937" s="303"/>
      <c r="M937" s="303"/>
      <c r="AB937" s="298"/>
      <c r="AC937" s="297"/>
      <c r="AF937" s="296"/>
      <c r="AG937" s="297"/>
      <c r="AJ937" s="298"/>
      <c r="AK937" s="297"/>
      <c r="AN937" s="298"/>
      <c r="AR937" s="298"/>
    </row>
    <row r="938" spans="2:44" s="290" customFormat="1" x14ac:dyDescent="0.2">
      <c r="B938" s="302"/>
      <c r="D938" s="302"/>
      <c r="E938" s="302"/>
      <c r="K938" s="303"/>
      <c r="L938" s="303"/>
      <c r="M938" s="303"/>
      <c r="AB938" s="298"/>
      <c r="AC938" s="297"/>
      <c r="AF938" s="296"/>
      <c r="AG938" s="297"/>
      <c r="AJ938" s="298"/>
      <c r="AK938" s="297"/>
      <c r="AN938" s="298"/>
      <c r="AR938" s="298"/>
    </row>
    <row r="939" spans="2:44" s="290" customFormat="1" x14ac:dyDescent="0.2">
      <c r="B939" s="302"/>
      <c r="D939" s="302"/>
      <c r="E939" s="302"/>
      <c r="K939" s="303"/>
      <c r="L939" s="303"/>
      <c r="M939" s="303"/>
      <c r="AB939" s="298"/>
      <c r="AC939" s="297"/>
      <c r="AF939" s="296"/>
      <c r="AG939" s="297"/>
      <c r="AJ939" s="298"/>
      <c r="AK939" s="297"/>
      <c r="AN939" s="298"/>
      <c r="AR939" s="298"/>
    </row>
    <row r="940" spans="2:44" s="290" customFormat="1" x14ac:dyDescent="0.2">
      <c r="B940" s="302"/>
      <c r="D940" s="302"/>
      <c r="E940" s="302"/>
      <c r="K940" s="303"/>
      <c r="L940" s="303"/>
      <c r="M940" s="303"/>
      <c r="AB940" s="298"/>
      <c r="AC940" s="297"/>
      <c r="AF940" s="296"/>
      <c r="AG940" s="297"/>
      <c r="AJ940" s="298"/>
      <c r="AK940" s="297"/>
      <c r="AN940" s="298"/>
      <c r="AR940" s="298"/>
    </row>
    <row r="941" spans="2:44" s="290" customFormat="1" x14ac:dyDescent="0.2">
      <c r="B941" s="302"/>
      <c r="D941" s="302"/>
      <c r="E941" s="302"/>
      <c r="K941" s="303"/>
      <c r="L941" s="303"/>
      <c r="M941" s="303"/>
      <c r="AB941" s="298"/>
      <c r="AC941" s="297"/>
      <c r="AF941" s="296"/>
      <c r="AG941" s="297"/>
      <c r="AJ941" s="298"/>
      <c r="AK941" s="297"/>
      <c r="AN941" s="298"/>
      <c r="AR941" s="298"/>
    </row>
    <row r="942" spans="2:44" s="290" customFormat="1" x14ac:dyDescent="0.2">
      <c r="B942" s="302"/>
      <c r="D942" s="302"/>
      <c r="E942" s="302"/>
      <c r="K942" s="303"/>
      <c r="L942" s="303"/>
      <c r="M942" s="303"/>
      <c r="AB942" s="298"/>
      <c r="AC942" s="297"/>
      <c r="AF942" s="296"/>
      <c r="AG942" s="297"/>
      <c r="AJ942" s="298"/>
      <c r="AK942" s="297"/>
      <c r="AN942" s="298"/>
      <c r="AR942" s="298"/>
    </row>
    <row r="943" spans="2:44" s="290" customFormat="1" x14ac:dyDescent="0.2">
      <c r="B943" s="302"/>
      <c r="D943" s="302"/>
      <c r="E943" s="302"/>
      <c r="K943" s="303"/>
      <c r="L943" s="303"/>
      <c r="M943" s="303"/>
      <c r="AB943" s="298"/>
      <c r="AC943" s="297"/>
      <c r="AF943" s="296"/>
      <c r="AG943" s="297"/>
      <c r="AJ943" s="298"/>
      <c r="AK943" s="297"/>
      <c r="AN943" s="298"/>
      <c r="AR943" s="298"/>
    </row>
    <row r="944" spans="2:44" s="290" customFormat="1" x14ac:dyDescent="0.2">
      <c r="B944" s="302"/>
      <c r="D944" s="302"/>
      <c r="E944" s="302"/>
      <c r="K944" s="303"/>
      <c r="L944" s="303"/>
      <c r="M944" s="303"/>
      <c r="AB944" s="298"/>
      <c r="AC944" s="297"/>
      <c r="AF944" s="296"/>
      <c r="AG944" s="297"/>
      <c r="AJ944" s="298"/>
      <c r="AK944" s="297"/>
      <c r="AN944" s="298"/>
      <c r="AR944" s="298"/>
    </row>
    <row r="945" spans="2:44" s="290" customFormat="1" x14ac:dyDescent="0.2">
      <c r="B945" s="302"/>
      <c r="D945" s="302"/>
      <c r="E945" s="302"/>
      <c r="K945" s="303"/>
      <c r="L945" s="303"/>
      <c r="M945" s="303"/>
      <c r="AB945" s="298"/>
      <c r="AC945" s="297"/>
      <c r="AF945" s="296"/>
      <c r="AG945" s="297"/>
      <c r="AJ945" s="298"/>
      <c r="AK945" s="297"/>
      <c r="AN945" s="298"/>
      <c r="AR945" s="298"/>
    </row>
    <row r="946" spans="2:44" s="290" customFormat="1" x14ac:dyDescent="0.2">
      <c r="B946" s="302"/>
      <c r="D946" s="302"/>
      <c r="E946" s="302"/>
      <c r="K946" s="303"/>
      <c r="L946" s="303"/>
      <c r="M946" s="303"/>
      <c r="AB946" s="298"/>
      <c r="AC946" s="297"/>
      <c r="AF946" s="296"/>
      <c r="AG946" s="297"/>
      <c r="AJ946" s="298"/>
      <c r="AK946" s="297"/>
      <c r="AN946" s="298"/>
      <c r="AR946" s="298"/>
    </row>
    <row r="947" spans="2:44" s="290" customFormat="1" x14ac:dyDescent="0.2">
      <c r="B947" s="302"/>
      <c r="D947" s="302"/>
      <c r="E947" s="302"/>
      <c r="K947" s="303"/>
      <c r="L947" s="303"/>
      <c r="M947" s="303"/>
      <c r="AB947" s="298"/>
      <c r="AC947" s="297"/>
      <c r="AF947" s="296"/>
      <c r="AG947" s="297"/>
      <c r="AJ947" s="298"/>
      <c r="AK947" s="297"/>
      <c r="AN947" s="298"/>
      <c r="AR947" s="298"/>
    </row>
    <row r="948" spans="2:44" s="290" customFormat="1" x14ac:dyDescent="0.2">
      <c r="B948" s="302"/>
      <c r="D948" s="302"/>
      <c r="E948" s="302"/>
      <c r="K948" s="303"/>
      <c r="L948" s="303"/>
      <c r="M948" s="303"/>
      <c r="AB948" s="298"/>
      <c r="AC948" s="297"/>
      <c r="AF948" s="296"/>
      <c r="AG948" s="297"/>
      <c r="AJ948" s="298"/>
      <c r="AK948" s="297"/>
      <c r="AN948" s="298"/>
      <c r="AR948" s="298"/>
    </row>
    <row r="949" spans="2:44" s="290" customFormat="1" x14ac:dyDescent="0.2">
      <c r="B949" s="302"/>
      <c r="D949" s="302"/>
      <c r="E949" s="302"/>
      <c r="K949" s="303"/>
      <c r="L949" s="303"/>
      <c r="M949" s="303"/>
      <c r="AB949" s="298"/>
      <c r="AC949" s="297"/>
      <c r="AF949" s="296"/>
      <c r="AG949" s="297"/>
      <c r="AJ949" s="298"/>
      <c r="AK949" s="297"/>
      <c r="AN949" s="298"/>
      <c r="AR949" s="298"/>
    </row>
    <row r="950" spans="2:44" s="290" customFormat="1" x14ac:dyDescent="0.2">
      <c r="B950" s="302"/>
      <c r="D950" s="302"/>
      <c r="E950" s="302"/>
      <c r="K950" s="303"/>
      <c r="L950" s="303"/>
      <c r="M950" s="303"/>
      <c r="AB950" s="298"/>
      <c r="AC950" s="297"/>
      <c r="AF950" s="296"/>
      <c r="AG950" s="297"/>
      <c r="AJ950" s="298"/>
      <c r="AK950" s="297"/>
      <c r="AN950" s="298"/>
      <c r="AR950" s="298"/>
    </row>
    <row r="951" spans="2:44" s="290" customFormat="1" x14ac:dyDescent="0.2">
      <c r="B951" s="302"/>
      <c r="D951" s="302"/>
      <c r="E951" s="302"/>
      <c r="K951" s="303"/>
      <c r="L951" s="303"/>
      <c r="M951" s="303"/>
      <c r="AB951" s="298"/>
      <c r="AC951" s="297"/>
      <c r="AF951" s="296"/>
      <c r="AG951" s="297"/>
      <c r="AJ951" s="298"/>
      <c r="AK951" s="297"/>
      <c r="AN951" s="298"/>
      <c r="AR951" s="298"/>
    </row>
    <row r="952" spans="2:44" s="290" customFormat="1" x14ac:dyDescent="0.2">
      <c r="B952" s="302"/>
      <c r="D952" s="302"/>
      <c r="E952" s="302"/>
      <c r="K952" s="303"/>
      <c r="L952" s="303"/>
      <c r="M952" s="303"/>
      <c r="AB952" s="298"/>
      <c r="AC952" s="297"/>
      <c r="AF952" s="296"/>
      <c r="AG952" s="297"/>
      <c r="AJ952" s="298"/>
      <c r="AK952" s="297"/>
      <c r="AN952" s="298"/>
      <c r="AR952" s="298"/>
    </row>
    <row r="953" spans="2:44" s="290" customFormat="1" x14ac:dyDescent="0.2">
      <c r="B953" s="302"/>
      <c r="D953" s="302"/>
      <c r="E953" s="302"/>
      <c r="K953" s="303"/>
      <c r="L953" s="303"/>
      <c r="M953" s="303"/>
      <c r="AB953" s="298"/>
      <c r="AC953" s="297"/>
      <c r="AF953" s="296"/>
      <c r="AG953" s="297"/>
      <c r="AJ953" s="298"/>
      <c r="AK953" s="297"/>
      <c r="AN953" s="298"/>
      <c r="AR953" s="298"/>
    </row>
    <row r="954" spans="2:44" s="290" customFormat="1" x14ac:dyDescent="0.2">
      <c r="B954" s="302"/>
      <c r="D954" s="302"/>
      <c r="E954" s="302"/>
      <c r="K954" s="303"/>
      <c r="L954" s="303"/>
      <c r="M954" s="303"/>
      <c r="AB954" s="298"/>
      <c r="AC954" s="297"/>
      <c r="AF954" s="296"/>
      <c r="AG954" s="297"/>
      <c r="AJ954" s="298"/>
      <c r="AK954" s="297"/>
      <c r="AN954" s="298"/>
      <c r="AR954" s="298"/>
    </row>
    <row r="955" spans="2:44" s="290" customFormat="1" x14ac:dyDescent="0.2">
      <c r="B955" s="302"/>
      <c r="D955" s="302"/>
      <c r="E955" s="302"/>
      <c r="K955" s="303"/>
      <c r="L955" s="303"/>
      <c r="M955" s="303"/>
      <c r="AB955" s="298"/>
      <c r="AC955" s="297"/>
      <c r="AF955" s="296"/>
      <c r="AG955" s="297"/>
      <c r="AJ955" s="298"/>
      <c r="AK955" s="297"/>
      <c r="AN955" s="298"/>
      <c r="AR955" s="298"/>
    </row>
    <row r="956" spans="2:44" s="290" customFormat="1" x14ac:dyDescent="0.2">
      <c r="B956" s="302"/>
      <c r="D956" s="302"/>
      <c r="E956" s="302"/>
      <c r="K956" s="303"/>
      <c r="L956" s="303"/>
      <c r="M956" s="303"/>
      <c r="AB956" s="298"/>
      <c r="AC956" s="297"/>
      <c r="AF956" s="296"/>
      <c r="AG956" s="297"/>
      <c r="AJ956" s="298"/>
      <c r="AK956" s="297"/>
      <c r="AN956" s="298"/>
      <c r="AR956" s="298"/>
    </row>
    <row r="957" spans="2:44" s="290" customFormat="1" x14ac:dyDescent="0.2">
      <c r="B957" s="302"/>
      <c r="D957" s="302"/>
      <c r="E957" s="302"/>
      <c r="K957" s="303"/>
      <c r="L957" s="303"/>
      <c r="M957" s="303"/>
      <c r="AB957" s="298"/>
      <c r="AC957" s="297"/>
      <c r="AF957" s="296"/>
      <c r="AG957" s="297"/>
      <c r="AJ957" s="298"/>
      <c r="AK957" s="297"/>
      <c r="AN957" s="298"/>
      <c r="AR957" s="298"/>
    </row>
    <row r="958" spans="2:44" s="290" customFormat="1" x14ac:dyDescent="0.2">
      <c r="B958" s="302"/>
      <c r="D958" s="302"/>
      <c r="E958" s="302"/>
      <c r="K958" s="303"/>
      <c r="L958" s="303"/>
      <c r="M958" s="303"/>
      <c r="AB958" s="298"/>
      <c r="AC958" s="297"/>
      <c r="AF958" s="296"/>
      <c r="AG958" s="297"/>
      <c r="AJ958" s="298"/>
      <c r="AK958" s="297"/>
      <c r="AN958" s="298"/>
      <c r="AR958" s="298"/>
    </row>
    <row r="959" spans="2:44" s="290" customFormat="1" x14ac:dyDescent="0.2">
      <c r="B959" s="302"/>
      <c r="D959" s="302"/>
      <c r="E959" s="302"/>
      <c r="K959" s="303"/>
      <c r="L959" s="303"/>
      <c r="M959" s="303"/>
      <c r="AB959" s="298"/>
      <c r="AC959" s="297"/>
      <c r="AF959" s="296"/>
      <c r="AG959" s="297"/>
      <c r="AJ959" s="298"/>
      <c r="AK959" s="297"/>
      <c r="AN959" s="298"/>
      <c r="AR959" s="298"/>
    </row>
    <row r="960" spans="2:44" s="290" customFormat="1" x14ac:dyDescent="0.2">
      <c r="B960" s="302"/>
      <c r="D960" s="302"/>
      <c r="E960" s="302"/>
      <c r="K960" s="303"/>
      <c r="L960" s="303"/>
      <c r="M960" s="303"/>
      <c r="AB960" s="298"/>
      <c r="AC960" s="297"/>
      <c r="AF960" s="296"/>
      <c r="AG960" s="297"/>
      <c r="AJ960" s="298"/>
      <c r="AK960" s="297"/>
      <c r="AN960" s="298"/>
      <c r="AR960" s="298"/>
    </row>
    <row r="961" spans="2:44" s="290" customFormat="1" x14ac:dyDescent="0.2">
      <c r="B961" s="302"/>
      <c r="D961" s="302"/>
      <c r="E961" s="302"/>
      <c r="K961" s="303"/>
      <c r="L961" s="303"/>
      <c r="M961" s="303"/>
      <c r="AB961" s="298"/>
      <c r="AC961" s="297"/>
      <c r="AF961" s="296"/>
      <c r="AG961" s="297"/>
      <c r="AJ961" s="298"/>
      <c r="AK961" s="297"/>
      <c r="AN961" s="298"/>
      <c r="AR961" s="298"/>
    </row>
    <row r="962" spans="2:44" s="290" customFormat="1" x14ac:dyDescent="0.2">
      <c r="B962" s="302"/>
      <c r="D962" s="302"/>
      <c r="E962" s="302"/>
      <c r="K962" s="303"/>
      <c r="L962" s="303"/>
      <c r="M962" s="303"/>
      <c r="AB962" s="298"/>
      <c r="AC962" s="297"/>
      <c r="AF962" s="296"/>
      <c r="AG962" s="297"/>
      <c r="AJ962" s="298"/>
      <c r="AK962" s="297"/>
      <c r="AN962" s="298"/>
      <c r="AR962" s="298"/>
    </row>
    <row r="963" spans="2:44" s="290" customFormat="1" x14ac:dyDescent="0.2">
      <c r="B963" s="302"/>
      <c r="D963" s="302"/>
      <c r="E963" s="302"/>
      <c r="K963" s="303"/>
      <c r="L963" s="303"/>
      <c r="M963" s="303"/>
      <c r="AB963" s="298"/>
      <c r="AC963" s="297"/>
      <c r="AF963" s="296"/>
      <c r="AG963" s="297"/>
      <c r="AJ963" s="298"/>
      <c r="AK963" s="297"/>
      <c r="AN963" s="298"/>
      <c r="AR963" s="298"/>
    </row>
    <row r="964" spans="2:44" s="290" customFormat="1" x14ac:dyDescent="0.2">
      <c r="B964" s="302"/>
      <c r="D964" s="302"/>
      <c r="E964" s="302"/>
      <c r="K964" s="303"/>
      <c r="L964" s="303"/>
      <c r="M964" s="303"/>
      <c r="AB964" s="298"/>
      <c r="AC964" s="297"/>
      <c r="AF964" s="296"/>
      <c r="AG964" s="297"/>
      <c r="AJ964" s="298"/>
      <c r="AK964" s="297"/>
      <c r="AN964" s="298"/>
      <c r="AR964" s="298"/>
    </row>
    <row r="965" spans="2:44" s="290" customFormat="1" x14ac:dyDescent="0.2">
      <c r="B965" s="302"/>
      <c r="D965" s="302"/>
      <c r="E965" s="302"/>
      <c r="K965" s="303"/>
      <c r="L965" s="303"/>
      <c r="M965" s="303"/>
      <c r="AB965" s="298"/>
      <c r="AC965" s="297"/>
      <c r="AF965" s="296"/>
      <c r="AG965" s="297"/>
      <c r="AJ965" s="298"/>
      <c r="AK965" s="297"/>
      <c r="AN965" s="298"/>
      <c r="AR965" s="298"/>
    </row>
    <row r="966" spans="2:44" s="290" customFormat="1" x14ac:dyDescent="0.2">
      <c r="B966" s="302"/>
      <c r="D966" s="302"/>
      <c r="E966" s="302"/>
      <c r="K966" s="303"/>
      <c r="L966" s="303"/>
      <c r="M966" s="303"/>
      <c r="AB966" s="298"/>
      <c r="AC966" s="297"/>
      <c r="AF966" s="296"/>
      <c r="AG966" s="297"/>
      <c r="AJ966" s="298"/>
      <c r="AK966" s="297"/>
      <c r="AN966" s="298"/>
      <c r="AR966" s="298"/>
    </row>
    <row r="967" spans="2:44" s="290" customFormat="1" x14ac:dyDescent="0.2">
      <c r="B967" s="302"/>
      <c r="D967" s="302"/>
      <c r="E967" s="302"/>
      <c r="K967" s="303"/>
      <c r="L967" s="303"/>
      <c r="M967" s="303"/>
      <c r="AB967" s="298"/>
      <c r="AC967" s="297"/>
      <c r="AF967" s="296"/>
      <c r="AG967" s="297"/>
      <c r="AJ967" s="298"/>
      <c r="AK967" s="297"/>
      <c r="AN967" s="298"/>
      <c r="AR967" s="298"/>
    </row>
    <row r="968" spans="2:44" s="290" customFormat="1" x14ac:dyDescent="0.2">
      <c r="B968" s="302"/>
      <c r="D968" s="302"/>
      <c r="E968" s="302"/>
      <c r="K968" s="303"/>
      <c r="L968" s="303"/>
      <c r="M968" s="303"/>
      <c r="AB968" s="298"/>
      <c r="AC968" s="297"/>
      <c r="AF968" s="296"/>
      <c r="AG968" s="297"/>
      <c r="AJ968" s="298"/>
      <c r="AK968" s="297"/>
      <c r="AN968" s="298"/>
      <c r="AR968" s="298"/>
    </row>
    <row r="969" spans="2:44" s="290" customFormat="1" x14ac:dyDescent="0.2">
      <c r="B969" s="302"/>
      <c r="D969" s="302"/>
      <c r="E969" s="302"/>
      <c r="K969" s="303"/>
      <c r="L969" s="303"/>
      <c r="M969" s="303"/>
      <c r="AB969" s="298"/>
      <c r="AC969" s="297"/>
      <c r="AF969" s="296"/>
      <c r="AG969" s="297"/>
      <c r="AJ969" s="298"/>
      <c r="AK969" s="297"/>
      <c r="AN969" s="298"/>
      <c r="AR969" s="298"/>
    </row>
    <row r="970" spans="2:44" s="290" customFormat="1" x14ac:dyDescent="0.2">
      <c r="B970" s="302"/>
      <c r="D970" s="302"/>
      <c r="E970" s="302"/>
      <c r="K970" s="303"/>
      <c r="L970" s="303"/>
      <c r="M970" s="303"/>
      <c r="AB970" s="298"/>
      <c r="AC970" s="297"/>
      <c r="AF970" s="296"/>
      <c r="AG970" s="297"/>
      <c r="AJ970" s="298"/>
      <c r="AK970" s="297"/>
      <c r="AN970" s="298"/>
      <c r="AR970" s="298"/>
    </row>
    <row r="971" spans="2:44" s="290" customFormat="1" x14ac:dyDescent="0.2">
      <c r="B971" s="302"/>
      <c r="D971" s="302"/>
      <c r="E971" s="302"/>
      <c r="K971" s="303"/>
      <c r="L971" s="303"/>
      <c r="M971" s="303"/>
      <c r="AB971" s="298"/>
      <c r="AC971" s="297"/>
      <c r="AF971" s="296"/>
      <c r="AG971" s="297"/>
      <c r="AJ971" s="298"/>
      <c r="AK971" s="297"/>
      <c r="AN971" s="298"/>
      <c r="AR971" s="298"/>
    </row>
    <row r="972" spans="2:44" s="290" customFormat="1" x14ac:dyDescent="0.2">
      <c r="B972" s="302"/>
      <c r="D972" s="302"/>
      <c r="E972" s="302"/>
      <c r="K972" s="303"/>
      <c r="L972" s="303"/>
      <c r="M972" s="303"/>
      <c r="AB972" s="298"/>
      <c r="AC972" s="297"/>
      <c r="AF972" s="296"/>
      <c r="AG972" s="297"/>
      <c r="AJ972" s="298"/>
      <c r="AK972" s="297"/>
      <c r="AN972" s="298"/>
      <c r="AR972" s="298"/>
    </row>
    <row r="973" spans="2:44" s="290" customFormat="1" x14ac:dyDescent="0.2">
      <c r="B973" s="302"/>
      <c r="D973" s="302"/>
      <c r="E973" s="302"/>
      <c r="K973" s="303"/>
      <c r="L973" s="303"/>
      <c r="M973" s="303"/>
      <c r="AB973" s="298"/>
      <c r="AC973" s="297"/>
      <c r="AF973" s="296"/>
      <c r="AG973" s="297"/>
      <c r="AJ973" s="298"/>
      <c r="AK973" s="297"/>
      <c r="AN973" s="298"/>
      <c r="AR973" s="298"/>
    </row>
    <row r="974" spans="2:44" s="290" customFormat="1" x14ac:dyDescent="0.2">
      <c r="B974" s="302"/>
      <c r="D974" s="302"/>
      <c r="E974" s="302"/>
      <c r="K974" s="303"/>
      <c r="L974" s="303"/>
      <c r="M974" s="303"/>
      <c r="AB974" s="298"/>
      <c r="AC974" s="297"/>
      <c r="AF974" s="296"/>
      <c r="AG974" s="297"/>
      <c r="AJ974" s="298"/>
      <c r="AK974" s="297"/>
      <c r="AN974" s="298"/>
      <c r="AR974" s="298"/>
    </row>
    <row r="975" spans="2:44" s="290" customFormat="1" x14ac:dyDescent="0.2">
      <c r="B975" s="302"/>
      <c r="D975" s="302"/>
      <c r="E975" s="302"/>
      <c r="K975" s="303"/>
      <c r="L975" s="303"/>
      <c r="M975" s="303"/>
      <c r="AB975" s="298"/>
      <c r="AC975" s="297"/>
      <c r="AF975" s="296"/>
      <c r="AG975" s="297"/>
      <c r="AJ975" s="298"/>
      <c r="AK975" s="297"/>
      <c r="AN975" s="298"/>
      <c r="AR975" s="298"/>
    </row>
    <row r="976" spans="2:44" s="290" customFormat="1" x14ac:dyDescent="0.2">
      <c r="B976" s="302"/>
      <c r="D976" s="302"/>
      <c r="E976" s="302"/>
      <c r="K976" s="303"/>
      <c r="L976" s="303"/>
      <c r="M976" s="303"/>
      <c r="AB976" s="298"/>
      <c r="AC976" s="297"/>
      <c r="AF976" s="296"/>
      <c r="AG976" s="297"/>
      <c r="AJ976" s="298"/>
      <c r="AK976" s="297"/>
      <c r="AN976" s="298"/>
      <c r="AR976" s="298"/>
    </row>
    <row r="977" spans="2:44" s="290" customFormat="1" x14ac:dyDescent="0.2">
      <c r="B977" s="302"/>
      <c r="D977" s="302"/>
      <c r="E977" s="302"/>
      <c r="K977" s="303"/>
      <c r="L977" s="303"/>
      <c r="M977" s="303"/>
      <c r="AB977" s="298"/>
      <c r="AC977" s="297"/>
      <c r="AF977" s="296"/>
      <c r="AG977" s="297"/>
      <c r="AJ977" s="298"/>
      <c r="AK977" s="297"/>
      <c r="AN977" s="298"/>
      <c r="AR977" s="298"/>
    </row>
    <row r="978" spans="2:44" s="290" customFormat="1" x14ac:dyDescent="0.2">
      <c r="B978" s="302"/>
      <c r="D978" s="302"/>
      <c r="E978" s="302"/>
      <c r="K978" s="303"/>
      <c r="L978" s="303"/>
      <c r="M978" s="303"/>
      <c r="AB978" s="298"/>
      <c r="AC978" s="297"/>
      <c r="AF978" s="296"/>
      <c r="AG978" s="297"/>
      <c r="AJ978" s="298"/>
      <c r="AK978" s="297"/>
      <c r="AN978" s="298"/>
      <c r="AR978" s="298"/>
    </row>
    <row r="979" spans="2:44" s="290" customFormat="1" x14ac:dyDescent="0.2">
      <c r="B979" s="302"/>
      <c r="D979" s="302"/>
      <c r="E979" s="302"/>
      <c r="K979" s="303"/>
      <c r="L979" s="303"/>
      <c r="M979" s="303"/>
      <c r="AB979" s="298"/>
      <c r="AC979" s="297"/>
      <c r="AF979" s="296"/>
      <c r="AG979" s="297"/>
      <c r="AJ979" s="298"/>
      <c r="AK979" s="297"/>
      <c r="AN979" s="298"/>
      <c r="AR979" s="298"/>
    </row>
    <row r="980" spans="2:44" s="290" customFormat="1" x14ac:dyDescent="0.2">
      <c r="B980" s="302"/>
      <c r="D980" s="302"/>
      <c r="E980" s="302"/>
      <c r="K980" s="303"/>
      <c r="L980" s="303"/>
      <c r="M980" s="303"/>
      <c r="AB980" s="298"/>
      <c r="AC980" s="297"/>
      <c r="AF980" s="296"/>
      <c r="AG980" s="297"/>
      <c r="AJ980" s="298"/>
      <c r="AK980" s="297"/>
      <c r="AN980" s="298"/>
      <c r="AR980" s="298"/>
    </row>
    <row r="981" spans="2:44" s="290" customFormat="1" x14ac:dyDescent="0.2">
      <c r="B981" s="302"/>
      <c r="D981" s="302"/>
      <c r="E981" s="302"/>
      <c r="K981" s="303"/>
      <c r="L981" s="303"/>
      <c r="M981" s="303"/>
      <c r="AB981" s="298"/>
      <c r="AC981" s="297"/>
      <c r="AF981" s="296"/>
      <c r="AG981" s="297"/>
      <c r="AJ981" s="298"/>
      <c r="AK981" s="297"/>
      <c r="AN981" s="298"/>
      <c r="AR981" s="298"/>
    </row>
    <row r="982" spans="2:44" s="290" customFormat="1" x14ac:dyDescent="0.2">
      <c r="B982" s="302"/>
      <c r="D982" s="302"/>
      <c r="E982" s="302"/>
      <c r="K982" s="303"/>
      <c r="L982" s="303"/>
      <c r="M982" s="303"/>
      <c r="AB982" s="298"/>
      <c r="AC982" s="297"/>
      <c r="AF982" s="296"/>
      <c r="AG982" s="297"/>
      <c r="AJ982" s="298"/>
      <c r="AK982" s="297"/>
      <c r="AN982" s="298"/>
      <c r="AR982" s="298"/>
    </row>
    <row r="983" spans="2:44" s="290" customFormat="1" x14ac:dyDescent="0.2">
      <c r="B983" s="302"/>
      <c r="D983" s="302"/>
      <c r="E983" s="302"/>
      <c r="K983" s="303"/>
      <c r="L983" s="303"/>
      <c r="M983" s="303"/>
      <c r="AB983" s="298"/>
      <c r="AC983" s="297"/>
      <c r="AF983" s="296"/>
      <c r="AG983" s="297"/>
      <c r="AJ983" s="298"/>
      <c r="AK983" s="297"/>
      <c r="AN983" s="298"/>
      <c r="AR983" s="298"/>
    </row>
    <row r="984" spans="2:44" s="290" customFormat="1" x14ac:dyDescent="0.2">
      <c r="B984" s="302"/>
      <c r="D984" s="302"/>
      <c r="E984" s="302"/>
      <c r="K984" s="303"/>
      <c r="L984" s="303"/>
      <c r="M984" s="303"/>
      <c r="AB984" s="298"/>
      <c r="AC984" s="297"/>
      <c r="AF984" s="296"/>
      <c r="AG984" s="297"/>
      <c r="AJ984" s="298"/>
      <c r="AK984" s="297"/>
      <c r="AN984" s="298"/>
      <c r="AR984" s="298"/>
    </row>
    <row r="985" spans="2:44" s="290" customFormat="1" x14ac:dyDescent="0.2">
      <c r="B985" s="302"/>
      <c r="D985" s="302"/>
      <c r="E985" s="302"/>
      <c r="K985" s="303"/>
      <c r="L985" s="303"/>
      <c r="M985" s="303"/>
      <c r="AB985" s="298"/>
      <c r="AC985" s="297"/>
      <c r="AF985" s="296"/>
      <c r="AG985" s="297"/>
      <c r="AJ985" s="298"/>
      <c r="AK985" s="297"/>
      <c r="AN985" s="298"/>
      <c r="AR985" s="298"/>
    </row>
    <row r="986" spans="2:44" s="290" customFormat="1" x14ac:dyDescent="0.2">
      <c r="B986" s="302"/>
      <c r="D986" s="302"/>
      <c r="E986" s="302"/>
      <c r="K986" s="303"/>
      <c r="L986" s="303"/>
      <c r="M986" s="303"/>
      <c r="AB986" s="298"/>
      <c r="AC986" s="297"/>
      <c r="AF986" s="296"/>
      <c r="AG986" s="297"/>
      <c r="AJ986" s="298"/>
      <c r="AK986" s="297"/>
      <c r="AN986" s="298"/>
      <c r="AR986" s="298"/>
    </row>
    <row r="987" spans="2:44" s="290" customFormat="1" x14ac:dyDescent="0.2">
      <c r="B987" s="302"/>
      <c r="D987" s="302"/>
      <c r="E987" s="302"/>
      <c r="K987" s="303"/>
      <c r="L987" s="303"/>
      <c r="M987" s="303"/>
      <c r="AB987" s="298"/>
      <c r="AC987" s="297"/>
      <c r="AF987" s="296"/>
      <c r="AG987" s="297"/>
      <c r="AJ987" s="298"/>
      <c r="AK987" s="297"/>
      <c r="AN987" s="298"/>
      <c r="AR987" s="298"/>
    </row>
    <row r="988" spans="2:44" s="290" customFormat="1" x14ac:dyDescent="0.2">
      <c r="B988" s="302"/>
      <c r="D988" s="302"/>
      <c r="E988" s="302"/>
      <c r="K988" s="303"/>
      <c r="L988" s="303"/>
      <c r="M988" s="303"/>
      <c r="AB988" s="298"/>
      <c r="AC988" s="297"/>
      <c r="AF988" s="296"/>
      <c r="AG988" s="297"/>
      <c r="AJ988" s="298"/>
      <c r="AK988" s="297"/>
      <c r="AN988" s="298"/>
      <c r="AR988" s="298"/>
    </row>
    <row r="989" spans="2:44" s="290" customFormat="1" x14ac:dyDescent="0.2">
      <c r="B989" s="302"/>
      <c r="D989" s="302"/>
      <c r="E989" s="302"/>
      <c r="K989" s="303"/>
      <c r="L989" s="303"/>
      <c r="M989" s="303"/>
      <c r="AB989" s="298"/>
      <c r="AC989" s="297"/>
      <c r="AF989" s="296"/>
      <c r="AG989" s="297"/>
      <c r="AJ989" s="298"/>
      <c r="AK989" s="297"/>
      <c r="AN989" s="298"/>
      <c r="AR989" s="298"/>
    </row>
    <row r="990" spans="2:44" s="290" customFormat="1" x14ac:dyDescent="0.2">
      <c r="B990" s="302"/>
      <c r="D990" s="302"/>
      <c r="E990" s="302"/>
      <c r="K990" s="303"/>
      <c r="L990" s="303"/>
      <c r="M990" s="303"/>
      <c r="AB990" s="298"/>
      <c r="AC990" s="297"/>
      <c r="AF990" s="296"/>
      <c r="AG990" s="297"/>
      <c r="AJ990" s="298"/>
      <c r="AK990" s="297"/>
      <c r="AN990" s="298"/>
      <c r="AR990" s="298"/>
    </row>
    <row r="991" spans="2:44" s="290" customFormat="1" x14ac:dyDescent="0.2">
      <c r="B991" s="302"/>
      <c r="D991" s="302"/>
      <c r="E991" s="302"/>
      <c r="K991" s="303"/>
      <c r="L991" s="303"/>
      <c r="M991" s="303"/>
      <c r="AB991" s="298"/>
      <c r="AC991" s="297"/>
      <c r="AF991" s="296"/>
      <c r="AG991" s="297"/>
      <c r="AJ991" s="298"/>
      <c r="AK991" s="297"/>
      <c r="AN991" s="298"/>
      <c r="AR991" s="298"/>
    </row>
    <row r="992" spans="2:44" s="290" customFormat="1" x14ac:dyDescent="0.2">
      <c r="B992" s="302"/>
      <c r="D992" s="302"/>
      <c r="E992" s="302"/>
      <c r="K992" s="303"/>
      <c r="L992" s="303"/>
      <c r="M992" s="303"/>
      <c r="AB992" s="298"/>
      <c r="AC992" s="297"/>
      <c r="AF992" s="296"/>
      <c r="AG992" s="297"/>
      <c r="AJ992" s="298"/>
      <c r="AK992" s="297"/>
      <c r="AN992" s="298"/>
      <c r="AR992" s="298"/>
    </row>
    <row r="993" spans="2:44" s="290" customFormat="1" x14ac:dyDescent="0.2">
      <c r="B993" s="302"/>
      <c r="D993" s="302"/>
      <c r="E993" s="302"/>
      <c r="K993" s="303"/>
      <c r="L993" s="303"/>
      <c r="M993" s="303"/>
      <c r="AB993" s="298"/>
      <c r="AC993" s="297"/>
      <c r="AF993" s="296"/>
      <c r="AG993" s="297"/>
      <c r="AJ993" s="298"/>
      <c r="AK993" s="297"/>
      <c r="AN993" s="298"/>
      <c r="AR993" s="298"/>
    </row>
    <row r="994" spans="2:44" s="290" customFormat="1" x14ac:dyDescent="0.2">
      <c r="B994" s="302"/>
      <c r="D994" s="302"/>
      <c r="E994" s="302"/>
      <c r="K994" s="303"/>
      <c r="L994" s="303"/>
      <c r="M994" s="303"/>
      <c r="AB994" s="298"/>
      <c r="AC994" s="297"/>
      <c r="AF994" s="296"/>
      <c r="AG994" s="297"/>
      <c r="AJ994" s="298"/>
      <c r="AK994" s="297"/>
      <c r="AN994" s="298"/>
      <c r="AR994" s="298"/>
    </row>
    <row r="995" spans="2:44" s="290" customFormat="1" x14ac:dyDescent="0.2">
      <c r="B995" s="302"/>
      <c r="D995" s="302"/>
      <c r="E995" s="302"/>
      <c r="K995" s="303"/>
      <c r="L995" s="303"/>
      <c r="M995" s="303"/>
      <c r="AB995" s="298"/>
      <c r="AC995" s="297"/>
      <c r="AF995" s="296"/>
      <c r="AG995" s="297"/>
      <c r="AJ995" s="298"/>
      <c r="AK995" s="297"/>
      <c r="AN995" s="298"/>
      <c r="AR995" s="298"/>
    </row>
    <row r="996" spans="2:44" s="290" customFormat="1" x14ac:dyDescent="0.2">
      <c r="B996" s="302"/>
      <c r="D996" s="302"/>
      <c r="E996" s="302"/>
      <c r="K996" s="303"/>
      <c r="L996" s="303"/>
      <c r="M996" s="303"/>
      <c r="AB996" s="298"/>
      <c r="AC996" s="297"/>
      <c r="AF996" s="296"/>
      <c r="AG996" s="297"/>
      <c r="AJ996" s="298"/>
      <c r="AK996" s="297"/>
      <c r="AN996" s="298"/>
      <c r="AR996" s="298"/>
    </row>
    <row r="997" spans="2:44" s="290" customFormat="1" x14ac:dyDescent="0.2">
      <c r="B997" s="302"/>
      <c r="D997" s="302"/>
      <c r="E997" s="302"/>
      <c r="K997" s="303"/>
      <c r="L997" s="303"/>
      <c r="M997" s="303"/>
      <c r="AB997" s="298"/>
      <c r="AC997" s="297"/>
      <c r="AF997" s="296"/>
      <c r="AG997" s="297"/>
      <c r="AJ997" s="298"/>
      <c r="AK997" s="297"/>
      <c r="AN997" s="298"/>
      <c r="AR997" s="298"/>
    </row>
    <row r="998" spans="2:44" s="290" customFormat="1" x14ac:dyDescent="0.2">
      <c r="B998" s="302"/>
      <c r="D998" s="302"/>
      <c r="E998" s="302"/>
      <c r="K998" s="303"/>
      <c r="L998" s="303"/>
      <c r="M998" s="303"/>
      <c r="AB998" s="298"/>
      <c r="AC998" s="297"/>
      <c r="AF998" s="296"/>
      <c r="AG998" s="297"/>
      <c r="AJ998" s="298"/>
      <c r="AK998" s="297"/>
      <c r="AN998" s="298"/>
      <c r="AR998" s="298"/>
    </row>
    <row r="999" spans="2:44" s="290" customFormat="1" x14ac:dyDescent="0.2">
      <c r="B999" s="302"/>
      <c r="D999" s="302"/>
      <c r="E999" s="302"/>
      <c r="K999" s="303"/>
      <c r="L999" s="303"/>
      <c r="M999" s="303"/>
      <c r="AB999" s="298"/>
      <c r="AC999" s="297"/>
      <c r="AF999" s="296"/>
      <c r="AG999" s="297"/>
      <c r="AJ999" s="298"/>
      <c r="AK999" s="297"/>
      <c r="AN999" s="298"/>
      <c r="AR999" s="298"/>
    </row>
    <row r="1000" spans="2:44" s="290" customFormat="1" x14ac:dyDescent="0.2">
      <c r="B1000" s="302"/>
      <c r="D1000" s="302"/>
      <c r="E1000" s="302"/>
      <c r="K1000" s="303"/>
      <c r="L1000" s="303"/>
      <c r="M1000" s="303"/>
      <c r="AB1000" s="298"/>
      <c r="AC1000" s="297"/>
      <c r="AF1000" s="296"/>
      <c r="AG1000" s="297"/>
      <c r="AJ1000" s="298"/>
      <c r="AK1000" s="297"/>
      <c r="AN1000" s="298"/>
      <c r="AR1000" s="298"/>
    </row>
    <row r="1001" spans="2:44" s="290" customFormat="1" x14ac:dyDescent="0.2">
      <c r="B1001" s="302"/>
      <c r="D1001" s="302"/>
      <c r="E1001" s="302"/>
      <c r="K1001" s="303"/>
      <c r="L1001" s="303"/>
      <c r="M1001" s="303"/>
      <c r="AB1001" s="298"/>
      <c r="AC1001" s="297"/>
      <c r="AF1001" s="296"/>
      <c r="AG1001" s="297"/>
      <c r="AJ1001" s="298"/>
      <c r="AK1001" s="297"/>
      <c r="AN1001" s="298"/>
      <c r="AR1001" s="298"/>
    </row>
    <row r="1002" spans="2:44" s="290" customFormat="1" x14ac:dyDescent="0.2">
      <c r="B1002" s="302"/>
      <c r="D1002" s="302"/>
      <c r="E1002" s="302"/>
      <c r="K1002" s="303"/>
      <c r="L1002" s="303"/>
      <c r="M1002" s="303"/>
      <c r="AB1002" s="298"/>
      <c r="AC1002" s="297"/>
      <c r="AF1002" s="296"/>
      <c r="AG1002" s="297"/>
      <c r="AJ1002" s="298"/>
      <c r="AK1002" s="297"/>
      <c r="AN1002" s="298"/>
      <c r="AR1002" s="298"/>
    </row>
    <row r="1003" spans="2:44" s="290" customFormat="1" x14ac:dyDescent="0.2">
      <c r="B1003" s="302"/>
      <c r="D1003" s="302"/>
      <c r="E1003" s="302"/>
      <c r="K1003" s="303"/>
      <c r="L1003" s="303"/>
      <c r="M1003" s="303"/>
      <c r="AB1003" s="298"/>
      <c r="AC1003" s="297"/>
      <c r="AF1003" s="296"/>
      <c r="AG1003" s="297"/>
      <c r="AJ1003" s="298"/>
      <c r="AK1003" s="297"/>
      <c r="AN1003" s="298"/>
      <c r="AR1003" s="298"/>
    </row>
    <row r="1004" spans="2:44" s="290" customFormat="1" x14ac:dyDescent="0.2">
      <c r="B1004" s="302"/>
      <c r="D1004" s="302"/>
      <c r="E1004" s="302"/>
      <c r="K1004" s="303"/>
      <c r="L1004" s="303"/>
      <c r="M1004" s="303"/>
      <c r="AB1004" s="298"/>
      <c r="AC1004" s="297"/>
      <c r="AF1004" s="296"/>
      <c r="AG1004" s="297"/>
      <c r="AJ1004" s="298"/>
      <c r="AK1004" s="297"/>
      <c r="AN1004" s="298"/>
      <c r="AR1004" s="298"/>
    </row>
    <row r="1005" spans="2:44" s="290" customFormat="1" x14ac:dyDescent="0.2">
      <c r="B1005" s="302"/>
      <c r="D1005" s="302"/>
      <c r="E1005" s="302"/>
      <c r="K1005" s="303"/>
      <c r="L1005" s="303"/>
      <c r="M1005" s="303"/>
      <c r="AB1005" s="298"/>
      <c r="AC1005" s="297"/>
      <c r="AF1005" s="296"/>
      <c r="AG1005" s="297"/>
      <c r="AJ1005" s="298"/>
      <c r="AK1005" s="297"/>
      <c r="AN1005" s="298"/>
      <c r="AR1005" s="298"/>
    </row>
    <row r="1006" spans="2:44" s="290" customFormat="1" x14ac:dyDescent="0.2">
      <c r="B1006" s="302"/>
      <c r="D1006" s="302"/>
      <c r="E1006" s="302"/>
      <c r="K1006" s="303"/>
      <c r="L1006" s="303"/>
      <c r="M1006" s="303"/>
      <c r="AB1006" s="298"/>
      <c r="AC1006" s="297"/>
      <c r="AF1006" s="296"/>
      <c r="AG1006" s="297"/>
      <c r="AJ1006" s="298"/>
      <c r="AK1006" s="297"/>
      <c r="AN1006" s="298"/>
      <c r="AR1006" s="298"/>
    </row>
    <row r="1007" spans="2:44" s="290" customFormat="1" x14ac:dyDescent="0.2">
      <c r="B1007" s="302"/>
      <c r="D1007" s="302"/>
      <c r="E1007" s="302"/>
      <c r="K1007" s="303"/>
      <c r="L1007" s="303"/>
      <c r="M1007" s="303"/>
      <c r="AB1007" s="298"/>
      <c r="AC1007" s="297"/>
      <c r="AF1007" s="296"/>
      <c r="AG1007" s="297"/>
      <c r="AJ1007" s="298"/>
      <c r="AK1007" s="297"/>
      <c r="AN1007" s="298"/>
      <c r="AR1007" s="298"/>
    </row>
    <row r="1008" spans="2:44" s="290" customFormat="1" x14ac:dyDescent="0.2">
      <c r="B1008" s="302"/>
      <c r="D1008" s="302"/>
      <c r="E1008" s="302"/>
      <c r="K1008" s="303"/>
      <c r="L1008" s="303"/>
      <c r="M1008" s="303"/>
      <c r="AB1008" s="298"/>
      <c r="AC1008" s="297"/>
      <c r="AF1008" s="296"/>
      <c r="AG1008" s="297"/>
      <c r="AJ1008" s="298"/>
      <c r="AK1008" s="297"/>
      <c r="AN1008" s="298"/>
      <c r="AR1008" s="298"/>
    </row>
    <row r="1009" spans="2:44" s="290" customFormat="1" x14ac:dyDescent="0.2">
      <c r="B1009" s="302"/>
      <c r="D1009" s="302"/>
      <c r="E1009" s="302"/>
      <c r="K1009" s="303"/>
      <c r="L1009" s="303"/>
      <c r="M1009" s="303"/>
      <c r="AB1009" s="298"/>
      <c r="AC1009" s="297"/>
      <c r="AF1009" s="296"/>
      <c r="AG1009" s="297"/>
      <c r="AJ1009" s="298"/>
      <c r="AK1009" s="297"/>
      <c r="AN1009" s="298"/>
      <c r="AR1009" s="298"/>
    </row>
    <row r="1010" spans="2:44" s="290" customFormat="1" x14ac:dyDescent="0.2">
      <c r="B1010" s="302"/>
      <c r="D1010" s="302"/>
      <c r="E1010" s="302"/>
      <c r="K1010" s="303"/>
      <c r="L1010" s="303"/>
      <c r="M1010" s="303"/>
      <c r="AB1010" s="298"/>
      <c r="AC1010" s="297"/>
      <c r="AF1010" s="296"/>
      <c r="AG1010" s="297"/>
      <c r="AJ1010" s="298"/>
      <c r="AK1010" s="297"/>
      <c r="AN1010" s="298"/>
      <c r="AR1010" s="298"/>
    </row>
    <row r="1011" spans="2:44" s="290" customFormat="1" x14ac:dyDescent="0.2">
      <c r="B1011" s="302"/>
      <c r="D1011" s="302"/>
      <c r="E1011" s="302"/>
      <c r="K1011" s="303"/>
      <c r="L1011" s="303"/>
      <c r="M1011" s="303"/>
      <c r="AB1011" s="298"/>
      <c r="AC1011" s="297"/>
      <c r="AF1011" s="296"/>
      <c r="AG1011" s="297"/>
      <c r="AJ1011" s="298"/>
      <c r="AK1011" s="297"/>
      <c r="AN1011" s="298"/>
      <c r="AR1011" s="298"/>
    </row>
    <row r="1012" spans="2:44" s="290" customFormat="1" x14ac:dyDescent="0.2">
      <c r="B1012" s="302"/>
      <c r="D1012" s="302"/>
      <c r="E1012" s="302"/>
      <c r="K1012" s="303"/>
      <c r="L1012" s="303"/>
      <c r="M1012" s="303"/>
      <c r="AB1012" s="298"/>
      <c r="AC1012" s="297"/>
      <c r="AF1012" s="296"/>
      <c r="AG1012" s="297"/>
      <c r="AJ1012" s="298"/>
      <c r="AK1012" s="297"/>
      <c r="AN1012" s="298"/>
      <c r="AR1012" s="298"/>
    </row>
    <row r="1013" spans="2:44" s="290" customFormat="1" x14ac:dyDescent="0.2">
      <c r="B1013" s="302"/>
      <c r="D1013" s="302"/>
      <c r="E1013" s="302"/>
      <c r="K1013" s="303"/>
      <c r="L1013" s="303"/>
      <c r="M1013" s="303"/>
      <c r="AB1013" s="298"/>
      <c r="AC1013" s="297"/>
      <c r="AF1013" s="296"/>
      <c r="AG1013" s="297"/>
      <c r="AJ1013" s="298"/>
      <c r="AK1013" s="297"/>
      <c r="AN1013" s="298"/>
      <c r="AR1013" s="298"/>
    </row>
    <row r="1014" spans="2:44" s="290" customFormat="1" x14ac:dyDescent="0.2">
      <c r="B1014" s="302"/>
      <c r="D1014" s="302"/>
      <c r="E1014" s="302"/>
      <c r="K1014" s="303"/>
      <c r="L1014" s="303"/>
      <c r="M1014" s="303"/>
      <c r="AB1014" s="298"/>
      <c r="AC1014" s="297"/>
      <c r="AF1014" s="296"/>
      <c r="AG1014" s="297"/>
      <c r="AJ1014" s="298"/>
      <c r="AK1014" s="297"/>
      <c r="AN1014" s="298"/>
      <c r="AR1014" s="298"/>
    </row>
    <row r="1015" spans="2:44" s="290" customFormat="1" x14ac:dyDescent="0.2">
      <c r="B1015" s="302"/>
      <c r="D1015" s="302"/>
      <c r="E1015" s="302"/>
      <c r="K1015" s="303"/>
      <c r="L1015" s="303"/>
      <c r="M1015" s="303"/>
      <c r="AB1015" s="298"/>
      <c r="AC1015" s="297"/>
      <c r="AF1015" s="296"/>
      <c r="AG1015" s="297"/>
      <c r="AJ1015" s="298"/>
      <c r="AK1015" s="297"/>
      <c r="AN1015" s="298"/>
      <c r="AR1015" s="298"/>
    </row>
    <row r="1016" spans="2:44" s="290" customFormat="1" x14ac:dyDescent="0.2">
      <c r="B1016" s="302"/>
      <c r="D1016" s="302"/>
      <c r="E1016" s="302"/>
      <c r="K1016" s="303"/>
      <c r="L1016" s="303"/>
      <c r="M1016" s="303"/>
      <c r="AB1016" s="298"/>
      <c r="AC1016" s="297"/>
      <c r="AF1016" s="296"/>
      <c r="AG1016" s="297"/>
      <c r="AJ1016" s="298"/>
      <c r="AK1016" s="297"/>
      <c r="AN1016" s="298"/>
      <c r="AR1016" s="298"/>
    </row>
    <row r="1017" spans="2:44" s="290" customFormat="1" x14ac:dyDescent="0.2">
      <c r="B1017" s="302"/>
      <c r="D1017" s="302"/>
      <c r="E1017" s="302"/>
      <c r="K1017" s="303"/>
      <c r="L1017" s="303"/>
      <c r="M1017" s="303"/>
      <c r="AB1017" s="298"/>
      <c r="AC1017" s="297"/>
      <c r="AF1017" s="296"/>
      <c r="AG1017" s="297"/>
      <c r="AJ1017" s="298"/>
      <c r="AK1017" s="297"/>
      <c r="AN1017" s="298"/>
      <c r="AR1017" s="298"/>
    </row>
    <row r="1018" spans="2:44" s="290" customFormat="1" x14ac:dyDescent="0.2">
      <c r="B1018" s="302"/>
      <c r="D1018" s="302"/>
      <c r="E1018" s="302"/>
      <c r="K1018" s="303"/>
      <c r="L1018" s="303"/>
      <c r="M1018" s="303"/>
      <c r="AB1018" s="298"/>
      <c r="AC1018" s="297"/>
      <c r="AF1018" s="296"/>
      <c r="AG1018" s="297"/>
      <c r="AJ1018" s="298"/>
      <c r="AK1018" s="297"/>
      <c r="AN1018" s="298"/>
      <c r="AR1018" s="298"/>
    </row>
    <row r="1019" spans="2:44" s="290" customFormat="1" x14ac:dyDescent="0.2">
      <c r="B1019" s="302"/>
      <c r="D1019" s="302"/>
      <c r="E1019" s="302"/>
      <c r="K1019" s="303"/>
      <c r="L1019" s="303"/>
      <c r="M1019" s="303"/>
      <c r="AB1019" s="298"/>
      <c r="AC1019" s="297"/>
      <c r="AF1019" s="296"/>
      <c r="AG1019" s="297"/>
      <c r="AJ1019" s="298"/>
      <c r="AK1019" s="297"/>
      <c r="AN1019" s="298"/>
      <c r="AR1019" s="298"/>
    </row>
    <row r="1020" spans="2:44" s="290" customFormat="1" x14ac:dyDescent="0.2">
      <c r="B1020" s="302"/>
      <c r="D1020" s="302"/>
      <c r="E1020" s="302"/>
      <c r="K1020" s="303"/>
      <c r="L1020" s="303"/>
      <c r="M1020" s="303"/>
      <c r="AB1020" s="298"/>
      <c r="AC1020" s="297"/>
      <c r="AF1020" s="296"/>
      <c r="AG1020" s="297"/>
      <c r="AJ1020" s="298"/>
      <c r="AK1020" s="297"/>
      <c r="AN1020" s="298"/>
      <c r="AR1020" s="298"/>
    </row>
    <row r="1021" spans="2:44" s="290" customFormat="1" x14ac:dyDescent="0.2">
      <c r="B1021" s="302"/>
      <c r="D1021" s="302"/>
      <c r="E1021" s="302"/>
      <c r="K1021" s="303"/>
      <c r="L1021" s="303"/>
      <c r="M1021" s="303"/>
      <c r="AB1021" s="298"/>
      <c r="AC1021" s="297"/>
      <c r="AF1021" s="296"/>
      <c r="AG1021" s="297"/>
      <c r="AJ1021" s="298"/>
      <c r="AK1021" s="297"/>
      <c r="AN1021" s="298"/>
      <c r="AR1021" s="298"/>
    </row>
    <row r="1022" spans="2:44" s="290" customFormat="1" x14ac:dyDescent="0.2">
      <c r="B1022" s="302"/>
      <c r="D1022" s="302"/>
      <c r="E1022" s="302"/>
      <c r="K1022" s="303"/>
      <c r="L1022" s="303"/>
      <c r="M1022" s="303"/>
      <c r="AB1022" s="298"/>
      <c r="AC1022" s="297"/>
      <c r="AF1022" s="296"/>
      <c r="AG1022" s="297"/>
      <c r="AJ1022" s="298"/>
      <c r="AK1022" s="297"/>
      <c r="AN1022" s="298"/>
      <c r="AR1022" s="298"/>
    </row>
    <row r="1023" spans="2:44" s="290" customFormat="1" x14ac:dyDescent="0.2">
      <c r="B1023" s="302"/>
      <c r="D1023" s="302"/>
      <c r="E1023" s="302"/>
      <c r="K1023" s="303"/>
      <c r="L1023" s="303"/>
      <c r="M1023" s="303"/>
      <c r="AB1023" s="298"/>
      <c r="AC1023" s="297"/>
      <c r="AF1023" s="296"/>
      <c r="AG1023" s="297"/>
      <c r="AJ1023" s="298"/>
      <c r="AK1023" s="297"/>
      <c r="AN1023" s="298"/>
      <c r="AR1023" s="298"/>
    </row>
    <row r="1024" spans="2:44" s="290" customFormat="1" x14ac:dyDescent="0.2">
      <c r="B1024" s="302"/>
      <c r="D1024" s="302"/>
      <c r="E1024" s="302"/>
      <c r="K1024" s="303"/>
      <c r="L1024" s="303"/>
      <c r="M1024" s="303"/>
      <c r="AB1024" s="298"/>
      <c r="AC1024" s="297"/>
      <c r="AF1024" s="296"/>
      <c r="AG1024" s="297"/>
      <c r="AJ1024" s="298"/>
      <c r="AK1024" s="297"/>
      <c r="AN1024" s="298"/>
      <c r="AR1024" s="298"/>
    </row>
    <row r="1025" spans="2:44" s="290" customFormat="1" x14ac:dyDescent="0.2">
      <c r="B1025" s="302"/>
      <c r="D1025" s="302"/>
      <c r="E1025" s="302"/>
      <c r="K1025" s="303"/>
      <c r="L1025" s="303"/>
      <c r="M1025" s="303"/>
      <c r="AB1025" s="298"/>
      <c r="AC1025" s="297"/>
      <c r="AF1025" s="296"/>
      <c r="AG1025" s="297"/>
      <c r="AJ1025" s="298"/>
      <c r="AK1025" s="297"/>
      <c r="AN1025" s="298"/>
      <c r="AR1025" s="298"/>
    </row>
    <row r="1026" spans="2:44" s="290" customFormat="1" x14ac:dyDescent="0.2">
      <c r="B1026" s="302"/>
      <c r="D1026" s="302"/>
      <c r="E1026" s="302"/>
      <c r="K1026" s="303"/>
      <c r="L1026" s="303"/>
      <c r="M1026" s="303"/>
      <c r="AB1026" s="298"/>
      <c r="AC1026" s="297"/>
      <c r="AF1026" s="296"/>
      <c r="AG1026" s="297"/>
      <c r="AJ1026" s="298"/>
      <c r="AK1026" s="297"/>
      <c r="AN1026" s="298"/>
      <c r="AR1026" s="298"/>
    </row>
    <row r="1027" spans="2:44" s="290" customFormat="1" x14ac:dyDescent="0.2">
      <c r="B1027" s="302"/>
      <c r="D1027" s="302"/>
      <c r="E1027" s="302"/>
      <c r="K1027" s="303"/>
      <c r="L1027" s="303"/>
      <c r="M1027" s="303"/>
      <c r="AB1027" s="298"/>
      <c r="AC1027" s="297"/>
      <c r="AF1027" s="296"/>
      <c r="AG1027" s="297"/>
      <c r="AJ1027" s="298"/>
      <c r="AK1027" s="297"/>
      <c r="AN1027" s="298"/>
      <c r="AR1027" s="298"/>
    </row>
    <row r="1028" spans="2:44" s="290" customFormat="1" x14ac:dyDescent="0.2">
      <c r="B1028" s="302"/>
      <c r="D1028" s="302"/>
      <c r="E1028" s="302"/>
      <c r="K1028" s="303"/>
      <c r="L1028" s="303"/>
      <c r="M1028" s="303"/>
      <c r="AB1028" s="298"/>
      <c r="AC1028" s="297"/>
      <c r="AF1028" s="296"/>
      <c r="AG1028" s="297"/>
      <c r="AJ1028" s="298"/>
      <c r="AK1028" s="297"/>
      <c r="AN1028" s="298"/>
      <c r="AR1028" s="298"/>
    </row>
    <row r="1029" spans="2:44" s="290" customFormat="1" x14ac:dyDescent="0.2">
      <c r="B1029" s="302"/>
      <c r="D1029" s="302"/>
      <c r="E1029" s="302"/>
      <c r="K1029" s="303"/>
      <c r="L1029" s="303"/>
      <c r="M1029" s="303"/>
      <c r="AB1029" s="298"/>
      <c r="AC1029" s="297"/>
      <c r="AF1029" s="296"/>
      <c r="AG1029" s="297"/>
      <c r="AJ1029" s="298"/>
      <c r="AK1029" s="297"/>
      <c r="AN1029" s="298"/>
      <c r="AR1029" s="298"/>
    </row>
    <row r="1030" spans="2:44" s="290" customFormat="1" x14ac:dyDescent="0.2">
      <c r="B1030" s="302"/>
      <c r="D1030" s="302"/>
      <c r="E1030" s="302"/>
      <c r="K1030" s="303"/>
      <c r="L1030" s="303"/>
      <c r="M1030" s="303"/>
      <c r="AB1030" s="298"/>
      <c r="AC1030" s="297"/>
      <c r="AF1030" s="296"/>
      <c r="AG1030" s="297"/>
      <c r="AJ1030" s="298"/>
      <c r="AK1030" s="297"/>
      <c r="AN1030" s="298"/>
      <c r="AR1030" s="298"/>
    </row>
    <row r="1031" spans="2:44" s="290" customFormat="1" x14ac:dyDescent="0.2">
      <c r="B1031" s="302"/>
      <c r="D1031" s="302"/>
      <c r="E1031" s="302"/>
      <c r="K1031" s="303"/>
      <c r="L1031" s="303"/>
      <c r="M1031" s="303"/>
      <c r="AB1031" s="298"/>
      <c r="AC1031" s="297"/>
      <c r="AF1031" s="296"/>
      <c r="AG1031" s="297"/>
      <c r="AJ1031" s="298"/>
      <c r="AK1031" s="297"/>
      <c r="AN1031" s="298"/>
      <c r="AR1031" s="298"/>
    </row>
    <row r="1032" spans="2:44" s="290" customFormat="1" x14ac:dyDescent="0.2">
      <c r="B1032" s="302"/>
      <c r="D1032" s="302"/>
      <c r="E1032" s="302"/>
      <c r="K1032" s="303"/>
      <c r="L1032" s="303"/>
      <c r="M1032" s="303"/>
      <c r="AB1032" s="298"/>
      <c r="AC1032" s="297"/>
      <c r="AF1032" s="296"/>
      <c r="AG1032" s="297"/>
      <c r="AJ1032" s="298"/>
      <c r="AK1032" s="297"/>
      <c r="AN1032" s="298"/>
      <c r="AR1032" s="298"/>
    </row>
    <row r="1033" spans="2:44" s="290" customFormat="1" x14ac:dyDescent="0.2">
      <c r="B1033" s="302"/>
      <c r="D1033" s="302"/>
      <c r="E1033" s="302"/>
      <c r="K1033" s="303"/>
      <c r="L1033" s="303"/>
      <c r="M1033" s="303"/>
      <c r="AB1033" s="298"/>
      <c r="AC1033" s="297"/>
      <c r="AF1033" s="296"/>
      <c r="AG1033" s="297"/>
      <c r="AJ1033" s="298"/>
      <c r="AK1033" s="297"/>
      <c r="AN1033" s="298"/>
      <c r="AR1033" s="298"/>
    </row>
    <row r="1034" spans="2:44" s="290" customFormat="1" x14ac:dyDescent="0.2">
      <c r="B1034" s="302"/>
      <c r="D1034" s="302"/>
      <c r="E1034" s="302"/>
      <c r="K1034" s="303"/>
      <c r="L1034" s="303"/>
      <c r="M1034" s="303"/>
      <c r="AB1034" s="298"/>
      <c r="AC1034" s="297"/>
      <c r="AF1034" s="296"/>
      <c r="AG1034" s="297"/>
      <c r="AJ1034" s="298"/>
      <c r="AK1034" s="297"/>
      <c r="AN1034" s="298"/>
      <c r="AR1034" s="298"/>
    </row>
    <row r="1035" spans="2:44" s="290" customFormat="1" x14ac:dyDescent="0.2">
      <c r="B1035" s="302"/>
      <c r="D1035" s="302"/>
      <c r="E1035" s="302"/>
      <c r="K1035" s="303"/>
      <c r="L1035" s="303"/>
      <c r="M1035" s="303"/>
      <c r="AB1035" s="298"/>
      <c r="AC1035" s="297"/>
      <c r="AF1035" s="296"/>
      <c r="AG1035" s="297"/>
      <c r="AJ1035" s="298"/>
      <c r="AK1035" s="297"/>
      <c r="AN1035" s="298"/>
      <c r="AR1035" s="298"/>
    </row>
    <row r="1036" spans="2:44" s="290" customFormat="1" x14ac:dyDescent="0.2">
      <c r="B1036" s="302"/>
      <c r="D1036" s="302"/>
      <c r="E1036" s="302"/>
      <c r="K1036" s="303"/>
      <c r="L1036" s="303"/>
      <c r="M1036" s="303"/>
      <c r="AB1036" s="298"/>
      <c r="AC1036" s="297"/>
      <c r="AF1036" s="296"/>
      <c r="AG1036" s="297"/>
      <c r="AJ1036" s="298"/>
      <c r="AK1036" s="297"/>
      <c r="AN1036" s="298"/>
      <c r="AR1036" s="298"/>
    </row>
    <row r="1037" spans="2:44" s="290" customFormat="1" x14ac:dyDescent="0.2">
      <c r="B1037" s="302"/>
      <c r="D1037" s="302"/>
      <c r="E1037" s="302"/>
      <c r="K1037" s="303"/>
      <c r="L1037" s="303"/>
      <c r="M1037" s="303"/>
      <c r="AB1037" s="298"/>
      <c r="AC1037" s="297"/>
      <c r="AF1037" s="296"/>
      <c r="AG1037" s="297"/>
      <c r="AJ1037" s="298"/>
      <c r="AK1037" s="297"/>
      <c r="AN1037" s="298"/>
      <c r="AR1037" s="298"/>
    </row>
    <row r="1038" spans="2:44" s="290" customFormat="1" x14ac:dyDescent="0.2">
      <c r="B1038" s="302"/>
      <c r="D1038" s="302"/>
      <c r="E1038" s="302"/>
      <c r="K1038" s="303"/>
      <c r="L1038" s="303"/>
      <c r="M1038" s="303"/>
      <c r="AB1038" s="298"/>
      <c r="AC1038" s="297"/>
      <c r="AF1038" s="296"/>
      <c r="AG1038" s="297"/>
      <c r="AJ1038" s="298"/>
      <c r="AK1038" s="297"/>
      <c r="AN1038" s="298"/>
      <c r="AR1038" s="298"/>
    </row>
    <row r="1039" spans="2:44" s="290" customFormat="1" x14ac:dyDescent="0.2">
      <c r="B1039" s="302"/>
      <c r="D1039" s="302"/>
      <c r="E1039" s="302"/>
      <c r="K1039" s="303"/>
      <c r="L1039" s="303"/>
      <c r="M1039" s="303"/>
      <c r="AB1039" s="298"/>
      <c r="AC1039" s="297"/>
      <c r="AF1039" s="296"/>
      <c r="AG1039" s="297"/>
      <c r="AJ1039" s="298"/>
      <c r="AK1039" s="297"/>
      <c r="AN1039" s="298"/>
      <c r="AR1039" s="298"/>
    </row>
    <row r="1040" spans="2:44" s="290" customFormat="1" x14ac:dyDescent="0.2">
      <c r="B1040" s="302"/>
      <c r="D1040" s="302"/>
      <c r="E1040" s="302"/>
      <c r="K1040" s="303"/>
      <c r="L1040" s="303"/>
      <c r="M1040" s="303"/>
      <c r="AB1040" s="298"/>
      <c r="AC1040" s="297"/>
      <c r="AF1040" s="296"/>
      <c r="AG1040" s="297"/>
      <c r="AJ1040" s="298"/>
      <c r="AK1040" s="297"/>
      <c r="AN1040" s="298"/>
      <c r="AR1040" s="298"/>
    </row>
    <row r="1041" spans="2:44" s="290" customFormat="1" x14ac:dyDescent="0.2">
      <c r="B1041" s="302"/>
      <c r="D1041" s="302"/>
      <c r="E1041" s="302"/>
      <c r="K1041" s="303"/>
      <c r="L1041" s="303"/>
      <c r="M1041" s="303"/>
      <c r="AB1041" s="298"/>
      <c r="AC1041" s="297"/>
      <c r="AF1041" s="296"/>
      <c r="AG1041" s="297"/>
      <c r="AJ1041" s="298"/>
      <c r="AK1041" s="297"/>
      <c r="AN1041" s="298"/>
      <c r="AR1041" s="298"/>
    </row>
    <row r="1042" spans="2:44" s="290" customFormat="1" x14ac:dyDescent="0.2">
      <c r="B1042" s="302"/>
      <c r="D1042" s="302"/>
      <c r="E1042" s="302"/>
      <c r="K1042" s="303"/>
      <c r="L1042" s="303"/>
      <c r="M1042" s="303"/>
      <c r="AB1042" s="298"/>
      <c r="AC1042" s="297"/>
      <c r="AF1042" s="296"/>
      <c r="AG1042" s="297"/>
      <c r="AJ1042" s="298"/>
      <c r="AK1042" s="297"/>
      <c r="AN1042" s="298"/>
      <c r="AR1042" s="298"/>
    </row>
    <row r="1043" spans="2:44" s="290" customFormat="1" x14ac:dyDescent="0.2">
      <c r="B1043" s="302"/>
      <c r="D1043" s="302"/>
      <c r="E1043" s="302"/>
      <c r="K1043" s="303"/>
      <c r="L1043" s="303"/>
      <c r="M1043" s="303"/>
      <c r="AB1043" s="298"/>
      <c r="AC1043" s="297"/>
      <c r="AF1043" s="296"/>
      <c r="AG1043" s="297"/>
      <c r="AJ1043" s="298"/>
      <c r="AK1043" s="297"/>
      <c r="AN1043" s="298"/>
      <c r="AR1043" s="298"/>
    </row>
    <row r="1044" spans="2:44" s="290" customFormat="1" x14ac:dyDescent="0.2">
      <c r="B1044" s="302"/>
      <c r="D1044" s="302"/>
      <c r="E1044" s="302"/>
      <c r="K1044" s="303"/>
      <c r="L1044" s="303"/>
      <c r="M1044" s="303"/>
      <c r="AB1044" s="298"/>
      <c r="AC1044" s="297"/>
      <c r="AF1044" s="296"/>
      <c r="AG1044" s="297"/>
      <c r="AJ1044" s="298"/>
      <c r="AK1044" s="297"/>
      <c r="AN1044" s="298"/>
      <c r="AR1044" s="298"/>
    </row>
    <row r="1045" spans="2:44" s="290" customFormat="1" x14ac:dyDescent="0.2">
      <c r="B1045" s="302"/>
      <c r="D1045" s="302"/>
      <c r="E1045" s="302"/>
      <c r="K1045" s="303"/>
      <c r="L1045" s="303"/>
      <c r="M1045" s="303"/>
      <c r="AB1045" s="298"/>
      <c r="AC1045" s="297"/>
      <c r="AF1045" s="296"/>
      <c r="AG1045" s="297"/>
      <c r="AJ1045" s="298"/>
      <c r="AK1045" s="297"/>
      <c r="AN1045" s="298"/>
      <c r="AR1045" s="298"/>
    </row>
    <row r="1046" spans="2:44" s="290" customFormat="1" x14ac:dyDescent="0.2">
      <c r="B1046" s="302"/>
      <c r="D1046" s="302"/>
      <c r="E1046" s="302"/>
      <c r="K1046" s="303"/>
      <c r="L1046" s="303"/>
      <c r="M1046" s="303"/>
      <c r="AB1046" s="298"/>
      <c r="AC1046" s="297"/>
      <c r="AF1046" s="296"/>
      <c r="AG1046" s="297"/>
      <c r="AJ1046" s="298"/>
      <c r="AK1046" s="297"/>
      <c r="AN1046" s="298"/>
      <c r="AR1046" s="298"/>
    </row>
    <row r="1047" spans="2:44" s="290" customFormat="1" x14ac:dyDescent="0.2">
      <c r="B1047" s="302"/>
      <c r="D1047" s="302"/>
      <c r="E1047" s="302"/>
      <c r="K1047" s="303"/>
      <c r="L1047" s="303"/>
      <c r="M1047" s="303"/>
      <c r="AB1047" s="298"/>
      <c r="AC1047" s="297"/>
      <c r="AF1047" s="296"/>
      <c r="AG1047" s="297"/>
      <c r="AJ1047" s="298"/>
      <c r="AK1047" s="297"/>
      <c r="AN1047" s="298"/>
      <c r="AR1047" s="298"/>
    </row>
    <row r="1048" spans="2:44" s="290" customFormat="1" x14ac:dyDescent="0.2">
      <c r="B1048" s="302"/>
      <c r="D1048" s="302"/>
      <c r="E1048" s="302"/>
      <c r="K1048" s="303"/>
      <c r="L1048" s="303"/>
      <c r="M1048" s="303"/>
      <c r="AB1048" s="298"/>
      <c r="AC1048" s="297"/>
      <c r="AF1048" s="296"/>
      <c r="AG1048" s="297"/>
      <c r="AJ1048" s="298"/>
      <c r="AK1048" s="297"/>
      <c r="AN1048" s="298"/>
      <c r="AR1048" s="298"/>
    </row>
    <row r="1049" spans="2:44" s="290" customFormat="1" x14ac:dyDescent="0.2">
      <c r="B1049" s="302"/>
      <c r="D1049" s="302"/>
      <c r="E1049" s="302"/>
      <c r="K1049" s="303"/>
      <c r="L1049" s="303"/>
      <c r="M1049" s="303"/>
      <c r="AB1049" s="298"/>
      <c r="AC1049" s="297"/>
      <c r="AF1049" s="296"/>
      <c r="AG1049" s="297"/>
      <c r="AJ1049" s="298"/>
      <c r="AK1049" s="297"/>
      <c r="AN1049" s="298"/>
      <c r="AR1049" s="298"/>
    </row>
    <row r="1050" spans="2:44" s="290" customFormat="1" x14ac:dyDescent="0.2">
      <c r="B1050" s="302"/>
      <c r="D1050" s="302"/>
      <c r="E1050" s="302"/>
      <c r="K1050" s="303"/>
      <c r="L1050" s="303"/>
      <c r="M1050" s="303"/>
      <c r="AB1050" s="298"/>
      <c r="AC1050" s="297"/>
      <c r="AF1050" s="296"/>
      <c r="AG1050" s="297"/>
      <c r="AJ1050" s="298"/>
      <c r="AK1050" s="297"/>
      <c r="AN1050" s="298"/>
      <c r="AR1050" s="298"/>
    </row>
    <row r="1051" spans="2:44" s="290" customFormat="1" x14ac:dyDescent="0.2">
      <c r="B1051" s="302"/>
      <c r="D1051" s="302"/>
      <c r="E1051" s="302"/>
      <c r="K1051" s="303"/>
      <c r="L1051" s="303"/>
      <c r="M1051" s="303"/>
      <c r="AB1051" s="298"/>
      <c r="AC1051" s="297"/>
      <c r="AF1051" s="296"/>
      <c r="AG1051" s="297"/>
      <c r="AJ1051" s="298"/>
      <c r="AK1051" s="297"/>
      <c r="AN1051" s="298"/>
      <c r="AR1051" s="298"/>
    </row>
    <row r="1052" spans="2:44" s="290" customFormat="1" x14ac:dyDescent="0.2">
      <c r="B1052" s="302"/>
      <c r="D1052" s="302"/>
      <c r="E1052" s="302"/>
      <c r="K1052" s="303"/>
      <c r="L1052" s="303"/>
      <c r="M1052" s="303"/>
      <c r="AB1052" s="298"/>
      <c r="AC1052" s="297"/>
      <c r="AF1052" s="296"/>
      <c r="AG1052" s="297"/>
      <c r="AJ1052" s="298"/>
      <c r="AK1052" s="297"/>
      <c r="AN1052" s="298"/>
      <c r="AR1052" s="298"/>
    </row>
    <row r="1053" spans="2:44" s="290" customFormat="1" x14ac:dyDescent="0.2">
      <c r="B1053" s="302"/>
      <c r="D1053" s="302"/>
      <c r="E1053" s="302"/>
      <c r="K1053" s="303"/>
      <c r="L1053" s="303"/>
      <c r="M1053" s="303"/>
      <c r="AB1053" s="298"/>
      <c r="AC1053" s="297"/>
      <c r="AF1053" s="296"/>
      <c r="AG1053" s="297"/>
      <c r="AJ1053" s="298"/>
      <c r="AK1053" s="297"/>
      <c r="AN1053" s="298"/>
      <c r="AR1053" s="298"/>
    </row>
    <row r="1054" spans="2:44" s="290" customFormat="1" x14ac:dyDescent="0.2">
      <c r="B1054" s="302"/>
      <c r="D1054" s="302"/>
      <c r="E1054" s="302"/>
      <c r="K1054" s="303"/>
      <c r="L1054" s="303"/>
      <c r="M1054" s="303"/>
      <c r="AB1054" s="298"/>
      <c r="AC1054" s="297"/>
      <c r="AF1054" s="296"/>
      <c r="AG1054" s="297"/>
      <c r="AJ1054" s="298"/>
      <c r="AK1054" s="297"/>
      <c r="AN1054" s="298"/>
      <c r="AR1054" s="298"/>
    </row>
    <row r="1055" spans="2:44" s="290" customFormat="1" x14ac:dyDescent="0.2">
      <c r="B1055" s="302"/>
      <c r="D1055" s="302"/>
      <c r="E1055" s="302"/>
      <c r="K1055" s="303"/>
      <c r="L1055" s="303"/>
      <c r="M1055" s="303"/>
      <c r="AB1055" s="298"/>
      <c r="AC1055" s="297"/>
      <c r="AF1055" s="296"/>
      <c r="AG1055" s="297"/>
      <c r="AJ1055" s="298"/>
      <c r="AK1055" s="297"/>
      <c r="AN1055" s="298"/>
      <c r="AR1055" s="298"/>
    </row>
    <row r="1056" spans="2:44" s="290" customFormat="1" x14ac:dyDescent="0.2">
      <c r="B1056" s="302"/>
      <c r="D1056" s="302"/>
      <c r="E1056" s="302"/>
      <c r="K1056" s="303"/>
      <c r="L1056" s="303"/>
      <c r="M1056" s="303"/>
      <c r="AB1056" s="298"/>
      <c r="AC1056" s="297"/>
      <c r="AF1056" s="296"/>
      <c r="AG1056" s="297"/>
      <c r="AJ1056" s="298"/>
      <c r="AK1056" s="297"/>
      <c r="AN1056" s="298"/>
      <c r="AR1056" s="298"/>
    </row>
    <row r="1057" spans="2:44" s="290" customFormat="1" x14ac:dyDescent="0.2">
      <c r="B1057" s="302"/>
      <c r="D1057" s="302"/>
      <c r="E1057" s="302"/>
      <c r="K1057" s="303"/>
      <c r="L1057" s="303"/>
      <c r="M1057" s="303"/>
      <c r="AB1057" s="298"/>
      <c r="AC1057" s="297"/>
      <c r="AF1057" s="296"/>
      <c r="AG1057" s="297"/>
      <c r="AJ1057" s="298"/>
      <c r="AK1057" s="297"/>
      <c r="AN1057" s="298"/>
      <c r="AR1057" s="298"/>
    </row>
    <row r="1058" spans="2:44" s="290" customFormat="1" x14ac:dyDescent="0.2">
      <c r="B1058" s="302"/>
      <c r="D1058" s="302"/>
      <c r="E1058" s="302"/>
      <c r="K1058" s="303"/>
      <c r="L1058" s="303"/>
      <c r="M1058" s="303"/>
      <c r="AB1058" s="298"/>
      <c r="AC1058" s="297"/>
      <c r="AF1058" s="296"/>
      <c r="AG1058" s="297"/>
      <c r="AJ1058" s="298"/>
      <c r="AK1058" s="297"/>
      <c r="AN1058" s="298"/>
      <c r="AR1058" s="298"/>
    </row>
    <row r="1059" spans="2:44" s="290" customFormat="1" x14ac:dyDescent="0.2">
      <c r="B1059" s="302"/>
      <c r="D1059" s="302"/>
      <c r="E1059" s="302"/>
      <c r="K1059" s="303"/>
      <c r="L1059" s="303"/>
      <c r="M1059" s="303"/>
      <c r="AB1059" s="298"/>
      <c r="AC1059" s="297"/>
      <c r="AF1059" s="296"/>
      <c r="AG1059" s="297"/>
      <c r="AJ1059" s="298"/>
      <c r="AK1059" s="297"/>
      <c r="AN1059" s="298"/>
      <c r="AR1059" s="298"/>
    </row>
    <row r="1060" spans="2:44" s="290" customFormat="1" x14ac:dyDescent="0.2">
      <c r="B1060" s="302"/>
      <c r="D1060" s="302"/>
      <c r="E1060" s="302"/>
      <c r="K1060" s="303"/>
      <c r="L1060" s="303"/>
      <c r="M1060" s="303"/>
      <c r="AB1060" s="298"/>
      <c r="AC1060" s="297"/>
      <c r="AF1060" s="296"/>
      <c r="AG1060" s="297"/>
      <c r="AJ1060" s="298"/>
      <c r="AK1060" s="297"/>
      <c r="AN1060" s="298"/>
      <c r="AR1060" s="298"/>
    </row>
    <row r="1061" spans="2:44" s="290" customFormat="1" x14ac:dyDescent="0.2">
      <c r="B1061" s="302"/>
      <c r="D1061" s="302"/>
      <c r="E1061" s="302"/>
      <c r="K1061" s="303"/>
      <c r="L1061" s="303"/>
      <c r="M1061" s="303"/>
      <c r="AB1061" s="298"/>
      <c r="AC1061" s="297"/>
      <c r="AF1061" s="296"/>
      <c r="AG1061" s="297"/>
      <c r="AJ1061" s="298"/>
      <c r="AK1061" s="297"/>
      <c r="AN1061" s="298"/>
      <c r="AR1061" s="298"/>
    </row>
    <row r="1062" spans="2:44" s="290" customFormat="1" x14ac:dyDescent="0.2">
      <c r="B1062" s="302"/>
      <c r="D1062" s="302"/>
      <c r="E1062" s="302"/>
      <c r="K1062" s="303"/>
      <c r="L1062" s="303"/>
      <c r="M1062" s="303"/>
      <c r="AB1062" s="298"/>
      <c r="AC1062" s="297"/>
      <c r="AF1062" s="296"/>
      <c r="AG1062" s="297"/>
      <c r="AJ1062" s="298"/>
      <c r="AK1062" s="297"/>
      <c r="AN1062" s="298"/>
      <c r="AR1062" s="298"/>
    </row>
    <row r="1063" spans="2:44" s="290" customFormat="1" x14ac:dyDescent="0.2">
      <c r="B1063" s="302"/>
      <c r="D1063" s="302"/>
      <c r="E1063" s="302"/>
      <c r="K1063" s="303"/>
      <c r="L1063" s="303"/>
      <c r="M1063" s="303"/>
      <c r="AB1063" s="298"/>
      <c r="AC1063" s="297"/>
      <c r="AF1063" s="296"/>
      <c r="AG1063" s="297"/>
      <c r="AJ1063" s="298"/>
      <c r="AK1063" s="297"/>
      <c r="AN1063" s="298"/>
      <c r="AR1063" s="298"/>
    </row>
    <row r="1064" spans="2:44" s="290" customFormat="1" x14ac:dyDescent="0.2">
      <c r="B1064" s="302"/>
      <c r="D1064" s="302"/>
      <c r="E1064" s="302"/>
      <c r="K1064" s="303"/>
      <c r="L1064" s="303"/>
      <c r="M1064" s="303"/>
      <c r="AB1064" s="298"/>
      <c r="AC1064" s="297"/>
      <c r="AF1064" s="296"/>
      <c r="AG1064" s="297"/>
      <c r="AJ1064" s="298"/>
      <c r="AK1064" s="297"/>
      <c r="AN1064" s="298"/>
      <c r="AR1064" s="298"/>
    </row>
    <row r="1065" spans="2:44" s="290" customFormat="1" x14ac:dyDescent="0.2">
      <c r="B1065" s="302"/>
      <c r="D1065" s="302"/>
      <c r="E1065" s="302"/>
      <c r="K1065" s="303"/>
      <c r="L1065" s="303"/>
      <c r="M1065" s="303"/>
      <c r="AB1065" s="298"/>
      <c r="AC1065" s="297"/>
      <c r="AF1065" s="296"/>
      <c r="AG1065" s="297"/>
      <c r="AJ1065" s="298"/>
      <c r="AK1065" s="297"/>
      <c r="AN1065" s="298"/>
      <c r="AR1065" s="298"/>
    </row>
    <row r="1066" spans="2:44" s="290" customFormat="1" x14ac:dyDescent="0.2">
      <c r="B1066" s="302"/>
      <c r="D1066" s="302"/>
      <c r="E1066" s="302"/>
      <c r="K1066" s="303"/>
      <c r="L1066" s="303"/>
      <c r="M1066" s="303"/>
      <c r="AB1066" s="298"/>
      <c r="AC1066" s="297"/>
      <c r="AF1066" s="296"/>
      <c r="AG1066" s="297"/>
      <c r="AJ1066" s="298"/>
      <c r="AK1066" s="297"/>
      <c r="AN1066" s="298"/>
      <c r="AR1066" s="298"/>
    </row>
    <row r="1067" spans="2:44" s="290" customFormat="1" x14ac:dyDescent="0.2">
      <c r="B1067" s="302"/>
      <c r="D1067" s="302"/>
      <c r="E1067" s="302"/>
      <c r="K1067" s="303"/>
      <c r="L1067" s="303"/>
      <c r="M1067" s="303"/>
      <c r="AB1067" s="298"/>
      <c r="AC1067" s="297"/>
      <c r="AF1067" s="296"/>
      <c r="AG1067" s="297"/>
      <c r="AJ1067" s="298"/>
      <c r="AK1067" s="297"/>
      <c r="AN1067" s="298"/>
      <c r="AR1067" s="298"/>
    </row>
    <row r="1068" spans="2:44" s="290" customFormat="1" x14ac:dyDescent="0.2">
      <c r="B1068" s="302"/>
      <c r="D1068" s="302"/>
      <c r="E1068" s="302"/>
      <c r="K1068" s="303"/>
      <c r="L1068" s="303"/>
      <c r="M1068" s="303"/>
      <c r="AB1068" s="298"/>
      <c r="AC1068" s="297"/>
      <c r="AF1068" s="296"/>
      <c r="AG1068" s="297"/>
      <c r="AJ1068" s="298"/>
      <c r="AK1068" s="297"/>
      <c r="AN1068" s="298"/>
      <c r="AR1068" s="298"/>
    </row>
    <row r="1069" spans="2:44" s="290" customFormat="1" x14ac:dyDescent="0.2">
      <c r="B1069" s="302"/>
      <c r="D1069" s="302"/>
      <c r="E1069" s="302"/>
      <c r="K1069" s="303"/>
      <c r="L1069" s="303"/>
      <c r="M1069" s="303"/>
      <c r="AB1069" s="298"/>
      <c r="AC1069" s="297"/>
      <c r="AF1069" s="296"/>
      <c r="AG1069" s="297"/>
      <c r="AJ1069" s="298"/>
      <c r="AK1069" s="297"/>
      <c r="AN1069" s="298"/>
      <c r="AR1069" s="298"/>
    </row>
    <row r="1070" spans="2:44" s="290" customFormat="1" x14ac:dyDescent="0.2">
      <c r="B1070" s="302"/>
      <c r="D1070" s="302"/>
      <c r="E1070" s="302"/>
      <c r="K1070" s="303"/>
      <c r="L1070" s="303"/>
      <c r="M1070" s="303"/>
      <c r="AB1070" s="298"/>
      <c r="AC1070" s="297"/>
      <c r="AF1070" s="296"/>
      <c r="AG1070" s="297"/>
      <c r="AJ1070" s="298"/>
      <c r="AK1070" s="297"/>
      <c r="AN1070" s="298"/>
      <c r="AR1070" s="298"/>
    </row>
    <row r="1071" spans="2:44" s="290" customFormat="1" x14ac:dyDescent="0.2">
      <c r="B1071" s="302"/>
      <c r="D1071" s="302"/>
      <c r="E1071" s="302"/>
      <c r="K1071" s="303"/>
      <c r="L1071" s="303"/>
      <c r="M1071" s="303"/>
      <c r="AB1071" s="298"/>
      <c r="AC1071" s="297"/>
      <c r="AF1071" s="296"/>
      <c r="AG1071" s="297"/>
      <c r="AJ1071" s="298"/>
      <c r="AK1071" s="297"/>
      <c r="AN1071" s="298"/>
      <c r="AR1071" s="298"/>
    </row>
    <row r="1072" spans="2:44" s="290" customFormat="1" x14ac:dyDescent="0.2">
      <c r="B1072" s="302"/>
      <c r="D1072" s="302"/>
      <c r="E1072" s="302"/>
      <c r="K1072" s="303"/>
      <c r="L1072" s="303"/>
      <c r="M1072" s="303"/>
      <c r="AB1072" s="298"/>
      <c r="AC1072" s="297"/>
      <c r="AF1072" s="296"/>
      <c r="AG1072" s="297"/>
      <c r="AJ1072" s="298"/>
      <c r="AK1072" s="297"/>
      <c r="AN1072" s="298"/>
      <c r="AR1072" s="298"/>
    </row>
    <row r="1073" spans="2:44" s="290" customFormat="1" x14ac:dyDescent="0.2">
      <c r="B1073" s="302"/>
      <c r="D1073" s="302"/>
      <c r="E1073" s="302"/>
      <c r="K1073" s="303"/>
      <c r="L1073" s="303"/>
      <c r="M1073" s="303"/>
      <c r="AB1073" s="298"/>
      <c r="AC1073" s="297"/>
      <c r="AF1073" s="296"/>
      <c r="AG1073" s="297"/>
      <c r="AJ1073" s="298"/>
      <c r="AK1073" s="297"/>
      <c r="AN1073" s="298"/>
      <c r="AR1073" s="298"/>
    </row>
    <row r="1074" spans="2:44" s="290" customFormat="1" x14ac:dyDescent="0.2">
      <c r="B1074" s="302"/>
      <c r="D1074" s="302"/>
      <c r="E1074" s="302"/>
      <c r="K1074" s="303"/>
      <c r="L1074" s="303"/>
      <c r="M1074" s="303"/>
      <c r="AB1074" s="298"/>
      <c r="AC1074" s="297"/>
      <c r="AF1074" s="296"/>
      <c r="AG1074" s="297"/>
      <c r="AJ1074" s="298"/>
      <c r="AK1074" s="297"/>
      <c r="AN1074" s="298"/>
      <c r="AR1074" s="298"/>
    </row>
    <row r="1075" spans="2:44" s="290" customFormat="1" x14ac:dyDescent="0.2">
      <c r="B1075" s="302"/>
      <c r="D1075" s="302"/>
      <c r="E1075" s="302"/>
      <c r="K1075" s="303"/>
      <c r="L1075" s="303"/>
      <c r="M1075" s="303"/>
      <c r="AB1075" s="298"/>
      <c r="AC1075" s="297"/>
      <c r="AF1075" s="296"/>
      <c r="AG1075" s="297"/>
      <c r="AJ1075" s="298"/>
      <c r="AK1075" s="297"/>
      <c r="AN1075" s="298"/>
      <c r="AR1075" s="298"/>
    </row>
    <row r="1076" spans="2:44" s="290" customFormat="1" x14ac:dyDescent="0.2">
      <c r="B1076" s="302"/>
      <c r="D1076" s="302"/>
      <c r="E1076" s="302"/>
      <c r="K1076" s="303"/>
      <c r="L1076" s="303"/>
      <c r="M1076" s="303"/>
      <c r="AB1076" s="298"/>
      <c r="AC1076" s="297"/>
      <c r="AF1076" s="296"/>
      <c r="AG1076" s="297"/>
      <c r="AJ1076" s="298"/>
      <c r="AK1076" s="297"/>
      <c r="AN1076" s="298"/>
      <c r="AR1076" s="298"/>
    </row>
    <row r="1077" spans="2:44" s="290" customFormat="1" x14ac:dyDescent="0.2">
      <c r="B1077" s="302"/>
      <c r="D1077" s="302"/>
      <c r="E1077" s="302"/>
      <c r="K1077" s="303"/>
      <c r="L1077" s="303"/>
      <c r="M1077" s="303"/>
      <c r="AB1077" s="298"/>
      <c r="AC1077" s="297"/>
      <c r="AF1077" s="296"/>
      <c r="AG1077" s="297"/>
      <c r="AJ1077" s="298"/>
      <c r="AK1077" s="297"/>
      <c r="AN1077" s="298"/>
      <c r="AR1077" s="298"/>
    </row>
    <row r="1078" spans="2:44" s="290" customFormat="1" x14ac:dyDescent="0.2">
      <c r="B1078" s="302"/>
      <c r="D1078" s="302"/>
      <c r="E1078" s="302"/>
      <c r="K1078" s="303"/>
      <c r="L1078" s="303"/>
      <c r="M1078" s="303"/>
      <c r="AB1078" s="298"/>
      <c r="AC1078" s="297"/>
      <c r="AF1078" s="296"/>
      <c r="AG1078" s="297"/>
      <c r="AJ1078" s="298"/>
      <c r="AK1078" s="297"/>
      <c r="AN1078" s="298"/>
      <c r="AR1078" s="298"/>
    </row>
    <row r="1079" spans="2:44" s="290" customFormat="1" x14ac:dyDescent="0.2">
      <c r="B1079" s="302"/>
      <c r="D1079" s="302"/>
      <c r="E1079" s="302"/>
      <c r="K1079" s="303"/>
      <c r="L1079" s="303"/>
      <c r="M1079" s="303"/>
      <c r="AB1079" s="298"/>
      <c r="AC1079" s="297"/>
      <c r="AF1079" s="296"/>
      <c r="AG1079" s="297"/>
      <c r="AJ1079" s="298"/>
      <c r="AK1079" s="297"/>
      <c r="AN1079" s="298"/>
      <c r="AR1079" s="298"/>
    </row>
    <row r="1080" spans="2:44" s="290" customFormat="1" x14ac:dyDescent="0.2">
      <c r="B1080" s="302"/>
      <c r="D1080" s="302"/>
      <c r="E1080" s="302"/>
      <c r="K1080" s="303"/>
      <c r="L1080" s="303"/>
      <c r="M1080" s="303"/>
      <c r="AB1080" s="298"/>
      <c r="AC1080" s="297"/>
      <c r="AF1080" s="296"/>
      <c r="AG1080" s="297"/>
      <c r="AJ1080" s="298"/>
      <c r="AK1080" s="297"/>
      <c r="AN1080" s="298"/>
      <c r="AR1080" s="298"/>
    </row>
    <row r="1081" spans="2:44" s="290" customFormat="1" x14ac:dyDescent="0.2">
      <c r="B1081" s="302"/>
      <c r="D1081" s="302"/>
      <c r="E1081" s="302"/>
      <c r="K1081" s="303"/>
      <c r="L1081" s="303"/>
      <c r="M1081" s="303"/>
      <c r="AB1081" s="298"/>
      <c r="AC1081" s="297"/>
      <c r="AF1081" s="296"/>
      <c r="AG1081" s="297"/>
      <c r="AJ1081" s="298"/>
      <c r="AK1081" s="297"/>
      <c r="AN1081" s="298"/>
      <c r="AR1081" s="298"/>
    </row>
    <row r="1082" spans="2:44" s="290" customFormat="1" x14ac:dyDescent="0.2">
      <c r="B1082" s="302"/>
      <c r="D1082" s="302"/>
      <c r="E1082" s="302"/>
      <c r="K1082" s="303"/>
      <c r="L1082" s="303"/>
      <c r="M1082" s="303"/>
      <c r="AB1082" s="298"/>
      <c r="AC1082" s="297"/>
      <c r="AF1082" s="296"/>
      <c r="AG1082" s="297"/>
      <c r="AJ1082" s="298"/>
      <c r="AK1082" s="297"/>
      <c r="AN1082" s="298"/>
      <c r="AR1082" s="298"/>
    </row>
    <row r="1083" spans="2:44" s="290" customFormat="1" x14ac:dyDescent="0.2">
      <c r="B1083" s="302"/>
      <c r="D1083" s="302"/>
      <c r="E1083" s="302"/>
      <c r="K1083" s="303"/>
      <c r="L1083" s="303"/>
      <c r="M1083" s="303"/>
      <c r="AB1083" s="298"/>
      <c r="AC1083" s="297"/>
      <c r="AF1083" s="296"/>
      <c r="AG1083" s="297"/>
      <c r="AJ1083" s="298"/>
      <c r="AK1083" s="297"/>
      <c r="AN1083" s="298"/>
      <c r="AR1083" s="298"/>
    </row>
    <row r="1084" spans="2:44" s="290" customFormat="1" x14ac:dyDescent="0.2">
      <c r="B1084" s="302"/>
      <c r="D1084" s="302"/>
      <c r="E1084" s="302"/>
      <c r="K1084" s="303"/>
      <c r="L1084" s="303"/>
      <c r="M1084" s="303"/>
      <c r="AB1084" s="298"/>
      <c r="AC1084" s="297"/>
      <c r="AF1084" s="296"/>
      <c r="AG1084" s="297"/>
      <c r="AJ1084" s="298"/>
      <c r="AK1084" s="297"/>
      <c r="AN1084" s="298"/>
      <c r="AR1084" s="298"/>
    </row>
    <row r="1085" spans="2:44" s="290" customFormat="1" x14ac:dyDescent="0.2">
      <c r="B1085" s="302"/>
      <c r="D1085" s="302"/>
      <c r="E1085" s="302"/>
      <c r="K1085" s="303"/>
      <c r="L1085" s="303"/>
      <c r="M1085" s="303"/>
      <c r="AB1085" s="298"/>
      <c r="AC1085" s="297"/>
      <c r="AF1085" s="296"/>
      <c r="AG1085" s="297"/>
      <c r="AJ1085" s="298"/>
      <c r="AK1085" s="297"/>
      <c r="AN1085" s="298"/>
      <c r="AR1085" s="298"/>
    </row>
    <row r="1086" spans="2:44" s="290" customFormat="1" x14ac:dyDescent="0.2">
      <c r="B1086" s="302"/>
      <c r="D1086" s="302"/>
      <c r="E1086" s="302"/>
      <c r="K1086" s="303"/>
      <c r="L1086" s="303"/>
      <c r="M1086" s="303"/>
      <c r="AB1086" s="298"/>
      <c r="AC1086" s="297"/>
      <c r="AF1086" s="296"/>
      <c r="AG1086" s="297"/>
      <c r="AJ1086" s="298"/>
      <c r="AK1086" s="297"/>
      <c r="AN1086" s="298"/>
      <c r="AR1086" s="298"/>
    </row>
    <row r="1087" spans="2:44" s="290" customFormat="1" x14ac:dyDescent="0.2">
      <c r="B1087" s="302"/>
      <c r="D1087" s="302"/>
      <c r="E1087" s="302"/>
      <c r="K1087" s="303"/>
      <c r="L1087" s="303"/>
      <c r="M1087" s="303"/>
      <c r="AB1087" s="298"/>
      <c r="AC1087" s="297"/>
      <c r="AF1087" s="296"/>
      <c r="AG1087" s="297"/>
      <c r="AJ1087" s="298"/>
      <c r="AK1087" s="297"/>
      <c r="AN1087" s="298"/>
      <c r="AR1087" s="298"/>
    </row>
    <row r="1088" spans="2:44" s="290" customFormat="1" x14ac:dyDescent="0.2">
      <c r="B1088" s="302"/>
      <c r="D1088" s="302"/>
      <c r="E1088" s="302"/>
      <c r="K1088" s="303"/>
      <c r="L1088" s="303"/>
      <c r="M1088" s="303"/>
      <c r="AB1088" s="298"/>
      <c r="AC1088" s="297"/>
      <c r="AF1088" s="296"/>
      <c r="AG1088" s="297"/>
      <c r="AJ1088" s="298"/>
      <c r="AK1088" s="297"/>
      <c r="AN1088" s="298"/>
      <c r="AR1088" s="298"/>
    </row>
    <row r="1089" spans="2:44" s="290" customFormat="1" x14ac:dyDescent="0.2">
      <c r="B1089" s="302"/>
      <c r="D1089" s="302"/>
      <c r="E1089" s="302"/>
      <c r="K1089" s="303"/>
      <c r="L1089" s="303"/>
      <c r="M1089" s="303"/>
      <c r="AB1089" s="298"/>
      <c r="AC1089" s="297"/>
      <c r="AF1089" s="296"/>
      <c r="AG1089" s="297"/>
      <c r="AJ1089" s="298"/>
      <c r="AK1089" s="297"/>
      <c r="AN1089" s="298"/>
      <c r="AR1089" s="298"/>
    </row>
    <row r="1090" spans="2:44" s="290" customFormat="1" x14ac:dyDescent="0.2">
      <c r="B1090" s="302"/>
      <c r="D1090" s="302"/>
      <c r="E1090" s="302"/>
      <c r="K1090" s="303"/>
      <c r="L1090" s="303"/>
      <c r="M1090" s="303"/>
      <c r="AB1090" s="298"/>
      <c r="AC1090" s="297"/>
      <c r="AF1090" s="296"/>
      <c r="AG1090" s="297"/>
      <c r="AJ1090" s="298"/>
      <c r="AK1090" s="297"/>
      <c r="AN1090" s="298"/>
      <c r="AR1090" s="298"/>
    </row>
    <row r="1091" spans="2:44" s="290" customFormat="1" x14ac:dyDescent="0.2">
      <c r="B1091" s="302"/>
      <c r="D1091" s="302"/>
      <c r="E1091" s="302"/>
      <c r="K1091" s="303"/>
      <c r="L1091" s="303"/>
      <c r="M1091" s="303"/>
      <c r="AB1091" s="298"/>
      <c r="AC1091" s="297"/>
      <c r="AF1091" s="296"/>
      <c r="AG1091" s="297"/>
      <c r="AJ1091" s="298"/>
      <c r="AK1091" s="297"/>
      <c r="AN1091" s="298"/>
      <c r="AR1091" s="298"/>
    </row>
    <row r="1092" spans="2:44" s="290" customFormat="1" x14ac:dyDescent="0.2">
      <c r="B1092" s="302"/>
      <c r="D1092" s="302"/>
      <c r="E1092" s="302"/>
      <c r="K1092" s="303"/>
      <c r="L1092" s="303"/>
      <c r="M1092" s="303"/>
      <c r="AB1092" s="298"/>
      <c r="AC1092" s="297"/>
      <c r="AF1092" s="296"/>
      <c r="AG1092" s="297"/>
      <c r="AJ1092" s="298"/>
      <c r="AK1092" s="297"/>
      <c r="AN1092" s="298"/>
      <c r="AR1092" s="298"/>
    </row>
    <row r="1093" spans="2:44" s="290" customFormat="1" x14ac:dyDescent="0.2">
      <c r="B1093" s="302"/>
      <c r="D1093" s="302"/>
      <c r="E1093" s="302"/>
      <c r="K1093" s="303"/>
      <c r="L1093" s="303"/>
      <c r="M1093" s="303"/>
      <c r="AB1093" s="298"/>
      <c r="AC1093" s="297"/>
      <c r="AF1093" s="296"/>
      <c r="AG1093" s="297"/>
      <c r="AJ1093" s="298"/>
      <c r="AK1093" s="297"/>
      <c r="AN1093" s="298"/>
      <c r="AR1093" s="298"/>
    </row>
    <row r="1094" spans="2:44" s="290" customFormat="1" x14ac:dyDescent="0.2">
      <c r="B1094" s="302"/>
      <c r="D1094" s="302"/>
      <c r="E1094" s="302"/>
      <c r="K1094" s="303"/>
      <c r="L1094" s="303"/>
      <c r="M1094" s="303"/>
      <c r="AB1094" s="298"/>
      <c r="AC1094" s="297"/>
      <c r="AF1094" s="296"/>
      <c r="AG1094" s="297"/>
      <c r="AJ1094" s="298"/>
      <c r="AK1094" s="297"/>
      <c r="AN1094" s="298"/>
      <c r="AR1094" s="298"/>
    </row>
    <row r="1095" spans="2:44" s="290" customFormat="1" x14ac:dyDescent="0.2">
      <c r="B1095" s="302"/>
      <c r="D1095" s="302"/>
      <c r="E1095" s="302"/>
      <c r="K1095" s="303"/>
      <c r="L1095" s="303"/>
      <c r="M1095" s="303"/>
      <c r="AB1095" s="298"/>
      <c r="AC1095" s="297"/>
      <c r="AF1095" s="296"/>
      <c r="AG1095" s="297"/>
      <c r="AJ1095" s="298"/>
      <c r="AK1095" s="297"/>
      <c r="AN1095" s="298"/>
      <c r="AR1095" s="298"/>
    </row>
    <row r="1096" spans="2:44" s="290" customFormat="1" x14ac:dyDescent="0.2">
      <c r="B1096" s="302"/>
      <c r="D1096" s="302"/>
      <c r="E1096" s="302"/>
      <c r="K1096" s="303"/>
      <c r="L1096" s="303"/>
      <c r="M1096" s="303"/>
      <c r="AB1096" s="298"/>
      <c r="AC1096" s="297"/>
      <c r="AF1096" s="296"/>
      <c r="AG1096" s="297"/>
      <c r="AJ1096" s="298"/>
      <c r="AK1096" s="297"/>
      <c r="AN1096" s="298"/>
      <c r="AR1096" s="298"/>
    </row>
    <row r="1097" spans="2:44" s="290" customFormat="1" x14ac:dyDescent="0.2">
      <c r="B1097" s="302"/>
      <c r="D1097" s="302"/>
      <c r="E1097" s="302"/>
      <c r="K1097" s="303"/>
      <c r="L1097" s="303"/>
      <c r="M1097" s="303"/>
      <c r="AB1097" s="298"/>
      <c r="AC1097" s="297"/>
      <c r="AF1097" s="296"/>
      <c r="AG1097" s="297"/>
      <c r="AJ1097" s="298"/>
      <c r="AK1097" s="297"/>
      <c r="AN1097" s="298"/>
      <c r="AR1097" s="298"/>
    </row>
    <row r="1098" spans="2:44" s="290" customFormat="1" x14ac:dyDescent="0.2">
      <c r="B1098" s="302"/>
      <c r="D1098" s="302"/>
      <c r="E1098" s="302"/>
      <c r="K1098" s="303"/>
      <c r="L1098" s="303"/>
      <c r="M1098" s="303"/>
      <c r="AB1098" s="298"/>
      <c r="AC1098" s="297"/>
      <c r="AF1098" s="296"/>
      <c r="AG1098" s="297"/>
      <c r="AJ1098" s="298"/>
      <c r="AK1098" s="297"/>
      <c r="AN1098" s="298"/>
      <c r="AR1098" s="298"/>
    </row>
    <row r="1099" spans="2:44" s="290" customFormat="1" x14ac:dyDescent="0.2">
      <c r="B1099" s="302"/>
      <c r="D1099" s="302"/>
      <c r="E1099" s="302"/>
      <c r="K1099" s="303"/>
      <c r="L1099" s="303"/>
      <c r="M1099" s="303"/>
      <c r="AB1099" s="298"/>
      <c r="AC1099" s="297"/>
      <c r="AF1099" s="296"/>
      <c r="AG1099" s="297"/>
      <c r="AJ1099" s="298"/>
      <c r="AK1099" s="297"/>
      <c r="AN1099" s="298"/>
      <c r="AR1099" s="298"/>
    </row>
    <row r="1100" spans="2:44" s="290" customFormat="1" x14ac:dyDescent="0.2">
      <c r="B1100" s="302"/>
      <c r="D1100" s="302"/>
      <c r="E1100" s="302"/>
      <c r="K1100" s="303"/>
      <c r="L1100" s="303"/>
      <c r="M1100" s="303"/>
      <c r="AB1100" s="298"/>
      <c r="AC1100" s="297"/>
      <c r="AF1100" s="296"/>
      <c r="AG1100" s="297"/>
      <c r="AJ1100" s="298"/>
      <c r="AK1100" s="297"/>
      <c r="AN1100" s="298"/>
      <c r="AR1100" s="298"/>
    </row>
    <row r="1101" spans="2:44" s="290" customFormat="1" x14ac:dyDescent="0.2">
      <c r="B1101" s="302"/>
      <c r="D1101" s="302"/>
      <c r="E1101" s="302"/>
      <c r="K1101" s="303"/>
      <c r="L1101" s="303"/>
      <c r="M1101" s="303"/>
      <c r="AB1101" s="298"/>
      <c r="AC1101" s="297"/>
      <c r="AF1101" s="296"/>
      <c r="AG1101" s="297"/>
      <c r="AJ1101" s="298"/>
      <c r="AK1101" s="297"/>
      <c r="AN1101" s="298"/>
      <c r="AR1101" s="298"/>
    </row>
    <row r="1102" spans="2:44" s="290" customFormat="1" x14ac:dyDescent="0.2">
      <c r="B1102" s="302"/>
      <c r="D1102" s="302"/>
      <c r="E1102" s="302"/>
      <c r="K1102" s="303"/>
      <c r="L1102" s="303"/>
      <c r="M1102" s="303"/>
      <c r="AB1102" s="298"/>
      <c r="AC1102" s="297"/>
      <c r="AF1102" s="296"/>
      <c r="AG1102" s="297"/>
      <c r="AJ1102" s="298"/>
      <c r="AK1102" s="297"/>
      <c r="AN1102" s="298"/>
      <c r="AR1102" s="298"/>
    </row>
    <row r="1103" spans="2:44" s="290" customFormat="1" x14ac:dyDescent="0.2">
      <c r="B1103" s="302"/>
      <c r="D1103" s="302"/>
      <c r="E1103" s="302"/>
      <c r="K1103" s="303"/>
      <c r="L1103" s="303"/>
      <c r="M1103" s="303"/>
      <c r="AB1103" s="298"/>
      <c r="AC1103" s="297"/>
      <c r="AF1103" s="296"/>
      <c r="AG1103" s="297"/>
      <c r="AJ1103" s="298"/>
      <c r="AK1103" s="297"/>
      <c r="AN1103" s="298"/>
      <c r="AR1103" s="298"/>
    </row>
    <row r="1104" spans="2:44" s="290" customFormat="1" x14ac:dyDescent="0.2">
      <c r="B1104" s="302"/>
      <c r="D1104" s="302"/>
      <c r="E1104" s="302"/>
      <c r="K1104" s="303"/>
      <c r="L1104" s="303"/>
      <c r="M1104" s="303"/>
      <c r="AB1104" s="298"/>
      <c r="AC1104" s="297"/>
      <c r="AF1104" s="296"/>
      <c r="AG1104" s="297"/>
      <c r="AJ1104" s="298"/>
      <c r="AK1104" s="297"/>
      <c r="AN1104" s="298"/>
      <c r="AR1104" s="298"/>
    </row>
    <row r="1105" spans="2:44" s="290" customFormat="1" x14ac:dyDescent="0.2">
      <c r="B1105" s="302"/>
      <c r="D1105" s="302"/>
      <c r="E1105" s="302"/>
      <c r="K1105" s="303"/>
      <c r="L1105" s="303"/>
      <c r="M1105" s="303"/>
      <c r="AB1105" s="298"/>
      <c r="AC1105" s="297"/>
      <c r="AF1105" s="296"/>
      <c r="AG1105" s="297"/>
      <c r="AJ1105" s="298"/>
      <c r="AK1105" s="297"/>
      <c r="AN1105" s="298"/>
      <c r="AR1105" s="298"/>
    </row>
    <row r="1106" spans="2:44" s="290" customFormat="1" x14ac:dyDescent="0.2">
      <c r="B1106" s="302"/>
      <c r="D1106" s="302"/>
      <c r="E1106" s="302"/>
      <c r="K1106" s="303"/>
      <c r="L1106" s="303"/>
      <c r="M1106" s="303"/>
      <c r="AB1106" s="298"/>
      <c r="AC1106" s="297"/>
      <c r="AF1106" s="296"/>
      <c r="AG1106" s="297"/>
      <c r="AJ1106" s="298"/>
      <c r="AK1106" s="297"/>
      <c r="AN1106" s="298"/>
      <c r="AR1106" s="298"/>
    </row>
    <row r="1107" spans="2:44" s="290" customFormat="1" x14ac:dyDescent="0.2">
      <c r="B1107" s="302"/>
      <c r="D1107" s="302"/>
      <c r="E1107" s="302"/>
      <c r="K1107" s="303"/>
      <c r="L1107" s="303"/>
      <c r="M1107" s="303"/>
      <c r="AB1107" s="298"/>
      <c r="AC1107" s="297"/>
      <c r="AF1107" s="296"/>
      <c r="AG1107" s="297"/>
      <c r="AJ1107" s="298"/>
      <c r="AK1107" s="297"/>
      <c r="AN1107" s="298"/>
      <c r="AR1107" s="298"/>
    </row>
    <row r="1108" spans="2:44" s="290" customFormat="1" x14ac:dyDescent="0.2">
      <c r="B1108" s="302"/>
      <c r="D1108" s="302"/>
      <c r="E1108" s="302"/>
      <c r="K1108" s="303"/>
      <c r="L1108" s="303"/>
      <c r="M1108" s="303"/>
      <c r="AB1108" s="298"/>
      <c r="AC1108" s="297"/>
      <c r="AF1108" s="296"/>
      <c r="AG1108" s="297"/>
      <c r="AJ1108" s="298"/>
      <c r="AK1108" s="297"/>
      <c r="AN1108" s="298"/>
      <c r="AR1108" s="298"/>
    </row>
    <row r="1109" spans="2:44" s="290" customFormat="1" x14ac:dyDescent="0.2">
      <c r="B1109" s="302"/>
      <c r="D1109" s="302"/>
      <c r="E1109" s="302"/>
      <c r="K1109" s="303"/>
      <c r="L1109" s="303"/>
      <c r="M1109" s="303"/>
      <c r="AB1109" s="298"/>
      <c r="AC1109" s="297"/>
      <c r="AF1109" s="296"/>
      <c r="AG1109" s="297"/>
      <c r="AJ1109" s="298"/>
      <c r="AK1109" s="297"/>
      <c r="AN1109" s="298"/>
      <c r="AR1109" s="298"/>
    </row>
    <row r="1110" spans="2:44" s="290" customFormat="1" x14ac:dyDescent="0.2">
      <c r="B1110" s="302"/>
      <c r="D1110" s="302"/>
      <c r="E1110" s="302"/>
      <c r="K1110" s="303"/>
      <c r="L1110" s="303"/>
      <c r="M1110" s="303"/>
      <c r="AB1110" s="298"/>
      <c r="AC1110" s="297"/>
      <c r="AF1110" s="296"/>
      <c r="AG1110" s="297"/>
      <c r="AJ1110" s="298"/>
      <c r="AK1110" s="297"/>
      <c r="AN1110" s="298"/>
      <c r="AR1110" s="298"/>
    </row>
    <row r="1111" spans="2:44" s="290" customFormat="1" x14ac:dyDescent="0.2">
      <c r="B1111" s="302"/>
      <c r="D1111" s="302"/>
      <c r="E1111" s="302"/>
      <c r="K1111" s="303"/>
      <c r="L1111" s="303"/>
      <c r="M1111" s="303"/>
      <c r="AB1111" s="298"/>
      <c r="AC1111" s="297"/>
      <c r="AF1111" s="296"/>
      <c r="AG1111" s="297"/>
      <c r="AJ1111" s="298"/>
      <c r="AK1111" s="297"/>
      <c r="AN1111" s="298"/>
      <c r="AR1111" s="298"/>
    </row>
    <row r="1112" spans="2:44" s="290" customFormat="1" x14ac:dyDescent="0.2">
      <c r="B1112" s="302"/>
      <c r="D1112" s="302"/>
      <c r="E1112" s="302"/>
      <c r="K1112" s="303"/>
      <c r="L1112" s="303"/>
      <c r="M1112" s="303"/>
      <c r="AB1112" s="298"/>
      <c r="AC1112" s="297"/>
      <c r="AF1112" s="296"/>
      <c r="AG1112" s="297"/>
      <c r="AJ1112" s="298"/>
      <c r="AK1112" s="297"/>
      <c r="AN1112" s="298"/>
      <c r="AR1112" s="298"/>
    </row>
    <row r="1113" spans="2:44" s="290" customFormat="1" x14ac:dyDescent="0.2">
      <c r="B1113" s="302"/>
      <c r="D1113" s="302"/>
      <c r="E1113" s="302"/>
      <c r="K1113" s="303"/>
      <c r="L1113" s="303"/>
      <c r="M1113" s="303"/>
      <c r="AB1113" s="298"/>
      <c r="AC1113" s="297"/>
      <c r="AF1113" s="296"/>
      <c r="AG1113" s="297"/>
      <c r="AJ1113" s="298"/>
      <c r="AK1113" s="297"/>
      <c r="AN1113" s="298"/>
      <c r="AR1113" s="298"/>
    </row>
    <row r="1114" spans="2:44" s="290" customFormat="1" x14ac:dyDescent="0.2">
      <c r="B1114" s="302"/>
      <c r="D1114" s="302"/>
      <c r="E1114" s="302"/>
      <c r="K1114" s="303"/>
      <c r="L1114" s="303"/>
      <c r="M1114" s="303"/>
      <c r="AB1114" s="298"/>
      <c r="AC1114" s="297"/>
      <c r="AF1114" s="296"/>
      <c r="AG1114" s="297"/>
      <c r="AJ1114" s="298"/>
      <c r="AK1114" s="297"/>
      <c r="AN1114" s="298"/>
      <c r="AR1114" s="298"/>
    </row>
    <row r="1115" spans="2:44" s="290" customFormat="1" x14ac:dyDescent="0.2">
      <c r="B1115" s="302"/>
      <c r="D1115" s="302"/>
      <c r="E1115" s="302"/>
      <c r="K1115" s="303"/>
      <c r="L1115" s="303"/>
      <c r="M1115" s="303"/>
      <c r="AB1115" s="298"/>
      <c r="AC1115" s="297"/>
      <c r="AF1115" s="296"/>
      <c r="AG1115" s="297"/>
      <c r="AJ1115" s="298"/>
      <c r="AK1115" s="297"/>
      <c r="AN1115" s="298"/>
      <c r="AR1115" s="298"/>
    </row>
    <row r="1116" spans="2:44" s="290" customFormat="1" x14ac:dyDescent="0.2">
      <c r="B1116" s="302"/>
      <c r="D1116" s="302"/>
      <c r="E1116" s="302"/>
      <c r="K1116" s="303"/>
      <c r="L1116" s="303"/>
      <c r="M1116" s="303"/>
      <c r="AB1116" s="298"/>
      <c r="AC1116" s="297"/>
      <c r="AF1116" s="296"/>
      <c r="AG1116" s="297"/>
      <c r="AJ1116" s="298"/>
      <c r="AK1116" s="297"/>
      <c r="AN1116" s="298"/>
      <c r="AR1116" s="298"/>
    </row>
    <row r="1117" spans="2:44" s="290" customFormat="1" x14ac:dyDescent="0.2">
      <c r="B1117" s="302"/>
      <c r="D1117" s="302"/>
      <c r="E1117" s="302"/>
      <c r="K1117" s="303"/>
      <c r="L1117" s="303"/>
      <c r="M1117" s="303"/>
      <c r="AB1117" s="298"/>
      <c r="AC1117" s="297"/>
      <c r="AF1117" s="296"/>
      <c r="AG1117" s="297"/>
      <c r="AJ1117" s="298"/>
      <c r="AK1117" s="297"/>
      <c r="AN1117" s="298"/>
      <c r="AR1117" s="298"/>
    </row>
    <row r="1118" spans="2:44" s="290" customFormat="1" x14ac:dyDescent="0.2">
      <c r="B1118" s="302"/>
      <c r="D1118" s="302"/>
      <c r="E1118" s="302"/>
      <c r="K1118" s="303"/>
      <c r="L1118" s="303"/>
      <c r="M1118" s="303"/>
      <c r="AB1118" s="298"/>
      <c r="AC1118" s="297"/>
      <c r="AF1118" s="296"/>
      <c r="AG1118" s="297"/>
      <c r="AJ1118" s="298"/>
      <c r="AK1118" s="297"/>
      <c r="AN1118" s="298"/>
      <c r="AR1118" s="298"/>
    </row>
    <row r="1119" spans="2:44" s="290" customFormat="1" x14ac:dyDescent="0.2">
      <c r="B1119" s="302"/>
      <c r="D1119" s="302"/>
      <c r="E1119" s="302"/>
      <c r="K1119" s="303"/>
      <c r="L1119" s="303"/>
      <c r="M1119" s="303"/>
      <c r="AB1119" s="298"/>
      <c r="AC1119" s="297"/>
      <c r="AF1119" s="296"/>
      <c r="AG1119" s="297"/>
      <c r="AJ1119" s="298"/>
      <c r="AK1119" s="297"/>
      <c r="AN1119" s="298"/>
      <c r="AR1119" s="298"/>
    </row>
    <row r="1120" spans="2:44" s="290" customFormat="1" x14ac:dyDescent="0.2">
      <c r="B1120" s="302"/>
      <c r="D1120" s="302"/>
      <c r="E1120" s="302"/>
      <c r="K1120" s="303"/>
      <c r="L1120" s="303"/>
      <c r="M1120" s="303"/>
      <c r="AB1120" s="298"/>
      <c r="AC1120" s="297"/>
      <c r="AF1120" s="296"/>
      <c r="AG1120" s="297"/>
      <c r="AJ1120" s="298"/>
      <c r="AK1120" s="297"/>
      <c r="AN1120" s="298"/>
      <c r="AR1120" s="298"/>
    </row>
    <row r="1121" spans="2:44" s="290" customFormat="1" x14ac:dyDescent="0.2">
      <c r="B1121" s="302"/>
      <c r="D1121" s="302"/>
      <c r="E1121" s="302"/>
      <c r="K1121" s="303"/>
      <c r="L1121" s="303"/>
      <c r="M1121" s="303"/>
      <c r="AB1121" s="298"/>
      <c r="AC1121" s="297"/>
      <c r="AF1121" s="296"/>
      <c r="AG1121" s="297"/>
      <c r="AJ1121" s="298"/>
      <c r="AK1121" s="297"/>
      <c r="AN1121" s="298"/>
      <c r="AR1121" s="298"/>
    </row>
    <row r="1122" spans="2:44" s="290" customFormat="1" x14ac:dyDescent="0.2">
      <c r="B1122" s="302"/>
      <c r="D1122" s="302"/>
      <c r="E1122" s="302"/>
      <c r="K1122" s="303"/>
      <c r="L1122" s="303"/>
      <c r="M1122" s="303"/>
      <c r="AB1122" s="298"/>
      <c r="AC1122" s="297"/>
      <c r="AF1122" s="296"/>
      <c r="AG1122" s="297"/>
      <c r="AJ1122" s="298"/>
      <c r="AK1122" s="297"/>
      <c r="AN1122" s="298"/>
      <c r="AR1122" s="298"/>
    </row>
    <row r="1123" spans="2:44" s="290" customFormat="1" x14ac:dyDescent="0.2">
      <c r="B1123" s="302"/>
      <c r="D1123" s="302"/>
      <c r="E1123" s="302"/>
      <c r="K1123" s="303"/>
      <c r="L1123" s="303"/>
      <c r="M1123" s="303"/>
      <c r="AB1123" s="298"/>
      <c r="AC1123" s="297"/>
      <c r="AF1123" s="296"/>
      <c r="AG1123" s="297"/>
      <c r="AJ1123" s="298"/>
      <c r="AK1123" s="297"/>
      <c r="AN1123" s="298"/>
      <c r="AR1123" s="298"/>
    </row>
    <row r="1124" spans="2:44" s="290" customFormat="1" x14ac:dyDescent="0.2">
      <c r="B1124" s="302"/>
      <c r="D1124" s="302"/>
      <c r="E1124" s="302"/>
      <c r="K1124" s="303"/>
      <c r="L1124" s="303"/>
      <c r="M1124" s="303"/>
      <c r="AB1124" s="298"/>
      <c r="AC1124" s="297"/>
      <c r="AF1124" s="296"/>
      <c r="AG1124" s="297"/>
      <c r="AJ1124" s="298"/>
      <c r="AK1124" s="297"/>
      <c r="AN1124" s="298"/>
      <c r="AR1124" s="298"/>
    </row>
    <row r="1125" spans="2:44" s="290" customFormat="1" x14ac:dyDescent="0.2">
      <c r="B1125" s="302"/>
      <c r="D1125" s="302"/>
      <c r="E1125" s="302"/>
      <c r="K1125" s="303"/>
      <c r="L1125" s="303"/>
      <c r="M1125" s="303"/>
      <c r="AB1125" s="298"/>
      <c r="AC1125" s="297"/>
      <c r="AF1125" s="296"/>
      <c r="AG1125" s="297"/>
      <c r="AJ1125" s="298"/>
      <c r="AK1125" s="297"/>
      <c r="AN1125" s="298"/>
      <c r="AR1125" s="298"/>
    </row>
    <row r="1126" spans="2:44" s="290" customFormat="1" x14ac:dyDescent="0.2">
      <c r="B1126" s="302"/>
      <c r="D1126" s="302"/>
      <c r="E1126" s="302"/>
      <c r="K1126" s="303"/>
      <c r="L1126" s="303"/>
      <c r="M1126" s="303"/>
      <c r="AB1126" s="298"/>
      <c r="AC1126" s="297"/>
      <c r="AF1126" s="296"/>
      <c r="AG1126" s="297"/>
      <c r="AJ1126" s="298"/>
      <c r="AK1126" s="297"/>
      <c r="AN1126" s="298"/>
      <c r="AR1126" s="298"/>
    </row>
    <row r="1127" spans="2:44" s="290" customFormat="1" x14ac:dyDescent="0.2">
      <c r="B1127" s="302"/>
      <c r="D1127" s="302"/>
      <c r="E1127" s="302"/>
      <c r="K1127" s="303"/>
      <c r="L1127" s="303"/>
      <c r="M1127" s="303"/>
      <c r="AB1127" s="298"/>
      <c r="AC1127" s="297"/>
      <c r="AF1127" s="296"/>
      <c r="AG1127" s="297"/>
      <c r="AJ1127" s="298"/>
      <c r="AK1127" s="297"/>
      <c r="AN1127" s="298"/>
      <c r="AR1127" s="298"/>
    </row>
    <row r="1128" spans="2:44" s="290" customFormat="1" x14ac:dyDescent="0.2">
      <c r="B1128" s="302"/>
      <c r="D1128" s="302"/>
      <c r="E1128" s="302"/>
      <c r="K1128" s="303"/>
      <c r="L1128" s="303"/>
      <c r="M1128" s="303"/>
      <c r="AB1128" s="298"/>
      <c r="AC1128" s="297"/>
      <c r="AF1128" s="296"/>
      <c r="AG1128" s="297"/>
      <c r="AJ1128" s="298"/>
      <c r="AK1128" s="297"/>
      <c r="AN1128" s="298"/>
      <c r="AR1128" s="298"/>
    </row>
    <row r="1129" spans="2:44" s="290" customFormat="1" x14ac:dyDescent="0.2">
      <c r="B1129" s="302"/>
      <c r="D1129" s="302"/>
      <c r="E1129" s="302"/>
      <c r="K1129" s="303"/>
      <c r="L1129" s="303"/>
      <c r="M1129" s="303"/>
      <c r="AB1129" s="298"/>
      <c r="AC1129" s="297"/>
      <c r="AF1129" s="296"/>
      <c r="AG1129" s="297"/>
      <c r="AJ1129" s="298"/>
      <c r="AK1129" s="297"/>
      <c r="AN1129" s="298"/>
      <c r="AR1129" s="298"/>
    </row>
    <row r="1130" spans="2:44" s="290" customFormat="1" x14ac:dyDescent="0.2">
      <c r="B1130" s="302"/>
      <c r="D1130" s="302"/>
      <c r="E1130" s="302"/>
      <c r="K1130" s="303"/>
      <c r="L1130" s="303"/>
      <c r="M1130" s="303"/>
      <c r="AB1130" s="298"/>
      <c r="AC1130" s="297"/>
      <c r="AF1130" s="296"/>
      <c r="AG1130" s="297"/>
      <c r="AJ1130" s="298"/>
      <c r="AK1130" s="297"/>
      <c r="AN1130" s="298"/>
      <c r="AR1130" s="298"/>
    </row>
    <row r="1131" spans="2:44" s="290" customFormat="1" x14ac:dyDescent="0.2">
      <c r="B1131" s="302"/>
      <c r="D1131" s="302"/>
      <c r="E1131" s="302"/>
      <c r="K1131" s="303"/>
      <c r="L1131" s="303"/>
      <c r="M1131" s="303"/>
      <c r="AB1131" s="298"/>
      <c r="AC1131" s="297"/>
      <c r="AF1131" s="296"/>
      <c r="AG1131" s="297"/>
      <c r="AJ1131" s="298"/>
      <c r="AK1131" s="297"/>
      <c r="AN1131" s="298"/>
      <c r="AR1131" s="298"/>
    </row>
    <row r="1132" spans="2:44" s="290" customFormat="1" x14ac:dyDescent="0.2">
      <c r="B1132" s="302"/>
      <c r="D1132" s="302"/>
      <c r="E1132" s="302"/>
      <c r="K1132" s="303"/>
      <c r="L1132" s="303"/>
      <c r="M1132" s="303"/>
      <c r="AB1132" s="298"/>
      <c r="AC1132" s="297"/>
      <c r="AF1132" s="296"/>
      <c r="AG1132" s="297"/>
      <c r="AJ1132" s="298"/>
      <c r="AK1132" s="297"/>
      <c r="AN1132" s="298"/>
      <c r="AR1132" s="298"/>
    </row>
    <row r="1133" spans="2:44" s="290" customFormat="1" x14ac:dyDescent="0.2">
      <c r="B1133" s="302"/>
      <c r="D1133" s="302"/>
      <c r="E1133" s="302"/>
      <c r="K1133" s="303"/>
      <c r="L1133" s="303"/>
      <c r="M1133" s="303"/>
      <c r="AB1133" s="298"/>
      <c r="AC1133" s="297"/>
      <c r="AF1133" s="296"/>
      <c r="AG1133" s="297"/>
      <c r="AJ1133" s="298"/>
      <c r="AK1133" s="297"/>
      <c r="AN1133" s="298"/>
      <c r="AR1133" s="298"/>
    </row>
    <row r="1134" spans="2:44" s="290" customFormat="1" x14ac:dyDescent="0.2">
      <c r="B1134" s="302"/>
      <c r="D1134" s="302"/>
      <c r="E1134" s="302"/>
      <c r="K1134" s="303"/>
      <c r="L1134" s="303"/>
      <c r="M1134" s="303"/>
      <c r="AB1134" s="298"/>
      <c r="AC1134" s="297"/>
      <c r="AF1134" s="296"/>
      <c r="AG1134" s="297"/>
      <c r="AJ1134" s="298"/>
      <c r="AK1134" s="297"/>
      <c r="AN1134" s="298"/>
      <c r="AR1134" s="298"/>
    </row>
    <row r="1135" spans="2:44" s="290" customFormat="1" x14ac:dyDescent="0.2">
      <c r="B1135" s="302"/>
      <c r="D1135" s="302"/>
      <c r="E1135" s="302"/>
      <c r="K1135" s="303"/>
      <c r="L1135" s="303"/>
      <c r="M1135" s="303"/>
      <c r="AB1135" s="298"/>
      <c r="AC1135" s="297"/>
      <c r="AF1135" s="296"/>
      <c r="AG1135" s="297"/>
      <c r="AJ1135" s="298"/>
      <c r="AK1135" s="297"/>
      <c r="AN1135" s="298"/>
      <c r="AR1135" s="298"/>
    </row>
    <row r="1136" spans="2:44" s="290" customFormat="1" x14ac:dyDescent="0.2">
      <c r="B1136" s="302"/>
      <c r="D1136" s="302"/>
      <c r="E1136" s="302"/>
      <c r="K1136" s="303"/>
      <c r="L1136" s="303"/>
      <c r="M1136" s="303"/>
      <c r="AB1136" s="298"/>
      <c r="AC1136" s="297"/>
      <c r="AF1136" s="296"/>
      <c r="AG1136" s="297"/>
      <c r="AJ1136" s="298"/>
      <c r="AK1136" s="297"/>
      <c r="AN1136" s="298"/>
      <c r="AR1136" s="298"/>
    </row>
    <row r="1137" spans="2:44" s="290" customFormat="1" x14ac:dyDescent="0.2">
      <c r="B1137" s="302"/>
      <c r="D1137" s="302"/>
      <c r="E1137" s="302"/>
      <c r="K1137" s="303"/>
      <c r="L1137" s="303"/>
      <c r="M1137" s="303"/>
      <c r="AB1137" s="298"/>
      <c r="AC1137" s="297"/>
      <c r="AF1137" s="296"/>
      <c r="AG1137" s="297"/>
      <c r="AJ1137" s="298"/>
      <c r="AK1137" s="297"/>
      <c r="AN1137" s="298"/>
      <c r="AR1137" s="298"/>
    </row>
    <row r="1138" spans="2:44" s="290" customFormat="1" x14ac:dyDescent="0.2">
      <c r="B1138" s="302"/>
      <c r="D1138" s="302"/>
      <c r="E1138" s="302"/>
      <c r="K1138" s="303"/>
      <c r="L1138" s="303"/>
      <c r="M1138" s="303"/>
      <c r="AB1138" s="298"/>
      <c r="AC1138" s="297"/>
      <c r="AF1138" s="296"/>
      <c r="AG1138" s="297"/>
      <c r="AJ1138" s="298"/>
      <c r="AK1138" s="297"/>
      <c r="AN1138" s="298"/>
      <c r="AR1138" s="298"/>
    </row>
    <row r="1139" spans="2:44" s="290" customFormat="1" x14ac:dyDescent="0.2">
      <c r="B1139" s="302"/>
      <c r="D1139" s="302"/>
      <c r="E1139" s="302"/>
      <c r="K1139" s="303"/>
      <c r="L1139" s="303"/>
      <c r="M1139" s="303"/>
      <c r="AB1139" s="298"/>
      <c r="AC1139" s="297"/>
      <c r="AF1139" s="296"/>
      <c r="AG1139" s="297"/>
      <c r="AJ1139" s="298"/>
      <c r="AK1139" s="297"/>
      <c r="AN1139" s="298"/>
      <c r="AR1139" s="298"/>
    </row>
    <row r="1140" spans="2:44" s="290" customFormat="1" x14ac:dyDescent="0.2">
      <c r="B1140" s="302"/>
      <c r="D1140" s="302"/>
      <c r="E1140" s="302"/>
      <c r="K1140" s="303"/>
      <c r="L1140" s="303"/>
      <c r="M1140" s="303"/>
      <c r="AB1140" s="298"/>
      <c r="AC1140" s="297"/>
      <c r="AF1140" s="296"/>
      <c r="AG1140" s="297"/>
      <c r="AJ1140" s="298"/>
      <c r="AK1140" s="297"/>
      <c r="AN1140" s="298"/>
      <c r="AR1140" s="298"/>
    </row>
    <row r="1141" spans="2:44" s="290" customFormat="1" x14ac:dyDescent="0.2">
      <c r="B1141" s="302"/>
      <c r="D1141" s="302"/>
      <c r="E1141" s="302"/>
      <c r="K1141" s="303"/>
      <c r="L1141" s="303"/>
      <c r="M1141" s="303"/>
      <c r="AB1141" s="298"/>
      <c r="AC1141" s="297"/>
      <c r="AF1141" s="296"/>
      <c r="AG1141" s="297"/>
      <c r="AJ1141" s="298"/>
      <c r="AK1141" s="297"/>
      <c r="AN1141" s="298"/>
      <c r="AR1141" s="298"/>
    </row>
    <row r="1142" spans="2:44" s="290" customFormat="1" x14ac:dyDescent="0.2">
      <c r="B1142" s="302"/>
      <c r="D1142" s="302"/>
      <c r="E1142" s="302"/>
      <c r="K1142" s="303"/>
      <c r="L1142" s="303"/>
      <c r="M1142" s="303"/>
      <c r="AB1142" s="298"/>
      <c r="AC1142" s="297"/>
      <c r="AF1142" s="296"/>
      <c r="AG1142" s="297"/>
      <c r="AJ1142" s="298"/>
      <c r="AK1142" s="297"/>
      <c r="AN1142" s="298"/>
      <c r="AR1142" s="298"/>
    </row>
    <row r="1143" spans="2:44" s="290" customFormat="1" x14ac:dyDescent="0.2">
      <c r="B1143" s="302"/>
      <c r="D1143" s="302"/>
      <c r="E1143" s="302"/>
      <c r="K1143" s="303"/>
      <c r="L1143" s="303"/>
      <c r="M1143" s="303"/>
      <c r="AB1143" s="298"/>
      <c r="AC1143" s="297"/>
      <c r="AF1143" s="296"/>
      <c r="AG1143" s="297"/>
      <c r="AJ1143" s="298"/>
      <c r="AK1143" s="297"/>
      <c r="AN1143" s="298"/>
      <c r="AR1143" s="298"/>
    </row>
    <row r="1144" spans="2:44" s="290" customFormat="1" x14ac:dyDescent="0.2">
      <c r="B1144" s="302"/>
      <c r="D1144" s="302"/>
      <c r="E1144" s="302"/>
      <c r="K1144" s="303"/>
      <c r="L1144" s="303"/>
      <c r="M1144" s="303"/>
      <c r="AB1144" s="298"/>
      <c r="AC1144" s="297"/>
      <c r="AF1144" s="296"/>
      <c r="AG1144" s="297"/>
      <c r="AJ1144" s="298"/>
      <c r="AK1144" s="297"/>
      <c r="AN1144" s="298"/>
      <c r="AR1144" s="298"/>
    </row>
    <row r="1145" spans="2:44" s="290" customFormat="1" x14ac:dyDescent="0.2">
      <c r="B1145" s="302"/>
      <c r="D1145" s="302"/>
      <c r="E1145" s="302"/>
      <c r="K1145" s="303"/>
      <c r="L1145" s="303"/>
      <c r="M1145" s="303"/>
      <c r="AB1145" s="298"/>
      <c r="AC1145" s="297"/>
      <c r="AF1145" s="296"/>
      <c r="AG1145" s="297"/>
      <c r="AJ1145" s="298"/>
      <c r="AK1145" s="297"/>
      <c r="AN1145" s="298"/>
      <c r="AR1145" s="298"/>
    </row>
    <row r="1146" spans="2:44" s="290" customFormat="1" x14ac:dyDescent="0.2">
      <c r="B1146" s="302"/>
      <c r="D1146" s="302"/>
      <c r="E1146" s="302"/>
      <c r="K1146" s="303"/>
      <c r="L1146" s="303"/>
      <c r="M1146" s="303"/>
      <c r="AB1146" s="298"/>
      <c r="AC1146" s="297"/>
      <c r="AF1146" s="296"/>
      <c r="AG1146" s="297"/>
      <c r="AJ1146" s="298"/>
      <c r="AK1146" s="297"/>
      <c r="AN1146" s="298"/>
      <c r="AR1146" s="298"/>
    </row>
    <row r="1147" spans="2:44" s="290" customFormat="1" x14ac:dyDescent="0.2">
      <c r="B1147" s="302"/>
      <c r="D1147" s="302"/>
      <c r="E1147" s="302"/>
      <c r="K1147" s="303"/>
      <c r="L1147" s="303"/>
      <c r="M1147" s="303"/>
      <c r="AB1147" s="298"/>
      <c r="AC1147" s="297"/>
      <c r="AF1147" s="296"/>
      <c r="AG1147" s="297"/>
      <c r="AJ1147" s="298"/>
      <c r="AK1147" s="297"/>
      <c r="AN1147" s="298"/>
      <c r="AR1147" s="298"/>
    </row>
    <row r="1148" spans="2:44" s="290" customFormat="1" x14ac:dyDescent="0.2">
      <c r="B1148" s="302"/>
      <c r="D1148" s="302"/>
      <c r="E1148" s="302"/>
      <c r="K1148" s="303"/>
      <c r="L1148" s="303"/>
      <c r="M1148" s="303"/>
      <c r="AB1148" s="298"/>
      <c r="AC1148" s="297"/>
      <c r="AF1148" s="296"/>
      <c r="AG1148" s="297"/>
      <c r="AJ1148" s="298"/>
      <c r="AK1148" s="297"/>
      <c r="AN1148" s="298"/>
      <c r="AR1148" s="298"/>
    </row>
    <row r="1149" spans="2:44" s="290" customFormat="1" x14ac:dyDescent="0.2">
      <c r="B1149" s="302"/>
      <c r="D1149" s="302"/>
      <c r="E1149" s="302"/>
      <c r="K1149" s="303"/>
      <c r="L1149" s="303"/>
      <c r="M1149" s="303"/>
      <c r="AB1149" s="298"/>
      <c r="AC1149" s="297"/>
      <c r="AF1149" s="296"/>
      <c r="AG1149" s="297"/>
      <c r="AJ1149" s="298"/>
      <c r="AK1149" s="297"/>
      <c r="AN1149" s="298"/>
      <c r="AR1149" s="298"/>
    </row>
    <row r="1150" spans="2:44" s="290" customFormat="1" x14ac:dyDescent="0.2">
      <c r="B1150" s="302"/>
      <c r="D1150" s="302"/>
      <c r="E1150" s="302"/>
      <c r="K1150" s="303"/>
      <c r="L1150" s="303"/>
      <c r="M1150" s="303"/>
      <c r="AB1150" s="298"/>
      <c r="AC1150" s="297"/>
      <c r="AF1150" s="296"/>
      <c r="AG1150" s="297"/>
      <c r="AJ1150" s="298"/>
      <c r="AK1150" s="297"/>
      <c r="AN1150" s="298"/>
      <c r="AR1150" s="298"/>
    </row>
    <row r="1151" spans="2:44" s="290" customFormat="1" x14ac:dyDescent="0.2">
      <c r="B1151" s="302"/>
      <c r="D1151" s="302"/>
      <c r="E1151" s="302"/>
      <c r="K1151" s="303"/>
      <c r="L1151" s="303"/>
      <c r="M1151" s="303"/>
      <c r="AB1151" s="298"/>
      <c r="AC1151" s="297"/>
      <c r="AF1151" s="296"/>
      <c r="AG1151" s="297"/>
      <c r="AJ1151" s="298"/>
      <c r="AK1151" s="297"/>
      <c r="AN1151" s="298"/>
      <c r="AR1151" s="298"/>
    </row>
    <row r="1152" spans="2:44" s="290" customFormat="1" x14ac:dyDescent="0.2">
      <c r="B1152" s="302"/>
      <c r="D1152" s="302"/>
      <c r="E1152" s="302"/>
      <c r="K1152" s="303"/>
      <c r="L1152" s="303"/>
      <c r="M1152" s="303"/>
      <c r="AB1152" s="298"/>
      <c r="AC1152" s="297"/>
      <c r="AF1152" s="296"/>
      <c r="AG1152" s="297"/>
      <c r="AJ1152" s="298"/>
      <c r="AK1152" s="297"/>
      <c r="AN1152" s="298"/>
      <c r="AR1152" s="298"/>
    </row>
    <row r="1153" spans="2:44" s="290" customFormat="1" x14ac:dyDescent="0.2">
      <c r="B1153" s="302"/>
      <c r="D1153" s="302"/>
      <c r="E1153" s="302"/>
      <c r="K1153" s="303"/>
      <c r="L1153" s="303"/>
      <c r="M1153" s="303"/>
      <c r="AB1153" s="298"/>
      <c r="AC1153" s="297"/>
      <c r="AF1153" s="296"/>
      <c r="AG1153" s="297"/>
      <c r="AJ1153" s="298"/>
      <c r="AK1153" s="297"/>
      <c r="AN1153" s="298"/>
      <c r="AR1153" s="298"/>
    </row>
    <row r="1154" spans="2:44" s="290" customFormat="1" x14ac:dyDescent="0.2">
      <c r="B1154" s="302"/>
      <c r="D1154" s="302"/>
      <c r="E1154" s="302"/>
      <c r="K1154" s="303"/>
      <c r="L1154" s="303"/>
      <c r="M1154" s="303"/>
      <c r="AB1154" s="298"/>
      <c r="AC1154" s="297"/>
      <c r="AF1154" s="296"/>
      <c r="AG1154" s="297"/>
      <c r="AJ1154" s="298"/>
      <c r="AK1154" s="297"/>
      <c r="AN1154" s="298"/>
      <c r="AR1154" s="298"/>
    </row>
    <row r="1155" spans="2:44" s="290" customFormat="1" x14ac:dyDescent="0.2">
      <c r="B1155" s="302"/>
      <c r="D1155" s="302"/>
      <c r="E1155" s="302"/>
      <c r="K1155" s="303"/>
      <c r="L1155" s="303"/>
      <c r="M1155" s="303"/>
      <c r="AB1155" s="298"/>
      <c r="AC1155" s="297"/>
      <c r="AF1155" s="296"/>
      <c r="AG1155" s="297"/>
      <c r="AJ1155" s="298"/>
      <c r="AK1155" s="297"/>
      <c r="AN1155" s="298"/>
      <c r="AR1155" s="298"/>
    </row>
    <row r="1156" spans="2:44" s="290" customFormat="1" x14ac:dyDescent="0.2">
      <c r="B1156" s="302"/>
      <c r="D1156" s="302"/>
      <c r="E1156" s="302"/>
      <c r="K1156" s="303"/>
      <c r="L1156" s="303"/>
      <c r="M1156" s="303"/>
      <c r="AB1156" s="298"/>
      <c r="AC1156" s="297"/>
      <c r="AF1156" s="296"/>
      <c r="AG1156" s="297"/>
      <c r="AJ1156" s="298"/>
      <c r="AK1156" s="297"/>
      <c r="AN1156" s="298"/>
      <c r="AR1156" s="298"/>
    </row>
    <row r="1157" spans="2:44" s="290" customFormat="1" x14ac:dyDescent="0.2">
      <c r="B1157" s="302"/>
      <c r="D1157" s="302"/>
      <c r="E1157" s="302"/>
      <c r="K1157" s="303"/>
      <c r="L1157" s="303"/>
      <c r="M1157" s="303"/>
      <c r="AB1157" s="298"/>
      <c r="AC1157" s="297"/>
      <c r="AF1157" s="296"/>
      <c r="AG1157" s="297"/>
      <c r="AJ1157" s="298"/>
      <c r="AK1157" s="297"/>
      <c r="AN1157" s="298"/>
      <c r="AR1157" s="298"/>
    </row>
    <row r="1158" spans="2:44" s="290" customFormat="1" x14ac:dyDescent="0.2">
      <c r="B1158" s="302"/>
      <c r="D1158" s="302"/>
      <c r="E1158" s="302"/>
      <c r="K1158" s="303"/>
      <c r="L1158" s="303"/>
      <c r="M1158" s="303"/>
      <c r="AB1158" s="298"/>
      <c r="AC1158" s="297"/>
      <c r="AF1158" s="296"/>
      <c r="AG1158" s="297"/>
      <c r="AJ1158" s="298"/>
      <c r="AK1158" s="297"/>
      <c r="AN1158" s="298"/>
      <c r="AR1158" s="298"/>
    </row>
    <row r="1159" spans="2:44" s="290" customFormat="1" x14ac:dyDescent="0.2">
      <c r="B1159" s="302"/>
      <c r="D1159" s="302"/>
      <c r="E1159" s="302"/>
      <c r="K1159" s="303"/>
      <c r="L1159" s="303"/>
      <c r="M1159" s="303"/>
      <c r="AB1159" s="298"/>
      <c r="AC1159" s="297"/>
      <c r="AF1159" s="296"/>
      <c r="AG1159" s="297"/>
      <c r="AJ1159" s="298"/>
      <c r="AK1159" s="297"/>
      <c r="AN1159" s="298"/>
      <c r="AR1159" s="298"/>
    </row>
    <row r="1160" spans="2:44" s="290" customFormat="1" x14ac:dyDescent="0.2">
      <c r="B1160" s="302"/>
      <c r="D1160" s="302"/>
      <c r="E1160" s="302"/>
      <c r="K1160" s="303"/>
      <c r="L1160" s="303"/>
      <c r="M1160" s="303"/>
      <c r="AB1160" s="298"/>
      <c r="AC1160" s="297"/>
      <c r="AF1160" s="296"/>
      <c r="AG1160" s="297"/>
      <c r="AJ1160" s="298"/>
      <c r="AK1160" s="297"/>
      <c r="AN1160" s="298"/>
      <c r="AR1160" s="298"/>
    </row>
    <row r="1161" spans="2:44" s="290" customFormat="1" x14ac:dyDescent="0.2">
      <c r="B1161" s="302"/>
      <c r="D1161" s="302"/>
      <c r="E1161" s="302"/>
      <c r="K1161" s="303"/>
      <c r="L1161" s="303"/>
      <c r="M1161" s="303"/>
      <c r="AB1161" s="298"/>
      <c r="AC1161" s="297"/>
      <c r="AF1161" s="296"/>
      <c r="AG1161" s="297"/>
      <c r="AJ1161" s="298"/>
      <c r="AK1161" s="297"/>
      <c r="AN1161" s="298"/>
      <c r="AR1161" s="298"/>
    </row>
    <row r="1162" spans="2:44" s="290" customFormat="1" x14ac:dyDescent="0.2">
      <c r="B1162" s="302"/>
      <c r="D1162" s="302"/>
      <c r="E1162" s="302"/>
      <c r="K1162" s="303"/>
      <c r="L1162" s="303"/>
      <c r="M1162" s="303"/>
      <c r="AB1162" s="298"/>
      <c r="AC1162" s="297"/>
      <c r="AF1162" s="296"/>
      <c r="AG1162" s="297"/>
      <c r="AJ1162" s="298"/>
      <c r="AK1162" s="297"/>
      <c r="AN1162" s="298"/>
      <c r="AR1162" s="298"/>
    </row>
    <row r="1163" spans="2:44" s="290" customFormat="1" x14ac:dyDescent="0.2">
      <c r="B1163" s="302"/>
      <c r="D1163" s="302"/>
      <c r="E1163" s="302"/>
      <c r="K1163" s="303"/>
      <c r="L1163" s="303"/>
      <c r="M1163" s="303"/>
      <c r="AB1163" s="298"/>
      <c r="AC1163" s="297"/>
      <c r="AF1163" s="296"/>
      <c r="AG1163" s="297"/>
      <c r="AJ1163" s="298"/>
      <c r="AK1163" s="297"/>
      <c r="AN1163" s="298"/>
      <c r="AR1163" s="298"/>
    </row>
    <row r="1164" spans="2:44" s="290" customFormat="1" x14ac:dyDescent="0.2">
      <c r="B1164" s="302"/>
      <c r="D1164" s="302"/>
      <c r="E1164" s="302"/>
      <c r="K1164" s="303"/>
      <c r="L1164" s="303"/>
      <c r="M1164" s="303"/>
      <c r="AB1164" s="298"/>
      <c r="AC1164" s="297"/>
      <c r="AF1164" s="296"/>
      <c r="AG1164" s="297"/>
      <c r="AJ1164" s="298"/>
      <c r="AK1164" s="297"/>
      <c r="AN1164" s="298"/>
      <c r="AR1164" s="298"/>
    </row>
    <row r="1165" spans="2:44" s="290" customFormat="1" x14ac:dyDescent="0.2">
      <c r="B1165" s="302"/>
      <c r="D1165" s="302"/>
      <c r="E1165" s="302"/>
      <c r="K1165" s="303"/>
      <c r="L1165" s="303"/>
      <c r="M1165" s="303"/>
      <c r="AB1165" s="298"/>
      <c r="AC1165" s="297"/>
      <c r="AF1165" s="296"/>
      <c r="AG1165" s="297"/>
      <c r="AJ1165" s="298"/>
      <c r="AK1165" s="297"/>
      <c r="AN1165" s="298"/>
      <c r="AR1165" s="298"/>
    </row>
    <row r="1166" spans="2:44" s="290" customFormat="1" x14ac:dyDescent="0.2">
      <c r="B1166" s="302"/>
      <c r="D1166" s="302"/>
      <c r="E1166" s="302"/>
      <c r="K1166" s="303"/>
      <c r="L1166" s="303"/>
      <c r="M1166" s="303"/>
      <c r="AB1166" s="298"/>
      <c r="AC1166" s="297"/>
      <c r="AF1166" s="296"/>
      <c r="AG1166" s="297"/>
      <c r="AJ1166" s="298"/>
      <c r="AK1166" s="297"/>
      <c r="AN1166" s="298"/>
      <c r="AR1166" s="298"/>
    </row>
    <row r="1167" spans="2:44" s="290" customFormat="1" x14ac:dyDescent="0.2">
      <c r="B1167" s="302"/>
      <c r="D1167" s="302"/>
      <c r="E1167" s="302"/>
      <c r="K1167" s="303"/>
      <c r="L1167" s="303"/>
      <c r="M1167" s="303"/>
      <c r="AB1167" s="298"/>
      <c r="AC1167" s="297"/>
      <c r="AF1167" s="296"/>
      <c r="AG1167" s="297"/>
      <c r="AJ1167" s="298"/>
      <c r="AK1167" s="297"/>
      <c r="AN1167" s="298"/>
      <c r="AR1167" s="298"/>
    </row>
    <row r="1168" spans="2:44" s="290" customFormat="1" x14ac:dyDescent="0.2">
      <c r="B1168" s="302"/>
      <c r="D1168" s="302"/>
      <c r="E1168" s="302"/>
      <c r="K1168" s="303"/>
      <c r="L1168" s="303"/>
      <c r="M1168" s="303"/>
      <c r="AB1168" s="298"/>
      <c r="AC1168" s="297"/>
      <c r="AF1168" s="296"/>
      <c r="AG1168" s="297"/>
      <c r="AJ1168" s="298"/>
      <c r="AK1168" s="297"/>
      <c r="AN1168" s="298"/>
      <c r="AR1168" s="298"/>
    </row>
    <row r="1169" spans="2:44" s="290" customFormat="1" x14ac:dyDescent="0.2">
      <c r="B1169" s="302"/>
      <c r="D1169" s="302"/>
      <c r="E1169" s="302"/>
      <c r="K1169" s="303"/>
      <c r="L1169" s="303"/>
      <c r="M1169" s="303"/>
      <c r="AB1169" s="298"/>
      <c r="AC1169" s="297"/>
      <c r="AF1169" s="296"/>
      <c r="AG1169" s="297"/>
      <c r="AJ1169" s="298"/>
      <c r="AK1169" s="297"/>
      <c r="AN1169" s="298"/>
      <c r="AR1169" s="298"/>
    </row>
    <row r="1170" spans="2:44" s="290" customFormat="1" x14ac:dyDescent="0.2">
      <c r="B1170" s="302"/>
      <c r="D1170" s="302"/>
      <c r="E1170" s="302"/>
      <c r="K1170" s="303"/>
      <c r="L1170" s="303"/>
      <c r="M1170" s="303"/>
      <c r="AB1170" s="298"/>
      <c r="AC1170" s="297"/>
      <c r="AF1170" s="296"/>
      <c r="AG1170" s="297"/>
      <c r="AJ1170" s="298"/>
      <c r="AK1170" s="297"/>
      <c r="AN1170" s="298"/>
      <c r="AR1170" s="298"/>
    </row>
    <row r="1171" spans="2:44" s="290" customFormat="1" x14ac:dyDescent="0.2">
      <c r="B1171" s="302"/>
      <c r="D1171" s="302"/>
      <c r="E1171" s="302"/>
      <c r="K1171" s="303"/>
      <c r="L1171" s="303"/>
      <c r="M1171" s="303"/>
      <c r="AB1171" s="298"/>
      <c r="AC1171" s="297"/>
      <c r="AF1171" s="296"/>
      <c r="AG1171" s="297"/>
      <c r="AJ1171" s="298"/>
      <c r="AK1171" s="297"/>
      <c r="AN1171" s="298"/>
      <c r="AR1171" s="298"/>
    </row>
    <row r="1172" spans="2:44" s="290" customFormat="1" x14ac:dyDescent="0.2">
      <c r="B1172" s="302"/>
      <c r="D1172" s="302"/>
      <c r="E1172" s="302"/>
      <c r="K1172" s="303"/>
      <c r="L1172" s="303"/>
      <c r="M1172" s="303"/>
      <c r="AB1172" s="298"/>
      <c r="AC1172" s="297"/>
      <c r="AF1172" s="296"/>
      <c r="AG1172" s="297"/>
      <c r="AJ1172" s="298"/>
      <c r="AK1172" s="297"/>
      <c r="AN1172" s="298"/>
      <c r="AR1172" s="298"/>
    </row>
    <row r="1173" spans="2:44" s="290" customFormat="1" x14ac:dyDescent="0.2">
      <c r="B1173" s="302"/>
      <c r="D1173" s="302"/>
      <c r="E1173" s="302"/>
      <c r="K1173" s="303"/>
      <c r="L1173" s="303"/>
      <c r="M1173" s="303"/>
      <c r="AB1173" s="298"/>
      <c r="AC1173" s="297"/>
      <c r="AF1173" s="296"/>
      <c r="AG1173" s="297"/>
      <c r="AJ1173" s="298"/>
      <c r="AK1173" s="297"/>
      <c r="AN1173" s="298"/>
      <c r="AR1173" s="298"/>
    </row>
    <row r="1174" spans="2:44" s="290" customFormat="1" x14ac:dyDescent="0.2">
      <c r="B1174" s="302"/>
      <c r="D1174" s="302"/>
      <c r="E1174" s="302"/>
      <c r="K1174" s="303"/>
      <c r="L1174" s="303"/>
      <c r="M1174" s="303"/>
      <c r="AB1174" s="298"/>
      <c r="AC1174" s="297"/>
      <c r="AF1174" s="296"/>
      <c r="AG1174" s="297"/>
      <c r="AJ1174" s="298"/>
      <c r="AK1174" s="297"/>
      <c r="AN1174" s="298"/>
      <c r="AR1174" s="298"/>
    </row>
    <row r="1175" spans="2:44" s="290" customFormat="1" x14ac:dyDescent="0.2">
      <c r="B1175" s="302"/>
      <c r="D1175" s="302"/>
      <c r="E1175" s="302"/>
      <c r="K1175" s="303"/>
      <c r="L1175" s="303"/>
      <c r="M1175" s="303"/>
      <c r="AB1175" s="298"/>
      <c r="AC1175" s="297"/>
      <c r="AF1175" s="296"/>
      <c r="AG1175" s="297"/>
      <c r="AJ1175" s="298"/>
      <c r="AK1175" s="297"/>
      <c r="AN1175" s="298"/>
      <c r="AR1175" s="298"/>
    </row>
    <row r="1176" spans="2:44" s="290" customFormat="1" x14ac:dyDescent="0.2">
      <c r="B1176" s="302"/>
      <c r="D1176" s="302"/>
      <c r="E1176" s="302"/>
      <c r="K1176" s="303"/>
      <c r="L1176" s="303"/>
      <c r="M1176" s="303"/>
      <c r="AB1176" s="298"/>
      <c r="AC1176" s="297"/>
      <c r="AF1176" s="296"/>
      <c r="AG1176" s="297"/>
      <c r="AJ1176" s="298"/>
      <c r="AK1176" s="297"/>
      <c r="AN1176" s="298"/>
      <c r="AR1176" s="298"/>
    </row>
    <row r="1177" spans="2:44" s="290" customFormat="1" x14ac:dyDescent="0.2">
      <c r="B1177" s="302"/>
      <c r="D1177" s="302"/>
      <c r="E1177" s="302"/>
      <c r="K1177" s="303"/>
      <c r="L1177" s="303"/>
      <c r="M1177" s="303"/>
      <c r="AB1177" s="298"/>
      <c r="AC1177" s="297"/>
      <c r="AF1177" s="296"/>
      <c r="AG1177" s="297"/>
      <c r="AJ1177" s="298"/>
      <c r="AK1177" s="297"/>
      <c r="AN1177" s="298"/>
      <c r="AR1177" s="298"/>
    </row>
    <row r="1178" spans="2:44" s="290" customFormat="1" x14ac:dyDescent="0.2">
      <c r="B1178" s="302"/>
      <c r="D1178" s="302"/>
      <c r="E1178" s="302"/>
      <c r="K1178" s="303"/>
      <c r="L1178" s="303"/>
      <c r="M1178" s="303"/>
      <c r="AB1178" s="298"/>
      <c r="AC1178" s="297"/>
      <c r="AF1178" s="296"/>
      <c r="AG1178" s="297"/>
      <c r="AJ1178" s="298"/>
      <c r="AK1178" s="297"/>
      <c r="AN1178" s="298"/>
      <c r="AR1178" s="298"/>
    </row>
    <row r="1179" spans="2:44" s="290" customFormat="1" x14ac:dyDescent="0.2">
      <c r="B1179" s="302"/>
      <c r="D1179" s="302"/>
      <c r="E1179" s="302"/>
      <c r="K1179" s="303"/>
      <c r="L1179" s="303"/>
      <c r="M1179" s="303"/>
      <c r="AB1179" s="298"/>
      <c r="AC1179" s="297"/>
      <c r="AF1179" s="296"/>
      <c r="AG1179" s="297"/>
      <c r="AJ1179" s="298"/>
      <c r="AK1179" s="297"/>
      <c r="AN1179" s="298"/>
      <c r="AR1179" s="298"/>
    </row>
    <row r="1180" spans="2:44" s="290" customFormat="1" x14ac:dyDescent="0.2">
      <c r="B1180" s="302"/>
      <c r="D1180" s="302"/>
      <c r="E1180" s="302"/>
      <c r="K1180" s="303"/>
      <c r="L1180" s="303"/>
      <c r="M1180" s="303"/>
      <c r="AB1180" s="298"/>
      <c r="AC1180" s="297"/>
      <c r="AF1180" s="296"/>
      <c r="AG1180" s="297"/>
      <c r="AJ1180" s="298"/>
      <c r="AK1180" s="297"/>
      <c r="AN1180" s="298"/>
      <c r="AR1180" s="298"/>
    </row>
    <row r="1181" spans="2:44" s="290" customFormat="1" x14ac:dyDescent="0.2">
      <c r="B1181" s="302"/>
      <c r="D1181" s="302"/>
      <c r="E1181" s="302"/>
      <c r="K1181" s="303"/>
      <c r="L1181" s="303"/>
      <c r="M1181" s="303"/>
      <c r="AB1181" s="298"/>
      <c r="AC1181" s="297"/>
      <c r="AF1181" s="296"/>
      <c r="AG1181" s="297"/>
      <c r="AJ1181" s="298"/>
      <c r="AK1181" s="297"/>
      <c r="AN1181" s="298"/>
      <c r="AR1181" s="298"/>
    </row>
    <row r="1182" spans="2:44" s="290" customFormat="1" x14ac:dyDescent="0.2">
      <c r="B1182" s="302"/>
      <c r="D1182" s="302"/>
      <c r="E1182" s="302"/>
      <c r="K1182" s="303"/>
      <c r="L1182" s="303"/>
      <c r="M1182" s="303"/>
      <c r="AB1182" s="298"/>
      <c r="AC1182" s="297"/>
      <c r="AF1182" s="296"/>
      <c r="AG1182" s="297"/>
      <c r="AJ1182" s="298"/>
      <c r="AK1182" s="297"/>
      <c r="AN1182" s="298"/>
      <c r="AR1182" s="298"/>
    </row>
    <row r="1183" spans="2:44" s="290" customFormat="1" x14ac:dyDescent="0.2">
      <c r="B1183" s="302"/>
      <c r="D1183" s="302"/>
      <c r="E1183" s="302"/>
      <c r="K1183" s="303"/>
      <c r="L1183" s="303"/>
      <c r="M1183" s="303"/>
      <c r="AB1183" s="298"/>
      <c r="AC1183" s="297"/>
      <c r="AF1183" s="296"/>
      <c r="AG1183" s="297"/>
      <c r="AJ1183" s="298"/>
      <c r="AK1183" s="297"/>
      <c r="AN1183" s="298"/>
      <c r="AR1183" s="298"/>
    </row>
    <row r="1184" spans="2:44" s="290" customFormat="1" x14ac:dyDescent="0.2">
      <c r="B1184" s="302"/>
      <c r="D1184" s="302"/>
      <c r="E1184" s="302"/>
      <c r="K1184" s="303"/>
      <c r="L1184" s="303"/>
      <c r="M1184" s="303"/>
      <c r="AB1184" s="298"/>
      <c r="AC1184" s="297"/>
      <c r="AF1184" s="296"/>
      <c r="AG1184" s="297"/>
      <c r="AJ1184" s="298"/>
      <c r="AK1184" s="297"/>
      <c r="AN1184" s="298"/>
      <c r="AR1184" s="298"/>
    </row>
    <row r="1185" spans="2:44" s="290" customFormat="1" x14ac:dyDescent="0.2">
      <c r="B1185" s="302"/>
      <c r="D1185" s="302"/>
      <c r="E1185" s="302"/>
      <c r="K1185" s="303"/>
      <c r="L1185" s="303"/>
      <c r="M1185" s="303"/>
      <c r="AB1185" s="298"/>
      <c r="AC1185" s="297"/>
      <c r="AF1185" s="296"/>
      <c r="AG1185" s="297"/>
      <c r="AJ1185" s="298"/>
      <c r="AK1185" s="297"/>
      <c r="AN1185" s="298"/>
      <c r="AR1185" s="298"/>
    </row>
    <row r="1186" spans="2:44" s="290" customFormat="1" x14ac:dyDescent="0.2">
      <c r="B1186" s="302"/>
      <c r="D1186" s="302"/>
      <c r="E1186" s="302"/>
      <c r="K1186" s="303"/>
      <c r="L1186" s="303"/>
      <c r="M1186" s="303"/>
      <c r="AB1186" s="298"/>
      <c r="AC1186" s="297"/>
      <c r="AF1186" s="296"/>
      <c r="AG1186" s="297"/>
      <c r="AJ1186" s="298"/>
      <c r="AK1186" s="297"/>
      <c r="AN1186" s="298"/>
      <c r="AR1186" s="298"/>
    </row>
    <row r="1187" spans="2:44" s="290" customFormat="1" x14ac:dyDescent="0.2">
      <c r="B1187" s="302"/>
      <c r="D1187" s="302"/>
      <c r="E1187" s="302"/>
      <c r="K1187" s="303"/>
      <c r="L1187" s="303"/>
      <c r="M1187" s="303"/>
      <c r="AB1187" s="298"/>
      <c r="AC1187" s="297"/>
      <c r="AF1187" s="296"/>
      <c r="AG1187" s="297"/>
      <c r="AJ1187" s="298"/>
      <c r="AK1187" s="297"/>
      <c r="AN1187" s="298"/>
      <c r="AR1187" s="298"/>
    </row>
    <row r="1188" spans="2:44" s="290" customFormat="1" x14ac:dyDescent="0.2">
      <c r="B1188" s="302"/>
      <c r="D1188" s="302"/>
      <c r="E1188" s="302"/>
      <c r="K1188" s="303"/>
      <c r="L1188" s="303"/>
      <c r="M1188" s="303"/>
      <c r="AB1188" s="298"/>
      <c r="AC1188" s="297"/>
      <c r="AF1188" s="296"/>
      <c r="AG1188" s="297"/>
      <c r="AJ1188" s="298"/>
      <c r="AK1188" s="297"/>
      <c r="AN1188" s="298"/>
      <c r="AR1188" s="298"/>
    </row>
    <row r="1189" spans="2:44" s="290" customFormat="1" x14ac:dyDescent="0.2">
      <c r="B1189" s="302"/>
      <c r="D1189" s="302"/>
      <c r="E1189" s="302"/>
      <c r="K1189" s="303"/>
      <c r="L1189" s="303"/>
      <c r="M1189" s="303"/>
      <c r="AB1189" s="298"/>
      <c r="AC1189" s="297"/>
      <c r="AF1189" s="296"/>
      <c r="AG1189" s="297"/>
      <c r="AJ1189" s="298"/>
      <c r="AK1189" s="297"/>
      <c r="AN1189" s="298"/>
      <c r="AR1189" s="298"/>
    </row>
    <row r="1190" spans="2:44" s="290" customFormat="1" x14ac:dyDescent="0.2">
      <c r="B1190" s="302"/>
      <c r="D1190" s="302"/>
      <c r="E1190" s="302"/>
      <c r="K1190" s="303"/>
      <c r="L1190" s="303"/>
      <c r="M1190" s="303"/>
      <c r="AB1190" s="298"/>
      <c r="AC1190" s="297"/>
      <c r="AF1190" s="296"/>
      <c r="AG1190" s="297"/>
      <c r="AJ1190" s="298"/>
      <c r="AK1190" s="297"/>
      <c r="AN1190" s="298"/>
      <c r="AR1190" s="298"/>
    </row>
    <row r="1191" spans="2:44" s="290" customFormat="1" x14ac:dyDescent="0.2">
      <c r="B1191" s="302"/>
      <c r="D1191" s="302"/>
      <c r="E1191" s="302"/>
      <c r="K1191" s="303"/>
      <c r="L1191" s="303"/>
      <c r="M1191" s="303"/>
      <c r="AB1191" s="298"/>
      <c r="AC1191" s="297"/>
      <c r="AF1191" s="296"/>
      <c r="AG1191" s="297"/>
      <c r="AJ1191" s="298"/>
      <c r="AK1191" s="297"/>
      <c r="AN1191" s="298"/>
      <c r="AR1191" s="298"/>
    </row>
    <row r="1192" spans="2:44" s="290" customFormat="1" x14ac:dyDescent="0.2">
      <c r="B1192" s="302"/>
      <c r="D1192" s="302"/>
      <c r="E1192" s="302"/>
      <c r="K1192" s="303"/>
      <c r="L1192" s="303"/>
      <c r="M1192" s="303"/>
      <c r="AB1192" s="298"/>
      <c r="AC1192" s="297"/>
      <c r="AF1192" s="296"/>
      <c r="AG1192" s="297"/>
      <c r="AJ1192" s="298"/>
      <c r="AK1192" s="297"/>
      <c r="AN1192" s="298"/>
      <c r="AR1192" s="298"/>
    </row>
    <row r="1193" spans="2:44" s="290" customFormat="1" x14ac:dyDescent="0.2">
      <c r="B1193" s="302"/>
      <c r="D1193" s="302"/>
      <c r="E1193" s="302"/>
      <c r="K1193" s="303"/>
      <c r="L1193" s="303"/>
      <c r="M1193" s="303"/>
      <c r="AB1193" s="298"/>
      <c r="AC1193" s="297"/>
      <c r="AF1193" s="296"/>
      <c r="AG1193" s="297"/>
      <c r="AJ1193" s="298"/>
      <c r="AK1193" s="297"/>
      <c r="AN1193" s="298"/>
      <c r="AR1193" s="298"/>
    </row>
    <row r="1194" spans="2:44" s="290" customFormat="1" x14ac:dyDescent="0.2">
      <c r="B1194" s="302"/>
      <c r="D1194" s="302"/>
      <c r="E1194" s="302"/>
      <c r="K1194" s="303"/>
      <c r="L1194" s="303"/>
      <c r="M1194" s="303"/>
      <c r="AB1194" s="298"/>
      <c r="AC1194" s="297"/>
      <c r="AF1194" s="296"/>
      <c r="AG1194" s="297"/>
      <c r="AJ1194" s="298"/>
      <c r="AK1194" s="297"/>
      <c r="AN1194" s="298"/>
      <c r="AR1194" s="298"/>
    </row>
    <row r="1195" spans="2:44" s="290" customFormat="1" x14ac:dyDescent="0.2">
      <c r="B1195" s="302"/>
      <c r="D1195" s="302"/>
      <c r="E1195" s="302"/>
      <c r="K1195" s="303"/>
      <c r="L1195" s="303"/>
      <c r="M1195" s="303"/>
      <c r="AB1195" s="298"/>
      <c r="AC1195" s="297"/>
      <c r="AF1195" s="296"/>
      <c r="AG1195" s="297"/>
      <c r="AJ1195" s="298"/>
      <c r="AK1195" s="297"/>
      <c r="AN1195" s="298"/>
      <c r="AR1195" s="298"/>
    </row>
    <row r="1196" spans="2:44" s="290" customFormat="1" x14ac:dyDescent="0.2">
      <c r="B1196" s="302"/>
      <c r="D1196" s="302"/>
      <c r="E1196" s="302"/>
      <c r="K1196" s="303"/>
      <c r="L1196" s="303"/>
      <c r="M1196" s="303"/>
      <c r="AB1196" s="298"/>
      <c r="AC1196" s="297"/>
      <c r="AF1196" s="296"/>
      <c r="AG1196" s="297"/>
      <c r="AJ1196" s="298"/>
      <c r="AK1196" s="297"/>
      <c r="AN1196" s="298"/>
      <c r="AR1196" s="298"/>
    </row>
    <row r="1197" spans="2:44" s="290" customFormat="1" x14ac:dyDescent="0.2">
      <c r="B1197" s="302"/>
      <c r="D1197" s="302"/>
      <c r="E1197" s="302"/>
      <c r="K1197" s="303"/>
      <c r="L1197" s="303"/>
      <c r="M1197" s="303"/>
      <c r="AB1197" s="298"/>
      <c r="AC1197" s="297"/>
      <c r="AF1197" s="296"/>
      <c r="AG1197" s="297"/>
      <c r="AJ1197" s="298"/>
      <c r="AK1197" s="297"/>
      <c r="AN1197" s="298"/>
      <c r="AR1197" s="298"/>
    </row>
    <row r="1198" spans="2:44" s="290" customFormat="1" x14ac:dyDescent="0.2">
      <c r="B1198" s="302"/>
      <c r="D1198" s="302"/>
      <c r="E1198" s="302"/>
      <c r="K1198" s="303"/>
      <c r="L1198" s="303"/>
      <c r="M1198" s="303"/>
      <c r="AB1198" s="298"/>
      <c r="AC1198" s="297"/>
      <c r="AF1198" s="296"/>
      <c r="AG1198" s="297"/>
      <c r="AJ1198" s="298"/>
      <c r="AK1198" s="297"/>
      <c r="AN1198" s="298"/>
      <c r="AR1198" s="298"/>
    </row>
    <row r="1199" spans="2:44" s="290" customFormat="1" x14ac:dyDescent="0.2">
      <c r="B1199" s="302"/>
      <c r="D1199" s="302"/>
      <c r="E1199" s="302"/>
      <c r="K1199" s="303"/>
      <c r="L1199" s="303"/>
      <c r="M1199" s="303"/>
      <c r="AB1199" s="298"/>
      <c r="AC1199" s="297"/>
      <c r="AF1199" s="296"/>
      <c r="AG1199" s="297"/>
      <c r="AJ1199" s="298"/>
      <c r="AK1199" s="297"/>
      <c r="AN1199" s="298"/>
      <c r="AR1199" s="298"/>
    </row>
    <row r="1200" spans="2:44" s="290" customFormat="1" x14ac:dyDescent="0.2">
      <c r="B1200" s="302"/>
      <c r="D1200" s="302"/>
      <c r="E1200" s="302"/>
      <c r="K1200" s="303"/>
      <c r="L1200" s="303"/>
      <c r="M1200" s="303"/>
      <c r="AB1200" s="298"/>
      <c r="AC1200" s="297"/>
      <c r="AF1200" s="296"/>
      <c r="AG1200" s="297"/>
      <c r="AJ1200" s="298"/>
      <c r="AK1200" s="297"/>
      <c r="AN1200" s="298"/>
      <c r="AR1200" s="298"/>
    </row>
    <row r="1201" spans="2:44" s="290" customFormat="1" x14ac:dyDescent="0.2">
      <c r="B1201" s="302"/>
      <c r="D1201" s="302"/>
      <c r="E1201" s="302"/>
      <c r="K1201" s="303"/>
      <c r="L1201" s="303"/>
      <c r="M1201" s="303"/>
      <c r="AB1201" s="298"/>
      <c r="AC1201" s="297"/>
      <c r="AF1201" s="296"/>
      <c r="AG1201" s="297"/>
      <c r="AJ1201" s="298"/>
      <c r="AK1201" s="297"/>
      <c r="AN1201" s="298"/>
      <c r="AR1201" s="298"/>
    </row>
    <row r="1202" spans="2:44" s="290" customFormat="1" x14ac:dyDescent="0.2">
      <c r="B1202" s="302"/>
      <c r="D1202" s="302"/>
      <c r="E1202" s="302"/>
      <c r="K1202" s="303"/>
      <c r="L1202" s="303"/>
      <c r="M1202" s="303"/>
      <c r="AB1202" s="298"/>
      <c r="AC1202" s="297"/>
      <c r="AF1202" s="296"/>
      <c r="AG1202" s="297"/>
      <c r="AJ1202" s="298"/>
      <c r="AK1202" s="297"/>
      <c r="AN1202" s="298"/>
      <c r="AR1202" s="298"/>
    </row>
    <row r="1203" spans="2:44" s="290" customFormat="1" x14ac:dyDescent="0.2">
      <c r="B1203" s="302"/>
      <c r="D1203" s="302"/>
      <c r="E1203" s="302"/>
      <c r="K1203" s="303"/>
      <c r="L1203" s="303"/>
      <c r="M1203" s="303"/>
      <c r="AB1203" s="298"/>
      <c r="AC1203" s="297"/>
      <c r="AF1203" s="296"/>
      <c r="AG1203" s="297"/>
      <c r="AJ1203" s="298"/>
      <c r="AK1203" s="297"/>
      <c r="AN1203" s="298"/>
      <c r="AR1203" s="298"/>
    </row>
    <row r="1204" spans="2:44" s="290" customFormat="1" x14ac:dyDescent="0.2">
      <c r="B1204" s="302"/>
      <c r="D1204" s="302"/>
      <c r="E1204" s="302"/>
      <c r="K1204" s="303"/>
      <c r="L1204" s="303"/>
      <c r="M1204" s="303"/>
      <c r="AB1204" s="298"/>
      <c r="AC1204" s="297"/>
      <c r="AF1204" s="296"/>
      <c r="AG1204" s="297"/>
      <c r="AJ1204" s="298"/>
      <c r="AK1204" s="297"/>
      <c r="AN1204" s="298"/>
      <c r="AR1204" s="298"/>
    </row>
    <row r="1205" spans="2:44" s="290" customFormat="1" x14ac:dyDescent="0.2">
      <c r="B1205" s="302"/>
      <c r="D1205" s="302"/>
      <c r="E1205" s="302"/>
      <c r="K1205" s="303"/>
      <c r="L1205" s="303"/>
      <c r="M1205" s="303"/>
      <c r="AB1205" s="298"/>
      <c r="AC1205" s="297"/>
      <c r="AF1205" s="296"/>
      <c r="AG1205" s="297"/>
      <c r="AJ1205" s="298"/>
      <c r="AK1205" s="297"/>
      <c r="AN1205" s="298"/>
      <c r="AR1205" s="298"/>
    </row>
    <row r="1206" spans="2:44" s="290" customFormat="1" x14ac:dyDescent="0.2">
      <c r="B1206" s="302"/>
      <c r="D1206" s="302"/>
      <c r="E1206" s="302"/>
      <c r="K1206" s="303"/>
      <c r="L1206" s="303"/>
      <c r="M1206" s="303"/>
      <c r="AB1206" s="298"/>
      <c r="AC1206" s="297"/>
      <c r="AF1206" s="296"/>
      <c r="AG1206" s="297"/>
      <c r="AJ1206" s="298"/>
      <c r="AK1206" s="297"/>
      <c r="AN1206" s="298"/>
      <c r="AR1206" s="298"/>
    </row>
    <row r="1207" spans="2:44" s="290" customFormat="1" x14ac:dyDescent="0.2">
      <c r="B1207" s="302"/>
      <c r="D1207" s="302"/>
      <c r="E1207" s="302"/>
      <c r="K1207" s="303"/>
      <c r="L1207" s="303"/>
      <c r="M1207" s="303"/>
      <c r="AB1207" s="298"/>
      <c r="AC1207" s="297"/>
      <c r="AF1207" s="296"/>
      <c r="AG1207" s="297"/>
      <c r="AJ1207" s="298"/>
      <c r="AK1207" s="297"/>
      <c r="AN1207" s="298"/>
      <c r="AR1207" s="298"/>
    </row>
    <row r="1208" spans="2:44" s="290" customFormat="1" x14ac:dyDescent="0.2">
      <c r="B1208" s="302"/>
      <c r="D1208" s="302"/>
      <c r="E1208" s="302"/>
      <c r="K1208" s="303"/>
      <c r="L1208" s="303"/>
      <c r="M1208" s="303"/>
      <c r="AB1208" s="298"/>
      <c r="AC1208" s="297"/>
      <c r="AF1208" s="296"/>
      <c r="AG1208" s="297"/>
      <c r="AJ1208" s="298"/>
      <c r="AK1208" s="297"/>
      <c r="AN1208" s="298"/>
      <c r="AR1208" s="298"/>
    </row>
    <row r="1209" spans="2:44" s="290" customFormat="1" x14ac:dyDescent="0.2">
      <c r="B1209" s="302"/>
      <c r="D1209" s="302"/>
      <c r="E1209" s="302"/>
      <c r="K1209" s="303"/>
      <c r="L1209" s="303"/>
      <c r="M1209" s="303"/>
      <c r="AB1209" s="298"/>
      <c r="AC1209" s="297"/>
      <c r="AF1209" s="296"/>
      <c r="AG1209" s="297"/>
      <c r="AJ1209" s="298"/>
      <c r="AK1209" s="297"/>
      <c r="AN1209" s="298"/>
      <c r="AR1209" s="298"/>
    </row>
    <row r="1210" spans="2:44" s="290" customFormat="1" x14ac:dyDescent="0.2">
      <c r="B1210" s="302"/>
      <c r="D1210" s="302"/>
      <c r="E1210" s="302"/>
      <c r="K1210" s="303"/>
      <c r="L1210" s="303"/>
      <c r="M1210" s="303"/>
      <c r="AB1210" s="298"/>
      <c r="AC1210" s="297"/>
      <c r="AF1210" s="296"/>
      <c r="AG1210" s="297"/>
      <c r="AJ1210" s="298"/>
      <c r="AK1210" s="297"/>
      <c r="AN1210" s="298"/>
      <c r="AR1210" s="298"/>
    </row>
    <row r="1211" spans="2:44" s="290" customFormat="1" x14ac:dyDescent="0.2">
      <c r="B1211" s="302"/>
      <c r="D1211" s="302"/>
      <c r="E1211" s="302"/>
      <c r="K1211" s="303"/>
      <c r="L1211" s="303"/>
      <c r="M1211" s="303"/>
      <c r="AB1211" s="298"/>
      <c r="AC1211" s="297"/>
      <c r="AF1211" s="296"/>
      <c r="AG1211" s="297"/>
      <c r="AJ1211" s="298"/>
      <c r="AK1211" s="297"/>
      <c r="AN1211" s="298"/>
      <c r="AR1211" s="298"/>
    </row>
    <row r="1212" spans="2:44" s="290" customFormat="1" x14ac:dyDescent="0.2">
      <c r="B1212" s="302"/>
      <c r="D1212" s="302"/>
      <c r="E1212" s="302"/>
      <c r="K1212" s="303"/>
      <c r="L1212" s="303"/>
      <c r="M1212" s="303"/>
      <c r="AB1212" s="298"/>
      <c r="AC1212" s="297"/>
      <c r="AF1212" s="296"/>
      <c r="AG1212" s="297"/>
      <c r="AJ1212" s="298"/>
      <c r="AK1212" s="297"/>
      <c r="AN1212" s="298"/>
      <c r="AR1212" s="298"/>
    </row>
    <row r="1213" spans="2:44" s="290" customFormat="1" x14ac:dyDescent="0.2">
      <c r="B1213" s="302"/>
      <c r="D1213" s="302"/>
      <c r="E1213" s="302"/>
      <c r="K1213" s="303"/>
      <c r="L1213" s="303"/>
      <c r="M1213" s="303"/>
      <c r="AB1213" s="298"/>
      <c r="AC1213" s="297"/>
      <c r="AF1213" s="296"/>
      <c r="AG1213" s="297"/>
      <c r="AJ1213" s="298"/>
      <c r="AK1213" s="297"/>
      <c r="AN1213" s="298"/>
      <c r="AR1213" s="298"/>
    </row>
    <row r="1214" spans="2:44" s="290" customFormat="1" x14ac:dyDescent="0.2">
      <c r="B1214" s="302"/>
      <c r="D1214" s="302"/>
      <c r="E1214" s="302"/>
      <c r="K1214" s="303"/>
      <c r="L1214" s="303"/>
      <c r="M1214" s="303"/>
      <c r="AB1214" s="298"/>
      <c r="AC1214" s="297"/>
      <c r="AF1214" s="296"/>
      <c r="AG1214" s="297"/>
      <c r="AJ1214" s="298"/>
      <c r="AK1214" s="297"/>
      <c r="AN1214" s="298"/>
      <c r="AR1214" s="298"/>
    </row>
    <row r="1215" spans="2:44" s="290" customFormat="1" x14ac:dyDescent="0.2">
      <c r="B1215" s="302"/>
      <c r="D1215" s="302"/>
      <c r="E1215" s="302"/>
      <c r="K1215" s="303"/>
      <c r="L1215" s="303"/>
      <c r="M1215" s="303"/>
      <c r="AB1215" s="298"/>
      <c r="AC1215" s="297"/>
      <c r="AF1215" s="296"/>
      <c r="AG1215" s="297"/>
      <c r="AJ1215" s="298"/>
      <c r="AK1215" s="297"/>
      <c r="AN1215" s="298"/>
      <c r="AR1215" s="298"/>
    </row>
    <row r="1216" spans="2:44" s="290" customFormat="1" x14ac:dyDescent="0.2">
      <c r="B1216" s="302"/>
      <c r="D1216" s="302"/>
      <c r="E1216" s="302"/>
      <c r="K1216" s="303"/>
      <c r="L1216" s="303"/>
      <c r="M1216" s="303"/>
      <c r="AB1216" s="298"/>
      <c r="AC1216" s="297"/>
      <c r="AF1216" s="296"/>
      <c r="AG1216" s="297"/>
      <c r="AJ1216" s="298"/>
      <c r="AK1216" s="297"/>
      <c r="AN1216" s="298"/>
      <c r="AR1216" s="298"/>
    </row>
    <row r="1217" spans="2:44" s="290" customFormat="1" x14ac:dyDescent="0.2">
      <c r="B1217" s="302"/>
      <c r="D1217" s="302"/>
      <c r="E1217" s="302"/>
      <c r="K1217" s="303"/>
      <c r="L1217" s="303"/>
      <c r="M1217" s="303"/>
      <c r="AB1217" s="298"/>
      <c r="AC1217" s="297"/>
      <c r="AF1217" s="296"/>
      <c r="AG1217" s="297"/>
      <c r="AJ1217" s="298"/>
      <c r="AK1217" s="297"/>
      <c r="AN1217" s="298"/>
      <c r="AR1217" s="298"/>
    </row>
    <row r="1218" spans="2:44" s="290" customFormat="1" x14ac:dyDescent="0.2">
      <c r="B1218" s="302"/>
      <c r="D1218" s="302"/>
      <c r="E1218" s="302"/>
      <c r="K1218" s="303"/>
      <c r="L1218" s="303"/>
      <c r="M1218" s="303"/>
      <c r="AB1218" s="298"/>
      <c r="AC1218" s="297"/>
      <c r="AF1218" s="296"/>
      <c r="AG1218" s="297"/>
      <c r="AJ1218" s="298"/>
      <c r="AK1218" s="297"/>
      <c r="AN1218" s="298"/>
      <c r="AR1218" s="298"/>
    </row>
    <row r="1219" spans="2:44" s="290" customFormat="1" x14ac:dyDescent="0.2">
      <c r="B1219" s="302"/>
      <c r="D1219" s="302"/>
      <c r="E1219" s="302"/>
      <c r="K1219" s="303"/>
      <c r="L1219" s="303"/>
      <c r="M1219" s="303"/>
      <c r="AB1219" s="298"/>
      <c r="AC1219" s="297"/>
      <c r="AF1219" s="296"/>
      <c r="AG1219" s="297"/>
      <c r="AJ1219" s="298"/>
      <c r="AK1219" s="297"/>
      <c r="AN1219" s="298"/>
      <c r="AR1219" s="298"/>
    </row>
    <row r="1220" spans="2:44" s="290" customFormat="1" x14ac:dyDescent="0.2">
      <c r="B1220" s="302"/>
      <c r="D1220" s="302"/>
      <c r="E1220" s="302"/>
      <c r="K1220" s="303"/>
      <c r="L1220" s="303"/>
      <c r="M1220" s="303"/>
      <c r="AB1220" s="298"/>
      <c r="AC1220" s="297"/>
      <c r="AF1220" s="296"/>
      <c r="AG1220" s="297"/>
      <c r="AJ1220" s="298"/>
      <c r="AK1220" s="297"/>
      <c r="AN1220" s="298"/>
      <c r="AR1220" s="298"/>
    </row>
    <row r="1221" spans="2:44" s="290" customFormat="1" x14ac:dyDescent="0.2">
      <c r="B1221" s="302"/>
      <c r="D1221" s="302"/>
      <c r="E1221" s="302"/>
      <c r="K1221" s="303"/>
      <c r="L1221" s="303"/>
      <c r="M1221" s="303"/>
      <c r="AB1221" s="298"/>
      <c r="AC1221" s="297"/>
      <c r="AF1221" s="296"/>
      <c r="AG1221" s="297"/>
      <c r="AJ1221" s="298"/>
      <c r="AK1221" s="297"/>
      <c r="AN1221" s="298"/>
      <c r="AR1221" s="298"/>
    </row>
    <row r="1222" spans="2:44" s="290" customFormat="1" x14ac:dyDescent="0.2">
      <c r="B1222" s="302"/>
      <c r="D1222" s="302"/>
      <c r="E1222" s="302"/>
      <c r="K1222" s="303"/>
      <c r="L1222" s="303"/>
      <c r="M1222" s="303"/>
      <c r="AB1222" s="298"/>
      <c r="AC1222" s="297"/>
      <c r="AF1222" s="296"/>
      <c r="AG1222" s="297"/>
      <c r="AJ1222" s="298"/>
      <c r="AK1222" s="297"/>
      <c r="AN1222" s="298"/>
      <c r="AR1222" s="298"/>
    </row>
    <row r="1223" spans="2:44" s="290" customFormat="1" x14ac:dyDescent="0.2">
      <c r="B1223" s="302"/>
      <c r="D1223" s="302"/>
      <c r="E1223" s="302"/>
      <c r="K1223" s="303"/>
      <c r="L1223" s="303"/>
      <c r="M1223" s="303"/>
      <c r="AB1223" s="298"/>
      <c r="AC1223" s="297"/>
      <c r="AF1223" s="296"/>
      <c r="AG1223" s="297"/>
      <c r="AJ1223" s="298"/>
      <c r="AK1223" s="297"/>
      <c r="AN1223" s="298"/>
      <c r="AR1223" s="298"/>
    </row>
    <row r="1224" spans="2:44" s="290" customFormat="1" x14ac:dyDescent="0.2">
      <c r="B1224" s="302"/>
      <c r="D1224" s="302"/>
      <c r="E1224" s="302"/>
      <c r="K1224" s="303"/>
      <c r="L1224" s="303"/>
      <c r="M1224" s="303"/>
      <c r="AB1224" s="298"/>
      <c r="AC1224" s="297"/>
      <c r="AF1224" s="296"/>
      <c r="AG1224" s="297"/>
      <c r="AJ1224" s="298"/>
      <c r="AK1224" s="297"/>
      <c r="AN1224" s="298"/>
      <c r="AR1224" s="298"/>
    </row>
    <row r="1225" spans="2:44" s="290" customFormat="1" x14ac:dyDescent="0.2">
      <c r="B1225" s="302"/>
      <c r="D1225" s="302"/>
      <c r="E1225" s="302"/>
      <c r="K1225" s="303"/>
      <c r="L1225" s="303"/>
      <c r="M1225" s="303"/>
      <c r="AB1225" s="298"/>
      <c r="AC1225" s="297"/>
      <c r="AF1225" s="296"/>
      <c r="AG1225" s="297"/>
      <c r="AJ1225" s="298"/>
      <c r="AK1225" s="297"/>
      <c r="AN1225" s="298"/>
      <c r="AR1225" s="298"/>
    </row>
    <row r="1226" spans="2:44" s="290" customFormat="1" x14ac:dyDescent="0.2">
      <c r="B1226" s="302"/>
      <c r="D1226" s="302"/>
      <c r="E1226" s="302"/>
      <c r="K1226" s="303"/>
      <c r="L1226" s="303"/>
      <c r="M1226" s="303"/>
      <c r="AB1226" s="298"/>
      <c r="AC1226" s="297"/>
      <c r="AF1226" s="296"/>
      <c r="AG1226" s="297"/>
      <c r="AJ1226" s="298"/>
      <c r="AK1226" s="297"/>
      <c r="AN1226" s="298"/>
      <c r="AR1226" s="298"/>
    </row>
    <row r="1227" spans="2:44" s="290" customFormat="1" x14ac:dyDescent="0.2">
      <c r="B1227" s="302"/>
      <c r="D1227" s="302"/>
      <c r="E1227" s="302"/>
      <c r="K1227" s="303"/>
      <c r="L1227" s="303"/>
      <c r="M1227" s="303"/>
      <c r="AB1227" s="298"/>
      <c r="AC1227" s="297"/>
      <c r="AF1227" s="296"/>
      <c r="AG1227" s="297"/>
      <c r="AJ1227" s="298"/>
      <c r="AK1227" s="297"/>
      <c r="AN1227" s="298"/>
      <c r="AR1227" s="298"/>
    </row>
    <row r="1228" spans="2:44" s="290" customFormat="1" x14ac:dyDescent="0.2">
      <c r="B1228" s="302"/>
      <c r="D1228" s="302"/>
      <c r="E1228" s="302"/>
      <c r="K1228" s="303"/>
      <c r="L1228" s="303"/>
      <c r="M1228" s="303"/>
      <c r="AB1228" s="298"/>
      <c r="AC1228" s="297"/>
      <c r="AF1228" s="296"/>
      <c r="AG1228" s="297"/>
      <c r="AJ1228" s="298"/>
      <c r="AK1228" s="297"/>
      <c r="AN1228" s="298"/>
      <c r="AR1228" s="298"/>
    </row>
    <row r="1229" spans="2:44" s="290" customFormat="1" x14ac:dyDescent="0.2">
      <c r="B1229" s="302"/>
      <c r="D1229" s="302"/>
      <c r="E1229" s="302"/>
      <c r="K1229" s="303"/>
      <c r="L1229" s="303"/>
      <c r="M1229" s="303"/>
      <c r="AB1229" s="298"/>
      <c r="AC1229" s="297"/>
      <c r="AF1229" s="296"/>
      <c r="AG1229" s="297"/>
      <c r="AJ1229" s="298"/>
      <c r="AK1229" s="297"/>
      <c r="AN1229" s="298"/>
      <c r="AR1229" s="298"/>
    </row>
    <row r="1230" spans="2:44" s="290" customFormat="1" x14ac:dyDescent="0.2">
      <c r="B1230" s="302"/>
      <c r="D1230" s="302"/>
      <c r="E1230" s="302"/>
      <c r="K1230" s="303"/>
      <c r="L1230" s="303"/>
      <c r="M1230" s="303"/>
      <c r="AB1230" s="298"/>
      <c r="AC1230" s="297"/>
      <c r="AF1230" s="296"/>
      <c r="AG1230" s="297"/>
      <c r="AJ1230" s="298"/>
      <c r="AK1230" s="297"/>
      <c r="AN1230" s="298"/>
      <c r="AR1230" s="298"/>
    </row>
    <row r="1231" spans="2:44" s="290" customFormat="1" x14ac:dyDescent="0.2">
      <c r="B1231" s="302"/>
      <c r="D1231" s="302"/>
      <c r="E1231" s="302"/>
      <c r="K1231" s="303"/>
      <c r="L1231" s="303"/>
      <c r="M1231" s="303"/>
      <c r="AB1231" s="298"/>
      <c r="AC1231" s="297"/>
      <c r="AF1231" s="296"/>
      <c r="AG1231" s="297"/>
      <c r="AJ1231" s="298"/>
      <c r="AK1231" s="297"/>
      <c r="AN1231" s="298"/>
      <c r="AR1231" s="298"/>
    </row>
    <row r="1232" spans="2:44" s="290" customFormat="1" x14ac:dyDescent="0.2">
      <c r="B1232" s="302"/>
      <c r="D1232" s="302"/>
      <c r="E1232" s="302"/>
      <c r="K1232" s="303"/>
      <c r="L1232" s="303"/>
      <c r="M1232" s="303"/>
      <c r="AB1232" s="298"/>
      <c r="AC1232" s="297"/>
      <c r="AF1232" s="296"/>
      <c r="AG1232" s="297"/>
      <c r="AJ1232" s="298"/>
      <c r="AK1232" s="297"/>
      <c r="AN1232" s="298"/>
      <c r="AR1232" s="298"/>
    </row>
    <row r="1233" spans="2:44" s="290" customFormat="1" x14ac:dyDescent="0.2">
      <c r="B1233" s="302"/>
      <c r="D1233" s="302"/>
      <c r="E1233" s="302"/>
      <c r="K1233" s="303"/>
      <c r="L1233" s="303"/>
      <c r="M1233" s="303"/>
      <c r="AB1233" s="298"/>
      <c r="AC1233" s="297"/>
      <c r="AF1233" s="296"/>
      <c r="AG1233" s="297"/>
      <c r="AJ1233" s="298"/>
      <c r="AK1233" s="297"/>
      <c r="AN1233" s="298"/>
      <c r="AR1233" s="298"/>
    </row>
    <row r="1234" spans="2:44" s="290" customFormat="1" x14ac:dyDescent="0.2">
      <c r="B1234" s="302"/>
      <c r="D1234" s="302"/>
      <c r="E1234" s="302"/>
      <c r="K1234" s="303"/>
      <c r="L1234" s="303"/>
      <c r="M1234" s="303"/>
      <c r="AB1234" s="298"/>
      <c r="AC1234" s="297"/>
      <c r="AF1234" s="296"/>
      <c r="AG1234" s="297"/>
      <c r="AJ1234" s="298"/>
      <c r="AK1234" s="297"/>
      <c r="AN1234" s="298"/>
      <c r="AR1234" s="298"/>
    </row>
    <row r="1235" spans="2:44" s="290" customFormat="1" x14ac:dyDescent="0.2">
      <c r="B1235" s="302"/>
      <c r="D1235" s="302"/>
      <c r="E1235" s="302"/>
      <c r="K1235" s="303"/>
      <c r="L1235" s="303"/>
      <c r="M1235" s="303"/>
      <c r="AB1235" s="298"/>
      <c r="AC1235" s="297"/>
      <c r="AF1235" s="296"/>
      <c r="AG1235" s="297"/>
      <c r="AJ1235" s="298"/>
      <c r="AK1235" s="297"/>
      <c r="AN1235" s="298"/>
      <c r="AR1235" s="298"/>
    </row>
    <row r="1236" spans="2:44" s="290" customFormat="1" x14ac:dyDescent="0.2">
      <c r="B1236" s="302"/>
      <c r="D1236" s="302"/>
      <c r="E1236" s="302"/>
      <c r="K1236" s="303"/>
      <c r="L1236" s="303"/>
      <c r="M1236" s="303"/>
      <c r="AB1236" s="298"/>
      <c r="AC1236" s="297"/>
      <c r="AF1236" s="296"/>
      <c r="AG1236" s="297"/>
      <c r="AJ1236" s="298"/>
      <c r="AK1236" s="297"/>
      <c r="AN1236" s="298"/>
      <c r="AR1236" s="298"/>
    </row>
    <row r="1237" spans="2:44" s="290" customFormat="1" x14ac:dyDescent="0.2">
      <c r="B1237" s="302"/>
      <c r="D1237" s="302"/>
      <c r="E1237" s="302"/>
      <c r="K1237" s="303"/>
      <c r="L1237" s="303"/>
      <c r="M1237" s="303"/>
      <c r="AB1237" s="298"/>
      <c r="AC1237" s="297"/>
      <c r="AF1237" s="296"/>
      <c r="AG1237" s="297"/>
      <c r="AJ1237" s="298"/>
      <c r="AK1237" s="297"/>
      <c r="AN1237" s="298"/>
      <c r="AR1237" s="298"/>
    </row>
    <row r="1238" spans="2:44" s="290" customFormat="1" x14ac:dyDescent="0.2">
      <c r="B1238" s="302"/>
      <c r="D1238" s="302"/>
      <c r="E1238" s="302"/>
      <c r="K1238" s="303"/>
      <c r="L1238" s="303"/>
      <c r="M1238" s="303"/>
      <c r="AB1238" s="298"/>
      <c r="AC1238" s="297"/>
      <c r="AF1238" s="296"/>
      <c r="AG1238" s="297"/>
      <c r="AJ1238" s="298"/>
      <c r="AK1238" s="297"/>
      <c r="AN1238" s="298"/>
      <c r="AR1238" s="298"/>
    </row>
    <row r="1239" spans="2:44" s="290" customFormat="1" x14ac:dyDescent="0.2">
      <c r="B1239" s="302"/>
      <c r="D1239" s="302"/>
      <c r="E1239" s="302"/>
      <c r="K1239" s="303"/>
      <c r="L1239" s="303"/>
      <c r="M1239" s="303"/>
      <c r="AB1239" s="298"/>
      <c r="AC1239" s="297"/>
      <c r="AF1239" s="296"/>
      <c r="AG1239" s="297"/>
      <c r="AJ1239" s="298"/>
      <c r="AK1239" s="297"/>
      <c r="AN1239" s="298"/>
      <c r="AR1239" s="298"/>
    </row>
    <row r="1240" spans="2:44" s="290" customFormat="1" x14ac:dyDescent="0.2">
      <c r="B1240" s="302"/>
      <c r="D1240" s="302"/>
      <c r="E1240" s="302"/>
      <c r="K1240" s="303"/>
      <c r="L1240" s="303"/>
      <c r="M1240" s="303"/>
      <c r="AB1240" s="298"/>
      <c r="AC1240" s="297"/>
      <c r="AF1240" s="296"/>
      <c r="AG1240" s="297"/>
      <c r="AJ1240" s="298"/>
      <c r="AK1240" s="297"/>
      <c r="AN1240" s="298"/>
      <c r="AR1240" s="298"/>
    </row>
    <row r="1241" spans="2:44" s="290" customFormat="1" x14ac:dyDescent="0.2">
      <c r="B1241" s="302"/>
      <c r="D1241" s="302"/>
      <c r="E1241" s="302"/>
      <c r="K1241" s="303"/>
      <c r="L1241" s="303"/>
      <c r="M1241" s="303"/>
      <c r="AB1241" s="298"/>
      <c r="AC1241" s="297"/>
      <c r="AF1241" s="296"/>
      <c r="AG1241" s="297"/>
      <c r="AJ1241" s="298"/>
      <c r="AK1241" s="297"/>
      <c r="AN1241" s="298"/>
      <c r="AR1241" s="298"/>
    </row>
    <row r="1242" spans="2:44" s="290" customFormat="1" x14ac:dyDescent="0.2">
      <c r="B1242" s="302"/>
      <c r="D1242" s="302"/>
      <c r="E1242" s="302"/>
      <c r="K1242" s="303"/>
      <c r="L1242" s="303"/>
      <c r="M1242" s="303"/>
      <c r="AB1242" s="298"/>
      <c r="AC1242" s="297"/>
      <c r="AF1242" s="296"/>
      <c r="AG1242" s="297"/>
      <c r="AJ1242" s="298"/>
      <c r="AK1242" s="297"/>
      <c r="AN1242" s="298"/>
      <c r="AR1242" s="298"/>
    </row>
    <row r="1243" spans="2:44" s="290" customFormat="1" x14ac:dyDescent="0.2">
      <c r="B1243" s="302"/>
      <c r="D1243" s="302"/>
      <c r="E1243" s="302"/>
      <c r="K1243" s="303"/>
      <c r="L1243" s="303"/>
      <c r="M1243" s="303"/>
      <c r="AB1243" s="298"/>
      <c r="AC1243" s="297"/>
      <c r="AF1243" s="296"/>
      <c r="AG1243" s="297"/>
      <c r="AJ1243" s="298"/>
      <c r="AK1243" s="297"/>
      <c r="AN1243" s="298"/>
      <c r="AR1243" s="298"/>
    </row>
    <row r="1244" spans="2:44" s="290" customFormat="1" x14ac:dyDescent="0.2">
      <c r="B1244" s="302"/>
      <c r="D1244" s="302"/>
      <c r="E1244" s="302"/>
      <c r="K1244" s="303"/>
      <c r="L1244" s="303"/>
      <c r="M1244" s="303"/>
      <c r="AB1244" s="298"/>
      <c r="AC1244" s="297"/>
      <c r="AF1244" s="296"/>
      <c r="AG1244" s="297"/>
      <c r="AJ1244" s="298"/>
      <c r="AK1244" s="297"/>
      <c r="AN1244" s="298"/>
      <c r="AR1244" s="298"/>
    </row>
    <row r="1245" spans="2:44" s="290" customFormat="1" x14ac:dyDescent="0.2">
      <c r="B1245" s="302"/>
      <c r="D1245" s="302"/>
      <c r="E1245" s="302"/>
      <c r="K1245" s="303"/>
      <c r="L1245" s="303"/>
      <c r="M1245" s="303"/>
      <c r="AB1245" s="298"/>
      <c r="AC1245" s="297"/>
      <c r="AF1245" s="296"/>
      <c r="AG1245" s="297"/>
      <c r="AJ1245" s="298"/>
      <c r="AK1245" s="297"/>
      <c r="AN1245" s="298"/>
      <c r="AR1245" s="298"/>
    </row>
    <row r="1246" spans="2:44" s="290" customFormat="1" x14ac:dyDescent="0.2">
      <c r="B1246" s="302"/>
      <c r="D1246" s="302"/>
      <c r="E1246" s="302"/>
      <c r="K1246" s="303"/>
      <c r="L1246" s="303"/>
      <c r="M1246" s="303"/>
      <c r="AB1246" s="298"/>
      <c r="AC1246" s="297"/>
      <c r="AF1246" s="296"/>
      <c r="AG1246" s="297"/>
      <c r="AJ1246" s="298"/>
      <c r="AK1246" s="297"/>
      <c r="AN1246" s="298"/>
      <c r="AR1246" s="298"/>
    </row>
    <row r="1247" spans="2:44" s="290" customFormat="1" x14ac:dyDescent="0.2">
      <c r="B1247" s="302"/>
      <c r="D1247" s="302"/>
      <c r="E1247" s="302"/>
      <c r="K1247" s="303"/>
      <c r="L1247" s="303"/>
      <c r="M1247" s="303"/>
      <c r="AB1247" s="298"/>
      <c r="AC1247" s="297"/>
      <c r="AF1247" s="296"/>
      <c r="AG1247" s="297"/>
      <c r="AJ1247" s="298"/>
      <c r="AK1247" s="297"/>
      <c r="AN1247" s="298"/>
      <c r="AR1247" s="298"/>
    </row>
    <row r="1248" spans="2:44" s="290" customFormat="1" x14ac:dyDescent="0.2">
      <c r="B1248" s="302"/>
      <c r="D1248" s="302"/>
      <c r="E1248" s="302"/>
      <c r="K1248" s="303"/>
      <c r="L1248" s="303"/>
      <c r="M1248" s="303"/>
      <c r="AB1248" s="298"/>
      <c r="AC1248" s="297"/>
      <c r="AF1248" s="296"/>
      <c r="AG1248" s="297"/>
      <c r="AJ1248" s="298"/>
      <c r="AK1248" s="297"/>
      <c r="AN1248" s="298"/>
      <c r="AR1248" s="298"/>
    </row>
    <row r="1249" spans="2:44" s="290" customFormat="1" x14ac:dyDescent="0.2">
      <c r="B1249" s="302"/>
      <c r="D1249" s="302"/>
      <c r="E1249" s="302"/>
      <c r="K1249" s="303"/>
      <c r="L1249" s="303"/>
      <c r="M1249" s="303"/>
      <c r="AB1249" s="298"/>
      <c r="AC1249" s="297"/>
      <c r="AF1249" s="296"/>
      <c r="AG1249" s="297"/>
      <c r="AJ1249" s="298"/>
      <c r="AK1249" s="297"/>
      <c r="AN1249" s="298"/>
      <c r="AR1249" s="298"/>
    </row>
    <row r="1250" spans="2:44" s="290" customFormat="1" x14ac:dyDescent="0.2">
      <c r="B1250" s="302"/>
      <c r="D1250" s="302"/>
      <c r="E1250" s="302"/>
      <c r="K1250" s="303"/>
      <c r="L1250" s="303"/>
      <c r="M1250" s="303"/>
      <c r="AB1250" s="298"/>
      <c r="AC1250" s="297"/>
      <c r="AF1250" s="296"/>
      <c r="AG1250" s="297"/>
      <c r="AJ1250" s="298"/>
      <c r="AK1250" s="297"/>
      <c r="AN1250" s="298"/>
      <c r="AR1250" s="298"/>
    </row>
    <row r="1251" spans="2:44" s="290" customFormat="1" x14ac:dyDescent="0.2">
      <c r="B1251" s="302"/>
      <c r="D1251" s="302"/>
      <c r="E1251" s="302"/>
      <c r="K1251" s="303"/>
      <c r="L1251" s="303"/>
      <c r="M1251" s="303"/>
      <c r="AB1251" s="298"/>
      <c r="AC1251" s="297"/>
      <c r="AF1251" s="296"/>
      <c r="AG1251" s="297"/>
      <c r="AJ1251" s="298"/>
      <c r="AK1251" s="297"/>
      <c r="AN1251" s="298"/>
      <c r="AR1251" s="298"/>
    </row>
    <row r="1252" spans="2:44" s="290" customFormat="1" x14ac:dyDescent="0.2">
      <c r="B1252" s="302"/>
      <c r="D1252" s="302"/>
      <c r="E1252" s="302"/>
      <c r="K1252" s="303"/>
      <c r="L1252" s="303"/>
      <c r="M1252" s="303"/>
      <c r="AB1252" s="298"/>
      <c r="AC1252" s="297"/>
      <c r="AF1252" s="296"/>
      <c r="AG1252" s="297"/>
      <c r="AJ1252" s="298"/>
      <c r="AK1252" s="297"/>
      <c r="AN1252" s="298"/>
      <c r="AR1252" s="298"/>
    </row>
    <row r="1253" spans="2:44" s="290" customFormat="1" x14ac:dyDescent="0.2">
      <c r="B1253" s="302"/>
      <c r="D1253" s="302"/>
      <c r="E1253" s="302"/>
      <c r="K1253" s="303"/>
      <c r="L1253" s="303"/>
      <c r="M1253" s="303"/>
      <c r="AB1253" s="298"/>
      <c r="AC1253" s="297"/>
      <c r="AF1253" s="296"/>
      <c r="AG1253" s="297"/>
      <c r="AJ1253" s="298"/>
      <c r="AK1253" s="297"/>
      <c r="AN1253" s="298"/>
      <c r="AR1253" s="298"/>
    </row>
    <row r="1254" spans="2:44" s="290" customFormat="1" x14ac:dyDescent="0.2">
      <c r="B1254" s="302"/>
      <c r="D1254" s="302"/>
      <c r="E1254" s="302"/>
      <c r="K1254" s="303"/>
      <c r="L1254" s="303"/>
      <c r="M1254" s="303"/>
      <c r="AB1254" s="298"/>
      <c r="AC1254" s="297"/>
      <c r="AF1254" s="296"/>
      <c r="AG1254" s="297"/>
      <c r="AJ1254" s="298"/>
      <c r="AK1254" s="297"/>
      <c r="AN1254" s="298"/>
      <c r="AR1254" s="298"/>
    </row>
    <row r="1255" spans="2:44" s="290" customFormat="1" x14ac:dyDescent="0.2">
      <c r="B1255" s="302"/>
      <c r="D1255" s="302"/>
      <c r="E1255" s="302"/>
      <c r="K1255" s="303"/>
      <c r="L1255" s="303"/>
      <c r="M1255" s="303"/>
      <c r="AB1255" s="298"/>
      <c r="AC1255" s="297"/>
      <c r="AF1255" s="296"/>
      <c r="AG1255" s="297"/>
      <c r="AJ1255" s="298"/>
      <c r="AK1255" s="297"/>
      <c r="AN1255" s="298"/>
      <c r="AR1255" s="298"/>
    </row>
    <row r="1256" spans="2:44" s="290" customFormat="1" x14ac:dyDescent="0.2">
      <c r="B1256" s="302"/>
      <c r="D1256" s="302"/>
      <c r="E1256" s="302"/>
      <c r="K1256" s="303"/>
      <c r="L1256" s="303"/>
      <c r="M1256" s="303"/>
      <c r="AB1256" s="298"/>
      <c r="AC1256" s="297"/>
      <c r="AF1256" s="296"/>
      <c r="AG1256" s="297"/>
      <c r="AJ1256" s="298"/>
      <c r="AK1256" s="297"/>
      <c r="AN1256" s="298"/>
      <c r="AR1256" s="298"/>
    </row>
    <row r="1257" spans="2:44" s="290" customFormat="1" x14ac:dyDescent="0.2">
      <c r="B1257" s="302"/>
      <c r="D1257" s="302"/>
      <c r="E1257" s="302"/>
      <c r="K1257" s="303"/>
      <c r="L1257" s="303"/>
      <c r="M1257" s="303"/>
      <c r="AB1257" s="298"/>
      <c r="AC1257" s="297"/>
      <c r="AF1257" s="296"/>
      <c r="AG1257" s="297"/>
      <c r="AJ1257" s="298"/>
      <c r="AK1257" s="297"/>
      <c r="AN1257" s="298"/>
      <c r="AR1257" s="298"/>
    </row>
    <row r="1258" spans="2:44" s="290" customFormat="1" x14ac:dyDescent="0.2">
      <c r="B1258" s="302"/>
      <c r="D1258" s="302"/>
      <c r="E1258" s="302"/>
      <c r="K1258" s="303"/>
      <c r="L1258" s="303"/>
      <c r="M1258" s="303"/>
      <c r="AB1258" s="298"/>
      <c r="AC1258" s="297"/>
      <c r="AF1258" s="296"/>
      <c r="AG1258" s="297"/>
      <c r="AJ1258" s="298"/>
      <c r="AK1258" s="297"/>
      <c r="AN1258" s="298"/>
      <c r="AR1258" s="298"/>
    </row>
    <row r="1259" spans="2:44" s="290" customFormat="1" x14ac:dyDescent="0.2">
      <c r="B1259" s="302"/>
      <c r="D1259" s="302"/>
      <c r="E1259" s="302"/>
      <c r="K1259" s="303"/>
      <c r="L1259" s="303"/>
      <c r="M1259" s="303"/>
      <c r="AB1259" s="298"/>
      <c r="AC1259" s="297"/>
      <c r="AF1259" s="296"/>
      <c r="AG1259" s="297"/>
      <c r="AJ1259" s="298"/>
      <c r="AK1259" s="297"/>
      <c r="AN1259" s="298"/>
      <c r="AR1259" s="298"/>
    </row>
    <row r="1260" spans="2:44" s="290" customFormat="1" x14ac:dyDescent="0.2">
      <c r="B1260" s="302"/>
      <c r="D1260" s="302"/>
      <c r="E1260" s="302"/>
      <c r="K1260" s="303"/>
      <c r="L1260" s="303"/>
      <c r="M1260" s="303"/>
      <c r="AB1260" s="298"/>
      <c r="AC1260" s="297"/>
      <c r="AF1260" s="296"/>
      <c r="AG1260" s="297"/>
      <c r="AJ1260" s="298"/>
      <c r="AK1260" s="297"/>
      <c r="AN1260" s="298"/>
      <c r="AR1260" s="298"/>
    </row>
    <row r="1261" spans="2:44" s="290" customFormat="1" x14ac:dyDescent="0.2">
      <c r="B1261" s="302"/>
      <c r="D1261" s="302"/>
      <c r="E1261" s="302"/>
      <c r="K1261" s="303"/>
      <c r="L1261" s="303"/>
      <c r="M1261" s="303"/>
      <c r="AB1261" s="298"/>
      <c r="AC1261" s="297"/>
      <c r="AF1261" s="296"/>
      <c r="AG1261" s="297"/>
      <c r="AJ1261" s="298"/>
      <c r="AK1261" s="297"/>
      <c r="AN1261" s="298"/>
      <c r="AR1261" s="298"/>
    </row>
    <row r="1262" spans="2:44" s="290" customFormat="1" x14ac:dyDescent="0.2">
      <c r="B1262" s="302"/>
      <c r="D1262" s="302"/>
      <c r="E1262" s="302"/>
      <c r="K1262" s="303"/>
      <c r="L1262" s="303"/>
      <c r="M1262" s="303"/>
      <c r="AB1262" s="298"/>
      <c r="AC1262" s="297"/>
      <c r="AF1262" s="296"/>
      <c r="AG1262" s="297"/>
      <c r="AJ1262" s="298"/>
      <c r="AK1262" s="297"/>
      <c r="AN1262" s="298"/>
      <c r="AR1262" s="298"/>
    </row>
    <row r="1263" spans="2:44" s="290" customFormat="1" x14ac:dyDescent="0.2">
      <c r="B1263" s="302"/>
      <c r="D1263" s="302"/>
      <c r="E1263" s="302"/>
      <c r="K1263" s="303"/>
      <c r="L1263" s="303"/>
      <c r="M1263" s="303"/>
      <c r="AB1263" s="298"/>
      <c r="AC1263" s="297"/>
      <c r="AF1263" s="296"/>
      <c r="AG1263" s="297"/>
      <c r="AJ1263" s="298"/>
      <c r="AK1263" s="297"/>
      <c r="AN1263" s="298"/>
      <c r="AR1263" s="298"/>
    </row>
    <row r="1264" spans="2:44" s="290" customFormat="1" x14ac:dyDescent="0.2">
      <c r="B1264" s="302"/>
      <c r="D1264" s="302"/>
      <c r="E1264" s="302"/>
      <c r="K1264" s="303"/>
      <c r="L1264" s="303"/>
      <c r="M1264" s="303"/>
      <c r="AB1264" s="298"/>
      <c r="AC1264" s="297"/>
      <c r="AF1264" s="296"/>
      <c r="AG1264" s="297"/>
      <c r="AJ1264" s="298"/>
      <c r="AK1264" s="297"/>
      <c r="AN1264" s="298"/>
      <c r="AR1264" s="298"/>
    </row>
    <row r="1265" spans="2:44" s="290" customFormat="1" x14ac:dyDescent="0.2">
      <c r="B1265" s="302"/>
      <c r="D1265" s="302"/>
      <c r="E1265" s="302"/>
      <c r="K1265" s="303"/>
      <c r="L1265" s="303"/>
      <c r="M1265" s="303"/>
      <c r="AB1265" s="298"/>
      <c r="AC1265" s="297"/>
      <c r="AF1265" s="296"/>
      <c r="AG1265" s="297"/>
      <c r="AJ1265" s="298"/>
      <c r="AK1265" s="297"/>
      <c r="AN1265" s="298"/>
      <c r="AR1265" s="298"/>
    </row>
    <row r="1266" spans="2:44" s="290" customFormat="1" x14ac:dyDescent="0.2">
      <c r="B1266" s="302"/>
      <c r="D1266" s="302"/>
      <c r="E1266" s="302"/>
      <c r="K1266" s="303"/>
      <c r="L1266" s="303"/>
      <c r="M1266" s="303"/>
      <c r="AB1266" s="298"/>
      <c r="AC1266" s="297"/>
      <c r="AF1266" s="296"/>
      <c r="AG1266" s="297"/>
      <c r="AJ1266" s="298"/>
      <c r="AK1266" s="297"/>
      <c r="AN1266" s="298"/>
      <c r="AR1266" s="298"/>
    </row>
    <row r="1267" spans="2:44" s="290" customFormat="1" x14ac:dyDescent="0.2">
      <c r="B1267" s="302"/>
      <c r="D1267" s="302"/>
      <c r="E1267" s="302"/>
      <c r="K1267" s="303"/>
      <c r="L1267" s="303"/>
      <c r="M1267" s="303"/>
      <c r="AB1267" s="298"/>
      <c r="AC1267" s="297"/>
      <c r="AF1267" s="296"/>
      <c r="AG1267" s="297"/>
      <c r="AJ1267" s="298"/>
      <c r="AK1267" s="297"/>
      <c r="AN1267" s="298"/>
      <c r="AR1267" s="298"/>
    </row>
    <row r="1268" spans="2:44" s="290" customFormat="1" x14ac:dyDescent="0.2">
      <c r="B1268" s="302"/>
      <c r="D1268" s="302"/>
      <c r="E1268" s="302"/>
      <c r="K1268" s="303"/>
      <c r="L1268" s="303"/>
      <c r="M1268" s="303"/>
      <c r="AB1268" s="298"/>
      <c r="AC1268" s="297"/>
      <c r="AF1268" s="296"/>
      <c r="AG1268" s="297"/>
      <c r="AJ1268" s="298"/>
      <c r="AK1268" s="297"/>
      <c r="AN1268" s="298"/>
      <c r="AR1268" s="298"/>
    </row>
    <row r="1269" spans="2:44" s="290" customFormat="1" x14ac:dyDescent="0.2">
      <c r="B1269" s="302"/>
      <c r="D1269" s="302"/>
      <c r="E1269" s="302"/>
      <c r="K1269" s="303"/>
      <c r="L1269" s="303"/>
      <c r="M1269" s="303"/>
      <c r="AB1269" s="298"/>
      <c r="AC1269" s="297"/>
      <c r="AF1269" s="296"/>
      <c r="AG1269" s="297"/>
      <c r="AJ1269" s="298"/>
      <c r="AK1269" s="297"/>
      <c r="AN1269" s="298"/>
      <c r="AR1269" s="298"/>
    </row>
    <row r="1270" spans="2:44" s="290" customFormat="1" x14ac:dyDescent="0.2">
      <c r="B1270" s="302"/>
      <c r="D1270" s="302"/>
      <c r="E1270" s="302"/>
      <c r="K1270" s="303"/>
      <c r="L1270" s="303"/>
      <c r="M1270" s="303"/>
      <c r="AB1270" s="298"/>
      <c r="AC1270" s="297"/>
      <c r="AF1270" s="296"/>
      <c r="AG1270" s="297"/>
      <c r="AJ1270" s="298"/>
      <c r="AK1270" s="297"/>
      <c r="AN1270" s="298"/>
      <c r="AR1270" s="298"/>
    </row>
    <row r="1271" spans="2:44" s="290" customFormat="1" x14ac:dyDescent="0.2">
      <c r="B1271" s="302"/>
      <c r="D1271" s="302"/>
      <c r="E1271" s="302"/>
      <c r="K1271" s="303"/>
      <c r="L1271" s="303"/>
      <c r="M1271" s="303"/>
      <c r="AB1271" s="298"/>
      <c r="AC1271" s="297"/>
      <c r="AF1271" s="296"/>
      <c r="AG1271" s="297"/>
      <c r="AJ1271" s="298"/>
      <c r="AK1271" s="297"/>
      <c r="AN1271" s="298"/>
      <c r="AR1271" s="298"/>
    </row>
    <row r="1272" spans="2:44" s="290" customFormat="1" x14ac:dyDescent="0.2">
      <c r="B1272" s="302"/>
      <c r="D1272" s="302"/>
      <c r="E1272" s="302"/>
      <c r="K1272" s="303"/>
      <c r="L1272" s="303"/>
      <c r="M1272" s="303"/>
      <c r="AB1272" s="298"/>
      <c r="AC1272" s="297"/>
      <c r="AF1272" s="296"/>
      <c r="AG1272" s="297"/>
      <c r="AJ1272" s="298"/>
      <c r="AK1272" s="297"/>
      <c r="AN1272" s="298"/>
      <c r="AR1272" s="298"/>
    </row>
    <row r="1273" spans="2:44" s="290" customFormat="1" x14ac:dyDescent="0.2">
      <c r="B1273" s="302"/>
      <c r="D1273" s="302"/>
      <c r="E1273" s="302"/>
      <c r="K1273" s="303"/>
      <c r="L1273" s="303"/>
      <c r="M1273" s="303"/>
      <c r="AB1273" s="298"/>
      <c r="AC1273" s="297"/>
      <c r="AF1273" s="296"/>
      <c r="AG1273" s="297"/>
      <c r="AJ1273" s="298"/>
      <c r="AK1273" s="297"/>
      <c r="AN1273" s="298"/>
      <c r="AR1273" s="298"/>
    </row>
    <row r="1274" spans="2:44" s="290" customFormat="1" x14ac:dyDescent="0.2">
      <c r="B1274" s="302"/>
      <c r="D1274" s="302"/>
      <c r="E1274" s="302"/>
      <c r="K1274" s="303"/>
      <c r="L1274" s="303"/>
      <c r="M1274" s="303"/>
      <c r="AB1274" s="298"/>
      <c r="AC1274" s="297"/>
      <c r="AF1274" s="296"/>
      <c r="AG1274" s="297"/>
      <c r="AJ1274" s="298"/>
      <c r="AK1274" s="297"/>
      <c r="AN1274" s="298"/>
      <c r="AR1274" s="298"/>
    </row>
    <row r="1275" spans="2:44" s="290" customFormat="1" x14ac:dyDescent="0.2">
      <c r="B1275" s="302"/>
      <c r="D1275" s="302"/>
      <c r="E1275" s="302"/>
      <c r="K1275" s="303"/>
      <c r="L1275" s="303"/>
      <c r="M1275" s="303"/>
      <c r="AB1275" s="298"/>
      <c r="AC1275" s="297"/>
      <c r="AF1275" s="296"/>
      <c r="AG1275" s="297"/>
      <c r="AJ1275" s="298"/>
      <c r="AK1275" s="297"/>
      <c r="AN1275" s="298"/>
      <c r="AR1275" s="298"/>
    </row>
    <row r="1276" spans="2:44" s="290" customFormat="1" x14ac:dyDescent="0.2">
      <c r="B1276" s="302"/>
      <c r="D1276" s="302"/>
      <c r="E1276" s="302"/>
      <c r="K1276" s="303"/>
      <c r="L1276" s="303"/>
      <c r="M1276" s="303"/>
      <c r="AB1276" s="298"/>
      <c r="AC1276" s="297"/>
      <c r="AF1276" s="296"/>
      <c r="AG1276" s="297"/>
      <c r="AJ1276" s="298"/>
      <c r="AK1276" s="297"/>
      <c r="AN1276" s="298"/>
      <c r="AR1276" s="298"/>
    </row>
    <row r="1277" spans="2:44" s="290" customFormat="1" x14ac:dyDescent="0.2">
      <c r="B1277" s="302"/>
      <c r="D1277" s="302"/>
      <c r="E1277" s="302"/>
      <c r="K1277" s="303"/>
      <c r="L1277" s="303"/>
      <c r="M1277" s="303"/>
      <c r="AB1277" s="298"/>
      <c r="AC1277" s="297"/>
      <c r="AF1277" s="296"/>
      <c r="AG1277" s="297"/>
      <c r="AJ1277" s="298"/>
      <c r="AK1277" s="297"/>
      <c r="AN1277" s="298"/>
      <c r="AR1277" s="298"/>
    </row>
    <row r="1278" spans="2:44" s="290" customFormat="1" x14ac:dyDescent="0.2">
      <c r="B1278" s="302"/>
      <c r="D1278" s="302"/>
      <c r="E1278" s="302"/>
      <c r="K1278" s="303"/>
      <c r="L1278" s="303"/>
      <c r="M1278" s="303"/>
      <c r="AB1278" s="298"/>
      <c r="AC1278" s="297"/>
      <c r="AF1278" s="296"/>
      <c r="AG1278" s="297"/>
      <c r="AJ1278" s="298"/>
      <c r="AK1278" s="297"/>
      <c r="AN1278" s="298"/>
      <c r="AR1278" s="298"/>
    </row>
    <row r="1279" spans="2:44" s="290" customFormat="1" x14ac:dyDescent="0.2">
      <c r="B1279" s="302"/>
      <c r="D1279" s="302"/>
      <c r="E1279" s="302"/>
      <c r="K1279" s="303"/>
      <c r="L1279" s="303"/>
      <c r="M1279" s="303"/>
      <c r="AB1279" s="298"/>
      <c r="AC1279" s="297"/>
      <c r="AF1279" s="296"/>
      <c r="AG1279" s="297"/>
      <c r="AJ1279" s="298"/>
      <c r="AK1279" s="297"/>
      <c r="AN1279" s="298"/>
      <c r="AR1279" s="298"/>
    </row>
    <row r="1280" spans="2:44" s="290" customFormat="1" x14ac:dyDescent="0.2">
      <c r="B1280" s="302"/>
      <c r="D1280" s="302"/>
      <c r="E1280" s="302"/>
      <c r="K1280" s="303"/>
      <c r="L1280" s="303"/>
      <c r="M1280" s="303"/>
      <c r="AB1280" s="298"/>
      <c r="AC1280" s="297"/>
      <c r="AF1280" s="296"/>
      <c r="AG1280" s="297"/>
      <c r="AJ1280" s="298"/>
      <c r="AK1280" s="297"/>
      <c r="AN1280" s="298"/>
      <c r="AR1280" s="298"/>
    </row>
    <row r="1281" spans="2:44" s="290" customFormat="1" x14ac:dyDescent="0.2">
      <c r="B1281" s="302"/>
      <c r="D1281" s="302"/>
      <c r="E1281" s="302"/>
      <c r="K1281" s="303"/>
      <c r="L1281" s="303"/>
      <c r="M1281" s="303"/>
      <c r="AB1281" s="298"/>
      <c r="AC1281" s="297"/>
      <c r="AF1281" s="296"/>
      <c r="AG1281" s="297"/>
      <c r="AJ1281" s="298"/>
      <c r="AK1281" s="297"/>
      <c r="AN1281" s="298"/>
      <c r="AR1281" s="298"/>
    </row>
    <row r="1282" spans="2:44" s="290" customFormat="1" x14ac:dyDescent="0.2">
      <c r="B1282" s="302"/>
      <c r="D1282" s="302"/>
      <c r="E1282" s="302"/>
      <c r="K1282" s="303"/>
      <c r="L1282" s="303"/>
      <c r="M1282" s="303"/>
      <c r="AB1282" s="298"/>
      <c r="AC1282" s="297"/>
      <c r="AF1282" s="296"/>
      <c r="AG1282" s="297"/>
      <c r="AJ1282" s="298"/>
      <c r="AK1282" s="297"/>
      <c r="AN1282" s="298"/>
      <c r="AR1282" s="298"/>
    </row>
    <row r="1283" spans="2:44" s="290" customFormat="1" x14ac:dyDescent="0.2">
      <c r="B1283" s="302"/>
      <c r="D1283" s="302"/>
      <c r="E1283" s="302"/>
      <c r="K1283" s="303"/>
      <c r="L1283" s="303"/>
      <c r="M1283" s="303"/>
      <c r="AB1283" s="298"/>
      <c r="AC1283" s="297"/>
      <c r="AF1283" s="296"/>
      <c r="AG1283" s="297"/>
      <c r="AJ1283" s="298"/>
      <c r="AK1283" s="297"/>
      <c r="AN1283" s="298"/>
      <c r="AR1283" s="298"/>
    </row>
    <row r="1284" spans="2:44" s="290" customFormat="1" x14ac:dyDescent="0.2">
      <c r="B1284" s="302"/>
      <c r="D1284" s="302"/>
      <c r="E1284" s="302"/>
      <c r="K1284" s="303"/>
      <c r="L1284" s="303"/>
      <c r="M1284" s="303"/>
      <c r="AB1284" s="298"/>
      <c r="AC1284" s="297"/>
      <c r="AF1284" s="296"/>
      <c r="AG1284" s="297"/>
      <c r="AJ1284" s="298"/>
      <c r="AK1284" s="297"/>
      <c r="AN1284" s="298"/>
      <c r="AR1284" s="298"/>
    </row>
    <row r="1285" spans="2:44" s="290" customFormat="1" x14ac:dyDescent="0.2">
      <c r="B1285" s="302"/>
      <c r="D1285" s="302"/>
      <c r="E1285" s="302"/>
      <c r="K1285" s="303"/>
      <c r="L1285" s="303"/>
      <c r="M1285" s="303"/>
      <c r="AB1285" s="298"/>
      <c r="AC1285" s="297"/>
      <c r="AF1285" s="296"/>
      <c r="AG1285" s="297"/>
      <c r="AJ1285" s="298"/>
      <c r="AK1285" s="297"/>
      <c r="AN1285" s="298"/>
      <c r="AR1285" s="298"/>
    </row>
    <row r="1286" spans="2:44" s="290" customFormat="1" x14ac:dyDescent="0.2">
      <c r="B1286" s="302"/>
      <c r="D1286" s="302"/>
      <c r="E1286" s="302"/>
      <c r="K1286" s="303"/>
      <c r="L1286" s="303"/>
      <c r="M1286" s="303"/>
      <c r="AB1286" s="298"/>
      <c r="AC1286" s="297"/>
      <c r="AF1286" s="296"/>
      <c r="AG1286" s="297"/>
      <c r="AJ1286" s="298"/>
      <c r="AK1286" s="297"/>
      <c r="AN1286" s="298"/>
      <c r="AR1286" s="298"/>
    </row>
    <row r="1287" spans="2:44" s="290" customFormat="1" x14ac:dyDescent="0.2">
      <c r="B1287" s="302"/>
      <c r="D1287" s="302"/>
      <c r="E1287" s="302"/>
      <c r="K1287" s="303"/>
      <c r="L1287" s="303"/>
      <c r="M1287" s="303"/>
      <c r="AB1287" s="298"/>
      <c r="AC1287" s="297"/>
      <c r="AF1287" s="296"/>
      <c r="AG1287" s="297"/>
      <c r="AJ1287" s="298"/>
      <c r="AK1287" s="297"/>
      <c r="AN1287" s="298"/>
      <c r="AR1287" s="298"/>
    </row>
    <row r="1288" spans="2:44" s="290" customFormat="1" x14ac:dyDescent="0.2">
      <c r="B1288" s="302"/>
      <c r="D1288" s="302"/>
      <c r="E1288" s="302"/>
      <c r="K1288" s="303"/>
      <c r="L1288" s="303"/>
      <c r="M1288" s="303"/>
      <c r="AB1288" s="298"/>
      <c r="AC1288" s="297"/>
      <c r="AF1288" s="296"/>
      <c r="AG1288" s="297"/>
      <c r="AJ1288" s="298"/>
      <c r="AK1288" s="297"/>
      <c r="AN1288" s="298"/>
      <c r="AR1288" s="298"/>
    </row>
    <row r="1289" spans="2:44" s="290" customFormat="1" x14ac:dyDescent="0.2">
      <c r="B1289" s="302"/>
      <c r="D1289" s="302"/>
      <c r="E1289" s="302"/>
      <c r="K1289" s="303"/>
      <c r="L1289" s="303"/>
      <c r="M1289" s="303"/>
      <c r="AB1289" s="298"/>
      <c r="AC1289" s="297"/>
      <c r="AF1289" s="296"/>
      <c r="AG1289" s="297"/>
      <c r="AJ1289" s="298"/>
      <c r="AK1289" s="297"/>
      <c r="AN1289" s="298"/>
      <c r="AR1289" s="298"/>
    </row>
    <row r="1290" spans="2:44" s="290" customFormat="1" x14ac:dyDescent="0.2">
      <c r="B1290" s="302"/>
      <c r="D1290" s="302"/>
      <c r="E1290" s="302"/>
      <c r="K1290" s="303"/>
      <c r="L1290" s="303"/>
      <c r="M1290" s="303"/>
      <c r="AB1290" s="298"/>
      <c r="AC1290" s="297"/>
      <c r="AF1290" s="296"/>
      <c r="AG1290" s="297"/>
      <c r="AJ1290" s="298"/>
      <c r="AK1290" s="297"/>
      <c r="AN1290" s="298"/>
      <c r="AR1290" s="298"/>
    </row>
    <row r="1291" spans="2:44" s="290" customFormat="1" x14ac:dyDescent="0.2">
      <c r="B1291" s="302"/>
      <c r="D1291" s="302"/>
      <c r="E1291" s="302"/>
      <c r="K1291" s="303"/>
      <c r="L1291" s="303"/>
      <c r="M1291" s="303"/>
      <c r="AB1291" s="298"/>
      <c r="AC1291" s="297"/>
      <c r="AF1291" s="296"/>
      <c r="AG1291" s="297"/>
      <c r="AJ1291" s="298"/>
      <c r="AK1291" s="297"/>
      <c r="AN1291" s="298"/>
      <c r="AR1291" s="298"/>
    </row>
    <row r="1292" spans="2:44" s="290" customFormat="1" x14ac:dyDescent="0.2">
      <c r="B1292" s="302"/>
      <c r="D1292" s="302"/>
      <c r="E1292" s="302"/>
      <c r="K1292" s="303"/>
      <c r="L1292" s="303"/>
      <c r="M1292" s="303"/>
      <c r="AB1292" s="298"/>
      <c r="AC1292" s="297"/>
      <c r="AF1292" s="296"/>
      <c r="AG1292" s="297"/>
      <c r="AJ1292" s="298"/>
      <c r="AK1292" s="297"/>
      <c r="AN1292" s="298"/>
      <c r="AR1292" s="298"/>
    </row>
    <row r="1293" spans="2:44" s="290" customFormat="1" x14ac:dyDescent="0.2">
      <c r="B1293" s="302"/>
      <c r="D1293" s="302"/>
      <c r="E1293" s="302"/>
      <c r="K1293" s="303"/>
      <c r="L1293" s="303"/>
      <c r="M1293" s="303"/>
      <c r="AB1293" s="298"/>
      <c r="AC1293" s="297"/>
      <c r="AF1293" s="296"/>
      <c r="AG1293" s="297"/>
      <c r="AJ1293" s="298"/>
      <c r="AK1293" s="297"/>
      <c r="AN1293" s="298"/>
      <c r="AR1293" s="298"/>
    </row>
    <row r="1294" spans="2:44" s="290" customFormat="1" x14ac:dyDescent="0.2">
      <c r="B1294" s="302"/>
      <c r="D1294" s="302"/>
      <c r="E1294" s="302"/>
      <c r="K1294" s="303"/>
      <c r="L1294" s="303"/>
      <c r="M1294" s="303"/>
      <c r="AB1294" s="298"/>
      <c r="AC1294" s="297"/>
      <c r="AF1294" s="296"/>
      <c r="AG1294" s="297"/>
      <c r="AJ1294" s="298"/>
      <c r="AK1294" s="297"/>
      <c r="AN1294" s="298"/>
      <c r="AR1294" s="298"/>
    </row>
    <row r="1295" spans="2:44" s="290" customFormat="1" x14ac:dyDescent="0.2">
      <c r="B1295" s="302"/>
      <c r="D1295" s="302"/>
      <c r="E1295" s="302"/>
      <c r="K1295" s="303"/>
      <c r="L1295" s="303"/>
      <c r="M1295" s="303"/>
      <c r="AB1295" s="298"/>
      <c r="AC1295" s="297"/>
      <c r="AF1295" s="296"/>
      <c r="AG1295" s="297"/>
      <c r="AJ1295" s="298"/>
      <c r="AK1295" s="297"/>
      <c r="AN1295" s="298"/>
      <c r="AR1295" s="298"/>
    </row>
    <row r="1296" spans="2:44" s="290" customFormat="1" x14ac:dyDescent="0.2">
      <c r="B1296" s="302"/>
      <c r="D1296" s="302"/>
      <c r="E1296" s="302"/>
      <c r="K1296" s="303"/>
      <c r="L1296" s="303"/>
      <c r="M1296" s="303"/>
      <c r="AB1296" s="298"/>
      <c r="AC1296" s="297"/>
      <c r="AF1296" s="296"/>
      <c r="AG1296" s="297"/>
      <c r="AJ1296" s="298"/>
      <c r="AK1296" s="297"/>
      <c r="AN1296" s="298"/>
      <c r="AR1296" s="298"/>
    </row>
    <row r="1297" spans="2:44" s="290" customFormat="1" x14ac:dyDescent="0.2">
      <c r="B1297" s="302"/>
      <c r="D1297" s="302"/>
      <c r="E1297" s="302"/>
      <c r="K1297" s="303"/>
      <c r="L1297" s="303"/>
      <c r="M1297" s="303"/>
      <c r="AB1297" s="298"/>
      <c r="AC1297" s="297"/>
      <c r="AF1297" s="296"/>
      <c r="AG1297" s="297"/>
      <c r="AJ1297" s="298"/>
      <c r="AK1297" s="297"/>
      <c r="AN1297" s="298"/>
      <c r="AR1297" s="298"/>
    </row>
    <row r="1298" spans="2:44" s="290" customFormat="1" x14ac:dyDescent="0.2">
      <c r="B1298" s="302"/>
      <c r="D1298" s="302"/>
      <c r="E1298" s="302"/>
      <c r="K1298" s="303"/>
      <c r="L1298" s="303"/>
      <c r="M1298" s="303"/>
      <c r="AB1298" s="298"/>
      <c r="AC1298" s="297"/>
      <c r="AF1298" s="296"/>
      <c r="AG1298" s="297"/>
      <c r="AJ1298" s="298"/>
      <c r="AK1298" s="297"/>
      <c r="AN1298" s="298"/>
      <c r="AR1298" s="298"/>
    </row>
    <row r="1299" spans="2:44" s="290" customFormat="1" x14ac:dyDescent="0.2">
      <c r="B1299" s="302"/>
      <c r="D1299" s="302"/>
      <c r="E1299" s="302"/>
      <c r="K1299" s="303"/>
      <c r="L1299" s="303"/>
      <c r="M1299" s="303"/>
      <c r="AB1299" s="298"/>
      <c r="AC1299" s="297"/>
      <c r="AF1299" s="296"/>
      <c r="AG1299" s="297"/>
      <c r="AJ1299" s="298"/>
      <c r="AK1299" s="297"/>
      <c r="AN1299" s="298"/>
      <c r="AR1299" s="298"/>
    </row>
    <row r="1300" spans="2:44" s="290" customFormat="1" x14ac:dyDescent="0.2">
      <c r="B1300" s="302"/>
      <c r="D1300" s="302"/>
      <c r="E1300" s="302"/>
      <c r="K1300" s="303"/>
      <c r="L1300" s="303"/>
      <c r="M1300" s="303"/>
      <c r="AB1300" s="298"/>
      <c r="AC1300" s="297"/>
      <c r="AF1300" s="296"/>
      <c r="AG1300" s="297"/>
      <c r="AJ1300" s="298"/>
      <c r="AK1300" s="297"/>
      <c r="AN1300" s="298"/>
      <c r="AR1300" s="298"/>
    </row>
    <row r="1301" spans="2:44" s="290" customFormat="1" x14ac:dyDescent="0.2">
      <c r="B1301" s="302"/>
      <c r="D1301" s="302"/>
      <c r="E1301" s="302"/>
      <c r="K1301" s="303"/>
      <c r="L1301" s="303"/>
      <c r="M1301" s="303"/>
      <c r="AB1301" s="298"/>
      <c r="AC1301" s="297"/>
      <c r="AF1301" s="296"/>
      <c r="AG1301" s="297"/>
      <c r="AJ1301" s="298"/>
      <c r="AK1301" s="297"/>
      <c r="AN1301" s="298"/>
      <c r="AR1301" s="298"/>
    </row>
    <row r="1302" spans="2:44" s="290" customFormat="1" x14ac:dyDescent="0.2">
      <c r="B1302" s="302"/>
      <c r="D1302" s="302"/>
      <c r="E1302" s="302"/>
      <c r="K1302" s="303"/>
      <c r="L1302" s="303"/>
      <c r="M1302" s="303"/>
      <c r="AB1302" s="298"/>
      <c r="AC1302" s="297"/>
      <c r="AF1302" s="296"/>
      <c r="AG1302" s="297"/>
      <c r="AJ1302" s="298"/>
      <c r="AK1302" s="297"/>
      <c r="AN1302" s="298"/>
      <c r="AR1302" s="298"/>
    </row>
    <row r="1303" spans="2:44" s="290" customFormat="1" x14ac:dyDescent="0.2">
      <c r="B1303" s="302"/>
      <c r="D1303" s="302"/>
      <c r="E1303" s="302"/>
      <c r="K1303" s="303"/>
      <c r="L1303" s="303"/>
      <c r="M1303" s="303"/>
      <c r="AB1303" s="298"/>
      <c r="AC1303" s="297"/>
      <c r="AF1303" s="296"/>
      <c r="AG1303" s="297"/>
      <c r="AJ1303" s="298"/>
      <c r="AK1303" s="297"/>
      <c r="AN1303" s="298"/>
      <c r="AR1303" s="298"/>
    </row>
    <row r="1304" spans="2:44" s="290" customFormat="1" x14ac:dyDescent="0.2">
      <c r="B1304" s="302"/>
      <c r="D1304" s="302"/>
      <c r="E1304" s="302"/>
      <c r="K1304" s="303"/>
      <c r="L1304" s="303"/>
      <c r="M1304" s="303"/>
      <c r="AB1304" s="298"/>
      <c r="AC1304" s="297"/>
      <c r="AF1304" s="296"/>
      <c r="AG1304" s="297"/>
      <c r="AJ1304" s="298"/>
      <c r="AK1304" s="297"/>
      <c r="AN1304" s="298"/>
      <c r="AR1304" s="298"/>
    </row>
    <row r="1305" spans="2:44" s="290" customFormat="1" x14ac:dyDescent="0.2">
      <c r="B1305" s="302"/>
      <c r="D1305" s="302"/>
      <c r="E1305" s="302"/>
      <c r="K1305" s="303"/>
      <c r="L1305" s="303"/>
      <c r="M1305" s="303"/>
      <c r="AB1305" s="298"/>
      <c r="AC1305" s="297"/>
      <c r="AF1305" s="296"/>
      <c r="AG1305" s="297"/>
      <c r="AJ1305" s="298"/>
      <c r="AK1305" s="297"/>
      <c r="AN1305" s="298"/>
      <c r="AR1305" s="298"/>
    </row>
    <row r="1306" spans="2:44" s="290" customFormat="1" x14ac:dyDescent="0.2">
      <c r="B1306" s="302"/>
      <c r="D1306" s="302"/>
      <c r="E1306" s="302"/>
      <c r="K1306" s="303"/>
      <c r="L1306" s="303"/>
      <c r="M1306" s="303"/>
      <c r="AB1306" s="298"/>
      <c r="AC1306" s="297"/>
      <c r="AF1306" s="296"/>
      <c r="AG1306" s="297"/>
      <c r="AJ1306" s="298"/>
      <c r="AK1306" s="297"/>
      <c r="AN1306" s="298"/>
      <c r="AR1306" s="298"/>
    </row>
    <row r="1307" spans="2:44" s="290" customFormat="1" x14ac:dyDescent="0.2">
      <c r="B1307" s="302"/>
      <c r="D1307" s="302"/>
      <c r="E1307" s="302"/>
      <c r="K1307" s="303"/>
      <c r="L1307" s="303"/>
      <c r="M1307" s="303"/>
      <c r="AB1307" s="298"/>
      <c r="AC1307" s="297"/>
      <c r="AF1307" s="296"/>
      <c r="AG1307" s="297"/>
      <c r="AJ1307" s="298"/>
      <c r="AK1307" s="297"/>
      <c r="AN1307" s="298"/>
      <c r="AR1307" s="298"/>
    </row>
    <row r="1308" spans="2:44" s="290" customFormat="1" x14ac:dyDescent="0.2">
      <c r="B1308" s="302"/>
      <c r="D1308" s="302"/>
      <c r="E1308" s="302"/>
      <c r="K1308" s="303"/>
      <c r="L1308" s="303"/>
      <c r="M1308" s="303"/>
      <c r="AB1308" s="298"/>
      <c r="AC1308" s="297"/>
      <c r="AF1308" s="296"/>
      <c r="AG1308" s="297"/>
      <c r="AJ1308" s="298"/>
      <c r="AK1308" s="297"/>
      <c r="AN1308" s="298"/>
      <c r="AR1308" s="298"/>
    </row>
    <row r="1309" spans="2:44" s="290" customFormat="1" x14ac:dyDescent="0.2">
      <c r="B1309" s="302"/>
      <c r="D1309" s="302"/>
      <c r="E1309" s="302"/>
      <c r="K1309" s="303"/>
      <c r="L1309" s="303"/>
      <c r="M1309" s="303"/>
      <c r="AB1309" s="298"/>
      <c r="AC1309" s="297"/>
      <c r="AF1309" s="296"/>
      <c r="AG1309" s="297"/>
      <c r="AJ1309" s="298"/>
      <c r="AK1309" s="297"/>
      <c r="AN1309" s="298"/>
      <c r="AR1309" s="298"/>
    </row>
    <row r="1310" spans="2:44" s="290" customFormat="1" x14ac:dyDescent="0.2">
      <c r="B1310" s="302"/>
      <c r="D1310" s="302"/>
      <c r="E1310" s="302"/>
      <c r="K1310" s="303"/>
      <c r="L1310" s="303"/>
      <c r="M1310" s="303"/>
      <c r="AB1310" s="298"/>
      <c r="AC1310" s="297"/>
      <c r="AF1310" s="296"/>
      <c r="AG1310" s="297"/>
      <c r="AJ1310" s="298"/>
      <c r="AK1310" s="297"/>
      <c r="AN1310" s="298"/>
      <c r="AR1310" s="298"/>
    </row>
    <row r="1311" spans="2:44" s="290" customFormat="1" x14ac:dyDescent="0.2">
      <c r="B1311" s="302"/>
      <c r="D1311" s="302"/>
      <c r="E1311" s="302"/>
      <c r="K1311" s="303"/>
      <c r="L1311" s="303"/>
      <c r="M1311" s="303"/>
      <c r="AB1311" s="298"/>
      <c r="AC1311" s="297"/>
      <c r="AF1311" s="296"/>
      <c r="AG1311" s="297"/>
      <c r="AJ1311" s="298"/>
      <c r="AK1311" s="297"/>
      <c r="AN1311" s="298"/>
      <c r="AR1311" s="298"/>
    </row>
    <row r="1312" spans="2:44" s="290" customFormat="1" x14ac:dyDescent="0.2">
      <c r="B1312" s="302"/>
      <c r="D1312" s="302"/>
      <c r="E1312" s="302"/>
      <c r="K1312" s="303"/>
      <c r="L1312" s="303"/>
      <c r="M1312" s="303"/>
      <c r="AB1312" s="298"/>
      <c r="AC1312" s="297"/>
      <c r="AF1312" s="296"/>
      <c r="AG1312" s="297"/>
      <c r="AJ1312" s="298"/>
      <c r="AK1312" s="297"/>
      <c r="AN1312" s="298"/>
      <c r="AR1312" s="298"/>
    </row>
    <row r="1313" spans="2:44" s="290" customFormat="1" x14ac:dyDescent="0.2">
      <c r="B1313" s="302"/>
      <c r="D1313" s="302"/>
      <c r="E1313" s="302"/>
      <c r="K1313" s="303"/>
      <c r="L1313" s="303"/>
      <c r="M1313" s="303"/>
      <c r="AB1313" s="298"/>
      <c r="AC1313" s="297"/>
      <c r="AF1313" s="296"/>
      <c r="AG1313" s="297"/>
      <c r="AJ1313" s="298"/>
      <c r="AK1313" s="297"/>
      <c r="AN1313" s="298"/>
      <c r="AR1313" s="298"/>
    </row>
    <row r="1314" spans="2:44" s="290" customFormat="1" x14ac:dyDescent="0.2">
      <c r="B1314" s="302"/>
      <c r="D1314" s="302"/>
      <c r="E1314" s="302"/>
      <c r="K1314" s="303"/>
      <c r="L1314" s="303"/>
      <c r="M1314" s="303"/>
      <c r="AB1314" s="298"/>
      <c r="AC1314" s="297"/>
      <c r="AF1314" s="296"/>
      <c r="AG1314" s="297"/>
      <c r="AJ1314" s="298"/>
      <c r="AK1314" s="297"/>
      <c r="AN1314" s="298"/>
      <c r="AR1314" s="298"/>
    </row>
    <row r="1315" spans="2:44" s="290" customFormat="1" x14ac:dyDescent="0.2">
      <c r="B1315" s="302"/>
      <c r="D1315" s="302"/>
      <c r="E1315" s="302"/>
      <c r="K1315" s="303"/>
      <c r="L1315" s="303"/>
      <c r="M1315" s="303"/>
      <c r="AB1315" s="298"/>
      <c r="AC1315" s="297"/>
      <c r="AF1315" s="296"/>
      <c r="AG1315" s="297"/>
      <c r="AJ1315" s="298"/>
      <c r="AK1315" s="297"/>
      <c r="AN1315" s="298"/>
      <c r="AR1315" s="298"/>
    </row>
    <row r="1316" spans="2:44" s="290" customFormat="1" x14ac:dyDescent="0.2">
      <c r="B1316" s="302"/>
      <c r="D1316" s="302"/>
      <c r="E1316" s="302"/>
      <c r="K1316" s="303"/>
      <c r="L1316" s="303"/>
      <c r="M1316" s="303"/>
      <c r="AB1316" s="298"/>
      <c r="AC1316" s="297"/>
      <c r="AF1316" s="296"/>
      <c r="AG1316" s="297"/>
      <c r="AJ1316" s="298"/>
      <c r="AK1316" s="297"/>
      <c r="AN1316" s="298"/>
      <c r="AR1316" s="298"/>
    </row>
    <row r="1317" spans="2:44" s="290" customFormat="1" x14ac:dyDescent="0.2">
      <c r="B1317" s="302"/>
      <c r="D1317" s="302"/>
      <c r="E1317" s="302"/>
      <c r="K1317" s="303"/>
      <c r="L1317" s="303"/>
      <c r="M1317" s="303"/>
      <c r="AB1317" s="298"/>
      <c r="AC1317" s="297"/>
      <c r="AF1317" s="296"/>
      <c r="AG1317" s="297"/>
      <c r="AJ1317" s="298"/>
      <c r="AK1317" s="297"/>
      <c r="AN1317" s="298"/>
      <c r="AR1317" s="298"/>
    </row>
    <row r="1318" spans="2:44" s="290" customFormat="1" x14ac:dyDescent="0.2">
      <c r="B1318" s="302"/>
      <c r="D1318" s="302"/>
      <c r="E1318" s="302"/>
      <c r="K1318" s="303"/>
      <c r="L1318" s="303"/>
      <c r="M1318" s="303"/>
      <c r="AB1318" s="298"/>
      <c r="AC1318" s="297"/>
      <c r="AF1318" s="296"/>
      <c r="AG1318" s="297"/>
      <c r="AJ1318" s="298"/>
      <c r="AK1318" s="297"/>
      <c r="AN1318" s="298"/>
      <c r="AR1318" s="298"/>
    </row>
    <row r="1319" spans="2:44" s="290" customFormat="1" x14ac:dyDescent="0.2">
      <c r="B1319" s="302"/>
      <c r="D1319" s="302"/>
      <c r="E1319" s="302"/>
      <c r="K1319" s="303"/>
      <c r="L1319" s="303"/>
      <c r="M1319" s="303"/>
      <c r="AB1319" s="298"/>
      <c r="AC1319" s="297"/>
      <c r="AF1319" s="296"/>
      <c r="AG1319" s="297"/>
      <c r="AJ1319" s="298"/>
      <c r="AK1319" s="297"/>
      <c r="AN1319" s="298"/>
      <c r="AR1319" s="298"/>
    </row>
    <row r="1320" spans="2:44" s="290" customFormat="1" x14ac:dyDescent="0.2">
      <c r="B1320" s="302"/>
      <c r="D1320" s="302"/>
      <c r="E1320" s="302"/>
      <c r="K1320" s="303"/>
      <c r="L1320" s="303"/>
      <c r="M1320" s="303"/>
      <c r="AB1320" s="298"/>
      <c r="AC1320" s="297"/>
      <c r="AF1320" s="296"/>
      <c r="AG1320" s="297"/>
      <c r="AJ1320" s="298"/>
      <c r="AK1320" s="297"/>
      <c r="AN1320" s="298"/>
      <c r="AR1320" s="298"/>
    </row>
    <row r="1321" spans="2:44" s="290" customFormat="1" x14ac:dyDescent="0.2">
      <c r="B1321" s="302"/>
      <c r="D1321" s="302"/>
      <c r="E1321" s="302"/>
      <c r="K1321" s="303"/>
      <c r="L1321" s="303"/>
      <c r="M1321" s="303"/>
      <c r="AB1321" s="298"/>
      <c r="AC1321" s="297"/>
      <c r="AF1321" s="296"/>
      <c r="AG1321" s="297"/>
      <c r="AJ1321" s="298"/>
      <c r="AK1321" s="297"/>
      <c r="AN1321" s="298"/>
      <c r="AR1321" s="298"/>
    </row>
    <row r="1322" spans="2:44" s="290" customFormat="1" x14ac:dyDescent="0.2">
      <c r="B1322" s="302"/>
      <c r="D1322" s="302"/>
      <c r="E1322" s="302"/>
      <c r="K1322" s="303"/>
      <c r="L1322" s="303"/>
      <c r="M1322" s="303"/>
      <c r="AB1322" s="298"/>
      <c r="AC1322" s="297"/>
      <c r="AF1322" s="296"/>
      <c r="AG1322" s="297"/>
      <c r="AJ1322" s="298"/>
      <c r="AK1322" s="297"/>
      <c r="AN1322" s="298"/>
      <c r="AR1322" s="298"/>
    </row>
    <row r="1323" spans="2:44" s="290" customFormat="1" x14ac:dyDescent="0.2">
      <c r="B1323" s="302"/>
      <c r="D1323" s="302"/>
      <c r="E1323" s="302"/>
      <c r="K1323" s="303"/>
      <c r="L1323" s="303"/>
      <c r="M1323" s="303"/>
      <c r="AB1323" s="298"/>
      <c r="AC1323" s="297"/>
      <c r="AF1323" s="296"/>
      <c r="AG1323" s="297"/>
      <c r="AJ1323" s="298"/>
      <c r="AK1323" s="297"/>
      <c r="AN1323" s="298"/>
      <c r="AR1323" s="298"/>
    </row>
    <row r="1324" spans="2:44" s="290" customFormat="1" x14ac:dyDescent="0.2">
      <c r="B1324" s="302"/>
      <c r="D1324" s="302"/>
      <c r="E1324" s="302"/>
      <c r="K1324" s="303"/>
      <c r="L1324" s="303"/>
      <c r="M1324" s="303"/>
      <c r="AB1324" s="298"/>
      <c r="AC1324" s="297"/>
      <c r="AF1324" s="296"/>
      <c r="AG1324" s="297"/>
      <c r="AJ1324" s="298"/>
      <c r="AK1324" s="297"/>
      <c r="AN1324" s="298"/>
      <c r="AR1324" s="298"/>
    </row>
    <row r="1325" spans="2:44" s="290" customFormat="1" x14ac:dyDescent="0.2">
      <c r="B1325" s="302"/>
      <c r="D1325" s="302"/>
      <c r="E1325" s="302"/>
      <c r="K1325" s="303"/>
      <c r="L1325" s="303"/>
      <c r="M1325" s="303"/>
      <c r="AB1325" s="298"/>
      <c r="AC1325" s="297"/>
      <c r="AF1325" s="296"/>
      <c r="AG1325" s="297"/>
      <c r="AJ1325" s="298"/>
      <c r="AK1325" s="297"/>
      <c r="AN1325" s="298"/>
      <c r="AR1325" s="298"/>
    </row>
    <row r="1326" spans="2:44" s="290" customFormat="1" x14ac:dyDescent="0.2">
      <c r="B1326" s="302"/>
      <c r="D1326" s="302"/>
      <c r="E1326" s="302"/>
      <c r="K1326" s="303"/>
      <c r="L1326" s="303"/>
      <c r="M1326" s="303"/>
      <c r="AB1326" s="298"/>
      <c r="AC1326" s="297"/>
      <c r="AF1326" s="296"/>
      <c r="AG1326" s="297"/>
      <c r="AJ1326" s="298"/>
      <c r="AK1326" s="297"/>
      <c r="AN1326" s="298"/>
      <c r="AR1326" s="298"/>
    </row>
    <row r="1327" spans="2:44" s="290" customFormat="1" x14ac:dyDescent="0.2">
      <c r="B1327" s="302"/>
      <c r="D1327" s="302"/>
      <c r="E1327" s="302"/>
      <c r="K1327" s="303"/>
      <c r="L1327" s="303"/>
      <c r="M1327" s="303"/>
      <c r="AB1327" s="298"/>
      <c r="AC1327" s="297"/>
      <c r="AF1327" s="296"/>
      <c r="AG1327" s="297"/>
      <c r="AJ1327" s="298"/>
      <c r="AK1327" s="297"/>
      <c r="AN1327" s="298"/>
      <c r="AR1327" s="298"/>
    </row>
    <row r="1328" spans="2:44" s="290" customFormat="1" x14ac:dyDescent="0.2">
      <c r="B1328" s="302"/>
      <c r="D1328" s="302"/>
      <c r="E1328" s="302"/>
      <c r="K1328" s="303"/>
      <c r="L1328" s="303"/>
      <c r="M1328" s="303"/>
      <c r="AB1328" s="298"/>
      <c r="AC1328" s="297"/>
      <c r="AF1328" s="296"/>
      <c r="AG1328" s="297"/>
      <c r="AJ1328" s="298"/>
      <c r="AK1328" s="297"/>
      <c r="AN1328" s="298"/>
      <c r="AR1328" s="298"/>
    </row>
    <row r="1329" spans="2:44" s="290" customFormat="1" x14ac:dyDescent="0.2">
      <c r="B1329" s="302"/>
      <c r="D1329" s="302"/>
      <c r="E1329" s="302"/>
      <c r="K1329" s="303"/>
      <c r="L1329" s="303"/>
      <c r="M1329" s="303"/>
      <c r="AB1329" s="298"/>
      <c r="AC1329" s="297"/>
      <c r="AF1329" s="296"/>
      <c r="AG1329" s="297"/>
      <c r="AJ1329" s="298"/>
      <c r="AK1329" s="297"/>
      <c r="AN1329" s="298"/>
      <c r="AR1329" s="298"/>
    </row>
    <row r="1330" spans="2:44" s="290" customFormat="1" x14ac:dyDescent="0.2">
      <c r="B1330" s="302"/>
      <c r="D1330" s="302"/>
      <c r="E1330" s="302"/>
      <c r="K1330" s="303"/>
      <c r="L1330" s="303"/>
      <c r="M1330" s="303"/>
      <c r="AB1330" s="298"/>
      <c r="AC1330" s="297"/>
      <c r="AF1330" s="296"/>
      <c r="AG1330" s="297"/>
      <c r="AJ1330" s="298"/>
      <c r="AK1330" s="297"/>
      <c r="AN1330" s="298"/>
      <c r="AR1330" s="298"/>
    </row>
    <row r="1331" spans="2:44" s="290" customFormat="1" x14ac:dyDescent="0.2">
      <c r="B1331" s="302"/>
      <c r="D1331" s="302"/>
      <c r="E1331" s="302"/>
      <c r="K1331" s="303"/>
      <c r="L1331" s="303"/>
      <c r="M1331" s="303"/>
      <c r="AB1331" s="298"/>
      <c r="AC1331" s="297"/>
      <c r="AF1331" s="296"/>
      <c r="AG1331" s="297"/>
      <c r="AJ1331" s="298"/>
      <c r="AK1331" s="297"/>
      <c r="AN1331" s="298"/>
      <c r="AR1331" s="298"/>
    </row>
    <row r="1332" spans="2:44" s="290" customFormat="1" x14ac:dyDescent="0.2">
      <c r="B1332" s="302"/>
      <c r="D1332" s="302"/>
      <c r="E1332" s="302"/>
      <c r="K1332" s="303"/>
      <c r="L1332" s="303"/>
      <c r="M1332" s="303"/>
      <c r="AB1332" s="298"/>
      <c r="AC1332" s="297"/>
      <c r="AF1332" s="296"/>
      <c r="AG1332" s="297"/>
      <c r="AJ1332" s="298"/>
      <c r="AK1332" s="297"/>
      <c r="AN1332" s="298"/>
      <c r="AR1332" s="298"/>
    </row>
    <row r="1333" spans="2:44" s="290" customFormat="1" x14ac:dyDescent="0.2">
      <c r="B1333" s="302"/>
      <c r="D1333" s="302"/>
      <c r="E1333" s="302"/>
      <c r="K1333" s="303"/>
      <c r="L1333" s="303"/>
      <c r="M1333" s="303"/>
      <c r="AB1333" s="298"/>
      <c r="AC1333" s="297"/>
      <c r="AF1333" s="296"/>
      <c r="AG1333" s="297"/>
      <c r="AJ1333" s="298"/>
      <c r="AK1333" s="297"/>
      <c r="AN1333" s="298"/>
      <c r="AR1333" s="298"/>
    </row>
    <row r="1334" spans="2:44" s="290" customFormat="1" x14ac:dyDescent="0.2">
      <c r="B1334" s="302"/>
      <c r="D1334" s="302"/>
      <c r="E1334" s="302"/>
      <c r="K1334" s="303"/>
      <c r="L1334" s="303"/>
      <c r="M1334" s="303"/>
      <c r="AB1334" s="298"/>
      <c r="AC1334" s="297"/>
      <c r="AF1334" s="296"/>
      <c r="AG1334" s="297"/>
      <c r="AJ1334" s="298"/>
      <c r="AK1334" s="297"/>
      <c r="AN1334" s="298"/>
      <c r="AR1334" s="298"/>
    </row>
    <row r="1335" spans="2:44" s="290" customFormat="1" x14ac:dyDescent="0.2">
      <c r="B1335" s="302"/>
      <c r="D1335" s="302"/>
      <c r="E1335" s="302"/>
      <c r="K1335" s="303"/>
      <c r="L1335" s="303"/>
      <c r="M1335" s="303"/>
      <c r="AB1335" s="298"/>
      <c r="AC1335" s="297"/>
      <c r="AF1335" s="296"/>
      <c r="AG1335" s="297"/>
      <c r="AJ1335" s="298"/>
      <c r="AK1335" s="297"/>
      <c r="AN1335" s="298"/>
      <c r="AR1335" s="298"/>
    </row>
    <row r="1336" spans="2:44" s="290" customFormat="1" x14ac:dyDescent="0.2">
      <c r="B1336" s="302"/>
      <c r="D1336" s="302"/>
      <c r="E1336" s="302"/>
      <c r="K1336" s="303"/>
      <c r="L1336" s="303"/>
      <c r="M1336" s="303"/>
      <c r="AB1336" s="298"/>
      <c r="AC1336" s="297"/>
      <c r="AF1336" s="296"/>
      <c r="AG1336" s="297"/>
      <c r="AJ1336" s="298"/>
      <c r="AK1336" s="297"/>
      <c r="AN1336" s="298"/>
      <c r="AR1336" s="298"/>
    </row>
    <row r="1337" spans="2:44" s="290" customFormat="1" x14ac:dyDescent="0.2">
      <c r="B1337" s="302"/>
      <c r="D1337" s="302"/>
      <c r="E1337" s="302"/>
      <c r="K1337" s="303"/>
      <c r="L1337" s="303"/>
      <c r="M1337" s="303"/>
      <c r="AB1337" s="298"/>
      <c r="AC1337" s="297"/>
      <c r="AF1337" s="296"/>
      <c r="AG1337" s="297"/>
      <c r="AJ1337" s="298"/>
      <c r="AK1337" s="297"/>
      <c r="AN1337" s="298"/>
      <c r="AR1337" s="298"/>
    </row>
    <row r="1338" spans="2:44" s="290" customFormat="1" x14ac:dyDescent="0.2">
      <c r="B1338" s="302"/>
      <c r="D1338" s="302"/>
      <c r="E1338" s="302"/>
      <c r="K1338" s="303"/>
      <c r="L1338" s="303"/>
      <c r="M1338" s="303"/>
      <c r="AB1338" s="298"/>
      <c r="AC1338" s="297"/>
      <c r="AF1338" s="296"/>
      <c r="AG1338" s="297"/>
      <c r="AJ1338" s="298"/>
      <c r="AK1338" s="297"/>
      <c r="AN1338" s="298"/>
      <c r="AR1338" s="298"/>
    </row>
    <row r="1339" spans="2:44" s="290" customFormat="1" x14ac:dyDescent="0.2">
      <c r="B1339" s="302"/>
      <c r="D1339" s="302"/>
      <c r="E1339" s="302"/>
      <c r="K1339" s="303"/>
      <c r="L1339" s="303"/>
      <c r="M1339" s="303"/>
      <c r="AB1339" s="298"/>
      <c r="AC1339" s="297"/>
      <c r="AF1339" s="296"/>
      <c r="AG1339" s="297"/>
      <c r="AJ1339" s="298"/>
      <c r="AK1339" s="297"/>
      <c r="AN1339" s="298"/>
      <c r="AR1339" s="298"/>
    </row>
    <row r="1340" spans="2:44" s="290" customFormat="1" x14ac:dyDescent="0.2">
      <c r="B1340" s="302"/>
      <c r="D1340" s="302"/>
      <c r="E1340" s="302"/>
      <c r="K1340" s="303"/>
      <c r="L1340" s="303"/>
      <c r="M1340" s="303"/>
      <c r="AB1340" s="298"/>
      <c r="AC1340" s="297"/>
      <c r="AF1340" s="296"/>
      <c r="AG1340" s="297"/>
      <c r="AJ1340" s="298"/>
      <c r="AK1340" s="297"/>
      <c r="AN1340" s="298"/>
      <c r="AR1340" s="298"/>
    </row>
    <row r="1341" spans="2:44" s="290" customFormat="1" x14ac:dyDescent="0.2">
      <c r="B1341" s="302"/>
      <c r="D1341" s="302"/>
      <c r="E1341" s="302"/>
      <c r="K1341" s="303"/>
      <c r="L1341" s="303"/>
      <c r="M1341" s="303"/>
      <c r="AB1341" s="298"/>
      <c r="AC1341" s="297"/>
      <c r="AF1341" s="296"/>
      <c r="AG1341" s="297"/>
      <c r="AJ1341" s="298"/>
      <c r="AK1341" s="297"/>
      <c r="AN1341" s="298"/>
      <c r="AR1341" s="298"/>
    </row>
    <row r="1342" spans="2:44" s="290" customFormat="1" x14ac:dyDescent="0.2">
      <c r="B1342" s="302"/>
      <c r="D1342" s="302"/>
      <c r="E1342" s="302"/>
      <c r="K1342" s="303"/>
      <c r="L1342" s="303"/>
      <c r="M1342" s="303"/>
      <c r="AB1342" s="298"/>
      <c r="AC1342" s="297"/>
      <c r="AF1342" s="296"/>
      <c r="AG1342" s="297"/>
      <c r="AJ1342" s="298"/>
      <c r="AK1342" s="297"/>
      <c r="AN1342" s="298"/>
      <c r="AR1342" s="298"/>
    </row>
    <row r="1343" spans="2:44" s="290" customFormat="1" x14ac:dyDescent="0.2">
      <c r="B1343" s="302"/>
      <c r="D1343" s="302"/>
      <c r="E1343" s="302"/>
      <c r="K1343" s="303"/>
      <c r="L1343" s="303"/>
      <c r="M1343" s="303"/>
      <c r="AB1343" s="298"/>
      <c r="AC1343" s="297"/>
      <c r="AF1343" s="296"/>
      <c r="AG1343" s="297"/>
      <c r="AJ1343" s="298"/>
      <c r="AK1343" s="297"/>
      <c r="AN1343" s="298"/>
      <c r="AR1343" s="298"/>
    </row>
    <row r="1344" spans="2:44" s="290" customFormat="1" x14ac:dyDescent="0.2">
      <c r="B1344" s="302"/>
      <c r="D1344" s="302"/>
      <c r="E1344" s="302"/>
      <c r="K1344" s="303"/>
      <c r="L1344" s="303"/>
      <c r="M1344" s="303"/>
      <c r="AB1344" s="298"/>
      <c r="AC1344" s="297"/>
      <c r="AF1344" s="296"/>
      <c r="AG1344" s="297"/>
      <c r="AJ1344" s="298"/>
      <c r="AK1344" s="297"/>
      <c r="AN1344" s="298"/>
      <c r="AR1344" s="298"/>
    </row>
    <row r="1345" spans="2:44" s="290" customFormat="1" x14ac:dyDescent="0.2">
      <c r="B1345" s="302"/>
      <c r="D1345" s="302"/>
      <c r="E1345" s="302"/>
      <c r="K1345" s="303"/>
      <c r="L1345" s="303"/>
      <c r="M1345" s="303"/>
      <c r="AB1345" s="298"/>
      <c r="AC1345" s="297"/>
      <c r="AF1345" s="296"/>
      <c r="AG1345" s="297"/>
      <c r="AJ1345" s="298"/>
      <c r="AK1345" s="297"/>
      <c r="AN1345" s="298"/>
      <c r="AR1345" s="298"/>
    </row>
    <row r="1346" spans="2:44" s="290" customFormat="1" x14ac:dyDescent="0.2">
      <c r="B1346" s="302"/>
      <c r="D1346" s="302"/>
      <c r="E1346" s="302"/>
      <c r="K1346" s="303"/>
      <c r="L1346" s="303"/>
      <c r="M1346" s="303"/>
      <c r="AB1346" s="298"/>
      <c r="AC1346" s="297"/>
      <c r="AF1346" s="296"/>
      <c r="AG1346" s="297"/>
      <c r="AJ1346" s="298"/>
      <c r="AK1346" s="297"/>
      <c r="AN1346" s="298"/>
      <c r="AR1346" s="298"/>
    </row>
    <row r="1347" spans="2:44" s="290" customFormat="1" x14ac:dyDescent="0.2">
      <c r="B1347" s="302"/>
      <c r="D1347" s="302"/>
      <c r="E1347" s="302"/>
      <c r="K1347" s="303"/>
      <c r="L1347" s="303"/>
      <c r="M1347" s="303"/>
      <c r="AB1347" s="298"/>
      <c r="AC1347" s="297"/>
      <c r="AF1347" s="296"/>
      <c r="AG1347" s="297"/>
      <c r="AJ1347" s="298"/>
      <c r="AK1347" s="297"/>
      <c r="AN1347" s="298"/>
      <c r="AR1347" s="298"/>
    </row>
    <row r="1348" spans="2:44" s="290" customFormat="1" x14ac:dyDescent="0.2">
      <c r="B1348" s="302"/>
      <c r="D1348" s="302"/>
      <c r="E1348" s="302"/>
      <c r="K1348" s="303"/>
      <c r="L1348" s="303"/>
      <c r="M1348" s="303"/>
      <c r="AB1348" s="298"/>
      <c r="AC1348" s="297"/>
      <c r="AF1348" s="296"/>
      <c r="AG1348" s="297"/>
      <c r="AJ1348" s="298"/>
      <c r="AK1348" s="297"/>
      <c r="AN1348" s="298"/>
      <c r="AR1348" s="298"/>
    </row>
    <row r="1349" spans="2:44" s="290" customFormat="1" x14ac:dyDescent="0.2">
      <c r="B1349" s="302"/>
      <c r="D1349" s="302"/>
      <c r="E1349" s="302"/>
      <c r="K1349" s="303"/>
      <c r="L1349" s="303"/>
      <c r="M1349" s="303"/>
      <c r="AB1349" s="298"/>
      <c r="AC1349" s="297"/>
      <c r="AF1349" s="296"/>
      <c r="AG1349" s="297"/>
      <c r="AJ1349" s="298"/>
      <c r="AK1349" s="297"/>
      <c r="AN1349" s="298"/>
      <c r="AR1349" s="298"/>
    </row>
    <row r="1350" spans="2:44" s="290" customFormat="1" x14ac:dyDescent="0.2">
      <c r="B1350" s="302"/>
      <c r="D1350" s="302"/>
      <c r="E1350" s="302"/>
      <c r="K1350" s="303"/>
      <c r="L1350" s="303"/>
      <c r="M1350" s="303"/>
      <c r="AB1350" s="298"/>
      <c r="AC1350" s="297"/>
      <c r="AF1350" s="296"/>
      <c r="AG1350" s="297"/>
      <c r="AJ1350" s="298"/>
      <c r="AK1350" s="297"/>
      <c r="AN1350" s="298"/>
      <c r="AR1350" s="298"/>
    </row>
    <row r="1351" spans="2:44" s="290" customFormat="1" x14ac:dyDescent="0.2">
      <c r="B1351" s="302"/>
      <c r="D1351" s="302"/>
      <c r="E1351" s="302"/>
      <c r="K1351" s="303"/>
      <c r="L1351" s="303"/>
      <c r="M1351" s="303"/>
      <c r="AB1351" s="298"/>
      <c r="AC1351" s="297"/>
      <c r="AF1351" s="296"/>
      <c r="AG1351" s="297"/>
      <c r="AJ1351" s="298"/>
      <c r="AK1351" s="297"/>
      <c r="AN1351" s="298"/>
      <c r="AR1351" s="298"/>
    </row>
    <row r="1352" spans="2:44" s="290" customFormat="1" x14ac:dyDescent="0.2">
      <c r="B1352" s="302"/>
      <c r="D1352" s="302"/>
      <c r="E1352" s="302"/>
      <c r="K1352" s="303"/>
      <c r="L1352" s="303"/>
      <c r="M1352" s="303"/>
      <c r="AB1352" s="298"/>
      <c r="AC1352" s="297"/>
      <c r="AF1352" s="296"/>
      <c r="AG1352" s="297"/>
      <c r="AJ1352" s="298"/>
      <c r="AK1352" s="297"/>
      <c r="AN1352" s="298"/>
      <c r="AR1352" s="298"/>
    </row>
    <row r="1353" spans="2:44" s="290" customFormat="1" x14ac:dyDescent="0.2">
      <c r="B1353" s="302"/>
      <c r="D1353" s="302"/>
      <c r="E1353" s="302"/>
      <c r="K1353" s="303"/>
      <c r="L1353" s="303"/>
      <c r="M1353" s="303"/>
      <c r="AB1353" s="298"/>
      <c r="AC1353" s="297"/>
      <c r="AF1353" s="296"/>
      <c r="AG1353" s="297"/>
      <c r="AJ1353" s="298"/>
      <c r="AK1353" s="297"/>
      <c r="AN1353" s="298"/>
      <c r="AR1353" s="298"/>
    </row>
    <row r="1354" spans="2:44" s="290" customFormat="1" x14ac:dyDescent="0.2">
      <c r="B1354" s="302"/>
      <c r="D1354" s="302"/>
      <c r="E1354" s="302"/>
      <c r="K1354" s="303"/>
      <c r="L1354" s="303"/>
      <c r="M1354" s="303"/>
      <c r="AB1354" s="298"/>
      <c r="AC1354" s="297"/>
      <c r="AF1354" s="296"/>
      <c r="AG1354" s="297"/>
      <c r="AJ1354" s="298"/>
      <c r="AK1354" s="297"/>
      <c r="AN1354" s="298"/>
      <c r="AR1354" s="298"/>
    </row>
    <row r="1355" spans="2:44" s="290" customFormat="1" x14ac:dyDescent="0.2">
      <c r="B1355" s="302"/>
      <c r="D1355" s="302"/>
      <c r="E1355" s="302"/>
      <c r="K1355" s="303"/>
      <c r="L1355" s="303"/>
      <c r="M1355" s="303"/>
      <c r="AB1355" s="298"/>
      <c r="AC1355" s="297"/>
      <c r="AF1355" s="296"/>
      <c r="AG1355" s="297"/>
      <c r="AJ1355" s="298"/>
      <c r="AK1355" s="297"/>
      <c r="AN1355" s="298"/>
      <c r="AR1355" s="298"/>
    </row>
    <row r="1356" spans="2:44" s="290" customFormat="1" x14ac:dyDescent="0.2">
      <c r="B1356" s="302"/>
      <c r="D1356" s="302"/>
      <c r="E1356" s="302"/>
      <c r="K1356" s="303"/>
      <c r="L1356" s="303"/>
      <c r="M1356" s="303"/>
      <c r="AB1356" s="298"/>
      <c r="AC1356" s="297"/>
      <c r="AF1356" s="296"/>
      <c r="AG1356" s="297"/>
      <c r="AJ1356" s="298"/>
      <c r="AK1356" s="297"/>
      <c r="AN1356" s="298"/>
      <c r="AR1356" s="298"/>
    </row>
    <row r="1357" spans="2:44" s="290" customFormat="1" x14ac:dyDescent="0.2">
      <c r="B1357" s="302"/>
      <c r="D1357" s="302"/>
      <c r="E1357" s="302"/>
      <c r="K1357" s="303"/>
      <c r="L1357" s="303"/>
      <c r="M1357" s="303"/>
      <c r="AB1357" s="298"/>
      <c r="AC1357" s="297"/>
      <c r="AF1357" s="296"/>
      <c r="AG1357" s="297"/>
      <c r="AJ1357" s="298"/>
      <c r="AK1357" s="297"/>
      <c r="AN1357" s="298"/>
      <c r="AR1357" s="298"/>
    </row>
    <row r="1358" spans="2:44" s="290" customFormat="1" x14ac:dyDescent="0.2">
      <c r="B1358" s="302"/>
      <c r="D1358" s="302"/>
      <c r="E1358" s="302"/>
      <c r="K1358" s="303"/>
      <c r="L1358" s="303"/>
      <c r="M1358" s="303"/>
      <c r="AB1358" s="298"/>
      <c r="AC1358" s="297"/>
      <c r="AF1358" s="296"/>
      <c r="AG1358" s="297"/>
      <c r="AJ1358" s="298"/>
      <c r="AK1358" s="297"/>
      <c r="AN1358" s="298"/>
      <c r="AR1358" s="298"/>
    </row>
    <row r="1359" spans="2:44" s="290" customFormat="1" x14ac:dyDescent="0.2">
      <c r="B1359" s="302"/>
      <c r="D1359" s="302"/>
      <c r="E1359" s="302"/>
      <c r="K1359" s="303"/>
      <c r="L1359" s="303"/>
      <c r="M1359" s="303"/>
      <c r="AB1359" s="298"/>
      <c r="AC1359" s="297"/>
      <c r="AF1359" s="296"/>
      <c r="AG1359" s="297"/>
      <c r="AJ1359" s="298"/>
      <c r="AK1359" s="297"/>
      <c r="AN1359" s="298"/>
      <c r="AR1359" s="298"/>
    </row>
    <row r="1360" spans="2:44" s="290" customFormat="1" x14ac:dyDescent="0.2">
      <c r="B1360" s="302"/>
      <c r="D1360" s="302"/>
      <c r="E1360" s="302"/>
      <c r="K1360" s="303"/>
      <c r="L1360" s="303"/>
      <c r="M1360" s="303"/>
      <c r="AB1360" s="298"/>
      <c r="AC1360" s="297"/>
      <c r="AF1360" s="296"/>
      <c r="AG1360" s="297"/>
      <c r="AJ1360" s="298"/>
      <c r="AK1360" s="297"/>
      <c r="AN1360" s="298"/>
      <c r="AR1360" s="298"/>
    </row>
    <row r="1361" spans="2:44" s="290" customFormat="1" x14ac:dyDescent="0.2">
      <c r="B1361" s="302"/>
      <c r="D1361" s="302"/>
      <c r="E1361" s="302"/>
      <c r="K1361" s="303"/>
      <c r="L1361" s="303"/>
      <c r="M1361" s="303"/>
      <c r="AB1361" s="298"/>
      <c r="AC1361" s="297"/>
      <c r="AF1361" s="296"/>
      <c r="AG1361" s="297"/>
      <c r="AJ1361" s="298"/>
      <c r="AK1361" s="297"/>
      <c r="AN1361" s="298"/>
      <c r="AR1361" s="298"/>
    </row>
    <row r="1362" spans="2:44" s="290" customFormat="1" x14ac:dyDescent="0.2">
      <c r="B1362" s="302"/>
      <c r="D1362" s="302"/>
      <c r="E1362" s="302"/>
      <c r="K1362" s="303"/>
      <c r="L1362" s="303"/>
      <c r="M1362" s="303"/>
      <c r="AB1362" s="298"/>
      <c r="AC1362" s="297"/>
      <c r="AF1362" s="296"/>
      <c r="AG1362" s="297"/>
      <c r="AJ1362" s="298"/>
      <c r="AK1362" s="297"/>
      <c r="AN1362" s="298"/>
      <c r="AR1362" s="298"/>
    </row>
    <row r="1363" spans="2:44" s="290" customFormat="1" x14ac:dyDescent="0.2">
      <c r="B1363" s="302"/>
      <c r="D1363" s="302"/>
      <c r="E1363" s="302"/>
      <c r="K1363" s="303"/>
      <c r="L1363" s="303"/>
      <c r="M1363" s="303"/>
      <c r="AB1363" s="298"/>
      <c r="AC1363" s="297"/>
      <c r="AF1363" s="296"/>
      <c r="AG1363" s="297"/>
      <c r="AJ1363" s="298"/>
      <c r="AK1363" s="297"/>
      <c r="AN1363" s="298"/>
      <c r="AR1363" s="298"/>
    </row>
    <row r="1364" spans="2:44" s="290" customFormat="1" x14ac:dyDescent="0.2">
      <c r="B1364" s="302"/>
      <c r="D1364" s="302"/>
      <c r="E1364" s="302"/>
      <c r="K1364" s="303"/>
      <c r="L1364" s="303"/>
      <c r="M1364" s="303"/>
      <c r="AB1364" s="298"/>
      <c r="AC1364" s="297"/>
      <c r="AF1364" s="296"/>
      <c r="AG1364" s="297"/>
      <c r="AJ1364" s="298"/>
      <c r="AK1364" s="297"/>
      <c r="AN1364" s="298"/>
      <c r="AR1364" s="298"/>
    </row>
    <row r="1365" spans="2:44" s="290" customFormat="1" x14ac:dyDescent="0.2">
      <c r="B1365" s="302"/>
      <c r="D1365" s="302"/>
      <c r="E1365" s="302"/>
      <c r="K1365" s="303"/>
      <c r="L1365" s="303"/>
      <c r="M1365" s="303"/>
      <c r="AB1365" s="298"/>
      <c r="AC1365" s="297"/>
      <c r="AF1365" s="296"/>
      <c r="AG1365" s="297"/>
      <c r="AJ1365" s="298"/>
      <c r="AK1365" s="297"/>
      <c r="AN1365" s="298"/>
      <c r="AR1365" s="298"/>
    </row>
    <row r="1366" spans="2:44" s="290" customFormat="1" x14ac:dyDescent="0.2">
      <c r="B1366" s="302"/>
      <c r="D1366" s="302"/>
      <c r="E1366" s="302"/>
      <c r="K1366" s="303"/>
      <c r="L1366" s="303"/>
      <c r="M1366" s="303"/>
      <c r="AB1366" s="298"/>
      <c r="AC1366" s="297"/>
      <c r="AF1366" s="296"/>
      <c r="AG1366" s="297"/>
      <c r="AJ1366" s="298"/>
      <c r="AK1366" s="297"/>
      <c r="AN1366" s="298"/>
      <c r="AR1366" s="298"/>
    </row>
    <row r="1367" spans="2:44" s="290" customFormat="1" x14ac:dyDescent="0.2">
      <c r="B1367" s="302"/>
      <c r="D1367" s="302"/>
      <c r="E1367" s="302"/>
      <c r="K1367" s="303"/>
      <c r="L1367" s="303"/>
      <c r="M1367" s="303"/>
      <c r="AB1367" s="298"/>
      <c r="AC1367" s="297"/>
      <c r="AF1367" s="296"/>
      <c r="AG1367" s="297"/>
      <c r="AJ1367" s="298"/>
      <c r="AK1367" s="297"/>
      <c r="AN1367" s="298"/>
      <c r="AR1367" s="298"/>
    </row>
    <row r="1368" spans="2:44" s="290" customFormat="1" x14ac:dyDescent="0.2">
      <c r="B1368" s="302"/>
      <c r="D1368" s="302"/>
      <c r="E1368" s="302"/>
      <c r="K1368" s="303"/>
      <c r="L1368" s="303"/>
      <c r="M1368" s="303"/>
      <c r="AB1368" s="298"/>
      <c r="AC1368" s="297"/>
      <c r="AF1368" s="296"/>
      <c r="AG1368" s="297"/>
      <c r="AJ1368" s="298"/>
      <c r="AK1368" s="297"/>
      <c r="AN1368" s="298"/>
      <c r="AR1368" s="298"/>
    </row>
    <row r="1369" spans="2:44" s="290" customFormat="1" x14ac:dyDescent="0.2">
      <c r="B1369" s="302"/>
      <c r="D1369" s="302"/>
      <c r="E1369" s="302"/>
      <c r="K1369" s="303"/>
      <c r="L1369" s="303"/>
      <c r="M1369" s="303"/>
      <c r="AB1369" s="298"/>
      <c r="AC1369" s="297"/>
      <c r="AF1369" s="296"/>
      <c r="AG1369" s="297"/>
      <c r="AJ1369" s="298"/>
      <c r="AK1369" s="297"/>
      <c r="AN1369" s="298"/>
      <c r="AR1369" s="298"/>
    </row>
    <row r="1370" spans="2:44" s="290" customFormat="1" x14ac:dyDescent="0.2">
      <c r="B1370" s="302"/>
      <c r="D1370" s="302"/>
      <c r="E1370" s="302"/>
      <c r="K1370" s="303"/>
      <c r="L1370" s="303"/>
      <c r="M1370" s="303"/>
      <c r="AB1370" s="298"/>
      <c r="AC1370" s="297"/>
      <c r="AF1370" s="296"/>
      <c r="AG1370" s="297"/>
      <c r="AJ1370" s="298"/>
      <c r="AK1370" s="297"/>
      <c r="AN1370" s="298"/>
      <c r="AR1370" s="298"/>
    </row>
    <row r="1371" spans="2:44" s="290" customFormat="1" x14ac:dyDescent="0.2">
      <c r="B1371" s="302"/>
      <c r="D1371" s="302"/>
      <c r="E1371" s="302"/>
      <c r="K1371" s="303"/>
      <c r="L1371" s="303"/>
      <c r="M1371" s="303"/>
      <c r="AB1371" s="298"/>
      <c r="AC1371" s="297"/>
      <c r="AF1371" s="296"/>
      <c r="AG1371" s="297"/>
      <c r="AJ1371" s="298"/>
      <c r="AK1371" s="297"/>
      <c r="AN1371" s="298"/>
      <c r="AR1371" s="298"/>
    </row>
    <row r="1372" spans="2:44" s="290" customFormat="1" x14ac:dyDescent="0.2">
      <c r="B1372" s="302"/>
      <c r="D1372" s="302"/>
      <c r="E1372" s="302"/>
      <c r="K1372" s="303"/>
      <c r="L1372" s="303"/>
      <c r="M1372" s="303"/>
      <c r="AB1372" s="298"/>
      <c r="AC1372" s="297"/>
      <c r="AF1372" s="296"/>
      <c r="AG1372" s="297"/>
      <c r="AJ1372" s="298"/>
      <c r="AK1372" s="297"/>
      <c r="AN1372" s="298"/>
      <c r="AR1372" s="298"/>
    </row>
    <row r="1373" spans="2:44" s="290" customFormat="1" x14ac:dyDescent="0.2">
      <c r="B1373" s="302"/>
      <c r="D1373" s="302"/>
      <c r="E1373" s="302"/>
      <c r="K1373" s="303"/>
      <c r="L1373" s="303"/>
      <c r="M1373" s="303"/>
      <c r="AB1373" s="298"/>
      <c r="AC1373" s="297"/>
      <c r="AF1373" s="296"/>
      <c r="AG1373" s="297"/>
      <c r="AJ1373" s="298"/>
      <c r="AK1373" s="297"/>
      <c r="AN1373" s="298"/>
      <c r="AR1373" s="298"/>
    </row>
    <row r="1374" spans="2:44" s="290" customFormat="1" x14ac:dyDescent="0.2">
      <c r="B1374" s="302"/>
      <c r="D1374" s="302"/>
      <c r="E1374" s="302"/>
      <c r="K1374" s="303"/>
      <c r="L1374" s="303"/>
      <c r="M1374" s="303"/>
      <c r="AB1374" s="298"/>
      <c r="AC1374" s="297"/>
      <c r="AF1374" s="296"/>
      <c r="AG1374" s="297"/>
      <c r="AJ1374" s="298"/>
      <c r="AK1374" s="297"/>
      <c r="AN1374" s="298"/>
      <c r="AR1374" s="298"/>
    </row>
    <row r="1375" spans="2:44" s="290" customFormat="1" x14ac:dyDescent="0.2">
      <c r="B1375" s="302"/>
      <c r="D1375" s="302"/>
      <c r="E1375" s="302"/>
      <c r="K1375" s="303"/>
      <c r="L1375" s="303"/>
      <c r="M1375" s="303"/>
      <c r="AB1375" s="298"/>
      <c r="AC1375" s="297"/>
      <c r="AF1375" s="296"/>
      <c r="AG1375" s="297"/>
      <c r="AJ1375" s="298"/>
      <c r="AK1375" s="297"/>
      <c r="AN1375" s="298"/>
      <c r="AR1375" s="298"/>
    </row>
    <row r="1376" spans="2:44" s="290" customFormat="1" x14ac:dyDescent="0.2">
      <c r="B1376" s="302"/>
      <c r="D1376" s="302"/>
      <c r="E1376" s="302"/>
      <c r="K1376" s="303"/>
      <c r="L1376" s="303"/>
      <c r="M1376" s="303"/>
      <c r="AB1376" s="298"/>
      <c r="AC1376" s="297"/>
      <c r="AF1376" s="296"/>
      <c r="AG1376" s="297"/>
      <c r="AJ1376" s="298"/>
      <c r="AK1376" s="297"/>
      <c r="AN1376" s="298"/>
      <c r="AR1376" s="298"/>
    </row>
    <row r="1377" spans="2:44" s="290" customFormat="1" x14ac:dyDescent="0.2">
      <c r="B1377" s="302"/>
      <c r="D1377" s="302"/>
      <c r="E1377" s="302"/>
      <c r="K1377" s="303"/>
      <c r="L1377" s="303"/>
      <c r="M1377" s="303"/>
      <c r="AB1377" s="298"/>
      <c r="AC1377" s="297"/>
      <c r="AF1377" s="296"/>
      <c r="AG1377" s="297"/>
      <c r="AJ1377" s="298"/>
      <c r="AK1377" s="297"/>
      <c r="AN1377" s="298"/>
      <c r="AR1377" s="298"/>
    </row>
    <row r="1378" spans="2:44" s="290" customFormat="1" x14ac:dyDescent="0.2">
      <c r="B1378" s="302"/>
      <c r="D1378" s="302"/>
      <c r="E1378" s="302"/>
      <c r="K1378" s="303"/>
      <c r="L1378" s="303"/>
      <c r="M1378" s="303"/>
      <c r="AB1378" s="298"/>
      <c r="AC1378" s="297"/>
      <c r="AF1378" s="296"/>
      <c r="AG1378" s="297"/>
      <c r="AJ1378" s="298"/>
      <c r="AK1378" s="297"/>
      <c r="AN1378" s="298"/>
      <c r="AR1378" s="298"/>
    </row>
    <row r="1379" spans="2:44" s="290" customFormat="1" x14ac:dyDescent="0.2">
      <c r="B1379" s="302"/>
      <c r="D1379" s="302"/>
      <c r="E1379" s="302"/>
      <c r="K1379" s="303"/>
      <c r="L1379" s="303"/>
      <c r="M1379" s="303"/>
      <c r="AB1379" s="298"/>
      <c r="AC1379" s="297"/>
      <c r="AF1379" s="296"/>
      <c r="AG1379" s="297"/>
      <c r="AJ1379" s="298"/>
      <c r="AK1379" s="297"/>
      <c r="AN1379" s="298"/>
      <c r="AR1379" s="298"/>
    </row>
    <row r="1380" spans="2:44" s="290" customFormat="1" x14ac:dyDescent="0.2">
      <c r="B1380" s="302"/>
      <c r="D1380" s="302"/>
      <c r="E1380" s="302"/>
      <c r="K1380" s="303"/>
      <c r="L1380" s="303"/>
      <c r="M1380" s="303"/>
      <c r="AB1380" s="298"/>
      <c r="AC1380" s="297"/>
      <c r="AF1380" s="296"/>
      <c r="AG1380" s="297"/>
      <c r="AJ1380" s="298"/>
      <c r="AK1380" s="297"/>
      <c r="AN1380" s="298"/>
      <c r="AR1380" s="298"/>
    </row>
    <row r="1381" spans="2:44" s="290" customFormat="1" x14ac:dyDescent="0.2">
      <c r="B1381" s="302"/>
      <c r="D1381" s="302"/>
      <c r="E1381" s="302"/>
      <c r="K1381" s="303"/>
      <c r="L1381" s="303"/>
      <c r="M1381" s="303"/>
      <c r="AB1381" s="298"/>
      <c r="AC1381" s="297"/>
      <c r="AF1381" s="296"/>
      <c r="AG1381" s="297"/>
      <c r="AJ1381" s="298"/>
      <c r="AK1381" s="297"/>
      <c r="AN1381" s="298"/>
      <c r="AR1381" s="298"/>
    </row>
    <row r="1382" spans="2:44" s="290" customFormat="1" x14ac:dyDescent="0.2">
      <c r="B1382" s="302"/>
      <c r="D1382" s="302"/>
      <c r="E1382" s="302"/>
      <c r="K1382" s="303"/>
      <c r="L1382" s="303"/>
      <c r="M1382" s="303"/>
      <c r="AB1382" s="298"/>
      <c r="AC1382" s="297"/>
      <c r="AF1382" s="296"/>
      <c r="AG1382" s="297"/>
      <c r="AJ1382" s="298"/>
      <c r="AK1382" s="297"/>
      <c r="AN1382" s="298"/>
      <c r="AR1382" s="298"/>
    </row>
    <row r="1383" spans="2:44" s="290" customFormat="1" x14ac:dyDescent="0.2">
      <c r="B1383" s="302"/>
      <c r="D1383" s="302"/>
      <c r="E1383" s="302"/>
      <c r="K1383" s="303"/>
      <c r="L1383" s="303"/>
      <c r="M1383" s="303"/>
      <c r="AB1383" s="298"/>
      <c r="AC1383" s="297"/>
      <c r="AF1383" s="296"/>
      <c r="AG1383" s="297"/>
      <c r="AJ1383" s="298"/>
      <c r="AK1383" s="297"/>
      <c r="AN1383" s="298"/>
      <c r="AR1383" s="298"/>
    </row>
    <row r="1384" spans="2:44" s="290" customFormat="1" x14ac:dyDescent="0.2">
      <c r="B1384" s="302"/>
      <c r="D1384" s="302"/>
      <c r="E1384" s="302"/>
      <c r="K1384" s="303"/>
      <c r="L1384" s="303"/>
      <c r="M1384" s="303"/>
      <c r="AB1384" s="298"/>
      <c r="AC1384" s="297"/>
      <c r="AF1384" s="296"/>
      <c r="AG1384" s="297"/>
      <c r="AJ1384" s="298"/>
      <c r="AK1384" s="297"/>
      <c r="AN1384" s="298"/>
      <c r="AR1384" s="298"/>
    </row>
    <row r="1385" spans="2:44" s="290" customFormat="1" x14ac:dyDescent="0.2">
      <c r="B1385" s="302"/>
      <c r="D1385" s="302"/>
      <c r="E1385" s="302"/>
      <c r="K1385" s="303"/>
      <c r="L1385" s="303"/>
      <c r="M1385" s="303"/>
      <c r="AB1385" s="298"/>
      <c r="AC1385" s="297"/>
      <c r="AF1385" s="296"/>
      <c r="AG1385" s="297"/>
      <c r="AJ1385" s="298"/>
      <c r="AK1385" s="297"/>
      <c r="AN1385" s="298"/>
      <c r="AR1385" s="298"/>
    </row>
    <row r="1386" spans="2:44" s="290" customFormat="1" x14ac:dyDescent="0.2">
      <c r="B1386" s="302"/>
      <c r="D1386" s="302"/>
      <c r="E1386" s="302"/>
      <c r="K1386" s="303"/>
      <c r="L1386" s="303"/>
      <c r="M1386" s="303"/>
      <c r="AB1386" s="298"/>
      <c r="AC1386" s="297"/>
      <c r="AF1386" s="296"/>
      <c r="AG1386" s="297"/>
      <c r="AJ1386" s="298"/>
      <c r="AK1386" s="297"/>
      <c r="AN1386" s="298"/>
      <c r="AR1386" s="298"/>
    </row>
    <row r="1387" spans="2:44" s="290" customFormat="1" x14ac:dyDescent="0.2">
      <c r="B1387" s="302"/>
      <c r="D1387" s="302"/>
      <c r="E1387" s="302"/>
      <c r="K1387" s="303"/>
      <c r="L1387" s="303"/>
      <c r="M1387" s="303"/>
      <c r="AB1387" s="298"/>
      <c r="AC1387" s="297"/>
      <c r="AF1387" s="296"/>
      <c r="AG1387" s="297"/>
      <c r="AJ1387" s="298"/>
      <c r="AK1387" s="297"/>
      <c r="AN1387" s="298"/>
      <c r="AR1387" s="298"/>
    </row>
    <row r="1388" spans="2:44" s="290" customFormat="1" x14ac:dyDescent="0.2">
      <c r="B1388" s="302"/>
      <c r="D1388" s="302"/>
      <c r="E1388" s="302"/>
      <c r="K1388" s="303"/>
      <c r="L1388" s="303"/>
      <c r="M1388" s="303"/>
      <c r="AB1388" s="298"/>
      <c r="AC1388" s="297"/>
      <c r="AF1388" s="296"/>
      <c r="AG1388" s="297"/>
      <c r="AJ1388" s="298"/>
      <c r="AK1388" s="297"/>
      <c r="AN1388" s="298"/>
      <c r="AR1388" s="298"/>
    </row>
    <row r="1389" spans="2:44" s="290" customFormat="1" x14ac:dyDescent="0.2">
      <c r="B1389" s="302"/>
      <c r="D1389" s="302"/>
      <c r="E1389" s="302"/>
      <c r="K1389" s="303"/>
      <c r="L1389" s="303"/>
      <c r="M1389" s="303"/>
      <c r="AB1389" s="298"/>
      <c r="AC1389" s="297"/>
      <c r="AF1389" s="296"/>
      <c r="AG1389" s="297"/>
      <c r="AJ1389" s="298"/>
      <c r="AK1389" s="297"/>
      <c r="AN1389" s="298"/>
      <c r="AR1389" s="298"/>
    </row>
    <row r="1390" spans="2:44" s="290" customFormat="1" x14ac:dyDescent="0.2">
      <c r="B1390" s="302"/>
      <c r="D1390" s="302"/>
      <c r="E1390" s="302"/>
      <c r="K1390" s="303"/>
      <c r="L1390" s="303"/>
      <c r="M1390" s="303"/>
      <c r="AB1390" s="298"/>
      <c r="AC1390" s="297"/>
      <c r="AF1390" s="296"/>
      <c r="AG1390" s="297"/>
      <c r="AJ1390" s="298"/>
      <c r="AK1390" s="297"/>
      <c r="AN1390" s="298"/>
      <c r="AR1390" s="298"/>
    </row>
    <row r="1391" spans="2:44" s="290" customFormat="1" x14ac:dyDescent="0.2">
      <c r="B1391" s="302"/>
      <c r="D1391" s="302"/>
      <c r="E1391" s="302"/>
      <c r="K1391" s="303"/>
      <c r="L1391" s="303"/>
      <c r="M1391" s="303"/>
      <c r="AB1391" s="298"/>
      <c r="AC1391" s="297"/>
      <c r="AF1391" s="296"/>
      <c r="AG1391" s="297"/>
      <c r="AJ1391" s="298"/>
      <c r="AK1391" s="297"/>
      <c r="AN1391" s="298"/>
      <c r="AR1391" s="298"/>
    </row>
    <row r="1392" spans="2:44" s="290" customFormat="1" x14ac:dyDescent="0.2">
      <c r="B1392" s="302"/>
      <c r="D1392" s="302"/>
      <c r="E1392" s="302"/>
      <c r="K1392" s="303"/>
      <c r="L1392" s="303"/>
      <c r="M1392" s="303"/>
      <c r="AB1392" s="298"/>
      <c r="AC1392" s="297"/>
      <c r="AF1392" s="296"/>
      <c r="AG1392" s="297"/>
      <c r="AJ1392" s="298"/>
      <c r="AK1392" s="297"/>
      <c r="AN1392" s="298"/>
      <c r="AR1392" s="298"/>
    </row>
    <row r="1393" spans="2:44" s="290" customFormat="1" x14ac:dyDescent="0.2">
      <c r="B1393" s="302"/>
      <c r="D1393" s="302"/>
      <c r="E1393" s="302"/>
      <c r="K1393" s="303"/>
      <c r="L1393" s="303"/>
      <c r="M1393" s="303"/>
      <c r="AB1393" s="298"/>
      <c r="AC1393" s="297"/>
      <c r="AF1393" s="296"/>
      <c r="AG1393" s="297"/>
      <c r="AJ1393" s="298"/>
      <c r="AK1393" s="297"/>
      <c r="AN1393" s="298"/>
      <c r="AR1393" s="298"/>
    </row>
    <row r="1394" spans="2:44" s="290" customFormat="1" x14ac:dyDescent="0.2">
      <c r="B1394" s="302"/>
      <c r="D1394" s="302"/>
      <c r="E1394" s="302"/>
      <c r="K1394" s="303"/>
      <c r="L1394" s="303"/>
      <c r="M1394" s="303"/>
      <c r="AB1394" s="298"/>
      <c r="AC1394" s="297"/>
      <c r="AF1394" s="296"/>
      <c r="AG1394" s="297"/>
      <c r="AJ1394" s="298"/>
      <c r="AK1394" s="297"/>
      <c r="AN1394" s="298"/>
      <c r="AR1394" s="298"/>
    </row>
    <row r="1395" spans="2:44" s="290" customFormat="1" x14ac:dyDescent="0.2">
      <c r="B1395" s="302"/>
      <c r="D1395" s="302"/>
      <c r="E1395" s="302"/>
      <c r="K1395" s="303"/>
      <c r="L1395" s="303"/>
      <c r="M1395" s="303"/>
      <c r="AB1395" s="298"/>
      <c r="AC1395" s="297"/>
      <c r="AF1395" s="296"/>
      <c r="AG1395" s="297"/>
      <c r="AJ1395" s="298"/>
      <c r="AK1395" s="297"/>
      <c r="AN1395" s="298"/>
      <c r="AR1395" s="298"/>
    </row>
    <row r="1396" spans="2:44" s="290" customFormat="1" x14ac:dyDescent="0.2">
      <c r="B1396" s="302"/>
      <c r="D1396" s="302"/>
      <c r="E1396" s="302"/>
      <c r="K1396" s="303"/>
      <c r="L1396" s="303"/>
      <c r="M1396" s="303"/>
      <c r="AB1396" s="298"/>
      <c r="AC1396" s="297"/>
      <c r="AF1396" s="296"/>
      <c r="AG1396" s="297"/>
      <c r="AJ1396" s="298"/>
      <c r="AK1396" s="297"/>
      <c r="AN1396" s="298"/>
      <c r="AR1396" s="298"/>
    </row>
    <row r="1397" spans="2:44" s="290" customFormat="1" x14ac:dyDescent="0.2">
      <c r="B1397" s="302"/>
      <c r="D1397" s="302"/>
      <c r="E1397" s="302"/>
      <c r="K1397" s="303"/>
      <c r="L1397" s="303"/>
      <c r="M1397" s="303"/>
      <c r="AB1397" s="298"/>
      <c r="AC1397" s="297"/>
      <c r="AF1397" s="296"/>
      <c r="AG1397" s="297"/>
      <c r="AJ1397" s="298"/>
      <c r="AK1397" s="297"/>
      <c r="AN1397" s="298"/>
      <c r="AR1397" s="298"/>
    </row>
    <row r="1398" spans="2:44" s="290" customFormat="1" x14ac:dyDescent="0.2">
      <c r="B1398" s="302"/>
      <c r="D1398" s="302"/>
      <c r="E1398" s="302"/>
      <c r="K1398" s="303"/>
      <c r="L1398" s="303"/>
      <c r="M1398" s="303"/>
      <c r="AB1398" s="298"/>
      <c r="AC1398" s="297"/>
      <c r="AF1398" s="296"/>
      <c r="AG1398" s="297"/>
      <c r="AJ1398" s="298"/>
      <c r="AK1398" s="297"/>
      <c r="AN1398" s="298"/>
      <c r="AR1398" s="298"/>
    </row>
    <row r="1399" spans="2:44" s="290" customFormat="1" x14ac:dyDescent="0.2">
      <c r="B1399" s="302"/>
      <c r="D1399" s="302"/>
      <c r="E1399" s="302"/>
      <c r="K1399" s="303"/>
      <c r="L1399" s="303"/>
      <c r="M1399" s="303"/>
      <c r="AB1399" s="298"/>
      <c r="AC1399" s="297"/>
      <c r="AF1399" s="296"/>
      <c r="AG1399" s="297"/>
      <c r="AJ1399" s="298"/>
      <c r="AK1399" s="297"/>
      <c r="AN1399" s="298"/>
      <c r="AR1399" s="298"/>
    </row>
    <row r="1400" spans="2:44" s="290" customFormat="1" x14ac:dyDescent="0.2">
      <c r="B1400" s="302"/>
      <c r="D1400" s="302"/>
      <c r="E1400" s="302"/>
      <c r="K1400" s="303"/>
      <c r="L1400" s="303"/>
      <c r="M1400" s="303"/>
      <c r="AB1400" s="298"/>
      <c r="AC1400" s="297"/>
      <c r="AF1400" s="296"/>
      <c r="AG1400" s="297"/>
      <c r="AJ1400" s="298"/>
      <c r="AK1400" s="297"/>
      <c r="AN1400" s="298"/>
      <c r="AR1400" s="298"/>
    </row>
    <row r="1401" spans="2:44" s="290" customFormat="1" x14ac:dyDescent="0.2">
      <c r="B1401" s="302"/>
      <c r="D1401" s="302"/>
      <c r="E1401" s="302"/>
      <c r="K1401" s="303"/>
      <c r="L1401" s="303"/>
      <c r="M1401" s="303"/>
      <c r="AB1401" s="298"/>
      <c r="AC1401" s="297"/>
      <c r="AF1401" s="296"/>
      <c r="AG1401" s="297"/>
      <c r="AJ1401" s="298"/>
      <c r="AK1401" s="297"/>
      <c r="AN1401" s="298"/>
      <c r="AR1401" s="298"/>
    </row>
    <row r="1402" spans="2:44" s="290" customFormat="1" x14ac:dyDescent="0.2">
      <c r="B1402" s="302"/>
      <c r="D1402" s="302"/>
      <c r="E1402" s="302"/>
      <c r="K1402" s="303"/>
      <c r="L1402" s="303"/>
      <c r="M1402" s="303"/>
      <c r="AB1402" s="298"/>
      <c r="AC1402" s="297"/>
      <c r="AF1402" s="296"/>
      <c r="AG1402" s="297"/>
      <c r="AJ1402" s="298"/>
      <c r="AK1402" s="297"/>
      <c r="AN1402" s="298"/>
      <c r="AR1402" s="298"/>
    </row>
    <row r="1403" spans="2:44" s="290" customFormat="1" x14ac:dyDescent="0.2">
      <c r="B1403" s="302"/>
      <c r="D1403" s="302"/>
      <c r="E1403" s="302"/>
      <c r="K1403" s="303"/>
      <c r="L1403" s="303"/>
      <c r="M1403" s="303"/>
      <c r="AB1403" s="298"/>
      <c r="AC1403" s="297"/>
      <c r="AF1403" s="296"/>
      <c r="AG1403" s="297"/>
      <c r="AJ1403" s="298"/>
      <c r="AK1403" s="297"/>
      <c r="AN1403" s="298"/>
      <c r="AR1403" s="298"/>
    </row>
    <row r="1404" spans="2:44" s="290" customFormat="1" x14ac:dyDescent="0.2">
      <c r="B1404" s="302"/>
      <c r="D1404" s="302"/>
      <c r="E1404" s="302"/>
      <c r="K1404" s="303"/>
      <c r="L1404" s="303"/>
      <c r="M1404" s="303"/>
      <c r="AB1404" s="298"/>
      <c r="AC1404" s="297"/>
      <c r="AF1404" s="296"/>
      <c r="AG1404" s="297"/>
      <c r="AJ1404" s="298"/>
      <c r="AK1404" s="297"/>
      <c r="AN1404" s="298"/>
      <c r="AR1404" s="298"/>
    </row>
    <row r="1405" spans="2:44" s="290" customFormat="1" x14ac:dyDescent="0.2">
      <c r="B1405" s="302"/>
      <c r="D1405" s="302"/>
      <c r="E1405" s="302"/>
      <c r="K1405" s="303"/>
      <c r="L1405" s="303"/>
      <c r="M1405" s="303"/>
      <c r="AB1405" s="298"/>
      <c r="AC1405" s="297"/>
      <c r="AF1405" s="296"/>
      <c r="AG1405" s="297"/>
      <c r="AJ1405" s="298"/>
      <c r="AK1405" s="297"/>
      <c r="AN1405" s="298"/>
      <c r="AR1405" s="298"/>
    </row>
    <row r="1406" spans="2:44" s="290" customFormat="1" x14ac:dyDescent="0.2">
      <c r="B1406" s="302"/>
      <c r="D1406" s="302"/>
      <c r="E1406" s="302"/>
      <c r="K1406" s="303"/>
      <c r="L1406" s="303"/>
      <c r="M1406" s="303"/>
      <c r="AB1406" s="298"/>
      <c r="AC1406" s="297"/>
      <c r="AF1406" s="296"/>
      <c r="AG1406" s="297"/>
      <c r="AJ1406" s="298"/>
      <c r="AK1406" s="297"/>
      <c r="AN1406" s="298"/>
      <c r="AR1406" s="298"/>
    </row>
    <row r="1407" spans="2:44" s="290" customFormat="1" x14ac:dyDescent="0.2">
      <c r="B1407" s="302"/>
      <c r="D1407" s="302"/>
      <c r="E1407" s="302"/>
      <c r="K1407" s="303"/>
      <c r="L1407" s="303"/>
      <c r="M1407" s="303"/>
      <c r="AB1407" s="298"/>
      <c r="AC1407" s="297"/>
      <c r="AF1407" s="296"/>
      <c r="AG1407" s="297"/>
      <c r="AJ1407" s="298"/>
      <c r="AK1407" s="297"/>
      <c r="AN1407" s="298"/>
      <c r="AR1407" s="298"/>
    </row>
    <row r="1408" spans="2:44" s="290" customFormat="1" x14ac:dyDescent="0.2">
      <c r="B1408" s="302"/>
      <c r="D1408" s="302"/>
      <c r="E1408" s="302"/>
      <c r="K1408" s="303"/>
      <c r="L1408" s="303"/>
      <c r="M1408" s="303"/>
      <c r="AB1408" s="298"/>
      <c r="AC1408" s="297"/>
      <c r="AF1408" s="296"/>
      <c r="AG1408" s="297"/>
      <c r="AJ1408" s="298"/>
      <c r="AK1408" s="297"/>
      <c r="AN1408" s="298"/>
      <c r="AR1408" s="298"/>
    </row>
    <row r="1409" spans="2:44" s="290" customFormat="1" x14ac:dyDescent="0.2">
      <c r="B1409" s="302"/>
      <c r="D1409" s="302"/>
      <c r="E1409" s="302"/>
      <c r="K1409" s="303"/>
      <c r="L1409" s="303"/>
      <c r="M1409" s="303"/>
      <c r="AB1409" s="298"/>
      <c r="AC1409" s="297"/>
      <c r="AF1409" s="296"/>
      <c r="AG1409" s="297"/>
      <c r="AJ1409" s="298"/>
      <c r="AK1409" s="297"/>
      <c r="AN1409" s="298"/>
      <c r="AR1409" s="298"/>
    </row>
    <row r="1410" spans="2:44" s="290" customFormat="1" x14ac:dyDescent="0.2">
      <c r="B1410" s="302"/>
      <c r="D1410" s="302"/>
      <c r="E1410" s="302"/>
      <c r="K1410" s="303"/>
      <c r="L1410" s="303"/>
      <c r="M1410" s="303"/>
      <c r="AB1410" s="298"/>
      <c r="AC1410" s="297"/>
      <c r="AF1410" s="296"/>
      <c r="AG1410" s="297"/>
      <c r="AJ1410" s="298"/>
      <c r="AK1410" s="297"/>
      <c r="AN1410" s="298"/>
      <c r="AR1410" s="298"/>
    </row>
    <row r="1411" spans="2:44" s="290" customFormat="1" x14ac:dyDescent="0.2">
      <c r="B1411" s="302"/>
      <c r="D1411" s="302"/>
      <c r="E1411" s="302"/>
      <c r="K1411" s="303"/>
      <c r="L1411" s="303"/>
      <c r="M1411" s="303"/>
      <c r="AB1411" s="298"/>
      <c r="AC1411" s="297"/>
      <c r="AF1411" s="296"/>
      <c r="AG1411" s="297"/>
      <c r="AJ1411" s="298"/>
      <c r="AK1411" s="297"/>
      <c r="AN1411" s="298"/>
      <c r="AR1411" s="298"/>
    </row>
    <row r="1412" spans="2:44" s="290" customFormat="1" x14ac:dyDescent="0.2">
      <c r="B1412" s="302"/>
      <c r="D1412" s="302"/>
      <c r="E1412" s="302"/>
      <c r="K1412" s="303"/>
      <c r="L1412" s="303"/>
      <c r="M1412" s="303"/>
      <c r="AB1412" s="298"/>
      <c r="AC1412" s="297"/>
      <c r="AF1412" s="296"/>
      <c r="AG1412" s="297"/>
      <c r="AJ1412" s="298"/>
      <c r="AK1412" s="297"/>
      <c r="AN1412" s="298"/>
      <c r="AR1412" s="298"/>
    </row>
    <row r="1413" spans="2:44" s="290" customFormat="1" x14ac:dyDescent="0.2">
      <c r="B1413" s="302"/>
      <c r="D1413" s="302"/>
      <c r="E1413" s="302"/>
      <c r="K1413" s="303"/>
      <c r="L1413" s="303"/>
      <c r="M1413" s="303"/>
      <c r="AB1413" s="298"/>
      <c r="AC1413" s="297"/>
      <c r="AF1413" s="296"/>
      <c r="AG1413" s="297"/>
      <c r="AJ1413" s="298"/>
      <c r="AK1413" s="297"/>
      <c r="AN1413" s="298"/>
      <c r="AR1413" s="298"/>
    </row>
    <row r="1414" spans="2:44" s="290" customFormat="1" x14ac:dyDescent="0.2">
      <c r="B1414" s="302"/>
      <c r="D1414" s="302"/>
      <c r="E1414" s="302"/>
      <c r="K1414" s="303"/>
      <c r="L1414" s="303"/>
      <c r="M1414" s="303"/>
      <c r="AB1414" s="298"/>
      <c r="AC1414" s="297"/>
      <c r="AF1414" s="296"/>
      <c r="AG1414" s="297"/>
      <c r="AJ1414" s="298"/>
      <c r="AK1414" s="297"/>
      <c r="AN1414" s="298"/>
      <c r="AR1414" s="298"/>
    </row>
    <row r="1415" spans="2:44" s="290" customFormat="1" x14ac:dyDescent="0.2">
      <c r="B1415" s="302"/>
      <c r="D1415" s="302"/>
      <c r="E1415" s="302"/>
      <c r="K1415" s="303"/>
      <c r="L1415" s="303"/>
      <c r="M1415" s="303"/>
      <c r="AB1415" s="298"/>
      <c r="AC1415" s="297"/>
      <c r="AF1415" s="296"/>
      <c r="AG1415" s="297"/>
      <c r="AJ1415" s="298"/>
      <c r="AK1415" s="297"/>
      <c r="AN1415" s="298"/>
      <c r="AR1415" s="298"/>
    </row>
    <row r="1416" spans="2:44" s="290" customFormat="1" x14ac:dyDescent="0.2">
      <c r="B1416" s="302"/>
      <c r="D1416" s="302"/>
      <c r="E1416" s="302"/>
      <c r="K1416" s="303"/>
      <c r="L1416" s="303"/>
      <c r="M1416" s="303"/>
      <c r="AB1416" s="298"/>
      <c r="AC1416" s="297"/>
      <c r="AF1416" s="296"/>
      <c r="AG1416" s="297"/>
      <c r="AJ1416" s="298"/>
      <c r="AK1416" s="297"/>
      <c r="AN1416" s="298"/>
      <c r="AR1416" s="298"/>
    </row>
    <row r="1417" spans="2:44" s="290" customFormat="1" x14ac:dyDescent="0.2">
      <c r="B1417" s="302"/>
      <c r="D1417" s="302"/>
      <c r="E1417" s="302"/>
      <c r="K1417" s="303"/>
      <c r="L1417" s="303"/>
      <c r="M1417" s="303"/>
      <c r="AB1417" s="298"/>
      <c r="AC1417" s="297"/>
      <c r="AF1417" s="296"/>
      <c r="AG1417" s="297"/>
      <c r="AJ1417" s="298"/>
      <c r="AK1417" s="297"/>
      <c r="AN1417" s="298"/>
      <c r="AR1417" s="298"/>
    </row>
    <row r="1418" spans="2:44" s="290" customFormat="1" x14ac:dyDescent="0.2">
      <c r="B1418" s="302"/>
      <c r="D1418" s="302"/>
      <c r="E1418" s="302"/>
      <c r="K1418" s="303"/>
      <c r="L1418" s="303"/>
      <c r="M1418" s="303"/>
      <c r="AB1418" s="298"/>
      <c r="AC1418" s="297"/>
      <c r="AF1418" s="296"/>
      <c r="AG1418" s="297"/>
      <c r="AJ1418" s="298"/>
      <c r="AK1418" s="297"/>
      <c r="AN1418" s="298"/>
      <c r="AR1418" s="298"/>
    </row>
    <row r="1419" spans="2:44" s="290" customFormat="1" x14ac:dyDescent="0.2">
      <c r="B1419" s="302"/>
      <c r="D1419" s="302"/>
      <c r="E1419" s="302"/>
      <c r="K1419" s="303"/>
      <c r="L1419" s="303"/>
      <c r="M1419" s="303"/>
      <c r="AB1419" s="298"/>
      <c r="AC1419" s="297"/>
      <c r="AF1419" s="296"/>
      <c r="AG1419" s="297"/>
      <c r="AJ1419" s="298"/>
      <c r="AK1419" s="297"/>
      <c r="AN1419" s="298"/>
      <c r="AR1419" s="298"/>
    </row>
    <row r="1420" spans="2:44" s="290" customFormat="1" x14ac:dyDescent="0.2">
      <c r="B1420" s="302"/>
      <c r="D1420" s="302"/>
      <c r="E1420" s="302"/>
      <c r="K1420" s="303"/>
      <c r="L1420" s="303"/>
      <c r="M1420" s="303"/>
      <c r="AB1420" s="298"/>
      <c r="AC1420" s="297"/>
      <c r="AF1420" s="296"/>
      <c r="AG1420" s="297"/>
      <c r="AJ1420" s="298"/>
      <c r="AK1420" s="297"/>
      <c r="AN1420" s="298"/>
      <c r="AR1420" s="298"/>
    </row>
    <row r="1421" spans="2:44" s="290" customFormat="1" x14ac:dyDescent="0.2">
      <c r="B1421" s="302"/>
      <c r="D1421" s="302"/>
      <c r="E1421" s="302"/>
      <c r="K1421" s="303"/>
      <c r="L1421" s="303"/>
      <c r="M1421" s="303"/>
      <c r="AB1421" s="298"/>
      <c r="AC1421" s="297"/>
      <c r="AF1421" s="296"/>
      <c r="AG1421" s="297"/>
      <c r="AJ1421" s="298"/>
      <c r="AK1421" s="297"/>
      <c r="AN1421" s="298"/>
      <c r="AR1421" s="298"/>
    </row>
    <row r="1422" spans="2:44" s="290" customFormat="1" x14ac:dyDescent="0.2">
      <c r="B1422" s="302"/>
      <c r="D1422" s="302"/>
      <c r="E1422" s="302"/>
      <c r="K1422" s="303"/>
      <c r="L1422" s="303"/>
      <c r="M1422" s="303"/>
      <c r="AB1422" s="298"/>
      <c r="AC1422" s="297"/>
      <c r="AF1422" s="296"/>
      <c r="AG1422" s="297"/>
      <c r="AJ1422" s="298"/>
      <c r="AK1422" s="297"/>
      <c r="AN1422" s="298"/>
      <c r="AR1422" s="298"/>
    </row>
    <row r="1423" spans="2:44" s="290" customFormat="1" x14ac:dyDescent="0.2">
      <c r="B1423" s="302"/>
      <c r="D1423" s="302"/>
      <c r="E1423" s="302"/>
      <c r="K1423" s="303"/>
      <c r="L1423" s="303"/>
      <c r="M1423" s="303"/>
      <c r="AB1423" s="298"/>
      <c r="AC1423" s="297"/>
      <c r="AF1423" s="296"/>
      <c r="AG1423" s="297"/>
      <c r="AJ1423" s="298"/>
      <c r="AK1423" s="297"/>
      <c r="AN1423" s="298"/>
      <c r="AR1423" s="298"/>
    </row>
    <row r="1424" spans="2:44" s="290" customFormat="1" x14ac:dyDescent="0.2">
      <c r="B1424" s="302"/>
      <c r="D1424" s="302"/>
      <c r="E1424" s="302"/>
      <c r="K1424" s="303"/>
      <c r="L1424" s="303"/>
      <c r="M1424" s="303"/>
      <c r="AB1424" s="298"/>
      <c r="AC1424" s="297"/>
      <c r="AF1424" s="296"/>
      <c r="AG1424" s="297"/>
      <c r="AJ1424" s="298"/>
      <c r="AK1424" s="297"/>
      <c r="AN1424" s="298"/>
      <c r="AR1424" s="298"/>
    </row>
    <row r="1425" spans="2:44" s="290" customFormat="1" x14ac:dyDescent="0.2">
      <c r="B1425" s="302"/>
      <c r="D1425" s="302"/>
      <c r="E1425" s="302"/>
      <c r="K1425" s="303"/>
      <c r="L1425" s="303"/>
      <c r="M1425" s="303"/>
      <c r="AB1425" s="298"/>
      <c r="AC1425" s="297"/>
      <c r="AF1425" s="296"/>
      <c r="AG1425" s="297"/>
      <c r="AJ1425" s="298"/>
      <c r="AK1425" s="297"/>
      <c r="AN1425" s="298"/>
      <c r="AR1425" s="298"/>
    </row>
    <row r="1426" spans="2:44" s="290" customFormat="1" x14ac:dyDescent="0.2">
      <c r="B1426" s="302"/>
      <c r="D1426" s="302"/>
      <c r="E1426" s="302"/>
      <c r="K1426" s="303"/>
      <c r="L1426" s="303"/>
      <c r="M1426" s="303"/>
      <c r="AB1426" s="298"/>
      <c r="AC1426" s="297"/>
      <c r="AF1426" s="296"/>
      <c r="AG1426" s="297"/>
      <c r="AJ1426" s="298"/>
      <c r="AK1426" s="297"/>
      <c r="AN1426" s="298"/>
      <c r="AR1426" s="298"/>
    </row>
    <row r="1427" spans="2:44" s="290" customFormat="1" x14ac:dyDescent="0.2">
      <c r="B1427" s="302"/>
      <c r="D1427" s="302"/>
      <c r="E1427" s="302"/>
      <c r="K1427" s="303"/>
      <c r="L1427" s="303"/>
      <c r="M1427" s="303"/>
      <c r="AB1427" s="298"/>
      <c r="AC1427" s="297"/>
      <c r="AF1427" s="296"/>
      <c r="AG1427" s="297"/>
      <c r="AJ1427" s="298"/>
      <c r="AK1427" s="297"/>
      <c r="AN1427" s="298"/>
      <c r="AR1427" s="298"/>
    </row>
    <row r="1428" spans="2:44" s="290" customFormat="1" x14ac:dyDescent="0.2">
      <c r="B1428" s="302"/>
      <c r="D1428" s="302"/>
      <c r="E1428" s="302"/>
      <c r="K1428" s="303"/>
      <c r="L1428" s="303"/>
      <c r="M1428" s="303"/>
      <c r="AB1428" s="298"/>
      <c r="AC1428" s="297"/>
      <c r="AF1428" s="296"/>
      <c r="AG1428" s="297"/>
      <c r="AJ1428" s="298"/>
      <c r="AK1428" s="297"/>
      <c r="AN1428" s="298"/>
      <c r="AR1428" s="298"/>
    </row>
    <row r="1429" spans="2:44" s="290" customFormat="1" x14ac:dyDescent="0.2">
      <c r="B1429" s="302"/>
      <c r="D1429" s="302"/>
      <c r="E1429" s="302"/>
      <c r="K1429" s="303"/>
      <c r="L1429" s="303"/>
      <c r="M1429" s="303"/>
      <c r="AB1429" s="298"/>
      <c r="AC1429" s="297"/>
      <c r="AF1429" s="296"/>
      <c r="AG1429" s="297"/>
      <c r="AJ1429" s="298"/>
      <c r="AK1429" s="297"/>
      <c r="AN1429" s="298"/>
      <c r="AR1429" s="298"/>
    </row>
    <row r="1430" spans="2:44" s="290" customFormat="1" x14ac:dyDescent="0.2">
      <c r="B1430" s="302"/>
      <c r="D1430" s="302"/>
      <c r="E1430" s="302"/>
      <c r="K1430" s="303"/>
      <c r="L1430" s="303"/>
      <c r="M1430" s="303"/>
      <c r="AB1430" s="298"/>
      <c r="AC1430" s="297"/>
      <c r="AF1430" s="296"/>
      <c r="AG1430" s="297"/>
      <c r="AJ1430" s="298"/>
      <c r="AK1430" s="297"/>
      <c r="AN1430" s="298"/>
      <c r="AR1430" s="298"/>
    </row>
    <row r="1431" spans="2:44" s="290" customFormat="1" x14ac:dyDescent="0.2">
      <c r="B1431" s="302"/>
      <c r="D1431" s="302"/>
      <c r="E1431" s="302"/>
      <c r="K1431" s="303"/>
      <c r="L1431" s="303"/>
      <c r="M1431" s="303"/>
      <c r="AB1431" s="298"/>
      <c r="AC1431" s="297"/>
      <c r="AF1431" s="296"/>
      <c r="AG1431" s="297"/>
      <c r="AJ1431" s="298"/>
      <c r="AK1431" s="297"/>
      <c r="AN1431" s="298"/>
      <c r="AR1431" s="298"/>
    </row>
    <row r="1432" spans="2:44" s="290" customFormat="1" x14ac:dyDescent="0.2">
      <c r="B1432" s="302"/>
      <c r="D1432" s="302"/>
      <c r="E1432" s="302"/>
      <c r="K1432" s="303"/>
      <c r="L1432" s="303"/>
      <c r="M1432" s="303"/>
      <c r="AB1432" s="298"/>
      <c r="AC1432" s="297"/>
      <c r="AF1432" s="296"/>
      <c r="AG1432" s="297"/>
      <c r="AJ1432" s="298"/>
      <c r="AK1432" s="297"/>
      <c r="AN1432" s="298"/>
      <c r="AR1432" s="298"/>
    </row>
    <row r="1433" spans="2:44" s="290" customFormat="1" x14ac:dyDescent="0.2">
      <c r="B1433" s="302"/>
      <c r="D1433" s="302"/>
      <c r="E1433" s="302"/>
      <c r="K1433" s="303"/>
      <c r="L1433" s="303"/>
      <c r="M1433" s="303"/>
      <c r="AB1433" s="298"/>
      <c r="AC1433" s="297"/>
      <c r="AF1433" s="296"/>
      <c r="AG1433" s="297"/>
      <c r="AJ1433" s="298"/>
      <c r="AK1433" s="297"/>
      <c r="AN1433" s="298"/>
      <c r="AR1433" s="298"/>
    </row>
    <row r="1434" spans="2:44" s="290" customFormat="1" x14ac:dyDescent="0.2">
      <c r="B1434" s="302"/>
      <c r="D1434" s="302"/>
      <c r="E1434" s="302"/>
      <c r="K1434" s="303"/>
      <c r="L1434" s="303"/>
      <c r="M1434" s="303"/>
      <c r="AB1434" s="298"/>
      <c r="AC1434" s="297"/>
      <c r="AF1434" s="296"/>
      <c r="AG1434" s="297"/>
      <c r="AJ1434" s="298"/>
      <c r="AK1434" s="297"/>
      <c r="AN1434" s="298"/>
      <c r="AR1434" s="298"/>
    </row>
    <row r="1435" spans="2:44" s="290" customFormat="1" x14ac:dyDescent="0.2">
      <c r="B1435" s="302"/>
      <c r="D1435" s="302"/>
      <c r="E1435" s="302"/>
      <c r="K1435" s="303"/>
      <c r="L1435" s="303"/>
      <c r="M1435" s="303"/>
      <c r="AB1435" s="298"/>
      <c r="AC1435" s="297"/>
      <c r="AF1435" s="296"/>
      <c r="AG1435" s="297"/>
      <c r="AJ1435" s="298"/>
      <c r="AK1435" s="297"/>
      <c r="AN1435" s="298"/>
      <c r="AR1435" s="298"/>
    </row>
    <row r="1436" spans="2:44" s="290" customFormat="1" x14ac:dyDescent="0.2">
      <c r="B1436" s="302"/>
      <c r="D1436" s="302"/>
      <c r="E1436" s="302"/>
      <c r="K1436" s="303"/>
      <c r="L1436" s="303"/>
      <c r="M1436" s="303"/>
      <c r="AB1436" s="298"/>
      <c r="AC1436" s="297"/>
      <c r="AF1436" s="296"/>
      <c r="AG1436" s="297"/>
      <c r="AJ1436" s="298"/>
      <c r="AK1436" s="297"/>
      <c r="AN1436" s="298"/>
      <c r="AR1436" s="298"/>
    </row>
    <row r="1437" spans="2:44" s="290" customFormat="1" x14ac:dyDescent="0.2">
      <c r="B1437" s="302"/>
      <c r="D1437" s="302"/>
      <c r="E1437" s="302"/>
      <c r="K1437" s="303"/>
      <c r="L1437" s="303"/>
      <c r="M1437" s="303"/>
      <c r="AB1437" s="298"/>
      <c r="AC1437" s="297"/>
      <c r="AF1437" s="296"/>
      <c r="AG1437" s="297"/>
      <c r="AJ1437" s="298"/>
      <c r="AK1437" s="297"/>
      <c r="AN1437" s="298"/>
      <c r="AR1437" s="298"/>
    </row>
    <row r="1438" spans="2:44" s="290" customFormat="1" x14ac:dyDescent="0.2">
      <c r="B1438" s="302"/>
      <c r="D1438" s="302"/>
      <c r="E1438" s="302"/>
      <c r="K1438" s="303"/>
      <c r="L1438" s="303"/>
      <c r="M1438" s="303"/>
      <c r="AB1438" s="298"/>
      <c r="AC1438" s="297"/>
      <c r="AF1438" s="296"/>
      <c r="AG1438" s="297"/>
      <c r="AJ1438" s="298"/>
      <c r="AK1438" s="297"/>
      <c r="AN1438" s="298"/>
      <c r="AR1438" s="298"/>
    </row>
    <row r="1439" spans="2:44" s="290" customFormat="1" x14ac:dyDescent="0.2">
      <c r="B1439" s="302"/>
      <c r="D1439" s="302"/>
      <c r="E1439" s="302"/>
      <c r="K1439" s="303"/>
      <c r="L1439" s="303"/>
      <c r="M1439" s="303"/>
      <c r="AB1439" s="298"/>
      <c r="AC1439" s="297"/>
      <c r="AF1439" s="296"/>
      <c r="AG1439" s="297"/>
      <c r="AJ1439" s="298"/>
      <c r="AK1439" s="297"/>
      <c r="AN1439" s="298"/>
      <c r="AR1439" s="298"/>
    </row>
    <row r="1440" spans="2:44" s="290" customFormat="1" x14ac:dyDescent="0.2">
      <c r="B1440" s="302"/>
      <c r="D1440" s="302"/>
      <c r="E1440" s="302"/>
      <c r="K1440" s="303"/>
      <c r="L1440" s="303"/>
      <c r="M1440" s="303"/>
      <c r="AB1440" s="298"/>
      <c r="AC1440" s="297"/>
      <c r="AF1440" s="296"/>
      <c r="AG1440" s="297"/>
      <c r="AJ1440" s="298"/>
      <c r="AK1440" s="297"/>
      <c r="AN1440" s="298"/>
      <c r="AR1440" s="298"/>
    </row>
    <row r="1441" spans="2:44" s="290" customFormat="1" x14ac:dyDescent="0.2">
      <c r="B1441" s="302"/>
      <c r="D1441" s="302"/>
      <c r="E1441" s="302"/>
      <c r="K1441" s="303"/>
      <c r="L1441" s="303"/>
      <c r="M1441" s="303"/>
      <c r="AB1441" s="298"/>
      <c r="AC1441" s="297"/>
      <c r="AF1441" s="296"/>
      <c r="AG1441" s="297"/>
      <c r="AJ1441" s="298"/>
      <c r="AK1441" s="297"/>
      <c r="AN1441" s="298"/>
      <c r="AR1441" s="298"/>
    </row>
    <row r="1442" spans="2:44" s="290" customFormat="1" x14ac:dyDescent="0.2">
      <c r="B1442" s="302"/>
      <c r="D1442" s="302"/>
      <c r="E1442" s="302"/>
      <c r="K1442" s="303"/>
      <c r="L1442" s="303"/>
      <c r="M1442" s="303"/>
      <c r="AB1442" s="298"/>
      <c r="AC1442" s="297"/>
      <c r="AF1442" s="296"/>
      <c r="AG1442" s="297"/>
      <c r="AJ1442" s="298"/>
      <c r="AK1442" s="297"/>
      <c r="AN1442" s="298"/>
      <c r="AR1442" s="298"/>
    </row>
    <row r="1443" spans="2:44" s="290" customFormat="1" x14ac:dyDescent="0.2">
      <c r="B1443" s="302"/>
      <c r="D1443" s="302"/>
      <c r="E1443" s="302"/>
      <c r="K1443" s="303"/>
      <c r="L1443" s="303"/>
      <c r="M1443" s="303"/>
      <c r="AB1443" s="298"/>
      <c r="AC1443" s="297"/>
      <c r="AF1443" s="296"/>
      <c r="AG1443" s="297"/>
      <c r="AJ1443" s="298"/>
      <c r="AK1443" s="297"/>
      <c r="AN1443" s="298"/>
      <c r="AR1443" s="298"/>
    </row>
    <row r="1444" spans="2:44" s="290" customFormat="1" x14ac:dyDescent="0.2">
      <c r="B1444" s="302"/>
      <c r="D1444" s="302"/>
      <c r="E1444" s="302"/>
      <c r="K1444" s="303"/>
      <c r="L1444" s="303"/>
      <c r="M1444" s="303"/>
      <c r="AB1444" s="298"/>
      <c r="AC1444" s="297"/>
      <c r="AF1444" s="296"/>
      <c r="AG1444" s="297"/>
      <c r="AJ1444" s="298"/>
      <c r="AK1444" s="297"/>
      <c r="AN1444" s="298"/>
      <c r="AR1444" s="298"/>
    </row>
    <row r="1445" spans="2:44" s="290" customFormat="1" x14ac:dyDescent="0.2">
      <c r="B1445" s="302"/>
      <c r="D1445" s="302"/>
      <c r="E1445" s="302"/>
      <c r="K1445" s="303"/>
      <c r="L1445" s="303"/>
      <c r="M1445" s="303"/>
      <c r="AB1445" s="298"/>
      <c r="AC1445" s="297"/>
      <c r="AF1445" s="296"/>
      <c r="AG1445" s="297"/>
      <c r="AJ1445" s="298"/>
      <c r="AK1445" s="297"/>
      <c r="AN1445" s="298"/>
      <c r="AR1445" s="298"/>
    </row>
    <row r="1446" spans="2:44" s="290" customFormat="1" x14ac:dyDescent="0.2">
      <c r="B1446" s="302"/>
      <c r="D1446" s="302"/>
      <c r="E1446" s="302"/>
      <c r="K1446" s="303"/>
      <c r="L1446" s="303"/>
      <c r="M1446" s="303"/>
      <c r="AB1446" s="298"/>
      <c r="AC1446" s="297"/>
      <c r="AF1446" s="296"/>
      <c r="AG1446" s="297"/>
      <c r="AJ1446" s="298"/>
      <c r="AK1446" s="297"/>
      <c r="AN1446" s="298"/>
      <c r="AR1446" s="298"/>
    </row>
    <row r="1447" spans="2:44" s="290" customFormat="1" x14ac:dyDescent="0.2">
      <c r="B1447" s="302"/>
      <c r="D1447" s="302"/>
      <c r="E1447" s="302"/>
      <c r="K1447" s="303"/>
      <c r="L1447" s="303"/>
      <c r="M1447" s="303"/>
      <c r="AB1447" s="298"/>
      <c r="AC1447" s="297"/>
      <c r="AF1447" s="296"/>
      <c r="AG1447" s="297"/>
      <c r="AJ1447" s="298"/>
      <c r="AK1447" s="297"/>
      <c r="AN1447" s="298"/>
      <c r="AR1447" s="298"/>
    </row>
    <row r="1448" spans="2:44" s="290" customFormat="1" x14ac:dyDescent="0.2">
      <c r="B1448" s="302"/>
      <c r="D1448" s="302"/>
      <c r="E1448" s="302"/>
      <c r="K1448" s="303"/>
      <c r="L1448" s="303"/>
      <c r="M1448" s="303"/>
      <c r="AB1448" s="298"/>
      <c r="AC1448" s="297"/>
      <c r="AF1448" s="296"/>
      <c r="AG1448" s="297"/>
      <c r="AJ1448" s="298"/>
      <c r="AK1448" s="297"/>
      <c r="AN1448" s="298"/>
      <c r="AR1448" s="298"/>
    </row>
    <row r="1449" spans="2:44" s="290" customFormat="1" x14ac:dyDescent="0.2">
      <c r="B1449" s="302"/>
      <c r="D1449" s="302"/>
      <c r="E1449" s="302"/>
      <c r="K1449" s="303"/>
      <c r="L1449" s="303"/>
      <c r="M1449" s="303"/>
      <c r="AB1449" s="298"/>
      <c r="AC1449" s="297"/>
      <c r="AF1449" s="296"/>
      <c r="AG1449" s="297"/>
      <c r="AJ1449" s="298"/>
      <c r="AK1449" s="297"/>
      <c r="AN1449" s="298"/>
      <c r="AR1449" s="298"/>
    </row>
    <row r="1450" spans="2:44" s="290" customFormat="1" x14ac:dyDescent="0.2">
      <c r="B1450" s="302"/>
      <c r="D1450" s="302"/>
      <c r="E1450" s="302"/>
      <c r="K1450" s="303"/>
      <c r="L1450" s="303"/>
      <c r="M1450" s="303"/>
      <c r="AB1450" s="298"/>
      <c r="AC1450" s="297"/>
      <c r="AF1450" s="296"/>
      <c r="AG1450" s="297"/>
      <c r="AJ1450" s="298"/>
      <c r="AK1450" s="297"/>
      <c r="AN1450" s="298"/>
      <c r="AR1450" s="298"/>
    </row>
    <row r="1451" spans="2:44" s="290" customFormat="1" x14ac:dyDescent="0.2">
      <c r="B1451" s="302"/>
      <c r="D1451" s="302"/>
      <c r="E1451" s="302"/>
      <c r="K1451" s="303"/>
      <c r="L1451" s="303"/>
      <c r="M1451" s="303"/>
      <c r="AB1451" s="298"/>
      <c r="AC1451" s="297"/>
      <c r="AF1451" s="296"/>
      <c r="AG1451" s="297"/>
      <c r="AJ1451" s="298"/>
      <c r="AK1451" s="297"/>
      <c r="AN1451" s="298"/>
      <c r="AR1451" s="298"/>
    </row>
    <row r="1452" spans="2:44" s="290" customFormat="1" x14ac:dyDescent="0.2">
      <c r="B1452" s="302"/>
      <c r="D1452" s="302"/>
      <c r="E1452" s="302"/>
      <c r="K1452" s="303"/>
      <c r="L1452" s="303"/>
      <c r="M1452" s="303"/>
      <c r="AB1452" s="298"/>
      <c r="AC1452" s="297"/>
      <c r="AF1452" s="296"/>
      <c r="AG1452" s="297"/>
      <c r="AJ1452" s="298"/>
      <c r="AK1452" s="297"/>
      <c r="AN1452" s="298"/>
      <c r="AR1452" s="298"/>
    </row>
    <row r="1453" spans="2:44" s="290" customFormat="1" x14ac:dyDescent="0.2">
      <c r="B1453" s="302"/>
      <c r="D1453" s="302"/>
      <c r="E1453" s="302"/>
      <c r="K1453" s="303"/>
      <c r="L1453" s="303"/>
      <c r="M1453" s="303"/>
      <c r="AB1453" s="298"/>
      <c r="AC1453" s="297"/>
      <c r="AF1453" s="296"/>
      <c r="AG1453" s="297"/>
      <c r="AJ1453" s="298"/>
      <c r="AK1453" s="297"/>
      <c r="AN1453" s="298"/>
      <c r="AR1453" s="298"/>
    </row>
    <row r="1454" spans="2:44" s="290" customFormat="1" x14ac:dyDescent="0.2">
      <c r="B1454" s="302"/>
      <c r="D1454" s="302"/>
      <c r="E1454" s="302"/>
      <c r="K1454" s="303"/>
      <c r="L1454" s="303"/>
      <c r="M1454" s="303"/>
      <c r="AB1454" s="298"/>
      <c r="AC1454" s="297"/>
      <c r="AF1454" s="296"/>
      <c r="AG1454" s="297"/>
      <c r="AJ1454" s="298"/>
      <c r="AK1454" s="297"/>
      <c r="AN1454" s="298"/>
      <c r="AR1454" s="298"/>
    </row>
    <row r="1455" spans="2:44" s="290" customFormat="1" x14ac:dyDescent="0.2">
      <c r="B1455" s="302"/>
      <c r="D1455" s="302"/>
      <c r="E1455" s="302"/>
      <c r="K1455" s="303"/>
      <c r="L1455" s="303"/>
      <c r="M1455" s="303"/>
      <c r="AB1455" s="298"/>
      <c r="AC1455" s="297"/>
      <c r="AF1455" s="296"/>
      <c r="AG1455" s="297"/>
      <c r="AJ1455" s="298"/>
      <c r="AK1455" s="297"/>
      <c r="AN1455" s="298"/>
      <c r="AR1455" s="298"/>
    </row>
    <row r="1456" spans="2:44" s="290" customFormat="1" x14ac:dyDescent="0.2">
      <c r="B1456" s="302"/>
      <c r="D1456" s="302"/>
      <c r="E1456" s="302"/>
      <c r="K1456" s="303"/>
      <c r="L1456" s="303"/>
      <c r="M1456" s="303"/>
      <c r="AB1456" s="298"/>
      <c r="AC1456" s="297"/>
      <c r="AF1456" s="296"/>
      <c r="AG1456" s="297"/>
      <c r="AJ1456" s="298"/>
      <c r="AK1456" s="297"/>
      <c r="AN1456" s="298"/>
      <c r="AR1456" s="298"/>
    </row>
    <row r="1457" spans="2:44" s="290" customFormat="1" x14ac:dyDescent="0.2">
      <c r="B1457" s="302"/>
      <c r="D1457" s="302"/>
      <c r="E1457" s="302"/>
      <c r="K1457" s="303"/>
      <c r="L1457" s="303"/>
      <c r="M1457" s="303"/>
      <c r="AB1457" s="298"/>
      <c r="AC1457" s="297"/>
      <c r="AF1457" s="296"/>
      <c r="AG1457" s="297"/>
      <c r="AJ1457" s="298"/>
      <c r="AK1457" s="297"/>
      <c r="AN1457" s="298"/>
      <c r="AR1457" s="298"/>
    </row>
    <row r="1458" spans="2:44" s="290" customFormat="1" x14ac:dyDescent="0.2">
      <c r="B1458" s="302"/>
      <c r="D1458" s="302"/>
      <c r="E1458" s="302"/>
      <c r="K1458" s="303"/>
      <c r="L1458" s="303"/>
      <c r="M1458" s="303"/>
      <c r="AB1458" s="298"/>
      <c r="AC1458" s="297"/>
      <c r="AF1458" s="296"/>
      <c r="AG1458" s="297"/>
      <c r="AJ1458" s="298"/>
      <c r="AK1458" s="297"/>
      <c r="AN1458" s="298"/>
      <c r="AR1458" s="298"/>
    </row>
    <row r="1459" spans="2:44" s="290" customFormat="1" x14ac:dyDescent="0.2">
      <c r="B1459" s="302"/>
      <c r="D1459" s="302"/>
      <c r="E1459" s="302"/>
      <c r="K1459" s="303"/>
      <c r="L1459" s="303"/>
      <c r="M1459" s="303"/>
      <c r="AB1459" s="298"/>
      <c r="AC1459" s="297"/>
      <c r="AF1459" s="296"/>
      <c r="AG1459" s="297"/>
      <c r="AJ1459" s="298"/>
      <c r="AK1459" s="297"/>
      <c r="AN1459" s="298"/>
      <c r="AR1459" s="298"/>
    </row>
    <row r="1460" spans="2:44" s="290" customFormat="1" x14ac:dyDescent="0.2">
      <c r="B1460" s="302"/>
      <c r="D1460" s="302"/>
      <c r="E1460" s="302"/>
      <c r="K1460" s="303"/>
      <c r="L1460" s="303"/>
      <c r="M1460" s="303"/>
      <c r="AB1460" s="298"/>
      <c r="AC1460" s="297"/>
      <c r="AF1460" s="296"/>
      <c r="AG1460" s="297"/>
      <c r="AJ1460" s="298"/>
      <c r="AK1460" s="297"/>
      <c r="AN1460" s="298"/>
      <c r="AR1460" s="298"/>
    </row>
    <row r="1461" spans="2:44" s="290" customFormat="1" x14ac:dyDescent="0.2">
      <c r="B1461" s="302"/>
      <c r="D1461" s="302"/>
      <c r="E1461" s="302"/>
      <c r="K1461" s="303"/>
      <c r="L1461" s="303"/>
      <c r="M1461" s="303"/>
      <c r="AB1461" s="298"/>
      <c r="AC1461" s="297"/>
      <c r="AF1461" s="296"/>
      <c r="AG1461" s="297"/>
      <c r="AJ1461" s="298"/>
      <c r="AK1461" s="297"/>
      <c r="AN1461" s="298"/>
      <c r="AR1461" s="298"/>
    </row>
    <row r="1462" spans="2:44" s="290" customFormat="1" x14ac:dyDescent="0.2">
      <c r="B1462" s="302"/>
      <c r="D1462" s="302"/>
      <c r="E1462" s="302"/>
      <c r="K1462" s="303"/>
      <c r="L1462" s="303"/>
      <c r="M1462" s="303"/>
      <c r="AB1462" s="298"/>
      <c r="AC1462" s="297"/>
      <c r="AF1462" s="296"/>
      <c r="AG1462" s="297"/>
      <c r="AJ1462" s="298"/>
      <c r="AK1462" s="297"/>
      <c r="AN1462" s="298"/>
      <c r="AR1462" s="298"/>
    </row>
    <row r="1463" spans="2:44" s="290" customFormat="1" x14ac:dyDescent="0.2">
      <c r="B1463" s="302"/>
      <c r="D1463" s="302"/>
      <c r="E1463" s="302"/>
      <c r="K1463" s="303"/>
      <c r="L1463" s="303"/>
      <c r="M1463" s="303"/>
      <c r="AB1463" s="298"/>
      <c r="AC1463" s="297"/>
      <c r="AF1463" s="296"/>
      <c r="AG1463" s="297"/>
      <c r="AJ1463" s="298"/>
      <c r="AK1463" s="297"/>
      <c r="AN1463" s="298"/>
      <c r="AR1463" s="298"/>
    </row>
    <row r="1464" spans="2:44" s="290" customFormat="1" x14ac:dyDescent="0.2">
      <c r="B1464" s="302"/>
      <c r="D1464" s="302"/>
      <c r="E1464" s="302"/>
      <c r="K1464" s="303"/>
      <c r="L1464" s="303"/>
      <c r="M1464" s="303"/>
      <c r="AB1464" s="298"/>
      <c r="AC1464" s="297"/>
      <c r="AF1464" s="296"/>
      <c r="AG1464" s="297"/>
      <c r="AJ1464" s="298"/>
      <c r="AK1464" s="297"/>
      <c r="AN1464" s="298"/>
      <c r="AR1464" s="298"/>
    </row>
    <row r="1465" spans="2:44" s="290" customFormat="1" x14ac:dyDescent="0.2">
      <c r="B1465" s="302"/>
      <c r="D1465" s="302"/>
      <c r="E1465" s="302"/>
      <c r="K1465" s="303"/>
      <c r="L1465" s="303"/>
      <c r="M1465" s="303"/>
      <c r="AB1465" s="298"/>
      <c r="AC1465" s="297"/>
      <c r="AF1465" s="296"/>
      <c r="AG1465" s="297"/>
      <c r="AJ1465" s="298"/>
      <c r="AK1465" s="297"/>
      <c r="AN1465" s="298"/>
      <c r="AR1465" s="298"/>
    </row>
    <row r="1466" spans="2:44" s="290" customFormat="1" x14ac:dyDescent="0.2">
      <c r="B1466" s="302"/>
      <c r="D1466" s="302"/>
      <c r="E1466" s="302"/>
      <c r="K1466" s="303"/>
      <c r="L1466" s="303"/>
      <c r="M1466" s="303"/>
      <c r="AB1466" s="298"/>
      <c r="AC1466" s="297"/>
      <c r="AF1466" s="296"/>
      <c r="AG1466" s="297"/>
      <c r="AJ1466" s="298"/>
      <c r="AK1466" s="297"/>
      <c r="AN1466" s="298"/>
      <c r="AR1466" s="298"/>
    </row>
    <row r="1467" spans="2:44" s="290" customFormat="1" x14ac:dyDescent="0.2">
      <c r="B1467" s="302"/>
      <c r="D1467" s="302"/>
      <c r="E1467" s="302"/>
      <c r="K1467" s="303"/>
      <c r="L1467" s="303"/>
      <c r="M1467" s="303"/>
      <c r="AB1467" s="298"/>
      <c r="AC1467" s="297"/>
      <c r="AF1467" s="296"/>
      <c r="AG1467" s="297"/>
      <c r="AJ1467" s="298"/>
      <c r="AK1467" s="297"/>
      <c r="AN1467" s="298"/>
      <c r="AR1467" s="298"/>
    </row>
    <row r="1468" spans="2:44" s="290" customFormat="1" x14ac:dyDescent="0.2">
      <c r="B1468" s="302"/>
      <c r="D1468" s="302"/>
      <c r="E1468" s="302"/>
      <c r="K1468" s="303"/>
      <c r="L1468" s="303"/>
      <c r="M1468" s="303"/>
      <c r="AB1468" s="298"/>
      <c r="AC1468" s="297"/>
      <c r="AF1468" s="296"/>
      <c r="AG1468" s="297"/>
      <c r="AJ1468" s="298"/>
      <c r="AK1468" s="297"/>
      <c r="AN1468" s="298"/>
      <c r="AR1468" s="298"/>
    </row>
    <row r="1469" spans="2:44" s="290" customFormat="1" x14ac:dyDescent="0.2">
      <c r="B1469" s="302"/>
      <c r="D1469" s="302"/>
      <c r="E1469" s="302"/>
      <c r="K1469" s="303"/>
      <c r="L1469" s="303"/>
      <c r="M1469" s="303"/>
      <c r="AB1469" s="298"/>
      <c r="AC1469" s="297"/>
      <c r="AF1469" s="296"/>
      <c r="AG1469" s="297"/>
      <c r="AJ1469" s="298"/>
      <c r="AK1469" s="297"/>
      <c r="AN1469" s="298"/>
      <c r="AR1469" s="298"/>
    </row>
    <row r="1470" spans="2:44" s="290" customFormat="1" x14ac:dyDescent="0.2">
      <c r="B1470" s="302"/>
      <c r="D1470" s="302"/>
      <c r="E1470" s="302"/>
      <c r="K1470" s="303"/>
      <c r="L1470" s="303"/>
      <c r="M1470" s="303"/>
      <c r="AB1470" s="298"/>
      <c r="AC1470" s="297"/>
      <c r="AF1470" s="296"/>
      <c r="AG1470" s="297"/>
      <c r="AJ1470" s="298"/>
      <c r="AK1470" s="297"/>
      <c r="AN1470" s="298"/>
      <c r="AR1470" s="298"/>
    </row>
    <row r="1471" spans="2:44" s="290" customFormat="1" x14ac:dyDescent="0.2">
      <c r="B1471" s="302"/>
      <c r="D1471" s="302"/>
      <c r="E1471" s="302"/>
      <c r="K1471" s="303"/>
      <c r="L1471" s="303"/>
      <c r="M1471" s="303"/>
      <c r="AB1471" s="298"/>
      <c r="AC1471" s="297"/>
      <c r="AF1471" s="296"/>
      <c r="AG1471" s="297"/>
      <c r="AJ1471" s="298"/>
      <c r="AK1471" s="297"/>
      <c r="AN1471" s="298"/>
      <c r="AR1471" s="298"/>
    </row>
    <row r="1472" spans="2:44" s="290" customFormat="1" x14ac:dyDescent="0.2">
      <c r="B1472" s="302"/>
      <c r="D1472" s="302"/>
      <c r="E1472" s="302"/>
      <c r="K1472" s="303"/>
      <c r="L1472" s="303"/>
      <c r="M1472" s="303"/>
      <c r="AB1472" s="298"/>
      <c r="AC1472" s="297"/>
      <c r="AF1472" s="296"/>
      <c r="AG1472" s="297"/>
      <c r="AJ1472" s="298"/>
      <c r="AK1472" s="297"/>
      <c r="AN1472" s="298"/>
      <c r="AR1472" s="298"/>
    </row>
    <row r="1473" spans="2:44" s="290" customFormat="1" x14ac:dyDescent="0.2">
      <c r="B1473" s="302"/>
      <c r="D1473" s="302"/>
      <c r="E1473" s="302"/>
      <c r="K1473" s="303"/>
      <c r="L1473" s="303"/>
      <c r="M1473" s="303"/>
      <c r="AB1473" s="298"/>
      <c r="AC1473" s="297"/>
      <c r="AF1473" s="296"/>
      <c r="AG1473" s="297"/>
      <c r="AJ1473" s="298"/>
      <c r="AK1473" s="297"/>
      <c r="AN1473" s="298"/>
      <c r="AR1473" s="298"/>
    </row>
    <row r="1474" spans="2:44" s="290" customFormat="1" x14ac:dyDescent="0.2">
      <c r="B1474" s="302"/>
      <c r="D1474" s="302"/>
      <c r="E1474" s="302"/>
      <c r="K1474" s="303"/>
      <c r="L1474" s="303"/>
      <c r="M1474" s="303"/>
      <c r="AB1474" s="298"/>
      <c r="AC1474" s="297"/>
      <c r="AF1474" s="296"/>
      <c r="AG1474" s="297"/>
      <c r="AJ1474" s="298"/>
      <c r="AK1474" s="297"/>
      <c r="AN1474" s="298"/>
      <c r="AR1474" s="298"/>
    </row>
    <row r="1475" spans="2:44" s="290" customFormat="1" x14ac:dyDescent="0.2">
      <c r="B1475" s="302"/>
      <c r="D1475" s="302"/>
      <c r="E1475" s="302"/>
      <c r="K1475" s="303"/>
      <c r="L1475" s="303"/>
      <c r="M1475" s="303"/>
      <c r="AB1475" s="298"/>
      <c r="AC1475" s="297"/>
      <c r="AF1475" s="296"/>
      <c r="AG1475" s="297"/>
      <c r="AJ1475" s="298"/>
      <c r="AK1475" s="297"/>
      <c r="AN1475" s="298"/>
      <c r="AR1475" s="298"/>
    </row>
    <row r="1476" spans="2:44" s="290" customFormat="1" x14ac:dyDescent="0.2">
      <c r="B1476" s="302"/>
      <c r="D1476" s="302"/>
      <c r="E1476" s="302"/>
      <c r="K1476" s="303"/>
      <c r="L1476" s="303"/>
      <c r="M1476" s="303"/>
      <c r="AB1476" s="298"/>
      <c r="AC1476" s="297"/>
      <c r="AF1476" s="296"/>
      <c r="AG1476" s="297"/>
      <c r="AJ1476" s="298"/>
      <c r="AK1476" s="297"/>
      <c r="AN1476" s="298"/>
      <c r="AR1476" s="298"/>
    </row>
    <row r="1477" spans="2:44" s="290" customFormat="1" x14ac:dyDescent="0.2">
      <c r="B1477" s="302"/>
      <c r="D1477" s="302"/>
      <c r="E1477" s="302"/>
      <c r="K1477" s="303"/>
      <c r="L1477" s="303"/>
      <c r="M1477" s="303"/>
      <c r="AB1477" s="298"/>
      <c r="AC1477" s="297"/>
      <c r="AF1477" s="296"/>
      <c r="AG1477" s="297"/>
      <c r="AJ1477" s="298"/>
      <c r="AK1477" s="297"/>
      <c r="AN1477" s="298"/>
      <c r="AR1477" s="298"/>
    </row>
    <row r="1478" spans="2:44" s="290" customFormat="1" x14ac:dyDescent="0.2">
      <c r="B1478" s="302"/>
      <c r="D1478" s="302"/>
      <c r="E1478" s="302"/>
      <c r="K1478" s="303"/>
      <c r="L1478" s="303"/>
      <c r="M1478" s="303"/>
      <c r="AB1478" s="298"/>
      <c r="AC1478" s="297"/>
      <c r="AF1478" s="296"/>
      <c r="AG1478" s="297"/>
      <c r="AJ1478" s="298"/>
      <c r="AK1478" s="297"/>
      <c r="AN1478" s="298"/>
      <c r="AR1478" s="298"/>
    </row>
    <row r="1479" spans="2:44" s="290" customFormat="1" x14ac:dyDescent="0.2">
      <c r="B1479" s="302"/>
      <c r="D1479" s="302"/>
      <c r="E1479" s="302"/>
      <c r="K1479" s="303"/>
      <c r="L1479" s="303"/>
      <c r="M1479" s="303"/>
      <c r="AB1479" s="298"/>
      <c r="AC1479" s="297"/>
      <c r="AF1479" s="296"/>
      <c r="AG1479" s="297"/>
      <c r="AJ1479" s="298"/>
      <c r="AK1479" s="297"/>
      <c r="AN1479" s="298"/>
      <c r="AR1479" s="298"/>
    </row>
    <row r="1480" spans="2:44" s="290" customFormat="1" x14ac:dyDescent="0.2">
      <c r="B1480" s="302"/>
      <c r="D1480" s="302"/>
      <c r="E1480" s="302"/>
      <c r="K1480" s="303"/>
      <c r="L1480" s="303"/>
      <c r="M1480" s="303"/>
      <c r="AB1480" s="298"/>
      <c r="AC1480" s="297"/>
      <c r="AF1480" s="296"/>
      <c r="AG1480" s="297"/>
      <c r="AJ1480" s="298"/>
      <c r="AK1480" s="297"/>
      <c r="AN1480" s="298"/>
      <c r="AR1480" s="298"/>
    </row>
    <row r="1481" spans="2:44" s="290" customFormat="1" x14ac:dyDescent="0.2">
      <c r="B1481" s="302"/>
      <c r="D1481" s="302"/>
      <c r="E1481" s="302"/>
      <c r="K1481" s="303"/>
      <c r="L1481" s="303"/>
      <c r="M1481" s="303"/>
      <c r="AB1481" s="298"/>
      <c r="AC1481" s="297"/>
      <c r="AF1481" s="296"/>
      <c r="AG1481" s="297"/>
      <c r="AJ1481" s="298"/>
      <c r="AK1481" s="297"/>
      <c r="AN1481" s="298"/>
      <c r="AR1481" s="298"/>
    </row>
    <row r="1482" spans="2:44" s="290" customFormat="1" x14ac:dyDescent="0.2">
      <c r="B1482" s="302"/>
      <c r="D1482" s="302"/>
      <c r="E1482" s="302"/>
      <c r="K1482" s="303"/>
      <c r="L1482" s="303"/>
      <c r="M1482" s="303"/>
      <c r="AB1482" s="298"/>
      <c r="AC1482" s="297"/>
      <c r="AF1482" s="296"/>
      <c r="AG1482" s="297"/>
      <c r="AJ1482" s="298"/>
      <c r="AK1482" s="297"/>
      <c r="AN1482" s="298"/>
      <c r="AR1482" s="298"/>
    </row>
    <row r="1483" spans="2:44" s="290" customFormat="1" x14ac:dyDescent="0.2">
      <c r="B1483" s="302"/>
      <c r="D1483" s="302"/>
      <c r="E1483" s="302"/>
      <c r="K1483" s="303"/>
      <c r="L1483" s="303"/>
      <c r="M1483" s="303"/>
      <c r="AB1483" s="298"/>
      <c r="AC1483" s="297"/>
      <c r="AF1483" s="296"/>
      <c r="AG1483" s="297"/>
      <c r="AJ1483" s="298"/>
      <c r="AK1483" s="297"/>
      <c r="AN1483" s="298"/>
      <c r="AR1483" s="298"/>
    </row>
    <row r="1484" spans="2:44" s="290" customFormat="1" x14ac:dyDescent="0.2">
      <c r="B1484" s="302"/>
      <c r="D1484" s="302"/>
      <c r="E1484" s="302"/>
      <c r="K1484" s="303"/>
      <c r="L1484" s="303"/>
      <c r="M1484" s="303"/>
      <c r="AB1484" s="298"/>
      <c r="AC1484" s="297"/>
      <c r="AF1484" s="296"/>
      <c r="AG1484" s="297"/>
      <c r="AJ1484" s="298"/>
      <c r="AK1484" s="297"/>
      <c r="AN1484" s="298"/>
      <c r="AR1484" s="298"/>
    </row>
    <row r="1485" spans="2:44" s="290" customFormat="1" x14ac:dyDescent="0.2">
      <c r="B1485" s="302"/>
      <c r="D1485" s="302"/>
      <c r="E1485" s="302"/>
      <c r="K1485" s="303"/>
      <c r="L1485" s="303"/>
      <c r="M1485" s="303"/>
      <c r="AB1485" s="298"/>
      <c r="AC1485" s="297"/>
      <c r="AF1485" s="296"/>
      <c r="AG1485" s="297"/>
      <c r="AJ1485" s="298"/>
      <c r="AK1485" s="297"/>
      <c r="AN1485" s="298"/>
      <c r="AR1485" s="298"/>
    </row>
    <row r="1486" spans="2:44" s="290" customFormat="1" x14ac:dyDescent="0.2">
      <c r="B1486" s="302"/>
      <c r="D1486" s="302"/>
      <c r="E1486" s="302"/>
      <c r="K1486" s="303"/>
      <c r="L1486" s="303"/>
      <c r="M1486" s="303"/>
      <c r="AB1486" s="298"/>
      <c r="AC1486" s="297"/>
      <c r="AF1486" s="296"/>
      <c r="AG1486" s="297"/>
      <c r="AJ1486" s="298"/>
      <c r="AK1486" s="297"/>
      <c r="AN1486" s="298"/>
      <c r="AR1486" s="298"/>
    </row>
    <row r="1487" spans="2:44" s="290" customFormat="1" x14ac:dyDescent="0.2">
      <c r="B1487" s="302"/>
      <c r="D1487" s="302"/>
      <c r="E1487" s="302"/>
      <c r="K1487" s="303"/>
      <c r="L1487" s="303"/>
      <c r="M1487" s="303"/>
      <c r="AB1487" s="298"/>
      <c r="AC1487" s="297"/>
      <c r="AF1487" s="296"/>
      <c r="AG1487" s="297"/>
      <c r="AJ1487" s="298"/>
      <c r="AK1487" s="297"/>
      <c r="AN1487" s="298"/>
      <c r="AR1487" s="298"/>
    </row>
    <row r="1488" spans="2:44" s="290" customFormat="1" x14ac:dyDescent="0.2">
      <c r="B1488" s="302"/>
      <c r="D1488" s="302"/>
      <c r="E1488" s="302"/>
      <c r="K1488" s="303"/>
      <c r="L1488" s="303"/>
      <c r="M1488" s="303"/>
      <c r="AB1488" s="298"/>
      <c r="AC1488" s="297"/>
      <c r="AF1488" s="296"/>
      <c r="AG1488" s="297"/>
      <c r="AJ1488" s="298"/>
      <c r="AK1488" s="297"/>
      <c r="AN1488" s="298"/>
      <c r="AR1488" s="298"/>
    </row>
    <row r="1489" spans="2:44" s="290" customFormat="1" x14ac:dyDescent="0.2">
      <c r="B1489" s="302"/>
      <c r="D1489" s="302"/>
      <c r="E1489" s="302"/>
      <c r="K1489" s="303"/>
      <c r="L1489" s="303"/>
      <c r="M1489" s="303"/>
      <c r="AB1489" s="298"/>
      <c r="AC1489" s="297"/>
      <c r="AF1489" s="296"/>
      <c r="AG1489" s="297"/>
      <c r="AJ1489" s="298"/>
      <c r="AK1489" s="297"/>
      <c r="AN1489" s="298"/>
      <c r="AR1489" s="298"/>
    </row>
    <row r="1490" spans="2:44" s="290" customFormat="1" x14ac:dyDescent="0.2">
      <c r="B1490" s="302"/>
      <c r="D1490" s="302"/>
      <c r="E1490" s="302"/>
      <c r="K1490" s="303"/>
      <c r="L1490" s="303"/>
      <c r="M1490" s="303"/>
      <c r="AB1490" s="298"/>
      <c r="AC1490" s="297"/>
      <c r="AF1490" s="296"/>
      <c r="AG1490" s="297"/>
      <c r="AJ1490" s="298"/>
      <c r="AK1490" s="297"/>
      <c r="AN1490" s="298"/>
      <c r="AR1490" s="298"/>
    </row>
    <row r="1491" spans="2:44" s="290" customFormat="1" x14ac:dyDescent="0.2">
      <c r="B1491" s="302"/>
      <c r="D1491" s="302"/>
      <c r="E1491" s="302"/>
      <c r="K1491" s="303"/>
      <c r="L1491" s="303"/>
      <c r="M1491" s="303"/>
      <c r="AB1491" s="298"/>
      <c r="AC1491" s="297"/>
      <c r="AF1491" s="296"/>
      <c r="AG1491" s="297"/>
      <c r="AJ1491" s="298"/>
      <c r="AK1491" s="297"/>
      <c r="AN1491" s="298"/>
      <c r="AR1491" s="298"/>
    </row>
    <row r="1492" spans="2:44" s="290" customFormat="1" x14ac:dyDescent="0.2">
      <c r="B1492" s="302"/>
      <c r="D1492" s="302"/>
      <c r="E1492" s="302"/>
      <c r="K1492" s="303"/>
      <c r="L1492" s="303"/>
      <c r="M1492" s="303"/>
      <c r="AB1492" s="298"/>
      <c r="AC1492" s="297"/>
      <c r="AF1492" s="296"/>
      <c r="AG1492" s="297"/>
      <c r="AJ1492" s="298"/>
      <c r="AK1492" s="297"/>
      <c r="AN1492" s="298"/>
      <c r="AR1492" s="298"/>
    </row>
    <row r="1493" spans="2:44" s="290" customFormat="1" x14ac:dyDescent="0.2">
      <c r="B1493" s="302"/>
      <c r="D1493" s="302"/>
      <c r="E1493" s="302"/>
      <c r="K1493" s="303"/>
      <c r="L1493" s="303"/>
      <c r="M1493" s="303"/>
      <c r="AB1493" s="298"/>
      <c r="AC1493" s="297"/>
      <c r="AF1493" s="296"/>
      <c r="AG1493" s="297"/>
      <c r="AJ1493" s="298"/>
      <c r="AK1493" s="297"/>
      <c r="AN1493" s="298"/>
      <c r="AR1493" s="298"/>
    </row>
    <row r="1494" spans="2:44" s="290" customFormat="1" x14ac:dyDescent="0.2">
      <c r="B1494" s="302"/>
      <c r="D1494" s="302"/>
      <c r="E1494" s="302"/>
      <c r="K1494" s="303"/>
      <c r="L1494" s="303"/>
      <c r="M1494" s="303"/>
      <c r="AB1494" s="298"/>
      <c r="AC1494" s="297"/>
      <c r="AF1494" s="296"/>
      <c r="AG1494" s="297"/>
      <c r="AJ1494" s="298"/>
      <c r="AK1494" s="297"/>
      <c r="AN1494" s="298"/>
      <c r="AR1494" s="298"/>
    </row>
    <row r="1495" spans="2:44" s="290" customFormat="1" x14ac:dyDescent="0.2">
      <c r="B1495" s="302"/>
      <c r="D1495" s="302"/>
      <c r="E1495" s="302"/>
      <c r="K1495" s="303"/>
      <c r="L1495" s="303"/>
      <c r="M1495" s="303"/>
      <c r="AB1495" s="298"/>
      <c r="AC1495" s="297"/>
      <c r="AF1495" s="296"/>
      <c r="AG1495" s="297"/>
      <c r="AJ1495" s="298"/>
      <c r="AK1495" s="297"/>
      <c r="AN1495" s="298"/>
      <c r="AR1495" s="298"/>
    </row>
    <row r="1496" spans="2:44" s="290" customFormat="1" x14ac:dyDescent="0.2">
      <c r="B1496" s="302"/>
      <c r="D1496" s="302"/>
      <c r="E1496" s="302"/>
      <c r="K1496" s="303"/>
      <c r="L1496" s="303"/>
      <c r="M1496" s="303"/>
      <c r="AB1496" s="298"/>
      <c r="AC1496" s="297"/>
      <c r="AF1496" s="296"/>
      <c r="AG1496" s="297"/>
      <c r="AJ1496" s="298"/>
      <c r="AK1496" s="297"/>
      <c r="AN1496" s="298"/>
      <c r="AR1496" s="298"/>
    </row>
    <row r="1497" spans="2:44" s="290" customFormat="1" x14ac:dyDescent="0.2">
      <c r="B1497" s="302"/>
      <c r="D1497" s="302"/>
      <c r="E1497" s="302"/>
      <c r="K1497" s="303"/>
      <c r="L1497" s="303"/>
      <c r="M1497" s="303"/>
      <c r="AB1497" s="298"/>
      <c r="AC1497" s="297"/>
      <c r="AF1497" s="296"/>
      <c r="AG1497" s="297"/>
      <c r="AJ1497" s="298"/>
      <c r="AK1497" s="297"/>
      <c r="AN1497" s="298"/>
      <c r="AR1497" s="298"/>
    </row>
    <row r="1498" spans="2:44" s="290" customFormat="1" x14ac:dyDescent="0.2">
      <c r="B1498" s="302"/>
      <c r="D1498" s="302"/>
      <c r="E1498" s="302"/>
      <c r="K1498" s="303"/>
      <c r="L1498" s="303"/>
      <c r="M1498" s="303"/>
      <c r="AB1498" s="298"/>
      <c r="AC1498" s="297"/>
      <c r="AF1498" s="296"/>
      <c r="AG1498" s="297"/>
      <c r="AJ1498" s="298"/>
      <c r="AK1498" s="297"/>
      <c r="AN1498" s="298"/>
      <c r="AR1498" s="298"/>
    </row>
    <row r="1499" spans="2:44" s="290" customFormat="1" x14ac:dyDescent="0.2">
      <c r="B1499" s="302"/>
      <c r="D1499" s="302"/>
      <c r="E1499" s="302"/>
      <c r="K1499" s="303"/>
      <c r="L1499" s="303"/>
      <c r="M1499" s="303"/>
      <c r="AB1499" s="298"/>
      <c r="AC1499" s="297"/>
      <c r="AF1499" s="296"/>
      <c r="AG1499" s="297"/>
      <c r="AJ1499" s="298"/>
      <c r="AK1499" s="297"/>
      <c r="AN1499" s="298"/>
      <c r="AR1499" s="298"/>
    </row>
    <row r="1500" spans="2:44" s="290" customFormat="1" x14ac:dyDescent="0.2">
      <c r="B1500" s="302"/>
      <c r="D1500" s="302"/>
      <c r="E1500" s="302"/>
      <c r="K1500" s="303"/>
      <c r="L1500" s="303"/>
      <c r="M1500" s="303"/>
      <c r="AB1500" s="298"/>
      <c r="AC1500" s="297"/>
      <c r="AF1500" s="296"/>
      <c r="AG1500" s="297"/>
      <c r="AJ1500" s="298"/>
      <c r="AK1500" s="297"/>
      <c r="AN1500" s="298"/>
      <c r="AR1500" s="298"/>
    </row>
    <row r="1501" spans="2:44" s="290" customFormat="1" x14ac:dyDescent="0.2">
      <c r="B1501" s="302"/>
      <c r="D1501" s="302"/>
      <c r="E1501" s="302"/>
      <c r="K1501" s="303"/>
      <c r="L1501" s="303"/>
      <c r="M1501" s="303"/>
      <c r="AB1501" s="298"/>
      <c r="AC1501" s="297"/>
      <c r="AF1501" s="296"/>
      <c r="AG1501" s="297"/>
      <c r="AJ1501" s="298"/>
      <c r="AK1501" s="297"/>
      <c r="AN1501" s="298"/>
      <c r="AR1501" s="298"/>
    </row>
    <row r="1502" spans="2:44" s="290" customFormat="1" x14ac:dyDescent="0.2">
      <c r="B1502" s="302"/>
      <c r="D1502" s="302"/>
      <c r="E1502" s="302"/>
      <c r="K1502" s="303"/>
      <c r="L1502" s="303"/>
      <c r="M1502" s="303"/>
      <c r="AB1502" s="298"/>
      <c r="AC1502" s="297"/>
      <c r="AF1502" s="296"/>
      <c r="AG1502" s="297"/>
      <c r="AJ1502" s="298"/>
      <c r="AK1502" s="297"/>
      <c r="AN1502" s="298"/>
      <c r="AR1502" s="298"/>
    </row>
    <row r="1503" spans="2:44" s="290" customFormat="1" x14ac:dyDescent="0.2">
      <c r="B1503" s="302"/>
      <c r="D1503" s="302"/>
      <c r="E1503" s="302"/>
      <c r="K1503" s="303"/>
      <c r="L1503" s="303"/>
      <c r="M1503" s="303"/>
      <c r="AB1503" s="298"/>
      <c r="AC1503" s="297"/>
      <c r="AF1503" s="296"/>
      <c r="AG1503" s="297"/>
      <c r="AJ1503" s="298"/>
      <c r="AK1503" s="297"/>
      <c r="AN1503" s="298"/>
      <c r="AR1503" s="298"/>
    </row>
    <row r="1504" spans="2:44" s="290" customFormat="1" x14ac:dyDescent="0.2">
      <c r="B1504" s="302"/>
      <c r="D1504" s="302"/>
      <c r="E1504" s="302"/>
      <c r="K1504" s="303"/>
      <c r="L1504" s="303"/>
      <c r="M1504" s="303"/>
      <c r="AB1504" s="298"/>
      <c r="AC1504" s="297"/>
      <c r="AF1504" s="296"/>
      <c r="AG1504" s="297"/>
      <c r="AJ1504" s="298"/>
      <c r="AK1504" s="297"/>
      <c r="AN1504" s="298"/>
      <c r="AR1504" s="298"/>
    </row>
    <row r="1505" spans="2:44" s="290" customFormat="1" x14ac:dyDescent="0.2">
      <c r="B1505" s="302"/>
      <c r="D1505" s="302"/>
      <c r="E1505" s="302"/>
      <c r="K1505" s="303"/>
      <c r="L1505" s="303"/>
      <c r="M1505" s="303"/>
      <c r="AB1505" s="298"/>
      <c r="AC1505" s="297"/>
      <c r="AF1505" s="296"/>
      <c r="AG1505" s="297"/>
      <c r="AJ1505" s="298"/>
      <c r="AK1505" s="297"/>
      <c r="AN1505" s="298"/>
      <c r="AR1505" s="298"/>
    </row>
    <row r="1506" spans="2:44" s="290" customFormat="1" x14ac:dyDescent="0.2">
      <c r="B1506" s="302"/>
      <c r="D1506" s="302"/>
      <c r="E1506" s="302"/>
      <c r="K1506" s="303"/>
      <c r="L1506" s="303"/>
      <c r="M1506" s="303"/>
      <c r="AB1506" s="298"/>
      <c r="AC1506" s="297"/>
      <c r="AF1506" s="296"/>
      <c r="AG1506" s="297"/>
      <c r="AJ1506" s="298"/>
      <c r="AK1506" s="297"/>
      <c r="AN1506" s="298"/>
      <c r="AR1506" s="298"/>
    </row>
    <row r="1507" spans="2:44" s="290" customFormat="1" x14ac:dyDescent="0.2">
      <c r="B1507" s="302"/>
      <c r="D1507" s="302"/>
      <c r="E1507" s="302"/>
      <c r="K1507" s="303"/>
      <c r="L1507" s="303"/>
      <c r="M1507" s="303"/>
      <c r="AB1507" s="298"/>
      <c r="AC1507" s="297"/>
      <c r="AF1507" s="296"/>
      <c r="AG1507" s="297"/>
      <c r="AJ1507" s="298"/>
      <c r="AK1507" s="297"/>
      <c r="AN1507" s="298"/>
      <c r="AR1507" s="298"/>
    </row>
    <row r="1508" spans="2:44" s="290" customFormat="1" x14ac:dyDescent="0.2">
      <c r="B1508" s="302"/>
      <c r="D1508" s="302"/>
      <c r="E1508" s="302"/>
      <c r="K1508" s="303"/>
      <c r="L1508" s="303"/>
      <c r="M1508" s="303"/>
      <c r="AB1508" s="298"/>
      <c r="AC1508" s="297"/>
      <c r="AF1508" s="296"/>
      <c r="AG1508" s="297"/>
      <c r="AJ1508" s="298"/>
      <c r="AK1508" s="297"/>
      <c r="AN1508" s="298"/>
      <c r="AR1508" s="298"/>
    </row>
    <row r="1509" spans="2:44" s="290" customFormat="1" x14ac:dyDescent="0.2">
      <c r="B1509" s="302"/>
      <c r="D1509" s="302"/>
      <c r="E1509" s="302"/>
      <c r="K1509" s="303"/>
      <c r="L1509" s="303"/>
      <c r="M1509" s="303"/>
      <c r="AB1509" s="298"/>
      <c r="AC1509" s="297"/>
      <c r="AF1509" s="296"/>
      <c r="AG1509" s="297"/>
      <c r="AJ1509" s="298"/>
      <c r="AK1509" s="297"/>
      <c r="AN1509" s="298"/>
      <c r="AR1509" s="298"/>
    </row>
    <row r="1510" spans="2:44" s="290" customFormat="1" x14ac:dyDescent="0.2">
      <c r="B1510" s="302"/>
      <c r="D1510" s="302"/>
      <c r="E1510" s="302"/>
      <c r="K1510" s="303"/>
      <c r="L1510" s="303"/>
      <c r="M1510" s="303"/>
      <c r="AB1510" s="298"/>
      <c r="AC1510" s="297"/>
      <c r="AF1510" s="296"/>
      <c r="AG1510" s="297"/>
      <c r="AJ1510" s="298"/>
      <c r="AK1510" s="297"/>
      <c r="AN1510" s="298"/>
      <c r="AR1510" s="298"/>
    </row>
    <row r="1511" spans="2:44" s="290" customFormat="1" x14ac:dyDescent="0.2">
      <c r="B1511" s="302"/>
      <c r="D1511" s="302"/>
      <c r="E1511" s="302"/>
      <c r="K1511" s="303"/>
      <c r="L1511" s="303"/>
      <c r="M1511" s="303"/>
      <c r="AB1511" s="298"/>
      <c r="AC1511" s="297"/>
      <c r="AF1511" s="296"/>
      <c r="AG1511" s="297"/>
      <c r="AJ1511" s="298"/>
      <c r="AK1511" s="297"/>
      <c r="AN1511" s="298"/>
      <c r="AR1511" s="298"/>
    </row>
    <row r="1512" spans="2:44" s="290" customFormat="1" x14ac:dyDescent="0.2">
      <c r="B1512" s="302"/>
      <c r="D1512" s="302"/>
      <c r="E1512" s="302"/>
      <c r="K1512" s="303"/>
      <c r="L1512" s="303"/>
      <c r="M1512" s="303"/>
      <c r="AB1512" s="298"/>
      <c r="AC1512" s="297"/>
      <c r="AF1512" s="296"/>
      <c r="AG1512" s="297"/>
      <c r="AJ1512" s="298"/>
      <c r="AK1512" s="297"/>
      <c r="AN1512" s="298"/>
      <c r="AR1512" s="298"/>
    </row>
    <row r="1513" spans="2:44" s="290" customFormat="1" x14ac:dyDescent="0.2">
      <c r="B1513" s="302"/>
      <c r="D1513" s="302"/>
      <c r="E1513" s="302"/>
      <c r="K1513" s="303"/>
      <c r="L1513" s="303"/>
      <c r="M1513" s="303"/>
      <c r="AB1513" s="298"/>
      <c r="AC1513" s="297"/>
      <c r="AF1513" s="296"/>
      <c r="AG1513" s="297"/>
      <c r="AJ1513" s="298"/>
      <c r="AK1513" s="297"/>
      <c r="AN1513" s="298"/>
      <c r="AR1513" s="298"/>
    </row>
    <row r="1514" spans="2:44" s="290" customFormat="1" x14ac:dyDescent="0.2">
      <c r="B1514" s="302"/>
      <c r="D1514" s="302"/>
      <c r="E1514" s="302"/>
      <c r="K1514" s="303"/>
      <c r="L1514" s="303"/>
      <c r="M1514" s="303"/>
      <c r="AB1514" s="298"/>
      <c r="AC1514" s="297"/>
      <c r="AF1514" s="296"/>
      <c r="AG1514" s="297"/>
      <c r="AJ1514" s="298"/>
      <c r="AK1514" s="297"/>
      <c r="AN1514" s="298"/>
      <c r="AR1514" s="298"/>
    </row>
    <row r="1515" spans="2:44" s="290" customFormat="1" x14ac:dyDescent="0.2">
      <c r="B1515" s="302"/>
      <c r="D1515" s="302"/>
      <c r="E1515" s="302"/>
      <c r="K1515" s="303"/>
      <c r="L1515" s="303"/>
      <c r="M1515" s="303"/>
      <c r="AB1515" s="298"/>
      <c r="AC1515" s="297"/>
      <c r="AF1515" s="296"/>
      <c r="AG1515" s="297"/>
      <c r="AJ1515" s="298"/>
      <c r="AK1515" s="297"/>
      <c r="AN1515" s="298"/>
      <c r="AR1515" s="298"/>
    </row>
    <row r="1516" spans="2:44" s="290" customFormat="1" x14ac:dyDescent="0.2">
      <c r="B1516" s="302"/>
      <c r="D1516" s="302"/>
      <c r="E1516" s="302"/>
      <c r="K1516" s="303"/>
      <c r="L1516" s="303"/>
      <c r="M1516" s="303"/>
      <c r="AB1516" s="298"/>
      <c r="AC1516" s="297"/>
      <c r="AF1516" s="296"/>
      <c r="AG1516" s="297"/>
      <c r="AJ1516" s="298"/>
      <c r="AK1516" s="297"/>
      <c r="AN1516" s="298"/>
      <c r="AR1516" s="298"/>
    </row>
    <row r="1517" spans="2:44" s="290" customFormat="1" x14ac:dyDescent="0.2">
      <c r="B1517" s="302"/>
      <c r="D1517" s="302"/>
      <c r="E1517" s="302"/>
      <c r="K1517" s="303"/>
      <c r="L1517" s="303"/>
      <c r="M1517" s="303"/>
      <c r="AB1517" s="298"/>
      <c r="AC1517" s="297"/>
      <c r="AF1517" s="296"/>
      <c r="AG1517" s="297"/>
      <c r="AJ1517" s="298"/>
      <c r="AK1517" s="297"/>
      <c r="AN1517" s="298"/>
      <c r="AR1517" s="298"/>
    </row>
    <row r="1518" spans="2:44" s="290" customFormat="1" x14ac:dyDescent="0.2">
      <c r="B1518" s="302"/>
      <c r="D1518" s="302"/>
      <c r="E1518" s="302"/>
      <c r="K1518" s="303"/>
      <c r="L1518" s="303"/>
      <c r="M1518" s="303"/>
      <c r="AB1518" s="298"/>
      <c r="AC1518" s="297"/>
      <c r="AF1518" s="296"/>
      <c r="AG1518" s="297"/>
      <c r="AJ1518" s="298"/>
      <c r="AK1518" s="297"/>
      <c r="AN1518" s="298"/>
      <c r="AR1518" s="298"/>
    </row>
    <row r="1519" spans="2:44" s="290" customFormat="1" x14ac:dyDescent="0.2">
      <c r="B1519" s="302"/>
      <c r="D1519" s="302"/>
      <c r="E1519" s="302"/>
      <c r="K1519" s="303"/>
      <c r="L1519" s="303"/>
      <c r="M1519" s="303"/>
      <c r="AB1519" s="298"/>
      <c r="AC1519" s="297"/>
      <c r="AF1519" s="296"/>
      <c r="AG1519" s="297"/>
      <c r="AJ1519" s="298"/>
      <c r="AK1519" s="297"/>
      <c r="AN1519" s="298"/>
      <c r="AR1519" s="298"/>
    </row>
    <row r="1520" spans="2:44" s="290" customFormat="1" x14ac:dyDescent="0.2">
      <c r="B1520" s="302"/>
      <c r="D1520" s="302"/>
      <c r="E1520" s="302"/>
      <c r="K1520" s="303"/>
      <c r="L1520" s="303"/>
      <c r="M1520" s="303"/>
      <c r="AB1520" s="298"/>
      <c r="AC1520" s="297"/>
      <c r="AF1520" s="296"/>
      <c r="AG1520" s="297"/>
      <c r="AJ1520" s="298"/>
      <c r="AK1520" s="297"/>
      <c r="AN1520" s="298"/>
      <c r="AR1520" s="298"/>
    </row>
    <row r="1521" spans="2:44" s="290" customFormat="1" x14ac:dyDescent="0.2">
      <c r="B1521" s="302"/>
      <c r="D1521" s="302"/>
      <c r="E1521" s="302"/>
      <c r="K1521" s="303"/>
      <c r="L1521" s="303"/>
      <c r="M1521" s="303"/>
      <c r="AB1521" s="298"/>
      <c r="AC1521" s="297"/>
      <c r="AF1521" s="296"/>
      <c r="AG1521" s="297"/>
      <c r="AJ1521" s="298"/>
      <c r="AK1521" s="297"/>
      <c r="AN1521" s="298"/>
      <c r="AR1521" s="298"/>
    </row>
    <row r="1522" spans="2:44" s="290" customFormat="1" x14ac:dyDescent="0.2">
      <c r="B1522" s="302"/>
      <c r="D1522" s="302"/>
      <c r="E1522" s="302"/>
      <c r="K1522" s="303"/>
      <c r="L1522" s="303"/>
      <c r="M1522" s="303"/>
      <c r="AB1522" s="298"/>
      <c r="AC1522" s="297"/>
      <c r="AF1522" s="296"/>
      <c r="AG1522" s="297"/>
      <c r="AJ1522" s="298"/>
      <c r="AK1522" s="297"/>
      <c r="AN1522" s="298"/>
      <c r="AR1522" s="298"/>
    </row>
    <row r="1523" spans="2:44" s="290" customFormat="1" x14ac:dyDescent="0.2">
      <c r="B1523" s="302"/>
      <c r="D1523" s="302"/>
      <c r="E1523" s="302"/>
      <c r="K1523" s="303"/>
      <c r="L1523" s="303"/>
      <c r="M1523" s="303"/>
      <c r="AB1523" s="298"/>
      <c r="AC1523" s="297"/>
      <c r="AF1523" s="296"/>
      <c r="AG1523" s="297"/>
      <c r="AJ1523" s="298"/>
      <c r="AK1523" s="297"/>
      <c r="AN1523" s="298"/>
      <c r="AR1523" s="298"/>
    </row>
    <row r="1524" spans="2:44" s="290" customFormat="1" x14ac:dyDescent="0.2">
      <c r="B1524" s="302"/>
      <c r="D1524" s="302"/>
      <c r="E1524" s="302"/>
      <c r="K1524" s="303"/>
      <c r="L1524" s="303"/>
      <c r="M1524" s="303"/>
      <c r="AB1524" s="298"/>
      <c r="AC1524" s="297"/>
      <c r="AF1524" s="296"/>
      <c r="AG1524" s="297"/>
      <c r="AJ1524" s="298"/>
      <c r="AK1524" s="297"/>
      <c r="AN1524" s="298"/>
      <c r="AR1524" s="298"/>
    </row>
    <row r="1525" spans="2:44" s="290" customFormat="1" x14ac:dyDescent="0.2">
      <c r="B1525" s="302"/>
      <c r="D1525" s="302"/>
      <c r="E1525" s="302"/>
      <c r="K1525" s="303"/>
      <c r="L1525" s="303"/>
      <c r="M1525" s="303"/>
      <c r="AB1525" s="298"/>
      <c r="AC1525" s="297"/>
      <c r="AF1525" s="296"/>
      <c r="AG1525" s="297"/>
      <c r="AJ1525" s="298"/>
      <c r="AK1525" s="297"/>
      <c r="AN1525" s="298"/>
      <c r="AR1525" s="298"/>
    </row>
    <row r="1526" spans="2:44" s="290" customFormat="1" x14ac:dyDescent="0.2">
      <c r="B1526" s="302"/>
      <c r="D1526" s="302"/>
      <c r="E1526" s="302"/>
      <c r="K1526" s="303"/>
      <c r="L1526" s="303"/>
      <c r="M1526" s="303"/>
      <c r="AB1526" s="298"/>
      <c r="AC1526" s="297"/>
      <c r="AF1526" s="296"/>
      <c r="AG1526" s="297"/>
      <c r="AJ1526" s="298"/>
      <c r="AK1526" s="297"/>
      <c r="AN1526" s="298"/>
      <c r="AR1526" s="298"/>
    </row>
    <row r="1527" spans="2:44" s="290" customFormat="1" x14ac:dyDescent="0.2">
      <c r="B1527" s="302"/>
      <c r="D1527" s="302"/>
      <c r="E1527" s="302"/>
      <c r="K1527" s="303"/>
      <c r="L1527" s="303"/>
      <c r="M1527" s="303"/>
      <c r="AB1527" s="298"/>
      <c r="AC1527" s="297"/>
      <c r="AF1527" s="296"/>
      <c r="AG1527" s="297"/>
      <c r="AJ1527" s="298"/>
      <c r="AK1527" s="297"/>
      <c r="AN1527" s="298"/>
      <c r="AR1527" s="298"/>
    </row>
    <row r="1528" spans="2:44" s="290" customFormat="1" x14ac:dyDescent="0.2">
      <c r="B1528" s="302"/>
      <c r="D1528" s="302"/>
      <c r="E1528" s="302"/>
      <c r="K1528" s="303"/>
      <c r="L1528" s="303"/>
      <c r="M1528" s="303"/>
      <c r="AB1528" s="298"/>
      <c r="AC1528" s="297"/>
      <c r="AF1528" s="296"/>
      <c r="AG1528" s="297"/>
      <c r="AJ1528" s="298"/>
      <c r="AK1528" s="297"/>
      <c r="AN1528" s="298"/>
      <c r="AR1528" s="298"/>
    </row>
    <row r="1529" spans="2:44" s="290" customFormat="1" x14ac:dyDescent="0.2">
      <c r="B1529" s="302"/>
      <c r="D1529" s="302"/>
      <c r="E1529" s="302"/>
      <c r="K1529" s="303"/>
      <c r="L1529" s="303"/>
      <c r="M1529" s="303"/>
      <c r="AB1529" s="298"/>
      <c r="AC1529" s="297"/>
      <c r="AF1529" s="296"/>
      <c r="AG1529" s="297"/>
      <c r="AJ1529" s="298"/>
      <c r="AK1529" s="297"/>
      <c r="AN1529" s="298"/>
      <c r="AR1529" s="298"/>
    </row>
    <row r="1530" spans="2:44" s="290" customFormat="1" x14ac:dyDescent="0.2">
      <c r="B1530" s="302"/>
      <c r="D1530" s="302"/>
      <c r="E1530" s="302"/>
      <c r="K1530" s="303"/>
      <c r="L1530" s="303"/>
      <c r="M1530" s="303"/>
      <c r="AB1530" s="298"/>
      <c r="AC1530" s="297"/>
      <c r="AF1530" s="296"/>
      <c r="AG1530" s="297"/>
      <c r="AJ1530" s="298"/>
      <c r="AK1530" s="297"/>
      <c r="AN1530" s="298"/>
      <c r="AR1530" s="298"/>
    </row>
    <row r="1531" spans="2:44" s="290" customFormat="1" x14ac:dyDescent="0.2">
      <c r="B1531" s="302"/>
      <c r="D1531" s="302"/>
      <c r="E1531" s="302"/>
      <c r="K1531" s="303"/>
      <c r="L1531" s="303"/>
      <c r="M1531" s="303"/>
      <c r="AB1531" s="298"/>
      <c r="AC1531" s="297"/>
      <c r="AF1531" s="296"/>
      <c r="AG1531" s="297"/>
      <c r="AJ1531" s="298"/>
      <c r="AK1531" s="297"/>
      <c r="AN1531" s="298"/>
      <c r="AR1531" s="298"/>
    </row>
    <row r="1532" spans="2:44" s="290" customFormat="1" x14ac:dyDescent="0.2">
      <c r="B1532" s="302"/>
      <c r="D1532" s="302"/>
      <c r="E1532" s="302"/>
      <c r="K1532" s="303"/>
      <c r="L1532" s="303"/>
      <c r="M1532" s="303"/>
      <c r="AB1532" s="298"/>
      <c r="AC1532" s="297"/>
      <c r="AF1532" s="296"/>
      <c r="AG1532" s="297"/>
      <c r="AJ1532" s="298"/>
      <c r="AK1532" s="297"/>
      <c r="AN1532" s="298"/>
      <c r="AR1532" s="298"/>
    </row>
    <row r="1533" spans="2:44" s="290" customFormat="1" x14ac:dyDescent="0.2">
      <c r="B1533" s="302"/>
      <c r="D1533" s="302"/>
      <c r="E1533" s="302"/>
      <c r="K1533" s="303"/>
      <c r="L1533" s="303"/>
      <c r="M1533" s="303"/>
      <c r="AB1533" s="298"/>
      <c r="AC1533" s="297"/>
      <c r="AF1533" s="296"/>
      <c r="AG1533" s="297"/>
      <c r="AJ1533" s="298"/>
      <c r="AK1533" s="297"/>
      <c r="AN1533" s="298"/>
      <c r="AR1533" s="298"/>
    </row>
    <row r="1534" spans="2:44" s="290" customFormat="1" x14ac:dyDescent="0.2">
      <c r="B1534" s="302"/>
      <c r="D1534" s="302"/>
      <c r="E1534" s="302"/>
      <c r="K1534" s="303"/>
      <c r="L1534" s="303"/>
      <c r="M1534" s="303"/>
      <c r="AB1534" s="298"/>
      <c r="AC1534" s="297"/>
      <c r="AF1534" s="296"/>
      <c r="AG1534" s="297"/>
      <c r="AJ1534" s="298"/>
      <c r="AK1534" s="297"/>
      <c r="AN1534" s="298"/>
      <c r="AR1534" s="298"/>
    </row>
    <row r="1535" spans="2:44" s="290" customFormat="1" x14ac:dyDescent="0.2">
      <c r="B1535" s="302"/>
      <c r="D1535" s="302"/>
      <c r="E1535" s="302"/>
      <c r="K1535" s="303"/>
      <c r="L1535" s="303"/>
      <c r="M1535" s="303"/>
      <c r="AB1535" s="298"/>
      <c r="AC1535" s="297"/>
      <c r="AF1535" s="296"/>
      <c r="AG1535" s="297"/>
      <c r="AJ1535" s="298"/>
      <c r="AK1535" s="297"/>
      <c r="AN1535" s="298"/>
      <c r="AR1535" s="298"/>
    </row>
    <row r="1536" spans="2:44" s="290" customFormat="1" x14ac:dyDescent="0.2">
      <c r="B1536" s="302"/>
      <c r="D1536" s="302"/>
      <c r="E1536" s="302"/>
      <c r="K1536" s="303"/>
      <c r="L1536" s="303"/>
      <c r="M1536" s="303"/>
      <c r="AB1536" s="298"/>
      <c r="AC1536" s="297"/>
      <c r="AF1536" s="296"/>
      <c r="AG1536" s="297"/>
      <c r="AJ1536" s="298"/>
      <c r="AK1536" s="297"/>
      <c r="AN1536" s="298"/>
      <c r="AR1536" s="298"/>
    </row>
    <row r="1537" spans="2:44" s="290" customFormat="1" x14ac:dyDescent="0.2">
      <c r="B1537" s="302"/>
      <c r="D1537" s="302"/>
      <c r="E1537" s="302"/>
      <c r="K1537" s="303"/>
      <c r="L1537" s="303"/>
      <c r="M1537" s="303"/>
      <c r="AB1537" s="298"/>
      <c r="AC1537" s="297"/>
      <c r="AF1537" s="296"/>
      <c r="AG1537" s="297"/>
      <c r="AJ1537" s="298"/>
      <c r="AK1537" s="297"/>
      <c r="AN1537" s="298"/>
      <c r="AR1537" s="298"/>
    </row>
    <row r="1538" spans="2:44" s="290" customFormat="1" x14ac:dyDescent="0.2">
      <c r="B1538" s="302"/>
      <c r="D1538" s="302"/>
      <c r="E1538" s="302"/>
      <c r="K1538" s="303"/>
      <c r="L1538" s="303"/>
      <c r="M1538" s="303"/>
      <c r="AB1538" s="298"/>
      <c r="AC1538" s="297"/>
      <c r="AF1538" s="296"/>
      <c r="AG1538" s="297"/>
      <c r="AJ1538" s="298"/>
      <c r="AK1538" s="297"/>
      <c r="AN1538" s="298"/>
      <c r="AR1538" s="298"/>
    </row>
    <row r="1539" spans="2:44" s="290" customFormat="1" x14ac:dyDescent="0.2">
      <c r="B1539" s="302"/>
      <c r="D1539" s="302"/>
      <c r="E1539" s="302"/>
      <c r="K1539" s="303"/>
      <c r="L1539" s="303"/>
      <c r="M1539" s="303"/>
      <c r="AB1539" s="298"/>
      <c r="AC1539" s="297"/>
      <c r="AF1539" s="296"/>
      <c r="AG1539" s="297"/>
      <c r="AJ1539" s="298"/>
      <c r="AK1539" s="297"/>
      <c r="AN1539" s="298"/>
      <c r="AR1539" s="298"/>
    </row>
    <row r="1540" spans="2:44" s="290" customFormat="1" x14ac:dyDescent="0.2">
      <c r="B1540" s="302"/>
      <c r="D1540" s="302"/>
      <c r="E1540" s="302"/>
      <c r="K1540" s="303"/>
      <c r="L1540" s="303"/>
      <c r="M1540" s="303"/>
      <c r="AB1540" s="298"/>
      <c r="AC1540" s="297"/>
      <c r="AF1540" s="296"/>
      <c r="AG1540" s="297"/>
      <c r="AJ1540" s="298"/>
      <c r="AK1540" s="297"/>
      <c r="AN1540" s="298"/>
      <c r="AR1540" s="298"/>
    </row>
    <row r="1541" spans="2:44" s="290" customFormat="1" x14ac:dyDescent="0.2">
      <c r="B1541" s="302"/>
      <c r="D1541" s="302"/>
      <c r="E1541" s="302"/>
      <c r="K1541" s="303"/>
      <c r="L1541" s="303"/>
      <c r="M1541" s="303"/>
      <c r="AB1541" s="298"/>
      <c r="AC1541" s="297"/>
      <c r="AF1541" s="296"/>
      <c r="AG1541" s="297"/>
      <c r="AJ1541" s="298"/>
      <c r="AK1541" s="297"/>
      <c r="AN1541" s="298"/>
      <c r="AR1541" s="298"/>
    </row>
    <row r="1542" spans="2:44" s="290" customFormat="1" x14ac:dyDescent="0.2">
      <c r="B1542" s="302"/>
      <c r="D1542" s="302"/>
      <c r="E1542" s="302"/>
      <c r="K1542" s="303"/>
      <c r="L1542" s="303"/>
      <c r="M1542" s="303"/>
      <c r="AB1542" s="298"/>
      <c r="AC1542" s="297"/>
      <c r="AF1542" s="296"/>
      <c r="AG1542" s="297"/>
      <c r="AJ1542" s="298"/>
      <c r="AK1542" s="297"/>
      <c r="AN1542" s="298"/>
      <c r="AR1542" s="298"/>
    </row>
    <row r="1543" spans="2:44" s="290" customFormat="1" x14ac:dyDescent="0.2">
      <c r="B1543" s="302"/>
      <c r="D1543" s="302"/>
      <c r="E1543" s="302"/>
      <c r="K1543" s="303"/>
      <c r="L1543" s="303"/>
      <c r="M1543" s="303"/>
      <c r="AB1543" s="298"/>
      <c r="AC1543" s="297"/>
      <c r="AF1543" s="296"/>
      <c r="AG1543" s="297"/>
      <c r="AJ1543" s="298"/>
      <c r="AK1543" s="297"/>
      <c r="AN1543" s="298"/>
      <c r="AR1543" s="298"/>
    </row>
    <row r="1544" spans="2:44" s="290" customFormat="1" x14ac:dyDescent="0.2">
      <c r="B1544" s="302"/>
      <c r="D1544" s="302"/>
      <c r="E1544" s="302"/>
      <c r="K1544" s="303"/>
      <c r="L1544" s="303"/>
      <c r="M1544" s="303"/>
      <c r="AB1544" s="298"/>
      <c r="AC1544" s="297"/>
      <c r="AF1544" s="296"/>
      <c r="AG1544" s="297"/>
      <c r="AJ1544" s="298"/>
      <c r="AK1544" s="297"/>
      <c r="AN1544" s="298"/>
      <c r="AR1544" s="298"/>
    </row>
    <row r="1545" spans="2:44" s="290" customFormat="1" x14ac:dyDescent="0.2">
      <c r="B1545" s="302"/>
      <c r="D1545" s="302"/>
      <c r="E1545" s="302"/>
      <c r="K1545" s="303"/>
      <c r="L1545" s="303"/>
      <c r="M1545" s="303"/>
      <c r="AB1545" s="298"/>
      <c r="AC1545" s="297"/>
      <c r="AF1545" s="296"/>
      <c r="AG1545" s="297"/>
      <c r="AJ1545" s="298"/>
      <c r="AK1545" s="297"/>
      <c r="AN1545" s="298"/>
      <c r="AR1545" s="298"/>
    </row>
    <row r="1546" spans="2:44" s="290" customFormat="1" x14ac:dyDescent="0.2">
      <c r="B1546" s="302"/>
      <c r="D1546" s="302"/>
      <c r="E1546" s="302"/>
      <c r="K1546" s="303"/>
      <c r="L1546" s="303"/>
      <c r="M1546" s="303"/>
      <c r="AB1546" s="298"/>
      <c r="AC1546" s="297"/>
      <c r="AF1546" s="296"/>
      <c r="AG1546" s="297"/>
      <c r="AJ1546" s="298"/>
      <c r="AK1546" s="297"/>
      <c r="AN1546" s="298"/>
      <c r="AR1546" s="298"/>
    </row>
    <row r="1547" spans="2:44" s="290" customFormat="1" x14ac:dyDescent="0.2">
      <c r="B1547" s="302"/>
      <c r="D1547" s="302"/>
      <c r="E1547" s="302"/>
      <c r="K1547" s="303"/>
      <c r="L1547" s="303"/>
      <c r="M1547" s="303"/>
      <c r="AB1547" s="298"/>
      <c r="AC1547" s="297"/>
      <c r="AF1547" s="296"/>
      <c r="AG1547" s="297"/>
      <c r="AJ1547" s="298"/>
      <c r="AK1547" s="297"/>
      <c r="AN1547" s="298"/>
      <c r="AR1547" s="298"/>
    </row>
    <row r="1548" spans="2:44" s="290" customFormat="1" x14ac:dyDescent="0.2">
      <c r="B1548" s="302"/>
      <c r="D1548" s="302"/>
      <c r="E1548" s="302"/>
      <c r="K1548" s="303"/>
      <c r="L1548" s="303"/>
      <c r="M1548" s="303"/>
      <c r="AB1548" s="298"/>
      <c r="AC1548" s="297"/>
      <c r="AF1548" s="296"/>
      <c r="AG1548" s="297"/>
      <c r="AJ1548" s="298"/>
      <c r="AK1548" s="297"/>
      <c r="AN1548" s="298"/>
      <c r="AR1548" s="298"/>
    </row>
    <row r="1549" spans="2:44" s="290" customFormat="1" x14ac:dyDescent="0.2">
      <c r="B1549" s="302"/>
      <c r="D1549" s="302"/>
      <c r="E1549" s="302"/>
      <c r="K1549" s="303"/>
      <c r="L1549" s="303"/>
      <c r="M1549" s="303"/>
      <c r="AB1549" s="298"/>
      <c r="AC1549" s="297"/>
      <c r="AF1549" s="296"/>
      <c r="AG1549" s="297"/>
      <c r="AJ1549" s="298"/>
      <c r="AK1549" s="297"/>
      <c r="AN1549" s="298"/>
      <c r="AR1549" s="298"/>
    </row>
    <row r="1550" spans="2:44" s="290" customFormat="1" x14ac:dyDescent="0.2">
      <c r="B1550" s="302"/>
      <c r="D1550" s="302"/>
      <c r="E1550" s="302"/>
      <c r="K1550" s="303"/>
      <c r="L1550" s="303"/>
      <c r="M1550" s="303"/>
      <c r="AB1550" s="298"/>
      <c r="AC1550" s="297"/>
      <c r="AF1550" s="296"/>
      <c r="AG1550" s="297"/>
      <c r="AJ1550" s="298"/>
      <c r="AK1550" s="297"/>
      <c r="AN1550" s="298"/>
      <c r="AR1550" s="298"/>
    </row>
    <row r="1551" spans="2:44" s="290" customFormat="1" x14ac:dyDescent="0.2">
      <c r="B1551" s="302"/>
      <c r="D1551" s="302"/>
      <c r="E1551" s="302"/>
      <c r="K1551" s="303"/>
      <c r="L1551" s="303"/>
      <c r="M1551" s="303"/>
      <c r="AB1551" s="298"/>
      <c r="AC1551" s="297"/>
      <c r="AF1551" s="296"/>
      <c r="AG1551" s="297"/>
      <c r="AJ1551" s="298"/>
      <c r="AK1551" s="297"/>
      <c r="AN1551" s="298"/>
      <c r="AR1551" s="298"/>
    </row>
    <row r="1552" spans="2:44" s="290" customFormat="1" x14ac:dyDescent="0.2">
      <c r="B1552" s="302"/>
      <c r="D1552" s="302"/>
      <c r="E1552" s="302"/>
      <c r="K1552" s="303"/>
      <c r="L1552" s="303"/>
      <c r="M1552" s="303"/>
      <c r="AB1552" s="298"/>
      <c r="AC1552" s="297"/>
      <c r="AF1552" s="296"/>
      <c r="AG1552" s="297"/>
      <c r="AJ1552" s="298"/>
      <c r="AK1552" s="297"/>
      <c r="AN1552" s="298"/>
      <c r="AR1552" s="298"/>
    </row>
    <row r="1553" spans="2:44" s="290" customFormat="1" x14ac:dyDescent="0.2">
      <c r="B1553" s="302"/>
      <c r="D1553" s="302"/>
      <c r="E1553" s="302"/>
      <c r="K1553" s="303"/>
      <c r="L1553" s="303"/>
      <c r="M1553" s="303"/>
      <c r="AB1553" s="298"/>
      <c r="AC1553" s="297"/>
      <c r="AF1553" s="296"/>
      <c r="AG1553" s="297"/>
      <c r="AJ1553" s="298"/>
      <c r="AK1553" s="297"/>
      <c r="AN1553" s="298"/>
      <c r="AR1553" s="298"/>
    </row>
    <row r="1554" spans="2:44" s="290" customFormat="1" x14ac:dyDescent="0.2">
      <c r="B1554" s="302"/>
      <c r="D1554" s="302"/>
      <c r="E1554" s="302"/>
      <c r="K1554" s="303"/>
      <c r="L1554" s="303"/>
      <c r="M1554" s="303"/>
      <c r="AB1554" s="298"/>
      <c r="AC1554" s="297"/>
      <c r="AF1554" s="296"/>
      <c r="AG1554" s="297"/>
      <c r="AJ1554" s="298"/>
      <c r="AK1554" s="297"/>
      <c r="AN1554" s="298"/>
      <c r="AR1554" s="298"/>
    </row>
    <row r="1555" spans="2:44" s="290" customFormat="1" x14ac:dyDescent="0.2">
      <c r="B1555" s="302"/>
      <c r="D1555" s="302"/>
      <c r="E1555" s="302"/>
      <c r="K1555" s="303"/>
      <c r="L1555" s="303"/>
      <c r="M1555" s="303"/>
      <c r="AB1555" s="298"/>
      <c r="AC1555" s="297"/>
      <c r="AF1555" s="296"/>
      <c r="AG1555" s="297"/>
      <c r="AJ1555" s="298"/>
      <c r="AK1555" s="297"/>
      <c r="AN1555" s="298"/>
      <c r="AR1555" s="298"/>
    </row>
    <row r="1556" spans="2:44" s="290" customFormat="1" x14ac:dyDescent="0.2">
      <c r="B1556" s="302"/>
      <c r="D1556" s="302"/>
      <c r="E1556" s="302"/>
      <c r="K1556" s="303"/>
      <c r="L1556" s="303"/>
      <c r="M1556" s="303"/>
      <c r="AB1556" s="298"/>
      <c r="AC1556" s="297"/>
      <c r="AF1556" s="296"/>
      <c r="AG1556" s="297"/>
      <c r="AJ1556" s="298"/>
      <c r="AK1556" s="297"/>
      <c r="AN1556" s="298"/>
      <c r="AR1556" s="298"/>
    </row>
    <row r="1557" spans="2:44" s="290" customFormat="1" x14ac:dyDescent="0.2">
      <c r="B1557" s="302"/>
      <c r="D1557" s="302"/>
      <c r="E1557" s="302"/>
      <c r="K1557" s="303"/>
      <c r="L1557" s="303"/>
      <c r="M1557" s="303"/>
      <c r="AB1557" s="298"/>
      <c r="AC1557" s="297"/>
      <c r="AF1557" s="296"/>
      <c r="AG1557" s="297"/>
      <c r="AJ1557" s="298"/>
      <c r="AK1557" s="297"/>
      <c r="AN1557" s="298"/>
      <c r="AR1557" s="298"/>
    </row>
    <row r="1558" spans="2:44" s="290" customFormat="1" x14ac:dyDescent="0.2">
      <c r="B1558" s="302"/>
      <c r="D1558" s="302"/>
      <c r="E1558" s="302"/>
      <c r="K1558" s="303"/>
      <c r="L1558" s="303"/>
      <c r="M1558" s="303"/>
      <c r="AB1558" s="298"/>
      <c r="AC1558" s="297"/>
      <c r="AF1558" s="296"/>
      <c r="AG1558" s="297"/>
      <c r="AJ1558" s="298"/>
      <c r="AK1558" s="297"/>
      <c r="AN1558" s="298"/>
      <c r="AR1558" s="298"/>
    </row>
    <row r="1559" spans="2:44" s="290" customFormat="1" x14ac:dyDescent="0.2">
      <c r="B1559" s="302"/>
      <c r="D1559" s="302"/>
      <c r="E1559" s="302"/>
      <c r="K1559" s="303"/>
      <c r="L1559" s="303"/>
      <c r="M1559" s="303"/>
      <c r="AB1559" s="298"/>
      <c r="AC1559" s="297"/>
      <c r="AF1559" s="296"/>
      <c r="AG1559" s="297"/>
      <c r="AJ1559" s="298"/>
      <c r="AK1559" s="297"/>
      <c r="AN1559" s="298"/>
      <c r="AR1559" s="298"/>
    </row>
    <row r="1560" spans="2:44" s="290" customFormat="1" x14ac:dyDescent="0.2">
      <c r="B1560" s="302"/>
      <c r="D1560" s="302"/>
      <c r="E1560" s="302"/>
      <c r="K1560" s="303"/>
      <c r="L1560" s="303"/>
      <c r="M1560" s="303"/>
      <c r="AB1560" s="298"/>
      <c r="AC1560" s="297"/>
      <c r="AF1560" s="296"/>
      <c r="AG1560" s="297"/>
      <c r="AJ1560" s="298"/>
      <c r="AK1560" s="297"/>
      <c r="AN1560" s="298"/>
      <c r="AR1560" s="298"/>
    </row>
    <row r="1561" spans="2:44" s="290" customFormat="1" x14ac:dyDescent="0.2">
      <c r="B1561" s="302"/>
      <c r="D1561" s="302"/>
      <c r="E1561" s="302"/>
      <c r="K1561" s="303"/>
      <c r="L1561" s="303"/>
      <c r="M1561" s="303"/>
      <c r="AB1561" s="298"/>
      <c r="AC1561" s="297"/>
      <c r="AF1561" s="296"/>
      <c r="AG1561" s="297"/>
      <c r="AJ1561" s="298"/>
      <c r="AK1561" s="297"/>
      <c r="AN1561" s="298"/>
      <c r="AR1561" s="298"/>
    </row>
    <row r="1562" spans="2:44" s="290" customFormat="1" x14ac:dyDescent="0.2">
      <c r="B1562" s="302"/>
      <c r="D1562" s="302"/>
      <c r="E1562" s="302"/>
      <c r="K1562" s="303"/>
      <c r="L1562" s="303"/>
      <c r="M1562" s="303"/>
      <c r="AB1562" s="298"/>
      <c r="AC1562" s="297"/>
      <c r="AF1562" s="296"/>
      <c r="AG1562" s="297"/>
      <c r="AJ1562" s="298"/>
      <c r="AK1562" s="297"/>
      <c r="AN1562" s="298"/>
      <c r="AR1562" s="298"/>
    </row>
    <row r="1563" spans="2:44" s="290" customFormat="1" x14ac:dyDescent="0.2">
      <c r="B1563" s="302"/>
      <c r="D1563" s="302"/>
      <c r="E1563" s="302"/>
      <c r="K1563" s="303"/>
      <c r="L1563" s="303"/>
      <c r="M1563" s="303"/>
      <c r="AB1563" s="298"/>
      <c r="AC1563" s="297"/>
      <c r="AF1563" s="296"/>
      <c r="AG1563" s="297"/>
      <c r="AJ1563" s="298"/>
      <c r="AK1563" s="297"/>
      <c r="AN1563" s="298"/>
      <c r="AR1563" s="298"/>
    </row>
    <row r="1564" spans="2:44" s="290" customFormat="1" x14ac:dyDescent="0.2">
      <c r="B1564" s="302"/>
      <c r="D1564" s="302"/>
      <c r="E1564" s="302"/>
      <c r="K1564" s="303"/>
      <c r="L1564" s="303"/>
      <c r="M1564" s="303"/>
      <c r="AB1564" s="298"/>
      <c r="AC1564" s="297"/>
      <c r="AF1564" s="296"/>
      <c r="AG1564" s="297"/>
      <c r="AJ1564" s="298"/>
      <c r="AK1564" s="297"/>
      <c r="AN1564" s="298"/>
      <c r="AR1564" s="298"/>
    </row>
    <row r="1565" spans="2:44" s="290" customFormat="1" x14ac:dyDescent="0.2">
      <c r="B1565" s="302"/>
      <c r="D1565" s="302"/>
      <c r="E1565" s="302"/>
      <c r="K1565" s="303"/>
      <c r="L1565" s="303"/>
      <c r="M1565" s="303"/>
      <c r="AB1565" s="298"/>
      <c r="AC1565" s="297"/>
      <c r="AF1565" s="296"/>
      <c r="AG1565" s="297"/>
      <c r="AJ1565" s="298"/>
      <c r="AK1565" s="297"/>
      <c r="AN1565" s="298"/>
      <c r="AR1565" s="298"/>
    </row>
    <row r="1566" spans="2:44" s="290" customFormat="1" x14ac:dyDescent="0.2">
      <c r="B1566" s="302"/>
      <c r="D1566" s="302"/>
      <c r="E1566" s="302"/>
      <c r="K1566" s="303"/>
      <c r="L1566" s="303"/>
      <c r="M1566" s="303"/>
      <c r="AB1566" s="298"/>
      <c r="AC1566" s="297"/>
      <c r="AF1566" s="296"/>
      <c r="AG1566" s="297"/>
      <c r="AJ1566" s="298"/>
      <c r="AK1566" s="297"/>
      <c r="AN1566" s="298"/>
      <c r="AR1566" s="298"/>
    </row>
    <row r="1567" spans="2:44" s="290" customFormat="1" x14ac:dyDescent="0.2">
      <c r="B1567" s="302"/>
      <c r="D1567" s="302"/>
      <c r="E1567" s="302"/>
      <c r="K1567" s="303"/>
      <c r="L1567" s="303"/>
      <c r="M1567" s="303"/>
      <c r="AB1567" s="298"/>
      <c r="AC1567" s="297"/>
      <c r="AF1567" s="296"/>
      <c r="AG1567" s="297"/>
      <c r="AJ1567" s="298"/>
      <c r="AK1567" s="297"/>
      <c r="AN1567" s="298"/>
      <c r="AR1567" s="298"/>
    </row>
    <row r="1568" spans="2:44" s="290" customFormat="1" x14ac:dyDescent="0.2">
      <c r="B1568" s="302"/>
      <c r="D1568" s="302"/>
      <c r="E1568" s="302"/>
      <c r="K1568" s="303"/>
      <c r="L1568" s="303"/>
      <c r="M1568" s="303"/>
      <c r="AB1568" s="298"/>
      <c r="AC1568" s="297"/>
      <c r="AF1568" s="296"/>
      <c r="AG1568" s="297"/>
      <c r="AJ1568" s="298"/>
      <c r="AK1568" s="297"/>
      <c r="AN1568" s="298"/>
      <c r="AR1568" s="298"/>
    </row>
    <row r="1569" spans="2:44" s="290" customFormat="1" x14ac:dyDescent="0.2">
      <c r="B1569" s="302"/>
      <c r="D1569" s="302"/>
      <c r="E1569" s="302"/>
      <c r="K1569" s="303"/>
      <c r="L1569" s="303"/>
      <c r="M1569" s="303"/>
      <c r="AB1569" s="298"/>
      <c r="AC1569" s="297"/>
      <c r="AF1569" s="296"/>
      <c r="AG1569" s="297"/>
      <c r="AJ1569" s="298"/>
      <c r="AK1569" s="297"/>
      <c r="AN1569" s="298"/>
      <c r="AR1569" s="298"/>
    </row>
    <row r="1570" spans="2:44" s="290" customFormat="1" x14ac:dyDescent="0.2">
      <c r="B1570" s="302"/>
      <c r="D1570" s="302"/>
      <c r="E1570" s="302"/>
      <c r="K1570" s="303"/>
      <c r="L1570" s="303"/>
      <c r="M1570" s="303"/>
      <c r="AB1570" s="298"/>
      <c r="AC1570" s="297"/>
      <c r="AF1570" s="296"/>
      <c r="AG1570" s="297"/>
      <c r="AJ1570" s="298"/>
      <c r="AK1570" s="297"/>
      <c r="AN1570" s="298"/>
      <c r="AR1570" s="298"/>
    </row>
    <row r="1571" spans="2:44" s="290" customFormat="1" x14ac:dyDescent="0.2">
      <c r="B1571" s="302"/>
      <c r="D1571" s="302"/>
      <c r="E1571" s="302"/>
      <c r="K1571" s="303"/>
      <c r="L1571" s="303"/>
      <c r="M1571" s="303"/>
      <c r="AB1571" s="298"/>
      <c r="AC1571" s="297"/>
      <c r="AF1571" s="296"/>
      <c r="AG1571" s="297"/>
      <c r="AJ1571" s="298"/>
      <c r="AK1571" s="297"/>
      <c r="AN1571" s="298"/>
      <c r="AR1571" s="298"/>
    </row>
    <row r="1572" spans="2:44" s="290" customFormat="1" x14ac:dyDescent="0.2">
      <c r="B1572" s="302"/>
      <c r="D1572" s="302"/>
      <c r="E1572" s="302"/>
      <c r="K1572" s="303"/>
      <c r="L1572" s="303"/>
      <c r="M1572" s="303"/>
      <c r="AB1572" s="298"/>
      <c r="AC1572" s="297"/>
      <c r="AF1572" s="296"/>
      <c r="AG1572" s="297"/>
      <c r="AJ1572" s="298"/>
      <c r="AK1572" s="297"/>
      <c r="AN1572" s="298"/>
      <c r="AR1572" s="298"/>
    </row>
    <row r="1573" spans="2:44" s="290" customFormat="1" x14ac:dyDescent="0.2">
      <c r="B1573" s="302"/>
      <c r="D1573" s="302"/>
      <c r="E1573" s="302"/>
      <c r="K1573" s="303"/>
      <c r="L1573" s="303"/>
      <c r="M1573" s="303"/>
      <c r="AB1573" s="298"/>
      <c r="AC1573" s="297"/>
      <c r="AF1573" s="296"/>
      <c r="AG1573" s="297"/>
      <c r="AJ1573" s="298"/>
      <c r="AK1573" s="297"/>
      <c r="AN1573" s="298"/>
      <c r="AR1573" s="298"/>
    </row>
    <row r="1574" spans="2:44" s="290" customFormat="1" x14ac:dyDescent="0.2">
      <c r="B1574" s="302"/>
      <c r="D1574" s="302"/>
      <c r="E1574" s="302"/>
      <c r="K1574" s="303"/>
      <c r="L1574" s="303"/>
      <c r="M1574" s="303"/>
      <c r="AB1574" s="298"/>
      <c r="AC1574" s="297"/>
      <c r="AF1574" s="296"/>
      <c r="AG1574" s="297"/>
      <c r="AJ1574" s="298"/>
      <c r="AK1574" s="297"/>
      <c r="AN1574" s="298"/>
      <c r="AR1574" s="298"/>
    </row>
    <row r="1575" spans="2:44" s="290" customFormat="1" x14ac:dyDescent="0.2">
      <c r="B1575" s="302"/>
      <c r="D1575" s="302"/>
      <c r="E1575" s="302"/>
      <c r="K1575" s="303"/>
      <c r="L1575" s="303"/>
      <c r="M1575" s="303"/>
      <c r="AB1575" s="298"/>
      <c r="AC1575" s="297"/>
      <c r="AF1575" s="296"/>
      <c r="AG1575" s="297"/>
      <c r="AJ1575" s="298"/>
      <c r="AK1575" s="297"/>
      <c r="AN1575" s="298"/>
      <c r="AR1575" s="298"/>
    </row>
    <row r="1576" spans="2:44" s="290" customFormat="1" x14ac:dyDescent="0.2">
      <c r="B1576" s="302"/>
      <c r="D1576" s="302"/>
      <c r="E1576" s="302"/>
      <c r="K1576" s="303"/>
      <c r="L1576" s="303"/>
      <c r="M1576" s="303"/>
      <c r="AB1576" s="298"/>
      <c r="AC1576" s="297"/>
      <c r="AF1576" s="296"/>
      <c r="AG1576" s="297"/>
      <c r="AJ1576" s="298"/>
      <c r="AK1576" s="297"/>
      <c r="AN1576" s="298"/>
      <c r="AR1576" s="298"/>
    </row>
    <row r="1577" spans="2:44" s="290" customFormat="1" x14ac:dyDescent="0.2">
      <c r="B1577" s="302"/>
      <c r="D1577" s="302"/>
      <c r="E1577" s="302"/>
      <c r="K1577" s="303"/>
      <c r="L1577" s="303"/>
      <c r="M1577" s="303"/>
      <c r="AB1577" s="298"/>
      <c r="AC1577" s="297"/>
      <c r="AF1577" s="296"/>
      <c r="AG1577" s="297"/>
      <c r="AJ1577" s="298"/>
      <c r="AK1577" s="297"/>
      <c r="AN1577" s="298"/>
      <c r="AR1577" s="298"/>
    </row>
    <row r="1578" spans="2:44" s="290" customFormat="1" x14ac:dyDescent="0.2">
      <c r="B1578" s="302"/>
      <c r="D1578" s="302"/>
      <c r="E1578" s="302"/>
      <c r="K1578" s="303"/>
      <c r="L1578" s="303"/>
      <c r="M1578" s="303"/>
      <c r="AB1578" s="298"/>
      <c r="AC1578" s="297"/>
      <c r="AF1578" s="296"/>
      <c r="AG1578" s="297"/>
      <c r="AJ1578" s="298"/>
      <c r="AK1578" s="297"/>
      <c r="AN1578" s="298"/>
      <c r="AR1578" s="298"/>
    </row>
    <row r="1579" spans="2:44" s="290" customFormat="1" x14ac:dyDescent="0.2">
      <c r="B1579" s="302"/>
      <c r="D1579" s="302"/>
      <c r="E1579" s="302"/>
      <c r="K1579" s="303"/>
      <c r="L1579" s="303"/>
      <c r="M1579" s="303"/>
      <c r="AB1579" s="298"/>
      <c r="AC1579" s="297"/>
      <c r="AF1579" s="296"/>
      <c r="AG1579" s="297"/>
      <c r="AJ1579" s="298"/>
      <c r="AK1579" s="297"/>
      <c r="AN1579" s="298"/>
      <c r="AR1579" s="298"/>
    </row>
    <row r="1580" spans="2:44" s="290" customFormat="1" x14ac:dyDescent="0.2">
      <c r="B1580" s="302"/>
      <c r="D1580" s="302"/>
      <c r="E1580" s="302"/>
      <c r="K1580" s="303"/>
      <c r="L1580" s="303"/>
      <c r="M1580" s="303"/>
      <c r="AB1580" s="298"/>
      <c r="AC1580" s="297"/>
      <c r="AF1580" s="296"/>
      <c r="AG1580" s="297"/>
      <c r="AJ1580" s="298"/>
      <c r="AK1580" s="297"/>
      <c r="AN1580" s="298"/>
      <c r="AR1580" s="298"/>
    </row>
    <row r="1581" spans="2:44" s="290" customFormat="1" x14ac:dyDescent="0.2">
      <c r="B1581" s="302"/>
      <c r="D1581" s="302"/>
      <c r="E1581" s="302"/>
      <c r="K1581" s="303"/>
      <c r="L1581" s="303"/>
      <c r="M1581" s="303"/>
      <c r="AB1581" s="298"/>
      <c r="AC1581" s="297"/>
      <c r="AF1581" s="296"/>
      <c r="AG1581" s="297"/>
      <c r="AJ1581" s="298"/>
      <c r="AK1581" s="297"/>
      <c r="AN1581" s="298"/>
      <c r="AR1581" s="298"/>
    </row>
    <row r="1582" spans="2:44" s="290" customFormat="1" x14ac:dyDescent="0.2">
      <c r="B1582" s="302"/>
      <c r="D1582" s="302"/>
      <c r="E1582" s="302"/>
      <c r="K1582" s="303"/>
      <c r="L1582" s="303"/>
      <c r="M1582" s="303"/>
      <c r="AB1582" s="298"/>
      <c r="AC1582" s="297"/>
      <c r="AF1582" s="296"/>
      <c r="AG1582" s="297"/>
      <c r="AJ1582" s="298"/>
      <c r="AK1582" s="297"/>
      <c r="AN1582" s="298"/>
      <c r="AR1582" s="298"/>
    </row>
    <row r="1583" spans="2:44" s="290" customFormat="1" x14ac:dyDescent="0.2">
      <c r="B1583" s="302"/>
      <c r="D1583" s="302"/>
      <c r="E1583" s="302"/>
      <c r="K1583" s="303"/>
      <c r="L1583" s="303"/>
      <c r="M1583" s="303"/>
      <c r="AB1583" s="298"/>
      <c r="AC1583" s="297"/>
      <c r="AF1583" s="296"/>
      <c r="AG1583" s="297"/>
      <c r="AJ1583" s="298"/>
      <c r="AK1583" s="297"/>
      <c r="AN1583" s="298"/>
      <c r="AR1583" s="298"/>
    </row>
    <row r="1584" spans="2:44" s="290" customFormat="1" x14ac:dyDescent="0.2">
      <c r="B1584" s="302"/>
      <c r="D1584" s="302"/>
      <c r="E1584" s="302"/>
      <c r="K1584" s="303"/>
      <c r="L1584" s="303"/>
      <c r="M1584" s="303"/>
      <c r="AB1584" s="298"/>
      <c r="AC1584" s="297"/>
      <c r="AF1584" s="296"/>
      <c r="AG1584" s="297"/>
      <c r="AJ1584" s="298"/>
      <c r="AK1584" s="297"/>
      <c r="AN1584" s="298"/>
      <c r="AR1584" s="298"/>
    </row>
    <row r="1585" spans="2:44" s="290" customFormat="1" x14ac:dyDescent="0.2">
      <c r="B1585" s="302"/>
      <c r="D1585" s="302"/>
      <c r="E1585" s="302"/>
      <c r="K1585" s="303"/>
      <c r="L1585" s="303"/>
      <c r="M1585" s="303"/>
      <c r="AB1585" s="298"/>
      <c r="AC1585" s="297"/>
      <c r="AF1585" s="296"/>
      <c r="AG1585" s="297"/>
      <c r="AJ1585" s="298"/>
      <c r="AK1585" s="297"/>
      <c r="AN1585" s="298"/>
      <c r="AR1585" s="298"/>
    </row>
    <row r="1586" spans="2:44" s="290" customFormat="1" x14ac:dyDescent="0.2">
      <c r="B1586" s="302"/>
      <c r="D1586" s="302"/>
      <c r="E1586" s="302"/>
      <c r="K1586" s="303"/>
      <c r="L1586" s="303"/>
      <c r="M1586" s="303"/>
      <c r="AB1586" s="298"/>
      <c r="AC1586" s="297"/>
      <c r="AF1586" s="296"/>
      <c r="AG1586" s="297"/>
      <c r="AJ1586" s="298"/>
      <c r="AK1586" s="297"/>
      <c r="AN1586" s="298"/>
      <c r="AR1586" s="298"/>
    </row>
    <row r="1587" spans="2:44" s="290" customFormat="1" x14ac:dyDescent="0.2">
      <c r="B1587" s="302"/>
      <c r="D1587" s="302"/>
      <c r="E1587" s="302"/>
      <c r="K1587" s="303"/>
      <c r="L1587" s="303"/>
      <c r="M1587" s="303"/>
      <c r="AB1587" s="298"/>
      <c r="AC1587" s="297"/>
      <c r="AF1587" s="296"/>
      <c r="AG1587" s="297"/>
      <c r="AJ1587" s="298"/>
      <c r="AK1587" s="297"/>
      <c r="AN1587" s="298"/>
      <c r="AR1587" s="298"/>
    </row>
    <row r="1588" spans="2:44" s="290" customFormat="1" x14ac:dyDescent="0.2">
      <c r="B1588" s="302"/>
      <c r="D1588" s="302"/>
      <c r="E1588" s="302"/>
      <c r="K1588" s="303"/>
      <c r="L1588" s="303"/>
      <c r="M1588" s="303"/>
      <c r="AB1588" s="298"/>
      <c r="AC1588" s="297"/>
      <c r="AF1588" s="296"/>
      <c r="AG1588" s="297"/>
      <c r="AJ1588" s="298"/>
      <c r="AK1588" s="297"/>
      <c r="AN1588" s="298"/>
      <c r="AR1588" s="298"/>
    </row>
    <row r="1589" spans="2:44" s="290" customFormat="1" x14ac:dyDescent="0.2">
      <c r="B1589" s="302"/>
      <c r="D1589" s="302"/>
      <c r="E1589" s="302"/>
      <c r="K1589" s="303"/>
      <c r="L1589" s="303"/>
      <c r="M1589" s="303"/>
      <c r="AB1589" s="298"/>
      <c r="AC1589" s="297"/>
      <c r="AF1589" s="296"/>
      <c r="AG1589" s="297"/>
      <c r="AJ1589" s="298"/>
      <c r="AK1589" s="297"/>
      <c r="AN1589" s="298"/>
      <c r="AR1589" s="298"/>
    </row>
    <row r="1590" spans="2:44" s="290" customFormat="1" x14ac:dyDescent="0.2">
      <c r="B1590" s="302"/>
      <c r="D1590" s="302"/>
      <c r="E1590" s="302"/>
      <c r="K1590" s="303"/>
      <c r="L1590" s="303"/>
      <c r="M1590" s="303"/>
      <c r="AB1590" s="298"/>
      <c r="AC1590" s="297"/>
      <c r="AF1590" s="296"/>
      <c r="AG1590" s="297"/>
      <c r="AJ1590" s="298"/>
      <c r="AK1590" s="297"/>
      <c r="AN1590" s="298"/>
      <c r="AR1590" s="298"/>
    </row>
    <row r="1591" spans="2:44" s="290" customFormat="1" x14ac:dyDescent="0.2">
      <c r="B1591" s="302"/>
      <c r="D1591" s="302"/>
      <c r="E1591" s="302"/>
      <c r="K1591" s="303"/>
      <c r="L1591" s="303"/>
      <c r="M1591" s="303"/>
      <c r="AB1591" s="298"/>
      <c r="AC1591" s="297"/>
      <c r="AF1591" s="296"/>
      <c r="AG1591" s="297"/>
      <c r="AJ1591" s="298"/>
      <c r="AK1591" s="297"/>
      <c r="AN1591" s="298"/>
      <c r="AR1591" s="298"/>
    </row>
    <row r="1592" spans="2:44" s="290" customFormat="1" x14ac:dyDescent="0.2">
      <c r="B1592" s="302"/>
      <c r="D1592" s="302"/>
      <c r="E1592" s="302"/>
      <c r="K1592" s="303"/>
      <c r="L1592" s="303"/>
      <c r="M1592" s="303"/>
      <c r="AB1592" s="298"/>
      <c r="AC1592" s="297"/>
      <c r="AF1592" s="296"/>
      <c r="AG1592" s="297"/>
      <c r="AJ1592" s="298"/>
      <c r="AK1592" s="297"/>
      <c r="AN1592" s="298"/>
      <c r="AR1592" s="298"/>
    </row>
    <row r="1593" spans="2:44" s="290" customFormat="1" x14ac:dyDescent="0.2">
      <c r="B1593" s="302"/>
      <c r="D1593" s="302"/>
      <c r="E1593" s="302"/>
      <c r="K1593" s="303"/>
      <c r="L1593" s="303"/>
      <c r="M1593" s="303"/>
      <c r="AB1593" s="298"/>
      <c r="AC1593" s="297"/>
      <c r="AF1593" s="296"/>
      <c r="AG1593" s="297"/>
      <c r="AJ1593" s="298"/>
      <c r="AK1593" s="297"/>
      <c r="AN1593" s="298"/>
      <c r="AR1593" s="298"/>
    </row>
    <row r="1594" spans="2:44" s="290" customFormat="1" x14ac:dyDescent="0.2">
      <c r="B1594" s="302"/>
      <c r="D1594" s="302"/>
      <c r="E1594" s="302"/>
      <c r="K1594" s="303"/>
      <c r="L1594" s="303"/>
      <c r="M1594" s="303"/>
      <c r="AB1594" s="298"/>
      <c r="AC1594" s="297"/>
      <c r="AF1594" s="296"/>
      <c r="AG1594" s="297"/>
      <c r="AJ1594" s="298"/>
      <c r="AK1594" s="297"/>
      <c r="AN1594" s="298"/>
      <c r="AR1594" s="298"/>
    </row>
    <row r="1595" spans="2:44" s="290" customFormat="1" x14ac:dyDescent="0.2">
      <c r="B1595" s="302"/>
      <c r="D1595" s="302"/>
      <c r="E1595" s="302"/>
      <c r="K1595" s="303"/>
      <c r="L1595" s="303"/>
      <c r="M1595" s="303"/>
      <c r="AB1595" s="298"/>
      <c r="AC1595" s="297"/>
      <c r="AF1595" s="296"/>
      <c r="AG1595" s="297"/>
      <c r="AJ1595" s="298"/>
      <c r="AK1595" s="297"/>
      <c r="AN1595" s="298"/>
      <c r="AR1595" s="298"/>
    </row>
    <row r="1596" spans="2:44" s="290" customFormat="1" x14ac:dyDescent="0.2">
      <c r="B1596" s="302"/>
      <c r="D1596" s="302"/>
      <c r="E1596" s="302"/>
      <c r="K1596" s="303"/>
      <c r="L1596" s="303"/>
      <c r="M1596" s="303"/>
      <c r="AB1596" s="298"/>
      <c r="AC1596" s="297"/>
      <c r="AF1596" s="296"/>
      <c r="AG1596" s="297"/>
      <c r="AJ1596" s="298"/>
      <c r="AK1596" s="297"/>
      <c r="AN1596" s="298"/>
      <c r="AR1596" s="298"/>
    </row>
    <row r="1597" spans="2:44" s="290" customFormat="1" x14ac:dyDescent="0.2">
      <c r="B1597" s="302"/>
      <c r="D1597" s="302"/>
      <c r="E1597" s="302"/>
      <c r="K1597" s="303"/>
      <c r="L1597" s="303"/>
      <c r="M1597" s="303"/>
      <c r="AB1597" s="298"/>
      <c r="AC1597" s="297"/>
      <c r="AF1597" s="296"/>
      <c r="AG1597" s="297"/>
      <c r="AJ1597" s="298"/>
      <c r="AK1597" s="297"/>
      <c r="AN1597" s="298"/>
      <c r="AR1597" s="298"/>
    </row>
    <row r="1598" spans="2:44" s="290" customFormat="1" x14ac:dyDescent="0.2">
      <c r="B1598" s="302"/>
      <c r="D1598" s="302"/>
      <c r="E1598" s="302"/>
      <c r="K1598" s="303"/>
      <c r="L1598" s="303"/>
      <c r="M1598" s="303"/>
      <c r="AB1598" s="298"/>
      <c r="AC1598" s="297"/>
      <c r="AF1598" s="296"/>
      <c r="AG1598" s="297"/>
      <c r="AJ1598" s="298"/>
      <c r="AK1598" s="297"/>
      <c r="AN1598" s="298"/>
      <c r="AR1598" s="298"/>
    </row>
    <row r="1599" spans="2:44" s="290" customFormat="1" x14ac:dyDescent="0.2">
      <c r="B1599" s="302"/>
      <c r="D1599" s="302"/>
      <c r="E1599" s="302"/>
      <c r="K1599" s="303"/>
      <c r="L1599" s="303"/>
      <c r="M1599" s="303"/>
      <c r="AB1599" s="298"/>
      <c r="AC1599" s="297"/>
      <c r="AF1599" s="296"/>
      <c r="AG1599" s="297"/>
      <c r="AJ1599" s="298"/>
      <c r="AK1599" s="297"/>
      <c r="AN1599" s="298"/>
      <c r="AR1599" s="298"/>
    </row>
    <row r="1600" spans="2:44" s="290" customFormat="1" x14ac:dyDescent="0.2">
      <c r="B1600" s="302"/>
      <c r="D1600" s="302"/>
      <c r="E1600" s="302"/>
      <c r="K1600" s="303"/>
      <c r="L1600" s="303"/>
      <c r="M1600" s="303"/>
      <c r="AB1600" s="298"/>
      <c r="AC1600" s="297"/>
      <c r="AF1600" s="296"/>
      <c r="AG1600" s="297"/>
      <c r="AJ1600" s="298"/>
      <c r="AK1600" s="297"/>
      <c r="AN1600" s="298"/>
      <c r="AR1600" s="298"/>
    </row>
    <row r="1601" spans="2:44" s="290" customFormat="1" x14ac:dyDescent="0.2">
      <c r="B1601" s="302"/>
      <c r="D1601" s="302"/>
      <c r="E1601" s="302"/>
      <c r="K1601" s="303"/>
      <c r="L1601" s="303"/>
      <c r="M1601" s="303"/>
      <c r="AB1601" s="298"/>
      <c r="AC1601" s="297"/>
      <c r="AF1601" s="296"/>
      <c r="AG1601" s="297"/>
      <c r="AJ1601" s="298"/>
      <c r="AK1601" s="297"/>
      <c r="AN1601" s="298"/>
      <c r="AR1601" s="298"/>
    </row>
    <row r="1602" spans="2:44" s="290" customFormat="1" x14ac:dyDescent="0.2">
      <c r="B1602" s="302"/>
      <c r="D1602" s="302"/>
      <c r="E1602" s="302"/>
      <c r="K1602" s="303"/>
      <c r="L1602" s="303"/>
      <c r="M1602" s="303"/>
      <c r="AB1602" s="298"/>
      <c r="AC1602" s="297"/>
      <c r="AF1602" s="296"/>
      <c r="AG1602" s="297"/>
      <c r="AJ1602" s="298"/>
      <c r="AK1602" s="297"/>
      <c r="AN1602" s="298"/>
      <c r="AR1602" s="298"/>
    </row>
    <row r="1603" spans="2:44" s="290" customFormat="1" x14ac:dyDescent="0.2">
      <c r="B1603" s="302"/>
      <c r="D1603" s="302"/>
      <c r="E1603" s="302"/>
      <c r="K1603" s="303"/>
      <c r="L1603" s="303"/>
      <c r="M1603" s="303"/>
      <c r="AB1603" s="298"/>
      <c r="AC1603" s="297"/>
      <c r="AF1603" s="296"/>
      <c r="AG1603" s="297"/>
      <c r="AJ1603" s="298"/>
      <c r="AK1603" s="297"/>
      <c r="AN1603" s="298"/>
      <c r="AR1603" s="298"/>
    </row>
    <row r="1604" spans="2:44" s="290" customFormat="1" x14ac:dyDescent="0.2">
      <c r="B1604" s="302"/>
      <c r="D1604" s="302"/>
      <c r="E1604" s="302"/>
      <c r="K1604" s="303"/>
      <c r="L1604" s="303"/>
      <c r="M1604" s="303"/>
      <c r="AB1604" s="298"/>
      <c r="AC1604" s="297"/>
      <c r="AF1604" s="296"/>
      <c r="AG1604" s="297"/>
      <c r="AJ1604" s="298"/>
      <c r="AK1604" s="297"/>
      <c r="AN1604" s="298"/>
      <c r="AR1604" s="298"/>
    </row>
    <row r="1605" spans="2:44" s="290" customFormat="1" x14ac:dyDescent="0.2">
      <c r="B1605" s="302"/>
      <c r="D1605" s="302"/>
      <c r="E1605" s="302"/>
      <c r="K1605" s="303"/>
      <c r="L1605" s="303"/>
      <c r="M1605" s="303"/>
      <c r="AB1605" s="298"/>
      <c r="AC1605" s="297"/>
      <c r="AF1605" s="296"/>
      <c r="AG1605" s="297"/>
      <c r="AJ1605" s="298"/>
      <c r="AK1605" s="297"/>
      <c r="AN1605" s="298"/>
      <c r="AR1605" s="298"/>
    </row>
    <row r="1606" spans="2:44" s="290" customFormat="1" x14ac:dyDescent="0.2">
      <c r="B1606" s="302"/>
      <c r="D1606" s="302"/>
      <c r="E1606" s="302"/>
      <c r="K1606" s="303"/>
      <c r="L1606" s="303"/>
      <c r="M1606" s="303"/>
      <c r="AB1606" s="298"/>
      <c r="AC1606" s="297"/>
      <c r="AF1606" s="296"/>
      <c r="AG1606" s="297"/>
      <c r="AJ1606" s="298"/>
      <c r="AK1606" s="297"/>
      <c r="AN1606" s="298"/>
      <c r="AR1606" s="298"/>
    </row>
    <row r="1607" spans="2:44" s="290" customFormat="1" x14ac:dyDescent="0.2">
      <c r="B1607" s="302"/>
      <c r="D1607" s="302"/>
      <c r="E1607" s="302"/>
      <c r="K1607" s="303"/>
      <c r="L1607" s="303"/>
      <c r="M1607" s="303"/>
      <c r="AB1607" s="298"/>
      <c r="AC1607" s="297"/>
      <c r="AF1607" s="296"/>
      <c r="AG1607" s="297"/>
      <c r="AJ1607" s="298"/>
      <c r="AK1607" s="297"/>
      <c r="AN1607" s="298"/>
      <c r="AR1607" s="298"/>
    </row>
    <row r="1608" spans="2:44" s="290" customFormat="1" x14ac:dyDescent="0.2">
      <c r="B1608" s="302"/>
      <c r="D1608" s="302"/>
      <c r="E1608" s="302"/>
      <c r="K1608" s="303"/>
      <c r="L1608" s="303"/>
      <c r="M1608" s="303"/>
      <c r="AB1608" s="298"/>
      <c r="AC1608" s="297"/>
      <c r="AF1608" s="296"/>
      <c r="AG1608" s="297"/>
      <c r="AJ1608" s="298"/>
      <c r="AK1608" s="297"/>
      <c r="AN1608" s="298"/>
      <c r="AR1608" s="298"/>
    </row>
    <row r="1609" spans="2:44" s="290" customFormat="1" x14ac:dyDescent="0.2">
      <c r="B1609" s="302"/>
      <c r="D1609" s="302"/>
      <c r="E1609" s="302"/>
      <c r="K1609" s="303"/>
      <c r="L1609" s="303"/>
      <c r="M1609" s="303"/>
      <c r="AB1609" s="298"/>
      <c r="AC1609" s="297"/>
      <c r="AF1609" s="296"/>
      <c r="AG1609" s="297"/>
      <c r="AJ1609" s="298"/>
      <c r="AK1609" s="297"/>
      <c r="AN1609" s="298"/>
      <c r="AR1609" s="298"/>
    </row>
    <row r="1610" spans="2:44" s="290" customFormat="1" x14ac:dyDescent="0.2">
      <c r="B1610" s="302"/>
      <c r="D1610" s="302"/>
      <c r="E1610" s="302"/>
      <c r="K1610" s="303"/>
      <c r="L1610" s="303"/>
      <c r="M1610" s="303"/>
      <c r="AB1610" s="298"/>
      <c r="AC1610" s="297"/>
      <c r="AF1610" s="296"/>
      <c r="AG1610" s="297"/>
      <c r="AJ1610" s="298"/>
      <c r="AK1610" s="297"/>
      <c r="AN1610" s="298"/>
      <c r="AR1610" s="298"/>
    </row>
    <row r="1611" spans="2:44" s="290" customFormat="1" x14ac:dyDescent="0.2">
      <c r="B1611" s="302"/>
      <c r="D1611" s="302"/>
      <c r="E1611" s="302"/>
      <c r="K1611" s="303"/>
      <c r="L1611" s="303"/>
      <c r="M1611" s="303"/>
      <c r="AB1611" s="298"/>
      <c r="AC1611" s="297"/>
      <c r="AF1611" s="296"/>
      <c r="AG1611" s="297"/>
      <c r="AJ1611" s="298"/>
      <c r="AK1611" s="297"/>
      <c r="AN1611" s="298"/>
      <c r="AR1611" s="298"/>
    </row>
    <row r="1612" spans="2:44" s="290" customFormat="1" x14ac:dyDescent="0.2">
      <c r="B1612" s="302"/>
      <c r="D1612" s="302"/>
      <c r="E1612" s="302"/>
      <c r="K1612" s="303"/>
      <c r="L1612" s="303"/>
      <c r="M1612" s="303"/>
      <c r="AB1612" s="298"/>
      <c r="AC1612" s="297"/>
      <c r="AF1612" s="296"/>
      <c r="AG1612" s="297"/>
      <c r="AJ1612" s="298"/>
      <c r="AK1612" s="297"/>
      <c r="AN1612" s="298"/>
      <c r="AR1612" s="298"/>
    </row>
    <row r="1613" spans="2:44" s="290" customFormat="1" x14ac:dyDescent="0.2">
      <c r="B1613" s="302"/>
      <c r="D1613" s="302"/>
      <c r="E1613" s="302"/>
      <c r="K1613" s="303"/>
      <c r="L1613" s="303"/>
      <c r="M1613" s="303"/>
      <c r="AB1613" s="298"/>
      <c r="AC1613" s="297"/>
      <c r="AF1613" s="296"/>
      <c r="AG1613" s="297"/>
      <c r="AJ1613" s="298"/>
      <c r="AK1613" s="297"/>
      <c r="AN1613" s="298"/>
      <c r="AR1613" s="298"/>
    </row>
    <row r="1614" spans="2:44" s="290" customFormat="1" x14ac:dyDescent="0.2">
      <c r="B1614" s="302"/>
      <c r="D1614" s="302"/>
      <c r="E1614" s="302"/>
      <c r="K1614" s="303"/>
      <c r="L1614" s="303"/>
      <c r="M1614" s="303"/>
      <c r="AB1614" s="298"/>
      <c r="AC1614" s="297"/>
      <c r="AF1614" s="296"/>
      <c r="AG1614" s="297"/>
      <c r="AJ1614" s="298"/>
      <c r="AK1614" s="297"/>
      <c r="AN1614" s="298"/>
      <c r="AR1614" s="298"/>
    </row>
    <row r="1615" spans="2:44" s="290" customFormat="1" x14ac:dyDescent="0.2">
      <c r="B1615" s="302"/>
      <c r="D1615" s="302"/>
      <c r="E1615" s="302"/>
      <c r="K1615" s="303"/>
      <c r="L1615" s="303"/>
      <c r="M1615" s="303"/>
      <c r="AB1615" s="298"/>
      <c r="AC1615" s="297"/>
      <c r="AF1615" s="296"/>
      <c r="AG1615" s="297"/>
      <c r="AJ1615" s="298"/>
      <c r="AK1615" s="297"/>
      <c r="AN1615" s="298"/>
      <c r="AR1615" s="298"/>
    </row>
    <row r="1616" spans="2:44" s="290" customFormat="1" x14ac:dyDescent="0.2">
      <c r="B1616" s="302"/>
      <c r="D1616" s="302"/>
      <c r="E1616" s="302"/>
      <c r="K1616" s="303"/>
      <c r="L1616" s="303"/>
      <c r="M1616" s="303"/>
      <c r="AB1616" s="298"/>
      <c r="AC1616" s="297"/>
      <c r="AF1616" s="296"/>
      <c r="AG1616" s="297"/>
      <c r="AJ1616" s="298"/>
      <c r="AK1616" s="297"/>
      <c r="AN1616" s="298"/>
      <c r="AR1616" s="298"/>
    </row>
    <row r="1617" spans="2:44" s="290" customFormat="1" x14ac:dyDescent="0.2">
      <c r="B1617" s="302"/>
      <c r="D1617" s="302"/>
      <c r="E1617" s="302"/>
      <c r="K1617" s="303"/>
      <c r="L1617" s="303"/>
      <c r="M1617" s="303"/>
      <c r="AB1617" s="298"/>
      <c r="AC1617" s="297"/>
      <c r="AF1617" s="296"/>
      <c r="AG1617" s="297"/>
      <c r="AJ1617" s="298"/>
      <c r="AK1617" s="297"/>
      <c r="AN1617" s="298"/>
      <c r="AR1617" s="298"/>
    </row>
    <row r="1618" spans="2:44" s="290" customFormat="1" x14ac:dyDescent="0.2">
      <c r="B1618" s="302"/>
      <c r="D1618" s="302"/>
      <c r="E1618" s="302"/>
      <c r="K1618" s="303"/>
      <c r="L1618" s="303"/>
      <c r="M1618" s="303"/>
      <c r="AB1618" s="298"/>
      <c r="AC1618" s="297"/>
      <c r="AF1618" s="296"/>
      <c r="AG1618" s="297"/>
      <c r="AJ1618" s="298"/>
      <c r="AK1618" s="297"/>
      <c r="AN1618" s="298"/>
      <c r="AR1618" s="298"/>
    </row>
    <row r="1619" spans="2:44" s="290" customFormat="1" x14ac:dyDescent="0.2">
      <c r="B1619" s="302"/>
      <c r="D1619" s="302"/>
      <c r="E1619" s="302"/>
      <c r="K1619" s="303"/>
      <c r="L1619" s="303"/>
      <c r="M1619" s="303"/>
      <c r="AB1619" s="298"/>
      <c r="AC1619" s="297"/>
      <c r="AF1619" s="296"/>
      <c r="AG1619" s="297"/>
      <c r="AJ1619" s="298"/>
      <c r="AK1619" s="297"/>
      <c r="AN1619" s="298"/>
      <c r="AR1619" s="298"/>
    </row>
    <row r="1620" spans="2:44" s="290" customFormat="1" x14ac:dyDescent="0.2">
      <c r="B1620" s="302"/>
      <c r="D1620" s="302"/>
      <c r="E1620" s="302"/>
      <c r="K1620" s="303"/>
      <c r="L1620" s="303"/>
      <c r="M1620" s="303"/>
      <c r="AB1620" s="298"/>
      <c r="AC1620" s="297"/>
      <c r="AF1620" s="296"/>
      <c r="AG1620" s="297"/>
      <c r="AJ1620" s="298"/>
      <c r="AK1620" s="297"/>
      <c r="AN1620" s="298"/>
      <c r="AR1620" s="298"/>
    </row>
    <row r="1621" spans="2:44" s="290" customFormat="1" x14ac:dyDescent="0.2">
      <c r="B1621" s="302"/>
      <c r="D1621" s="302"/>
      <c r="E1621" s="302"/>
      <c r="K1621" s="303"/>
      <c r="L1621" s="303"/>
      <c r="M1621" s="303"/>
      <c r="AB1621" s="298"/>
      <c r="AC1621" s="297"/>
      <c r="AF1621" s="296"/>
      <c r="AG1621" s="297"/>
      <c r="AJ1621" s="298"/>
      <c r="AK1621" s="297"/>
      <c r="AN1621" s="298"/>
      <c r="AR1621" s="298"/>
    </row>
    <row r="1622" spans="2:44" s="290" customFormat="1" x14ac:dyDescent="0.2">
      <c r="B1622" s="302"/>
      <c r="D1622" s="302"/>
      <c r="E1622" s="302"/>
      <c r="K1622" s="303"/>
      <c r="L1622" s="303"/>
      <c r="M1622" s="303"/>
      <c r="AB1622" s="298"/>
      <c r="AC1622" s="297"/>
      <c r="AF1622" s="296"/>
      <c r="AG1622" s="297"/>
      <c r="AJ1622" s="298"/>
      <c r="AK1622" s="297"/>
      <c r="AN1622" s="298"/>
      <c r="AR1622" s="298"/>
    </row>
    <row r="1623" spans="2:44" s="290" customFormat="1" x14ac:dyDescent="0.2">
      <c r="B1623" s="302"/>
      <c r="D1623" s="302"/>
      <c r="E1623" s="302"/>
      <c r="K1623" s="303"/>
      <c r="L1623" s="303"/>
      <c r="M1623" s="303"/>
      <c r="AB1623" s="298"/>
      <c r="AC1623" s="297"/>
      <c r="AF1623" s="296"/>
      <c r="AG1623" s="297"/>
      <c r="AJ1623" s="298"/>
      <c r="AK1623" s="297"/>
      <c r="AN1623" s="298"/>
      <c r="AR1623" s="298"/>
    </row>
    <row r="1624" spans="2:44" s="290" customFormat="1" x14ac:dyDescent="0.2">
      <c r="B1624" s="302"/>
      <c r="D1624" s="302"/>
      <c r="E1624" s="302"/>
      <c r="K1624" s="303"/>
      <c r="L1624" s="303"/>
      <c r="M1624" s="303"/>
      <c r="AB1624" s="298"/>
      <c r="AC1624" s="297"/>
      <c r="AF1624" s="296"/>
      <c r="AG1624" s="297"/>
      <c r="AJ1624" s="298"/>
      <c r="AK1624" s="297"/>
      <c r="AN1624" s="298"/>
      <c r="AR1624" s="298"/>
    </row>
    <row r="1625" spans="2:44" s="290" customFormat="1" x14ac:dyDescent="0.2">
      <c r="B1625" s="302"/>
      <c r="D1625" s="302"/>
      <c r="E1625" s="302"/>
      <c r="K1625" s="303"/>
      <c r="L1625" s="303"/>
      <c r="M1625" s="303"/>
      <c r="AB1625" s="298"/>
      <c r="AC1625" s="297"/>
      <c r="AF1625" s="296"/>
      <c r="AG1625" s="297"/>
      <c r="AJ1625" s="298"/>
      <c r="AK1625" s="297"/>
      <c r="AN1625" s="298"/>
      <c r="AR1625" s="298"/>
    </row>
    <row r="1626" spans="2:44" s="290" customFormat="1" x14ac:dyDescent="0.2">
      <c r="B1626" s="302"/>
      <c r="D1626" s="302"/>
      <c r="E1626" s="302"/>
      <c r="K1626" s="303"/>
      <c r="L1626" s="303"/>
      <c r="M1626" s="303"/>
      <c r="AB1626" s="298"/>
      <c r="AC1626" s="297"/>
      <c r="AF1626" s="296"/>
      <c r="AG1626" s="297"/>
      <c r="AJ1626" s="298"/>
      <c r="AK1626" s="297"/>
      <c r="AN1626" s="298"/>
      <c r="AR1626" s="298"/>
    </row>
    <row r="1627" spans="2:44" s="290" customFormat="1" x14ac:dyDescent="0.2">
      <c r="B1627" s="302"/>
      <c r="D1627" s="302"/>
      <c r="E1627" s="302"/>
      <c r="K1627" s="303"/>
      <c r="L1627" s="303"/>
      <c r="M1627" s="303"/>
      <c r="AB1627" s="298"/>
      <c r="AC1627" s="297"/>
      <c r="AF1627" s="296"/>
      <c r="AG1627" s="297"/>
      <c r="AJ1627" s="298"/>
      <c r="AK1627" s="297"/>
      <c r="AN1627" s="298"/>
      <c r="AR1627" s="298"/>
    </row>
    <row r="1628" spans="2:44" s="290" customFormat="1" x14ac:dyDescent="0.2">
      <c r="B1628" s="302"/>
      <c r="D1628" s="302"/>
      <c r="E1628" s="302"/>
      <c r="K1628" s="303"/>
      <c r="L1628" s="303"/>
      <c r="M1628" s="303"/>
      <c r="AB1628" s="298"/>
      <c r="AC1628" s="297"/>
      <c r="AF1628" s="296"/>
      <c r="AG1628" s="297"/>
      <c r="AJ1628" s="298"/>
      <c r="AK1628" s="297"/>
      <c r="AN1628" s="298"/>
      <c r="AR1628" s="298"/>
    </row>
    <row r="1629" spans="2:44" s="290" customFormat="1" x14ac:dyDescent="0.2">
      <c r="B1629" s="302"/>
      <c r="D1629" s="302"/>
      <c r="E1629" s="302"/>
      <c r="K1629" s="303"/>
      <c r="L1629" s="303"/>
      <c r="M1629" s="303"/>
      <c r="AB1629" s="298"/>
      <c r="AC1629" s="297"/>
      <c r="AF1629" s="296"/>
      <c r="AG1629" s="297"/>
      <c r="AJ1629" s="298"/>
      <c r="AK1629" s="297"/>
      <c r="AN1629" s="298"/>
      <c r="AR1629" s="298"/>
    </row>
    <row r="1630" spans="2:44" s="290" customFormat="1" x14ac:dyDescent="0.2">
      <c r="B1630" s="302"/>
      <c r="D1630" s="302"/>
      <c r="E1630" s="302"/>
      <c r="K1630" s="303"/>
      <c r="L1630" s="303"/>
      <c r="M1630" s="303"/>
      <c r="AB1630" s="298"/>
      <c r="AC1630" s="297"/>
      <c r="AF1630" s="296"/>
      <c r="AG1630" s="297"/>
      <c r="AJ1630" s="298"/>
      <c r="AK1630" s="297"/>
      <c r="AN1630" s="298"/>
      <c r="AR1630" s="298"/>
    </row>
    <row r="1631" spans="2:44" s="290" customFormat="1" x14ac:dyDescent="0.2">
      <c r="B1631" s="302"/>
      <c r="D1631" s="302"/>
      <c r="E1631" s="302"/>
      <c r="K1631" s="303"/>
      <c r="L1631" s="303"/>
      <c r="M1631" s="303"/>
      <c r="AB1631" s="298"/>
      <c r="AC1631" s="297"/>
      <c r="AF1631" s="296"/>
      <c r="AG1631" s="297"/>
      <c r="AJ1631" s="298"/>
      <c r="AK1631" s="297"/>
      <c r="AN1631" s="298"/>
      <c r="AR1631" s="298"/>
    </row>
    <row r="1632" spans="2:44" s="290" customFormat="1" x14ac:dyDescent="0.2">
      <c r="B1632" s="302"/>
      <c r="D1632" s="302"/>
      <c r="E1632" s="302"/>
      <c r="K1632" s="303"/>
      <c r="L1632" s="303"/>
      <c r="M1632" s="303"/>
      <c r="AB1632" s="298"/>
      <c r="AC1632" s="297"/>
      <c r="AF1632" s="296"/>
      <c r="AG1632" s="297"/>
      <c r="AJ1632" s="298"/>
      <c r="AK1632" s="297"/>
      <c r="AN1632" s="298"/>
      <c r="AR1632" s="298"/>
    </row>
    <row r="1633" spans="2:44" s="290" customFormat="1" x14ac:dyDescent="0.2">
      <c r="B1633" s="302"/>
      <c r="D1633" s="302"/>
      <c r="E1633" s="302"/>
      <c r="K1633" s="303"/>
      <c r="L1633" s="303"/>
      <c r="M1633" s="303"/>
      <c r="AB1633" s="298"/>
      <c r="AC1633" s="297"/>
      <c r="AF1633" s="296"/>
      <c r="AG1633" s="297"/>
      <c r="AJ1633" s="298"/>
      <c r="AK1633" s="297"/>
      <c r="AN1633" s="298"/>
      <c r="AR1633" s="298"/>
    </row>
    <row r="1634" spans="2:44" s="290" customFormat="1" x14ac:dyDescent="0.2">
      <c r="B1634" s="302"/>
      <c r="D1634" s="302"/>
      <c r="E1634" s="302"/>
      <c r="K1634" s="303"/>
      <c r="L1634" s="303"/>
      <c r="M1634" s="303"/>
      <c r="AB1634" s="298"/>
      <c r="AC1634" s="297"/>
      <c r="AF1634" s="296"/>
      <c r="AG1634" s="297"/>
      <c r="AJ1634" s="298"/>
      <c r="AK1634" s="297"/>
      <c r="AN1634" s="298"/>
      <c r="AR1634" s="298"/>
    </row>
    <row r="1635" spans="2:44" s="290" customFormat="1" x14ac:dyDescent="0.2">
      <c r="B1635" s="302"/>
      <c r="D1635" s="302"/>
      <c r="E1635" s="302"/>
      <c r="K1635" s="303"/>
      <c r="L1635" s="303"/>
      <c r="M1635" s="303"/>
      <c r="AB1635" s="298"/>
      <c r="AC1635" s="297"/>
      <c r="AF1635" s="296"/>
      <c r="AG1635" s="297"/>
      <c r="AJ1635" s="298"/>
      <c r="AK1635" s="297"/>
      <c r="AN1635" s="298"/>
      <c r="AR1635" s="298"/>
    </row>
    <row r="1636" spans="2:44" s="290" customFormat="1" x14ac:dyDescent="0.2">
      <c r="B1636" s="302"/>
      <c r="D1636" s="302"/>
      <c r="E1636" s="302"/>
      <c r="K1636" s="303"/>
      <c r="L1636" s="303"/>
      <c r="M1636" s="303"/>
      <c r="AB1636" s="298"/>
      <c r="AC1636" s="297"/>
      <c r="AF1636" s="296"/>
      <c r="AG1636" s="297"/>
      <c r="AJ1636" s="298"/>
      <c r="AK1636" s="297"/>
      <c r="AN1636" s="298"/>
      <c r="AR1636" s="298"/>
    </row>
    <row r="1637" spans="2:44" s="290" customFormat="1" x14ac:dyDescent="0.2">
      <c r="B1637" s="302"/>
      <c r="D1637" s="302"/>
      <c r="E1637" s="302"/>
      <c r="K1637" s="303"/>
      <c r="L1637" s="303"/>
      <c r="M1637" s="303"/>
      <c r="AB1637" s="298"/>
      <c r="AC1637" s="297"/>
      <c r="AF1637" s="296"/>
      <c r="AG1637" s="297"/>
      <c r="AJ1637" s="298"/>
      <c r="AK1637" s="297"/>
      <c r="AN1637" s="298"/>
      <c r="AR1637" s="298"/>
    </row>
    <row r="1638" spans="2:44" s="290" customFormat="1" x14ac:dyDescent="0.2">
      <c r="B1638" s="302"/>
      <c r="D1638" s="302"/>
      <c r="E1638" s="302"/>
      <c r="K1638" s="303"/>
      <c r="L1638" s="303"/>
      <c r="M1638" s="303"/>
      <c r="AB1638" s="298"/>
      <c r="AC1638" s="297"/>
      <c r="AF1638" s="296"/>
      <c r="AG1638" s="297"/>
      <c r="AJ1638" s="298"/>
      <c r="AK1638" s="297"/>
      <c r="AN1638" s="298"/>
      <c r="AR1638" s="298"/>
    </row>
    <row r="1639" spans="2:44" s="290" customFormat="1" x14ac:dyDescent="0.2">
      <c r="B1639" s="302"/>
      <c r="D1639" s="302"/>
      <c r="E1639" s="302"/>
      <c r="K1639" s="303"/>
      <c r="L1639" s="303"/>
      <c r="M1639" s="303"/>
      <c r="AB1639" s="298"/>
      <c r="AC1639" s="297"/>
      <c r="AF1639" s="296"/>
      <c r="AG1639" s="297"/>
      <c r="AJ1639" s="298"/>
      <c r="AK1639" s="297"/>
      <c r="AN1639" s="298"/>
      <c r="AR1639" s="298"/>
    </row>
    <row r="1640" spans="2:44" s="290" customFormat="1" x14ac:dyDescent="0.2">
      <c r="B1640" s="302"/>
      <c r="D1640" s="302"/>
      <c r="E1640" s="302"/>
      <c r="K1640" s="303"/>
      <c r="L1640" s="303"/>
      <c r="M1640" s="303"/>
      <c r="AB1640" s="298"/>
      <c r="AC1640" s="297"/>
      <c r="AF1640" s="296"/>
      <c r="AG1640" s="297"/>
      <c r="AJ1640" s="298"/>
      <c r="AK1640" s="297"/>
      <c r="AN1640" s="298"/>
      <c r="AR1640" s="298"/>
    </row>
    <row r="1641" spans="2:44" s="290" customFormat="1" x14ac:dyDescent="0.2">
      <c r="B1641" s="302"/>
      <c r="D1641" s="302"/>
      <c r="E1641" s="302"/>
      <c r="K1641" s="303"/>
      <c r="L1641" s="303"/>
      <c r="M1641" s="303"/>
      <c r="AB1641" s="298"/>
      <c r="AC1641" s="297"/>
      <c r="AF1641" s="296"/>
      <c r="AG1641" s="297"/>
      <c r="AJ1641" s="298"/>
      <c r="AK1641" s="297"/>
      <c r="AN1641" s="298"/>
      <c r="AR1641" s="298"/>
    </row>
    <row r="1642" spans="2:44" s="290" customFormat="1" x14ac:dyDescent="0.2">
      <c r="B1642" s="302"/>
      <c r="D1642" s="302"/>
      <c r="E1642" s="302"/>
      <c r="K1642" s="303"/>
      <c r="L1642" s="303"/>
      <c r="M1642" s="303"/>
      <c r="AB1642" s="298"/>
      <c r="AC1642" s="297"/>
      <c r="AF1642" s="296"/>
      <c r="AG1642" s="297"/>
      <c r="AJ1642" s="298"/>
      <c r="AK1642" s="297"/>
      <c r="AN1642" s="298"/>
      <c r="AR1642" s="298"/>
    </row>
    <row r="1643" spans="2:44" s="290" customFormat="1" x14ac:dyDescent="0.2">
      <c r="B1643" s="302"/>
      <c r="D1643" s="302"/>
      <c r="E1643" s="302"/>
      <c r="K1643" s="303"/>
      <c r="L1643" s="303"/>
      <c r="M1643" s="303"/>
      <c r="AB1643" s="298"/>
      <c r="AC1643" s="297"/>
      <c r="AF1643" s="296"/>
      <c r="AG1643" s="297"/>
      <c r="AJ1643" s="298"/>
      <c r="AK1643" s="297"/>
      <c r="AN1643" s="298"/>
      <c r="AR1643" s="298"/>
    </row>
    <row r="1644" spans="2:44" s="290" customFormat="1" x14ac:dyDescent="0.2">
      <c r="B1644" s="302"/>
      <c r="D1644" s="302"/>
      <c r="E1644" s="302"/>
      <c r="K1644" s="303"/>
      <c r="L1644" s="303"/>
      <c r="M1644" s="303"/>
      <c r="AB1644" s="298"/>
      <c r="AC1644" s="297"/>
      <c r="AF1644" s="296"/>
      <c r="AG1644" s="297"/>
      <c r="AJ1644" s="298"/>
      <c r="AK1644" s="297"/>
      <c r="AN1644" s="298"/>
      <c r="AR1644" s="298"/>
    </row>
    <row r="1645" spans="2:44" s="290" customFormat="1" x14ac:dyDescent="0.2">
      <c r="B1645" s="302"/>
      <c r="D1645" s="302"/>
      <c r="E1645" s="302"/>
      <c r="K1645" s="303"/>
      <c r="L1645" s="303"/>
      <c r="M1645" s="303"/>
      <c r="AB1645" s="298"/>
      <c r="AC1645" s="297"/>
      <c r="AF1645" s="296"/>
      <c r="AG1645" s="297"/>
      <c r="AJ1645" s="298"/>
      <c r="AK1645" s="297"/>
      <c r="AN1645" s="298"/>
      <c r="AR1645" s="298"/>
    </row>
    <row r="1646" spans="2:44" s="290" customFormat="1" x14ac:dyDescent="0.2">
      <c r="B1646" s="302"/>
      <c r="D1646" s="302"/>
      <c r="E1646" s="302"/>
      <c r="K1646" s="303"/>
      <c r="L1646" s="303"/>
      <c r="M1646" s="303"/>
      <c r="AB1646" s="298"/>
      <c r="AC1646" s="297"/>
      <c r="AF1646" s="296"/>
      <c r="AG1646" s="297"/>
      <c r="AJ1646" s="298"/>
      <c r="AK1646" s="297"/>
      <c r="AN1646" s="298"/>
      <c r="AR1646" s="298"/>
    </row>
    <row r="1647" spans="2:44" s="290" customFormat="1" x14ac:dyDescent="0.2">
      <c r="B1647" s="302"/>
      <c r="D1647" s="302"/>
      <c r="E1647" s="302"/>
      <c r="K1647" s="303"/>
      <c r="L1647" s="303"/>
      <c r="M1647" s="303"/>
      <c r="AB1647" s="298"/>
      <c r="AC1647" s="297"/>
      <c r="AF1647" s="296"/>
      <c r="AG1647" s="297"/>
      <c r="AJ1647" s="298"/>
      <c r="AK1647" s="297"/>
      <c r="AN1647" s="298"/>
      <c r="AR1647" s="298"/>
    </row>
    <row r="1648" spans="2:44" s="290" customFormat="1" x14ac:dyDescent="0.2">
      <c r="B1648" s="302"/>
      <c r="D1648" s="302"/>
      <c r="E1648" s="302"/>
      <c r="K1648" s="303"/>
      <c r="L1648" s="303"/>
      <c r="M1648" s="303"/>
      <c r="AB1648" s="298"/>
      <c r="AC1648" s="297"/>
      <c r="AF1648" s="296"/>
      <c r="AG1648" s="297"/>
      <c r="AJ1648" s="298"/>
      <c r="AK1648" s="297"/>
      <c r="AN1648" s="298"/>
      <c r="AR1648" s="298"/>
    </row>
    <row r="1649" spans="2:44" s="290" customFormat="1" x14ac:dyDescent="0.2">
      <c r="B1649" s="302"/>
      <c r="D1649" s="302"/>
      <c r="E1649" s="302"/>
      <c r="K1649" s="303"/>
      <c r="L1649" s="303"/>
      <c r="M1649" s="303"/>
      <c r="AB1649" s="298"/>
      <c r="AC1649" s="297"/>
      <c r="AF1649" s="296"/>
      <c r="AG1649" s="297"/>
      <c r="AJ1649" s="298"/>
      <c r="AK1649" s="297"/>
      <c r="AN1649" s="298"/>
      <c r="AR1649" s="298"/>
    </row>
    <row r="1650" spans="2:44" s="290" customFormat="1" x14ac:dyDescent="0.2">
      <c r="B1650" s="302"/>
      <c r="D1650" s="302"/>
      <c r="E1650" s="302"/>
      <c r="K1650" s="303"/>
      <c r="L1650" s="303"/>
      <c r="M1650" s="303"/>
      <c r="AB1650" s="298"/>
      <c r="AC1650" s="297"/>
      <c r="AF1650" s="296"/>
      <c r="AG1650" s="297"/>
      <c r="AJ1650" s="298"/>
      <c r="AK1650" s="297"/>
      <c r="AN1650" s="298"/>
      <c r="AR1650" s="298"/>
    </row>
    <row r="1651" spans="2:44" s="290" customFormat="1" x14ac:dyDescent="0.2">
      <c r="B1651" s="302"/>
      <c r="D1651" s="302"/>
      <c r="E1651" s="302"/>
      <c r="K1651" s="303"/>
      <c r="L1651" s="303"/>
      <c r="M1651" s="303"/>
      <c r="AB1651" s="298"/>
      <c r="AC1651" s="297"/>
      <c r="AF1651" s="296"/>
      <c r="AG1651" s="297"/>
      <c r="AJ1651" s="298"/>
      <c r="AK1651" s="297"/>
      <c r="AN1651" s="298"/>
      <c r="AR1651" s="298"/>
    </row>
    <row r="1652" spans="2:44" s="290" customFormat="1" x14ac:dyDescent="0.2">
      <c r="B1652" s="302"/>
      <c r="D1652" s="302"/>
      <c r="E1652" s="302"/>
      <c r="K1652" s="303"/>
      <c r="L1652" s="303"/>
      <c r="M1652" s="303"/>
      <c r="AB1652" s="298"/>
      <c r="AC1652" s="297"/>
      <c r="AF1652" s="296"/>
      <c r="AG1652" s="297"/>
      <c r="AJ1652" s="298"/>
      <c r="AK1652" s="297"/>
      <c r="AN1652" s="298"/>
      <c r="AR1652" s="298"/>
    </row>
    <row r="1653" spans="2:44" s="290" customFormat="1" x14ac:dyDescent="0.2">
      <c r="B1653" s="302"/>
      <c r="D1653" s="302"/>
      <c r="E1653" s="302"/>
      <c r="K1653" s="303"/>
      <c r="L1653" s="303"/>
      <c r="M1653" s="303"/>
      <c r="AB1653" s="298"/>
      <c r="AC1653" s="297"/>
      <c r="AF1653" s="296"/>
      <c r="AG1653" s="297"/>
      <c r="AJ1653" s="298"/>
      <c r="AK1653" s="297"/>
      <c r="AN1653" s="298"/>
      <c r="AR1653" s="298"/>
    </row>
    <row r="1654" spans="2:44" s="290" customFormat="1" x14ac:dyDescent="0.2">
      <c r="B1654" s="302"/>
      <c r="D1654" s="302"/>
      <c r="E1654" s="302"/>
      <c r="K1654" s="303"/>
      <c r="L1654" s="303"/>
      <c r="M1654" s="303"/>
      <c r="AB1654" s="298"/>
      <c r="AC1654" s="297"/>
      <c r="AF1654" s="296"/>
      <c r="AG1654" s="297"/>
      <c r="AJ1654" s="298"/>
      <c r="AK1654" s="297"/>
      <c r="AN1654" s="298"/>
      <c r="AR1654" s="298"/>
    </row>
    <row r="1655" spans="2:44" s="290" customFormat="1" x14ac:dyDescent="0.2">
      <c r="B1655" s="302"/>
      <c r="D1655" s="302"/>
      <c r="E1655" s="302"/>
      <c r="K1655" s="303"/>
      <c r="L1655" s="303"/>
      <c r="M1655" s="303"/>
      <c r="AB1655" s="298"/>
      <c r="AC1655" s="297"/>
      <c r="AF1655" s="296"/>
      <c r="AG1655" s="297"/>
      <c r="AJ1655" s="298"/>
      <c r="AK1655" s="297"/>
      <c r="AN1655" s="298"/>
      <c r="AR1655" s="298"/>
    </row>
    <row r="1656" spans="2:44" s="290" customFormat="1" x14ac:dyDescent="0.2">
      <c r="B1656" s="302"/>
      <c r="D1656" s="302"/>
      <c r="E1656" s="302"/>
      <c r="K1656" s="303"/>
      <c r="L1656" s="303"/>
      <c r="M1656" s="303"/>
      <c r="AB1656" s="298"/>
      <c r="AC1656" s="297"/>
      <c r="AF1656" s="296"/>
      <c r="AG1656" s="297"/>
      <c r="AJ1656" s="298"/>
      <c r="AK1656" s="297"/>
      <c r="AN1656" s="298"/>
      <c r="AR1656" s="298"/>
    </row>
    <row r="1657" spans="2:44" s="290" customFormat="1" x14ac:dyDescent="0.2">
      <c r="B1657" s="302"/>
      <c r="D1657" s="302"/>
      <c r="E1657" s="302"/>
      <c r="K1657" s="303"/>
      <c r="L1657" s="303"/>
      <c r="M1657" s="303"/>
      <c r="AB1657" s="298"/>
      <c r="AC1657" s="297"/>
      <c r="AF1657" s="296"/>
      <c r="AG1657" s="297"/>
      <c r="AJ1657" s="298"/>
      <c r="AK1657" s="297"/>
      <c r="AN1657" s="298"/>
      <c r="AR1657" s="298"/>
    </row>
    <row r="1658" spans="2:44" s="290" customFormat="1" x14ac:dyDescent="0.2">
      <c r="B1658" s="302"/>
      <c r="D1658" s="302"/>
      <c r="E1658" s="302"/>
      <c r="K1658" s="303"/>
      <c r="L1658" s="303"/>
      <c r="M1658" s="303"/>
      <c r="AB1658" s="298"/>
      <c r="AC1658" s="297"/>
      <c r="AF1658" s="296"/>
      <c r="AG1658" s="297"/>
      <c r="AJ1658" s="298"/>
      <c r="AK1658" s="297"/>
      <c r="AN1658" s="298"/>
      <c r="AR1658" s="298"/>
    </row>
    <row r="1659" spans="2:44" s="290" customFormat="1" x14ac:dyDescent="0.2">
      <c r="B1659" s="302"/>
      <c r="D1659" s="302"/>
      <c r="E1659" s="302"/>
      <c r="K1659" s="303"/>
      <c r="L1659" s="303"/>
      <c r="M1659" s="303"/>
      <c r="AB1659" s="298"/>
      <c r="AC1659" s="297"/>
      <c r="AF1659" s="296"/>
      <c r="AG1659" s="297"/>
      <c r="AJ1659" s="298"/>
      <c r="AK1659" s="297"/>
      <c r="AN1659" s="298"/>
      <c r="AR1659" s="298"/>
    </row>
    <row r="1660" spans="2:44" s="290" customFormat="1" x14ac:dyDescent="0.2">
      <c r="B1660" s="302"/>
      <c r="D1660" s="302"/>
      <c r="E1660" s="302"/>
      <c r="K1660" s="303"/>
      <c r="L1660" s="303"/>
      <c r="M1660" s="303"/>
      <c r="AB1660" s="298"/>
      <c r="AC1660" s="297"/>
      <c r="AF1660" s="296"/>
      <c r="AG1660" s="297"/>
      <c r="AJ1660" s="298"/>
      <c r="AK1660" s="297"/>
      <c r="AN1660" s="298"/>
      <c r="AR1660" s="298"/>
    </row>
    <row r="1661" spans="2:44" s="290" customFormat="1" x14ac:dyDescent="0.2">
      <c r="B1661" s="302"/>
      <c r="D1661" s="302"/>
      <c r="E1661" s="302"/>
      <c r="K1661" s="303"/>
      <c r="L1661" s="303"/>
      <c r="M1661" s="303"/>
      <c r="AB1661" s="298"/>
      <c r="AC1661" s="297"/>
      <c r="AF1661" s="296"/>
      <c r="AG1661" s="297"/>
      <c r="AJ1661" s="298"/>
      <c r="AK1661" s="297"/>
      <c r="AN1661" s="298"/>
      <c r="AR1661" s="298"/>
    </row>
    <row r="1662" spans="2:44" s="290" customFormat="1" x14ac:dyDescent="0.2">
      <c r="B1662" s="302"/>
      <c r="D1662" s="302"/>
      <c r="E1662" s="302"/>
      <c r="K1662" s="303"/>
      <c r="L1662" s="303"/>
      <c r="M1662" s="303"/>
      <c r="AB1662" s="298"/>
      <c r="AC1662" s="297"/>
      <c r="AF1662" s="296"/>
      <c r="AG1662" s="297"/>
      <c r="AJ1662" s="298"/>
      <c r="AK1662" s="297"/>
      <c r="AN1662" s="298"/>
      <c r="AR1662" s="298"/>
    </row>
    <row r="1663" spans="2:44" s="290" customFormat="1" x14ac:dyDescent="0.2">
      <c r="B1663" s="302"/>
      <c r="D1663" s="302"/>
      <c r="E1663" s="302"/>
      <c r="K1663" s="303"/>
      <c r="L1663" s="303"/>
      <c r="M1663" s="303"/>
      <c r="AB1663" s="298"/>
      <c r="AC1663" s="297"/>
      <c r="AF1663" s="296"/>
      <c r="AG1663" s="297"/>
      <c r="AJ1663" s="298"/>
      <c r="AK1663" s="297"/>
      <c r="AN1663" s="298"/>
      <c r="AR1663" s="298"/>
    </row>
    <row r="1664" spans="2:44" s="290" customFormat="1" x14ac:dyDescent="0.2">
      <c r="B1664" s="302"/>
      <c r="D1664" s="302"/>
      <c r="E1664" s="302"/>
      <c r="K1664" s="303"/>
      <c r="L1664" s="303"/>
      <c r="M1664" s="303"/>
      <c r="AB1664" s="298"/>
      <c r="AC1664" s="297"/>
      <c r="AF1664" s="296"/>
      <c r="AG1664" s="297"/>
      <c r="AJ1664" s="298"/>
      <c r="AK1664" s="297"/>
      <c r="AN1664" s="298"/>
      <c r="AR1664" s="298"/>
    </row>
    <row r="1665" spans="2:44" s="290" customFormat="1" x14ac:dyDescent="0.2">
      <c r="B1665" s="302"/>
      <c r="D1665" s="302"/>
      <c r="E1665" s="302"/>
      <c r="K1665" s="303"/>
      <c r="L1665" s="303"/>
      <c r="M1665" s="303"/>
      <c r="AB1665" s="298"/>
      <c r="AC1665" s="297"/>
      <c r="AF1665" s="296"/>
      <c r="AG1665" s="297"/>
      <c r="AJ1665" s="298"/>
      <c r="AK1665" s="297"/>
      <c r="AN1665" s="298"/>
      <c r="AR1665" s="298"/>
    </row>
    <row r="1666" spans="2:44" s="290" customFormat="1" x14ac:dyDescent="0.2">
      <c r="B1666" s="302"/>
      <c r="D1666" s="302"/>
      <c r="E1666" s="302"/>
      <c r="K1666" s="303"/>
      <c r="L1666" s="303"/>
      <c r="M1666" s="303"/>
      <c r="AB1666" s="298"/>
      <c r="AC1666" s="297"/>
      <c r="AF1666" s="296"/>
      <c r="AG1666" s="297"/>
      <c r="AJ1666" s="298"/>
      <c r="AK1666" s="297"/>
      <c r="AN1666" s="298"/>
      <c r="AR1666" s="298"/>
    </row>
    <row r="1667" spans="2:44" s="290" customFormat="1" x14ac:dyDescent="0.2">
      <c r="B1667" s="302"/>
      <c r="D1667" s="302"/>
      <c r="E1667" s="302"/>
      <c r="K1667" s="303"/>
      <c r="L1667" s="303"/>
      <c r="M1667" s="303"/>
      <c r="AB1667" s="298"/>
      <c r="AC1667" s="297"/>
      <c r="AF1667" s="296"/>
      <c r="AG1667" s="297"/>
      <c r="AJ1667" s="298"/>
      <c r="AK1667" s="297"/>
      <c r="AN1667" s="298"/>
      <c r="AR1667" s="298"/>
    </row>
    <row r="1668" spans="2:44" s="290" customFormat="1" x14ac:dyDescent="0.2">
      <c r="B1668" s="302"/>
      <c r="D1668" s="302"/>
      <c r="E1668" s="302"/>
      <c r="K1668" s="303"/>
      <c r="L1668" s="303"/>
      <c r="M1668" s="303"/>
      <c r="AB1668" s="298"/>
      <c r="AC1668" s="297"/>
      <c r="AF1668" s="296"/>
      <c r="AG1668" s="297"/>
      <c r="AJ1668" s="298"/>
      <c r="AK1668" s="297"/>
      <c r="AN1668" s="298"/>
      <c r="AR1668" s="298"/>
    </row>
    <row r="1669" spans="2:44" s="290" customFormat="1" x14ac:dyDescent="0.2">
      <c r="B1669" s="302"/>
      <c r="D1669" s="302"/>
      <c r="E1669" s="302"/>
      <c r="K1669" s="303"/>
      <c r="L1669" s="303"/>
      <c r="M1669" s="303"/>
      <c r="AB1669" s="298"/>
      <c r="AC1669" s="297"/>
      <c r="AF1669" s="296"/>
      <c r="AG1669" s="297"/>
      <c r="AJ1669" s="298"/>
      <c r="AK1669" s="297"/>
      <c r="AN1669" s="298"/>
      <c r="AR1669" s="298"/>
    </row>
    <row r="1670" spans="2:44" s="290" customFormat="1" x14ac:dyDescent="0.2">
      <c r="B1670" s="302"/>
      <c r="D1670" s="302"/>
      <c r="E1670" s="302"/>
      <c r="K1670" s="303"/>
      <c r="L1670" s="303"/>
      <c r="M1670" s="303"/>
      <c r="AB1670" s="298"/>
      <c r="AC1670" s="297"/>
      <c r="AF1670" s="296"/>
      <c r="AG1670" s="297"/>
      <c r="AJ1670" s="298"/>
      <c r="AK1670" s="297"/>
      <c r="AN1670" s="298"/>
      <c r="AR1670" s="298"/>
    </row>
    <row r="1671" spans="2:44" s="290" customFormat="1" x14ac:dyDescent="0.2">
      <c r="B1671" s="302"/>
      <c r="D1671" s="302"/>
      <c r="E1671" s="302"/>
      <c r="K1671" s="303"/>
      <c r="L1671" s="303"/>
      <c r="M1671" s="303"/>
      <c r="AB1671" s="298"/>
      <c r="AC1671" s="297"/>
      <c r="AF1671" s="296"/>
      <c r="AG1671" s="297"/>
      <c r="AJ1671" s="298"/>
      <c r="AK1671" s="297"/>
      <c r="AN1671" s="298"/>
      <c r="AR1671" s="298"/>
    </row>
    <row r="1672" spans="2:44" s="290" customFormat="1" x14ac:dyDescent="0.2">
      <c r="B1672" s="302"/>
      <c r="D1672" s="302"/>
      <c r="E1672" s="302"/>
      <c r="K1672" s="303"/>
      <c r="L1672" s="303"/>
      <c r="M1672" s="303"/>
      <c r="AB1672" s="298"/>
      <c r="AC1672" s="297"/>
      <c r="AF1672" s="296"/>
      <c r="AG1672" s="297"/>
      <c r="AJ1672" s="298"/>
      <c r="AK1672" s="297"/>
      <c r="AN1672" s="298"/>
      <c r="AR1672" s="298"/>
    </row>
    <row r="1673" spans="2:44" s="290" customFormat="1" x14ac:dyDescent="0.2">
      <c r="B1673" s="302"/>
      <c r="D1673" s="302"/>
      <c r="E1673" s="302"/>
      <c r="K1673" s="303"/>
      <c r="L1673" s="303"/>
      <c r="M1673" s="303"/>
      <c r="AB1673" s="298"/>
      <c r="AC1673" s="297"/>
      <c r="AF1673" s="296"/>
      <c r="AG1673" s="297"/>
      <c r="AJ1673" s="298"/>
      <c r="AK1673" s="297"/>
      <c r="AN1673" s="298"/>
      <c r="AR1673" s="298"/>
    </row>
    <row r="1674" spans="2:44" s="290" customFormat="1" x14ac:dyDescent="0.2">
      <c r="B1674" s="302"/>
      <c r="D1674" s="302"/>
      <c r="E1674" s="302"/>
      <c r="K1674" s="303"/>
      <c r="L1674" s="303"/>
      <c r="M1674" s="303"/>
      <c r="AB1674" s="298"/>
      <c r="AC1674" s="297"/>
      <c r="AF1674" s="296"/>
      <c r="AG1674" s="297"/>
      <c r="AJ1674" s="298"/>
      <c r="AK1674" s="297"/>
      <c r="AN1674" s="298"/>
      <c r="AR1674" s="298"/>
    </row>
    <row r="1675" spans="2:44" s="290" customFormat="1" x14ac:dyDescent="0.2">
      <c r="B1675" s="302"/>
      <c r="D1675" s="302"/>
      <c r="E1675" s="302"/>
      <c r="K1675" s="303"/>
      <c r="L1675" s="303"/>
      <c r="M1675" s="303"/>
      <c r="AB1675" s="298"/>
      <c r="AC1675" s="297"/>
      <c r="AF1675" s="296"/>
      <c r="AG1675" s="297"/>
      <c r="AJ1675" s="298"/>
      <c r="AK1675" s="297"/>
      <c r="AN1675" s="298"/>
      <c r="AR1675" s="298"/>
    </row>
    <row r="1676" spans="2:44" s="290" customFormat="1" x14ac:dyDescent="0.2">
      <c r="B1676" s="302"/>
      <c r="D1676" s="302"/>
      <c r="E1676" s="302"/>
      <c r="K1676" s="303"/>
      <c r="L1676" s="303"/>
      <c r="M1676" s="303"/>
      <c r="AB1676" s="298"/>
      <c r="AC1676" s="297"/>
      <c r="AF1676" s="296"/>
      <c r="AG1676" s="297"/>
      <c r="AJ1676" s="298"/>
      <c r="AK1676" s="297"/>
      <c r="AN1676" s="298"/>
      <c r="AR1676" s="298"/>
    </row>
    <row r="1677" spans="2:44" s="290" customFormat="1" x14ac:dyDescent="0.2">
      <c r="B1677" s="302"/>
      <c r="D1677" s="302"/>
      <c r="E1677" s="302"/>
      <c r="K1677" s="303"/>
      <c r="L1677" s="303"/>
      <c r="M1677" s="303"/>
      <c r="AB1677" s="298"/>
      <c r="AC1677" s="297"/>
      <c r="AF1677" s="296"/>
      <c r="AG1677" s="297"/>
      <c r="AJ1677" s="298"/>
      <c r="AK1677" s="297"/>
      <c r="AN1677" s="298"/>
      <c r="AR1677" s="298"/>
    </row>
    <row r="1678" spans="2:44" s="290" customFormat="1" x14ac:dyDescent="0.2">
      <c r="B1678" s="302"/>
      <c r="D1678" s="302"/>
      <c r="E1678" s="302"/>
      <c r="K1678" s="303"/>
      <c r="L1678" s="303"/>
      <c r="M1678" s="303"/>
      <c r="AB1678" s="298"/>
      <c r="AC1678" s="297"/>
      <c r="AF1678" s="296"/>
      <c r="AG1678" s="297"/>
      <c r="AJ1678" s="298"/>
      <c r="AK1678" s="297"/>
      <c r="AN1678" s="298"/>
      <c r="AR1678" s="298"/>
    </row>
    <row r="1679" spans="2:44" s="290" customFormat="1" x14ac:dyDescent="0.2">
      <c r="B1679" s="302"/>
      <c r="D1679" s="302"/>
      <c r="E1679" s="302"/>
      <c r="K1679" s="303"/>
      <c r="L1679" s="303"/>
      <c r="M1679" s="303"/>
      <c r="AB1679" s="298"/>
      <c r="AC1679" s="297"/>
      <c r="AF1679" s="296"/>
      <c r="AG1679" s="297"/>
      <c r="AJ1679" s="298"/>
      <c r="AK1679" s="297"/>
      <c r="AN1679" s="298"/>
      <c r="AR1679" s="298"/>
    </row>
    <row r="1680" spans="2:44" s="290" customFormat="1" x14ac:dyDescent="0.2">
      <c r="B1680" s="302"/>
      <c r="D1680" s="302"/>
      <c r="E1680" s="302"/>
      <c r="K1680" s="303"/>
      <c r="L1680" s="303"/>
      <c r="M1680" s="303"/>
      <c r="AB1680" s="298"/>
      <c r="AC1680" s="297"/>
      <c r="AF1680" s="296"/>
      <c r="AG1680" s="297"/>
      <c r="AJ1680" s="298"/>
      <c r="AK1680" s="297"/>
      <c r="AN1680" s="298"/>
      <c r="AR1680" s="298"/>
    </row>
    <row r="1681" spans="2:44" s="290" customFormat="1" x14ac:dyDescent="0.2">
      <c r="B1681" s="302"/>
      <c r="D1681" s="302"/>
      <c r="E1681" s="302"/>
      <c r="K1681" s="303"/>
      <c r="L1681" s="303"/>
      <c r="M1681" s="303"/>
      <c r="AB1681" s="298"/>
      <c r="AC1681" s="297"/>
      <c r="AF1681" s="296"/>
      <c r="AG1681" s="297"/>
      <c r="AJ1681" s="298"/>
      <c r="AK1681" s="297"/>
      <c r="AN1681" s="298"/>
      <c r="AR1681" s="298"/>
    </row>
    <row r="1682" spans="2:44" s="290" customFormat="1" x14ac:dyDescent="0.2">
      <c r="B1682" s="302"/>
      <c r="D1682" s="302"/>
      <c r="E1682" s="302"/>
      <c r="K1682" s="303"/>
      <c r="L1682" s="303"/>
      <c r="M1682" s="303"/>
      <c r="AB1682" s="298"/>
      <c r="AC1682" s="297"/>
      <c r="AF1682" s="296"/>
      <c r="AG1682" s="297"/>
      <c r="AJ1682" s="298"/>
      <c r="AK1682" s="297"/>
      <c r="AN1682" s="298"/>
      <c r="AR1682" s="298"/>
    </row>
    <row r="1683" spans="2:44" s="290" customFormat="1" x14ac:dyDescent="0.2">
      <c r="B1683" s="302"/>
      <c r="D1683" s="302"/>
      <c r="E1683" s="302"/>
      <c r="K1683" s="303"/>
      <c r="L1683" s="303"/>
      <c r="M1683" s="303"/>
      <c r="AB1683" s="298"/>
      <c r="AC1683" s="297"/>
      <c r="AF1683" s="296"/>
      <c r="AG1683" s="297"/>
      <c r="AJ1683" s="298"/>
      <c r="AK1683" s="297"/>
      <c r="AN1683" s="298"/>
      <c r="AR1683" s="298"/>
    </row>
    <row r="1684" spans="2:44" s="290" customFormat="1" x14ac:dyDescent="0.2">
      <c r="B1684" s="302"/>
      <c r="D1684" s="302"/>
      <c r="E1684" s="302"/>
      <c r="K1684" s="303"/>
      <c r="L1684" s="303"/>
      <c r="M1684" s="303"/>
      <c r="AB1684" s="298"/>
      <c r="AC1684" s="297"/>
      <c r="AF1684" s="296"/>
      <c r="AG1684" s="297"/>
      <c r="AJ1684" s="298"/>
      <c r="AK1684" s="297"/>
      <c r="AN1684" s="298"/>
      <c r="AR1684" s="298"/>
    </row>
    <row r="1685" spans="2:44" s="290" customFormat="1" x14ac:dyDescent="0.2">
      <c r="B1685" s="302"/>
      <c r="D1685" s="302"/>
      <c r="E1685" s="302"/>
      <c r="K1685" s="303"/>
      <c r="L1685" s="303"/>
      <c r="M1685" s="303"/>
      <c r="AB1685" s="298"/>
      <c r="AC1685" s="297"/>
      <c r="AF1685" s="296"/>
      <c r="AG1685" s="297"/>
      <c r="AJ1685" s="298"/>
      <c r="AK1685" s="297"/>
      <c r="AN1685" s="298"/>
      <c r="AR1685" s="298"/>
    </row>
    <row r="1686" spans="2:44" s="290" customFormat="1" x14ac:dyDescent="0.2">
      <c r="B1686" s="302"/>
      <c r="D1686" s="302"/>
      <c r="E1686" s="302"/>
      <c r="K1686" s="303"/>
      <c r="L1686" s="303"/>
      <c r="M1686" s="303"/>
      <c r="AB1686" s="298"/>
      <c r="AC1686" s="297"/>
      <c r="AF1686" s="296"/>
      <c r="AG1686" s="297"/>
      <c r="AJ1686" s="298"/>
      <c r="AK1686" s="297"/>
      <c r="AN1686" s="298"/>
      <c r="AR1686" s="298"/>
    </row>
    <row r="1687" spans="2:44" s="290" customFormat="1" x14ac:dyDescent="0.2">
      <c r="B1687" s="302"/>
      <c r="D1687" s="302"/>
      <c r="E1687" s="302"/>
      <c r="K1687" s="303"/>
      <c r="L1687" s="303"/>
      <c r="M1687" s="303"/>
      <c r="AB1687" s="298"/>
      <c r="AC1687" s="297"/>
      <c r="AF1687" s="296"/>
      <c r="AG1687" s="297"/>
      <c r="AJ1687" s="298"/>
      <c r="AK1687" s="297"/>
      <c r="AN1687" s="298"/>
      <c r="AR1687" s="298"/>
    </row>
    <row r="1688" spans="2:44" s="290" customFormat="1" x14ac:dyDescent="0.2">
      <c r="B1688" s="302"/>
      <c r="D1688" s="302"/>
      <c r="E1688" s="302"/>
      <c r="K1688" s="303"/>
      <c r="L1688" s="303"/>
      <c r="M1688" s="303"/>
      <c r="AB1688" s="298"/>
      <c r="AC1688" s="297"/>
      <c r="AF1688" s="296"/>
      <c r="AG1688" s="297"/>
      <c r="AJ1688" s="298"/>
      <c r="AK1688" s="297"/>
      <c r="AN1688" s="298"/>
      <c r="AR1688" s="298"/>
    </row>
    <row r="1689" spans="2:44" s="290" customFormat="1" x14ac:dyDescent="0.2">
      <c r="B1689" s="302"/>
      <c r="D1689" s="302"/>
      <c r="E1689" s="302"/>
      <c r="K1689" s="303"/>
      <c r="L1689" s="303"/>
      <c r="M1689" s="303"/>
      <c r="AB1689" s="298"/>
      <c r="AC1689" s="297"/>
      <c r="AF1689" s="296"/>
      <c r="AG1689" s="297"/>
      <c r="AJ1689" s="298"/>
      <c r="AK1689" s="297"/>
      <c r="AN1689" s="298"/>
      <c r="AR1689" s="298"/>
    </row>
    <row r="1690" spans="2:44" s="290" customFormat="1" x14ac:dyDescent="0.2">
      <c r="B1690" s="302"/>
      <c r="D1690" s="302"/>
      <c r="E1690" s="302"/>
      <c r="K1690" s="303"/>
      <c r="L1690" s="303"/>
      <c r="M1690" s="303"/>
      <c r="AB1690" s="298"/>
      <c r="AC1690" s="297"/>
      <c r="AF1690" s="296"/>
      <c r="AG1690" s="297"/>
      <c r="AJ1690" s="298"/>
      <c r="AK1690" s="297"/>
      <c r="AN1690" s="298"/>
      <c r="AR1690" s="298"/>
    </row>
    <row r="1691" spans="2:44" s="290" customFormat="1" x14ac:dyDescent="0.2">
      <c r="B1691" s="302"/>
      <c r="D1691" s="302"/>
      <c r="E1691" s="302"/>
      <c r="K1691" s="303"/>
      <c r="L1691" s="303"/>
      <c r="M1691" s="303"/>
      <c r="AB1691" s="298"/>
      <c r="AC1691" s="297"/>
      <c r="AF1691" s="296"/>
      <c r="AG1691" s="297"/>
      <c r="AJ1691" s="298"/>
      <c r="AK1691" s="297"/>
      <c r="AN1691" s="298"/>
      <c r="AR1691" s="298"/>
    </row>
    <row r="1692" spans="2:44" s="290" customFormat="1" x14ac:dyDescent="0.2">
      <c r="B1692" s="302"/>
      <c r="D1692" s="302"/>
      <c r="E1692" s="302"/>
      <c r="K1692" s="303"/>
      <c r="L1692" s="303"/>
      <c r="M1692" s="303"/>
      <c r="AB1692" s="298"/>
      <c r="AC1692" s="297"/>
      <c r="AF1692" s="296"/>
      <c r="AG1692" s="297"/>
      <c r="AJ1692" s="298"/>
      <c r="AK1692" s="297"/>
      <c r="AN1692" s="298"/>
      <c r="AR1692" s="298"/>
    </row>
    <row r="1693" spans="2:44" s="290" customFormat="1" x14ac:dyDescent="0.2">
      <c r="B1693" s="302"/>
      <c r="D1693" s="302"/>
      <c r="E1693" s="302"/>
      <c r="K1693" s="303"/>
      <c r="L1693" s="303"/>
      <c r="M1693" s="303"/>
      <c r="AB1693" s="298"/>
      <c r="AC1693" s="297"/>
      <c r="AF1693" s="296"/>
      <c r="AG1693" s="297"/>
      <c r="AJ1693" s="298"/>
      <c r="AK1693" s="297"/>
      <c r="AN1693" s="298"/>
      <c r="AR1693" s="298"/>
    </row>
    <row r="1694" spans="2:44" s="290" customFormat="1" x14ac:dyDescent="0.2">
      <c r="B1694" s="302"/>
      <c r="D1694" s="302"/>
      <c r="E1694" s="302"/>
      <c r="K1694" s="303"/>
      <c r="L1694" s="303"/>
      <c r="M1694" s="303"/>
      <c r="AB1694" s="298"/>
      <c r="AC1694" s="297"/>
      <c r="AF1694" s="296"/>
      <c r="AG1694" s="297"/>
      <c r="AJ1694" s="298"/>
      <c r="AK1694" s="297"/>
      <c r="AN1694" s="298"/>
      <c r="AR1694" s="298"/>
    </row>
    <row r="1695" spans="2:44" s="290" customFormat="1" x14ac:dyDescent="0.2">
      <c r="B1695" s="302"/>
      <c r="D1695" s="302"/>
      <c r="E1695" s="302"/>
      <c r="K1695" s="303"/>
      <c r="L1695" s="303"/>
      <c r="M1695" s="303"/>
      <c r="AB1695" s="298"/>
      <c r="AC1695" s="297"/>
      <c r="AF1695" s="296"/>
      <c r="AG1695" s="297"/>
      <c r="AJ1695" s="298"/>
      <c r="AK1695" s="297"/>
      <c r="AN1695" s="298"/>
      <c r="AR1695" s="298"/>
    </row>
    <row r="1696" spans="2:44" s="290" customFormat="1" x14ac:dyDescent="0.2">
      <c r="B1696" s="302"/>
      <c r="D1696" s="302"/>
      <c r="E1696" s="302"/>
      <c r="K1696" s="303"/>
      <c r="L1696" s="303"/>
      <c r="M1696" s="303"/>
      <c r="AB1696" s="298"/>
      <c r="AC1696" s="297"/>
      <c r="AF1696" s="296"/>
      <c r="AG1696" s="297"/>
      <c r="AJ1696" s="298"/>
      <c r="AK1696" s="297"/>
      <c r="AN1696" s="298"/>
      <c r="AR1696" s="298"/>
    </row>
    <row r="1697" spans="2:44" s="290" customFormat="1" x14ac:dyDescent="0.2">
      <c r="B1697" s="302"/>
      <c r="D1697" s="302"/>
      <c r="E1697" s="302"/>
      <c r="K1697" s="303"/>
      <c r="L1697" s="303"/>
      <c r="M1697" s="303"/>
      <c r="AB1697" s="298"/>
      <c r="AC1697" s="297"/>
      <c r="AF1697" s="296"/>
      <c r="AG1697" s="297"/>
      <c r="AJ1697" s="298"/>
      <c r="AK1697" s="297"/>
      <c r="AN1697" s="298"/>
      <c r="AR1697" s="298"/>
    </row>
    <row r="1698" spans="2:44" s="290" customFormat="1" x14ac:dyDescent="0.2">
      <c r="B1698" s="302"/>
      <c r="D1698" s="302"/>
      <c r="E1698" s="302"/>
      <c r="K1698" s="303"/>
      <c r="L1698" s="303"/>
      <c r="M1698" s="303"/>
      <c r="AB1698" s="298"/>
      <c r="AC1698" s="297"/>
      <c r="AF1698" s="296"/>
      <c r="AG1698" s="297"/>
      <c r="AJ1698" s="298"/>
      <c r="AK1698" s="297"/>
      <c r="AN1698" s="298"/>
      <c r="AR1698" s="298"/>
    </row>
    <row r="1699" spans="2:44" s="290" customFormat="1" x14ac:dyDescent="0.2">
      <c r="B1699" s="302"/>
      <c r="D1699" s="302"/>
      <c r="E1699" s="302"/>
      <c r="K1699" s="303"/>
      <c r="L1699" s="303"/>
      <c r="M1699" s="303"/>
      <c r="AB1699" s="298"/>
      <c r="AC1699" s="297"/>
      <c r="AF1699" s="296"/>
      <c r="AG1699" s="297"/>
      <c r="AJ1699" s="298"/>
      <c r="AK1699" s="297"/>
      <c r="AN1699" s="298"/>
      <c r="AR1699" s="298"/>
    </row>
    <row r="1700" spans="2:44" s="290" customFormat="1" x14ac:dyDescent="0.2">
      <c r="B1700" s="302"/>
      <c r="D1700" s="302"/>
      <c r="E1700" s="302"/>
      <c r="K1700" s="303"/>
      <c r="L1700" s="303"/>
      <c r="M1700" s="303"/>
      <c r="AB1700" s="298"/>
      <c r="AC1700" s="297"/>
      <c r="AF1700" s="296"/>
      <c r="AG1700" s="297"/>
      <c r="AJ1700" s="298"/>
      <c r="AK1700" s="297"/>
      <c r="AN1700" s="298"/>
      <c r="AR1700" s="298"/>
    </row>
    <row r="1701" spans="2:44" s="290" customFormat="1" x14ac:dyDescent="0.2">
      <c r="B1701" s="302"/>
      <c r="D1701" s="302"/>
      <c r="E1701" s="302"/>
      <c r="K1701" s="303"/>
      <c r="L1701" s="303"/>
      <c r="M1701" s="303"/>
      <c r="AB1701" s="298"/>
      <c r="AC1701" s="297"/>
      <c r="AF1701" s="296"/>
      <c r="AG1701" s="297"/>
      <c r="AJ1701" s="298"/>
      <c r="AK1701" s="297"/>
      <c r="AN1701" s="298"/>
      <c r="AR1701" s="298"/>
    </row>
    <row r="1702" spans="2:44" s="290" customFormat="1" x14ac:dyDescent="0.2">
      <c r="B1702" s="302"/>
      <c r="D1702" s="302"/>
      <c r="E1702" s="302"/>
      <c r="K1702" s="303"/>
      <c r="L1702" s="303"/>
      <c r="M1702" s="303"/>
      <c r="AB1702" s="298"/>
      <c r="AC1702" s="297"/>
      <c r="AF1702" s="296"/>
      <c r="AG1702" s="297"/>
      <c r="AJ1702" s="298"/>
      <c r="AK1702" s="297"/>
      <c r="AN1702" s="298"/>
      <c r="AR1702" s="298"/>
    </row>
    <row r="1703" spans="2:44" s="290" customFormat="1" x14ac:dyDescent="0.2">
      <c r="B1703" s="302"/>
      <c r="D1703" s="302"/>
      <c r="E1703" s="302"/>
      <c r="K1703" s="303"/>
      <c r="L1703" s="303"/>
      <c r="M1703" s="303"/>
      <c r="AB1703" s="298"/>
      <c r="AC1703" s="297"/>
      <c r="AF1703" s="296"/>
      <c r="AG1703" s="297"/>
      <c r="AJ1703" s="298"/>
      <c r="AK1703" s="297"/>
      <c r="AN1703" s="298"/>
      <c r="AR1703" s="298"/>
    </row>
    <row r="1704" spans="2:44" s="290" customFormat="1" x14ac:dyDescent="0.2">
      <c r="B1704" s="302"/>
      <c r="D1704" s="302"/>
      <c r="E1704" s="302"/>
      <c r="K1704" s="303"/>
      <c r="L1704" s="303"/>
      <c r="M1704" s="303"/>
      <c r="AB1704" s="298"/>
      <c r="AC1704" s="297"/>
      <c r="AF1704" s="296"/>
      <c r="AG1704" s="297"/>
      <c r="AJ1704" s="298"/>
      <c r="AK1704" s="297"/>
      <c r="AN1704" s="298"/>
      <c r="AR1704" s="298"/>
    </row>
    <row r="1705" spans="2:44" s="290" customFormat="1" x14ac:dyDescent="0.2">
      <c r="B1705" s="302"/>
      <c r="D1705" s="302"/>
      <c r="E1705" s="302"/>
      <c r="K1705" s="303"/>
      <c r="L1705" s="303"/>
      <c r="M1705" s="303"/>
      <c r="AB1705" s="298"/>
      <c r="AC1705" s="297"/>
      <c r="AF1705" s="296"/>
      <c r="AG1705" s="297"/>
      <c r="AJ1705" s="298"/>
      <c r="AK1705" s="297"/>
      <c r="AN1705" s="298"/>
      <c r="AR1705" s="298"/>
    </row>
    <row r="1706" spans="2:44" s="290" customFormat="1" x14ac:dyDescent="0.2">
      <c r="B1706" s="302"/>
      <c r="D1706" s="302"/>
      <c r="E1706" s="302"/>
      <c r="K1706" s="303"/>
      <c r="L1706" s="303"/>
      <c r="M1706" s="303"/>
      <c r="AB1706" s="298"/>
      <c r="AC1706" s="297"/>
      <c r="AF1706" s="296"/>
      <c r="AG1706" s="297"/>
      <c r="AJ1706" s="298"/>
      <c r="AK1706" s="297"/>
      <c r="AN1706" s="298"/>
      <c r="AR1706" s="298"/>
    </row>
    <row r="1707" spans="2:44" s="290" customFormat="1" x14ac:dyDescent="0.2">
      <c r="B1707" s="302"/>
      <c r="D1707" s="302"/>
      <c r="E1707" s="302"/>
      <c r="K1707" s="303"/>
      <c r="L1707" s="303"/>
      <c r="M1707" s="303"/>
      <c r="AB1707" s="298"/>
      <c r="AC1707" s="297"/>
      <c r="AF1707" s="296"/>
      <c r="AG1707" s="297"/>
      <c r="AJ1707" s="298"/>
      <c r="AK1707" s="297"/>
      <c r="AN1707" s="298"/>
      <c r="AR1707" s="298"/>
    </row>
    <row r="1708" spans="2:44" s="290" customFormat="1" x14ac:dyDescent="0.2">
      <c r="B1708" s="302"/>
      <c r="D1708" s="302"/>
      <c r="E1708" s="302"/>
      <c r="K1708" s="303"/>
      <c r="L1708" s="303"/>
      <c r="M1708" s="303"/>
      <c r="AB1708" s="298"/>
      <c r="AC1708" s="297"/>
      <c r="AF1708" s="296"/>
      <c r="AG1708" s="297"/>
      <c r="AJ1708" s="298"/>
      <c r="AK1708" s="297"/>
      <c r="AN1708" s="298"/>
      <c r="AR1708" s="298"/>
    </row>
    <row r="1709" spans="2:44" s="290" customFormat="1" x14ac:dyDescent="0.2">
      <c r="B1709" s="302"/>
      <c r="D1709" s="302"/>
      <c r="E1709" s="302"/>
      <c r="K1709" s="303"/>
      <c r="L1709" s="303"/>
      <c r="M1709" s="303"/>
      <c r="AB1709" s="298"/>
      <c r="AC1709" s="297"/>
      <c r="AF1709" s="296"/>
      <c r="AG1709" s="297"/>
      <c r="AJ1709" s="298"/>
      <c r="AK1709" s="297"/>
      <c r="AN1709" s="298"/>
      <c r="AR1709" s="298"/>
    </row>
    <row r="1710" spans="2:44" s="290" customFormat="1" x14ac:dyDescent="0.2">
      <c r="B1710" s="302"/>
      <c r="D1710" s="302"/>
      <c r="E1710" s="302"/>
      <c r="K1710" s="303"/>
      <c r="L1710" s="303"/>
      <c r="M1710" s="303"/>
      <c r="AB1710" s="298"/>
      <c r="AC1710" s="297"/>
      <c r="AF1710" s="296"/>
      <c r="AG1710" s="297"/>
      <c r="AJ1710" s="298"/>
      <c r="AK1710" s="297"/>
      <c r="AN1710" s="298"/>
      <c r="AR1710" s="298"/>
    </row>
    <row r="1711" spans="2:44" s="290" customFormat="1" x14ac:dyDescent="0.2">
      <c r="B1711" s="302"/>
      <c r="D1711" s="302"/>
      <c r="E1711" s="302"/>
      <c r="K1711" s="303"/>
      <c r="L1711" s="303"/>
      <c r="M1711" s="303"/>
      <c r="AB1711" s="298"/>
      <c r="AC1711" s="297"/>
      <c r="AF1711" s="296"/>
      <c r="AG1711" s="297"/>
      <c r="AJ1711" s="298"/>
      <c r="AK1711" s="297"/>
      <c r="AN1711" s="298"/>
      <c r="AR1711" s="298"/>
    </row>
    <row r="1712" spans="2:44" s="290" customFormat="1" x14ac:dyDescent="0.2">
      <c r="B1712" s="302"/>
      <c r="D1712" s="302"/>
      <c r="E1712" s="302"/>
      <c r="K1712" s="303"/>
      <c r="L1712" s="303"/>
      <c r="M1712" s="303"/>
      <c r="AB1712" s="298"/>
      <c r="AC1712" s="297"/>
      <c r="AF1712" s="296"/>
      <c r="AG1712" s="297"/>
      <c r="AJ1712" s="298"/>
      <c r="AK1712" s="297"/>
      <c r="AN1712" s="298"/>
      <c r="AR1712" s="298"/>
    </row>
    <row r="1713" spans="2:44" s="290" customFormat="1" x14ac:dyDescent="0.2">
      <c r="B1713" s="302"/>
      <c r="D1713" s="302"/>
      <c r="E1713" s="302"/>
      <c r="K1713" s="303"/>
      <c r="L1713" s="303"/>
      <c r="M1713" s="303"/>
      <c r="AB1713" s="298"/>
      <c r="AC1713" s="297"/>
      <c r="AF1713" s="296"/>
      <c r="AG1713" s="297"/>
      <c r="AJ1713" s="298"/>
      <c r="AK1713" s="297"/>
      <c r="AN1713" s="298"/>
      <c r="AR1713" s="298"/>
    </row>
    <row r="1714" spans="2:44" s="290" customFormat="1" x14ac:dyDescent="0.2">
      <c r="B1714" s="302"/>
      <c r="D1714" s="302"/>
      <c r="E1714" s="302"/>
      <c r="K1714" s="303"/>
      <c r="L1714" s="303"/>
      <c r="M1714" s="303"/>
      <c r="AB1714" s="298"/>
      <c r="AC1714" s="297"/>
      <c r="AF1714" s="296"/>
      <c r="AG1714" s="297"/>
      <c r="AJ1714" s="298"/>
      <c r="AK1714" s="297"/>
      <c r="AN1714" s="298"/>
      <c r="AR1714" s="298"/>
    </row>
    <row r="1715" spans="2:44" s="290" customFormat="1" x14ac:dyDescent="0.2">
      <c r="B1715" s="302"/>
      <c r="D1715" s="302"/>
      <c r="E1715" s="302"/>
      <c r="K1715" s="303"/>
      <c r="L1715" s="303"/>
      <c r="M1715" s="303"/>
      <c r="AB1715" s="298"/>
      <c r="AC1715" s="297"/>
      <c r="AF1715" s="296"/>
      <c r="AG1715" s="297"/>
      <c r="AJ1715" s="298"/>
      <c r="AK1715" s="297"/>
      <c r="AN1715" s="298"/>
      <c r="AR1715" s="298"/>
    </row>
    <row r="1716" spans="2:44" s="290" customFormat="1" x14ac:dyDescent="0.2">
      <c r="B1716" s="302"/>
      <c r="D1716" s="302"/>
      <c r="E1716" s="302"/>
      <c r="K1716" s="303"/>
      <c r="L1716" s="303"/>
      <c r="M1716" s="303"/>
      <c r="AB1716" s="298"/>
      <c r="AC1716" s="297"/>
      <c r="AF1716" s="296"/>
      <c r="AG1716" s="297"/>
      <c r="AJ1716" s="298"/>
      <c r="AK1716" s="297"/>
      <c r="AN1716" s="298"/>
      <c r="AR1716" s="298"/>
    </row>
    <row r="1717" spans="2:44" s="290" customFormat="1" x14ac:dyDescent="0.2">
      <c r="B1717" s="302"/>
      <c r="D1717" s="302"/>
      <c r="E1717" s="302"/>
      <c r="K1717" s="303"/>
      <c r="L1717" s="303"/>
      <c r="M1717" s="303"/>
      <c r="AB1717" s="298"/>
      <c r="AC1717" s="297"/>
      <c r="AF1717" s="296"/>
      <c r="AG1717" s="297"/>
      <c r="AJ1717" s="298"/>
      <c r="AK1717" s="297"/>
      <c r="AN1717" s="298"/>
      <c r="AR1717" s="298"/>
    </row>
    <row r="1718" spans="2:44" s="290" customFormat="1" x14ac:dyDescent="0.2">
      <c r="B1718" s="302"/>
      <c r="D1718" s="302"/>
      <c r="E1718" s="302"/>
      <c r="K1718" s="303"/>
      <c r="L1718" s="303"/>
      <c r="M1718" s="303"/>
      <c r="AB1718" s="298"/>
      <c r="AC1718" s="297"/>
      <c r="AF1718" s="296"/>
      <c r="AG1718" s="297"/>
      <c r="AJ1718" s="298"/>
      <c r="AK1718" s="297"/>
      <c r="AN1718" s="298"/>
      <c r="AR1718" s="298"/>
    </row>
    <row r="1719" spans="2:44" s="290" customFormat="1" x14ac:dyDescent="0.2">
      <c r="B1719" s="302"/>
      <c r="D1719" s="302"/>
      <c r="E1719" s="302"/>
      <c r="K1719" s="303"/>
      <c r="L1719" s="303"/>
      <c r="M1719" s="303"/>
      <c r="AB1719" s="298"/>
      <c r="AC1719" s="297"/>
      <c r="AF1719" s="296"/>
      <c r="AG1719" s="297"/>
      <c r="AJ1719" s="298"/>
      <c r="AK1719" s="297"/>
      <c r="AN1719" s="298"/>
      <c r="AR1719" s="298"/>
    </row>
    <row r="1720" spans="2:44" s="290" customFormat="1" x14ac:dyDescent="0.2">
      <c r="B1720" s="302"/>
      <c r="D1720" s="302"/>
      <c r="E1720" s="302"/>
      <c r="K1720" s="303"/>
      <c r="L1720" s="303"/>
      <c r="M1720" s="303"/>
      <c r="AB1720" s="298"/>
      <c r="AC1720" s="297"/>
      <c r="AF1720" s="296"/>
      <c r="AG1720" s="297"/>
      <c r="AJ1720" s="298"/>
      <c r="AK1720" s="297"/>
      <c r="AN1720" s="298"/>
      <c r="AR1720" s="298"/>
    </row>
    <row r="1721" spans="2:44" s="290" customFormat="1" x14ac:dyDescent="0.2">
      <c r="B1721" s="302"/>
      <c r="D1721" s="302"/>
      <c r="E1721" s="302"/>
      <c r="K1721" s="303"/>
      <c r="L1721" s="303"/>
      <c r="M1721" s="303"/>
      <c r="AB1721" s="298"/>
      <c r="AC1721" s="297"/>
      <c r="AF1721" s="296"/>
      <c r="AG1721" s="297"/>
      <c r="AJ1721" s="298"/>
      <c r="AK1721" s="297"/>
      <c r="AN1721" s="298"/>
      <c r="AR1721" s="298"/>
    </row>
    <row r="1722" spans="2:44" s="290" customFormat="1" x14ac:dyDescent="0.2">
      <c r="B1722" s="302"/>
      <c r="D1722" s="302"/>
      <c r="E1722" s="302"/>
      <c r="K1722" s="303"/>
      <c r="L1722" s="303"/>
      <c r="M1722" s="303"/>
      <c r="AB1722" s="298"/>
      <c r="AC1722" s="297"/>
      <c r="AF1722" s="296"/>
      <c r="AG1722" s="297"/>
      <c r="AJ1722" s="298"/>
      <c r="AK1722" s="297"/>
      <c r="AN1722" s="298"/>
      <c r="AR1722" s="298"/>
    </row>
    <row r="1723" spans="2:44" s="290" customFormat="1" x14ac:dyDescent="0.2">
      <c r="B1723" s="302"/>
      <c r="D1723" s="302"/>
      <c r="E1723" s="302"/>
      <c r="K1723" s="303"/>
      <c r="L1723" s="303"/>
      <c r="M1723" s="303"/>
      <c r="AB1723" s="298"/>
      <c r="AC1723" s="297"/>
      <c r="AF1723" s="296"/>
      <c r="AG1723" s="297"/>
      <c r="AJ1723" s="298"/>
      <c r="AK1723" s="297"/>
      <c r="AN1723" s="298"/>
      <c r="AR1723" s="298"/>
    </row>
    <row r="1724" spans="2:44" s="290" customFormat="1" x14ac:dyDescent="0.2">
      <c r="B1724" s="302"/>
      <c r="D1724" s="302"/>
      <c r="E1724" s="302"/>
      <c r="K1724" s="303"/>
      <c r="L1724" s="303"/>
      <c r="M1724" s="303"/>
      <c r="AB1724" s="298"/>
      <c r="AC1724" s="297"/>
      <c r="AF1724" s="296"/>
      <c r="AG1724" s="297"/>
      <c r="AJ1724" s="298"/>
      <c r="AK1724" s="297"/>
      <c r="AN1724" s="298"/>
      <c r="AR1724" s="298"/>
    </row>
    <row r="1725" spans="2:44" s="290" customFormat="1" x14ac:dyDescent="0.2">
      <c r="B1725" s="302"/>
      <c r="D1725" s="302"/>
      <c r="E1725" s="302"/>
      <c r="K1725" s="303"/>
      <c r="L1725" s="303"/>
      <c r="M1725" s="303"/>
      <c r="AB1725" s="298"/>
      <c r="AC1725" s="297"/>
      <c r="AF1725" s="296"/>
      <c r="AG1725" s="297"/>
      <c r="AJ1725" s="298"/>
      <c r="AK1725" s="297"/>
      <c r="AN1725" s="298"/>
      <c r="AR1725" s="298"/>
    </row>
    <row r="1726" spans="2:44" s="290" customFormat="1" x14ac:dyDescent="0.2">
      <c r="B1726" s="302"/>
      <c r="D1726" s="302"/>
      <c r="E1726" s="302"/>
      <c r="K1726" s="303"/>
      <c r="L1726" s="303"/>
      <c r="M1726" s="303"/>
      <c r="AB1726" s="298"/>
      <c r="AC1726" s="297"/>
      <c r="AF1726" s="296"/>
      <c r="AG1726" s="297"/>
      <c r="AJ1726" s="298"/>
      <c r="AK1726" s="297"/>
      <c r="AN1726" s="298"/>
      <c r="AR1726" s="298"/>
    </row>
    <row r="1727" spans="2:44" s="290" customFormat="1" x14ac:dyDescent="0.2">
      <c r="B1727" s="302"/>
      <c r="D1727" s="302"/>
      <c r="E1727" s="302"/>
      <c r="K1727" s="303"/>
      <c r="L1727" s="303"/>
      <c r="M1727" s="303"/>
      <c r="AB1727" s="298"/>
      <c r="AC1727" s="297"/>
      <c r="AF1727" s="296"/>
      <c r="AG1727" s="297"/>
      <c r="AJ1727" s="298"/>
      <c r="AK1727" s="297"/>
      <c r="AN1727" s="298"/>
      <c r="AR1727" s="298"/>
    </row>
    <row r="1728" spans="2:44" s="290" customFormat="1" x14ac:dyDescent="0.2">
      <c r="B1728" s="302"/>
      <c r="D1728" s="302"/>
      <c r="E1728" s="302"/>
      <c r="K1728" s="303"/>
      <c r="L1728" s="303"/>
      <c r="M1728" s="303"/>
      <c r="AB1728" s="298"/>
      <c r="AC1728" s="297"/>
      <c r="AF1728" s="296"/>
      <c r="AG1728" s="297"/>
      <c r="AJ1728" s="298"/>
      <c r="AK1728" s="297"/>
      <c r="AN1728" s="298"/>
      <c r="AR1728" s="298"/>
    </row>
    <row r="1729" spans="2:44" s="290" customFormat="1" x14ac:dyDescent="0.2">
      <c r="B1729" s="302"/>
      <c r="D1729" s="302"/>
      <c r="E1729" s="302"/>
      <c r="K1729" s="303"/>
      <c r="L1729" s="303"/>
      <c r="M1729" s="303"/>
      <c r="AB1729" s="298"/>
      <c r="AC1729" s="297"/>
      <c r="AF1729" s="296"/>
      <c r="AG1729" s="297"/>
      <c r="AJ1729" s="298"/>
      <c r="AK1729" s="297"/>
      <c r="AN1729" s="298"/>
      <c r="AR1729" s="298"/>
    </row>
    <row r="1730" spans="2:44" s="290" customFormat="1" x14ac:dyDescent="0.2">
      <c r="B1730" s="302"/>
      <c r="D1730" s="302"/>
      <c r="E1730" s="302"/>
      <c r="K1730" s="303"/>
      <c r="L1730" s="303"/>
      <c r="M1730" s="303"/>
      <c r="AB1730" s="298"/>
      <c r="AC1730" s="297"/>
      <c r="AF1730" s="296"/>
      <c r="AG1730" s="297"/>
      <c r="AJ1730" s="298"/>
      <c r="AK1730" s="297"/>
      <c r="AN1730" s="298"/>
      <c r="AR1730" s="298"/>
    </row>
    <row r="1731" spans="2:44" s="290" customFormat="1" x14ac:dyDescent="0.2">
      <c r="B1731" s="302"/>
      <c r="D1731" s="302"/>
      <c r="E1731" s="302"/>
      <c r="K1731" s="303"/>
      <c r="L1731" s="303"/>
      <c r="M1731" s="303"/>
      <c r="AB1731" s="298"/>
      <c r="AC1731" s="297"/>
      <c r="AF1731" s="296"/>
      <c r="AG1731" s="297"/>
      <c r="AJ1731" s="298"/>
      <c r="AK1731" s="297"/>
      <c r="AN1731" s="298"/>
      <c r="AR1731" s="298"/>
    </row>
    <row r="1732" spans="2:44" s="290" customFormat="1" x14ac:dyDescent="0.2">
      <c r="B1732" s="302"/>
      <c r="D1732" s="302"/>
      <c r="E1732" s="302"/>
      <c r="K1732" s="303"/>
      <c r="L1732" s="303"/>
      <c r="M1732" s="303"/>
      <c r="AB1732" s="298"/>
      <c r="AC1732" s="297"/>
      <c r="AF1732" s="296"/>
      <c r="AG1732" s="297"/>
      <c r="AJ1732" s="298"/>
      <c r="AK1732" s="297"/>
      <c r="AN1732" s="298"/>
      <c r="AR1732" s="298"/>
    </row>
    <row r="1733" spans="2:44" s="290" customFormat="1" x14ac:dyDescent="0.2">
      <c r="B1733" s="302"/>
      <c r="D1733" s="302"/>
      <c r="E1733" s="302"/>
      <c r="K1733" s="303"/>
      <c r="L1733" s="303"/>
      <c r="M1733" s="303"/>
      <c r="AB1733" s="298"/>
      <c r="AC1733" s="297"/>
      <c r="AF1733" s="296"/>
      <c r="AG1733" s="297"/>
      <c r="AJ1733" s="298"/>
      <c r="AK1733" s="297"/>
      <c r="AN1733" s="298"/>
      <c r="AR1733" s="298"/>
    </row>
    <row r="1734" spans="2:44" s="290" customFormat="1" x14ac:dyDescent="0.2">
      <c r="B1734" s="302"/>
      <c r="D1734" s="302"/>
      <c r="E1734" s="302"/>
      <c r="K1734" s="303"/>
      <c r="L1734" s="303"/>
      <c r="M1734" s="303"/>
      <c r="AB1734" s="298"/>
      <c r="AC1734" s="297"/>
      <c r="AF1734" s="296"/>
      <c r="AG1734" s="297"/>
      <c r="AJ1734" s="298"/>
      <c r="AK1734" s="297"/>
      <c r="AN1734" s="298"/>
      <c r="AR1734" s="298"/>
    </row>
    <row r="1735" spans="2:44" s="290" customFormat="1" x14ac:dyDescent="0.2">
      <c r="B1735" s="302"/>
      <c r="D1735" s="302"/>
      <c r="E1735" s="302"/>
      <c r="K1735" s="303"/>
      <c r="L1735" s="303"/>
      <c r="M1735" s="303"/>
      <c r="AB1735" s="298"/>
      <c r="AC1735" s="297"/>
      <c r="AF1735" s="296"/>
      <c r="AG1735" s="297"/>
      <c r="AJ1735" s="298"/>
      <c r="AK1735" s="297"/>
      <c r="AN1735" s="298"/>
      <c r="AR1735" s="298"/>
    </row>
    <row r="1736" spans="2:44" s="290" customFormat="1" x14ac:dyDescent="0.2">
      <c r="B1736" s="302"/>
      <c r="D1736" s="302"/>
      <c r="E1736" s="302"/>
      <c r="K1736" s="303"/>
      <c r="L1736" s="303"/>
      <c r="M1736" s="303"/>
      <c r="AB1736" s="298"/>
      <c r="AC1736" s="297"/>
      <c r="AF1736" s="296"/>
      <c r="AG1736" s="297"/>
      <c r="AJ1736" s="298"/>
      <c r="AK1736" s="297"/>
      <c r="AN1736" s="298"/>
      <c r="AR1736" s="298"/>
    </row>
    <row r="1737" spans="2:44" s="290" customFormat="1" x14ac:dyDescent="0.2">
      <c r="B1737" s="302"/>
      <c r="D1737" s="302"/>
      <c r="E1737" s="302"/>
      <c r="K1737" s="303"/>
      <c r="L1737" s="303"/>
      <c r="M1737" s="303"/>
      <c r="AB1737" s="298"/>
      <c r="AC1737" s="297"/>
      <c r="AF1737" s="296"/>
      <c r="AG1737" s="297"/>
      <c r="AJ1737" s="298"/>
      <c r="AK1737" s="297"/>
      <c r="AN1737" s="298"/>
      <c r="AR1737" s="298"/>
    </row>
    <row r="1738" spans="2:44" s="290" customFormat="1" x14ac:dyDescent="0.2">
      <c r="B1738" s="302"/>
      <c r="D1738" s="302"/>
      <c r="E1738" s="302"/>
      <c r="K1738" s="303"/>
      <c r="L1738" s="303"/>
      <c r="M1738" s="303"/>
      <c r="AB1738" s="298"/>
      <c r="AC1738" s="297"/>
      <c r="AF1738" s="296"/>
      <c r="AG1738" s="297"/>
      <c r="AJ1738" s="298"/>
      <c r="AK1738" s="297"/>
      <c r="AN1738" s="298"/>
      <c r="AR1738" s="298"/>
    </row>
    <row r="1739" spans="2:44" s="290" customFormat="1" x14ac:dyDescent="0.2">
      <c r="B1739" s="302"/>
      <c r="D1739" s="302"/>
      <c r="E1739" s="302"/>
      <c r="K1739" s="303"/>
      <c r="L1739" s="303"/>
      <c r="M1739" s="303"/>
      <c r="AB1739" s="298"/>
      <c r="AC1739" s="297"/>
      <c r="AF1739" s="296"/>
      <c r="AG1739" s="297"/>
      <c r="AJ1739" s="298"/>
      <c r="AK1739" s="297"/>
      <c r="AN1739" s="298"/>
      <c r="AR1739" s="298"/>
    </row>
    <row r="1740" spans="2:44" s="290" customFormat="1" x14ac:dyDescent="0.2">
      <c r="B1740" s="302"/>
      <c r="D1740" s="302"/>
      <c r="E1740" s="302"/>
      <c r="K1740" s="303"/>
      <c r="L1740" s="303"/>
      <c r="M1740" s="303"/>
      <c r="AB1740" s="298"/>
      <c r="AC1740" s="297"/>
      <c r="AF1740" s="296"/>
      <c r="AG1740" s="297"/>
      <c r="AJ1740" s="298"/>
      <c r="AK1740" s="297"/>
      <c r="AN1740" s="298"/>
      <c r="AR1740" s="298"/>
    </row>
    <row r="1741" spans="2:44" s="290" customFormat="1" x14ac:dyDescent="0.2">
      <c r="B1741" s="302"/>
      <c r="D1741" s="302"/>
      <c r="E1741" s="302"/>
      <c r="K1741" s="303"/>
      <c r="L1741" s="303"/>
      <c r="M1741" s="303"/>
      <c r="AB1741" s="298"/>
      <c r="AC1741" s="297"/>
      <c r="AF1741" s="296"/>
      <c r="AG1741" s="297"/>
      <c r="AJ1741" s="298"/>
      <c r="AK1741" s="297"/>
      <c r="AN1741" s="298"/>
      <c r="AR1741" s="298"/>
    </row>
    <row r="1742" spans="2:44" s="290" customFormat="1" x14ac:dyDescent="0.2">
      <c r="B1742" s="302"/>
      <c r="D1742" s="302"/>
      <c r="E1742" s="302"/>
      <c r="K1742" s="303"/>
      <c r="L1742" s="303"/>
      <c r="M1742" s="303"/>
      <c r="AB1742" s="298"/>
      <c r="AC1742" s="297"/>
      <c r="AF1742" s="296"/>
      <c r="AG1742" s="297"/>
      <c r="AJ1742" s="298"/>
      <c r="AK1742" s="297"/>
      <c r="AN1742" s="298"/>
      <c r="AR1742" s="298"/>
    </row>
    <row r="1743" spans="2:44" s="290" customFormat="1" x14ac:dyDescent="0.2">
      <c r="B1743" s="302"/>
      <c r="D1743" s="302"/>
      <c r="E1743" s="302"/>
      <c r="K1743" s="303"/>
      <c r="L1743" s="303"/>
      <c r="M1743" s="303"/>
      <c r="AB1743" s="298"/>
      <c r="AC1743" s="297"/>
      <c r="AF1743" s="296"/>
      <c r="AG1743" s="297"/>
      <c r="AJ1743" s="298"/>
      <c r="AK1743" s="297"/>
      <c r="AN1743" s="298"/>
      <c r="AR1743" s="298"/>
    </row>
    <row r="1744" spans="2:44" s="290" customFormat="1" x14ac:dyDescent="0.2">
      <c r="B1744" s="302"/>
      <c r="D1744" s="302"/>
      <c r="E1744" s="302"/>
      <c r="K1744" s="303"/>
      <c r="L1744" s="303"/>
      <c r="M1744" s="303"/>
      <c r="AB1744" s="298"/>
      <c r="AC1744" s="297"/>
      <c r="AF1744" s="296"/>
      <c r="AG1744" s="297"/>
      <c r="AJ1744" s="298"/>
      <c r="AK1744" s="297"/>
      <c r="AN1744" s="298"/>
      <c r="AR1744" s="298"/>
    </row>
    <row r="1745" spans="2:44" s="290" customFormat="1" x14ac:dyDescent="0.2">
      <c r="B1745" s="302"/>
      <c r="D1745" s="302"/>
      <c r="E1745" s="302"/>
      <c r="K1745" s="303"/>
      <c r="L1745" s="303"/>
      <c r="M1745" s="303"/>
      <c r="AB1745" s="298"/>
      <c r="AC1745" s="297"/>
      <c r="AF1745" s="296"/>
      <c r="AG1745" s="297"/>
      <c r="AJ1745" s="298"/>
      <c r="AK1745" s="297"/>
      <c r="AN1745" s="298"/>
      <c r="AR1745" s="298"/>
    </row>
    <row r="1746" spans="2:44" s="290" customFormat="1" x14ac:dyDescent="0.2">
      <c r="B1746" s="302"/>
      <c r="D1746" s="302"/>
      <c r="E1746" s="302"/>
      <c r="K1746" s="303"/>
      <c r="L1746" s="303"/>
      <c r="M1746" s="303"/>
      <c r="AB1746" s="298"/>
      <c r="AC1746" s="297"/>
      <c r="AF1746" s="296"/>
      <c r="AG1746" s="297"/>
      <c r="AJ1746" s="298"/>
      <c r="AK1746" s="297"/>
      <c r="AN1746" s="298"/>
      <c r="AR1746" s="298"/>
    </row>
    <row r="1747" spans="2:44" s="290" customFormat="1" x14ac:dyDescent="0.2">
      <c r="B1747" s="302"/>
      <c r="D1747" s="302"/>
      <c r="E1747" s="302"/>
      <c r="K1747" s="303"/>
      <c r="L1747" s="303"/>
      <c r="M1747" s="303"/>
      <c r="AB1747" s="298"/>
      <c r="AC1747" s="297"/>
      <c r="AF1747" s="296"/>
      <c r="AG1747" s="297"/>
      <c r="AJ1747" s="298"/>
      <c r="AK1747" s="297"/>
      <c r="AN1747" s="298"/>
      <c r="AR1747" s="298"/>
    </row>
    <row r="1748" spans="2:44" s="290" customFormat="1" x14ac:dyDescent="0.2">
      <c r="B1748" s="302"/>
      <c r="D1748" s="302"/>
      <c r="E1748" s="302"/>
      <c r="K1748" s="303"/>
      <c r="L1748" s="303"/>
      <c r="M1748" s="303"/>
      <c r="AB1748" s="298"/>
      <c r="AC1748" s="297"/>
      <c r="AF1748" s="296"/>
      <c r="AG1748" s="297"/>
      <c r="AJ1748" s="298"/>
      <c r="AK1748" s="297"/>
      <c r="AN1748" s="298"/>
      <c r="AR1748" s="298"/>
    </row>
    <row r="1749" spans="2:44" s="290" customFormat="1" x14ac:dyDescent="0.2">
      <c r="B1749" s="302"/>
      <c r="D1749" s="302"/>
      <c r="E1749" s="302"/>
      <c r="K1749" s="303"/>
      <c r="L1749" s="303"/>
      <c r="M1749" s="303"/>
      <c r="AB1749" s="298"/>
      <c r="AC1749" s="297"/>
      <c r="AF1749" s="296"/>
      <c r="AG1749" s="297"/>
      <c r="AJ1749" s="298"/>
      <c r="AK1749" s="297"/>
      <c r="AN1749" s="298"/>
      <c r="AR1749" s="298"/>
    </row>
    <row r="1750" spans="2:44" s="290" customFormat="1" x14ac:dyDescent="0.2">
      <c r="B1750" s="302"/>
      <c r="D1750" s="302"/>
      <c r="E1750" s="302"/>
      <c r="K1750" s="303"/>
      <c r="L1750" s="303"/>
      <c r="M1750" s="303"/>
      <c r="AB1750" s="298"/>
      <c r="AC1750" s="297"/>
      <c r="AF1750" s="296"/>
      <c r="AG1750" s="297"/>
      <c r="AJ1750" s="298"/>
      <c r="AK1750" s="297"/>
      <c r="AN1750" s="298"/>
      <c r="AR1750" s="298"/>
    </row>
    <row r="1751" spans="2:44" s="290" customFormat="1" x14ac:dyDescent="0.2">
      <c r="B1751" s="302"/>
      <c r="D1751" s="302"/>
      <c r="E1751" s="302"/>
      <c r="K1751" s="303"/>
      <c r="L1751" s="303"/>
      <c r="M1751" s="303"/>
      <c r="AB1751" s="298"/>
      <c r="AC1751" s="297"/>
      <c r="AF1751" s="296"/>
      <c r="AG1751" s="297"/>
      <c r="AJ1751" s="298"/>
      <c r="AK1751" s="297"/>
      <c r="AN1751" s="298"/>
      <c r="AR1751" s="298"/>
    </row>
    <row r="1752" spans="2:44" s="290" customFormat="1" x14ac:dyDescent="0.2">
      <c r="B1752" s="302"/>
      <c r="D1752" s="302"/>
      <c r="E1752" s="302"/>
      <c r="K1752" s="303"/>
      <c r="L1752" s="303"/>
      <c r="M1752" s="303"/>
      <c r="AB1752" s="298"/>
      <c r="AC1752" s="297"/>
      <c r="AF1752" s="296"/>
      <c r="AG1752" s="297"/>
      <c r="AJ1752" s="298"/>
      <c r="AK1752" s="297"/>
      <c r="AN1752" s="298"/>
      <c r="AR1752" s="298"/>
    </row>
    <row r="1753" spans="2:44" s="290" customFormat="1" x14ac:dyDescent="0.2">
      <c r="B1753" s="302"/>
      <c r="D1753" s="302"/>
      <c r="E1753" s="302"/>
      <c r="K1753" s="303"/>
      <c r="L1753" s="303"/>
      <c r="M1753" s="303"/>
      <c r="AB1753" s="298"/>
      <c r="AC1753" s="297"/>
      <c r="AF1753" s="296"/>
      <c r="AG1753" s="297"/>
      <c r="AJ1753" s="298"/>
      <c r="AK1753" s="297"/>
      <c r="AN1753" s="298"/>
      <c r="AR1753" s="298"/>
    </row>
    <row r="1754" spans="2:44" s="290" customFormat="1" x14ac:dyDescent="0.2">
      <c r="B1754" s="302"/>
      <c r="D1754" s="302"/>
      <c r="E1754" s="302"/>
      <c r="K1754" s="303"/>
      <c r="L1754" s="303"/>
      <c r="M1754" s="303"/>
      <c r="AB1754" s="298"/>
      <c r="AC1754" s="297"/>
      <c r="AF1754" s="296"/>
      <c r="AG1754" s="297"/>
      <c r="AJ1754" s="298"/>
      <c r="AK1754" s="297"/>
      <c r="AN1754" s="298"/>
      <c r="AR1754" s="298"/>
    </row>
    <row r="1755" spans="2:44" s="290" customFormat="1" x14ac:dyDescent="0.2">
      <c r="B1755" s="302"/>
      <c r="D1755" s="302"/>
      <c r="E1755" s="302"/>
      <c r="K1755" s="303"/>
      <c r="L1755" s="303"/>
      <c r="M1755" s="303"/>
      <c r="AB1755" s="298"/>
      <c r="AC1755" s="297"/>
      <c r="AF1755" s="296"/>
      <c r="AG1755" s="297"/>
      <c r="AJ1755" s="298"/>
      <c r="AK1755" s="297"/>
      <c r="AN1755" s="298"/>
      <c r="AR1755" s="298"/>
    </row>
    <row r="1756" spans="2:44" s="290" customFormat="1" x14ac:dyDescent="0.2">
      <c r="B1756" s="302"/>
      <c r="D1756" s="302"/>
      <c r="E1756" s="302"/>
      <c r="K1756" s="303"/>
      <c r="L1756" s="303"/>
      <c r="M1756" s="303"/>
      <c r="AB1756" s="298"/>
      <c r="AC1756" s="297"/>
      <c r="AF1756" s="296"/>
      <c r="AG1756" s="297"/>
      <c r="AJ1756" s="298"/>
      <c r="AK1756" s="297"/>
      <c r="AN1756" s="298"/>
      <c r="AR1756" s="298"/>
    </row>
    <row r="1757" spans="2:44" s="290" customFormat="1" x14ac:dyDescent="0.2">
      <c r="B1757" s="302"/>
      <c r="D1757" s="302"/>
      <c r="E1757" s="302"/>
      <c r="K1757" s="303"/>
      <c r="L1757" s="303"/>
      <c r="M1757" s="303"/>
      <c r="AB1757" s="298"/>
      <c r="AC1757" s="297"/>
      <c r="AF1757" s="296"/>
      <c r="AG1757" s="297"/>
      <c r="AJ1757" s="298"/>
      <c r="AK1757" s="297"/>
      <c r="AN1757" s="298"/>
      <c r="AR1757" s="298"/>
    </row>
    <row r="1758" spans="2:44" s="290" customFormat="1" x14ac:dyDescent="0.2">
      <c r="B1758" s="302"/>
      <c r="D1758" s="302"/>
      <c r="E1758" s="302"/>
      <c r="K1758" s="303"/>
      <c r="L1758" s="303"/>
      <c r="M1758" s="303"/>
      <c r="AB1758" s="298"/>
      <c r="AC1758" s="297"/>
      <c r="AF1758" s="296"/>
      <c r="AG1758" s="297"/>
      <c r="AJ1758" s="298"/>
      <c r="AK1758" s="297"/>
      <c r="AN1758" s="298"/>
      <c r="AR1758" s="298"/>
    </row>
    <row r="1759" spans="2:44" s="290" customFormat="1" x14ac:dyDescent="0.2">
      <c r="B1759" s="302"/>
      <c r="D1759" s="302"/>
      <c r="E1759" s="302"/>
      <c r="K1759" s="303"/>
      <c r="L1759" s="303"/>
      <c r="M1759" s="303"/>
      <c r="AB1759" s="298"/>
      <c r="AC1759" s="297"/>
      <c r="AF1759" s="296"/>
      <c r="AG1759" s="297"/>
      <c r="AJ1759" s="298"/>
      <c r="AK1759" s="297"/>
      <c r="AN1759" s="298"/>
      <c r="AR1759" s="298"/>
    </row>
    <row r="1760" spans="2:44" s="290" customFormat="1" x14ac:dyDescent="0.2">
      <c r="B1760" s="302"/>
      <c r="D1760" s="302"/>
      <c r="E1760" s="302"/>
      <c r="K1760" s="303"/>
      <c r="L1760" s="303"/>
      <c r="M1760" s="303"/>
      <c r="AB1760" s="298"/>
      <c r="AC1760" s="297"/>
      <c r="AF1760" s="296"/>
      <c r="AG1760" s="297"/>
      <c r="AJ1760" s="298"/>
      <c r="AK1760" s="297"/>
      <c r="AN1760" s="298"/>
      <c r="AR1760" s="298"/>
    </row>
    <row r="1761" spans="2:44" s="290" customFormat="1" x14ac:dyDescent="0.2">
      <c r="B1761" s="302"/>
      <c r="D1761" s="302"/>
      <c r="E1761" s="302"/>
      <c r="K1761" s="303"/>
      <c r="L1761" s="303"/>
      <c r="M1761" s="303"/>
      <c r="AB1761" s="298"/>
      <c r="AC1761" s="297"/>
      <c r="AF1761" s="296"/>
      <c r="AG1761" s="297"/>
      <c r="AJ1761" s="298"/>
      <c r="AK1761" s="297"/>
      <c r="AN1761" s="298"/>
      <c r="AR1761" s="298"/>
    </row>
    <row r="1762" spans="2:44" s="290" customFormat="1" x14ac:dyDescent="0.2">
      <c r="B1762" s="302"/>
      <c r="D1762" s="302"/>
      <c r="E1762" s="302"/>
      <c r="K1762" s="303"/>
      <c r="L1762" s="303"/>
      <c r="M1762" s="303"/>
      <c r="AB1762" s="298"/>
      <c r="AC1762" s="297"/>
      <c r="AF1762" s="296"/>
      <c r="AG1762" s="297"/>
      <c r="AJ1762" s="298"/>
      <c r="AK1762" s="297"/>
      <c r="AN1762" s="298"/>
      <c r="AR1762" s="298"/>
    </row>
    <row r="1763" spans="2:44" s="290" customFormat="1" x14ac:dyDescent="0.2">
      <c r="B1763" s="302"/>
      <c r="D1763" s="302"/>
      <c r="E1763" s="302"/>
      <c r="K1763" s="303"/>
      <c r="L1763" s="303"/>
      <c r="M1763" s="303"/>
      <c r="AB1763" s="298"/>
      <c r="AC1763" s="297"/>
      <c r="AF1763" s="296"/>
      <c r="AG1763" s="297"/>
      <c r="AJ1763" s="298"/>
      <c r="AK1763" s="297"/>
      <c r="AN1763" s="298"/>
      <c r="AR1763" s="298"/>
    </row>
    <row r="1764" spans="2:44" s="290" customFormat="1" x14ac:dyDescent="0.2">
      <c r="B1764" s="302"/>
      <c r="D1764" s="302"/>
      <c r="E1764" s="302"/>
      <c r="K1764" s="303"/>
      <c r="L1764" s="303"/>
      <c r="M1764" s="303"/>
      <c r="AB1764" s="298"/>
      <c r="AC1764" s="297"/>
      <c r="AF1764" s="296"/>
      <c r="AG1764" s="297"/>
      <c r="AJ1764" s="298"/>
      <c r="AK1764" s="297"/>
      <c r="AN1764" s="298"/>
      <c r="AR1764" s="298"/>
    </row>
    <row r="1765" spans="2:44" s="290" customFormat="1" x14ac:dyDescent="0.2">
      <c r="B1765" s="302"/>
      <c r="D1765" s="302"/>
      <c r="E1765" s="302"/>
      <c r="K1765" s="303"/>
      <c r="L1765" s="303"/>
      <c r="M1765" s="303"/>
      <c r="AB1765" s="298"/>
      <c r="AC1765" s="297"/>
      <c r="AF1765" s="296"/>
      <c r="AG1765" s="297"/>
      <c r="AJ1765" s="298"/>
      <c r="AK1765" s="297"/>
      <c r="AN1765" s="298"/>
      <c r="AR1765" s="298"/>
    </row>
    <row r="1766" spans="2:44" s="290" customFormat="1" x14ac:dyDescent="0.2">
      <c r="B1766" s="302"/>
      <c r="D1766" s="302"/>
      <c r="E1766" s="302"/>
      <c r="K1766" s="303"/>
      <c r="L1766" s="303"/>
      <c r="M1766" s="303"/>
      <c r="AB1766" s="298"/>
      <c r="AC1766" s="297"/>
      <c r="AF1766" s="296"/>
      <c r="AG1766" s="297"/>
      <c r="AJ1766" s="298"/>
      <c r="AK1766" s="297"/>
      <c r="AN1766" s="298"/>
      <c r="AR1766" s="298"/>
    </row>
    <row r="1767" spans="2:44" s="290" customFormat="1" x14ac:dyDescent="0.2">
      <c r="B1767" s="302"/>
      <c r="D1767" s="302"/>
      <c r="E1767" s="302"/>
      <c r="K1767" s="303"/>
      <c r="L1767" s="303"/>
      <c r="M1767" s="303"/>
      <c r="AB1767" s="298"/>
      <c r="AC1767" s="297"/>
      <c r="AF1767" s="296"/>
      <c r="AG1767" s="297"/>
      <c r="AJ1767" s="298"/>
      <c r="AK1767" s="297"/>
      <c r="AN1767" s="298"/>
      <c r="AR1767" s="298"/>
    </row>
    <row r="1768" spans="2:44" s="290" customFormat="1" x14ac:dyDescent="0.2">
      <c r="B1768" s="302"/>
      <c r="D1768" s="302"/>
      <c r="E1768" s="302"/>
      <c r="K1768" s="303"/>
      <c r="L1768" s="303"/>
      <c r="M1768" s="303"/>
      <c r="AB1768" s="298"/>
      <c r="AC1768" s="297"/>
      <c r="AF1768" s="296"/>
      <c r="AG1768" s="297"/>
      <c r="AJ1768" s="298"/>
      <c r="AK1768" s="297"/>
      <c r="AN1768" s="298"/>
      <c r="AR1768" s="298"/>
    </row>
    <row r="1769" spans="2:44" s="290" customFormat="1" x14ac:dyDescent="0.2">
      <c r="B1769" s="302"/>
      <c r="D1769" s="302"/>
      <c r="E1769" s="302"/>
      <c r="K1769" s="303"/>
      <c r="L1769" s="303"/>
      <c r="M1769" s="303"/>
      <c r="AB1769" s="298"/>
      <c r="AC1769" s="297"/>
      <c r="AF1769" s="296"/>
      <c r="AG1769" s="297"/>
      <c r="AJ1769" s="298"/>
      <c r="AK1769" s="297"/>
      <c r="AN1769" s="298"/>
      <c r="AR1769" s="298"/>
    </row>
    <row r="1770" spans="2:44" s="290" customFormat="1" x14ac:dyDescent="0.2">
      <c r="B1770" s="302"/>
      <c r="D1770" s="302"/>
      <c r="E1770" s="302"/>
      <c r="K1770" s="303"/>
      <c r="L1770" s="303"/>
      <c r="M1770" s="303"/>
      <c r="AB1770" s="298"/>
      <c r="AC1770" s="297"/>
      <c r="AF1770" s="296"/>
      <c r="AG1770" s="297"/>
      <c r="AJ1770" s="298"/>
      <c r="AK1770" s="297"/>
      <c r="AN1770" s="298"/>
      <c r="AR1770" s="298"/>
    </row>
    <row r="1771" spans="2:44" s="290" customFormat="1" x14ac:dyDescent="0.2">
      <c r="B1771" s="302"/>
      <c r="D1771" s="302"/>
      <c r="E1771" s="302"/>
      <c r="K1771" s="303"/>
      <c r="L1771" s="303"/>
      <c r="M1771" s="303"/>
      <c r="AB1771" s="298"/>
      <c r="AC1771" s="297"/>
      <c r="AF1771" s="296"/>
      <c r="AG1771" s="297"/>
      <c r="AJ1771" s="298"/>
      <c r="AK1771" s="297"/>
      <c r="AN1771" s="298"/>
      <c r="AR1771" s="298"/>
    </row>
    <row r="1772" spans="2:44" s="290" customFormat="1" x14ac:dyDescent="0.2">
      <c r="B1772" s="302"/>
      <c r="D1772" s="302"/>
      <c r="E1772" s="302"/>
      <c r="K1772" s="303"/>
      <c r="L1772" s="303"/>
      <c r="M1772" s="303"/>
      <c r="AB1772" s="298"/>
      <c r="AC1772" s="297"/>
      <c r="AF1772" s="296"/>
      <c r="AG1772" s="297"/>
      <c r="AJ1772" s="298"/>
      <c r="AK1772" s="297"/>
      <c r="AN1772" s="298"/>
      <c r="AR1772" s="298"/>
    </row>
    <row r="1773" spans="2:44" s="290" customFormat="1" x14ac:dyDescent="0.2">
      <c r="B1773" s="302"/>
      <c r="D1773" s="302"/>
      <c r="E1773" s="302"/>
      <c r="K1773" s="303"/>
      <c r="L1773" s="303"/>
      <c r="M1773" s="303"/>
      <c r="AB1773" s="298"/>
      <c r="AC1773" s="297"/>
      <c r="AF1773" s="296"/>
      <c r="AG1773" s="297"/>
      <c r="AJ1773" s="298"/>
      <c r="AK1773" s="297"/>
      <c r="AN1773" s="298"/>
      <c r="AR1773" s="298"/>
    </row>
    <row r="1774" spans="2:44" s="290" customFormat="1" x14ac:dyDescent="0.2">
      <c r="B1774" s="302"/>
      <c r="D1774" s="302"/>
      <c r="E1774" s="302"/>
      <c r="K1774" s="303"/>
      <c r="L1774" s="303"/>
      <c r="M1774" s="303"/>
      <c r="AB1774" s="298"/>
      <c r="AC1774" s="297"/>
      <c r="AF1774" s="296"/>
      <c r="AG1774" s="297"/>
      <c r="AJ1774" s="298"/>
      <c r="AK1774" s="297"/>
      <c r="AN1774" s="298"/>
      <c r="AR1774" s="298"/>
    </row>
    <row r="1775" spans="2:44" s="290" customFormat="1" x14ac:dyDescent="0.2">
      <c r="B1775" s="302"/>
      <c r="D1775" s="302"/>
      <c r="E1775" s="302"/>
      <c r="K1775" s="303"/>
      <c r="L1775" s="303"/>
      <c r="M1775" s="303"/>
      <c r="AB1775" s="298"/>
      <c r="AC1775" s="297"/>
      <c r="AF1775" s="296"/>
      <c r="AG1775" s="297"/>
      <c r="AJ1775" s="298"/>
      <c r="AK1775" s="297"/>
      <c r="AN1775" s="298"/>
      <c r="AR1775" s="298"/>
    </row>
    <row r="1776" spans="2:44" s="290" customFormat="1" x14ac:dyDescent="0.2">
      <c r="B1776" s="302"/>
      <c r="D1776" s="302"/>
      <c r="E1776" s="302"/>
      <c r="K1776" s="303"/>
      <c r="L1776" s="303"/>
      <c r="M1776" s="303"/>
      <c r="AB1776" s="298"/>
      <c r="AC1776" s="297"/>
      <c r="AF1776" s="296"/>
      <c r="AG1776" s="297"/>
      <c r="AJ1776" s="298"/>
      <c r="AK1776" s="297"/>
      <c r="AN1776" s="298"/>
      <c r="AR1776" s="298"/>
    </row>
    <row r="1777" spans="2:44" s="290" customFormat="1" x14ac:dyDescent="0.2">
      <c r="B1777" s="302"/>
      <c r="D1777" s="302"/>
      <c r="E1777" s="302"/>
      <c r="K1777" s="303"/>
      <c r="L1777" s="303"/>
      <c r="M1777" s="303"/>
      <c r="AB1777" s="298"/>
      <c r="AC1777" s="297"/>
      <c r="AF1777" s="296"/>
      <c r="AG1777" s="297"/>
      <c r="AJ1777" s="298"/>
      <c r="AK1777" s="297"/>
      <c r="AN1777" s="298"/>
      <c r="AR1777" s="298"/>
    </row>
    <row r="1778" spans="2:44" s="290" customFormat="1" x14ac:dyDescent="0.2">
      <c r="B1778" s="302"/>
      <c r="D1778" s="302"/>
      <c r="E1778" s="302"/>
      <c r="K1778" s="303"/>
      <c r="L1778" s="303"/>
      <c r="M1778" s="303"/>
      <c r="AB1778" s="298"/>
      <c r="AC1778" s="297"/>
      <c r="AF1778" s="296"/>
      <c r="AG1778" s="297"/>
      <c r="AJ1778" s="298"/>
      <c r="AK1778" s="297"/>
      <c r="AN1778" s="298"/>
      <c r="AR1778" s="298"/>
    </row>
    <row r="1779" spans="2:44" s="290" customFormat="1" x14ac:dyDescent="0.2">
      <c r="B1779" s="302"/>
      <c r="D1779" s="302"/>
      <c r="E1779" s="302"/>
      <c r="K1779" s="303"/>
      <c r="L1779" s="303"/>
      <c r="M1779" s="303"/>
      <c r="AB1779" s="298"/>
      <c r="AC1779" s="297"/>
      <c r="AF1779" s="296"/>
      <c r="AG1779" s="297"/>
      <c r="AJ1779" s="298"/>
      <c r="AK1779" s="297"/>
      <c r="AN1779" s="298"/>
      <c r="AR1779" s="298"/>
    </row>
    <row r="1780" spans="2:44" s="290" customFormat="1" x14ac:dyDescent="0.2">
      <c r="B1780" s="302"/>
      <c r="D1780" s="302"/>
      <c r="E1780" s="302"/>
      <c r="K1780" s="303"/>
      <c r="L1780" s="303"/>
      <c r="M1780" s="303"/>
      <c r="AB1780" s="298"/>
      <c r="AC1780" s="297"/>
      <c r="AF1780" s="296"/>
      <c r="AG1780" s="297"/>
      <c r="AJ1780" s="298"/>
      <c r="AK1780" s="297"/>
      <c r="AN1780" s="298"/>
      <c r="AR1780" s="298"/>
    </row>
    <row r="1781" spans="2:44" s="290" customFormat="1" x14ac:dyDescent="0.2">
      <c r="B1781" s="302"/>
      <c r="D1781" s="302"/>
      <c r="E1781" s="302"/>
      <c r="K1781" s="303"/>
      <c r="L1781" s="303"/>
      <c r="M1781" s="303"/>
      <c r="AB1781" s="298"/>
      <c r="AC1781" s="297"/>
      <c r="AF1781" s="296"/>
      <c r="AG1781" s="297"/>
      <c r="AJ1781" s="298"/>
      <c r="AK1781" s="297"/>
      <c r="AN1781" s="298"/>
      <c r="AR1781" s="298"/>
    </row>
    <row r="1782" spans="2:44" s="290" customFormat="1" x14ac:dyDescent="0.2">
      <c r="B1782" s="302"/>
      <c r="D1782" s="302"/>
      <c r="E1782" s="302"/>
      <c r="K1782" s="303"/>
      <c r="L1782" s="303"/>
      <c r="M1782" s="303"/>
      <c r="AB1782" s="298"/>
      <c r="AC1782" s="297"/>
      <c r="AF1782" s="296"/>
      <c r="AG1782" s="297"/>
      <c r="AJ1782" s="298"/>
      <c r="AK1782" s="297"/>
      <c r="AN1782" s="298"/>
      <c r="AR1782" s="298"/>
    </row>
    <row r="1783" spans="2:44" s="290" customFormat="1" x14ac:dyDescent="0.2">
      <c r="B1783" s="302"/>
      <c r="D1783" s="302"/>
      <c r="E1783" s="302"/>
      <c r="K1783" s="303"/>
      <c r="L1783" s="303"/>
      <c r="M1783" s="303"/>
      <c r="AB1783" s="298"/>
      <c r="AC1783" s="297"/>
      <c r="AF1783" s="296"/>
      <c r="AG1783" s="297"/>
      <c r="AJ1783" s="298"/>
      <c r="AK1783" s="297"/>
      <c r="AN1783" s="298"/>
      <c r="AR1783" s="298"/>
    </row>
    <row r="1784" spans="2:44" s="290" customFormat="1" x14ac:dyDescent="0.2">
      <c r="B1784" s="302"/>
      <c r="D1784" s="302"/>
      <c r="E1784" s="302"/>
      <c r="K1784" s="303"/>
      <c r="L1784" s="303"/>
      <c r="M1784" s="303"/>
      <c r="AB1784" s="298"/>
      <c r="AC1784" s="297"/>
      <c r="AF1784" s="296"/>
      <c r="AG1784" s="297"/>
      <c r="AJ1784" s="298"/>
      <c r="AK1784" s="297"/>
      <c r="AN1784" s="298"/>
      <c r="AR1784" s="298"/>
    </row>
    <row r="1785" spans="2:44" s="290" customFormat="1" x14ac:dyDescent="0.2">
      <c r="B1785" s="302"/>
      <c r="D1785" s="302"/>
      <c r="E1785" s="302"/>
      <c r="K1785" s="303"/>
      <c r="L1785" s="303"/>
      <c r="M1785" s="303"/>
      <c r="AB1785" s="298"/>
      <c r="AC1785" s="297"/>
      <c r="AF1785" s="296"/>
      <c r="AG1785" s="297"/>
      <c r="AJ1785" s="298"/>
      <c r="AK1785" s="297"/>
      <c r="AN1785" s="298"/>
      <c r="AR1785" s="298"/>
    </row>
    <row r="1786" spans="2:44" s="290" customFormat="1" x14ac:dyDescent="0.2">
      <c r="B1786" s="302"/>
      <c r="D1786" s="302"/>
      <c r="E1786" s="302"/>
      <c r="K1786" s="303"/>
      <c r="L1786" s="303"/>
      <c r="M1786" s="303"/>
      <c r="AB1786" s="298"/>
      <c r="AC1786" s="297"/>
      <c r="AF1786" s="296"/>
      <c r="AG1786" s="297"/>
      <c r="AJ1786" s="298"/>
      <c r="AK1786" s="297"/>
      <c r="AN1786" s="298"/>
      <c r="AR1786" s="298"/>
    </row>
    <row r="1787" spans="2:44" s="290" customFormat="1" x14ac:dyDescent="0.2">
      <c r="B1787" s="302"/>
      <c r="D1787" s="302"/>
      <c r="E1787" s="302"/>
      <c r="K1787" s="303"/>
      <c r="L1787" s="303"/>
      <c r="M1787" s="303"/>
      <c r="AB1787" s="298"/>
      <c r="AC1787" s="297"/>
      <c r="AF1787" s="296"/>
      <c r="AG1787" s="297"/>
      <c r="AJ1787" s="298"/>
      <c r="AK1787" s="297"/>
      <c r="AN1787" s="298"/>
      <c r="AR1787" s="298"/>
    </row>
    <row r="1788" spans="2:44" s="290" customFormat="1" x14ac:dyDescent="0.2">
      <c r="B1788" s="302"/>
      <c r="D1788" s="302"/>
      <c r="E1788" s="302"/>
      <c r="K1788" s="303"/>
      <c r="L1788" s="303"/>
      <c r="M1788" s="303"/>
      <c r="AB1788" s="298"/>
      <c r="AC1788" s="297"/>
      <c r="AF1788" s="296"/>
      <c r="AG1788" s="297"/>
      <c r="AJ1788" s="298"/>
      <c r="AK1788" s="297"/>
      <c r="AN1788" s="298"/>
      <c r="AR1788" s="298"/>
    </row>
    <row r="1789" spans="2:44" s="290" customFormat="1" x14ac:dyDescent="0.2">
      <c r="B1789" s="302"/>
      <c r="D1789" s="302"/>
      <c r="E1789" s="302"/>
      <c r="K1789" s="303"/>
      <c r="L1789" s="303"/>
      <c r="M1789" s="303"/>
      <c r="AB1789" s="298"/>
      <c r="AC1789" s="297"/>
      <c r="AF1789" s="296"/>
      <c r="AG1789" s="297"/>
      <c r="AJ1789" s="298"/>
      <c r="AK1789" s="297"/>
      <c r="AN1789" s="298"/>
      <c r="AR1789" s="298"/>
    </row>
    <row r="1790" spans="2:44" s="290" customFormat="1" x14ac:dyDescent="0.2">
      <c r="B1790" s="302"/>
      <c r="D1790" s="302"/>
      <c r="E1790" s="302"/>
      <c r="K1790" s="303"/>
      <c r="L1790" s="303"/>
      <c r="M1790" s="303"/>
      <c r="AB1790" s="298"/>
      <c r="AC1790" s="297"/>
      <c r="AF1790" s="296"/>
      <c r="AG1790" s="297"/>
      <c r="AJ1790" s="298"/>
      <c r="AK1790" s="297"/>
      <c r="AN1790" s="298"/>
      <c r="AR1790" s="298"/>
    </row>
    <row r="1791" spans="2:44" s="290" customFormat="1" x14ac:dyDescent="0.2">
      <c r="B1791" s="302"/>
      <c r="D1791" s="302"/>
      <c r="E1791" s="302"/>
      <c r="K1791" s="303"/>
      <c r="L1791" s="303"/>
      <c r="M1791" s="303"/>
      <c r="AB1791" s="298"/>
      <c r="AC1791" s="297"/>
      <c r="AF1791" s="296"/>
      <c r="AG1791" s="297"/>
      <c r="AJ1791" s="298"/>
      <c r="AK1791" s="297"/>
      <c r="AN1791" s="298"/>
      <c r="AR1791" s="298"/>
    </row>
    <row r="1792" spans="2:44" s="290" customFormat="1" x14ac:dyDescent="0.2">
      <c r="B1792" s="302"/>
      <c r="D1792" s="302"/>
      <c r="E1792" s="302"/>
      <c r="K1792" s="303"/>
      <c r="L1792" s="303"/>
      <c r="M1792" s="303"/>
      <c r="AB1792" s="298"/>
      <c r="AC1792" s="297"/>
      <c r="AF1792" s="296"/>
      <c r="AG1792" s="297"/>
      <c r="AJ1792" s="298"/>
      <c r="AK1792" s="297"/>
      <c r="AN1792" s="298"/>
      <c r="AR1792" s="298"/>
    </row>
    <row r="1793" spans="2:44" s="290" customFormat="1" x14ac:dyDescent="0.2">
      <c r="B1793" s="302"/>
      <c r="D1793" s="302"/>
      <c r="E1793" s="302"/>
      <c r="K1793" s="303"/>
      <c r="L1793" s="303"/>
      <c r="M1793" s="303"/>
      <c r="AB1793" s="298"/>
      <c r="AC1793" s="297"/>
      <c r="AF1793" s="296"/>
      <c r="AG1793" s="297"/>
      <c r="AJ1793" s="298"/>
      <c r="AK1793" s="297"/>
      <c r="AN1793" s="298"/>
      <c r="AR1793" s="298"/>
    </row>
    <row r="1794" spans="2:44" s="290" customFormat="1" x14ac:dyDescent="0.2">
      <c r="B1794" s="302"/>
      <c r="D1794" s="302"/>
      <c r="E1794" s="302"/>
      <c r="K1794" s="303"/>
      <c r="L1794" s="303"/>
      <c r="M1794" s="303"/>
      <c r="AB1794" s="298"/>
      <c r="AC1794" s="297"/>
      <c r="AF1794" s="296"/>
      <c r="AG1794" s="297"/>
      <c r="AJ1794" s="298"/>
      <c r="AK1794" s="297"/>
      <c r="AN1794" s="298"/>
      <c r="AR1794" s="298"/>
    </row>
    <row r="1795" spans="2:44" s="290" customFormat="1" x14ac:dyDescent="0.2">
      <c r="B1795" s="302"/>
      <c r="D1795" s="302"/>
      <c r="E1795" s="302"/>
      <c r="K1795" s="303"/>
      <c r="L1795" s="303"/>
      <c r="M1795" s="303"/>
      <c r="AB1795" s="298"/>
      <c r="AC1795" s="297"/>
      <c r="AF1795" s="296"/>
      <c r="AG1795" s="297"/>
      <c r="AJ1795" s="298"/>
      <c r="AK1795" s="297"/>
      <c r="AN1795" s="298"/>
      <c r="AR1795" s="298"/>
    </row>
    <row r="1796" spans="2:44" s="290" customFormat="1" x14ac:dyDescent="0.2">
      <c r="B1796" s="302"/>
      <c r="D1796" s="302"/>
      <c r="E1796" s="302"/>
      <c r="K1796" s="303"/>
      <c r="L1796" s="303"/>
      <c r="M1796" s="303"/>
      <c r="AB1796" s="298"/>
      <c r="AC1796" s="297"/>
      <c r="AF1796" s="296"/>
      <c r="AG1796" s="297"/>
      <c r="AJ1796" s="298"/>
      <c r="AK1796" s="297"/>
      <c r="AN1796" s="298"/>
      <c r="AR1796" s="298"/>
    </row>
    <row r="1797" spans="2:44" s="290" customFormat="1" x14ac:dyDescent="0.2">
      <c r="B1797" s="302"/>
      <c r="D1797" s="302"/>
      <c r="E1797" s="302"/>
      <c r="K1797" s="303"/>
      <c r="L1797" s="303"/>
      <c r="M1797" s="303"/>
      <c r="AB1797" s="298"/>
      <c r="AC1797" s="297"/>
      <c r="AF1797" s="296"/>
      <c r="AG1797" s="297"/>
      <c r="AJ1797" s="298"/>
      <c r="AK1797" s="297"/>
      <c r="AN1797" s="298"/>
      <c r="AR1797" s="298"/>
    </row>
    <row r="1798" spans="2:44" s="290" customFormat="1" x14ac:dyDescent="0.2">
      <c r="B1798" s="302"/>
      <c r="D1798" s="302"/>
      <c r="E1798" s="302"/>
      <c r="K1798" s="303"/>
      <c r="L1798" s="303"/>
      <c r="M1798" s="303"/>
      <c r="AB1798" s="298"/>
      <c r="AC1798" s="297"/>
      <c r="AF1798" s="296"/>
      <c r="AG1798" s="297"/>
      <c r="AJ1798" s="298"/>
      <c r="AK1798" s="297"/>
      <c r="AN1798" s="298"/>
      <c r="AR1798" s="298"/>
    </row>
    <row r="1799" spans="2:44" s="290" customFormat="1" x14ac:dyDescent="0.2">
      <c r="B1799" s="302"/>
      <c r="D1799" s="302"/>
      <c r="E1799" s="302"/>
      <c r="K1799" s="303"/>
      <c r="L1799" s="303"/>
      <c r="M1799" s="303"/>
      <c r="AB1799" s="298"/>
      <c r="AC1799" s="297"/>
      <c r="AF1799" s="296"/>
      <c r="AG1799" s="297"/>
      <c r="AJ1799" s="298"/>
      <c r="AK1799" s="297"/>
      <c r="AN1799" s="298"/>
      <c r="AR1799" s="298"/>
    </row>
    <row r="1800" spans="2:44" s="290" customFormat="1" x14ac:dyDescent="0.2">
      <c r="B1800" s="302"/>
      <c r="D1800" s="302"/>
      <c r="E1800" s="302"/>
      <c r="K1800" s="303"/>
      <c r="L1800" s="303"/>
      <c r="M1800" s="303"/>
      <c r="AB1800" s="298"/>
      <c r="AC1800" s="297"/>
      <c r="AF1800" s="296"/>
      <c r="AG1800" s="297"/>
      <c r="AJ1800" s="298"/>
      <c r="AK1800" s="297"/>
      <c r="AN1800" s="298"/>
      <c r="AR1800" s="298"/>
    </row>
    <row r="1801" spans="2:44" s="290" customFormat="1" x14ac:dyDescent="0.2">
      <c r="B1801" s="302"/>
      <c r="D1801" s="302"/>
      <c r="E1801" s="302"/>
      <c r="K1801" s="303"/>
      <c r="L1801" s="303"/>
      <c r="M1801" s="303"/>
      <c r="AB1801" s="298"/>
      <c r="AC1801" s="297"/>
      <c r="AF1801" s="296"/>
      <c r="AG1801" s="297"/>
      <c r="AJ1801" s="298"/>
      <c r="AK1801" s="297"/>
      <c r="AN1801" s="298"/>
      <c r="AR1801" s="298"/>
    </row>
    <row r="1802" spans="2:44" s="290" customFormat="1" x14ac:dyDescent="0.2">
      <c r="B1802" s="302"/>
      <c r="D1802" s="302"/>
      <c r="E1802" s="302"/>
      <c r="K1802" s="303"/>
      <c r="L1802" s="303"/>
      <c r="M1802" s="303"/>
      <c r="AB1802" s="298"/>
      <c r="AC1802" s="297"/>
      <c r="AF1802" s="296"/>
      <c r="AG1802" s="297"/>
      <c r="AJ1802" s="298"/>
      <c r="AK1802" s="297"/>
      <c r="AN1802" s="298"/>
      <c r="AR1802" s="298"/>
    </row>
    <row r="1803" spans="2:44" s="290" customFormat="1" x14ac:dyDescent="0.2">
      <c r="B1803" s="302"/>
      <c r="D1803" s="302"/>
      <c r="E1803" s="302"/>
      <c r="K1803" s="303"/>
      <c r="L1803" s="303"/>
      <c r="M1803" s="303"/>
      <c r="AB1803" s="298"/>
      <c r="AC1803" s="297"/>
      <c r="AF1803" s="296"/>
      <c r="AG1803" s="297"/>
      <c r="AJ1803" s="298"/>
      <c r="AK1803" s="297"/>
      <c r="AN1803" s="298"/>
      <c r="AR1803" s="298"/>
    </row>
    <row r="1804" spans="2:44" s="290" customFormat="1" x14ac:dyDescent="0.2">
      <c r="B1804" s="302"/>
      <c r="D1804" s="302"/>
      <c r="E1804" s="302"/>
      <c r="K1804" s="303"/>
      <c r="L1804" s="303"/>
      <c r="M1804" s="303"/>
      <c r="AB1804" s="298"/>
      <c r="AC1804" s="297"/>
      <c r="AF1804" s="296"/>
      <c r="AG1804" s="297"/>
      <c r="AJ1804" s="298"/>
      <c r="AK1804" s="297"/>
      <c r="AN1804" s="298"/>
      <c r="AR1804" s="298"/>
    </row>
    <row r="1805" spans="2:44" s="290" customFormat="1" x14ac:dyDescent="0.2">
      <c r="B1805" s="302"/>
      <c r="D1805" s="302"/>
      <c r="E1805" s="302"/>
      <c r="K1805" s="303"/>
      <c r="L1805" s="303"/>
      <c r="M1805" s="303"/>
      <c r="AB1805" s="298"/>
      <c r="AC1805" s="297"/>
      <c r="AF1805" s="296"/>
      <c r="AG1805" s="297"/>
      <c r="AJ1805" s="298"/>
      <c r="AK1805" s="297"/>
      <c r="AN1805" s="298"/>
      <c r="AR1805" s="298"/>
    </row>
    <row r="1806" spans="2:44" s="290" customFormat="1" x14ac:dyDescent="0.2">
      <c r="B1806" s="302"/>
      <c r="D1806" s="302"/>
      <c r="E1806" s="302"/>
      <c r="K1806" s="303"/>
      <c r="L1806" s="303"/>
      <c r="M1806" s="303"/>
      <c r="AB1806" s="298"/>
      <c r="AC1806" s="297"/>
      <c r="AF1806" s="296"/>
      <c r="AG1806" s="297"/>
      <c r="AJ1806" s="298"/>
      <c r="AK1806" s="297"/>
      <c r="AN1806" s="298"/>
      <c r="AR1806" s="298"/>
    </row>
    <row r="1807" spans="2:44" s="290" customFormat="1" x14ac:dyDescent="0.2">
      <c r="B1807" s="302"/>
      <c r="D1807" s="302"/>
      <c r="E1807" s="302"/>
      <c r="K1807" s="303"/>
      <c r="L1807" s="303"/>
      <c r="M1807" s="303"/>
      <c r="AB1807" s="298"/>
      <c r="AC1807" s="297"/>
      <c r="AF1807" s="296"/>
      <c r="AG1807" s="297"/>
      <c r="AJ1807" s="298"/>
      <c r="AK1807" s="297"/>
      <c r="AN1807" s="298"/>
      <c r="AR1807" s="298"/>
    </row>
    <row r="1808" spans="2:44" s="290" customFormat="1" x14ac:dyDescent="0.2">
      <c r="B1808" s="302"/>
      <c r="D1808" s="302"/>
      <c r="E1808" s="302"/>
      <c r="K1808" s="303"/>
      <c r="L1808" s="303"/>
      <c r="M1808" s="303"/>
      <c r="AB1808" s="298"/>
      <c r="AC1808" s="297"/>
      <c r="AF1808" s="296"/>
      <c r="AG1808" s="297"/>
      <c r="AJ1808" s="298"/>
      <c r="AK1808" s="297"/>
      <c r="AN1808" s="298"/>
      <c r="AR1808" s="298"/>
    </row>
    <row r="1809" spans="2:44" s="290" customFormat="1" x14ac:dyDescent="0.2">
      <c r="B1809" s="302"/>
      <c r="D1809" s="302"/>
      <c r="E1809" s="302"/>
      <c r="K1809" s="303"/>
      <c r="L1809" s="303"/>
      <c r="M1809" s="303"/>
      <c r="AB1809" s="298"/>
      <c r="AC1809" s="297"/>
      <c r="AF1809" s="296"/>
      <c r="AG1809" s="297"/>
      <c r="AJ1809" s="298"/>
      <c r="AK1809" s="297"/>
      <c r="AN1809" s="298"/>
      <c r="AR1809" s="298"/>
    </row>
    <row r="1810" spans="2:44" s="290" customFormat="1" x14ac:dyDescent="0.2">
      <c r="B1810" s="302"/>
      <c r="D1810" s="302"/>
      <c r="E1810" s="302"/>
      <c r="K1810" s="303"/>
      <c r="L1810" s="303"/>
      <c r="M1810" s="303"/>
      <c r="AB1810" s="298"/>
      <c r="AC1810" s="297"/>
      <c r="AF1810" s="296"/>
      <c r="AG1810" s="297"/>
      <c r="AJ1810" s="298"/>
      <c r="AK1810" s="297"/>
      <c r="AN1810" s="298"/>
      <c r="AR1810" s="298"/>
    </row>
    <row r="1811" spans="2:44" s="290" customFormat="1" x14ac:dyDescent="0.2">
      <c r="B1811" s="302"/>
      <c r="D1811" s="302"/>
      <c r="E1811" s="302"/>
      <c r="K1811" s="303"/>
      <c r="L1811" s="303"/>
      <c r="M1811" s="303"/>
      <c r="AB1811" s="298"/>
      <c r="AC1811" s="297"/>
      <c r="AF1811" s="296"/>
      <c r="AG1811" s="297"/>
      <c r="AJ1811" s="298"/>
      <c r="AK1811" s="297"/>
      <c r="AN1811" s="298"/>
      <c r="AR1811" s="298"/>
    </row>
    <row r="1812" spans="2:44" s="290" customFormat="1" x14ac:dyDescent="0.2">
      <c r="B1812" s="302"/>
      <c r="D1812" s="302"/>
      <c r="E1812" s="302"/>
      <c r="K1812" s="303"/>
      <c r="L1812" s="303"/>
      <c r="M1812" s="303"/>
      <c r="AB1812" s="298"/>
      <c r="AC1812" s="297"/>
      <c r="AF1812" s="296"/>
      <c r="AG1812" s="297"/>
      <c r="AJ1812" s="298"/>
      <c r="AK1812" s="297"/>
      <c r="AN1812" s="298"/>
      <c r="AR1812" s="298"/>
    </row>
    <row r="1813" spans="2:44" s="290" customFormat="1" x14ac:dyDescent="0.2">
      <c r="B1813" s="302"/>
      <c r="D1813" s="302"/>
      <c r="E1813" s="302"/>
      <c r="K1813" s="303"/>
      <c r="L1813" s="303"/>
      <c r="M1813" s="303"/>
      <c r="AB1813" s="298"/>
      <c r="AC1813" s="297"/>
      <c r="AF1813" s="296"/>
      <c r="AG1813" s="297"/>
      <c r="AJ1813" s="298"/>
      <c r="AK1813" s="297"/>
      <c r="AN1813" s="298"/>
      <c r="AR1813" s="298"/>
    </row>
    <row r="1814" spans="2:44" s="290" customFormat="1" x14ac:dyDescent="0.2">
      <c r="B1814" s="302"/>
      <c r="D1814" s="302"/>
      <c r="E1814" s="302"/>
      <c r="K1814" s="303"/>
      <c r="L1814" s="303"/>
      <c r="M1814" s="303"/>
      <c r="AB1814" s="298"/>
      <c r="AC1814" s="297"/>
      <c r="AF1814" s="296"/>
      <c r="AG1814" s="297"/>
      <c r="AJ1814" s="298"/>
      <c r="AK1814" s="297"/>
      <c r="AN1814" s="298"/>
      <c r="AR1814" s="298"/>
    </row>
    <row r="1815" spans="2:44" s="290" customFormat="1" x14ac:dyDescent="0.2">
      <c r="B1815" s="302"/>
      <c r="D1815" s="302"/>
      <c r="E1815" s="302"/>
      <c r="K1815" s="303"/>
      <c r="L1815" s="303"/>
      <c r="M1815" s="303"/>
      <c r="AB1815" s="298"/>
      <c r="AC1815" s="297"/>
      <c r="AF1815" s="296"/>
      <c r="AG1815" s="297"/>
      <c r="AJ1815" s="298"/>
      <c r="AK1815" s="297"/>
      <c r="AN1815" s="298"/>
      <c r="AR1815" s="298"/>
    </row>
    <row r="1816" spans="2:44" s="290" customFormat="1" x14ac:dyDescent="0.2">
      <c r="B1816" s="302"/>
      <c r="D1816" s="302"/>
      <c r="E1816" s="302"/>
      <c r="K1816" s="303"/>
      <c r="L1816" s="303"/>
      <c r="M1816" s="303"/>
      <c r="AB1816" s="298"/>
      <c r="AC1816" s="297"/>
      <c r="AF1816" s="296"/>
      <c r="AG1816" s="297"/>
      <c r="AJ1816" s="298"/>
      <c r="AK1816" s="297"/>
      <c r="AN1816" s="298"/>
      <c r="AR1816" s="298"/>
    </row>
    <row r="1817" spans="2:44" s="290" customFormat="1" x14ac:dyDescent="0.2">
      <c r="B1817" s="302"/>
      <c r="D1817" s="302"/>
      <c r="E1817" s="302"/>
      <c r="K1817" s="303"/>
      <c r="L1817" s="303"/>
      <c r="M1817" s="303"/>
      <c r="AB1817" s="298"/>
      <c r="AC1817" s="297"/>
      <c r="AF1817" s="296"/>
      <c r="AG1817" s="297"/>
      <c r="AJ1817" s="298"/>
      <c r="AK1817" s="297"/>
      <c r="AN1817" s="298"/>
      <c r="AR1817" s="298"/>
    </row>
    <row r="1818" spans="2:44" s="290" customFormat="1" x14ac:dyDescent="0.2">
      <c r="B1818" s="302"/>
      <c r="D1818" s="302"/>
      <c r="E1818" s="302"/>
      <c r="K1818" s="303"/>
      <c r="L1818" s="303"/>
      <c r="M1818" s="303"/>
      <c r="AB1818" s="298"/>
      <c r="AC1818" s="297"/>
      <c r="AF1818" s="296"/>
      <c r="AG1818" s="297"/>
      <c r="AJ1818" s="298"/>
      <c r="AK1818" s="297"/>
      <c r="AN1818" s="298"/>
      <c r="AR1818" s="298"/>
    </row>
    <row r="1819" spans="2:44" s="290" customFormat="1" x14ac:dyDescent="0.2">
      <c r="B1819" s="302"/>
      <c r="D1819" s="302"/>
      <c r="E1819" s="302"/>
      <c r="K1819" s="303"/>
      <c r="L1819" s="303"/>
      <c r="M1819" s="303"/>
      <c r="AB1819" s="298"/>
      <c r="AC1819" s="297"/>
      <c r="AF1819" s="296"/>
      <c r="AG1819" s="297"/>
      <c r="AJ1819" s="298"/>
      <c r="AK1819" s="297"/>
      <c r="AN1819" s="298"/>
      <c r="AR1819" s="298"/>
    </row>
    <row r="1820" spans="2:44" s="290" customFormat="1" x14ac:dyDescent="0.2">
      <c r="B1820" s="302"/>
      <c r="D1820" s="302"/>
      <c r="E1820" s="302"/>
      <c r="K1820" s="303"/>
      <c r="L1820" s="303"/>
      <c r="M1820" s="303"/>
      <c r="AB1820" s="298"/>
      <c r="AC1820" s="297"/>
      <c r="AF1820" s="296"/>
      <c r="AG1820" s="297"/>
      <c r="AJ1820" s="298"/>
      <c r="AK1820" s="297"/>
      <c r="AN1820" s="298"/>
      <c r="AR1820" s="298"/>
    </row>
    <row r="1821" spans="2:44" s="290" customFormat="1" x14ac:dyDescent="0.2">
      <c r="B1821" s="302"/>
      <c r="D1821" s="302"/>
      <c r="E1821" s="302"/>
      <c r="K1821" s="303"/>
      <c r="L1821" s="303"/>
      <c r="M1821" s="303"/>
      <c r="AB1821" s="298"/>
      <c r="AC1821" s="297"/>
      <c r="AF1821" s="296"/>
      <c r="AG1821" s="297"/>
      <c r="AJ1821" s="298"/>
      <c r="AK1821" s="297"/>
      <c r="AN1821" s="298"/>
      <c r="AR1821" s="298"/>
    </row>
    <row r="1822" spans="2:44" s="290" customFormat="1" x14ac:dyDescent="0.2">
      <c r="B1822" s="302"/>
      <c r="D1822" s="302"/>
      <c r="E1822" s="302"/>
      <c r="K1822" s="303"/>
      <c r="L1822" s="303"/>
      <c r="M1822" s="303"/>
      <c r="AB1822" s="298"/>
      <c r="AC1822" s="297"/>
      <c r="AF1822" s="296"/>
      <c r="AG1822" s="297"/>
      <c r="AJ1822" s="298"/>
      <c r="AK1822" s="297"/>
      <c r="AN1822" s="298"/>
      <c r="AR1822" s="298"/>
    </row>
    <row r="1823" spans="2:44" s="290" customFormat="1" x14ac:dyDescent="0.2">
      <c r="B1823" s="302"/>
      <c r="D1823" s="302"/>
      <c r="E1823" s="302"/>
      <c r="K1823" s="303"/>
      <c r="L1823" s="303"/>
      <c r="M1823" s="303"/>
      <c r="AB1823" s="298"/>
      <c r="AC1823" s="297"/>
      <c r="AF1823" s="296"/>
      <c r="AG1823" s="297"/>
      <c r="AJ1823" s="298"/>
      <c r="AK1823" s="297"/>
      <c r="AN1823" s="298"/>
      <c r="AR1823" s="298"/>
    </row>
    <row r="1824" spans="2:44" s="290" customFormat="1" x14ac:dyDescent="0.2">
      <c r="B1824" s="302"/>
      <c r="D1824" s="302"/>
      <c r="E1824" s="302"/>
      <c r="K1824" s="303"/>
      <c r="L1824" s="303"/>
      <c r="M1824" s="303"/>
      <c r="AB1824" s="298"/>
      <c r="AC1824" s="297"/>
      <c r="AF1824" s="296"/>
      <c r="AG1824" s="297"/>
      <c r="AJ1824" s="298"/>
      <c r="AK1824" s="297"/>
      <c r="AN1824" s="298"/>
      <c r="AR1824" s="298"/>
    </row>
    <row r="1825" spans="2:44" s="290" customFormat="1" x14ac:dyDescent="0.2">
      <c r="B1825" s="302"/>
      <c r="D1825" s="302"/>
      <c r="E1825" s="302"/>
      <c r="K1825" s="303"/>
      <c r="L1825" s="303"/>
      <c r="M1825" s="303"/>
      <c r="AB1825" s="298"/>
      <c r="AC1825" s="297"/>
      <c r="AF1825" s="296"/>
      <c r="AG1825" s="297"/>
      <c r="AJ1825" s="298"/>
      <c r="AK1825" s="297"/>
      <c r="AN1825" s="298"/>
      <c r="AR1825" s="298"/>
    </row>
    <row r="1826" spans="2:44" s="290" customFormat="1" x14ac:dyDescent="0.2">
      <c r="B1826" s="302"/>
      <c r="D1826" s="302"/>
      <c r="E1826" s="302"/>
      <c r="K1826" s="303"/>
      <c r="L1826" s="303"/>
      <c r="M1826" s="303"/>
      <c r="AB1826" s="298"/>
      <c r="AC1826" s="297"/>
      <c r="AF1826" s="296"/>
      <c r="AG1826" s="297"/>
      <c r="AJ1826" s="298"/>
      <c r="AK1826" s="297"/>
      <c r="AN1826" s="298"/>
      <c r="AR1826" s="298"/>
    </row>
    <row r="1827" spans="2:44" s="290" customFormat="1" x14ac:dyDescent="0.2">
      <c r="B1827" s="302"/>
      <c r="D1827" s="302"/>
      <c r="E1827" s="302"/>
      <c r="K1827" s="303"/>
      <c r="L1827" s="303"/>
      <c r="M1827" s="303"/>
      <c r="AB1827" s="298"/>
      <c r="AC1827" s="297"/>
      <c r="AF1827" s="296"/>
      <c r="AG1827" s="297"/>
      <c r="AJ1827" s="298"/>
      <c r="AK1827" s="297"/>
      <c r="AN1827" s="298"/>
      <c r="AR1827" s="298"/>
    </row>
    <row r="1828" spans="2:44" s="290" customFormat="1" x14ac:dyDescent="0.2">
      <c r="B1828" s="302"/>
      <c r="D1828" s="302"/>
      <c r="E1828" s="302"/>
      <c r="K1828" s="303"/>
      <c r="L1828" s="303"/>
      <c r="M1828" s="303"/>
      <c r="AB1828" s="298"/>
      <c r="AC1828" s="297"/>
      <c r="AF1828" s="296"/>
      <c r="AG1828" s="297"/>
      <c r="AJ1828" s="298"/>
      <c r="AK1828" s="297"/>
      <c r="AN1828" s="298"/>
      <c r="AR1828" s="298"/>
    </row>
    <row r="1829" spans="2:44" s="290" customFormat="1" x14ac:dyDescent="0.2">
      <c r="B1829" s="302"/>
      <c r="D1829" s="302"/>
      <c r="E1829" s="302"/>
      <c r="K1829" s="303"/>
      <c r="L1829" s="303"/>
      <c r="M1829" s="303"/>
      <c r="AB1829" s="298"/>
      <c r="AC1829" s="297"/>
      <c r="AF1829" s="296"/>
      <c r="AG1829" s="297"/>
      <c r="AJ1829" s="298"/>
      <c r="AK1829" s="297"/>
      <c r="AN1829" s="298"/>
      <c r="AR1829" s="298"/>
    </row>
    <row r="1830" spans="2:44" s="290" customFormat="1" x14ac:dyDescent="0.2">
      <c r="B1830" s="302"/>
      <c r="D1830" s="302"/>
      <c r="E1830" s="302"/>
      <c r="K1830" s="303"/>
      <c r="L1830" s="303"/>
      <c r="M1830" s="303"/>
      <c r="AB1830" s="298"/>
      <c r="AC1830" s="297"/>
      <c r="AF1830" s="296"/>
      <c r="AG1830" s="297"/>
      <c r="AJ1830" s="298"/>
      <c r="AK1830" s="297"/>
      <c r="AN1830" s="298"/>
      <c r="AR1830" s="298"/>
    </row>
    <row r="1831" spans="2:44" s="290" customFormat="1" x14ac:dyDescent="0.2">
      <c r="B1831" s="302"/>
      <c r="D1831" s="302"/>
      <c r="E1831" s="302"/>
      <c r="K1831" s="303"/>
      <c r="L1831" s="303"/>
      <c r="M1831" s="303"/>
      <c r="AB1831" s="298"/>
      <c r="AC1831" s="297"/>
      <c r="AF1831" s="296"/>
      <c r="AG1831" s="297"/>
      <c r="AJ1831" s="298"/>
      <c r="AK1831" s="297"/>
      <c r="AN1831" s="298"/>
      <c r="AR1831" s="298"/>
    </row>
    <row r="1832" spans="2:44" s="290" customFormat="1" x14ac:dyDescent="0.2">
      <c r="B1832" s="302"/>
      <c r="D1832" s="302"/>
      <c r="E1832" s="302"/>
      <c r="K1832" s="303"/>
      <c r="L1832" s="303"/>
      <c r="M1832" s="303"/>
      <c r="AB1832" s="298"/>
      <c r="AC1832" s="297"/>
      <c r="AF1832" s="296"/>
      <c r="AG1832" s="297"/>
      <c r="AJ1832" s="298"/>
      <c r="AK1832" s="297"/>
      <c r="AN1832" s="298"/>
      <c r="AR1832" s="298"/>
    </row>
    <row r="1833" spans="2:44" s="290" customFormat="1" x14ac:dyDescent="0.2">
      <c r="B1833" s="302"/>
      <c r="D1833" s="302"/>
      <c r="E1833" s="302"/>
      <c r="K1833" s="303"/>
      <c r="L1833" s="303"/>
      <c r="M1833" s="303"/>
      <c r="AB1833" s="298"/>
      <c r="AC1833" s="297"/>
      <c r="AF1833" s="296"/>
      <c r="AG1833" s="297"/>
      <c r="AJ1833" s="298"/>
      <c r="AK1833" s="297"/>
      <c r="AN1833" s="298"/>
      <c r="AR1833" s="298"/>
    </row>
    <row r="1834" spans="2:44" s="290" customFormat="1" x14ac:dyDescent="0.2">
      <c r="B1834" s="302"/>
      <c r="D1834" s="302"/>
      <c r="E1834" s="302"/>
      <c r="K1834" s="303"/>
      <c r="L1834" s="303"/>
      <c r="M1834" s="303"/>
      <c r="AB1834" s="298"/>
      <c r="AC1834" s="297"/>
      <c r="AF1834" s="296"/>
      <c r="AG1834" s="297"/>
      <c r="AJ1834" s="298"/>
      <c r="AK1834" s="297"/>
      <c r="AN1834" s="298"/>
      <c r="AR1834" s="298"/>
    </row>
    <row r="1835" spans="2:44" s="290" customFormat="1" x14ac:dyDescent="0.2">
      <c r="B1835" s="302"/>
      <c r="D1835" s="302"/>
      <c r="E1835" s="302"/>
      <c r="K1835" s="303"/>
      <c r="L1835" s="303"/>
      <c r="M1835" s="303"/>
      <c r="AB1835" s="298"/>
      <c r="AC1835" s="297"/>
      <c r="AF1835" s="296"/>
      <c r="AG1835" s="297"/>
      <c r="AJ1835" s="298"/>
      <c r="AK1835" s="297"/>
      <c r="AN1835" s="298"/>
      <c r="AR1835" s="298"/>
    </row>
    <row r="1836" spans="2:44" s="290" customFormat="1" x14ac:dyDescent="0.2">
      <c r="B1836" s="302"/>
      <c r="D1836" s="302"/>
      <c r="E1836" s="302"/>
      <c r="K1836" s="303"/>
      <c r="L1836" s="303"/>
      <c r="M1836" s="303"/>
      <c r="AB1836" s="298"/>
      <c r="AC1836" s="297"/>
      <c r="AF1836" s="296"/>
      <c r="AG1836" s="297"/>
      <c r="AJ1836" s="298"/>
      <c r="AK1836" s="297"/>
      <c r="AN1836" s="298"/>
      <c r="AR1836" s="298"/>
    </row>
    <row r="1837" spans="2:44" s="290" customFormat="1" x14ac:dyDescent="0.2">
      <c r="B1837" s="302"/>
      <c r="D1837" s="302"/>
      <c r="E1837" s="302"/>
      <c r="K1837" s="303"/>
      <c r="L1837" s="303"/>
      <c r="M1837" s="303"/>
      <c r="AB1837" s="298"/>
      <c r="AC1837" s="297"/>
      <c r="AF1837" s="296"/>
      <c r="AG1837" s="297"/>
      <c r="AJ1837" s="298"/>
      <c r="AK1837" s="297"/>
      <c r="AN1837" s="298"/>
      <c r="AR1837" s="298"/>
    </row>
    <row r="1838" spans="2:44" s="290" customFormat="1" x14ac:dyDescent="0.2">
      <c r="B1838" s="302"/>
      <c r="D1838" s="302"/>
      <c r="E1838" s="302"/>
      <c r="K1838" s="303"/>
      <c r="L1838" s="303"/>
      <c r="M1838" s="303"/>
      <c r="AB1838" s="298"/>
      <c r="AC1838" s="297"/>
      <c r="AF1838" s="296"/>
      <c r="AG1838" s="297"/>
      <c r="AJ1838" s="298"/>
      <c r="AK1838" s="297"/>
      <c r="AN1838" s="298"/>
      <c r="AR1838" s="298"/>
    </row>
    <row r="1839" spans="2:44" s="290" customFormat="1" x14ac:dyDescent="0.2">
      <c r="B1839" s="302"/>
      <c r="D1839" s="302"/>
      <c r="E1839" s="302"/>
      <c r="K1839" s="303"/>
      <c r="L1839" s="303"/>
      <c r="M1839" s="303"/>
      <c r="AB1839" s="298"/>
      <c r="AC1839" s="297"/>
      <c r="AF1839" s="296"/>
      <c r="AG1839" s="297"/>
      <c r="AJ1839" s="298"/>
      <c r="AK1839" s="297"/>
      <c r="AN1839" s="298"/>
      <c r="AR1839" s="298"/>
    </row>
    <row r="1840" spans="2:44" s="290" customFormat="1" x14ac:dyDescent="0.2">
      <c r="B1840" s="302"/>
      <c r="D1840" s="302"/>
      <c r="E1840" s="302"/>
      <c r="K1840" s="303"/>
      <c r="L1840" s="303"/>
      <c r="M1840" s="303"/>
      <c r="AB1840" s="298"/>
      <c r="AC1840" s="297"/>
      <c r="AF1840" s="296"/>
      <c r="AG1840" s="297"/>
      <c r="AJ1840" s="298"/>
      <c r="AK1840" s="297"/>
      <c r="AN1840" s="298"/>
      <c r="AR1840" s="298"/>
    </row>
    <row r="1841" spans="2:44" s="290" customFormat="1" x14ac:dyDescent="0.2">
      <c r="B1841" s="302"/>
      <c r="D1841" s="302"/>
      <c r="E1841" s="302"/>
      <c r="K1841" s="303"/>
      <c r="L1841" s="303"/>
      <c r="M1841" s="303"/>
      <c r="AB1841" s="298"/>
      <c r="AC1841" s="297"/>
      <c r="AF1841" s="296"/>
      <c r="AG1841" s="297"/>
      <c r="AJ1841" s="298"/>
      <c r="AK1841" s="297"/>
      <c r="AN1841" s="298"/>
      <c r="AR1841" s="298"/>
    </row>
    <row r="1842" spans="2:44" s="290" customFormat="1" x14ac:dyDescent="0.2">
      <c r="B1842" s="302"/>
      <c r="D1842" s="302"/>
      <c r="E1842" s="302"/>
      <c r="K1842" s="303"/>
      <c r="L1842" s="303"/>
      <c r="M1842" s="303"/>
      <c r="AB1842" s="298"/>
      <c r="AC1842" s="297"/>
      <c r="AF1842" s="296"/>
      <c r="AG1842" s="297"/>
      <c r="AJ1842" s="298"/>
      <c r="AK1842" s="297"/>
      <c r="AN1842" s="298"/>
      <c r="AR1842" s="298"/>
    </row>
    <row r="1843" spans="2:44" s="290" customFormat="1" x14ac:dyDescent="0.2">
      <c r="B1843" s="302"/>
      <c r="D1843" s="302"/>
      <c r="E1843" s="302"/>
      <c r="K1843" s="303"/>
      <c r="L1843" s="303"/>
      <c r="M1843" s="303"/>
      <c r="AB1843" s="298"/>
      <c r="AC1843" s="297"/>
      <c r="AF1843" s="296"/>
      <c r="AG1843" s="297"/>
      <c r="AJ1843" s="298"/>
      <c r="AK1843" s="297"/>
      <c r="AN1843" s="298"/>
      <c r="AR1843" s="298"/>
    </row>
    <row r="1844" spans="2:44" s="290" customFormat="1" x14ac:dyDescent="0.2">
      <c r="B1844" s="302"/>
      <c r="D1844" s="302"/>
      <c r="E1844" s="302"/>
      <c r="K1844" s="303"/>
      <c r="L1844" s="303"/>
      <c r="M1844" s="303"/>
      <c r="AB1844" s="298"/>
      <c r="AC1844" s="297"/>
      <c r="AF1844" s="296"/>
      <c r="AG1844" s="297"/>
      <c r="AJ1844" s="298"/>
      <c r="AK1844" s="297"/>
      <c r="AN1844" s="298"/>
      <c r="AR1844" s="298"/>
    </row>
    <row r="1845" spans="2:44" s="290" customFormat="1" x14ac:dyDescent="0.2">
      <c r="B1845" s="302"/>
      <c r="D1845" s="302"/>
      <c r="E1845" s="302"/>
      <c r="K1845" s="303"/>
      <c r="L1845" s="303"/>
      <c r="M1845" s="303"/>
      <c r="AB1845" s="298"/>
      <c r="AC1845" s="297"/>
      <c r="AF1845" s="296"/>
      <c r="AG1845" s="297"/>
      <c r="AJ1845" s="298"/>
      <c r="AK1845" s="297"/>
      <c r="AN1845" s="298"/>
      <c r="AR1845" s="298"/>
    </row>
    <row r="1846" spans="2:44" s="290" customFormat="1" x14ac:dyDescent="0.2">
      <c r="B1846" s="302"/>
      <c r="D1846" s="302"/>
      <c r="E1846" s="302"/>
      <c r="K1846" s="303"/>
      <c r="L1846" s="303"/>
      <c r="M1846" s="303"/>
      <c r="AB1846" s="298"/>
      <c r="AC1846" s="297"/>
      <c r="AF1846" s="296"/>
      <c r="AG1846" s="297"/>
      <c r="AJ1846" s="298"/>
      <c r="AK1846" s="297"/>
      <c r="AN1846" s="298"/>
      <c r="AR1846" s="298"/>
    </row>
    <row r="1847" spans="2:44" s="290" customFormat="1" x14ac:dyDescent="0.2">
      <c r="B1847" s="302"/>
      <c r="D1847" s="302"/>
      <c r="E1847" s="302"/>
      <c r="K1847" s="303"/>
      <c r="L1847" s="303"/>
      <c r="M1847" s="303"/>
      <c r="AB1847" s="298"/>
      <c r="AC1847" s="297"/>
      <c r="AF1847" s="296"/>
      <c r="AG1847" s="297"/>
      <c r="AJ1847" s="298"/>
      <c r="AK1847" s="297"/>
      <c r="AN1847" s="298"/>
      <c r="AR1847" s="298"/>
    </row>
    <row r="1848" spans="2:44" s="290" customFormat="1" x14ac:dyDescent="0.2">
      <c r="B1848" s="302"/>
      <c r="D1848" s="302"/>
      <c r="E1848" s="302"/>
      <c r="K1848" s="303"/>
      <c r="L1848" s="303"/>
      <c r="M1848" s="303"/>
      <c r="AB1848" s="298"/>
      <c r="AC1848" s="297"/>
      <c r="AF1848" s="296"/>
      <c r="AG1848" s="297"/>
      <c r="AJ1848" s="298"/>
      <c r="AK1848" s="297"/>
      <c r="AN1848" s="298"/>
      <c r="AR1848" s="298"/>
    </row>
    <row r="1849" spans="2:44" s="290" customFormat="1" x14ac:dyDescent="0.2">
      <c r="B1849" s="302"/>
      <c r="D1849" s="302"/>
      <c r="E1849" s="302"/>
      <c r="K1849" s="303"/>
      <c r="L1849" s="303"/>
      <c r="M1849" s="303"/>
      <c r="AB1849" s="298"/>
      <c r="AC1849" s="297"/>
      <c r="AF1849" s="296"/>
      <c r="AG1849" s="297"/>
      <c r="AJ1849" s="298"/>
      <c r="AK1849" s="297"/>
      <c r="AN1849" s="298"/>
      <c r="AR1849" s="298"/>
    </row>
    <row r="1850" spans="2:44" s="290" customFormat="1" x14ac:dyDescent="0.2">
      <c r="B1850" s="302"/>
      <c r="D1850" s="302"/>
      <c r="E1850" s="302"/>
      <c r="K1850" s="303"/>
      <c r="L1850" s="303"/>
      <c r="M1850" s="303"/>
      <c r="AB1850" s="298"/>
      <c r="AC1850" s="297"/>
      <c r="AF1850" s="296"/>
      <c r="AG1850" s="297"/>
      <c r="AJ1850" s="298"/>
      <c r="AK1850" s="297"/>
      <c r="AN1850" s="298"/>
      <c r="AR1850" s="298"/>
    </row>
    <row r="1851" spans="2:44" s="290" customFormat="1" x14ac:dyDescent="0.2">
      <c r="B1851" s="302"/>
      <c r="D1851" s="302"/>
      <c r="E1851" s="302"/>
      <c r="K1851" s="303"/>
      <c r="L1851" s="303"/>
      <c r="M1851" s="303"/>
      <c r="AB1851" s="298"/>
      <c r="AC1851" s="297"/>
      <c r="AF1851" s="296"/>
      <c r="AG1851" s="297"/>
      <c r="AJ1851" s="298"/>
      <c r="AK1851" s="297"/>
      <c r="AN1851" s="298"/>
      <c r="AR1851" s="298"/>
    </row>
    <row r="1852" spans="2:44" s="290" customFormat="1" x14ac:dyDescent="0.2">
      <c r="B1852" s="302"/>
      <c r="D1852" s="302"/>
      <c r="E1852" s="302"/>
      <c r="K1852" s="303"/>
      <c r="L1852" s="303"/>
      <c r="M1852" s="303"/>
      <c r="AB1852" s="298"/>
      <c r="AC1852" s="297"/>
      <c r="AF1852" s="296"/>
      <c r="AG1852" s="297"/>
      <c r="AJ1852" s="298"/>
      <c r="AK1852" s="297"/>
      <c r="AN1852" s="298"/>
      <c r="AR1852" s="298"/>
    </row>
    <row r="1853" spans="2:44" s="290" customFormat="1" x14ac:dyDescent="0.2">
      <c r="B1853" s="302"/>
      <c r="D1853" s="302"/>
      <c r="E1853" s="302"/>
      <c r="K1853" s="303"/>
      <c r="L1853" s="303"/>
      <c r="M1853" s="303"/>
      <c r="AB1853" s="298"/>
      <c r="AC1853" s="297"/>
      <c r="AF1853" s="296"/>
      <c r="AG1853" s="297"/>
      <c r="AJ1853" s="298"/>
      <c r="AK1853" s="297"/>
      <c r="AN1853" s="298"/>
      <c r="AR1853" s="298"/>
    </row>
    <row r="1854" spans="2:44" s="290" customFormat="1" x14ac:dyDescent="0.2">
      <c r="B1854" s="302"/>
      <c r="D1854" s="302"/>
      <c r="E1854" s="302"/>
      <c r="K1854" s="303"/>
      <c r="L1854" s="303"/>
      <c r="M1854" s="303"/>
      <c r="AB1854" s="298"/>
      <c r="AC1854" s="297"/>
      <c r="AF1854" s="296"/>
      <c r="AG1854" s="297"/>
      <c r="AJ1854" s="298"/>
      <c r="AK1854" s="297"/>
      <c r="AN1854" s="298"/>
      <c r="AR1854" s="298"/>
    </row>
    <row r="1855" spans="2:44" s="290" customFormat="1" x14ac:dyDescent="0.2">
      <c r="B1855" s="302"/>
      <c r="D1855" s="302"/>
      <c r="E1855" s="302"/>
      <c r="K1855" s="303"/>
      <c r="L1855" s="303"/>
      <c r="M1855" s="303"/>
      <c r="AB1855" s="298"/>
      <c r="AC1855" s="297"/>
      <c r="AF1855" s="296"/>
      <c r="AG1855" s="297"/>
      <c r="AJ1855" s="298"/>
      <c r="AK1855" s="297"/>
      <c r="AN1855" s="298"/>
      <c r="AR1855" s="298"/>
    </row>
    <row r="1856" spans="2:44" s="290" customFormat="1" x14ac:dyDescent="0.2">
      <c r="B1856" s="302"/>
      <c r="D1856" s="302"/>
      <c r="E1856" s="302"/>
      <c r="K1856" s="303"/>
      <c r="L1856" s="303"/>
      <c r="M1856" s="303"/>
      <c r="AB1856" s="298"/>
      <c r="AC1856" s="297"/>
      <c r="AF1856" s="296"/>
      <c r="AG1856" s="297"/>
      <c r="AJ1856" s="298"/>
      <c r="AK1856" s="297"/>
      <c r="AN1856" s="298"/>
      <c r="AR1856" s="298"/>
    </row>
    <row r="1857" spans="2:44" s="290" customFormat="1" x14ac:dyDescent="0.2">
      <c r="B1857" s="302"/>
      <c r="D1857" s="302"/>
      <c r="E1857" s="302"/>
      <c r="K1857" s="303"/>
      <c r="L1857" s="303"/>
      <c r="M1857" s="303"/>
      <c r="AB1857" s="298"/>
      <c r="AC1857" s="297"/>
      <c r="AF1857" s="296"/>
      <c r="AG1857" s="297"/>
      <c r="AJ1857" s="298"/>
      <c r="AK1857" s="297"/>
      <c r="AN1857" s="298"/>
      <c r="AR1857" s="298"/>
    </row>
    <row r="1858" spans="2:44" s="290" customFormat="1" x14ac:dyDescent="0.2">
      <c r="B1858" s="302"/>
      <c r="D1858" s="302"/>
      <c r="E1858" s="302"/>
      <c r="K1858" s="303"/>
      <c r="L1858" s="303"/>
      <c r="M1858" s="303"/>
      <c r="AB1858" s="298"/>
      <c r="AC1858" s="297"/>
      <c r="AF1858" s="296"/>
      <c r="AG1858" s="297"/>
      <c r="AJ1858" s="298"/>
      <c r="AK1858" s="297"/>
      <c r="AN1858" s="298"/>
      <c r="AR1858" s="298"/>
    </row>
    <row r="1859" spans="2:44" s="290" customFormat="1" x14ac:dyDescent="0.2">
      <c r="B1859" s="302"/>
      <c r="D1859" s="302"/>
      <c r="E1859" s="302"/>
      <c r="K1859" s="303"/>
      <c r="L1859" s="303"/>
      <c r="M1859" s="303"/>
      <c r="AB1859" s="298"/>
      <c r="AC1859" s="297"/>
      <c r="AF1859" s="296"/>
      <c r="AG1859" s="297"/>
      <c r="AJ1859" s="298"/>
      <c r="AK1859" s="297"/>
      <c r="AN1859" s="298"/>
      <c r="AR1859" s="298"/>
    </row>
    <row r="1860" spans="2:44" s="290" customFormat="1" x14ac:dyDescent="0.2">
      <c r="B1860" s="302"/>
      <c r="D1860" s="302"/>
      <c r="E1860" s="302"/>
      <c r="K1860" s="303"/>
      <c r="L1860" s="303"/>
      <c r="M1860" s="303"/>
      <c r="AB1860" s="298"/>
      <c r="AC1860" s="297"/>
      <c r="AF1860" s="296"/>
      <c r="AG1860" s="297"/>
      <c r="AJ1860" s="298"/>
      <c r="AK1860" s="297"/>
      <c r="AN1860" s="298"/>
      <c r="AR1860" s="298"/>
    </row>
    <row r="1861" spans="2:44" s="290" customFormat="1" x14ac:dyDescent="0.2">
      <c r="B1861" s="302"/>
      <c r="D1861" s="302"/>
      <c r="E1861" s="302"/>
      <c r="K1861" s="303"/>
      <c r="L1861" s="303"/>
      <c r="M1861" s="303"/>
      <c r="AB1861" s="298"/>
      <c r="AC1861" s="297"/>
      <c r="AF1861" s="296"/>
      <c r="AG1861" s="297"/>
      <c r="AJ1861" s="298"/>
      <c r="AK1861" s="297"/>
      <c r="AN1861" s="298"/>
      <c r="AR1861" s="298"/>
    </row>
    <row r="1862" spans="2:44" s="290" customFormat="1" x14ac:dyDescent="0.2">
      <c r="B1862" s="302"/>
      <c r="D1862" s="302"/>
      <c r="E1862" s="302"/>
      <c r="K1862" s="303"/>
      <c r="L1862" s="303"/>
      <c r="M1862" s="303"/>
      <c r="AB1862" s="298"/>
      <c r="AC1862" s="297"/>
      <c r="AF1862" s="296"/>
      <c r="AG1862" s="297"/>
      <c r="AJ1862" s="298"/>
      <c r="AK1862" s="297"/>
      <c r="AN1862" s="298"/>
      <c r="AR1862" s="298"/>
    </row>
    <row r="1863" spans="2:44" s="290" customFormat="1" x14ac:dyDescent="0.2">
      <c r="B1863" s="302"/>
      <c r="D1863" s="302"/>
      <c r="E1863" s="302"/>
      <c r="K1863" s="303"/>
      <c r="L1863" s="303"/>
      <c r="M1863" s="303"/>
      <c r="AB1863" s="298"/>
      <c r="AC1863" s="297"/>
      <c r="AF1863" s="296"/>
      <c r="AG1863" s="297"/>
      <c r="AJ1863" s="298"/>
      <c r="AK1863" s="297"/>
      <c r="AN1863" s="298"/>
      <c r="AR1863" s="298"/>
    </row>
    <row r="1864" spans="2:44" s="290" customFormat="1" x14ac:dyDescent="0.2">
      <c r="B1864" s="302"/>
      <c r="D1864" s="302"/>
      <c r="E1864" s="302"/>
      <c r="K1864" s="303"/>
      <c r="L1864" s="303"/>
      <c r="M1864" s="303"/>
      <c r="AB1864" s="298"/>
      <c r="AC1864" s="297"/>
      <c r="AF1864" s="296"/>
      <c r="AG1864" s="297"/>
      <c r="AJ1864" s="298"/>
      <c r="AK1864" s="297"/>
      <c r="AN1864" s="298"/>
      <c r="AR1864" s="298"/>
    </row>
    <row r="1865" spans="2:44" s="290" customFormat="1" x14ac:dyDescent="0.2">
      <c r="B1865" s="302"/>
      <c r="D1865" s="302"/>
      <c r="E1865" s="302"/>
      <c r="K1865" s="303"/>
      <c r="L1865" s="303"/>
      <c r="M1865" s="303"/>
      <c r="AB1865" s="298"/>
      <c r="AC1865" s="297"/>
      <c r="AF1865" s="296"/>
      <c r="AG1865" s="297"/>
      <c r="AJ1865" s="298"/>
      <c r="AK1865" s="297"/>
      <c r="AN1865" s="298"/>
      <c r="AR1865" s="298"/>
    </row>
    <row r="1866" spans="2:44" s="290" customFormat="1" x14ac:dyDescent="0.2">
      <c r="B1866" s="302"/>
      <c r="D1866" s="302"/>
      <c r="E1866" s="302"/>
      <c r="K1866" s="303"/>
      <c r="L1866" s="303"/>
      <c r="M1866" s="303"/>
      <c r="AB1866" s="298"/>
      <c r="AC1866" s="297"/>
      <c r="AF1866" s="296"/>
      <c r="AG1866" s="297"/>
      <c r="AJ1866" s="298"/>
      <c r="AK1866" s="297"/>
      <c r="AN1866" s="298"/>
      <c r="AR1866" s="298"/>
    </row>
    <row r="1867" spans="2:44" s="290" customFormat="1" x14ac:dyDescent="0.2">
      <c r="B1867" s="302"/>
      <c r="D1867" s="302"/>
      <c r="E1867" s="302"/>
      <c r="K1867" s="303"/>
      <c r="L1867" s="303"/>
      <c r="M1867" s="303"/>
      <c r="AB1867" s="298"/>
      <c r="AC1867" s="297"/>
      <c r="AF1867" s="296"/>
      <c r="AG1867" s="297"/>
      <c r="AJ1867" s="298"/>
      <c r="AK1867" s="297"/>
      <c r="AN1867" s="298"/>
      <c r="AR1867" s="298"/>
    </row>
    <row r="1868" spans="2:44" s="290" customFormat="1" x14ac:dyDescent="0.2">
      <c r="B1868" s="302"/>
      <c r="D1868" s="302"/>
      <c r="E1868" s="302"/>
      <c r="K1868" s="303"/>
      <c r="L1868" s="303"/>
      <c r="M1868" s="303"/>
      <c r="AB1868" s="298"/>
      <c r="AC1868" s="297"/>
      <c r="AF1868" s="296"/>
      <c r="AG1868" s="297"/>
      <c r="AJ1868" s="298"/>
      <c r="AK1868" s="297"/>
      <c r="AN1868" s="298"/>
      <c r="AR1868" s="298"/>
    </row>
    <row r="1869" spans="2:44" s="290" customFormat="1" x14ac:dyDescent="0.2">
      <c r="B1869" s="302"/>
      <c r="D1869" s="302"/>
      <c r="E1869" s="302"/>
      <c r="K1869" s="303"/>
      <c r="L1869" s="303"/>
      <c r="M1869" s="303"/>
      <c r="AB1869" s="298"/>
      <c r="AC1869" s="297"/>
      <c r="AF1869" s="296"/>
      <c r="AG1869" s="297"/>
      <c r="AJ1869" s="298"/>
      <c r="AK1869" s="297"/>
      <c r="AN1869" s="298"/>
      <c r="AR1869" s="298"/>
    </row>
    <row r="1870" spans="2:44" s="290" customFormat="1" x14ac:dyDescent="0.2">
      <c r="B1870" s="302"/>
      <c r="D1870" s="302"/>
      <c r="E1870" s="302"/>
      <c r="K1870" s="303"/>
      <c r="L1870" s="303"/>
      <c r="M1870" s="303"/>
      <c r="AB1870" s="298"/>
      <c r="AC1870" s="297"/>
      <c r="AF1870" s="296"/>
      <c r="AG1870" s="297"/>
      <c r="AJ1870" s="298"/>
      <c r="AK1870" s="297"/>
      <c r="AN1870" s="298"/>
      <c r="AR1870" s="298"/>
    </row>
    <row r="1871" spans="2:44" s="290" customFormat="1" x14ac:dyDescent="0.2">
      <c r="B1871" s="302"/>
      <c r="D1871" s="302"/>
      <c r="E1871" s="302"/>
      <c r="K1871" s="303"/>
      <c r="L1871" s="303"/>
      <c r="M1871" s="303"/>
      <c r="AB1871" s="298"/>
      <c r="AC1871" s="297"/>
      <c r="AF1871" s="296"/>
      <c r="AG1871" s="297"/>
      <c r="AJ1871" s="298"/>
      <c r="AK1871" s="297"/>
      <c r="AN1871" s="298"/>
      <c r="AR1871" s="298"/>
    </row>
    <row r="1872" spans="2:44" s="290" customFormat="1" x14ac:dyDescent="0.2">
      <c r="B1872" s="302"/>
      <c r="D1872" s="302"/>
      <c r="E1872" s="302"/>
      <c r="K1872" s="303"/>
      <c r="L1872" s="303"/>
      <c r="M1872" s="303"/>
      <c r="AB1872" s="298"/>
      <c r="AC1872" s="297"/>
      <c r="AF1872" s="296"/>
      <c r="AG1872" s="297"/>
      <c r="AJ1872" s="298"/>
      <c r="AK1872" s="297"/>
      <c r="AN1872" s="298"/>
      <c r="AR1872" s="298"/>
    </row>
    <row r="1873" spans="2:44" s="290" customFormat="1" x14ac:dyDescent="0.2">
      <c r="B1873" s="302"/>
      <c r="D1873" s="302"/>
      <c r="E1873" s="302"/>
      <c r="K1873" s="303"/>
      <c r="L1873" s="303"/>
      <c r="M1873" s="303"/>
      <c r="AB1873" s="298"/>
      <c r="AC1873" s="297"/>
      <c r="AF1873" s="296"/>
      <c r="AG1873" s="297"/>
      <c r="AJ1873" s="298"/>
      <c r="AK1873" s="297"/>
      <c r="AN1873" s="298"/>
      <c r="AR1873" s="298"/>
    </row>
    <row r="1874" spans="2:44" s="290" customFormat="1" x14ac:dyDescent="0.2">
      <c r="B1874" s="302"/>
      <c r="D1874" s="302"/>
      <c r="E1874" s="302"/>
      <c r="K1874" s="303"/>
      <c r="L1874" s="303"/>
      <c r="M1874" s="303"/>
      <c r="AB1874" s="298"/>
      <c r="AC1874" s="297"/>
      <c r="AF1874" s="296"/>
      <c r="AG1874" s="297"/>
      <c r="AJ1874" s="298"/>
      <c r="AK1874" s="297"/>
      <c r="AN1874" s="298"/>
      <c r="AR1874" s="298"/>
    </row>
    <row r="1875" spans="2:44" s="290" customFormat="1" x14ac:dyDescent="0.2">
      <c r="B1875" s="302"/>
      <c r="D1875" s="302"/>
      <c r="E1875" s="302"/>
      <c r="K1875" s="303"/>
      <c r="L1875" s="303"/>
      <c r="M1875" s="303"/>
      <c r="AB1875" s="298"/>
      <c r="AC1875" s="297"/>
      <c r="AF1875" s="296"/>
      <c r="AG1875" s="297"/>
      <c r="AJ1875" s="298"/>
      <c r="AK1875" s="297"/>
      <c r="AN1875" s="298"/>
      <c r="AR1875" s="298"/>
    </row>
    <row r="1876" spans="2:44" s="290" customFormat="1" x14ac:dyDescent="0.2">
      <c r="B1876" s="302"/>
      <c r="D1876" s="302"/>
      <c r="E1876" s="302"/>
      <c r="K1876" s="303"/>
      <c r="L1876" s="303"/>
      <c r="M1876" s="303"/>
      <c r="AB1876" s="298"/>
      <c r="AC1876" s="297"/>
      <c r="AF1876" s="296"/>
      <c r="AG1876" s="297"/>
      <c r="AJ1876" s="298"/>
      <c r="AK1876" s="297"/>
      <c r="AN1876" s="298"/>
      <c r="AR1876" s="298"/>
    </row>
    <row r="1877" spans="2:44" s="290" customFormat="1" x14ac:dyDescent="0.2">
      <c r="B1877" s="302"/>
      <c r="D1877" s="302"/>
      <c r="E1877" s="302"/>
      <c r="K1877" s="303"/>
      <c r="L1877" s="303"/>
      <c r="M1877" s="303"/>
      <c r="AB1877" s="298"/>
      <c r="AC1877" s="297"/>
      <c r="AF1877" s="296"/>
      <c r="AG1877" s="297"/>
      <c r="AJ1877" s="298"/>
      <c r="AK1877" s="297"/>
      <c r="AN1877" s="298"/>
      <c r="AR1877" s="298"/>
    </row>
    <row r="1878" spans="2:44" s="290" customFormat="1" x14ac:dyDescent="0.2">
      <c r="B1878" s="302"/>
      <c r="D1878" s="302"/>
      <c r="E1878" s="302"/>
      <c r="K1878" s="303"/>
      <c r="L1878" s="303"/>
      <c r="M1878" s="303"/>
      <c r="AB1878" s="298"/>
      <c r="AC1878" s="297"/>
      <c r="AF1878" s="296"/>
      <c r="AG1878" s="297"/>
      <c r="AJ1878" s="298"/>
      <c r="AK1878" s="297"/>
      <c r="AN1878" s="298"/>
      <c r="AR1878" s="298"/>
    </row>
    <row r="1879" spans="2:44" s="290" customFormat="1" x14ac:dyDescent="0.2">
      <c r="B1879" s="302"/>
      <c r="D1879" s="302"/>
      <c r="E1879" s="302"/>
      <c r="K1879" s="303"/>
      <c r="L1879" s="303"/>
      <c r="M1879" s="303"/>
      <c r="AB1879" s="298"/>
      <c r="AC1879" s="297"/>
      <c r="AF1879" s="296"/>
      <c r="AG1879" s="297"/>
      <c r="AJ1879" s="298"/>
      <c r="AK1879" s="297"/>
      <c r="AN1879" s="298"/>
      <c r="AR1879" s="298"/>
    </row>
    <row r="1880" spans="2:44" s="290" customFormat="1" x14ac:dyDescent="0.2">
      <c r="B1880" s="302"/>
      <c r="D1880" s="302"/>
      <c r="E1880" s="302"/>
      <c r="K1880" s="303"/>
      <c r="L1880" s="303"/>
      <c r="M1880" s="303"/>
      <c r="AB1880" s="298"/>
      <c r="AC1880" s="297"/>
      <c r="AF1880" s="296"/>
      <c r="AG1880" s="297"/>
      <c r="AJ1880" s="298"/>
      <c r="AK1880" s="297"/>
      <c r="AN1880" s="298"/>
      <c r="AR1880" s="298"/>
    </row>
    <row r="1881" spans="2:44" s="290" customFormat="1" x14ac:dyDescent="0.2">
      <c r="B1881" s="302"/>
      <c r="D1881" s="302"/>
      <c r="E1881" s="302"/>
      <c r="K1881" s="303"/>
      <c r="L1881" s="303"/>
      <c r="M1881" s="303"/>
      <c r="AB1881" s="298"/>
      <c r="AC1881" s="297"/>
      <c r="AF1881" s="296"/>
      <c r="AG1881" s="297"/>
      <c r="AJ1881" s="298"/>
      <c r="AK1881" s="297"/>
      <c r="AN1881" s="298"/>
      <c r="AR1881" s="298"/>
    </row>
    <row r="1882" spans="2:44" s="290" customFormat="1" x14ac:dyDescent="0.2">
      <c r="B1882" s="302"/>
      <c r="D1882" s="302"/>
      <c r="E1882" s="302"/>
      <c r="K1882" s="303"/>
      <c r="L1882" s="303"/>
      <c r="M1882" s="303"/>
      <c r="AB1882" s="298"/>
      <c r="AC1882" s="297"/>
      <c r="AF1882" s="296"/>
      <c r="AG1882" s="297"/>
      <c r="AJ1882" s="298"/>
      <c r="AK1882" s="297"/>
      <c r="AN1882" s="298"/>
      <c r="AR1882" s="298"/>
    </row>
    <row r="1883" spans="2:44" s="290" customFormat="1" x14ac:dyDescent="0.2">
      <c r="B1883" s="302"/>
      <c r="D1883" s="302"/>
      <c r="E1883" s="302"/>
      <c r="K1883" s="303"/>
      <c r="L1883" s="303"/>
      <c r="M1883" s="303"/>
      <c r="AB1883" s="298"/>
      <c r="AC1883" s="297"/>
      <c r="AF1883" s="296"/>
      <c r="AG1883" s="297"/>
      <c r="AJ1883" s="298"/>
      <c r="AK1883" s="297"/>
      <c r="AN1883" s="298"/>
      <c r="AR1883" s="298"/>
    </row>
    <row r="1884" spans="2:44" s="290" customFormat="1" x14ac:dyDescent="0.2">
      <c r="B1884" s="302"/>
      <c r="D1884" s="302"/>
      <c r="E1884" s="302"/>
      <c r="K1884" s="303"/>
      <c r="L1884" s="303"/>
      <c r="M1884" s="303"/>
      <c r="AB1884" s="298"/>
      <c r="AC1884" s="297"/>
      <c r="AF1884" s="296"/>
      <c r="AG1884" s="297"/>
      <c r="AJ1884" s="298"/>
      <c r="AK1884" s="297"/>
      <c r="AN1884" s="298"/>
      <c r="AR1884" s="298"/>
    </row>
    <row r="1885" spans="2:44" s="290" customFormat="1" x14ac:dyDescent="0.2">
      <c r="B1885" s="302"/>
      <c r="D1885" s="302"/>
      <c r="E1885" s="302"/>
      <c r="K1885" s="303"/>
      <c r="L1885" s="303"/>
      <c r="M1885" s="303"/>
      <c r="AB1885" s="298"/>
      <c r="AC1885" s="297"/>
      <c r="AF1885" s="296"/>
      <c r="AG1885" s="297"/>
      <c r="AJ1885" s="298"/>
      <c r="AK1885" s="297"/>
      <c r="AN1885" s="298"/>
      <c r="AR1885" s="298"/>
    </row>
    <row r="1886" spans="2:44" s="290" customFormat="1" x14ac:dyDescent="0.2">
      <c r="B1886" s="302"/>
      <c r="D1886" s="302"/>
      <c r="E1886" s="302"/>
      <c r="K1886" s="303"/>
      <c r="L1886" s="303"/>
      <c r="M1886" s="303"/>
      <c r="AB1886" s="298"/>
      <c r="AC1886" s="297"/>
      <c r="AF1886" s="296"/>
      <c r="AG1886" s="297"/>
      <c r="AJ1886" s="298"/>
      <c r="AK1886" s="297"/>
      <c r="AN1886" s="298"/>
      <c r="AR1886" s="298"/>
    </row>
    <row r="1887" spans="2:44" s="290" customFormat="1" x14ac:dyDescent="0.2">
      <c r="B1887" s="302"/>
      <c r="D1887" s="302"/>
      <c r="E1887" s="302"/>
      <c r="K1887" s="303"/>
      <c r="L1887" s="303"/>
      <c r="M1887" s="303"/>
      <c r="AB1887" s="298"/>
      <c r="AC1887" s="297"/>
      <c r="AF1887" s="296"/>
      <c r="AG1887" s="297"/>
      <c r="AJ1887" s="298"/>
      <c r="AK1887" s="297"/>
      <c r="AN1887" s="298"/>
      <c r="AR1887" s="298"/>
    </row>
    <row r="1888" spans="2:44" s="290" customFormat="1" x14ac:dyDescent="0.2">
      <c r="B1888" s="302"/>
      <c r="D1888" s="302"/>
      <c r="E1888" s="302"/>
      <c r="K1888" s="303"/>
      <c r="L1888" s="303"/>
      <c r="M1888" s="303"/>
      <c r="AB1888" s="298"/>
      <c r="AC1888" s="297"/>
      <c r="AF1888" s="296"/>
      <c r="AG1888" s="297"/>
      <c r="AJ1888" s="298"/>
      <c r="AK1888" s="297"/>
      <c r="AN1888" s="298"/>
      <c r="AR1888" s="298"/>
    </row>
    <row r="1889" spans="2:44" s="290" customFormat="1" x14ac:dyDescent="0.2">
      <c r="B1889" s="302"/>
      <c r="D1889" s="302"/>
      <c r="E1889" s="302"/>
      <c r="K1889" s="303"/>
      <c r="L1889" s="303"/>
      <c r="M1889" s="303"/>
      <c r="AB1889" s="298"/>
      <c r="AC1889" s="297"/>
      <c r="AF1889" s="296"/>
      <c r="AG1889" s="297"/>
      <c r="AJ1889" s="298"/>
      <c r="AK1889" s="297"/>
      <c r="AN1889" s="298"/>
      <c r="AR1889" s="298"/>
    </row>
    <row r="1890" spans="2:44" s="290" customFormat="1" x14ac:dyDescent="0.2">
      <c r="B1890" s="302"/>
      <c r="D1890" s="302"/>
      <c r="E1890" s="302"/>
      <c r="K1890" s="303"/>
      <c r="L1890" s="303"/>
      <c r="M1890" s="303"/>
      <c r="AB1890" s="298"/>
      <c r="AC1890" s="297"/>
      <c r="AF1890" s="296"/>
      <c r="AG1890" s="297"/>
      <c r="AJ1890" s="298"/>
      <c r="AK1890" s="297"/>
      <c r="AN1890" s="298"/>
      <c r="AR1890" s="298"/>
    </row>
    <row r="1891" spans="2:44" s="290" customFormat="1" x14ac:dyDescent="0.2">
      <c r="B1891" s="302"/>
      <c r="D1891" s="302"/>
      <c r="E1891" s="302"/>
      <c r="K1891" s="303"/>
      <c r="L1891" s="303"/>
      <c r="M1891" s="303"/>
      <c r="AB1891" s="298"/>
      <c r="AC1891" s="297"/>
      <c r="AF1891" s="296"/>
      <c r="AG1891" s="297"/>
      <c r="AJ1891" s="298"/>
      <c r="AK1891" s="297"/>
      <c r="AN1891" s="298"/>
      <c r="AR1891" s="298"/>
    </row>
    <row r="1892" spans="2:44" s="290" customFormat="1" x14ac:dyDescent="0.2">
      <c r="B1892" s="302"/>
      <c r="D1892" s="302"/>
      <c r="E1892" s="302"/>
      <c r="K1892" s="303"/>
      <c r="L1892" s="303"/>
      <c r="M1892" s="303"/>
      <c r="AB1892" s="298"/>
      <c r="AC1892" s="297"/>
      <c r="AF1892" s="296"/>
      <c r="AG1892" s="297"/>
      <c r="AJ1892" s="298"/>
      <c r="AK1892" s="297"/>
      <c r="AN1892" s="298"/>
      <c r="AR1892" s="298"/>
    </row>
    <row r="1893" spans="2:44" s="290" customFormat="1" x14ac:dyDescent="0.2">
      <c r="B1893" s="302"/>
      <c r="D1893" s="302"/>
      <c r="E1893" s="302"/>
      <c r="K1893" s="303"/>
      <c r="L1893" s="303"/>
      <c r="M1893" s="303"/>
      <c r="AB1893" s="298"/>
      <c r="AC1893" s="297"/>
      <c r="AF1893" s="296"/>
      <c r="AG1893" s="297"/>
      <c r="AJ1893" s="298"/>
      <c r="AK1893" s="297"/>
      <c r="AN1893" s="298"/>
      <c r="AR1893" s="298"/>
    </row>
    <row r="1894" spans="2:44" s="290" customFormat="1" x14ac:dyDescent="0.2">
      <c r="B1894" s="302"/>
      <c r="D1894" s="302"/>
      <c r="E1894" s="302"/>
      <c r="K1894" s="303"/>
      <c r="L1894" s="303"/>
      <c r="M1894" s="303"/>
      <c r="AB1894" s="298"/>
      <c r="AC1894" s="297"/>
      <c r="AF1894" s="296"/>
      <c r="AG1894" s="297"/>
      <c r="AJ1894" s="298"/>
      <c r="AK1894" s="297"/>
      <c r="AN1894" s="298"/>
      <c r="AR1894" s="298"/>
    </row>
    <row r="1895" spans="2:44" s="290" customFormat="1" x14ac:dyDescent="0.2">
      <c r="B1895" s="302"/>
      <c r="D1895" s="302"/>
      <c r="E1895" s="302"/>
      <c r="K1895" s="303"/>
      <c r="L1895" s="303"/>
      <c r="M1895" s="303"/>
      <c r="AB1895" s="298"/>
      <c r="AC1895" s="297"/>
      <c r="AF1895" s="296"/>
      <c r="AG1895" s="297"/>
      <c r="AJ1895" s="298"/>
      <c r="AK1895" s="297"/>
      <c r="AN1895" s="298"/>
      <c r="AR1895" s="298"/>
    </row>
    <row r="1896" spans="2:44" s="290" customFormat="1" x14ac:dyDescent="0.2">
      <c r="B1896" s="302"/>
      <c r="D1896" s="302"/>
      <c r="E1896" s="302"/>
      <c r="K1896" s="303"/>
      <c r="L1896" s="303"/>
      <c r="M1896" s="303"/>
      <c r="AB1896" s="298"/>
      <c r="AC1896" s="297"/>
      <c r="AF1896" s="296"/>
      <c r="AG1896" s="297"/>
      <c r="AJ1896" s="298"/>
      <c r="AK1896" s="297"/>
      <c r="AN1896" s="298"/>
      <c r="AR1896" s="298"/>
    </row>
    <row r="1897" spans="2:44" s="290" customFormat="1" x14ac:dyDescent="0.2">
      <c r="B1897" s="302"/>
      <c r="D1897" s="302"/>
      <c r="E1897" s="302"/>
      <c r="K1897" s="303"/>
      <c r="L1897" s="303"/>
      <c r="M1897" s="303"/>
      <c r="AB1897" s="298"/>
      <c r="AC1897" s="297"/>
      <c r="AF1897" s="296"/>
      <c r="AG1897" s="297"/>
      <c r="AJ1897" s="298"/>
      <c r="AK1897" s="297"/>
      <c r="AN1897" s="298"/>
      <c r="AR1897" s="298"/>
    </row>
    <row r="1898" spans="2:44" s="290" customFormat="1" x14ac:dyDescent="0.2">
      <c r="B1898" s="302"/>
      <c r="D1898" s="302"/>
      <c r="E1898" s="302"/>
      <c r="K1898" s="303"/>
      <c r="L1898" s="303"/>
      <c r="M1898" s="303"/>
      <c r="AB1898" s="298"/>
      <c r="AC1898" s="297"/>
      <c r="AF1898" s="296"/>
      <c r="AG1898" s="297"/>
      <c r="AJ1898" s="298"/>
      <c r="AK1898" s="297"/>
      <c r="AN1898" s="298"/>
      <c r="AR1898" s="298"/>
    </row>
    <row r="1899" spans="2:44" s="290" customFormat="1" x14ac:dyDescent="0.2">
      <c r="B1899" s="302"/>
      <c r="D1899" s="302"/>
      <c r="E1899" s="302"/>
      <c r="K1899" s="303"/>
      <c r="L1899" s="303"/>
      <c r="M1899" s="303"/>
      <c r="AB1899" s="298"/>
      <c r="AC1899" s="297"/>
      <c r="AF1899" s="296"/>
      <c r="AG1899" s="297"/>
      <c r="AJ1899" s="298"/>
      <c r="AK1899" s="297"/>
      <c r="AN1899" s="298"/>
      <c r="AR1899" s="298"/>
    </row>
    <row r="1900" spans="2:44" s="290" customFormat="1" x14ac:dyDescent="0.2">
      <c r="B1900" s="302"/>
      <c r="D1900" s="302"/>
      <c r="E1900" s="302"/>
      <c r="K1900" s="303"/>
      <c r="L1900" s="303"/>
      <c r="M1900" s="303"/>
      <c r="AB1900" s="298"/>
      <c r="AC1900" s="297"/>
      <c r="AF1900" s="296"/>
      <c r="AG1900" s="297"/>
      <c r="AJ1900" s="298"/>
      <c r="AK1900" s="297"/>
      <c r="AN1900" s="298"/>
      <c r="AR1900" s="298"/>
    </row>
    <row r="1901" spans="2:44" s="290" customFormat="1" x14ac:dyDescent="0.2">
      <c r="B1901" s="302"/>
      <c r="D1901" s="302"/>
      <c r="E1901" s="302"/>
      <c r="K1901" s="303"/>
      <c r="L1901" s="303"/>
      <c r="M1901" s="303"/>
      <c r="AB1901" s="298"/>
      <c r="AC1901" s="297"/>
      <c r="AF1901" s="296"/>
      <c r="AG1901" s="297"/>
      <c r="AJ1901" s="298"/>
      <c r="AK1901" s="297"/>
      <c r="AN1901" s="298"/>
      <c r="AR1901" s="298"/>
    </row>
    <row r="1902" spans="2:44" s="290" customFormat="1" x14ac:dyDescent="0.2">
      <c r="B1902" s="302"/>
      <c r="D1902" s="302"/>
      <c r="E1902" s="302"/>
      <c r="K1902" s="303"/>
      <c r="L1902" s="303"/>
      <c r="M1902" s="303"/>
      <c r="AB1902" s="298"/>
      <c r="AC1902" s="297"/>
      <c r="AF1902" s="296"/>
      <c r="AG1902" s="297"/>
      <c r="AJ1902" s="298"/>
      <c r="AK1902" s="297"/>
      <c r="AN1902" s="298"/>
      <c r="AR1902" s="298"/>
    </row>
    <row r="1903" spans="2:44" s="290" customFormat="1" x14ac:dyDescent="0.2">
      <c r="B1903" s="302"/>
      <c r="D1903" s="302"/>
      <c r="E1903" s="302"/>
      <c r="K1903" s="303"/>
      <c r="L1903" s="303"/>
      <c r="M1903" s="303"/>
      <c r="AB1903" s="298"/>
      <c r="AC1903" s="297"/>
      <c r="AF1903" s="296"/>
      <c r="AG1903" s="297"/>
      <c r="AJ1903" s="298"/>
      <c r="AK1903" s="297"/>
      <c r="AN1903" s="298"/>
      <c r="AR1903" s="298"/>
    </row>
    <row r="1904" spans="2:44" s="290" customFormat="1" x14ac:dyDescent="0.2">
      <c r="B1904" s="302"/>
      <c r="D1904" s="302"/>
      <c r="E1904" s="302"/>
      <c r="K1904" s="303"/>
      <c r="L1904" s="303"/>
      <c r="M1904" s="303"/>
      <c r="AB1904" s="298"/>
      <c r="AC1904" s="297"/>
      <c r="AF1904" s="296"/>
      <c r="AG1904" s="297"/>
      <c r="AJ1904" s="298"/>
      <c r="AK1904" s="297"/>
      <c r="AN1904" s="298"/>
      <c r="AR1904" s="298"/>
    </row>
    <row r="1905" spans="2:44" s="290" customFormat="1" x14ac:dyDescent="0.2">
      <c r="B1905" s="302"/>
      <c r="D1905" s="302"/>
      <c r="E1905" s="302"/>
      <c r="K1905" s="303"/>
      <c r="L1905" s="303"/>
      <c r="M1905" s="303"/>
      <c r="AB1905" s="298"/>
      <c r="AC1905" s="297"/>
      <c r="AF1905" s="296"/>
      <c r="AG1905" s="297"/>
      <c r="AJ1905" s="298"/>
      <c r="AK1905" s="297"/>
      <c r="AN1905" s="298"/>
      <c r="AR1905" s="298"/>
    </row>
    <row r="1906" spans="2:44" s="290" customFormat="1" x14ac:dyDescent="0.2">
      <c r="B1906" s="302"/>
      <c r="D1906" s="302"/>
      <c r="E1906" s="302"/>
      <c r="K1906" s="303"/>
      <c r="L1906" s="303"/>
      <c r="M1906" s="303"/>
      <c r="AB1906" s="298"/>
      <c r="AC1906" s="297"/>
      <c r="AF1906" s="296"/>
      <c r="AG1906" s="297"/>
      <c r="AJ1906" s="298"/>
      <c r="AK1906" s="297"/>
      <c r="AN1906" s="298"/>
      <c r="AR1906" s="298"/>
    </row>
    <row r="1907" spans="2:44" s="290" customFormat="1" x14ac:dyDescent="0.2">
      <c r="B1907" s="302"/>
      <c r="D1907" s="302"/>
      <c r="E1907" s="302"/>
      <c r="K1907" s="303"/>
      <c r="L1907" s="303"/>
      <c r="M1907" s="303"/>
      <c r="AB1907" s="298"/>
      <c r="AC1907" s="297"/>
      <c r="AF1907" s="296"/>
      <c r="AG1907" s="297"/>
      <c r="AJ1907" s="298"/>
      <c r="AK1907" s="297"/>
      <c r="AN1907" s="298"/>
      <c r="AR1907" s="298"/>
    </row>
    <row r="1908" spans="2:44" s="290" customFormat="1" x14ac:dyDescent="0.2">
      <c r="B1908" s="302"/>
      <c r="D1908" s="302"/>
      <c r="E1908" s="302"/>
      <c r="K1908" s="303"/>
      <c r="L1908" s="303"/>
      <c r="M1908" s="303"/>
      <c r="AB1908" s="298"/>
      <c r="AC1908" s="297"/>
      <c r="AF1908" s="296"/>
      <c r="AG1908" s="297"/>
      <c r="AJ1908" s="298"/>
      <c r="AK1908" s="297"/>
      <c r="AN1908" s="298"/>
      <c r="AR1908" s="298"/>
    </row>
    <row r="1909" spans="2:44" s="290" customFormat="1" x14ac:dyDescent="0.2">
      <c r="B1909" s="302"/>
      <c r="D1909" s="302"/>
      <c r="E1909" s="302"/>
      <c r="K1909" s="303"/>
      <c r="L1909" s="303"/>
      <c r="M1909" s="303"/>
      <c r="AB1909" s="298"/>
      <c r="AC1909" s="297"/>
      <c r="AF1909" s="296"/>
      <c r="AG1909" s="297"/>
      <c r="AJ1909" s="298"/>
      <c r="AK1909" s="297"/>
      <c r="AN1909" s="298"/>
      <c r="AR1909" s="298"/>
    </row>
    <row r="1910" spans="2:44" s="290" customFormat="1" x14ac:dyDescent="0.2">
      <c r="B1910" s="302"/>
      <c r="D1910" s="302"/>
      <c r="E1910" s="302"/>
      <c r="K1910" s="303"/>
      <c r="L1910" s="303"/>
      <c r="M1910" s="303"/>
      <c r="AB1910" s="298"/>
      <c r="AC1910" s="297"/>
      <c r="AF1910" s="296"/>
      <c r="AG1910" s="297"/>
      <c r="AJ1910" s="298"/>
      <c r="AK1910" s="297"/>
      <c r="AN1910" s="298"/>
      <c r="AR1910" s="298"/>
    </row>
    <row r="1911" spans="2:44" s="290" customFormat="1" x14ac:dyDescent="0.2">
      <c r="B1911" s="302"/>
      <c r="D1911" s="302"/>
      <c r="E1911" s="302"/>
      <c r="K1911" s="303"/>
      <c r="L1911" s="303"/>
      <c r="M1911" s="303"/>
      <c r="AB1911" s="298"/>
      <c r="AC1911" s="297"/>
      <c r="AF1911" s="296"/>
      <c r="AG1911" s="297"/>
      <c r="AJ1911" s="298"/>
      <c r="AK1911" s="297"/>
      <c r="AN1911" s="298"/>
      <c r="AR1911" s="298"/>
    </row>
    <row r="1912" spans="2:44" s="290" customFormat="1" x14ac:dyDescent="0.2">
      <c r="B1912" s="302"/>
      <c r="D1912" s="302"/>
      <c r="E1912" s="302"/>
      <c r="K1912" s="303"/>
      <c r="L1912" s="303"/>
      <c r="M1912" s="303"/>
      <c r="AB1912" s="298"/>
      <c r="AC1912" s="297"/>
      <c r="AF1912" s="296"/>
      <c r="AG1912" s="297"/>
      <c r="AJ1912" s="298"/>
      <c r="AK1912" s="297"/>
      <c r="AN1912" s="298"/>
      <c r="AR1912" s="298"/>
    </row>
    <row r="1913" spans="2:44" s="290" customFormat="1" x14ac:dyDescent="0.2">
      <c r="B1913" s="302"/>
      <c r="D1913" s="302"/>
      <c r="E1913" s="302"/>
      <c r="K1913" s="303"/>
      <c r="L1913" s="303"/>
      <c r="M1913" s="303"/>
      <c r="AB1913" s="298"/>
      <c r="AC1913" s="297"/>
      <c r="AF1913" s="296"/>
      <c r="AG1913" s="297"/>
      <c r="AJ1913" s="298"/>
      <c r="AK1913" s="297"/>
      <c r="AN1913" s="298"/>
      <c r="AR1913" s="298"/>
    </row>
    <row r="1914" spans="2:44" s="290" customFormat="1" x14ac:dyDescent="0.2">
      <c r="B1914" s="302"/>
      <c r="D1914" s="302"/>
      <c r="E1914" s="302"/>
      <c r="K1914" s="303"/>
      <c r="L1914" s="303"/>
      <c r="M1914" s="303"/>
      <c r="AB1914" s="298"/>
      <c r="AC1914" s="297"/>
      <c r="AF1914" s="296"/>
      <c r="AG1914" s="297"/>
      <c r="AJ1914" s="298"/>
      <c r="AK1914" s="297"/>
      <c r="AN1914" s="298"/>
      <c r="AR1914" s="298"/>
    </row>
    <row r="1915" spans="2:44" s="290" customFormat="1" x14ac:dyDescent="0.2">
      <c r="B1915" s="302"/>
      <c r="D1915" s="302"/>
      <c r="E1915" s="302"/>
      <c r="K1915" s="303"/>
      <c r="L1915" s="303"/>
      <c r="M1915" s="303"/>
      <c r="AB1915" s="298"/>
      <c r="AC1915" s="297"/>
      <c r="AF1915" s="296"/>
      <c r="AG1915" s="297"/>
      <c r="AJ1915" s="298"/>
      <c r="AK1915" s="297"/>
      <c r="AN1915" s="298"/>
      <c r="AR1915" s="298"/>
    </row>
    <row r="1916" spans="2:44" s="290" customFormat="1" x14ac:dyDescent="0.2">
      <c r="B1916" s="302"/>
      <c r="D1916" s="302"/>
      <c r="E1916" s="302"/>
      <c r="K1916" s="303"/>
      <c r="L1916" s="303"/>
      <c r="M1916" s="303"/>
      <c r="AB1916" s="298"/>
      <c r="AC1916" s="297"/>
      <c r="AF1916" s="296"/>
      <c r="AG1916" s="297"/>
      <c r="AJ1916" s="298"/>
      <c r="AK1916" s="297"/>
      <c r="AN1916" s="298"/>
      <c r="AR1916" s="298"/>
    </row>
    <row r="1917" spans="2:44" s="290" customFormat="1" x14ac:dyDescent="0.2">
      <c r="B1917" s="302"/>
      <c r="D1917" s="302"/>
      <c r="E1917" s="302"/>
      <c r="K1917" s="303"/>
      <c r="L1917" s="303"/>
      <c r="M1917" s="303"/>
      <c r="AB1917" s="298"/>
      <c r="AC1917" s="297"/>
      <c r="AF1917" s="296"/>
      <c r="AG1917" s="297"/>
      <c r="AJ1917" s="298"/>
      <c r="AK1917" s="297"/>
      <c r="AN1917" s="298"/>
      <c r="AR1917" s="298"/>
    </row>
    <row r="1918" spans="2:44" s="290" customFormat="1" x14ac:dyDescent="0.2">
      <c r="B1918" s="302"/>
      <c r="D1918" s="302"/>
      <c r="E1918" s="302"/>
      <c r="K1918" s="303"/>
      <c r="L1918" s="303"/>
      <c r="M1918" s="303"/>
      <c r="AB1918" s="298"/>
      <c r="AC1918" s="297"/>
      <c r="AF1918" s="296"/>
      <c r="AG1918" s="297"/>
      <c r="AJ1918" s="298"/>
      <c r="AK1918" s="297"/>
      <c r="AN1918" s="298"/>
      <c r="AR1918" s="298"/>
    </row>
    <row r="1919" spans="2:44" s="290" customFormat="1" x14ac:dyDescent="0.2">
      <c r="B1919" s="302"/>
      <c r="D1919" s="302"/>
      <c r="E1919" s="302"/>
      <c r="K1919" s="303"/>
      <c r="L1919" s="303"/>
      <c r="M1919" s="303"/>
      <c r="AB1919" s="298"/>
      <c r="AC1919" s="297"/>
      <c r="AF1919" s="296"/>
      <c r="AG1919" s="297"/>
      <c r="AJ1919" s="298"/>
      <c r="AK1919" s="297"/>
      <c r="AN1919" s="298"/>
      <c r="AR1919" s="298"/>
    </row>
    <row r="1920" spans="2:44" s="290" customFormat="1" x14ac:dyDescent="0.2">
      <c r="B1920" s="302"/>
      <c r="D1920" s="302"/>
      <c r="E1920" s="302"/>
      <c r="K1920" s="303"/>
      <c r="L1920" s="303"/>
      <c r="M1920" s="303"/>
      <c r="AB1920" s="298"/>
      <c r="AC1920" s="297"/>
      <c r="AF1920" s="296"/>
      <c r="AG1920" s="297"/>
      <c r="AJ1920" s="298"/>
      <c r="AK1920" s="297"/>
      <c r="AN1920" s="298"/>
      <c r="AR1920" s="298"/>
    </row>
    <row r="1921" spans="2:44" s="290" customFormat="1" x14ac:dyDescent="0.2">
      <c r="B1921" s="302"/>
      <c r="D1921" s="302"/>
      <c r="E1921" s="302"/>
      <c r="K1921" s="303"/>
      <c r="L1921" s="303"/>
      <c r="M1921" s="303"/>
      <c r="AB1921" s="298"/>
      <c r="AC1921" s="297"/>
      <c r="AF1921" s="296"/>
      <c r="AG1921" s="297"/>
      <c r="AJ1921" s="298"/>
      <c r="AK1921" s="297"/>
      <c r="AN1921" s="298"/>
      <c r="AR1921" s="298"/>
    </row>
    <row r="1922" spans="2:44" s="290" customFormat="1" x14ac:dyDescent="0.2">
      <c r="B1922" s="302"/>
      <c r="D1922" s="302"/>
      <c r="E1922" s="302"/>
      <c r="K1922" s="303"/>
      <c r="L1922" s="303"/>
      <c r="M1922" s="303"/>
      <c r="AB1922" s="298"/>
      <c r="AC1922" s="297"/>
      <c r="AF1922" s="296"/>
      <c r="AG1922" s="297"/>
      <c r="AJ1922" s="298"/>
      <c r="AK1922" s="297"/>
      <c r="AN1922" s="298"/>
      <c r="AR1922" s="298"/>
    </row>
    <row r="1923" spans="2:44" s="290" customFormat="1" x14ac:dyDescent="0.2">
      <c r="B1923" s="302"/>
      <c r="D1923" s="302"/>
      <c r="E1923" s="302"/>
      <c r="K1923" s="303"/>
      <c r="L1923" s="303"/>
      <c r="M1923" s="303"/>
      <c r="AB1923" s="298"/>
      <c r="AC1923" s="297"/>
      <c r="AF1923" s="296"/>
      <c r="AG1923" s="297"/>
      <c r="AJ1923" s="298"/>
      <c r="AK1923" s="297"/>
      <c r="AN1923" s="298"/>
      <c r="AR1923" s="298"/>
    </row>
    <row r="1924" spans="2:44" s="290" customFormat="1" x14ac:dyDescent="0.2">
      <c r="B1924" s="302"/>
      <c r="D1924" s="302"/>
      <c r="E1924" s="302"/>
      <c r="K1924" s="303"/>
      <c r="L1924" s="303"/>
      <c r="M1924" s="303"/>
      <c r="AB1924" s="298"/>
      <c r="AC1924" s="297"/>
      <c r="AF1924" s="296"/>
      <c r="AG1924" s="297"/>
      <c r="AJ1924" s="298"/>
      <c r="AK1924" s="297"/>
      <c r="AN1924" s="298"/>
      <c r="AR1924" s="298"/>
    </row>
    <row r="1925" spans="2:44" s="290" customFormat="1" x14ac:dyDescent="0.2">
      <c r="B1925" s="302"/>
      <c r="D1925" s="302"/>
      <c r="E1925" s="302"/>
      <c r="K1925" s="303"/>
      <c r="L1925" s="303"/>
      <c r="M1925" s="303"/>
      <c r="AB1925" s="298"/>
      <c r="AC1925" s="297"/>
      <c r="AF1925" s="296"/>
      <c r="AG1925" s="297"/>
      <c r="AJ1925" s="298"/>
      <c r="AK1925" s="297"/>
      <c r="AN1925" s="298"/>
      <c r="AR1925" s="298"/>
    </row>
    <row r="1926" spans="2:44" s="290" customFormat="1" x14ac:dyDescent="0.2">
      <c r="B1926" s="302"/>
      <c r="D1926" s="302"/>
      <c r="E1926" s="302"/>
      <c r="K1926" s="303"/>
      <c r="L1926" s="303"/>
      <c r="M1926" s="303"/>
      <c r="AB1926" s="298"/>
      <c r="AC1926" s="297"/>
      <c r="AF1926" s="296"/>
      <c r="AG1926" s="297"/>
      <c r="AJ1926" s="298"/>
      <c r="AK1926" s="297"/>
      <c r="AN1926" s="298"/>
      <c r="AR1926" s="298"/>
    </row>
    <row r="1927" spans="2:44" s="290" customFormat="1" x14ac:dyDescent="0.2">
      <c r="B1927" s="302"/>
      <c r="D1927" s="302"/>
      <c r="E1927" s="302"/>
      <c r="K1927" s="303"/>
      <c r="L1927" s="303"/>
      <c r="M1927" s="303"/>
      <c r="AB1927" s="298"/>
      <c r="AC1927" s="297"/>
      <c r="AF1927" s="296"/>
      <c r="AG1927" s="297"/>
      <c r="AJ1927" s="298"/>
      <c r="AK1927" s="297"/>
      <c r="AN1927" s="298"/>
      <c r="AR1927" s="298"/>
    </row>
    <row r="1928" spans="2:44" s="290" customFormat="1" x14ac:dyDescent="0.2">
      <c r="B1928" s="302"/>
      <c r="D1928" s="302"/>
      <c r="E1928" s="302"/>
      <c r="K1928" s="303"/>
      <c r="L1928" s="303"/>
      <c r="M1928" s="303"/>
      <c r="AB1928" s="298"/>
      <c r="AC1928" s="297"/>
      <c r="AF1928" s="296"/>
      <c r="AG1928" s="297"/>
      <c r="AJ1928" s="298"/>
      <c r="AK1928" s="297"/>
      <c r="AN1928" s="298"/>
      <c r="AR1928" s="298"/>
    </row>
    <row r="1929" spans="2:44" s="290" customFormat="1" x14ac:dyDescent="0.2">
      <c r="B1929" s="302"/>
      <c r="D1929" s="302"/>
      <c r="E1929" s="302"/>
      <c r="K1929" s="303"/>
      <c r="L1929" s="303"/>
      <c r="M1929" s="303"/>
      <c r="AB1929" s="298"/>
      <c r="AC1929" s="297"/>
      <c r="AF1929" s="296"/>
      <c r="AG1929" s="297"/>
      <c r="AJ1929" s="298"/>
      <c r="AK1929" s="297"/>
      <c r="AN1929" s="298"/>
      <c r="AR1929" s="298"/>
    </row>
    <row r="1930" spans="2:44" s="290" customFormat="1" x14ac:dyDescent="0.2">
      <c r="B1930" s="302"/>
      <c r="D1930" s="302"/>
      <c r="E1930" s="302"/>
      <c r="K1930" s="303"/>
      <c r="L1930" s="303"/>
      <c r="M1930" s="303"/>
      <c r="AB1930" s="298"/>
      <c r="AC1930" s="297"/>
      <c r="AF1930" s="296"/>
      <c r="AG1930" s="297"/>
      <c r="AJ1930" s="298"/>
      <c r="AK1930" s="297"/>
      <c r="AN1930" s="298"/>
      <c r="AR1930" s="298"/>
    </row>
    <row r="1931" spans="2:44" s="290" customFormat="1" x14ac:dyDescent="0.2">
      <c r="B1931" s="302"/>
      <c r="D1931" s="302"/>
      <c r="E1931" s="302"/>
      <c r="K1931" s="303"/>
      <c r="L1931" s="303"/>
      <c r="M1931" s="303"/>
      <c r="AB1931" s="298"/>
      <c r="AC1931" s="297"/>
      <c r="AF1931" s="296"/>
      <c r="AG1931" s="297"/>
      <c r="AJ1931" s="298"/>
      <c r="AK1931" s="297"/>
      <c r="AN1931" s="298"/>
      <c r="AR1931" s="298"/>
    </row>
    <row r="1932" spans="2:44" s="290" customFormat="1" x14ac:dyDescent="0.2">
      <c r="B1932" s="302"/>
      <c r="D1932" s="302"/>
      <c r="E1932" s="302"/>
      <c r="K1932" s="303"/>
      <c r="L1932" s="303"/>
      <c r="M1932" s="303"/>
      <c r="AB1932" s="298"/>
      <c r="AC1932" s="297"/>
      <c r="AF1932" s="296"/>
      <c r="AG1932" s="297"/>
      <c r="AJ1932" s="298"/>
      <c r="AK1932" s="297"/>
      <c r="AN1932" s="298"/>
      <c r="AR1932" s="298"/>
    </row>
    <row r="1933" spans="2:44" s="290" customFormat="1" x14ac:dyDescent="0.2">
      <c r="B1933" s="302"/>
      <c r="D1933" s="302"/>
      <c r="E1933" s="302"/>
      <c r="K1933" s="303"/>
      <c r="L1933" s="303"/>
      <c r="M1933" s="303"/>
      <c r="AB1933" s="298"/>
      <c r="AC1933" s="297"/>
      <c r="AF1933" s="296"/>
      <c r="AG1933" s="297"/>
      <c r="AJ1933" s="298"/>
      <c r="AK1933" s="297"/>
      <c r="AN1933" s="298"/>
      <c r="AR1933" s="298"/>
    </row>
    <row r="1934" spans="2:44" s="290" customFormat="1" x14ac:dyDescent="0.2">
      <c r="B1934" s="302"/>
      <c r="D1934" s="302"/>
      <c r="E1934" s="302"/>
      <c r="K1934" s="303"/>
      <c r="L1934" s="303"/>
      <c r="M1934" s="303"/>
      <c r="AB1934" s="298"/>
      <c r="AC1934" s="297"/>
      <c r="AF1934" s="296"/>
      <c r="AG1934" s="297"/>
      <c r="AJ1934" s="298"/>
      <c r="AK1934" s="297"/>
      <c r="AN1934" s="298"/>
      <c r="AR1934" s="298"/>
    </row>
    <row r="1935" spans="2:44" s="290" customFormat="1" x14ac:dyDescent="0.2">
      <c r="B1935" s="302"/>
      <c r="D1935" s="302"/>
      <c r="E1935" s="302"/>
      <c r="K1935" s="303"/>
      <c r="L1935" s="303"/>
      <c r="M1935" s="303"/>
      <c r="AB1935" s="298"/>
      <c r="AC1935" s="297"/>
      <c r="AF1935" s="296"/>
      <c r="AG1935" s="297"/>
      <c r="AJ1935" s="298"/>
      <c r="AK1935" s="297"/>
      <c r="AN1935" s="298"/>
      <c r="AR1935" s="298"/>
    </row>
    <row r="1936" spans="2:44" s="290" customFormat="1" x14ac:dyDescent="0.2">
      <c r="B1936" s="302"/>
      <c r="D1936" s="302"/>
      <c r="E1936" s="302"/>
      <c r="K1936" s="303"/>
      <c r="L1936" s="303"/>
      <c r="M1936" s="303"/>
      <c r="AB1936" s="298"/>
      <c r="AC1936" s="297"/>
      <c r="AF1936" s="296"/>
      <c r="AG1936" s="297"/>
      <c r="AJ1936" s="298"/>
      <c r="AK1936" s="297"/>
      <c r="AN1936" s="298"/>
      <c r="AR1936" s="298"/>
    </row>
    <row r="1937" spans="2:44" s="290" customFormat="1" x14ac:dyDescent="0.2">
      <c r="B1937" s="302"/>
      <c r="D1937" s="302"/>
      <c r="E1937" s="302"/>
      <c r="K1937" s="303"/>
      <c r="L1937" s="303"/>
      <c r="M1937" s="303"/>
      <c r="AB1937" s="298"/>
      <c r="AC1937" s="297"/>
      <c r="AF1937" s="296"/>
      <c r="AG1937" s="297"/>
      <c r="AJ1937" s="298"/>
      <c r="AK1937" s="297"/>
      <c r="AN1937" s="298"/>
      <c r="AR1937" s="298"/>
    </row>
    <row r="1938" spans="2:44" s="290" customFormat="1" x14ac:dyDescent="0.2">
      <c r="B1938" s="302"/>
      <c r="D1938" s="302"/>
      <c r="E1938" s="302"/>
      <c r="K1938" s="303"/>
      <c r="L1938" s="303"/>
      <c r="M1938" s="303"/>
      <c r="AB1938" s="298"/>
      <c r="AC1938" s="297"/>
      <c r="AF1938" s="296"/>
      <c r="AG1938" s="297"/>
      <c r="AJ1938" s="298"/>
      <c r="AK1938" s="297"/>
      <c r="AN1938" s="298"/>
      <c r="AR1938" s="298"/>
    </row>
    <row r="1939" spans="2:44" s="290" customFormat="1" x14ac:dyDescent="0.2">
      <c r="B1939" s="302"/>
      <c r="D1939" s="302"/>
      <c r="E1939" s="302"/>
      <c r="K1939" s="303"/>
      <c r="L1939" s="303"/>
      <c r="M1939" s="303"/>
      <c r="AB1939" s="298"/>
      <c r="AC1939" s="297"/>
      <c r="AF1939" s="296"/>
      <c r="AG1939" s="297"/>
      <c r="AJ1939" s="298"/>
      <c r="AK1939" s="297"/>
      <c r="AN1939" s="298"/>
      <c r="AR1939" s="298"/>
    </row>
    <row r="1940" spans="2:44" s="290" customFormat="1" x14ac:dyDescent="0.2">
      <c r="B1940" s="302"/>
      <c r="D1940" s="302"/>
      <c r="E1940" s="302"/>
      <c r="K1940" s="303"/>
      <c r="L1940" s="303"/>
      <c r="M1940" s="303"/>
      <c r="AB1940" s="298"/>
      <c r="AC1940" s="297"/>
      <c r="AF1940" s="296"/>
      <c r="AG1940" s="297"/>
      <c r="AJ1940" s="298"/>
      <c r="AK1940" s="297"/>
      <c r="AN1940" s="298"/>
      <c r="AR1940" s="298"/>
    </row>
    <row r="1941" spans="2:44" s="290" customFormat="1" x14ac:dyDescent="0.2">
      <c r="B1941" s="302"/>
      <c r="D1941" s="302"/>
      <c r="E1941" s="302"/>
      <c r="K1941" s="303"/>
      <c r="L1941" s="303"/>
      <c r="M1941" s="303"/>
      <c r="AB1941" s="298"/>
      <c r="AC1941" s="297"/>
      <c r="AF1941" s="296"/>
      <c r="AG1941" s="297"/>
      <c r="AJ1941" s="298"/>
      <c r="AK1941" s="297"/>
      <c r="AN1941" s="298"/>
      <c r="AR1941" s="298"/>
    </row>
    <row r="1942" spans="2:44" s="290" customFormat="1" x14ac:dyDescent="0.2">
      <c r="B1942" s="302"/>
      <c r="D1942" s="302"/>
      <c r="E1942" s="302"/>
      <c r="K1942" s="303"/>
      <c r="L1942" s="303"/>
      <c r="M1942" s="303"/>
      <c r="AB1942" s="298"/>
      <c r="AC1942" s="297"/>
      <c r="AF1942" s="296"/>
      <c r="AG1942" s="297"/>
      <c r="AJ1942" s="298"/>
      <c r="AK1942" s="297"/>
      <c r="AN1942" s="298"/>
      <c r="AR1942" s="298"/>
    </row>
    <row r="1943" spans="2:44" s="290" customFormat="1" x14ac:dyDescent="0.2">
      <c r="B1943" s="302"/>
      <c r="D1943" s="302"/>
      <c r="E1943" s="302"/>
      <c r="K1943" s="303"/>
      <c r="L1943" s="303"/>
      <c r="M1943" s="303"/>
      <c r="AB1943" s="298"/>
      <c r="AC1943" s="297"/>
      <c r="AF1943" s="296"/>
      <c r="AG1943" s="297"/>
      <c r="AJ1943" s="298"/>
      <c r="AK1943" s="297"/>
      <c r="AN1943" s="298"/>
      <c r="AR1943" s="298"/>
    </row>
    <row r="1944" spans="2:44" s="290" customFormat="1" x14ac:dyDescent="0.2">
      <c r="B1944" s="302"/>
      <c r="D1944" s="302"/>
      <c r="E1944" s="302"/>
      <c r="K1944" s="303"/>
      <c r="L1944" s="303"/>
      <c r="M1944" s="303"/>
      <c r="AB1944" s="298"/>
      <c r="AC1944" s="297"/>
      <c r="AF1944" s="296"/>
      <c r="AG1944" s="297"/>
      <c r="AJ1944" s="298"/>
      <c r="AK1944" s="297"/>
      <c r="AN1944" s="298"/>
      <c r="AR1944" s="298"/>
    </row>
    <row r="1945" spans="2:44" s="290" customFormat="1" x14ac:dyDescent="0.2">
      <c r="B1945" s="302"/>
      <c r="D1945" s="302"/>
      <c r="E1945" s="302"/>
      <c r="K1945" s="303"/>
      <c r="L1945" s="303"/>
      <c r="M1945" s="303"/>
      <c r="AB1945" s="298"/>
      <c r="AC1945" s="297"/>
      <c r="AF1945" s="296"/>
      <c r="AG1945" s="297"/>
      <c r="AJ1945" s="298"/>
      <c r="AK1945" s="297"/>
      <c r="AN1945" s="298"/>
      <c r="AR1945" s="298"/>
    </row>
    <row r="1946" spans="2:44" s="290" customFormat="1" x14ac:dyDescent="0.2">
      <c r="B1946" s="302"/>
      <c r="D1946" s="302"/>
      <c r="E1946" s="302"/>
      <c r="K1946" s="303"/>
      <c r="L1946" s="303"/>
      <c r="M1946" s="303"/>
      <c r="AB1946" s="298"/>
      <c r="AC1946" s="297"/>
      <c r="AF1946" s="296"/>
      <c r="AG1946" s="297"/>
      <c r="AJ1946" s="298"/>
      <c r="AK1946" s="297"/>
      <c r="AN1946" s="298"/>
      <c r="AR1946" s="298"/>
    </row>
    <row r="1947" spans="2:44" s="290" customFormat="1" x14ac:dyDescent="0.2">
      <c r="B1947" s="302"/>
      <c r="D1947" s="302"/>
      <c r="E1947" s="302"/>
      <c r="K1947" s="303"/>
      <c r="L1947" s="303"/>
      <c r="M1947" s="303"/>
      <c r="AB1947" s="298"/>
      <c r="AC1947" s="297"/>
      <c r="AF1947" s="296"/>
      <c r="AG1947" s="297"/>
      <c r="AJ1947" s="298"/>
      <c r="AK1947" s="297"/>
      <c r="AN1947" s="298"/>
      <c r="AR1947" s="298"/>
    </row>
    <row r="1948" spans="2:44" s="290" customFormat="1" x14ac:dyDescent="0.2">
      <c r="B1948" s="302"/>
      <c r="D1948" s="302"/>
      <c r="E1948" s="302"/>
      <c r="K1948" s="303"/>
      <c r="L1948" s="303"/>
      <c r="M1948" s="303"/>
      <c r="AB1948" s="298"/>
      <c r="AC1948" s="297"/>
      <c r="AF1948" s="296"/>
      <c r="AG1948" s="297"/>
      <c r="AJ1948" s="298"/>
      <c r="AK1948" s="297"/>
      <c r="AN1948" s="298"/>
      <c r="AR1948" s="298"/>
    </row>
    <row r="1949" spans="2:44" s="290" customFormat="1" x14ac:dyDescent="0.2">
      <c r="B1949" s="302"/>
      <c r="D1949" s="302"/>
      <c r="E1949" s="302"/>
      <c r="K1949" s="303"/>
      <c r="L1949" s="303"/>
      <c r="M1949" s="303"/>
      <c r="AB1949" s="298"/>
      <c r="AC1949" s="297"/>
      <c r="AF1949" s="296"/>
      <c r="AG1949" s="297"/>
      <c r="AJ1949" s="298"/>
      <c r="AK1949" s="297"/>
      <c r="AN1949" s="298"/>
      <c r="AR1949" s="298"/>
    </row>
    <row r="1950" spans="2:44" s="290" customFormat="1" x14ac:dyDescent="0.2">
      <c r="B1950" s="302"/>
      <c r="D1950" s="302"/>
      <c r="E1950" s="302"/>
      <c r="K1950" s="303"/>
      <c r="L1950" s="303"/>
      <c r="M1950" s="303"/>
      <c r="AB1950" s="298"/>
      <c r="AC1950" s="297"/>
      <c r="AF1950" s="296"/>
      <c r="AG1950" s="297"/>
      <c r="AJ1950" s="298"/>
      <c r="AK1950" s="297"/>
      <c r="AN1950" s="298"/>
      <c r="AR1950" s="298"/>
    </row>
    <row r="1951" spans="2:44" s="290" customFormat="1" x14ac:dyDescent="0.2">
      <c r="B1951" s="302"/>
      <c r="D1951" s="302"/>
      <c r="E1951" s="302"/>
      <c r="K1951" s="303"/>
      <c r="L1951" s="303"/>
      <c r="M1951" s="303"/>
      <c r="AB1951" s="298"/>
      <c r="AC1951" s="297"/>
      <c r="AF1951" s="296"/>
      <c r="AG1951" s="297"/>
      <c r="AJ1951" s="298"/>
      <c r="AK1951" s="297"/>
      <c r="AN1951" s="298"/>
      <c r="AR1951" s="298"/>
    </row>
    <row r="1952" spans="2:44" s="290" customFormat="1" x14ac:dyDescent="0.2">
      <c r="B1952" s="302"/>
      <c r="D1952" s="302"/>
      <c r="E1952" s="302"/>
      <c r="K1952" s="303"/>
      <c r="L1952" s="303"/>
      <c r="M1952" s="303"/>
      <c r="AB1952" s="298"/>
      <c r="AC1952" s="297"/>
      <c r="AF1952" s="296"/>
      <c r="AG1952" s="297"/>
      <c r="AJ1952" s="298"/>
      <c r="AK1952" s="297"/>
      <c r="AN1952" s="298"/>
      <c r="AR1952" s="298"/>
    </row>
    <row r="1953" spans="2:44" s="290" customFormat="1" x14ac:dyDescent="0.2">
      <c r="B1953" s="302"/>
      <c r="D1953" s="302"/>
      <c r="E1953" s="302"/>
      <c r="K1953" s="303"/>
      <c r="L1953" s="303"/>
      <c r="M1953" s="303"/>
      <c r="AB1953" s="298"/>
      <c r="AC1953" s="297"/>
      <c r="AF1953" s="296"/>
      <c r="AG1953" s="297"/>
      <c r="AJ1953" s="298"/>
      <c r="AK1953" s="297"/>
      <c r="AN1953" s="298"/>
      <c r="AR1953" s="298"/>
    </row>
    <row r="1954" spans="2:44" s="290" customFormat="1" x14ac:dyDescent="0.2">
      <c r="B1954" s="302"/>
      <c r="D1954" s="302"/>
      <c r="E1954" s="302"/>
      <c r="K1954" s="303"/>
      <c r="L1954" s="303"/>
      <c r="M1954" s="303"/>
      <c r="AB1954" s="298"/>
      <c r="AC1954" s="297"/>
      <c r="AF1954" s="296"/>
      <c r="AG1954" s="297"/>
      <c r="AJ1954" s="298"/>
      <c r="AK1954" s="297"/>
      <c r="AN1954" s="298"/>
      <c r="AR1954" s="298"/>
    </row>
    <row r="1955" spans="2:44" s="290" customFormat="1" x14ac:dyDescent="0.2">
      <c r="B1955" s="302"/>
      <c r="D1955" s="302"/>
      <c r="E1955" s="302"/>
      <c r="K1955" s="303"/>
      <c r="L1955" s="303"/>
      <c r="M1955" s="303"/>
      <c r="AB1955" s="298"/>
      <c r="AC1955" s="297"/>
      <c r="AF1955" s="296"/>
      <c r="AG1955" s="297"/>
      <c r="AJ1955" s="298"/>
      <c r="AK1955" s="297"/>
      <c r="AN1955" s="298"/>
      <c r="AR1955" s="298"/>
    </row>
    <row r="1956" spans="2:44" s="290" customFormat="1" x14ac:dyDescent="0.2">
      <c r="B1956" s="302"/>
      <c r="D1956" s="302"/>
      <c r="E1956" s="302"/>
      <c r="K1956" s="303"/>
      <c r="L1956" s="303"/>
      <c r="M1956" s="303"/>
      <c r="AB1956" s="298"/>
      <c r="AC1956" s="297"/>
      <c r="AF1956" s="296"/>
      <c r="AG1956" s="297"/>
      <c r="AJ1956" s="298"/>
      <c r="AK1956" s="297"/>
      <c r="AN1956" s="298"/>
      <c r="AR1956" s="298"/>
    </row>
    <row r="1957" spans="2:44" s="290" customFormat="1" x14ac:dyDescent="0.2">
      <c r="B1957" s="302"/>
      <c r="D1957" s="302"/>
      <c r="E1957" s="302"/>
      <c r="K1957" s="303"/>
      <c r="L1957" s="303"/>
      <c r="M1957" s="303"/>
      <c r="AB1957" s="298"/>
      <c r="AC1957" s="297"/>
      <c r="AF1957" s="296"/>
      <c r="AG1957" s="297"/>
      <c r="AJ1957" s="298"/>
      <c r="AK1957" s="297"/>
      <c r="AN1957" s="298"/>
      <c r="AR1957" s="298"/>
    </row>
    <row r="1958" spans="2:44" s="290" customFormat="1" x14ac:dyDescent="0.2">
      <c r="B1958" s="302"/>
      <c r="D1958" s="302"/>
      <c r="E1958" s="302"/>
      <c r="K1958" s="303"/>
      <c r="L1958" s="303"/>
      <c r="M1958" s="303"/>
      <c r="AB1958" s="298"/>
      <c r="AC1958" s="297"/>
      <c r="AF1958" s="296"/>
      <c r="AG1958" s="297"/>
      <c r="AJ1958" s="298"/>
      <c r="AK1958" s="297"/>
      <c r="AN1958" s="298"/>
      <c r="AR1958" s="298"/>
    </row>
    <row r="1959" spans="2:44" s="290" customFormat="1" x14ac:dyDescent="0.2">
      <c r="B1959" s="302"/>
      <c r="D1959" s="302"/>
      <c r="E1959" s="302"/>
      <c r="K1959" s="303"/>
      <c r="L1959" s="303"/>
      <c r="M1959" s="303"/>
      <c r="AB1959" s="298"/>
      <c r="AC1959" s="297"/>
      <c r="AF1959" s="296"/>
      <c r="AG1959" s="297"/>
      <c r="AJ1959" s="298"/>
      <c r="AK1959" s="297"/>
      <c r="AN1959" s="298"/>
      <c r="AR1959" s="298"/>
    </row>
    <row r="1960" spans="2:44" s="290" customFormat="1" x14ac:dyDescent="0.2">
      <c r="B1960" s="302"/>
      <c r="D1960" s="302"/>
      <c r="E1960" s="302"/>
      <c r="K1960" s="303"/>
      <c r="L1960" s="303"/>
      <c r="M1960" s="303"/>
      <c r="AB1960" s="298"/>
      <c r="AC1960" s="297"/>
      <c r="AF1960" s="296"/>
      <c r="AG1960" s="297"/>
      <c r="AJ1960" s="298"/>
      <c r="AK1960" s="297"/>
      <c r="AN1960" s="298"/>
      <c r="AR1960" s="298"/>
    </row>
    <row r="1961" spans="2:44" s="290" customFormat="1" x14ac:dyDescent="0.2">
      <c r="B1961" s="302"/>
      <c r="D1961" s="302"/>
      <c r="E1961" s="302"/>
      <c r="K1961" s="303"/>
      <c r="L1961" s="303"/>
      <c r="M1961" s="303"/>
      <c r="AB1961" s="298"/>
      <c r="AC1961" s="297"/>
      <c r="AF1961" s="296"/>
      <c r="AG1961" s="297"/>
      <c r="AJ1961" s="298"/>
      <c r="AK1961" s="297"/>
      <c r="AN1961" s="298"/>
      <c r="AR1961" s="298"/>
    </row>
    <row r="1962" spans="2:44" s="290" customFormat="1" x14ac:dyDescent="0.2">
      <c r="B1962" s="302"/>
      <c r="D1962" s="302"/>
      <c r="E1962" s="302"/>
      <c r="K1962" s="303"/>
      <c r="L1962" s="303"/>
      <c r="M1962" s="303"/>
      <c r="AB1962" s="298"/>
      <c r="AC1962" s="297"/>
      <c r="AF1962" s="296"/>
      <c r="AG1962" s="297"/>
      <c r="AJ1962" s="298"/>
      <c r="AK1962" s="297"/>
      <c r="AN1962" s="298"/>
      <c r="AR1962" s="298"/>
    </row>
    <row r="1963" spans="2:44" s="290" customFormat="1" x14ac:dyDescent="0.2">
      <c r="B1963" s="302"/>
      <c r="D1963" s="302"/>
      <c r="E1963" s="302"/>
      <c r="K1963" s="303"/>
      <c r="L1963" s="303"/>
      <c r="M1963" s="303"/>
      <c r="AB1963" s="298"/>
      <c r="AC1963" s="297"/>
      <c r="AF1963" s="296"/>
      <c r="AG1963" s="297"/>
      <c r="AJ1963" s="298"/>
      <c r="AK1963" s="297"/>
      <c r="AN1963" s="298"/>
      <c r="AR1963" s="298"/>
    </row>
    <row r="1964" spans="2:44" s="290" customFormat="1" x14ac:dyDescent="0.2">
      <c r="B1964" s="302"/>
      <c r="D1964" s="302"/>
      <c r="E1964" s="302"/>
      <c r="K1964" s="303"/>
      <c r="L1964" s="303"/>
      <c r="M1964" s="303"/>
      <c r="AB1964" s="298"/>
      <c r="AC1964" s="297"/>
      <c r="AF1964" s="296"/>
      <c r="AG1964" s="297"/>
      <c r="AJ1964" s="298"/>
      <c r="AK1964" s="297"/>
      <c r="AN1964" s="298"/>
      <c r="AR1964" s="298"/>
    </row>
    <row r="1965" spans="2:44" s="290" customFormat="1" x14ac:dyDescent="0.2">
      <c r="B1965" s="302"/>
      <c r="D1965" s="302"/>
      <c r="E1965" s="302"/>
      <c r="K1965" s="303"/>
      <c r="L1965" s="303"/>
      <c r="M1965" s="303"/>
      <c r="AB1965" s="298"/>
      <c r="AC1965" s="297"/>
      <c r="AF1965" s="296"/>
      <c r="AG1965" s="297"/>
      <c r="AJ1965" s="298"/>
      <c r="AK1965" s="297"/>
      <c r="AN1965" s="298"/>
      <c r="AR1965" s="298"/>
    </row>
    <row r="1966" spans="2:44" s="290" customFormat="1" x14ac:dyDescent="0.2">
      <c r="B1966" s="302"/>
      <c r="D1966" s="302"/>
      <c r="E1966" s="302"/>
      <c r="K1966" s="303"/>
      <c r="L1966" s="303"/>
      <c r="M1966" s="303"/>
      <c r="AB1966" s="298"/>
      <c r="AC1966" s="297"/>
      <c r="AF1966" s="296"/>
      <c r="AG1966" s="297"/>
      <c r="AJ1966" s="298"/>
      <c r="AK1966" s="297"/>
      <c r="AN1966" s="298"/>
      <c r="AR1966" s="298"/>
    </row>
    <row r="1967" spans="2:44" s="290" customFormat="1" x14ac:dyDescent="0.2">
      <c r="B1967" s="302"/>
      <c r="D1967" s="302"/>
      <c r="E1967" s="302"/>
      <c r="K1967" s="303"/>
      <c r="L1967" s="303"/>
      <c r="M1967" s="303"/>
      <c r="AB1967" s="298"/>
      <c r="AC1967" s="297"/>
      <c r="AF1967" s="296"/>
      <c r="AG1967" s="297"/>
      <c r="AJ1967" s="298"/>
      <c r="AK1967" s="297"/>
      <c r="AN1967" s="298"/>
      <c r="AR1967" s="298"/>
    </row>
    <row r="1968" spans="2:44" s="290" customFormat="1" x14ac:dyDescent="0.2">
      <c r="B1968" s="302"/>
      <c r="D1968" s="302"/>
      <c r="E1968" s="302"/>
      <c r="K1968" s="303"/>
      <c r="L1968" s="303"/>
      <c r="M1968" s="303"/>
      <c r="AB1968" s="298"/>
      <c r="AC1968" s="297"/>
      <c r="AF1968" s="296"/>
      <c r="AG1968" s="297"/>
      <c r="AJ1968" s="298"/>
      <c r="AK1968" s="297"/>
      <c r="AN1968" s="298"/>
      <c r="AR1968" s="298"/>
    </row>
    <row r="1969" spans="2:44" s="290" customFormat="1" x14ac:dyDescent="0.2">
      <c r="B1969" s="302"/>
      <c r="D1969" s="302"/>
      <c r="E1969" s="302"/>
      <c r="K1969" s="303"/>
      <c r="L1969" s="303"/>
      <c r="M1969" s="303"/>
      <c r="AB1969" s="298"/>
      <c r="AC1969" s="297"/>
      <c r="AF1969" s="296"/>
      <c r="AG1969" s="297"/>
      <c r="AJ1969" s="298"/>
      <c r="AK1969" s="297"/>
      <c r="AN1969" s="298"/>
      <c r="AR1969" s="298"/>
    </row>
    <row r="1970" spans="2:44" s="290" customFormat="1" x14ac:dyDescent="0.2">
      <c r="B1970" s="302"/>
      <c r="D1970" s="302"/>
      <c r="E1970" s="302"/>
      <c r="K1970" s="303"/>
      <c r="L1970" s="303"/>
      <c r="M1970" s="303"/>
      <c r="AB1970" s="298"/>
      <c r="AC1970" s="297"/>
      <c r="AF1970" s="296"/>
      <c r="AG1970" s="297"/>
      <c r="AJ1970" s="298"/>
      <c r="AK1970" s="297"/>
      <c r="AN1970" s="298"/>
      <c r="AR1970" s="298"/>
    </row>
    <row r="1971" spans="2:44" s="290" customFormat="1" x14ac:dyDescent="0.2">
      <c r="B1971" s="302"/>
      <c r="D1971" s="302"/>
      <c r="E1971" s="302"/>
      <c r="K1971" s="303"/>
      <c r="L1971" s="303"/>
      <c r="M1971" s="303"/>
      <c r="AB1971" s="298"/>
      <c r="AC1971" s="297"/>
      <c r="AF1971" s="296"/>
      <c r="AG1971" s="297"/>
      <c r="AJ1971" s="298"/>
      <c r="AK1971" s="297"/>
      <c r="AN1971" s="298"/>
      <c r="AR1971" s="298"/>
    </row>
    <row r="1972" spans="2:44" s="290" customFormat="1" x14ac:dyDescent="0.2">
      <c r="B1972" s="302"/>
      <c r="D1972" s="302"/>
      <c r="E1972" s="302"/>
      <c r="K1972" s="303"/>
      <c r="L1972" s="303"/>
      <c r="M1972" s="303"/>
      <c r="AB1972" s="298"/>
      <c r="AC1972" s="297"/>
      <c r="AF1972" s="296"/>
      <c r="AG1972" s="297"/>
      <c r="AJ1972" s="298"/>
      <c r="AK1972" s="297"/>
      <c r="AN1972" s="298"/>
      <c r="AR1972" s="298"/>
    </row>
    <row r="1973" spans="2:44" s="290" customFormat="1" x14ac:dyDescent="0.2">
      <c r="B1973" s="302"/>
      <c r="D1973" s="302"/>
      <c r="E1973" s="302"/>
      <c r="K1973" s="303"/>
      <c r="L1973" s="303"/>
      <c r="M1973" s="303"/>
      <c r="AB1973" s="298"/>
      <c r="AC1973" s="297"/>
      <c r="AF1973" s="296"/>
      <c r="AG1973" s="297"/>
      <c r="AJ1973" s="298"/>
      <c r="AK1973" s="297"/>
      <c r="AN1973" s="298"/>
      <c r="AR1973" s="298"/>
    </row>
    <row r="1974" spans="2:44" s="290" customFormat="1" x14ac:dyDescent="0.2">
      <c r="B1974" s="302"/>
      <c r="D1974" s="302"/>
      <c r="E1974" s="302"/>
      <c r="K1974" s="303"/>
      <c r="L1974" s="303"/>
      <c r="M1974" s="303"/>
      <c r="AB1974" s="298"/>
      <c r="AC1974" s="297"/>
      <c r="AF1974" s="296"/>
      <c r="AG1974" s="297"/>
      <c r="AJ1974" s="298"/>
      <c r="AK1974" s="297"/>
      <c r="AN1974" s="298"/>
      <c r="AR1974" s="298"/>
    </row>
    <row r="1975" spans="2:44" s="290" customFormat="1" x14ac:dyDescent="0.2">
      <c r="B1975" s="302"/>
      <c r="D1975" s="302"/>
      <c r="E1975" s="302"/>
      <c r="K1975" s="303"/>
      <c r="L1975" s="303"/>
      <c r="M1975" s="303"/>
      <c r="AB1975" s="298"/>
      <c r="AC1975" s="297"/>
      <c r="AF1975" s="296"/>
      <c r="AG1975" s="297"/>
      <c r="AJ1975" s="298"/>
      <c r="AK1975" s="297"/>
      <c r="AN1975" s="298"/>
      <c r="AR1975" s="298"/>
    </row>
    <row r="1976" spans="2:44" s="290" customFormat="1" x14ac:dyDescent="0.2">
      <c r="B1976" s="302"/>
      <c r="D1976" s="302"/>
      <c r="E1976" s="302"/>
      <c r="K1976" s="303"/>
      <c r="L1976" s="303"/>
      <c r="M1976" s="303"/>
      <c r="AB1976" s="298"/>
      <c r="AC1976" s="297"/>
      <c r="AF1976" s="296"/>
      <c r="AG1976" s="297"/>
      <c r="AJ1976" s="298"/>
      <c r="AK1976" s="297"/>
      <c r="AN1976" s="298"/>
      <c r="AR1976" s="298"/>
    </row>
    <row r="1977" spans="2:44" s="290" customFormat="1" x14ac:dyDescent="0.2">
      <c r="B1977" s="302"/>
      <c r="D1977" s="302"/>
      <c r="E1977" s="302"/>
      <c r="K1977" s="303"/>
      <c r="L1977" s="303"/>
      <c r="M1977" s="303"/>
      <c r="AB1977" s="298"/>
      <c r="AC1977" s="297"/>
      <c r="AF1977" s="296"/>
      <c r="AG1977" s="297"/>
      <c r="AJ1977" s="298"/>
      <c r="AK1977" s="297"/>
      <c r="AN1977" s="298"/>
      <c r="AR1977" s="298"/>
    </row>
    <row r="1978" spans="2:44" s="290" customFormat="1" x14ac:dyDescent="0.2">
      <c r="B1978" s="302"/>
      <c r="D1978" s="302"/>
      <c r="E1978" s="302"/>
      <c r="K1978" s="303"/>
      <c r="L1978" s="303"/>
      <c r="M1978" s="303"/>
      <c r="AB1978" s="298"/>
      <c r="AC1978" s="297"/>
      <c r="AF1978" s="296"/>
      <c r="AG1978" s="297"/>
      <c r="AJ1978" s="298"/>
      <c r="AK1978" s="297"/>
      <c r="AN1978" s="298"/>
      <c r="AR1978" s="298"/>
    </row>
    <row r="1979" spans="2:44" s="290" customFormat="1" x14ac:dyDescent="0.2">
      <c r="B1979" s="302"/>
      <c r="D1979" s="302"/>
      <c r="E1979" s="302"/>
      <c r="K1979" s="303"/>
      <c r="L1979" s="303"/>
      <c r="M1979" s="303"/>
      <c r="AB1979" s="298"/>
      <c r="AC1979" s="297"/>
      <c r="AF1979" s="296"/>
      <c r="AG1979" s="297"/>
      <c r="AJ1979" s="298"/>
      <c r="AK1979" s="297"/>
      <c r="AN1979" s="298"/>
      <c r="AR1979" s="298"/>
    </row>
    <row r="1980" spans="2:44" s="290" customFormat="1" x14ac:dyDescent="0.2">
      <c r="B1980" s="302"/>
      <c r="D1980" s="302"/>
      <c r="E1980" s="302"/>
      <c r="K1980" s="303"/>
      <c r="L1980" s="303"/>
      <c r="M1980" s="303"/>
      <c r="AB1980" s="298"/>
      <c r="AC1980" s="297"/>
      <c r="AF1980" s="296"/>
      <c r="AG1980" s="297"/>
      <c r="AJ1980" s="298"/>
      <c r="AK1980" s="297"/>
      <c r="AN1980" s="298"/>
      <c r="AR1980" s="298"/>
    </row>
    <row r="1981" spans="2:44" s="290" customFormat="1" x14ac:dyDescent="0.2">
      <c r="B1981" s="302"/>
      <c r="D1981" s="302"/>
      <c r="E1981" s="302"/>
      <c r="K1981" s="303"/>
      <c r="L1981" s="303"/>
      <c r="M1981" s="303"/>
      <c r="AB1981" s="298"/>
      <c r="AC1981" s="297"/>
      <c r="AF1981" s="296"/>
      <c r="AG1981" s="297"/>
      <c r="AJ1981" s="298"/>
      <c r="AK1981" s="297"/>
      <c r="AN1981" s="298"/>
      <c r="AR1981" s="298"/>
    </row>
    <row r="1982" spans="2:44" s="290" customFormat="1" x14ac:dyDescent="0.2">
      <c r="B1982" s="302"/>
      <c r="D1982" s="302"/>
      <c r="E1982" s="302"/>
      <c r="K1982" s="303"/>
      <c r="L1982" s="303"/>
      <c r="M1982" s="303"/>
      <c r="AB1982" s="298"/>
      <c r="AC1982" s="297"/>
      <c r="AF1982" s="296"/>
      <c r="AG1982" s="297"/>
      <c r="AJ1982" s="298"/>
      <c r="AK1982" s="297"/>
      <c r="AN1982" s="298"/>
      <c r="AR1982" s="298"/>
    </row>
    <row r="1983" spans="2:44" s="290" customFormat="1" x14ac:dyDescent="0.2">
      <c r="B1983" s="302"/>
      <c r="D1983" s="302"/>
      <c r="E1983" s="302"/>
      <c r="K1983" s="303"/>
      <c r="L1983" s="303"/>
      <c r="M1983" s="303"/>
      <c r="AB1983" s="298"/>
      <c r="AC1983" s="297"/>
      <c r="AF1983" s="296"/>
      <c r="AG1983" s="297"/>
      <c r="AJ1983" s="298"/>
      <c r="AK1983" s="297"/>
      <c r="AN1983" s="298"/>
      <c r="AR1983" s="298"/>
    </row>
    <row r="1984" spans="2:44" s="290" customFormat="1" x14ac:dyDescent="0.2">
      <c r="B1984" s="302"/>
      <c r="D1984" s="302"/>
      <c r="E1984" s="302"/>
      <c r="K1984" s="303"/>
      <c r="L1984" s="303"/>
      <c r="M1984" s="303"/>
      <c r="AB1984" s="298"/>
      <c r="AC1984" s="297"/>
      <c r="AF1984" s="296"/>
      <c r="AG1984" s="297"/>
      <c r="AJ1984" s="298"/>
      <c r="AK1984" s="297"/>
      <c r="AN1984" s="298"/>
      <c r="AR1984" s="298"/>
    </row>
    <row r="1985" spans="2:44" s="290" customFormat="1" x14ac:dyDescent="0.2">
      <c r="B1985" s="302"/>
      <c r="D1985" s="302"/>
      <c r="E1985" s="302"/>
      <c r="K1985" s="303"/>
      <c r="L1985" s="303"/>
      <c r="M1985" s="303"/>
      <c r="AB1985" s="298"/>
      <c r="AC1985" s="297"/>
      <c r="AF1985" s="296"/>
      <c r="AG1985" s="297"/>
      <c r="AJ1985" s="298"/>
      <c r="AK1985" s="297"/>
      <c r="AN1985" s="298"/>
      <c r="AR1985" s="298"/>
    </row>
    <row r="1986" spans="2:44" s="290" customFormat="1" x14ac:dyDescent="0.2">
      <c r="B1986" s="302"/>
      <c r="D1986" s="302"/>
      <c r="E1986" s="302"/>
      <c r="K1986" s="303"/>
      <c r="L1986" s="303"/>
      <c r="M1986" s="303"/>
      <c r="AB1986" s="298"/>
      <c r="AC1986" s="297"/>
      <c r="AF1986" s="296"/>
      <c r="AG1986" s="297"/>
      <c r="AJ1986" s="298"/>
      <c r="AK1986" s="297"/>
      <c r="AN1986" s="298"/>
      <c r="AR1986" s="298"/>
    </row>
    <row r="1987" spans="2:44" s="290" customFormat="1" x14ac:dyDescent="0.2">
      <c r="B1987" s="302"/>
      <c r="D1987" s="302"/>
      <c r="E1987" s="302"/>
      <c r="K1987" s="303"/>
      <c r="L1987" s="303"/>
      <c r="M1987" s="303"/>
      <c r="AB1987" s="298"/>
      <c r="AC1987" s="297"/>
      <c r="AF1987" s="296"/>
      <c r="AG1987" s="297"/>
      <c r="AJ1987" s="298"/>
      <c r="AK1987" s="297"/>
      <c r="AN1987" s="298"/>
      <c r="AR1987" s="298"/>
    </row>
    <row r="1988" spans="2:44" s="290" customFormat="1" x14ac:dyDescent="0.2">
      <c r="B1988" s="302"/>
      <c r="D1988" s="302"/>
      <c r="E1988" s="302"/>
      <c r="K1988" s="303"/>
      <c r="L1988" s="303"/>
      <c r="M1988" s="303"/>
      <c r="AB1988" s="298"/>
      <c r="AC1988" s="297"/>
      <c r="AF1988" s="296"/>
      <c r="AG1988" s="297"/>
      <c r="AJ1988" s="298"/>
      <c r="AK1988" s="297"/>
      <c r="AN1988" s="298"/>
      <c r="AR1988" s="298"/>
    </row>
    <row r="1989" spans="2:44" s="290" customFormat="1" x14ac:dyDescent="0.2">
      <c r="B1989" s="302"/>
      <c r="D1989" s="302"/>
      <c r="E1989" s="302"/>
      <c r="K1989" s="303"/>
      <c r="L1989" s="303"/>
      <c r="M1989" s="303"/>
      <c r="AB1989" s="298"/>
      <c r="AC1989" s="297"/>
      <c r="AF1989" s="296"/>
      <c r="AG1989" s="297"/>
      <c r="AJ1989" s="298"/>
      <c r="AK1989" s="297"/>
      <c r="AN1989" s="298"/>
      <c r="AR1989" s="298"/>
    </row>
    <row r="1990" spans="2:44" s="290" customFormat="1" x14ac:dyDescent="0.2">
      <c r="B1990" s="302"/>
      <c r="D1990" s="302"/>
      <c r="E1990" s="302"/>
      <c r="K1990" s="303"/>
      <c r="L1990" s="303"/>
      <c r="M1990" s="303"/>
      <c r="AB1990" s="298"/>
      <c r="AC1990" s="297"/>
      <c r="AF1990" s="296"/>
      <c r="AG1990" s="297"/>
      <c r="AJ1990" s="298"/>
      <c r="AK1990" s="297"/>
      <c r="AN1990" s="298"/>
      <c r="AR1990" s="298"/>
    </row>
    <row r="1991" spans="2:44" s="290" customFormat="1" x14ac:dyDescent="0.2">
      <c r="B1991" s="302"/>
      <c r="D1991" s="302"/>
      <c r="E1991" s="302"/>
      <c r="K1991" s="303"/>
      <c r="L1991" s="303"/>
      <c r="M1991" s="303"/>
      <c r="AB1991" s="298"/>
      <c r="AC1991" s="297"/>
      <c r="AF1991" s="296"/>
      <c r="AG1991" s="297"/>
      <c r="AJ1991" s="298"/>
      <c r="AK1991" s="297"/>
      <c r="AN1991" s="298"/>
      <c r="AR1991" s="298"/>
    </row>
    <row r="1992" spans="2:44" s="290" customFormat="1" x14ac:dyDescent="0.2">
      <c r="B1992" s="302"/>
      <c r="D1992" s="302"/>
      <c r="E1992" s="302"/>
      <c r="K1992" s="303"/>
      <c r="L1992" s="303"/>
      <c r="M1992" s="303"/>
      <c r="AB1992" s="298"/>
      <c r="AC1992" s="297"/>
      <c r="AF1992" s="296"/>
      <c r="AG1992" s="297"/>
      <c r="AJ1992" s="298"/>
      <c r="AK1992" s="297"/>
      <c r="AN1992" s="298"/>
      <c r="AR1992" s="298"/>
    </row>
    <row r="1993" spans="2:44" s="290" customFormat="1" x14ac:dyDescent="0.2">
      <c r="B1993" s="302"/>
      <c r="D1993" s="302"/>
      <c r="E1993" s="302"/>
      <c r="K1993" s="303"/>
      <c r="L1993" s="303"/>
      <c r="M1993" s="303"/>
      <c r="AB1993" s="298"/>
      <c r="AC1993" s="297"/>
      <c r="AF1993" s="296"/>
      <c r="AG1993" s="297"/>
      <c r="AJ1993" s="298"/>
      <c r="AK1993" s="297"/>
      <c r="AN1993" s="298"/>
      <c r="AR1993" s="298"/>
    </row>
    <row r="1994" spans="2:44" s="290" customFormat="1" x14ac:dyDescent="0.2">
      <c r="B1994" s="302"/>
      <c r="D1994" s="302"/>
      <c r="E1994" s="302"/>
      <c r="K1994" s="303"/>
      <c r="L1994" s="303"/>
      <c r="M1994" s="303"/>
      <c r="AB1994" s="298"/>
      <c r="AC1994" s="297"/>
      <c r="AF1994" s="296"/>
      <c r="AG1994" s="297"/>
      <c r="AJ1994" s="298"/>
      <c r="AK1994" s="297"/>
      <c r="AN1994" s="298"/>
      <c r="AR1994" s="298"/>
    </row>
    <row r="1995" spans="2:44" s="290" customFormat="1" x14ac:dyDescent="0.2">
      <c r="B1995" s="302"/>
      <c r="D1995" s="302"/>
      <c r="E1995" s="302"/>
      <c r="K1995" s="303"/>
      <c r="L1995" s="303"/>
      <c r="M1995" s="303"/>
      <c r="AB1995" s="298"/>
      <c r="AC1995" s="297"/>
      <c r="AF1995" s="296"/>
      <c r="AG1995" s="297"/>
      <c r="AJ1995" s="298"/>
      <c r="AK1995" s="297"/>
      <c r="AN1995" s="298"/>
      <c r="AR1995" s="298"/>
    </row>
    <row r="1996" spans="2:44" s="290" customFormat="1" x14ac:dyDescent="0.2">
      <c r="B1996" s="302"/>
      <c r="D1996" s="302"/>
      <c r="E1996" s="302"/>
      <c r="K1996" s="303"/>
      <c r="L1996" s="303"/>
      <c r="M1996" s="303"/>
      <c r="AB1996" s="298"/>
      <c r="AC1996" s="297"/>
      <c r="AF1996" s="296"/>
      <c r="AG1996" s="297"/>
      <c r="AJ1996" s="298"/>
      <c r="AK1996" s="297"/>
      <c r="AN1996" s="298"/>
      <c r="AR1996" s="298"/>
    </row>
    <row r="1997" spans="2:44" s="290" customFormat="1" x14ac:dyDescent="0.2">
      <c r="B1997" s="302"/>
      <c r="D1997" s="302"/>
      <c r="E1997" s="302"/>
      <c r="K1997" s="303"/>
      <c r="L1997" s="303"/>
      <c r="M1997" s="303"/>
      <c r="AB1997" s="298"/>
      <c r="AC1997" s="297"/>
      <c r="AF1997" s="296"/>
      <c r="AG1997" s="297"/>
      <c r="AJ1997" s="298"/>
      <c r="AK1997" s="297"/>
      <c r="AN1997" s="298"/>
      <c r="AR1997" s="298"/>
    </row>
    <row r="1998" spans="2:44" s="290" customFormat="1" x14ac:dyDescent="0.2">
      <c r="B1998" s="302"/>
      <c r="D1998" s="302"/>
      <c r="E1998" s="302"/>
      <c r="K1998" s="303"/>
      <c r="L1998" s="303"/>
      <c r="M1998" s="303"/>
      <c r="AB1998" s="298"/>
      <c r="AC1998" s="297"/>
      <c r="AF1998" s="296"/>
      <c r="AG1998" s="297"/>
      <c r="AJ1998" s="298"/>
      <c r="AK1998" s="297"/>
      <c r="AN1998" s="298"/>
      <c r="AR1998" s="298"/>
    </row>
    <row r="1999" spans="2:44" s="290" customFormat="1" x14ac:dyDescent="0.2">
      <c r="B1999" s="302"/>
      <c r="D1999" s="302"/>
      <c r="E1999" s="302"/>
      <c r="K1999" s="303"/>
      <c r="L1999" s="303"/>
      <c r="M1999" s="303"/>
      <c r="AB1999" s="298"/>
      <c r="AC1999" s="297"/>
      <c r="AF1999" s="296"/>
      <c r="AG1999" s="297"/>
      <c r="AJ1999" s="298"/>
      <c r="AK1999" s="297"/>
      <c r="AN1999" s="298"/>
      <c r="AR1999" s="298"/>
    </row>
    <row r="2000" spans="2:44" s="290" customFormat="1" x14ac:dyDescent="0.2">
      <c r="B2000" s="302"/>
      <c r="D2000" s="302"/>
      <c r="E2000" s="302"/>
      <c r="K2000" s="303"/>
      <c r="L2000" s="303"/>
      <c r="M2000" s="303"/>
      <c r="AB2000" s="298"/>
      <c r="AC2000" s="297"/>
      <c r="AF2000" s="296"/>
      <c r="AG2000" s="297"/>
      <c r="AJ2000" s="298"/>
      <c r="AK2000" s="297"/>
      <c r="AN2000" s="298"/>
      <c r="AR2000" s="298"/>
    </row>
    <row r="2001" spans="2:44" s="290" customFormat="1" x14ac:dyDescent="0.2">
      <c r="B2001" s="302"/>
      <c r="D2001" s="302"/>
      <c r="E2001" s="302"/>
      <c r="K2001" s="303"/>
      <c r="L2001" s="303"/>
      <c r="M2001" s="303"/>
      <c r="AB2001" s="298"/>
      <c r="AC2001" s="297"/>
      <c r="AF2001" s="296"/>
      <c r="AG2001" s="297"/>
      <c r="AJ2001" s="298"/>
      <c r="AK2001" s="297"/>
      <c r="AN2001" s="298"/>
      <c r="AR2001" s="298"/>
    </row>
    <row r="2002" spans="2:44" s="290" customFormat="1" x14ac:dyDescent="0.2">
      <c r="B2002" s="302"/>
      <c r="D2002" s="302"/>
      <c r="E2002" s="302"/>
      <c r="K2002" s="303"/>
      <c r="L2002" s="303"/>
      <c r="M2002" s="303"/>
      <c r="AB2002" s="298"/>
      <c r="AC2002" s="297"/>
      <c r="AF2002" s="296"/>
      <c r="AG2002" s="297"/>
      <c r="AJ2002" s="298"/>
      <c r="AK2002" s="297"/>
      <c r="AN2002" s="298"/>
      <c r="AR2002" s="298"/>
    </row>
    <row r="2003" spans="2:44" s="290" customFormat="1" x14ac:dyDescent="0.2">
      <c r="B2003" s="302"/>
      <c r="D2003" s="302"/>
      <c r="E2003" s="302"/>
      <c r="K2003" s="303"/>
      <c r="L2003" s="303"/>
      <c r="M2003" s="303"/>
      <c r="AB2003" s="298"/>
      <c r="AC2003" s="297"/>
      <c r="AF2003" s="296"/>
      <c r="AG2003" s="297"/>
      <c r="AJ2003" s="298"/>
      <c r="AK2003" s="297"/>
      <c r="AN2003" s="298"/>
      <c r="AR2003" s="298"/>
    </row>
    <row r="2004" spans="2:44" s="290" customFormat="1" x14ac:dyDescent="0.2">
      <c r="B2004" s="302"/>
      <c r="D2004" s="302"/>
      <c r="E2004" s="302"/>
      <c r="K2004" s="303"/>
      <c r="L2004" s="303"/>
      <c r="M2004" s="303"/>
      <c r="AB2004" s="298"/>
      <c r="AC2004" s="297"/>
      <c r="AF2004" s="296"/>
      <c r="AG2004" s="297"/>
      <c r="AJ2004" s="298"/>
      <c r="AK2004" s="297"/>
      <c r="AN2004" s="298"/>
      <c r="AR2004" s="298"/>
    </row>
    <row r="2005" spans="2:44" s="290" customFormat="1" x14ac:dyDescent="0.2">
      <c r="B2005" s="302"/>
      <c r="D2005" s="302"/>
      <c r="E2005" s="302"/>
      <c r="K2005" s="303"/>
      <c r="L2005" s="303"/>
      <c r="M2005" s="303"/>
      <c r="AB2005" s="298"/>
      <c r="AC2005" s="297"/>
      <c r="AF2005" s="296"/>
      <c r="AG2005" s="297"/>
      <c r="AJ2005" s="298"/>
      <c r="AK2005" s="297"/>
      <c r="AN2005" s="298"/>
      <c r="AR2005" s="298"/>
    </row>
    <row r="2006" spans="2:44" s="290" customFormat="1" x14ac:dyDescent="0.2">
      <c r="B2006" s="302"/>
      <c r="D2006" s="302"/>
      <c r="E2006" s="302"/>
      <c r="K2006" s="303"/>
      <c r="L2006" s="303"/>
      <c r="M2006" s="303"/>
      <c r="AB2006" s="298"/>
      <c r="AC2006" s="297"/>
      <c r="AF2006" s="296"/>
      <c r="AG2006" s="297"/>
      <c r="AJ2006" s="298"/>
      <c r="AK2006" s="297"/>
      <c r="AN2006" s="298"/>
      <c r="AR2006" s="298"/>
    </row>
    <row r="2007" spans="2:44" s="290" customFormat="1" x14ac:dyDescent="0.2">
      <c r="B2007" s="302"/>
      <c r="D2007" s="302"/>
      <c r="E2007" s="302"/>
      <c r="K2007" s="303"/>
      <c r="L2007" s="303"/>
      <c r="M2007" s="303"/>
      <c r="AB2007" s="298"/>
      <c r="AC2007" s="297"/>
      <c r="AF2007" s="296"/>
      <c r="AG2007" s="297"/>
      <c r="AJ2007" s="298"/>
      <c r="AK2007" s="297"/>
      <c r="AN2007" s="298"/>
      <c r="AR2007" s="298"/>
    </row>
    <row r="2008" spans="2:44" s="290" customFormat="1" x14ac:dyDescent="0.2">
      <c r="B2008" s="302"/>
      <c r="D2008" s="302"/>
      <c r="E2008" s="302"/>
      <c r="K2008" s="303"/>
      <c r="L2008" s="303"/>
      <c r="M2008" s="303"/>
      <c r="AB2008" s="298"/>
      <c r="AC2008" s="297"/>
      <c r="AF2008" s="296"/>
      <c r="AG2008" s="297"/>
      <c r="AJ2008" s="298"/>
      <c r="AK2008" s="297"/>
      <c r="AN2008" s="298"/>
      <c r="AR2008" s="298"/>
    </row>
    <row r="2009" spans="2:44" s="290" customFormat="1" x14ac:dyDescent="0.2">
      <c r="B2009" s="302"/>
      <c r="D2009" s="302"/>
      <c r="E2009" s="302"/>
      <c r="K2009" s="303"/>
      <c r="L2009" s="303"/>
      <c r="M2009" s="303"/>
      <c r="AB2009" s="298"/>
      <c r="AC2009" s="297"/>
      <c r="AF2009" s="296"/>
      <c r="AG2009" s="297"/>
      <c r="AJ2009" s="298"/>
      <c r="AK2009" s="297"/>
      <c r="AN2009" s="298"/>
      <c r="AR2009" s="298"/>
    </row>
    <row r="2010" spans="2:44" s="290" customFormat="1" x14ac:dyDescent="0.2">
      <c r="B2010" s="302"/>
      <c r="D2010" s="302"/>
      <c r="E2010" s="302"/>
      <c r="K2010" s="303"/>
      <c r="L2010" s="303"/>
      <c r="M2010" s="303"/>
      <c r="AB2010" s="298"/>
      <c r="AC2010" s="297"/>
      <c r="AF2010" s="296"/>
      <c r="AG2010" s="297"/>
      <c r="AJ2010" s="298"/>
      <c r="AK2010" s="297"/>
      <c r="AN2010" s="298"/>
      <c r="AR2010" s="298"/>
    </row>
    <row r="2011" spans="2:44" s="290" customFormat="1" x14ac:dyDescent="0.2">
      <c r="B2011" s="302"/>
      <c r="D2011" s="302"/>
      <c r="E2011" s="302"/>
      <c r="K2011" s="303"/>
      <c r="L2011" s="303"/>
      <c r="M2011" s="303"/>
      <c r="AB2011" s="298"/>
      <c r="AC2011" s="297"/>
      <c r="AF2011" s="296"/>
      <c r="AG2011" s="297"/>
      <c r="AJ2011" s="298"/>
      <c r="AK2011" s="297"/>
      <c r="AN2011" s="298"/>
      <c r="AR2011" s="298"/>
    </row>
    <row r="2012" spans="2:44" s="290" customFormat="1" x14ac:dyDescent="0.2">
      <c r="B2012" s="302"/>
      <c r="D2012" s="302"/>
      <c r="E2012" s="302"/>
      <c r="K2012" s="303"/>
      <c r="L2012" s="303"/>
      <c r="M2012" s="303"/>
      <c r="AB2012" s="298"/>
      <c r="AC2012" s="297"/>
      <c r="AF2012" s="296"/>
      <c r="AG2012" s="297"/>
      <c r="AJ2012" s="298"/>
      <c r="AK2012" s="297"/>
      <c r="AN2012" s="298"/>
      <c r="AR2012" s="298"/>
    </row>
    <row r="2013" spans="2:44" s="290" customFormat="1" x14ac:dyDescent="0.2">
      <c r="B2013" s="302"/>
      <c r="D2013" s="302"/>
      <c r="E2013" s="302"/>
      <c r="K2013" s="303"/>
      <c r="L2013" s="303"/>
      <c r="M2013" s="303"/>
      <c r="AB2013" s="298"/>
      <c r="AC2013" s="297"/>
      <c r="AF2013" s="296"/>
      <c r="AG2013" s="297"/>
      <c r="AJ2013" s="298"/>
      <c r="AK2013" s="297"/>
      <c r="AN2013" s="298"/>
      <c r="AR2013" s="298"/>
    </row>
    <row r="2014" spans="2:44" s="290" customFormat="1" x14ac:dyDescent="0.2">
      <c r="B2014" s="302"/>
      <c r="D2014" s="302"/>
      <c r="E2014" s="302"/>
      <c r="K2014" s="303"/>
      <c r="L2014" s="303"/>
      <c r="M2014" s="303"/>
      <c r="AB2014" s="298"/>
      <c r="AC2014" s="297"/>
      <c r="AF2014" s="296"/>
      <c r="AG2014" s="297"/>
      <c r="AJ2014" s="298"/>
      <c r="AK2014" s="297"/>
      <c r="AN2014" s="298"/>
      <c r="AR2014" s="298"/>
    </row>
    <row r="2015" spans="2:44" s="290" customFormat="1" x14ac:dyDescent="0.2">
      <c r="B2015" s="302"/>
      <c r="D2015" s="302"/>
      <c r="E2015" s="302"/>
      <c r="K2015" s="303"/>
      <c r="L2015" s="303"/>
      <c r="M2015" s="303"/>
      <c r="AB2015" s="298"/>
      <c r="AC2015" s="297"/>
      <c r="AF2015" s="296"/>
      <c r="AG2015" s="297"/>
      <c r="AJ2015" s="298"/>
      <c r="AK2015" s="297"/>
      <c r="AN2015" s="298"/>
      <c r="AR2015" s="298"/>
    </row>
    <row r="2016" spans="2:44" s="290" customFormat="1" x14ac:dyDescent="0.2">
      <c r="B2016" s="302"/>
      <c r="D2016" s="302"/>
      <c r="E2016" s="302"/>
      <c r="K2016" s="303"/>
      <c r="L2016" s="303"/>
      <c r="M2016" s="303"/>
      <c r="AB2016" s="298"/>
      <c r="AC2016" s="297"/>
      <c r="AF2016" s="296"/>
      <c r="AG2016" s="297"/>
      <c r="AJ2016" s="298"/>
      <c r="AK2016" s="297"/>
      <c r="AN2016" s="298"/>
      <c r="AR2016" s="298"/>
    </row>
    <row r="2017" spans="2:44" s="290" customFormat="1" x14ac:dyDescent="0.2">
      <c r="B2017" s="302"/>
      <c r="D2017" s="302"/>
      <c r="E2017" s="302"/>
      <c r="K2017" s="303"/>
      <c r="L2017" s="303"/>
      <c r="M2017" s="303"/>
      <c r="AB2017" s="298"/>
      <c r="AC2017" s="297"/>
      <c r="AF2017" s="296"/>
      <c r="AG2017" s="297"/>
      <c r="AJ2017" s="298"/>
      <c r="AK2017" s="297"/>
      <c r="AN2017" s="298"/>
      <c r="AR2017" s="298"/>
    </row>
    <row r="2018" spans="2:44" s="290" customFormat="1" x14ac:dyDescent="0.2">
      <c r="B2018" s="302"/>
      <c r="D2018" s="302"/>
      <c r="E2018" s="302"/>
      <c r="K2018" s="303"/>
      <c r="L2018" s="303"/>
      <c r="M2018" s="303"/>
      <c r="AB2018" s="298"/>
      <c r="AC2018" s="297"/>
      <c r="AF2018" s="296"/>
      <c r="AG2018" s="297"/>
      <c r="AJ2018" s="298"/>
      <c r="AK2018" s="297"/>
      <c r="AN2018" s="298"/>
      <c r="AR2018" s="298"/>
    </row>
    <row r="2019" spans="2:44" s="290" customFormat="1" x14ac:dyDescent="0.2">
      <c r="B2019" s="302"/>
      <c r="D2019" s="302"/>
      <c r="E2019" s="302"/>
      <c r="K2019" s="303"/>
      <c r="L2019" s="303"/>
      <c r="M2019" s="303"/>
      <c r="AB2019" s="298"/>
      <c r="AC2019" s="297"/>
      <c r="AF2019" s="296"/>
      <c r="AG2019" s="297"/>
      <c r="AJ2019" s="298"/>
      <c r="AK2019" s="297"/>
      <c r="AN2019" s="298"/>
      <c r="AR2019" s="298"/>
    </row>
    <row r="2020" spans="2:44" s="290" customFormat="1" x14ac:dyDescent="0.2">
      <c r="B2020" s="302"/>
      <c r="D2020" s="302"/>
      <c r="E2020" s="302"/>
      <c r="K2020" s="303"/>
      <c r="L2020" s="303"/>
      <c r="M2020" s="303"/>
      <c r="AB2020" s="298"/>
      <c r="AC2020" s="297"/>
      <c r="AF2020" s="296"/>
      <c r="AG2020" s="297"/>
      <c r="AJ2020" s="298"/>
      <c r="AK2020" s="297"/>
      <c r="AN2020" s="298"/>
      <c r="AR2020" s="298"/>
    </row>
    <row r="2021" spans="2:44" s="290" customFormat="1" x14ac:dyDescent="0.2">
      <c r="B2021" s="302"/>
      <c r="D2021" s="302"/>
      <c r="E2021" s="302"/>
      <c r="K2021" s="303"/>
      <c r="L2021" s="303"/>
      <c r="M2021" s="303"/>
      <c r="AB2021" s="298"/>
      <c r="AC2021" s="297"/>
      <c r="AF2021" s="296"/>
      <c r="AG2021" s="297"/>
      <c r="AJ2021" s="298"/>
      <c r="AK2021" s="297"/>
      <c r="AN2021" s="298"/>
      <c r="AR2021" s="298"/>
    </row>
    <row r="2022" spans="2:44" s="290" customFormat="1" x14ac:dyDescent="0.2">
      <c r="B2022" s="302"/>
      <c r="D2022" s="302"/>
      <c r="E2022" s="302"/>
      <c r="K2022" s="303"/>
      <c r="L2022" s="303"/>
      <c r="M2022" s="303"/>
      <c r="AB2022" s="298"/>
      <c r="AC2022" s="297"/>
      <c r="AF2022" s="296"/>
      <c r="AG2022" s="297"/>
      <c r="AJ2022" s="298"/>
      <c r="AK2022" s="297"/>
      <c r="AN2022" s="298"/>
      <c r="AR2022" s="298"/>
    </row>
    <row r="2023" spans="2:44" s="290" customFormat="1" x14ac:dyDescent="0.2">
      <c r="B2023" s="302"/>
      <c r="D2023" s="302"/>
      <c r="E2023" s="302"/>
      <c r="K2023" s="303"/>
      <c r="L2023" s="303"/>
      <c r="M2023" s="303"/>
      <c r="AB2023" s="298"/>
      <c r="AC2023" s="297"/>
      <c r="AF2023" s="296"/>
      <c r="AG2023" s="297"/>
      <c r="AJ2023" s="298"/>
      <c r="AK2023" s="297"/>
      <c r="AN2023" s="298"/>
      <c r="AR2023" s="298"/>
    </row>
    <row r="2024" spans="2:44" s="290" customFormat="1" x14ac:dyDescent="0.2">
      <c r="B2024" s="302"/>
      <c r="D2024" s="302"/>
      <c r="E2024" s="302"/>
      <c r="K2024" s="303"/>
      <c r="L2024" s="303"/>
      <c r="M2024" s="303"/>
      <c r="AB2024" s="298"/>
      <c r="AC2024" s="297"/>
      <c r="AF2024" s="296"/>
      <c r="AG2024" s="297"/>
      <c r="AJ2024" s="298"/>
      <c r="AK2024" s="297"/>
      <c r="AN2024" s="298"/>
      <c r="AR2024" s="298"/>
    </row>
    <row r="2025" spans="2:44" s="290" customFormat="1" x14ac:dyDescent="0.2">
      <c r="B2025" s="302"/>
      <c r="D2025" s="302"/>
      <c r="E2025" s="302"/>
      <c r="K2025" s="303"/>
      <c r="L2025" s="303"/>
      <c r="M2025" s="303"/>
      <c r="AB2025" s="298"/>
      <c r="AC2025" s="297"/>
      <c r="AF2025" s="296"/>
      <c r="AG2025" s="297"/>
      <c r="AJ2025" s="298"/>
      <c r="AK2025" s="297"/>
      <c r="AN2025" s="298"/>
      <c r="AR2025" s="298"/>
    </row>
    <row r="2026" spans="2:44" s="290" customFormat="1" x14ac:dyDescent="0.2">
      <c r="B2026" s="302"/>
      <c r="D2026" s="302"/>
      <c r="E2026" s="302"/>
      <c r="K2026" s="303"/>
      <c r="L2026" s="303"/>
      <c r="M2026" s="303"/>
      <c r="AB2026" s="298"/>
      <c r="AC2026" s="297"/>
      <c r="AF2026" s="296"/>
      <c r="AG2026" s="297"/>
      <c r="AJ2026" s="298"/>
      <c r="AK2026" s="297"/>
      <c r="AN2026" s="298"/>
      <c r="AR2026" s="298"/>
    </row>
    <row r="2027" spans="2:44" s="290" customFormat="1" x14ac:dyDescent="0.2">
      <c r="B2027" s="302"/>
      <c r="D2027" s="302"/>
      <c r="E2027" s="302"/>
      <c r="K2027" s="303"/>
      <c r="L2027" s="303"/>
      <c r="M2027" s="303"/>
      <c r="AB2027" s="298"/>
      <c r="AC2027" s="297"/>
      <c r="AF2027" s="296"/>
      <c r="AG2027" s="297"/>
      <c r="AJ2027" s="298"/>
      <c r="AK2027" s="297"/>
      <c r="AN2027" s="298"/>
      <c r="AR2027" s="298"/>
    </row>
    <row r="2028" spans="2:44" s="290" customFormat="1" x14ac:dyDescent="0.2">
      <c r="B2028" s="302"/>
      <c r="D2028" s="302"/>
      <c r="E2028" s="302"/>
      <c r="K2028" s="303"/>
      <c r="L2028" s="303"/>
      <c r="M2028" s="303"/>
      <c r="AB2028" s="298"/>
      <c r="AC2028" s="297"/>
      <c r="AF2028" s="296"/>
      <c r="AG2028" s="297"/>
      <c r="AJ2028" s="298"/>
      <c r="AK2028" s="297"/>
      <c r="AN2028" s="298"/>
      <c r="AR2028" s="298"/>
    </row>
    <row r="2029" spans="2:44" s="290" customFormat="1" x14ac:dyDescent="0.2">
      <c r="B2029" s="302"/>
      <c r="D2029" s="302"/>
      <c r="E2029" s="302"/>
      <c r="K2029" s="303"/>
      <c r="L2029" s="303"/>
      <c r="M2029" s="303"/>
      <c r="AB2029" s="298"/>
      <c r="AC2029" s="297"/>
      <c r="AF2029" s="296"/>
      <c r="AG2029" s="297"/>
      <c r="AJ2029" s="298"/>
      <c r="AK2029" s="297"/>
      <c r="AN2029" s="298"/>
      <c r="AR2029" s="298"/>
    </row>
    <row r="2030" spans="2:44" s="290" customFormat="1" x14ac:dyDescent="0.2">
      <c r="B2030" s="302"/>
      <c r="D2030" s="302"/>
      <c r="E2030" s="302"/>
      <c r="K2030" s="303"/>
      <c r="L2030" s="303"/>
      <c r="M2030" s="303"/>
      <c r="AB2030" s="298"/>
      <c r="AC2030" s="297"/>
      <c r="AF2030" s="296"/>
      <c r="AG2030" s="297"/>
      <c r="AJ2030" s="298"/>
      <c r="AK2030" s="297"/>
      <c r="AN2030" s="298"/>
      <c r="AR2030" s="298"/>
    </row>
    <row r="2031" spans="2:44" s="290" customFormat="1" x14ac:dyDescent="0.2">
      <c r="B2031" s="302"/>
      <c r="D2031" s="302"/>
      <c r="E2031" s="302"/>
      <c r="K2031" s="303"/>
      <c r="L2031" s="303"/>
      <c r="M2031" s="303"/>
      <c r="AB2031" s="298"/>
      <c r="AC2031" s="297"/>
      <c r="AF2031" s="296"/>
      <c r="AG2031" s="297"/>
      <c r="AJ2031" s="298"/>
      <c r="AK2031" s="297"/>
      <c r="AN2031" s="298"/>
      <c r="AR2031" s="298"/>
    </row>
    <row r="2032" spans="2:44" s="290" customFormat="1" x14ac:dyDescent="0.2">
      <c r="B2032" s="302"/>
      <c r="D2032" s="302"/>
      <c r="E2032" s="302"/>
      <c r="K2032" s="303"/>
      <c r="L2032" s="303"/>
      <c r="M2032" s="303"/>
      <c r="AB2032" s="298"/>
      <c r="AC2032" s="297"/>
      <c r="AF2032" s="296"/>
      <c r="AG2032" s="297"/>
      <c r="AJ2032" s="298"/>
      <c r="AK2032" s="297"/>
      <c r="AN2032" s="298"/>
      <c r="AR2032" s="298"/>
    </row>
    <row r="2033" spans="2:44" s="290" customFormat="1" x14ac:dyDescent="0.2">
      <c r="B2033" s="302"/>
      <c r="D2033" s="302"/>
      <c r="E2033" s="302"/>
      <c r="K2033" s="303"/>
      <c r="L2033" s="303"/>
      <c r="M2033" s="303"/>
      <c r="AB2033" s="298"/>
      <c r="AC2033" s="297"/>
      <c r="AF2033" s="296"/>
      <c r="AG2033" s="297"/>
      <c r="AJ2033" s="298"/>
      <c r="AK2033" s="297"/>
      <c r="AN2033" s="298"/>
      <c r="AR2033" s="298"/>
    </row>
    <row r="2034" spans="2:44" s="290" customFormat="1" x14ac:dyDescent="0.2">
      <c r="B2034" s="302"/>
      <c r="D2034" s="302"/>
      <c r="E2034" s="302"/>
      <c r="K2034" s="303"/>
      <c r="L2034" s="303"/>
      <c r="M2034" s="303"/>
      <c r="AB2034" s="298"/>
      <c r="AC2034" s="297"/>
      <c r="AF2034" s="296"/>
      <c r="AG2034" s="297"/>
      <c r="AJ2034" s="298"/>
      <c r="AK2034" s="297"/>
      <c r="AN2034" s="298"/>
      <c r="AR2034" s="298"/>
    </row>
    <row r="2035" spans="2:44" s="290" customFormat="1" x14ac:dyDescent="0.2">
      <c r="B2035" s="302"/>
      <c r="D2035" s="302"/>
      <c r="E2035" s="302"/>
      <c r="K2035" s="303"/>
      <c r="L2035" s="303"/>
      <c r="M2035" s="303"/>
      <c r="AB2035" s="298"/>
      <c r="AC2035" s="297"/>
      <c r="AF2035" s="296"/>
      <c r="AG2035" s="297"/>
      <c r="AJ2035" s="298"/>
      <c r="AK2035" s="297"/>
      <c r="AN2035" s="298"/>
      <c r="AR2035" s="298"/>
    </row>
    <row r="2036" spans="2:44" s="290" customFormat="1" x14ac:dyDescent="0.2">
      <c r="B2036" s="302"/>
      <c r="D2036" s="302"/>
      <c r="E2036" s="302"/>
      <c r="K2036" s="303"/>
      <c r="L2036" s="303"/>
      <c r="M2036" s="303"/>
      <c r="AB2036" s="298"/>
      <c r="AC2036" s="297"/>
      <c r="AF2036" s="296"/>
      <c r="AG2036" s="297"/>
      <c r="AJ2036" s="298"/>
      <c r="AK2036" s="297"/>
      <c r="AN2036" s="298"/>
      <c r="AR2036" s="298"/>
    </row>
    <row r="2037" spans="2:44" s="290" customFormat="1" x14ac:dyDescent="0.2">
      <c r="B2037" s="302"/>
      <c r="D2037" s="302"/>
      <c r="E2037" s="302"/>
      <c r="K2037" s="303"/>
      <c r="L2037" s="303"/>
      <c r="M2037" s="303"/>
      <c r="AB2037" s="298"/>
      <c r="AC2037" s="297"/>
      <c r="AF2037" s="296"/>
      <c r="AG2037" s="297"/>
      <c r="AJ2037" s="298"/>
      <c r="AK2037" s="297"/>
      <c r="AN2037" s="298"/>
      <c r="AR2037" s="298"/>
    </row>
    <row r="2038" spans="2:44" s="290" customFormat="1" x14ac:dyDescent="0.2">
      <c r="B2038" s="302"/>
      <c r="D2038" s="302"/>
      <c r="E2038" s="302"/>
      <c r="K2038" s="303"/>
      <c r="L2038" s="303"/>
      <c r="M2038" s="303"/>
      <c r="AB2038" s="298"/>
      <c r="AC2038" s="297"/>
      <c r="AF2038" s="296"/>
      <c r="AG2038" s="297"/>
      <c r="AJ2038" s="298"/>
      <c r="AK2038" s="297"/>
      <c r="AN2038" s="298"/>
      <c r="AR2038" s="298"/>
    </row>
    <row r="2039" spans="2:44" s="290" customFormat="1" x14ac:dyDescent="0.2">
      <c r="B2039" s="302"/>
      <c r="D2039" s="302"/>
      <c r="E2039" s="302"/>
      <c r="K2039" s="303"/>
      <c r="L2039" s="303"/>
      <c r="M2039" s="303"/>
      <c r="AB2039" s="298"/>
      <c r="AC2039" s="297"/>
      <c r="AF2039" s="296"/>
      <c r="AG2039" s="297"/>
      <c r="AJ2039" s="298"/>
      <c r="AK2039" s="297"/>
      <c r="AN2039" s="298"/>
      <c r="AR2039" s="298"/>
    </row>
    <row r="2040" spans="2:44" s="290" customFormat="1" x14ac:dyDescent="0.2">
      <c r="B2040" s="302"/>
      <c r="D2040" s="302"/>
      <c r="E2040" s="302"/>
      <c r="K2040" s="303"/>
      <c r="L2040" s="303"/>
      <c r="M2040" s="303"/>
      <c r="AB2040" s="298"/>
      <c r="AC2040" s="297"/>
      <c r="AF2040" s="296"/>
      <c r="AG2040" s="297"/>
      <c r="AJ2040" s="298"/>
      <c r="AK2040" s="297"/>
      <c r="AN2040" s="298"/>
      <c r="AR2040" s="298"/>
    </row>
    <row r="2041" spans="2:44" s="290" customFormat="1" x14ac:dyDescent="0.2">
      <c r="B2041" s="302"/>
      <c r="D2041" s="302"/>
      <c r="E2041" s="302"/>
      <c r="K2041" s="303"/>
      <c r="L2041" s="303"/>
      <c r="M2041" s="303"/>
      <c r="AB2041" s="298"/>
      <c r="AC2041" s="297"/>
      <c r="AF2041" s="296"/>
      <c r="AG2041" s="297"/>
      <c r="AJ2041" s="298"/>
      <c r="AK2041" s="297"/>
      <c r="AN2041" s="298"/>
      <c r="AR2041" s="298"/>
    </row>
    <row r="2042" spans="2:44" s="290" customFormat="1" x14ac:dyDescent="0.2">
      <c r="B2042" s="302"/>
      <c r="D2042" s="302"/>
      <c r="E2042" s="302"/>
      <c r="K2042" s="303"/>
      <c r="L2042" s="303"/>
      <c r="M2042" s="303"/>
      <c r="AB2042" s="298"/>
      <c r="AC2042" s="297"/>
      <c r="AF2042" s="296"/>
      <c r="AG2042" s="297"/>
      <c r="AJ2042" s="298"/>
      <c r="AK2042" s="297"/>
      <c r="AN2042" s="298"/>
      <c r="AR2042" s="298"/>
    </row>
    <row r="2043" spans="2:44" s="290" customFormat="1" x14ac:dyDescent="0.2">
      <c r="B2043" s="302"/>
      <c r="D2043" s="302"/>
      <c r="E2043" s="302"/>
      <c r="K2043" s="303"/>
      <c r="L2043" s="303"/>
      <c r="M2043" s="303"/>
      <c r="AB2043" s="298"/>
      <c r="AC2043" s="297"/>
      <c r="AF2043" s="296"/>
      <c r="AG2043" s="297"/>
      <c r="AJ2043" s="298"/>
      <c r="AK2043" s="297"/>
      <c r="AN2043" s="298"/>
      <c r="AR2043" s="298"/>
    </row>
    <row r="2044" spans="2:44" s="290" customFormat="1" x14ac:dyDescent="0.2">
      <c r="B2044" s="302"/>
      <c r="D2044" s="302"/>
      <c r="E2044" s="302"/>
      <c r="K2044" s="303"/>
      <c r="L2044" s="303"/>
      <c r="M2044" s="303"/>
      <c r="AB2044" s="298"/>
      <c r="AC2044" s="297"/>
      <c r="AF2044" s="296"/>
      <c r="AG2044" s="297"/>
      <c r="AJ2044" s="298"/>
      <c r="AK2044" s="297"/>
      <c r="AN2044" s="298"/>
      <c r="AR2044" s="298"/>
    </row>
    <row r="2045" spans="2:44" s="290" customFormat="1" x14ac:dyDescent="0.2">
      <c r="B2045" s="302"/>
      <c r="D2045" s="302"/>
      <c r="E2045" s="302"/>
      <c r="K2045" s="303"/>
      <c r="L2045" s="303"/>
      <c r="M2045" s="303"/>
      <c r="AB2045" s="298"/>
      <c r="AC2045" s="297"/>
      <c r="AF2045" s="296"/>
      <c r="AG2045" s="297"/>
      <c r="AJ2045" s="298"/>
      <c r="AK2045" s="297"/>
      <c r="AN2045" s="298"/>
      <c r="AR2045" s="298"/>
    </row>
    <row r="2046" spans="2:44" s="290" customFormat="1" x14ac:dyDescent="0.2">
      <c r="B2046" s="302"/>
      <c r="D2046" s="302"/>
      <c r="E2046" s="302"/>
      <c r="K2046" s="303"/>
      <c r="L2046" s="303"/>
      <c r="M2046" s="303"/>
      <c r="AB2046" s="298"/>
      <c r="AC2046" s="297"/>
      <c r="AF2046" s="296"/>
      <c r="AG2046" s="297"/>
      <c r="AJ2046" s="298"/>
      <c r="AK2046" s="297"/>
      <c r="AN2046" s="298"/>
      <c r="AR2046" s="298"/>
    </row>
    <row r="2047" spans="2:44" s="290" customFormat="1" x14ac:dyDescent="0.2">
      <c r="B2047" s="302"/>
      <c r="D2047" s="302"/>
      <c r="E2047" s="302"/>
      <c r="K2047" s="303"/>
      <c r="L2047" s="303"/>
      <c r="M2047" s="303"/>
      <c r="AB2047" s="298"/>
      <c r="AC2047" s="297"/>
      <c r="AF2047" s="296"/>
      <c r="AG2047" s="297"/>
      <c r="AJ2047" s="298"/>
      <c r="AK2047" s="297"/>
      <c r="AN2047" s="298"/>
      <c r="AR2047" s="298"/>
    </row>
    <row r="2048" spans="2:44" s="290" customFormat="1" x14ac:dyDescent="0.2">
      <c r="B2048" s="302"/>
      <c r="D2048" s="302"/>
      <c r="E2048" s="302"/>
      <c r="K2048" s="303"/>
      <c r="L2048" s="303"/>
      <c r="M2048" s="303"/>
      <c r="AB2048" s="298"/>
      <c r="AC2048" s="297"/>
      <c r="AF2048" s="296"/>
      <c r="AG2048" s="297"/>
      <c r="AJ2048" s="298"/>
      <c r="AK2048" s="297"/>
      <c r="AN2048" s="298"/>
      <c r="AR2048" s="298"/>
    </row>
    <row r="2049" spans="2:44" s="290" customFormat="1" x14ac:dyDescent="0.2">
      <c r="B2049" s="302"/>
      <c r="D2049" s="302"/>
      <c r="E2049" s="302"/>
      <c r="K2049" s="303"/>
      <c r="L2049" s="303"/>
      <c r="M2049" s="303"/>
      <c r="AB2049" s="298"/>
      <c r="AC2049" s="297"/>
      <c r="AF2049" s="296"/>
      <c r="AG2049" s="297"/>
      <c r="AJ2049" s="298"/>
      <c r="AK2049" s="297"/>
      <c r="AN2049" s="298"/>
      <c r="AR2049" s="298"/>
    </row>
    <row r="2050" spans="2:44" s="290" customFormat="1" x14ac:dyDescent="0.2">
      <c r="B2050" s="302"/>
      <c r="D2050" s="302"/>
      <c r="E2050" s="302"/>
      <c r="K2050" s="303"/>
      <c r="L2050" s="303"/>
      <c r="M2050" s="303"/>
      <c r="AB2050" s="298"/>
      <c r="AC2050" s="297"/>
      <c r="AF2050" s="296"/>
      <c r="AG2050" s="297"/>
      <c r="AJ2050" s="298"/>
      <c r="AK2050" s="297"/>
      <c r="AN2050" s="298"/>
      <c r="AR2050" s="298"/>
    </row>
    <row r="2051" spans="2:44" s="290" customFormat="1" x14ac:dyDescent="0.2">
      <c r="B2051" s="302"/>
      <c r="D2051" s="302"/>
      <c r="E2051" s="302"/>
      <c r="K2051" s="303"/>
      <c r="L2051" s="303"/>
      <c r="M2051" s="303"/>
      <c r="AB2051" s="298"/>
      <c r="AC2051" s="297"/>
      <c r="AF2051" s="296"/>
      <c r="AG2051" s="297"/>
      <c r="AJ2051" s="298"/>
      <c r="AK2051" s="297"/>
      <c r="AN2051" s="298"/>
      <c r="AR2051" s="298"/>
    </row>
    <row r="2052" spans="2:44" s="290" customFormat="1" x14ac:dyDescent="0.2">
      <c r="B2052" s="302"/>
      <c r="D2052" s="302"/>
      <c r="E2052" s="302"/>
      <c r="K2052" s="303"/>
      <c r="L2052" s="303"/>
      <c r="M2052" s="303"/>
      <c r="AB2052" s="298"/>
      <c r="AC2052" s="297"/>
      <c r="AF2052" s="296"/>
      <c r="AG2052" s="297"/>
      <c r="AJ2052" s="298"/>
      <c r="AK2052" s="297"/>
      <c r="AN2052" s="298"/>
      <c r="AR2052" s="298"/>
    </row>
    <row r="2053" spans="2:44" s="290" customFormat="1" x14ac:dyDescent="0.2">
      <c r="B2053" s="302"/>
      <c r="D2053" s="302"/>
      <c r="E2053" s="302"/>
      <c r="K2053" s="303"/>
      <c r="L2053" s="303"/>
      <c r="M2053" s="303"/>
      <c r="AB2053" s="298"/>
      <c r="AC2053" s="297"/>
      <c r="AF2053" s="296"/>
      <c r="AG2053" s="297"/>
      <c r="AJ2053" s="298"/>
      <c r="AK2053" s="297"/>
      <c r="AN2053" s="298"/>
      <c r="AR2053" s="298"/>
    </row>
    <row r="2054" spans="2:44" s="290" customFormat="1" x14ac:dyDescent="0.2">
      <c r="B2054" s="302"/>
      <c r="D2054" s="302"/>
      <c r="E2054" s="302"/>
      <c r="K2054" s="303"/>
      <c r="L2054" s="303"/>
      <c r="M2054" s="303"/>
      <c r="AB2054" s="298"/>
      <c r="AC2054" s="297"/>
      <c r="AF2054" s="296"/>
      <c r="AG2054" s="297"/>
      <c r="AJ2054" s="298"/>
      <c r="AK2054" s="297"/>
      <c r="AN2054" s="298"/>
      <c r="AR2054" s="298"/>
    </row>
    <row r="2055" spans="2:44" s="290" customFormat="1" x14ac:dyDescent="0.2">
      <c r="B2055" s="302"/>
      <c r="D2055" s="302"/>
      <c r="E2055" s="302"/>
      <c r="K2055" s="303"/>
      <c r="L2055" s="303"/>
      <c r="M2055" s="303"/>
      <c r="AB2055" s="298"/>
      <c r="AC2055" s="297"/>
      <c r="AF2055" s="296"/>
      <c r="AG2055" s="297"/>
      <c r="AJ2055" s="298"/>
      <c r="AK2055" s="297"/>
      <c r="AN2055" s="298"/>
      <c r="AR2055" s="298"/>
    </row>
    <row r="2056" spans="2:44" s="290" customFormat="1" x14ac:dyDescent="0.2">
      <c r="B2056" s="302"/>
      <c r="D2056" s="302"/>
      <c r="E2056" s="302"/>
      <c r="K2056" s="303"/>
      <c r="L2056" s="303"/>
      <c r="M2056" s="303"/>
      <c r="AB2056" s="298"/>
      <c r="AC2056" s="297"/>
      <c r="AF2056" s="296"/>
      <c r="AG2056" s="297"/>
      <c r="AJ2056" s="298"/>
      <c r="AK2056" s="297"/>
      <c r="AN2056" s="298"/>
      <c r="AR2056" s="298"/>
    </row>
    <row r="2057" spans="2:44" s="290" customFormat="1" x14ac:dyDescent="0.2">
      <c r="B2057" s="302"/>
      <c r="D2057" s="302"/>
      <c r="E2057" s="302"/>
      <c r="K2057" s="303"/>
      <c r="L2057" s="303"/>
      <c r="M2057" s="303"/>
      <c r="AB2057" s="298"/>
      <c r="AC2057" s="297"/>
      <c r="AF2057" s="296"/>
      <c r="AG2057" s="297"/>
      <c r="AJ2057" s="298"/>
      <c r="AK2057" s="297"/>
      <c r="AN2057" s="298"/>
      <c r="AR2057" s="298"/>
    </row>
    <row r="2058" spans="2:44" s="290" customFormat="1" x14ac:dyDescent="0.2">
      <c r="B2058" s="302"/>
      <c r="D2058" s="302"/>
      <c r="E2058" s="302"/>
      <c r="K2058" s="303"/>
      <c r="L2058" s="303"/>
      <c r="M2058" s="303"/>
      <c r="AB2058" s="298"/>
      <c r="AC2058" s="297"/>
      <c r="AF2058" s="296"/>
      <c r="AG2058" s="297"/>
      <c r="AJ2058" s="298"/>
      <c r="AK2058" s="297"/>
      <c r="AN2058" s="298"/>
      <c r="AR2058" s="298"/>
    </row>
    <row r="2059" spans="2:44" s="290" customFormat="1" x14ac:dyDescent="0.2">
      <c r="B2059" s="302"/>
      <c r="D2059" s="302"/>
      <c r="E2059" s="302"/>
      <c r="K2059" s="303"/>
      <c r="L2059" s="303"/>
      <c r="M2059" s="303"/>
      <c r="AB2059" s="298"/>
      <c r="AC2059" s="297"/>
      <c r="AF2059" s="296"/>
      <c r="AG2059" s="297"/>
      <c r="AJ2059" s="298"/>
      <c r="AK2059" s="297"/>
      <c r="AN2059" s="298"/>
      <c r="AR2059" s="298"/>
    </row>
    <row r="2060" spans="2:44" s="290" customFormat="1" x14ac:dyDescent="0.2">
      <c r="B2060" s="302"/>
      <c r="D2060" s="302"/>
      <c r="E2060" s="302"/>
      <c r="K2060" s="303"/>
      <c r="L2060" s="303"/>
      <c r="M2060" s="303"/>
      <c r="AB2060" s="298"/>
      <c r="AC2060" s="297"/>
      <c r="AF2060" s="296"/>
      <c r="AG2060" s="297"/>
      <c r="AJ2060" s="298"/>
      <c r="AK2060" s="297"/>
      <c r="AN2060" s="298"/>
      <c r="AR2060" s="298"/>
    </row>
    <row r="2061" spans="2:44" s="290" customFormat="1" x14ac:dyDescent="0.2">
      <c r="B2061" s="302"/>
      <c r="D2061" s="302"/>
      <c r="E2061" s="302"/>
      <c r="K2061" s="303"/>
      <c r="L2061" s="303"/>
      <c r="M2061" s="303"/>
      <c r="AB2061" s="298"/>
      <c r="AC2061" s="297"/>
      <c r="AF2061" s="296"/>
      <c r="AG2061" s="297"/>
      <c r="AJ2061" s="298"/>
      <c r="AK2061" s="297"/>
      <c r="AN2061" s="298"/>
      <c r="AR2061" s="298"/>
    </row>
    <row r="2062" spans="2:44" s="290" customFormat="1" x14ac:dyDescent="0.2">
      <c r="B2062" s="302"/>
      <c r="D2062" s="302"/>
      <c r="E2062" s="302"/>
      <c r="K2062" s="303"/>
      <c r="L2062" s="303"/>
      <c r="M2062" s="303"/>
      <c r="AB2062" s="298"/>
      <c r="AC2062" s="297"/>
      <c r="AF2062" s="296"/>
      <c r="AG2062" s="297"/>
      <c r="AJ2062" s="298"/>
      <c r="AK2062" s="297"/>
      <c r="AN2062" s="298"/>
      <c r="AR2062" s="298"/>
    </row>
    <row r="2063" spans="2:44" s="290" customFormat="1" x14ac:dyDescent="0.2">
      <c r="B2063" s="302"/>
      <c r="D2063" s="302"/>
      <c r="E2063" s="302"/>
      <c r="K2063" s="303"/>
      <c r="L2063" s="303"/>
      <c r="M2063" s="303"/>
      <c r="AB2063" s="298"/>
      <c r="AC2063" s="297"/>
      <c r="AF2063" s="296"/>
      <c r="AG2063" s="297"/>
      <c r="AJ2063" s="298"/>
      <c r="AK2063" s="297"/>
      <c r="AN2063" s="298"/>
      <c r="AR2063" s="298"/>
    </row>
    <row r="2064" spans="2:44" s="290" customFormat="1" x14ac:dyDescent="0.2">
      <c r="B2064" s="302"/>
      <c r="D2064" s="302"/>
      <c r="E2064" s="302"/>
      <c r="K2064" s="303"/>
      <c r="L2064" s="303"/>
      <c r="M2064" s="303"/>
      <c r="AB2064" s="298"/>
      <c r="AC2064" s="297"/>
      <c r="AF2064" s="296"/>
      <c r="AG2064" s="297"/>
      <c r="AJ2064" s="298"/>
      <c r="AK2064" s="297"/>
      <c r="AN2064" s="298"/>
      <c r="AR2064" s="298"/>
    </row>
    <row r="2065" spans="2:44" s="290" customFormat="1" x14ac:dyDescent="0.2">
      <c r="B2065" s="302"/>
      <c r="D2065" s="302"/>
      <c r="E2065" s="302"/>
      <c r="K2065" s="303"/>
      <c r="L2065" s="303"/>
      <c r="M2065" s="303"/>
      <c r="AB2065" s="298"/>
      <c r="AC2065" s="297"/>
      <c r="AF2065" s="296"/>
      <c r="AG2065" s="297"/>
      <c r="AJ2065" s="298"/>
      <c r="AK2065" s="297"/>
      <c r="AN2065" s="298"/>
      <c r="AR2065" s="298"/>
    </row>
    <row r="2066" spans="2:44" s="290" customFormat="1" x14ac:dyDescent="0.2">
      <c r="B2066" s="302"/>
      <c r="D2066" s="302"/>
      <c r="E2066" s="302"/>
      <c r="K2066" s="303"/>
      <c r="L2066" s="303"/>
      <c r="M2066" s="303"/>
      <c r="AB2066" s="298"/>
      <c r="AC2066" s="297"/>
      <c r="AF2066" s="296"/>
      <c r="AG2066" s="297"/>
      <c r="AJ2066" s="298"/>
      <c r="AK2066" s="297"/>
      <c r="AN2066" s="298"/>
      <c r="AR2066" s="298"/>
    </row>
    <row r="2067" spans="2:44" s="290" customFormat="1" x14ac:dyDescent="0.2">
      <c r="B2067" s="302"/>
      <c r="D2067" s="302"/>
      <c r="E2067" s="302"/>
      <c r="K2067" s="303"/>
      <c r="L2067" s="303"/>
      <c r="M2067" s="303"/>
      <c r="AB2067" s="298"/>
      <c r="AC2067" s="297"/>
      <c r="AF2067" s="296"/>
      <c r="AG2067" s="297"/>
      <c r="AJ2067" s="298"/>
      <c r="AK2067" s="297"/>
      <c r="AN2067" s="298"/>
      <c r="AR2067" s="298"/>
    </row>
    <row r="2068" spans="2:44" s="290" customFormat="1" x14ac:dyDescent="0.2">
      <c r="B2068" s="302"/>
      <c r="D2068" s="302"/>
      <c r="E2068" s="302"/>
      <c r="K2068" s="303"/>
      <c r="L2068" s="303"/>
      <c r="M2068" s="303"/>
      <c r="AB2068" s="298"/>
      <c r="AC2068" s="297"/>
      <c r="AF2068" s="296"/>
      <c r="AG2068" s="297"/>
      <c r="AJ2068" s="298"/>
      <c r="AK2068" s="297"/>
      <c r="AN2068" s="298"/>
      <c r="AR2068" s="298"/>
    </row>
    <row r="2069" spans="2:44" s="290" customFormat="1" x14ac:dyDescent="0.2">
      <c r="B2069" s="302"/>
      <c r="D2069" s="302"/>
      <c r="E2069" s="302"/>
      <c r="K2069" s="303"/>
      <c r="L2069" s="303"/>
      <c r="M2069" s="303"/>
      <c r="AB2069" s="298"/>
      <c r="AC2069" s="297"/>
      <c r="AF2069" s="296"/>
      <c r="AG2069" s="297"/>
      <c r="AJ2069" s="298"/>
      <c r="AK2069" s="297"/>
      <c r="AN2069" s="298"/>
      <c r="AR2069" s="298"/>
    </row>
    <row r="2070" spans="2:44" s="290" customFormat="1" x14ac:dyDescent="0.2">
      <c r="B2070" s="302"/>
      <c r="D2070" s="302"/>
      <c r="E2070" s="302"/>
      <c r="K2070" s="303"/>
      <c r="L2070" s="303"/>
      <c r="M2070" s="303"/>
      <c r="AB2070" s="298"/>
      <c r="AC2070" s="297"/>
      <c r="AF2070" s="296"/>
      <c r="AG2070" s="297"/>
      <c r="AJ2070" s="298"/>
      <c r="AK2070" s="297"/>
      <c r="AN2070" s="298"/>
      <c r="AR2070" s="298"/>
    </row>
    <row r="2071" spans="2:44" s="290" customFormat="1" x14ac:dyDescent="0.2">
      <c r="B2071" s="302"/>
      <c r="D2071" s="302"/>
      <c r="E2071" s="302"/>
      <c r="K2071" s="303"/>
      <c r="L2071" s="303"/>
      <c r="M2071" s="303"/>
      <c r="AB2071" s="298"/>
      <c r="AC2071" s="297"/>
      <c r="AF2071" s="296"/>
      <c r="AG2071" s="297"/>
      <c r="AJ2071" s="298"/>
      <c r="AK2071" s="297"/>
      <c r="AN2071" s="298"/>
      <c r="AR2071" s="298"/>
    </row>
    <row r="2072" spans="2:44" s="290" customFormat="1" x14ac:dyDescent="0.2">
      <c r="B2072" s="302"/>
      <c r="D2072" s="302"/>
      <c r="E2072" s="302"/>
      <c r="K2072" s="303"/>
      <c r="L2072" s="303"/>
      <c r="M2072" s="303"/>
      <c r="AB2072" s="298"/>
      <c r="AC2072" s="297"/>
      <c r="AF2072" s="296"/>
      <c r="AG2072" s="297"/>
      <c r="AJ2072" s="298"/>
      <c r="AK2072" s="297"/>
      <c r="AN2072" s="298"/>
      <c r="AR2072" s="298"/>
    </row>
    <row r="2073" spans="2:44" s="290" customFormat="1" x14ac:dyDescent="0.2">
      <c r="B2073" s="302"/>
      <c r="D2073" s="302"/>
      <c r="E2073" s="302"/>
      <c r="K2073" s="303"/>
      <c r="L2073" s="303"/>
      <c r="M2073" s="303"/>
      <c r="AB2073" s="298"/>
      <c r="AC2073" s="297"/>
      <c r="AF2073" s="296"/>
      <c r="AG2073" s="297"/>
      <c r="AJ2073" s="298"/>
      <c r="AK2073" s="297"/>
      <c r="AN2073" s="298"/>
      <c r="AR2073" s="298"/>
    </row>
    <row r="2074" spans="2:44" s="290" customFormat="1" x14ac:dyDescent="0.2">
      <c r="B2074" s="302"/>
      <c r="D2074" s="302"/>
      <c r="E2074" s="302"/>
      <c r="K2074" s="303"/>
      <c r="L2074" s="303"/>
      <c r="M2074" s="303"/>
      <c r="AB2074" s="298"/>
      <c r="AC2074" s="297"/>
      <c r="AF2074" s="296"/>
      <c r="AG2074" s="297"/>
      <c r="AJ2074" s="298"/>
      <c r="AK2074" s="297"/>
      <c r="AN2074" s="298"/>
      <c r="AR2074" s="298"/>
    </row>
    <row r="2075" spans="2:44" s="290" customFormat="1" x14ac:dyDescent="0.2">
      <c r="B2075" s="302"/>
      <c r="D2075" s="302"/>
      <c r="E2075" s="302"/>
      <c r="K2075" s="303"/>
      <c r="L2075" s="303"/>
      <c r="M2075" s="303"/>
      <c r="AB2075" s="298"/>
      <c r="AC2075" s="297"/>
      <c r="AF2075" s="296"/>
      <c r="AG2075" s="297"/>
      <c r="AJ2075" s="298"/>
      <c r="AK2075" s="297"/>
      <c r="AN2075" s="298"/>
      <c r="AR2075" s="298"/>
    </row>
    <row r="2076" spans="2:44" s="290" customFormat="1" x14ac:dyDescent="0.2">
      <c r="B2076" s="302"/>
      <c r="D2076" s="302"/>
      <c r="E2076" s="302"/>
      <c r="K2076" s="303"/>
      <c r="L2076" s="303"/>
      <c r="M2076" s="303"/>
      <c r="AB2076" s="298"/>
      <c r="AC2076" s="297"/>
      <c r="AF2076" s="296"/>
      <c r="AG2076" s="297"/>
      <c r="AJ2076" s="298"/>
      <c r="AK2076" s="297"/>
      <c r="AN2076" s="298"/>
      <c r="AR2076" s="298"/>
    </row>
    <row r="2077" spans="2:44" s="290" customFormat="1" x14ac:dyDescent="0.2">
      <c r="B2077" s="302"/>
      <c r="D2077" s="302"/>
      <c r="E2077" s="302"/>
      <c r="K2077" s="303"/>
      <c r="L2077" s="303"/>
      <c r="M2077" s="303"/>
      <c r="AB2077" s="298"/>
      <c r="AC2077" s="297"/>
      <c r="AF2077" s="296"/>
      <c r="AG2077" s="297"/>
      <c r="AJ2077" s="298"/>
      <c r="AK2077" s="297"/>
      <c r="AN2077" s="298"/>
      <c r="AR2077" s="298"/>
    </row>
    <row r="2078" spans="2:44" s="290" customFormat="1" x14ac:dyDescent="0.2">
      <c r="B2078" s="302"/>
      <c r="D2078" s="302"/>
      <c r="E2078" s="302"/>
      <c r="K2078" s="303"/>
      <c r="L2078" s="303"/>
      <c r="M2078" s="303"/>
      <c r="AB2078" s="298"/>
      <c r="AC2078" s="297"/>
      <c r="AF2078" s="296"/>
      <c r="AG2078" s="297"/>
      <c r="AJ2078" s="298"/>
      <c r="AK2078" s="297"/>
      <c r="AN2078" s="298"/>
      <c r="AR2078" s="298"/>
    </row>
    <row r="2079" spans="2:44" s="290" customFormat="1" x14ac:dyDescent="0.2">
      <c r="B2079" s="302"/>
      <c r="D2079" s="302"/>
      <c r="E2079" s="302"/>
      <c r="K2079" s="303"/>
      <c r="L2079" s="303"/>
      <c r="M2079" s="303"/>
      <c r="AB2079" s="298"/>
      <c r="AC2079" s="297"/>
      <c r="AF2079" s="296"/>
      <c r="AG2079" s="297"/>
      <c r="AJ2079" s="298"/>
      <c r="AK2079" s="297"/>
      <c r="AN2079" s="298"/>
      <c r="AR2079" s="298"/>
    </row>
    <row r="2080" spans="2:44" s="290" customFormat="1" x14ac:dyDescent="0.2">
      <c r="B2080" s="302"/>
      <c r="D2080" s="302"/>
      <c r="E2080" s="302"/>
      <c r="K2080" s="303"/>
      <c r="L2080" s="303"/>
      <c r="M2080" s="303"/>
      <c r="AB2080" s="298"/>
      <c r="AC2080" s="297"/>
      <c r="AF2080" s="296"/>
      <c r="AG2080" s="297"/>
      <c r="AJ2080" s="298"/>
      <c r="AK2080" s="297"/>
      <c r="AN2080" s="298"/>
      <c r="AR2080" s="298"/>
    </row>
    <row r="2081" spans="2:44" s="290" customFormat="1" x14ac:dyDescent="0.2">
      <c r="B2081" s="302"/>
      <c r="D2081" s="302"/>
      <c r="E2081" s="302"/>
      <c r="K2081" s="303"/>
      <c r="L2081" s="303"/>
      <c r="M2081" s="303"/>
      <c r="AB2081" s="298"/>
      <c r="AC2081" s="297"/>
      <c r="AF2081" s="296"/>
      <c r="AG2081" s="297"/>
      <c r="AJ2081" s="298"/>
      <c r="AK2081" s="297"/>
      <c r="AN2081" s="298"/>
      <c r="AR2081" s="298"/>
    </row>
    <row r="2082" spans="2:44" s="290" customFormat="1" x14ac:dyDescent="0.2">
      <c r="B2082" s="302"/>
      <c r="D2082" s="302"/>
      <c r="E2082" s="302"/>
      <c r="K2082" s="303"/>
      <c r="L2082" s="303"/>
      <c r="M2082" s="303"/>
      <c r="AB2082" s="298"/>
      <c r="AC2082" s="297"/>
      <c r="AF2082" s="296"/>
      <c r="AG2082" s="297"/>
      <c r="AJ2082" s="298"/>
      <c r="AK2082" s="297"/>
      <c r="AN2082" s="298"/>
      <c r="AR2082" s="298"/>
    </row>
    <row r="2083" spans="2:44" s="290" customFormat="1" x14ac:dyDescent="0.2">
      <c r="B2083" s="302"/>
      <c r="D2083" s="302"/>
      <c r="E2083" s="302"/>
      <c r="K2083" s="303"/>
      <c r="L2083" s="303"/>
      <c r="M2083" s="303"/>
      <c r="AB2083" s="298"/>
      <c r="AC2083" s="297"/>
      <c r="AF2083" s="296"/>
      <c r="AG2083" s="297"/>
      <c r="AJ2083" s="298"/>
      <c r="AK2083" s="297"/>
      <c r="AN2083" s="298"/>
      <c r="AR2083" s="298"/>
    </row>
    <row r="2084" spans="2:44" s="290" customFormat="1" x14ac:dyDescent="0.2">
      <c r="B2084" s="302"/>
      <c r="D2084" s="302"/>
      <c r="E2084" s="302"/>
      <c r="K2084" s="303"/>
      <c r="L2084" s="303"/>
      <c r="M2084" s="303"/>
      <c r="AB2084" s="298"/>
      <c r="AC2084" s="297"/>
      <c r="AF2084" s="296"/>
      <c r="AG2084" s="297"/>
      <c r="AJ2084" s="298"/>
      <c r="AK2084" s="297"/>
      <c r="AN2084" s="298"/>
      <c r="AR2084" s="298"/>
    </row>
    <row r="2085" spans="2:44" s="290" customFormat="1" x14ac:dyDescent="0.2">
      <c r="B2085" s="302"/>
      <c r="D2085" s="302"/>
      <c r="E2085" s="302"/>
      <c r="K2085" s="303"/>
      <c r="L2085" s="303"/>
      <c r="M2085" s="303"/>
      <c r="AB2085" s="298"/>
      <c r="AC2085" s="297"/>
      <c r="AF2085" s="296"/>
      <c r="AG2085" s="297"/>
      <c r="AJ2085" s="298"/>
      <c r="AK2085" s="297"/>
      <c r="AN2085" s="298"/>
      <c r="AR2085" s="298"/>
    </row>
    <row r="2086" spans="2:44" s="290" customFormat="1" x14ac:dyDescent="0.2">
      <c r="B2086" s="302"/>
      <c r="D2086" s="302"/>
      <c r="E2086" s="302"/>
      <c r="K2086" s="303"/>
      <c r="L2086" s="303"/>
      <c r="M2086" s="303"/>
      <c r="AB2086" s="298"/>
      <c r="AC2086" s="297"/>
      <c r="AF2086" s="296"/>
      <c r="AG2086" s="297"/>
      <c r="AJ2086" s="298"/>
      <c r="AK2086" s="297"/>
      <c r="AN2086" s="298"/>
      <c r="AR2086" s="298"/>
    </row>
    <row r="2087" spans="2:44" s="290" customFormat="1" x14ac:dyDescent="0.2">
      <c r="B2087" s="302"/>
      <c r="D2087" s="302"/>
      <c r="E2087" s="302"/>
      <c r="K2087" s="303"/>
      <c r="L2087" s="303"/>
      <c r="M2087" s="303"/>
      <c r="AB2087" s="298"/>
      <c r="AC2087" s="297"/>
      <c r="AF2087" s="296"/>
      <c r="AG2087" s="297"/>
      <c r="AJ2087" s="298"/>
      <c r="AK2087" s="297"/>
      <c r="AN2087" s="298"/>
      <c r="AR2087" s="298"/>
    </row>
    <row r="2088" spans="2:44" s="290" customFormat="1" x14ac:dyDescent="0.2">
      <c r="B2088" s="302"/>
      <c r="D2088" s="302"/>
      <c r="E2088" s="302"/>
      <c r="K2088" s="303"/>
      <c r="L2088" s="303"/>
      <c r="M2088" s="303"/>
      <c r="AB2088" s="298"/>
      <c r="AC2088" s="297"/>
      <c r="AF2088" s="296"/>
      <c r="AG2088" s="297"/>
      <c r="AJ2088" s="298"/>
      <c r="AK2088" s="297"/>
      <c r="AN2088" s="298"/>
      <c r="AR2088" s="298"/>
    </row>
    <row r="2089" spans="2:44" s="290" customFormat="1" x14ac:dyDescent="0.2">
      <c r="B2089" s="302"/>
      <c r="D2089" s="302"/>
      <c r="E2089" s="302"/>
      <c r="K2089" s="303"/>
      <c r="L2089" s="303"/>
      <c r="M2089" s="303"/>
      <c r="AB2089" s="298"/>
      <c r="AC2089" s="297"/>
      <c r="AF2089" s="296"/>
      <c r="AG2089" s="297"/>
      <c r="AJ2089" s="298"/>
      <c r="AK2089" s="297"/>
      <c r="AN2089" s="298"/>
      <c r="AR2089" s="298"/>
    </row>
    <row r="2090" spans="2:44" s="290" customFormat="1" x14ac:dyDescent="0.2">
      <c r="B2090" s="302"/>
      <c r="D2090" s="302"/>
      <c r="E2090" s="302"/>
      <c r="K2090" s="303"/>
      <c r="L2090" s="303"/>
      <c r="M2090" s="303"/>
      <c r="AB2090" s="298"/>
      <c r="AC2090" s="297"/>
      <c r="AF2090" s="296"/>
      <c r="AG2090" s="297"/>
      <c r="AJ2090" s="298"/>
      <c r="AK2090" s="297"/>
      <c r="AN2090" s="298"/>
      <c r="AR2090" s="298"/>
    </row>
    <row r="2091" spans="2:44" s="290" customFormat="1" x14ac:dyDescent="0.2">
      <c r="B2091" s="302"/>
      <c r="D2091" s="302"/>
      <c r="E2091" s="302"/>
      <c r="K2091" s="303"/>
      <c r="L2091" s="303"/>
      <c r="M2091" s="303"/>
      <c r="AB2091" s="298"/>
      <c r="AC2091" s="297"/>
      <c r="AF2091" s="296"/>
      <c r="AG2091" s="297"/>
      <c r="AJ2091" s="298"/>
      <c r="AK2091" s="297"/>
      <c r="AN2091" s="298"/>
      <c r="AR2091" s="298"/>
    </row>
    <row r="2092" spans="2:44" s="290" customFormat="1" x14ac:dyDescent="0.2">
      <c r="B2092" s="302"/>
      <c r="D2092" s="302"/>
      <c r="E2092" s="302"/>
      <c r="K2092" s="303"/>
      <c r="L2092" s="303"/>
      <c r="M2092" s="303"/>
      <c r="AB2092" s="298"/>
      <c r="AC2092" s="297"/>
      <c r="AF2092" s="296"/>
      <c r="AG2092" s="297"/>
      <c r="AJ2092" s="298"/>
      <c r="AK2092" s="297"/>
      <c r="AN2092" s="298"/>
      <c r="AR2092" s="298"/>
    </row>
    <row r="2093" spans="2:44" s="290" customFormat="1" x14ac:dyDescent="0.2">
      <c r="B2093" s="302"/>
      <c r="D2093" s="302"/>
      <c r="E2093" s="302"/>
      <c r="K2093" s="303"/>
      <c r="L2093" s="303"/>
      <c r="M2093" s="303"/>
      <c r="AB2093" s="298"/>
      <c r="AC2093" s="297"/>
      <c r="AF2093" s="296"/>
      <c r="AG2093" s="297"/>
      <c r="AJ2093" s="298"/>
      <c r="AK2093" s="297"/>
      <c r="AN2093" s="298"/>
      <c r="AR2093" s="298"/>
    </row>
    <row r="2094" spans="2:44" s="290" customFormat="1" x14ac:dyDescent="0.2">
      <c r="B2094" s="302"/>
      <c r="D2094" s="302"/>
      <c r="E2094" s="302"/>
      <c r="K2094" s="303"/>
      <c r="L2094" s="303"/>
      <c r="M2094" s="303"/>
      <c r="AB2094" s="298"/>
      <c r="AC2094" s="297"/>
      <c r="AF2094" s="296"/>
      <c r="AG2094" s="297"/>
      <c r="AJ2094" s="298"/>
      <c r="AK2094" s="297"/>
      <c r="AN2094" s="298"/>
      <c r="AR2094" s="298"/>
    </row>
    <row r="2095" spans="2:44" s="290" customFormat="1" x14ac:dyDescent="0.2">
      <c r="B2095" s="302"/>
      <c r="D2095" s="302"/>
      <c r="E2095" s="302"/>
      <c r="K2095" s="303"/>
      <c r="L2095" s="303"/>
      <c r="M2095" s="303"/>
      <c r="AB2095" s="298"/>
      <c r="AC2095" s="297"/>
      <c r="AF2095" s="296"/>
      <c r="AG2095" s="297"/>
      <c r="AJ2095" s="298"/>
      <c r="AK2095" s="297"/>
      <c r="AN2095" s="298"/>
      <c r="AR2095" s="298"/>
    </row>
    <row r="2096" spans="2:44" s="290" customFormat="1" x14ac:dyDescent="0.2">
      <c r="B2096" s="302"/>
      <c r="D2096" s="302"/>
      <c r="E2096" s="302"/>
      <c r="K2096" s="303"/>
      <c r="L2096" s="303"/>
      <c r="M2096" s="303"/>
      <c r="AB2096" s="298"/>
      <c r="AC2096" s="297"/>
      <c r="AF2096" s="296"/>
      <c r="AG2096" s="297"/>
      <c r="AJ2096" s="298"/>
      <c r="AK2096" s="297"/>
      <c r="AN2096" s="298"/>
      <c r="AR2096" s="298"/>
    </row>
    <row r="2097" spans="2:44" s="290" customFormat="1" x14ac:dyDescent="0.2">
      <c r="B2097" s="302"/>
      <c r="D2097" s="302"/>
      <c r="E2097" s="302"/>
      <c r="K2097" s="303"/>
      <c r="L2097" s="303"/>
      <c r="M2097" s="303"/>
      <c r="AB2097" s="298"/>
      <c r="AC2097" s="297"/>
      <c r="AF2097" s="296"/>
      <c r="AG2097" s="297"/>
      <c r="AJ2097" s="298"/>
      <c r="AK2097" s="297"/>
      <c r="AN2097" s="298"/>
      <c r="AR2097" s="298"/>
    </row>
    <row r="2098" spans="2:44" s="290" customFormat="1" x14ac:dyDescent="0.2">
      <c r="B2098" s="302"/>
      <c r="D2098" s="302"/>
      <c r="E2098" s="302"/>
      <c r="K2098" s="303"/>
      <c r="L2098" s="303"/>
      <c r="M2098" s="303"/>
      <c r="AB2098" s="298"/>
      <c r="AC2098" s="297"/>
      <c r="AF2098" s="296"/>
      <c r="AG2098" s="297"/>
      <c r="AJ2098" s="298"/>
      <c r="AK2098" s="297"/>
      <c r="AN2098" s="298"/>
      <c r="AR2098" s="298"/>
    </row>
    <row r="2099" spans="2:44" s="290" customFormat="1" x14ac:dyDescent="0.2">
      <c r="B2099" s="302"/>
      <c r="D2099" s="302"/>
      <c r="E2099" s="302"/>
      <c r="K2099" s="303"/>
      <c r="L2099" s="303"/>
      <c r="M2099" s="303"/>
      <c r="AB2099" s="298"/>
      <c r="AC2099" s="297"/>
      <c r="AF2099" s="296"/>
      <c r="AG2099" s="297"/>
      <c r="AJ2099" s="298"/>
      <c r="AK2099" s="297"/>
      <c r="AN2099" s="298"/>
      <c r="AR2099" s="298"/>
    </row>
    <row r="2100" spans="2:44" s="290" customFormat="1" x14ac:dyDescent="0.2">
      <c r="B2100" s="302"/>
      <c r="D2100" s="302"/>
      <c r="E2100" s="302"/>
      <c r="K2100" s="303"/>
      <c r="L2100" s="303"/>
      <c r="M2100" s="303"/>
      <c r="AB2100" s="298"/>
      <c r="AC2100" s="297"/>
      <c r="AF2100" s="296"/>
      <c r="AG2100" s="297"/>
      <c r="AJ2100" s="298"/>
      <c r="AK2100" s="297"/>
      <c r="AN2100" s="298"/>
      <c r="AR2100" s="298"/>
    </row>
    <row r="2101" spans="2:44" s="290" customFormat="1" x14ac:dyDescent="0.2">
      <c r="B2101" s="302"/>
      <c r="D2101" s="302"/>
      <c r="E2101" s="302"/>
      <c r="K2101" s="303"/>
      <c r="L2101" s="303"/>
      <c r="M2101" s="303"/>
      <c r="AB2101" s="298"/>
      <c r="AC2101" s="297"/>
      <c r="AF2101" s="296"/>
      <c r="AG2101" s="297"/>
      <c r="AJ2101" s="298"/>
      <c r="AK2101" s="297"/>
      <c r="AN2101" s="298"/>
      <c r="AR2101" s="298"/>
    </row>
    <row r="2102" spans="2:44" s="290" customFormat="1" x14ac:dyDescent="0.2">
      <c r="B2102" s="302"/>
      <c r="D2102" s="302"/>
      <c r="E2102" s="302"/>
      <c r="K2102" s="303"/>
      <c r="L2102" s="303"/>
      <c r="M2102" s="303"/>
      <c r="AB2102" s="298"/>
      <c r="AC2102" s="297"/>
      <c r="AF2102" s="296"/>
      <c r="AG2102" s="297"/>
      <c r="AJ2102" s="298"/>
      <c r="AK2102" s="297"/>
      <c r="AN2102" s="298"/>
      <c r="AR2102" s="298"/>
    </row>
    <row r="2103" spans="2:44" s="290" customFormat="1" x14ac:dyDescent="0.2">
      <c r="B2103" s="302"/>
      <c r="D2103" s="302"/>
      <c r="E2103" s="302"/>
      <c r="K2103" s="303"/>
      <c r="L2103" s="303"/>
      <c r="M2103" s="303"/>
      <c r="AB2103" s="298"/>
      <c r="AC2103" s="297"/>
      <c r="AF2103" s="296"/>
      <c r="AG2103" s="297"/>
      <c r="AJ2103" s="298"/>
      <c r="AK2103" s="297"/>
      <c r="AN2103" s="298"/>
      <c r="AR2103" s="298"/>
    </row>
    <row r="2104" spans="2:44" s="290" customFormat="1" x14ac:dyDescent="0.2">
      <c r="B2104" s="302"/>
      <c r="D2104" s="302"/>
      <c r="E2104" s="302"/>
      <c r="K2104" s="303"/>
      <c r="L2104" s="303"/>
      <c r="M2104" s="303"/>
      <c r="AB2104" s="298"/>
      <c r="AC2104" s="297"/>
      <c r="AF2104" s="296"/>
      <c r="AG2104" s="297"/>
      <c r="AJ2104" s="298"/>
      <c r="AK2104" s="297"/>
      <c r="AN2104" s="298"/>
      <c r="AR2104" s="298"/>
    </row>
    <row r="2105" spans="2:44" s="290" customFormat="1" x14ac:dyDescent="0.2">
      <c r="B2105" s="302"/>
      <c r="D2105" s="302"/>
      <c r="E2105" s="302"/>
      <c r="K2105" s="303"/>
      <c r="L2105" s="303"/>
      <c r="M2105" s="303"/>
      <c r="AB2105" s="298"/>
      <c r="AC2105" s="297"/>
      <c r="AF2105" s="296"/>
      <c r="AG2105" s="297"/>
      <c r="AJ2105" s="298"/>
      <c r="AK2105" s="297"/>
      <c r="AN2105" s="298"/>
      <c r="AR2105" s="298"/>
    </row>
    <row r="2106" spans="2:44" s="290" customFormat="1" x14ac:dyDescent="0.2">
      <c r="B2106" s="302"/>
      <c r="D2106" s="302"/>
      <c r="E2106" s="302"/>
      <c r="K2106" s="303"/>
      <c r="L2106" s="303"/>
      <c r="M2106" s="303"/>
      <c r="AB2106" s="298"/>
      <c r="AC2106" s="297"/>
      <c r="AF2106" s="296"/>
      <c r="AG2106" s="297"/>
      <c r="AJ2106" s="298"/>
      <c r="AK2106" s="297"/>
      <c r="AN2106" s="298"/>
      <c r="AR2106" s="298"/>
    </row>
    <row r="2107" spans="2:44" s="290" customFormat="1" x14ac:dyDescent="0.2">
      <c r="B2107" s="302"/>
      <c r="D2107" s="302"/>
      <c r="E2107" s="302"/>
      <c r="K2107" s="303"/>
      <c r="L2107" s="303"/>
      <c r="M2107" s="303"/>
      <c r="AB2107" s="298"/>
      <c r="AC2107" s="297"/>
      <c r="AF2107" s="296"/>
      <c r="AG2107" s="297"/>
      <c r="AJ2107" s="298"/>
      <c r="AK2107" s="297"/>
      <c r="AN2107" s="298"/>
      <c r="AR2107" s="298"/>
    </row>
    <row r="2108" spans="2:44" s="290" customFormat="1" x14ac:dyDescent="0.2">
      <c r="B2108" s="302"/>
      <c r="D2108" s="302"/>
      <c r="E2108" s="302"/>
      <c r="K2108" s="303"/>
      <c r="L2108" s="303"/>
      <c r="M2108" s="303"/>
      <c r="AB2108" s="298"/>
      <c r="AC2108" s="297"/>
      <c r="AF2108" s="296"/>
      <c r="AG2108" s="297"/>
      <c r="AJ2108" s="298"/>
      <c r="AK2108" s="297"/>
      <c r="AN2108" s="298"/>
      <c r="AR2108" s="298"/>
    </row>
    <row r="2109" spans="2:44" s="290" customFormat="1" x14ac:dyDescent="0.2">
      <c r="B2109" s="302"/>
      <c r="D2109" s="302"/>
      <c r="E2109" s="302"/>
      <c r="K2109" s="303"/>
      <c r="L2109" s="303"/>
      <c r="M2109" s="303"/>
      <c r="AB2109" s="298"/>
      <c r="AC2109" s="297"/>
      <c r="AF2109" s="296"/>
      <c r="AG2109" s="297"/>
      <c r="AJ2109" s="298"/>
      <c r="AK2109" s="297"/>
      <c r="AN2109" s="298"/>
      <c r="AR2109" s="298"/>
    </row>
    <row r="2110" spans="2:44" s="290" customFormat="1" x14ac:dyDescent="0.2">
      <c r="B2110" s="302"/>
      <c r="D2110" s="302"/>
      <c r="E2110" s="302"/>
      <c r="K2110" s="303"/>
      <c r="L2110" s="303"/>
      <c r="M2110" s="303"/>
      <c r="AB2110" s="298"/>
      <c r="AC2110" s="297"/>
      <c r="AF2110" s="296"/>
      <c r="AG2110" s="297"/>
      <c r="AJ2110" s="298"/>
      <c r="AK2110" s="297"/>
      <c r="AN2110" s="298"/>
      <c r="AR2110" s="298"/>
    </row>
    <row r="2111" spans="2:44" s="290" customFormat="1" x14ac:dyDescent="0.2">
      <c r="B2111" s="302"/>
      <c r="D2111" s="302"/>
      <c r="E2111" s="302"/>
      <c r="K2111" s="303"/>
      <c r="L2111" s="303"/>
      <c r="M2111" s="303"/>
      <c r="AB2111" s="298"/>
      <c r="AC2111" s="297"/>
      <c r="AF2111" s="296"/>
      <c r="AG2111" s="297"/>
      <c r="AJ2111" s="298"/>
      <c r="AK2111" s="297"/>
      <c r="AN2111" s="298"/>
      <c r="AR2111" s="298"/>
    </row>
    <row r="2112" spans="2:44" s="290" customFormat="1" x14ac:dyDescent="0.2">
      <c r="B2112" s="302"/>
      <c r="D2112" s="302"/>
      <c r="E2112" s="302"/>
      <c r="K2112" s="303"/>
      <c r="L2112" s="303"/>
      <c r="M2112" s="303"/>
      <c r="AB2112" s="298"/>
      <c r="AC2112" s="297"/>
      <c r="AF2112" s="296"/>
      <c r="AG2112" s="297"/>
      <c r="AJ2112" s="298"/>
      <c r="AK2112" s="297"/>
      <c r="AN2112" s="298"/>
      <c r="AR2112" s="298"/>
    </row>
    <row r="2113" spans="2:44" s="290" customFormat="1" x14ac:dyDescent="0.2">
      <c r="B2113" s="302"/>
      <c r="D2113" s="302"/>
      <c r="E2113" s="302"/>
      <c r="K2113" s="303"/>
      <c r="L2113" s="303"/>
      <c r="M2113" s="303"/>
      <c r="AB2113" s="298"/>
      <c r="AC2113" s="297"/>
      <c r="AF2113" s="296"/>
      <c r="AG2113" s="297"/>
      <c r="AJ2113" s="298"/>
      <c r="AK2113" s="297"/>
      <c r="AN2113" s="298"/>
      <c r="AR2113" s="298"/>
    </row>
    <row r="2114" spans="2:44" s="290" customFormat="1" x14ac:dyDescent="0.2">
      <c r="B2114" s="302"/>
      <c r="D2114" s="302"/>
      <c r="E2114" s="302"/>
      <c r="K2114" s="303"/>
      <c r="L2114" s="303"/>
      <c r="M2114" s="303"/>
      <c r="AB2114" s="298"/>
      <c r="AC2114" s="297"/>
      <c r="AF2114" s="296"/>
      <c r="AG2114" s="297"/>
      <c r="AJ2114" s="298"/>
      <c r="AK2114" s="297"/>
      <c r="AN2114" s="298"/>
      <c r="AR2114" s="298"/>
    </row>
    <row r="2115" spans="2:44" s="290" customFormat="1" x14ac:dyDescent="0.2">
      <c r="B2115" s="302"/>
      <c r="D2115" s="302"/>
      <c r="E2115" s="302"/>
      <c r="K2115" s="303"/>
      <c r="L2115" s="303"/>
      <c r="M2115" s="303"/>
      <c r="AB2115" s="298"/>
      <c r="AC2115" s="297"/>
      <c r="AF2115" s="296"/>
      <c r="AG2115" s="297"/>
      <c r="AJ2115" s="298"/>
      <c r="AK2115" s="297"/>
      <c r="AN2115" s="298"/>
      <c r="AR2115" s="298"/>
    </row>
    <row r="2116" spans="2:44" s="290" customFormat="1" x14ac:dyDescent="0.2">
      <c r="B2116" s="302"/>
      <c r="D2116" s="302"/>
      <c r="E2116" s="302"/>
      <c r="K2116" s="303"/>
      <c r="L2116" s="303"/>
      <c r="M2116" s="303"/>
      <c r="AB2116" s="298"/>
      <c r="AC2116" s="297"/>
      <c r="AF2116" s="296"/>
      <c r="AG2116" s="297"/>
      <c r="AJ2116" s="298"/>
      <c r="AK2116" s="297"/>
      <c r="AN2116" s="298"/>
      <c r="AR2116" s="298"/>
    </row>
    <row r="2117" spans="2:44" s="290" customFormat="1" x14ac:dyDescent="0.2">
      <c r="B2117" s="302"/>
      <c r="D2117" s="302"/>
      <c r="E2117" s="302"/>
      <c r="K2117" s="303"/>
      <c r="L2117" s="303"/>
      <c r="M2117" s="303"/>
      <c r="AB2117" s="298"/>
      <c r="AC2117" s="297"/>
      <c r="AF2117" s="296"/>
      <c r="AG2117" s="297"/>
      <c r="AJ2117" s="298"/>
      <c r="AK2117" s="297"/>
      <c r="AN2117" s="298"/>
      <c r="AR2117" s="298"/>
    </row>
    <row r="2118" spans="2:44" s="290" customFormat="1" x14ac:dyDescent="0.2">
      <c r="B2118" s="302"/>
      <c r="D2118" s="302"/>
      <c r="E2118" s="302"/>
      <c r="K2118" s="303"/>
      <c r="L2118" s="303"/>
      <c r="M2118" s="303"/>
      <c r="AB2118" s="298"/>
      <c r="AC2118" s="297"/>
      <c r="AF2118" s="296"/>
      <c r="AG2118" s="297"/>
      <c r="AJ2118" s="298"/>
      <c r="AK2118" s="297"/>
      <c r="AN2118" s="298"/>
      <c r="AR2118" s="298"/>
    </row>
    <row r="2119" spans="2:44" s="290" customFormat="1" x14ac:dyDescent="0.2">
      <c r="B2119" s="302"/>
      <c r="D2119" s="302"/>
      <c r="E2119" s="302"/>
      <c r="K2119" s="303"/>
      <c r="L2119" s="303"/>
      <c r="M2119" s="303"/>
      <c r="AB2119" s="298"/>
      <c r="AC2119" s="297"/>
      <c r="AF2119" s="296"/>
      <c r="AG2119" s="297"/>
      <c r="AJ2119" s="298"/>
      <c r="AK2119" s="297"/>
      <c r="AN2119" s="298"/>
      <c r="AR2119" s="298"/>
    </row>
    <row r="2120" spans="2:44" s="290" customFormat="1" x14ac:dyDescent="0.2">
      <c r="B2120" s="302"/>
      <c r="D2120" s="302"/>
      <c r="E2120" s="302"/>
      <c r="K2120" s="303"/>
      <c r="L2120" s="303"/>
      <c r="M2120" s="303"/>
      <c r="AB2120" s="298"/>
      <c r="AC2120" s="297"/>
      <c r="AF2120" s="296"/>
      <c r="AG2120" s="297"/>
      <c r="AJ2120" s="298"/>
      <c r="AK2120" s="297"/>
      <c r="AN2120" s="298"/>
      <c r="AR2120" s="298"/>
    </row>
    <row r="2121" spans="2:44" s="290" customFormat="1" x14ac:dyDescent="0.2">
      <c r="B2121" s="302"/>
      <c r="D2121" s="302"/>
      <c r="E2121" s="302"/>
      <c r="K2121" s="303"/>
      <c r="L2121" s="303"/>
      <c r="M2121" s="303"/>
      <c r="AB2121" s="298"/>
      <c r="AC2121" s="297"/>
      <c r="AF2121" s="296"/>
      <c r="AG2121" s="297"/>
      <c r="AJ2121" s="298"/>
      <c r="AK2121" s="297"/>
      <c r="AN2121" s="298"/>
      <c r="AR2121" s="298"/>
    </row>
    <row r="2122" spans="2:44" s="290" customFormat="1" x14ac:dyDescent="0.2">
      <c r="B2122" s="302"/>
      <c r="D2122" s="302"/>
      <c r="E2122" s="302"/>
      <c r="K2122" s="303"/>
      <c r="L2122" s="303"/>
      <c r="M2122" s="303"/>
      <c r="AB2122" s="298"/>
      <c r="AC2122" s="297"/>
      <c r="AF2122" s="296"/>
      <c r="AG2122" s="297"/>
      <c r="AJ2122" s="298"/>
      <c r="AK2122" s="297"/>
      <c r="AN2122" s="298"/>
      <c r="AR2122" s="298"/>
    </row>
    <row r="2123" spans="2:44" s="290" customFormat="1" x14ac:dyDescent="0.2">
      <c r="B2123" s="302"/>
      <c r="D2123" s="302"/>
      <c r="E2123" s="302"/>
      <c r="K2123" s="303"/>
      <c r="L2123" s="303"/>
      <c r="M2123" s="303"/>
      <c r="AB2123" s="298"/>
      <c r="AC2123" s="297"/>
      <c r="AF2123" s="296"/>
      <c r="AG2123" s="297"/>
      <c r="AJ2123" s="298"/>
      <c r="AK2123" s="297"/>
      <c r="AN2123" s="298"/>
      <c r="AR2123" s="298"/>
    </row>
    <row r="2124" spans="2:44" s="290" customFormat="1" x14ac:dyDescent="0.2">
      <c r="B2124" s="302"/>
      <c r="D2124" s="302"/>
      <c r="E2124" s="302"/>
      <c r="K2124" s="303"/>
      <c r="L2124" s="303"/>
      <c r="M2124" s="303"/>
      <c r="AB2124" s="298"/>
      <c r="AC2124" s="297"/>
      <c r="AF2124" s="296"/>
      <c r="AG2124" s="297"/>
      <c r="AJ2124" s="298"/>
      <c r="AK2124" s="297"/>
      <c r="AN2124" s="298"/>
      <c r="AR2124" s="298"/>
    </row>
    <row r="2125" spans="2:44" s="290" customFormat="1" x14ac:dyDescent="0.2">
      <c r="B2125" s="302"/>
      <c r="D2125" s="302"/>
      <c r="E2125" s="302"/>
      <c r="K2125" s="303"/>
      <c r="L2125" s="303"/>
      <c r="M2125" s="303"/>
      <c r="AB2125" s="298"/>
      <c r="AC2125" s="297"/>
      <c r="AF2125" s="296"/>
      <c r="AG2125" s="297"/>
      <c r="AJ2125" s="298"/>
      <c r="AK2125" s="297"/>
      <c r="AN2125" s="298"/>
      <c r="AR2125" s="298"/>
    </row>
    <row r="2126" spans="2:44" s="290" customFormat="1" x14ac:dyDescent="0.2">
      <c r="B2126" s="302"/>
      <c r="D2126" s="302"/>
      <c r="E2126" s="302"/>
      <c r="K2126" s="303"/>
      <c r="L2126" s="303"/>
      <c r="M2126" s="303"/>
      <c r="AB2126" s="298"/>
      <c r="AC2126" s="297"/>
      <c r="AF2126" s="296"/>
      <c r="AG2126" s="297"/>
      <c r="AJ2126" s="298"/>
      <c r="AK2126" s="297"/>
      <c r="AN2126" s="298"/>
      <c r="AR2126" s="298"/>
    </row>
    <row r="2127" spans="2:44" s="290" customFormat="1" x14ac:dyDescent="0.2">
      <c r="B2127" s="302"/>
      <c r="D2127" s="302"/>
      <c r="E2127" s="302"/>
      <c r="K2127" s="303"/>
      <c r="L2127" s="303"/>
      <c r="M2127" s="303"/>
      <c r="AB2127" s="298"/>
      <c r="AC2127" s="297"/>
      <c r="AF2127" s="296"/>
      <c r="AG2127" s="297"/>
      <c r="AJ2127" s="298"/>
      <c r="AK2127" s="297"/>
      <c r="AN2127" s="298"/>
      <c r="AR2127" s="298"/>
    </row>
    <row r="2128" spans="2:44" s="290" customFormat="1" x14ac:dyDescent="0.2">
      <c r="B2128" s="302"/>
      <c r="D2128" s="302"/>
      <c r="E2128" s="302"/>
      <c r="K2128" s="303"/>
      <c r="L2128" s="303"/>
      <c r="M2128" s="303"/>
      <c r="AB2128" s="298"/>
      <c r="AC2128" s="297"/>
      <c r="AF2128" s="296"/>
      <c r="AG2128" s="297"/>
      <c r="AJ2128" s="298"/>
      <c r="AK2128" s="297"/>
      <c r="AN2128" s="298"/>
      <c r="AR2128" s="298"/>
    </row>
    <row r="2129" spans="2:44" s="290" customFormat="1" x14ac:dyDescent="0.2">
      <c r="B2129" s="302"/>
      <c r="D2129" s="302"/>
      <c r="E2129" s="302"/>
      <c r="K2129" s="303"/>
      <c r="L2129" s="303"/>
      <c r="M2129" s="303"/>
      <c r="AB2129" s="298"/>
      <c r="AC2129" s="297"/>
      <c r="AF2129" s="296"/>
      <c r="AG2129" s="297"/>
      <c r="AJ2129" s="298"/>
      <c r="AK2129" s="297"/>
      <c r="AN2129" s="298"/>
      <c r="AR2129" s="298"/>
    </row>
    <row r="2130" spans="2:44" s="290" customFormat="1" x14ac:dyDescent="0.2">
      <c r="B2130" s="302"/>
      <c r="D2130" s="302"/>
      <c r="E2130" s="302"/>
      <c r="K2130" s="303"/>
      <c r="L2130" s="303"/>
      <c r="M2130" s="303"/>
      <c r="AB2130" s="298"/>
      <c r="AC2130" s="297"/>
      <c r="AF2130" s="296"/>
      <c r="AG2130" s="297"/>
      <c r="AJ2130" s="298"/>
      <c r="AK2130" s="297"/>
      <c r="AN2130" s="298"/>
      <c r="AR2130" s="298"/>
    </row>
    <row r="2131" spans="2:44" s="290" customFormat="1" x14ac:dyDescent="0.2">
      <c r="B2131" s="302"/>
      <c r="D2131" s="302"/>
      <c r="E2131" s="302"/>
      <c r="K2131" s="303"/>
      <c r="L2131" s="303"/>
      <c r="M2131" s="303"/>
      <c r="AB2131" s="298"/>
      <c r="AC2131" s="297"/>
      <c r="AF2131" s="296"/>
      <c r="AG2131" s="297"/>
      <c r="AJ2131" s="298"/>
      <c r="AK2131" s="297"/>
      <c r="AN2131" s="298"/>
      <c r="AR2131" s="298"/>
    </row>
    <row r="2132" spans="2:44" s="290" customFormat="1" x14ac:dyDescent="0.2">
      <c r="B2132" s="302"/>
      <c r="D2132" s="302"/>
      <c r="E2132" s="302"/>
      <c r="K2132" s="303"/>
      <c r="L2132" s="303"/>
      <c r="M2132" s="303"/>
      <c r="AB2132" s="298"/>
      <c r="AC2132" s="297"/>
      <c r="AF2132" s="296"/>
      <c r="AG2132" s="297"/>
      <c r="AJ2132" s="298"/>
      <c r="AK2132" s="297"/>
      <c r="AN2132" s="298"/>
      <c r="AR2132" s="298"/>
    </row>
    <row r="2133" spans="2:44" s="290" customFormat="1" x14ac:dyDescent="0.2">
      <c r="B2133" s="302"/>
      <c r="D2133" s="302"/>
      <c r="E2133" s="302"/>
      <c r="K2133" s="303"/>
      <c r="L2133" s="303"/>
      <c r="M2133" s="303"/>
      <c r="AB2133" s="298"/>
      <c r="AC2133" s="297"/>
      <c r="AF2133" s="296"/>
      <c r="AG2133" s="297"/>
      <c r="AJ2133" s="298"/>
      <c r="AK2133" s="297"/>
      <c r="AN2133" s="298"/>
      <c r="AR2133" s="298"/>
    </row>
    <row r="2134" spans="2:44" s="290" customFormat="1" x14ac:dyDescent="0.2">
      <c r="B2134" s="302"/>
      <c r="D2134" s="302"/>
      <c r="E2134" s="302"/>
      <c r="K2134" s="303"/>
      <c r="L2134" s="303"/>
      <c r="M2134" s="303"/>
      <c r="AB2134" s="298"/>
      <c r="AC2134" s="297"/>
      <c r="AF2134" s="296"/>
      <c r="AG2134" s="297"/>
      <c r="AJ2134" s="298"/>
      <c r="AK2134" s="297"/>
      <c r="AN2134" s="298"/>
      <c r="AR2134" s="298"/>
    </row>
    <row r="2135" spans="2:44" s="290" customFormat="1" x14ac:dyDescent="0.2">
      <c r="B2135" s="302"/>
      <c r="D2135" s="302"/>
      <c r="E2135" s="302"/>
      <c r="K2135" s="303"/>
      <c r="L2135" s="303"/>
      <c r="M2135" s="303"/>
      <c r="AB2135" s="298"/>
      <c r="AC2135" s="297"/>
      <c r="AF2135" s="296"/>
      <c r="AG2135" s="297"/>
      <c r="AJ2135" s="298"/>
      <c r="AK2135" s="297"/>
      <c r="AN2135" s="298"/>
      <c r="AR2135" s="298"/>
    </row>
    <row r="2136" spans="2:44" s="290" customFormat="1" x14ac:dyDescent="0.2">
      <c r="B2136" s="302"/>
      <c r="D2136" s="302"/>
      <c r="E2136" s="302"/>
      <c r="K2136" s="303"/>
      <c r="L2136" s="303"/>
      <c r="M2136" s="303"/>
      <c r="AB2136" s="298"/>
      <c r="AC2136" s="297"/>
      <c r="AF2136" s="296"/>
      <c r="AG2136" s="297"/>
      <c r="AJ2136" s="298"/>
      <c r="AK2136" s="297"/>
      <c r="AN2136" s="298"/>
      <c r="AR2136" s="298"/>
    </row>
    <row r="2137" spans="2:44" s="290" customFormat="1" x14ac:dyDescent="0.2">
      <c r="B2137" s="302"/>
      <c r="D2137" s="302"/>
      <c r="E2137" s="302"/>
      <c r="K2137" s="303"/>
      <c r="L2137" s="303"/>
      <c r="M2137" s="303"/>
      <c r="AB2137" s="298"/>
      <c r="AC2137" s="297"/>
      <c r="AF2137" s="296"/>
      <c r="AG2137" s="297"/>
      <c r="AJ2137" s="298"/>
      <c r="AK2137" s="297"/>
      <c r="AN2137" s="298"/>
      <c r="AR2137" s="298"/>
    </row>
    <row r="2138" spans="2:44" s="290" customFormat="1" x14ac:dyDescent="0.2">
      <c r="B2138" s="302"/>
      <c r="D2138" s="302"/>
      <c r="E2138" s="302"/>
      <c r="K2138" s="303"/>
      <c r="L2138" s="303"/>
      <c r="M2138" s="303"/>
      <c r="AB2138" s="298"/>
      <c r="AC2138" s="297"/>
      <c r="AF2138" s="296"/>
      <c r="AG2138" s="297"/>
      <c r="AJ2138" s="298"/>
      <c r="AK2138" s="297"/>
      <c r="AN2138" s="298"/>
      <c r="AR2138" s="298"/>
    </row>
    <row r="2139" spans="2:44" s="290" customFormat="1" x14ac:dyDescent="0.2">
      <c r="B2139" s="302"/>
      <c r="D2139" s="302"/>
      <c r="E2139" s="302"/>
      <c r="K2139" s="303"/>
      <c r="L2139" s="303"/>
      <c r="M2139" s="303"/>
      <c r="AB2139" s="298"/>
      <c r="AC2139" s="297"/>
      <c r="AF2139" s="296"/>
      <c r="AG2139" s="297"/>
      <c r="AJ2139" s="298"/>
      <c r="AK2139" s="297"/>
      <c r="AN2139" s="298"/>
      <c r="AR2139" s="298"/>
    </row>
    <row r="2140" spans="2:44" s="290" customFormat="1" x14ac:dyDescent="0.2">
      <c r="B2140" s="302"/>
      <c r="D2140" s="302"/>
      <c r="E2140" s="302"/>
      <c r="K2140" s="303"/>
      <c r="L2140" s="303"/>
      <c r="M2140" s="303"/>
      <c r="AB2140" s="298"/>
      <c r="AC2140" s="297"/>
      <c r="AF2140" s="296"/>
      <c r="AG2140" s="297"/>
      <c r="AJ2140" s="298"/>
      <c r="AK2140" s="297"/>
      <c r="AN2140" s="298"/>
      <c r="AR2140" s="298"/>
    </row>
    <row r="2141" spans="2:44" s="290" customFormat="1" x14ac:dyDescent="0.2">
      <c r="B2141" s="302"/>
      <c r="D2141" s="302"/>
      <c r="E2141" s="302"/>
      <c r="K2141" s="303"/>
      <c r="L2141" s="303"/>
      <c r="M2141" s="303"/>
      <c r="AB2141" s="298"/>
      <c r="AC2141" s="297"/>
      <c r="AF2141" s="296"/>
      <c r="AG2141" s="297"/>
      <c r="AJ2141" s="298"/>
      <c r="AK2141" s="297"/>
      <c r="AN2141" s="298"/>
      <c r="AR2141" s="298"/>
    </row>
    <row r="2142" spans="2:44" s="290" customFormat="1" x14ac:dyDescent="0.2">
      <c r="B2142" s="302"/>
      <c r="D2142" s="302"/>
      <c r="E2142" s="302"/>
      <c r="K2142" s="303"/>
      <c r="L2142" s="303"/>
      <c r="M2142" s="303"/>
      <c r="AB2142" s="298"/>
      <c r="AC2142" s="297"/>
      <c r="AF2142" s="296"/>
      <c r="AG2142" s="297"/>
      <c r="AJ2142" s="298"/>
      <c r="AK2142" s="297"/>
      <c r="AN2142" s="298"/>
      <c r="AR2142" s="298"/>
    </row>
    <row r="2143" spans="2:44" s="290" customFormat="1" x14ac:dyDescent="0.2">
      <c r="B2143" s="302"/>
      <c r="D2143" s="302"/>
      <c r="E2143" s="302"/>
      <c r="K2143" s="303"/>
      <c r="L2143" s="303"/>
      <c r="M2143" s="303"/>
      <c r="AB2143" s="298"/>
      <c r="AC2143" s="297"/>
      <c r="AF2143" s="296"/>
      <c r="AG2143" s="297"/>
      <c r="AJ2143" s="298"/>
      <c r="AK2143" s="297"/>
      <c r="AN2143" s="298"/>
      <c r="AR2143" s="298"/>
    </row>
    <row r="2144" spans="2:44" s="290" customFormat="1" x14ac:dyDescent="0.2">
      <c r="B2144" s="302"/>
      <c r="D2144" s="302"/>
      <c r="E2144" s="302"/>
      <c r="K2144" s="303"/>
      <c r="L2144" s="303"/>
      <c r="M2144" s="303"/>
      <c r="AB2144" s="298"/>
      <c r="AC2144" s="297"/>
      <c r="AF2144" s="296"/>
      <c r="AG2144" s="297"/>
      <c r="AJ2144" s="298"/>
      <c r="AK2144" s="297"/>
      <c r="AN2144" s="298"/>
      <c r="AR2144" s="298"/>
    </row>
    <row r="2145" spans="2:44" s="290" customFormat="1" x14ac:dyDescent="0.2">
      <c r="B2145" s="302"/>
      <c r="D2145" s="302"/>
      <c r="E2145" s="302"/>
      <c r="K2145" s="303"/>
      <c r="L2145" s="303"/>
      <c r="M2145" s="303"/>
      <c r="AB2145" s="298"/>
      <c r="AC2145" s="297"/>
      <c r="AF2145" s="296"/>
      <c r="AG2145" s="297"/>
      <c r="AJ2145" s="298"/>
      <c r="AK2145" s="297"/>
      <c r="AN2145" s="298"/>
      <c r="AR2145" s="298"/>
    </row>
    <row r="2146" spans="2:44" s="290" customFormat="1" x14ac:dyDescent="0.2">
      <c r="B2146" s="302"/>
      <c r="D2146" s="302"/>
      <c r="E2146" s="302"/>
      <c r="K2146" s="303"/>
      <c r="L2146" s="303"/>
      <c r="M2146" s="303"/>
      <c r="AB2146" s="298"/>
      <c r="AC2146" s="297"/>
      <c r="AF2146" s="296"/>
      <c r="AG2146" s="297"/>
      <c r="AJ2146" s="298"/>
      <c r="AK2146" s="297"/>
      <c r="AN2146" s="298"/>
      <c r="AR2146" s="298"/>
    </row>
    <row r="2147" spans="2:44" s="290" customFormat="1" x14ac:dyDescent="0.2">
      <c r="B2147" s="302"/>
      <c r="D2147" s="302"/>
      <c r="E2147" s="302"/>
      <c r="K2147" s="303"/>
      <c r="L2147" s="303"/>
      <c r="M2147" s="303"/>
      <c r="AB2147" s="298"/>
      <c r="AC2147" s="297"/>
      <c r="AF2147" s="296"/>
      <c r="AG2147" s="297"/>
      <c r="AJ2147" s="298"/>
      <c r="AK2147" s="297"/>
      <c r="AN2147" s="298"/>
      <c r="AR2147" s="298"/>
    </row>
    <row r="2148" spans="2:44" s="290" customFormat="1" x14ac:dyDescent="0.2">
      <c r="B2148" s="302"/>
      <c r="D2148" s="302"/>
      <c r="E2148" s="302"/>
      <c r="K2148" s="303"/>
      <c r="L2148" s="303"/>
      <c r="M2148" s="303"/>
      <c r="AB2148" s="298"/>
      <c r="AC2148" s="297"/>
      <c r="AF2148" s="296"/>
      <c r="AG2148" s="297"/>
      <c r="AJ2148" s="298"/>
      <c r="AK2148" s="297"/>
      <c r="AN2148" s="298"/>
      <c r="AR2148" s="298"/>
    </row>
    <row r="2149" spans="2:44" s="290" customFormat="1" x14ac:dyDescent="0.2">
      <c r="B2149" s="302"/>
      <c r="D2149" s="302"/>
      <c r="E2149" s="302"/>
      <c r="K2149" s="303"/>
      <c r="L2149" s="303"/>
      <c r="M2149" s="303"/>
      <c r="AB2149" s="298"/>
      <c r="AC2149" s="297"/>
      <c r="AF2149" s="296"/>
      <c r="AG2149" s="297"/>
      <c r="AJ2149" s="298"/>
      <c r="AK2149" s="297"/>
      <c r="AN2149" s="298"/>
      <c r="AR2149" s="298"/>
    </row>
    <row r="2150" spans="2:44" s="290" customFormat="1" x14ac:dyDescent="0.2">
      <c r="B2150" s="302"/>
      <c r="D2150" s="302"/>
      <c r="E2150" s="302"/>
      <c r="K2150" s="303"/>
      <c r="L2150" s="303"/>
      <c r="M2150" s="303"/>
      <c r="AB2150" s="298"/>
      <c r="AC2150" s="297"/>
      <c r="AF2150" s="296"/>
      <c r="AG2150" s="297"/>
      <c r="AJ2150" s="298"/>
      <c r="AK2150" s="297"/>
      <c r="AN2150" s="298"/>
      <c r="AR2150" s="298"/>
    </row>
    <row r="2151" spans="2:44" s="290" customFormat="1" x14ac:dyDescent="0.2">
      <c r="B2151" s="302"/>
      <c r="D2151" s="302"/>
      <c r="E2151" s="302"/>
      <c r="K2151" s="303"/>
      <c r="L2151" s="303"/>
      <c r="M2151" s="303"/>
      <c r="AB2151" s="298"/>
      <c r="AC2151" s="297"/>
      <c r="AF2151" s="296"/>
      <c r="AG2151" s="297"/>
      <c r="AJ2151" s="298"/>
      <c r="AK2151" s="297"/>
      <c r="AN2151" s="298"/>
      <c r="AR2151" s="298"/>
    </row>
    <row r="2152" spans="2:44" s="290" customFormat="1" x14ac:dyDescent="0.2">
      <c r="B2152" s="302"/>
      <c r="D2152" s="302"/>
      <c r="E2152" s="302"/>
      <c r="K2152" s="303"/>
      <c r="L2152" s="303"/>
      <c r="M2152" s="303"/>
      <c r="AB2152" s="298"/>
      <c r="AC2152" s="297"/>
      <c r="AF2152" s="296"/>
      <c r="AG2152" s="297"/>
      <c r="AJ2152" s="298"/>
      <c r="AK2152" s="297"/>
      <c r="AN2152" s="298"/>
      <c r="AR2152" s="298"/>
    </row>
    <row r="2153" spans="2:44" s="290" customFormat="1" x14ac:dyDescent="0.2">
      <c r="B2153" s="302"/>
      <c r="D2153" s="302"/>
      <c r="E2153" s="302"/>
      <c r="K2153" s="303"/>
      <c r="L2153" s="303"/>
      <c r="M2153" s="303"/>
      <c r="AB2153" s="298"/>
      <c r="AC2153" s="297"/>
      <c r="AF2153" s="296"/>
      <c r="AG2153" s="297"/>
      <c r="AJ2153" s="298"/>
      <c r="AK2153" s="297"/>
      <c r="AN2153" s="298"/>
      <c r="AR2153" s="298"/>
    </row>
    <row r="2154" spans="2:44" s="290" customFormat="1" x14ac:dyDescent="0.2">
      <c r="B2154" s="302"/>
      <c r="D2154" s="302"/>
      <c r="E2154" s="302"/>
      <c r="K2154" s="303"/>
      <c r="L2154" s="303"/>
      <c r="M2154" s="303"/>
      <c r="AB2154" s="298"/>
      <c r="AC2154" s="297"/>
      <c r="AF2154" s="296"/>
      <c r="AG2154" s="297"/>
      <c r="AJ2154" s="298"/>
      <c r="AK2154" s="297"/>
      <c r="AN2154" s="298"/>
      <c r="AR2154" s="298"/>
    </row>
    <row r="2155" spans="2:44" s="290" customFormat="1" x14ac:dyDescent="0.2">
      <c r="B2155" s="302"/>
      <c r="D2155" s="302"/>
      <c r="E2155" s="302"/>
      <c r="K2155" s="303"/>
      <c r="L2155" s="303"/>
      <c r="M2155" s="303"/>
      <c r="AB2155" s="298"/>
      <c r="AC2155" s="297"/>
      <c r="AF2155" s="296"/>
      <c r="AG2155" s="297"/>
      <c r="AJ2155" s="298"/>
      <c r="AK2155" s="297"/>
      <c r="AN2155" s="298"/>
      <c r="AR2155" s="298"/>
    </row>
    <row r="2156" spans="2:44" s="290" customFormat="1" x14ac:dyDescent="0.2">
      <c r="B2156" s="302"/>
      <c r="D2156" s="302"/>
      <c r="E2156" s="302"/>
      <c r="K2156" s="303"/>
      <c r="L2156" s="303"/>
      <c r="M2156" s="303"/>
      <c r="AB2156" s="298"/>
      <c r="AC2156" s="297"/>
      <c r="AF2156" s="296"/>
      <c r="AG2156" s="297"/>
      <c r="AJ2156" s="298"/>
      <c r="AK2156" s="297"/>
      <c r="AN2156" s="298"/>
      <c r="AR2156" s="298"/>
    </row>
    <row r="2157" spans="2:44" s="290" customFormat="1" x14ac:dyDescent="0.2">
      <c r="B2157" s="302"/>
      <c r="D2157" s="302"/>
      <c r="E2157" s="302"/>
      <c r="K2157" s="303"/>
      <c r="L2157" s="303"/>
      <c r="M2157" s="303"/>
      <c r="AB2157" s="298"/>
      <c r="AC2157" s="297"/>
      <c r="AF2157" s="296"/>
      <c r="AG2157" s="297"/>
      <c r="AJ2157" s="298"/>
      <c r="AK2157" s="297"/>
      <c r="AN2157" s="298"/>
      <c r="AR2157" s="298"/>
    </row>
    <row r="2158" spans="2:44" s="290" customFormat="1" x14ac:dyDescent="0.2">
      <c r="B2158" s="302"/>
      <c r="D2158" s="302"/>
      <c r="E2158" s="302"/>
      <c r="K2158" s="303"/>
      <c r="L2158" s="303"/>
      <c r="M2158" s="303"/>
      <c r="AB2158" s="298"/>
      <c r="AC2158" s="297"/>
      <c r="AF2158" s="296"/>
      <c r="AG2158" s="297"/>
      <c r="AJ2158" s="298"/>
      <c r="AK2158" s="297"/>
      <c r="AN2158" s="298"/>
      <c r="AR2158" s="298"/>
    </row>
    <row r="2159" spans="2:44" s="290" customFormat="1" x14ac:dyDescent="0.2">
      <c r="B2159" s="302"/>
      <c r="D2159" s="302"/>
      <c r="E2159" s="302"/>
      <c r="K2159" s="303"/>
      <c r="L2159" s="303"/>
      <c r="M2159" s="303"/>
      <c r="AB2159" s="298"/>
      <c r="AC2159" s="297"/>
      <c r="AF2159" s="296"/>
      <c r="AG2159" s="297"/>
      <c r="AJ2159" s="298"/>
      <c r="AK2159" s="297"/>
      <c r="AN2159" s="298"/>
      <c r="AR2159" s="298"/>
    </row>
    <row r="2160" spans="2:44" s="290" customFormat="1" x14ac:dyDescent="0.2">
      <c r="B2160" s="302"/>
      <c r="D2160" s="302"/>
      <c r="E2160" s="302"/>
      <c r="K2160" s="303"/>
      <c r="L2160" s="303"/>
      <c r="M2160" s="303"/>
      <c r="AB2160" s="298"/>
      <c r="AC2160" s="297"/>
      <c r="AF2160" s="296"/>
      <c r="AG2160" s="297"/>
      <c r="AJ2160" s="298"/>
      <c r="AK2160" s="297"/>
      <c r="AN2160" s="298"/>
      <c r="AR2160" s="298"/>
    </row>
    <row r="2161" spans="2:44" s="290" customFormat="1" x14ac:dyDescent="0.2">
      <c r="B2161" s="302"/>
      <c r="D2161" s="302"/>
      <c r="E2161" s="302"/>
      <c r="K2161" s="303"/>
      <c r="L2161" s="303"/>
      <c r="M2161" s="303"/>
      <c r="AB2161" s="298"/>
      <c r="AC2161" s="297"/>
      <c r="AF2161" s="296"/>
      <c r="AG2161" s="297"/>
      <c r="AJ2161" s="298"/>
      <c r="AK2161" s="297"/>
      <c r="AN2161" s="298"/>
      <c r="AR2161" s="298"/>
    </row>
    <row r="2162" spans="2:44" s="290" customFormat="1" x14ac:dyDescent="0.2">
      <c r="B2162" s="302"/>
      <c r="D2162" s="302"/>
      <c r="E2162" s="302"/>
      <c r="K2162" s="303"/>
      <c r="L2162" s="303"/>
      <c r="M2162" s="303"/>
      <c r="AB2162" s="298"/>
      <c r="AC2162" s="297"/>
      <c r="AF2162" s="296"/>
      <c r="AG2162" s="297"/>
      <c r="AJ2162" s="298"/>
      <c r="AK2162" s="297"/>
      <c r="AN2162" s="298"/>
      <c r="AR2162" s="298"/>
    </row>
    <row r="2163" spans="2:44" s="290" customFormat="1" x14ac:dyDescent="0.2">
      <c r="B2163" s="302"/>
      <c r="D2163" s="302"/>
      <c r="E2163" s="302"/>
      <c r="K2163" s="303"/>
      <c r="L2163" s="303"/>
      <c r="M2163" s="303"/>
      <c r="AB2163" s="298"/>
      <c r="AC2163" s="297"/>
      <c r="AF2163" s="296"/>
      <c r="AG2163" s="297"/>
      <c r="AJ2163" s="298"/>
      <c r="AK2163" s="297"/>
      <c r="AN2163" s="298"/>
      <c r="AR2163" s="298"/>
    </row>
    <row r="2164" spans="2:44" s="290" customFormat="1" x14ac:dyDescent="0.2">
      <c r="B2164" s="302"/>
      <c r="D2164" s="302"/>
      <c r="E2164" s="302"/>
      <c r="K2164" s="303"/>
      <c r="L2164" s="303"/>
      <c r="M2164" s="303"/>
      <c r="AB2164" s="298"/>
      <c r="AC2164" s="297"/>
      <c r="AF2164" s="296"/>
      <c r="AG2164" s="297"/>
      <c r="AJ2164" s="298"/>
      <c r="AK2164" s="297"/>
      <c r="AN2164" s="298"/>
      <c r="AR2164" s="298"/>
    </row>
    <row r="2165" spans="2:44" s="290" customFormat="1" x14ac:dyDescent="0.2">
      <c r="B2165" s="302"/>
      <c r="D2165" s="302"/>
      <c r="E2165" s="302"/>
      <c r="K2165" s="303"/>
      <c r="L2165" s="303"/>
      <c r="M2165" s="303"/>
      <c r="AB2165" s="298"/>
      <c r="AC2165" s="297"/>
      <c r="AF2165" s="296"/>
      <c r="AG2165" s="297"/>
      <c r="AJ2165" s="298"/>
      <c r="AK2165" s="297"/>
      <c r="AN2165" s="298"/>
      <c r="AR2165" s="298"/>
    </row>
    <row r="2166" spans="2:44" s="290" customFormat="1" x14ac:dyDescent="0.2">
      <c r="B2166" s="302"/>
      <c r="D2166" s="302"/>
      <c r="E2166" s="302"/>
      <c r="K2166" s="303"/>
      <c r="L2166" s="303"/>
      <c r="M2166" s="303"/>
      <c r="AB2166" s="298"/>
      <c r="AC2166" s="297"/>
      <c r="AF2166" s="296"/>
      <c r="AG2166" s="297"/>
      <c r="AJ2166" s="298"/>
      <c r="AK2166" s="297"/>
      <c r="AN2166" s="298"/>
      <c r="AR2166" s="298"/>
    </row>
    <row r="2167" spans="2:44" s="290" customFormat="1" x14ac:dyDescent="0.2">
      <c r="B2167" s="302"/>
      <c r="D2167" s="302"/>
      <c r="E2167" s="302"/>
      <c r="K2167" s="303"/>
      <c r="L2167" s="303"/>
      <c r="M2167" s="303"/>
      <c r="AB2167" s="298"/>
      <c r="AC2167" s="297"/>
      <c r="AF2167" s="296"/>
      <c r="AG2167" s="297"/>
      <c r="AJ2167" s="298"/>
      <c r="AK2167" s="297"/>
      <c r="AN2167" s="298"/>
      <c r="AR2167" s="298"/>
    </row>
    <row r="2168" spans="2:44" s="290" customFormat="1" x14ac:dyDescent="0.2">
      <c r="B2168" s="302"/>
      <c r="D2168" s="302"/>
      <c r="E2168" s="302"/>
      <c r="K2168" s="303"/>
      <c r="L2168" s="303"/>
      <c r="M2168" s="303"/>
      <c r="AB2168" s="298"/>
      <c r="AC2168" s="297"/>
      <c r="AF2168" s="296"/>
      <c r="AG2168" s="297"/>
      <c r="AJ2168" s="298"/>
      <c r="AK2168" s="297"/>
      <c r="AN2168" s="298"/>
      <c r="AR2168" s="298"/>
    </row>
    <row r="2169" spans="2:44" s="290" customFormat="1" x14ac:dyDescent="0.2">
      <c r="B2169" s="302"/>
      <c r="D2169" s="302"/>
      <c r="E2169" s="302"/>
      <c r="K2169" s="303"/>
      <c r="L2169" s="303"/>
      <c r="M2169" s="303"/>
      <c r="AB2169" s="298"/>
      <c r="AC2169" s="297"/>
      <c r="AF2169" s="296"/>
      <c r="AG2169" s="297"/>
      <c r="AJ2169" s="298"/>
      <c r="AK2169" s="297"/>
      <c r="AN2169" s="298"/>
      <c r="AR2169" s="298"/>
    </row>
    <row r="2170" spans="2:44" s="290" customFormat="1" x14ac:dyDescent="0.2">
      <c r="B2170" s="302"/>
      <c r="D2170" s="302"/>
      <c r="E2170" s="302"/>
      <c r="K2170" s="303"/>
      <c r="L2170" s="303"/>
      <c r="M2170" s="303"/>
      <c r="AB2170" s="298"/>
      <c r="AC2170" s="297"/>
      <c r="AF2170" s="296"/>
      <c r="AG2170" s="297"/>
      <c r="AJ2170" s="298"/>
      <c r="AK2170" s="297"/>
      <c r="AN2170" s="298"/>
      <c r="AR2170" s="298"/>
    </row>
    <row r="2171" spans="2:44" s="290" customFormat="1" x14ac:dyDescent="0.2">
      <c r="B2171" s="302"/>
      <c r="D2171" s="302"/>
      <c r="E2171" s="302"/>
      <c r="K2171" s="303"/>
      <c r="L2171" s="303"/>
      <c r="M2171" s="303"/>
      <c r="AB2171" s="298"/>
      <c r="AC2171" s="297"/>
      <c r="AF2171" s="296"/>
      <c r="AG2171" s="297"/>
      <c r="AJ2171" s="298"/>
      <c r="AK2171" s="297"/>
      <c r="AN2171" s="298"/>
      <c r="AR2171" s="298"/>
    </row>
    <row r="2172" spans="2:44" s="290" customFormat="1" x14ac:dyDescent="0.2">
      <c r="B2172" s="302"/>
      <c r="D2172" s="302"/>
      <c r="E2172" s="302"/>
      <c r="K2172" s="303"/>
      <c r="L2172" s="303"/>
      <c r="M2172" s="303"/>
      <c r="AB2172" s="298"/>
      <c r="AC2172" s="297"/>
      <c r="AF2172" s="296"/>
      <c r="AG2172" s="297"/>
      <c r="AJ2172" s="298"/>
      <c r="AK2172" s="297"/>
      <c r="AN2172" s="298"/>
      <c r="AR2172" s="298"/>
    </row>
    <row r="2173" spans="2:44" s="290" customFormat="1" x14ac:dyDescent="0.2">
      <c r="B2173" s="302"/>
      <c r="D2173" s="302"/>
      <c r="E2173" s="302"/>
      <c r="K2173" s="303"/>
      <c r="L2173" s="303"/>
      <c r="M2173" s="303"/>
      <c r="AB2173" s="298"/>
      <c r="AC2173" s="297"/>
      <c r="AF2173" s="296"/>
      <c r="AG2173" s="297"/>
      <c r="AJ2173" s="298"/>
      <c r="AK2173" s="297"/>
      <c r="AN2173" s="298"/>
      <c r="AR2173" s="298"/>
    </row>
    <row r="2174" spans="2:44" s="290" customFormat="1" x14ac:dyDescent="0.2">
      <c r="B2174" s="302"/>
      <c r="D2174" s="302"/>
      <c r="E2174" s="302"/>
      <c r="K2174" s="303"/>
      <c r="L2174" s="303"/>
      <c r="M2174" s="303"/>
      <c r="AB2174" s="298"/>
      <c r="AC2174" s="297"/>
      <c r="AF2174" s="296"/>
      <c r="AG2174" s="297"/>
      <c r="AJ2174" s="298"/>
      <c r="AK2174" s="297"/>
      <c r="AN2174" s="298"/>
      <c r="AR2174" s="298"/>
    </row>
    <row r="2175" spans="2:44" s="290" customFormat="1" x14ac:dyDescent="0.2">
      <c r="B2175" s="302"/>
      <c r="D2175" s="302"/>
      <c r="E2175" s="302"/>
      <c r="K2175" s="303"/>
      <c r="L2175" s="303"/>
      <c r="M2175" s="303"/>
      <c r="AB2175" s="298"/>
      <c r="AC2175" s="297"/>
      <c r="AF2175" s="296"/>
      <c r="AG2175" s="297"/>
      <c r="AJ2175" s="298"/>
      <c r="AK2175" s="297"/>
      <c r="AN2175" s="298"/>
      <c r="AR2175" s="298"/>
    </row>
    <row r="2176" spans="2:44" s="290" customFormat="1" x14ac:dyDescent="0.2">
      <c r="B2176" s="302"/>
      <c r="D2176" s="302"/>
      <c r="E2176" s="302"/>
      <c r="K2176" s="303"/>
      <c r="L2176" s="303"/>
      <c r="M2176" s="303"/>
      <c r="AB2176" s="298"/>
      <c r="AC2176" s="297"/>
      <c r="AF2176" s="296"/>
      <c r="AG2176" s="297"/>
      <c r="AJ2176" s="298"/>
      <c r="AK2176" s="297"/>
      <c r="AN2176" s="298"/>
      <c r="AR2176" s="298"/>
    </row>
    <row r="2177" spans="2:44" s="290" customFormat="1" x14ac:dyDescent="0.2">
      <c r="B2177" s="302"/>
      <c r="D2177" s="302"/>
      <c r="E2177" s="302"/>
      <c r="K2177" s="303"/>
      <c r="L2177" s="303"/>
      <c r="M2177" s="303"/>
      <c r="AB2177" s="298"/>
      <c r="AC2177" s="297"/>
      <c r="AF2177" s="296"/>
      <c r="AG2177" s="297"/>
      <c r="AJ2177" s="298"/>
      <c r="AK2177" s="297"/>
      <c r="AN2177" s="298"/>
      <c r="AR2177" s="298"/>
    </row>
    <row r="2178" spans="2:44" s="290" customFormat="1" x14ac:dyDescent="0.2">
      <c r="B2178" s="302"/>
      <c r="D2178" s="302"/>
      <c r="E2178" s="302"/>
      <c r="K2178" s="303"/>
      <c r="L2178" s="303"/>
      <c r="M2178" s="303"/>
      <c r="AB2178" s="298"/>
      <c r="AC2178" s="297"/>
      <c r="AF2178" s="296"/>
      <c r="AG2178" s="297"/>
      <c r="AJ2178" s="298"/>
      <c r="AK2178" s="297"/>
      <c r="AN2178" s="298"/>
      <c r="AR2178" s="298"/>
    </row>
    <row r="2179" spans="2:44" s="290" customFormat="1" x14ac:dyDescent="0.2">
      <c r="B2179" s="302"/>
      <c r="D2179" s="302"/>
      <c r="E2179" s="302"/>
      <c r="K2179" s="303"/>
      <c r="L2179" s="303"/>
      <c r="M2179" s="303"/>
      <c r="AB2179" s="298"/>
      <c r="AC2179" s="297"/>
      <c r="AF2179" s="296"/>
      <c r="AG2179" s="297"/>
      <c r="AJ2179" s="298"/>
      <c r="AK2179" s="297"/>
      <c r="AN2179" s="298"/>
      <c r="AR2179" s="298"/>
    </row>
    <row r="2180" spans="2:44" s="290" customFormat="1" x14ac:dyDescent="0.2">
      <c r="B2180" s="302"/>
      <c r="D2180" s="302"/>
      <c r="E2180" s="302"/>
      <c r="K2180" s="303"/>
      <c r="L2180" s="303"/>
      <c r="M2180" s="303"/>
      <c r="AB2180" s="298"/>
      <c r="AC2180" s="297"/>
      <c r="AF2180" s="296"/>
      <c r="AG2180" s="297"/>
      <c r="AJ2180" s="298"/>
      <c r="AK2180" s="297"/>
      <c r="AN2180" s="298"/>
      <c r="AR2180" s="298"/>
    </row>
    <row r="2181" spans="2:44" s="290" customFormat="1" x14ac:dyDescent="0.2">
      <c r="B2181" s="302"/>
      <c r="D2181" s="302"/>
      <c r="E2181" s="302"/>
      <c r="K2181" s="303"/>
      <c r="L2181" s="303"/>
      <c r="M2181" s="303"/>
      <c r="AB2181" s="298"/>
      <c r="AC2181" s="297"/>
      <c r="AF2181" s="296"/>
      <c r="AG2181" s="297"/>
      <c r="AJ2181" s="298"/>
      <c r="AK2181" s="297"/>
      <c r="AN2181" s="298"/>
      <c r="AR2181" s="298"/>
    </row>
    <row r="2182" spans="2:44" s="290" customFormat="1" x14ac:dyDescent="0.2">
      <c r="B2182" s="302"/>
      <c r="D2182" s="302"/>
      <c r="E2182" s="302"/>
      <c r="K2182" s="303"/>
      <c r="L2182" s="303"/>
      <c r="M2182" s="303"/>
      <c r="AB2182" s="298"/>
      <c r="AC2182" s="297"/>
      <c r="AF2182" s="296"/>
      <c r="AG2182" s="297"/>
      <c r="AJ2182" s="298"/>
      <c r="AK2182" s="297"/>
      <c r="AN2182" s="298"/>
      <c r="AR2182" s="298"/>
    </row>
    <row r="2183" spans="2:44" s="290" customFormat="1" x14ac:dyDescent="0.2">
      <c r="B2183" s="302"/>
      <c r="D2183" s="302"/>
      <c r="E2183" s="302"/>
      <c r="K2183" s="303"/>
      <c r="L2183" s="303"/>
      <c r="M2183" s="303"/>
      <c r="AB2183" s="298"/>
      <c r="AC2183" s="297"/>
      <c r="AF2183" s="296"/>
      <c r="AG2183" s="297"/>
      <c r="AJ2183" s="298"/>
      <c r="AK2183" s="297"/>
      <c r="AN2183" s="298"/>
      <c r="AR2183" s="298"/>
    </row>
    <row r="2184" spans="2:44" s="290" customFormat="1" x14ac:dyDescent="0.2">
      <c r="B2184" s="302"/>
      <c r="D2184" s="302"/>
      <c r="E2184" s="302"/>
      <c r="K2184" s="303"/>
      <c r="L2184" s="303"/>
      <c r="M2184" s="303"/>
      <c r="AB2184" s="298"/>
      <c r="AC2184" s="297"/>
      <c r="AF2184" s="296"/>
      <c r="AG2184" s="297"/>
      <c r="AJ2184" s="298"/>
      <c r="AK2184" s="297"/>
      <c r="AN2184" s="298"/>
      <c r="AR2184" s="298"/>
    </row>
    <row r="2185" spans="2:44" s="290" customFormat="1" x14ac:dyDescent="0.2">
      <c r="B2185" s="302"/>
      <c r="D2185" s="302"/>
      <c r="E2185" s="302"/>
      <c r="K2185" s="303"/>
      <c r="L2185" s="303"/>
      <c r="M2185" s="303"/>
      <c r="AB2185" s="298"/>
      <c r="AC2185" s="297"/>
      <c r="AF2185" s="296"/>
      <c r="AG2185" s="297"/>
      <c r="AJ2185" s="298"/>
      <c r="AK2185" s="297"/>
      <c r="AN2185" s="298"/>
      <c r="AR2185" s="298"/>
    </row>
    <row r="2186" spans="2:44" s="290" customFormat="1" x14ac:dyDescent="0.2">
      <c r="B2186" s="302"/>
      <c r="D2186" s="302"/>
      <c r="E2186" s="302"/>
      <c r="K2186" s="303"/>
      <c r="L2186" s="303"/>
      <c r="M2186" s="303"/>
      <c r="AB2186" s="298"/>
      <c r="AC2186" s="297"/>
      <c r="AF2186" s="296"/>
      <c r="AG2186" s="297"/>
      <c r="AJ2186" s="298"/>
      <c r="AK2186" s="297"/>
      <c r="AN2186" s="298"/>
      <c r="AR2186" s="298"/>
    </row>
    <row r="2187" spans="2:44" s="290" customFormat="1" x14ac:dyDescent="0.2">
      <c r="B2187" s="302"/>
      <c r="D2187" s="302"/>
      <c r="E2187" s="302"/>
      <c r="K2187" s="303"/>
      <c r="L2187" s="303"/>
      <c r="M2187" s="303"/>
      <c r="AB2187" s="298"/>
      <c r="AC2187" s="297"/>
      <c r="AF2187" s="296"/>
      <c r="AG2187" s="297"/>
      <c r="AJ2187" s="298"/>
      <c r="AK2187" s="297"/>
      <c r="AN2187" s="298"/>
      <c r="AR2187" s="298"/>
    </row>
    <row r="2188" spans="2:44" s="290" customFormat="1" x14ac:dyDescent="0.2">
      <c r="B2188" s="302"/>
      <c r="D2188" s="302"/>
      <c r="E2188" s="302"/>
      <c r="K2188" s="303"/>
      <c r="L2188" s="303"/>
      <c r="M2188" s="303"/>
      <c r="AB2188" s="298"/>
      <c r="AC2188" s="297"/>
      <c r="AF2188" s="296"/>
      <c r="AG2188" s="297"/>
      <c r="AJ2188" s="298"/>
      <c r="AK2188" s="297"/>
      <c r="AN2188" s="298"/>
      <c r="AR2188" s="298"/>
    </row>
    <row r="2189" spans="2:44" s="290" customFormat="1" x14ac:dyDescent="0.2">
      <c r="B2189" s="302"/>
      <c r="D2189" s="302"/>
      <c r="E2189" s="302"/>
      <c r="K2189" s="303"/>
      <c r="L2189" s="303"/>
      <c r="M2189" s="303"/>
      <c r="AB2189" s="298"/>
      <c r="AC2189" s="297"/>
      <c r="AF2189" s="296"/>
      <c r="AG2189" s="297"/>
      <c r="AJ2189" s="298"/>
      <c r="AK2189" s="297"/>
      <c r="AN2189" s="298"/>
      <c r="AR2189" s="298"/>
    </row>
    <row r="2190" spans="2:44" s="290" customFormat="1" x14ac:dyDescent="0.2">
      <c r="B2190" s="302"/>
      <c r="D2190" s="302"/>
      <c r="E2190" s="302"/>
      <c r="K2190" s="303"/>
      <c r="L2190" s="303"/>
      <c r="M2190" s="303"/>
      <c r="AB2190" s="298"/>
      <c r="AC2190" s="297"/>
      <c r="AF2190" s="296"/>
      <c r="AG2190" s="297"/>
      <c r="AJ2190" s="298"/>
      <c r="AK2190" s="297"/>
      <c r="AN2190" s="298"/>
      <c r="AR2190" s="298"/>
    </row>
    <row r="2191" spans="2:44" s="290" customFormat="1" x14ac:dyDescent="0.2">
      <c r="B2191" s="302"/>
      <c r="D2191" s="302"/>
      <c r="E2191" s="302"/>
      <c r="K2191" s="303"/>
      <c r="L2191" s="303"/>
      <c r="M2191" s="303"/>
      <c r="AB2191" s="298"/>
      <c r="AC2191" s="297"/>
      <c r="AF2191" s="296"/>
      <c r="AG2191" s="297"/>
      <c r="AJ2191" s="298"/>
      <c r="AK2191" s="297"/>
      <c r="AN2191" s="298"/>
      <c r="AR2191" s="298"/>
    </row>
    <row r="2192" spans="2:44" s="290" customFormat="1" x14ac:dyDescent="0.2">
      <c r="B2192" s="302"/>
      <c r="D2192" s="302"/>
      <c r="E2192" s="302"/>
      <c r="K2192" s="303"/>
      <c r="L2192" s="303"/>
      <c r="M2192" s="303"/>
      <c r="AB2192" s="298"/>
      <c r="AC2192" s="297"/>
      <c r="AF2192" s="296"/>
      <c r="AG2192" s="297"/>
      <c r="AJ2192" s="298"/>
      <c r="AK2192" s="297"/>
      <c r="AN2192" s="298"/>
      <c r="AR2192" s="298"/>
    </row>
    <row r="2193" spans="2:44" s="290" customFormat="1" x14ac:dyDescent="0.2">
      <c r="B2193" s="302"/>
      <c r="D2193" s="302"/>
      <c r="E2193" s="302"/>
      <c r="K2193" s="303"/>
      <c r="L2193" s="303"/>
      <c r="M2193" s="303"/>
      <c r="AB2193" s="298"/>
      <c r="AC2193" s="297"/>
      <c r="AF2193" s="296"/>
      <c r="AG2193" s="297"/>
      <c r="AJ2193" s="298"/>
      <c r="AK2193" s="297"/>
      <c r="AN2193" s="298"/>
      <c r="AR2193" s="298"/>
    </row>
    <row r="2194" spans="2:44" s="290" customFormat="1" x14ac:dyDescent="0.2">
      <c r="B2194" s="302"/>
      <c r="D2194" s="302"/>
      <c r="E2194" s="302"/>
      <c r="K2194" s="303"/>
      <c r="L2194" s="303"/>
      <c r="M2194" s="303"/>
      <c r="AB2194" s="298"/>
      <c r="AC2194" s="297"/>
      <c r="AF2194" s="296"/>
      <c r="AG2194" s="297"/>
      <c r="AJ2194" s="298"/>
      <c r="AK2194" s="297"/>
      <c r="AN2194" s="298"/>
      <c r="AR2194" s="298"/>
    </row>
    <row r="2195" spans="2:44" s="290" customFormat="1" x14ac:dyDescent="0.2">
      <c r="B2195" s="302"/>
      <c r="D2195" s="302"/>
      <c r="E2195" s="302"/>
      <c r="K2195" s="303"/>
      <c r="L2195" s="303"/>
      <c r="M2195" s="303"/>
      <c r="AB2195" s="298"/>
      <c r="AC2195" s="297"/>
      <c r="AF2195" s="296"/>
      <c r="AG2195" s="297"/>
      <c r="AJ2195" s="298"/>
      <c r="AK2195" s="297"/>
      <c r="AN2195" s="298"/>
      <c r="AR2195" s="298"/>
    </row>
    <row r="2196" spans="2:44" s="290" customFormat="1" x14ac:dyDescent="0.2">
      <c r="B2196" s="302"/>
      <c r="D2196" s="302"/>
      <c r="E2196" s="302"/>
      <c r="K2196" s="303"/>
      <c r="L2196" s="303"/>
      <c r="M2196" s="303"/>
      <c r="AB2196" s="298"/>
      <c r="AC2196" s="297"/>
      <c r="AF2196" s="296"/>
      <c r="AG2196" s="297"/>
      <c r="AJ2196" s="298"/>
      <c r="AK2196" s="297"/>
      <c r="AN2196" s="298"/>
      <c r="AR2196" s="298"/>
    </row>
    <row r="2197" spans="2:44" s="290" customFormat="1" x14ac:dyDescent="0.2">
      <c r="B2197" s="302"/>
      <c r="D2197" s="302"/>
      <c r="E2197" s="302"/>
      <c r="K2197" s="303"/>
      <c r="L2197" s="303"/>
      <c r="M2197" s="303"/>
      <c r="AB2197" s="298"/>
      <c r="AC2197" s="297"/>
      <c r="AF2197" s="296"/>
      <c r="AG2197" s="297"/>
      <c r="AJ2197" s="298"/>
      <c r="AK2197" s="297"/>
      <c r="AN2197" s="298"/>
      <c r="AR2197" s="298"/>
    </row>
    <row r="2198" spans="2:44" s="290" customFormat="1" x14ac:dyDescent="0.2">
      <c r="B2198" s="302"/>
      <c r="D2198" s="302"/>
      <c r="E2198" s="302"/>
      <c r="K2198" s="303"/>
      <c r="L2198" s="303"/>
      <c r="M2198" s="303"/>
      <c r="AB2198" s="298"/>
      <c r="AC2198" s="297"/>
      <c r="AF2198" s="296"/>
      <c r="AG2198" s="297"/>
      <c r="AJ2198" s="298"/>
      <c r="AK2198" s="297"/>
      <c r="AN2198" s="298"/>
      <c r="AR2198" s="298"/>
    </row>
    <row r="2199" spans="2:44" s="290" customFormat="1" x14ac:dyDescent="0.2">
      <c r="B2199" s="302"/>
      <c r="D2199" s="302"/>
      <c r="E2199" s="302"/>
      <c r="K2199" s="303"/>
      <c r="L2199" s="303"/>
      <c r="M2199" s="303"/>
      <c r="AB2199" s="298"/>
      <c r="AC2199" s="297"/>
      <c r="AF2199" s="296"/>
      <c r="AG2199" s="297"/>
      <c r="AJ2199" s="298"/>
      <c r="AK2199" s="297"/>
      <c r="AN2199" s="298"/>
      <c r="AR2199" s="298"/>
    </row>
    <row r="2200" spans="2:44" s="290" customFormat="1" x14ac:dyDescent="0.2">
      <c r="B2200" s="302"/>
      <c r="D2200" s="302"/>
      <c r="E2200" s="302"/>
      <c r="K2200" s="303"/>
      <c r="L2200" s="303"/>
      <c r="M2200" s="303"/>
      <c r="AB2200" s="298"/>
      <c r="AC2200" s="297"/>
      <c r="AF2200" s="296"/>
      <c r="AG2200" s="297"/>
      <c r="AJ2200" s="298"/>
      <c r="AK2200" s="297"/>
      <c r="AN2200" s="298"/>
      <c r="AR2200" s="298"/>
    </row>
    <row r="2201" spans="2:44" s="290" customFormat="1" x14ac:dyDescent="0.2">
      <c r="B2201" s="302"/>
      <c r="D2201" s="302"/>
      <c r="E2201" s="302"/>
      <c r="K2201" s="303"/>
      <c r="L2201" s="303"/>
      <c r="M2201" s="303"/>
      <c r="AB2201" s="298"/>
      <c r="AC2201" s="297"/>
      <c r="AF2201" s="296"/>
      <c r="AG2201" s="297"/>
      <c r="AJ2201" s="298"/>
      <c r="AK2201" s="297"/>
      <c r="AN2201" s="298"/>
      <c r="AR2201" s="298"/>
    </row>
    <row r="2202" spans="2:44" s="290" customFormat="1" x14ac:dyDescent="0.2">
      <c r="B2202" s="302"/>
      <c r="D2202" s="302"/>
      <c r="E2202" s="302"/>
      <c r="K2202" s="303"/>
      <c r="L2202" s="303"/>
      <c r="M2202" s="303"/>
      <c r="AB2202" s="298"/>
      <c r="AC2202" s="297"/>
      <c r="AF2202" s="296"/>
      <c r="AG2202" s="297"/>
      <c r="AJ2202" s="298"/>
      <c r="AK2202" s="297"/>
      <c r="AN2202" s="298"/>
      <c r="AR2202" s="298"/>
    </row>
    <row r="2203" spans="2:44" s="290" customFormat="1" x14ac:dyDescent="0.2">
      <c r="B2203" s="302"/>
      <c r="D2203" s="302"/>
      <c r="E2203" s="302"/>
      <c r="K2203" s="303"/>
      <c r="L2203" s="303"/>
      <c r="M2203" s="303"/>
      <c r="AB2203" s="298"/>
      <c r="AC2203" s="297"/>
      <c r="AF2203" s="296"/>
      <c r="AG2203" s="297"/>
      <c r="AJ2203" s="298"/>
      <c r="AK2203" s="297"/>
      <c r="AN2203" s="298"/>
      <c r="AR2203" s="298"/>
    </row>
    <row r="2204" spans="2:44" s="290" customFormat="1" x14ac:dyDescent="0.2">
      <c r="B2204" s="302"/>
      <c r="D2204" s="302"/>
      <c r="E2204" s="302"/>
      <c r="K2204" s="303"/>
      <c r="L2204" s="303"/>
      <c r="M2204" s="303"/>
      <c r="AB2204" s="298"/>
      <c r="AC2204" s="297"/>
      <c r="AF2204" s="296"/>
      <c r="AG2204" s="297"/>
      <c r="AJ2204" s="298"/>
      <c r="AK2204" s="297"/>
      <c r="AN2204" s="298"/>
      <c r="AR2204" s="298"/>
    </row>
    <row r="2205" spans="2:44" s="290" customFormat="1" x14ac:dyDescent="0.2">
      <c r="B2205" s="302"/>
      <c r="D2205" s="302"/>
      <c r="E2205" s="302"/>
      <c r="K2205" s="303"/>
      <c r="L2205" s="303"/>
      <c r="M2205" s="303"/>
      <c r="AB2205" s="298"/>
      <c r="AC2205" s="297"/>
      <c r="AF2205" s="296"/>
      <c r="AG2205" s="297"/>
      <c r="AJ2205" s="298"/>
      <c r="AK2205" s="297"/>
      <c r="AN2205" s="298"/>
      <c r="AR2205" s="298"/>
    </row>
    <row r="2206" spans="2:44" s="290" customFormat="1" x14ac:dyDescent="0.2">
      <c r="B2206" s="302"/>
      <c r="D2206" s="302"/>
      <c r="E2206" s="302"/>
      <c r="K2206" s="303"/>
      <c r="L2206" s="303"/>
      <c r="M2206" s="303"/>
      <c r="AB2206" s="298"/>
      <c r="AC2206" s="297"/>
      <c r="AF2206" s="296"/>
      <c r="AG2206" s="297"/>
      <c r="AJ2206" s="298"/>
      <c r="AK2206" s="297"/>
      <c r="AN2206" s="298"/>
      <c r="AR2206" s="298"/>
    </row>
    <row r="2207" spans="2:44" s="290" customFormat="1" x14ac:dyDescent="0.2">
      <c r="B2207" s="302"/>
      <c r="D2207" s="302"/>
      <c r="E2207" s="302"/>
      <c r="K2207" s="303"/>
      <c r="L2207" s="303"/>
      <c r="M2207" s="303"/>
      <c r="AB2207" s="298"/>
      <c r="AC2207" s="297"/>
      <c r="AF2207" s="296"/>
      <c r="AG2207" s="297"/>
      <c r="AJ2207" s="298"/>
      <c r="AK2207" s="297"/>
      <c r="AN2207" s="298"/>
      <c r="AR2207" s="298"/>
    </row>
    <row r="2208" spans="2:44" s="290" customFormat="1" x14ac:dyDescent="0.2">
      <c r="B2208" s="302"/>
      <c r="D2208" s="302"/>
      <c r="E2208" s="302"/>
      <c r="K2208" s="303"/>
      <c r="L2208" s="303"/>
      <c r="M2208" s="303"/>
      <c r="AB2208" s="298"/>
      <c r="AC2208" s="297"/>
      <c r="AF2208" s="296"/>
      <c r="AG2208" s="297"/>
      <c r="AJ2208" s="298"/>
      <c r="AK2208" s="297"/>
      <c r="AN2208" s="298"/>
      <c r="AR2208" s="298"/>
    </row>
    <row r="2209" spans="2:44" s="290" customFormat="1" x14ac:dyDescent="0.2">
      <c r="B2209" s="302"/>
      <c r="D2209" s="302"/>
      <c r="E2209" s="302"/>
      <c r="K2209" s="303"/>
      <c r="L2209" s="303"/>
      <c r="M2209" s="303"/>
      <c r="AB2209" s="298"/>
      <c r="AC2209" s="297"/>
      <c r="AF2209" s="296"/>
      <c r="AG2209" s="297"/>
      <c r="AJ2209" s="298"/>
      <c r="AK2209" s="297"/>
      <c r="AN2209" s="298"/>
      <c r="AR2209" s="298"/>
    </row>
    <row r="2210" spans="2:44" s="290" customFormat="1" x14ac:dyDescent="0.2">
      <c r="B2210" s="302"/>
      <c r="D2210" s="302"/>
      <c r="E2210" s="302"/>
      <c r="K2210" s="303"/>
      <c r="L2210" s="303"/>
      <c r="M2210" s="303"/>
      <c r="AB2210" s="298"/>
      <c r="AC2210" s="297"/>
      <c r="AF2210" s="296"/>
      <c r="AG2210" s="297"/>
      <c r="AJ2210" s="298"/>
      <c r="AK2210" s="297"/>
      <c r="AN2210" s="298"/>
      <c r="AR2210" s="298"/>
    </row>
    <row r="2211" spans="2:44" s="290" customFormat="1" x14ac:dyDescent="0.2">
      <c r="B2211" s="302"/>
      <c r="D2211" s="302"/>
      <c r="E2211" s="302"/>
      <c r="K2211" s="303"/>
      <c r="L2211" s="303"/>
      <c r="M2211" s="303"/>
      <c r="AB2211" s="298"/>
      <c r="AC2211" s="297"/>
      <c r="AF2211" s="296"/>
      <c r="AG2211" s="297"/>
      <c r="AJ2211" s="298"/>
      <c r="AK2211" s="297"/>
      <c r="AN2211" s="298"/>
      <c r="AR2211" s="298"/>
    </row>
    <row r="2212" spans="2:44" s="290" customFormat="1" x14ac:dyDescent="0.2">
      <c r="B2212" s="302"/>
      <c r="D2212" s="302"/>
      <c r="E2212" s="302"/>
      <c r="K2212" s="303"/>
      <c r="L2212" s="303"/>
      <c r="M2212" s="303"/>
      <c r="AB2212" s="298"/>
      <c r="AC2212" s="297"/>
      <c r="AF2212" s="296"/>
      <c r="AG2212" s="297"/>
      <c r="AJ2212" s="298"/>
      <c r="AK2212" s="297"/>
      <c r="AN2212" s="298"/>
      <c r="AR2212" s="298"/>
    </row>
    <row r="2213" spans="2:44" s="290" customFormat="1" x14ac:dyDescent="0.2">
      <c r="B2213" s="302"/>
      <c r="D2213" s="302"/>
      <c r="E2213" s="302"/>
      <c r="K2213" s="303"/>
      <c r="L2213" s="303"/>
      <c r="M2213" s="303"/>
      <c r="AB2213" s="298"/>
      <c r="AC2213" s="297"/>
      <c r="AF2213" s="296"/>
      <c r="AG2213" s="297"/>
      <c r="AJ2213" s="298"/>
      <c r="AK2213" s="297"/>
      <c r="AN2213" s="298"/>
      <c r="AR2213" s="298"/>
    </row>
    <row r="2214" spans="2:44" s="290" customFormat="1" x14ac:dyDescent="0.2">
      <c r="B2214" s="302"/>
      <c r="D2214" s="302"/>
      <c r="E2214" s="302"/>
      <c r="K2214" s="303"/>
      <c r="L2214" s="303"/>
      <c r="M2214" s="303"/>
      <c r="AB2214" s="298"/>
      <c r="AC2214" s="297"/>
      <c r="AF2214" s="296"/>
      <c r="AG2214" s="297"/>
      <c r="AJ2214" s="298"/>
      <c r="AK2214" s="297"/>
      <c r="AN2214" s="298"/>
      <c r="AR2214" s="298"/>
    </row>
    <row r="2215" spans="2:44" s="290" customFormat="1" x14ac:dyDescent="0.2">
      <c r="B2215" s="302"/>
      <c r="D2215" s="302"/>
      <c r="E2215" s="302"/>
      <c r="K2215" s="303"/>
      <c r="L2215" s="303"/>
      <c r="M2215" s="303"/>
      <c r="AB2215" s="298"/>
      <c r="AC2215" s="297"/>
      <c r="AF2215" s="296"/>
      <c r="AG2215" s="297"/>
      <c r="AJ2215" s="298"/>
      <c r="AK2215" s="297"/>
      <c r="AN2215" s="298"/>
      <c r="AR2215" s="298"/>
    </row>
    <row r="2216" spans="2:44" s="290" customFormat="1" x14ac:dyDescent="0.2">
      <c r="B2216" s="302"/>
      <c r="D2216" s="302"/>
      <c r="E2216" s="302"/>
      <c r="K2216" s="303"/>
      <c r="L2216" s="303"/>
      <c r="M2216" s="303"/>
      <c r="AB2216" s="298"/>
      <c r="AC2216" s="297"/>
      <c r="AF2216" s="296"/>
      <c r="AG2216" s="297"/>
      <c r="AJ2216" s="298"/>
      <c r="AK2216" s="297"/>
      <c r="AN2216" s="298"/>
      <c r="AR2216" s="298"/>
    </row>
    <row r="2217" spans="2:44" s="290" customFormat="1" x14ac:dyDescent="0.2">
      <c r="B2217" s="302"/>
      <c r="D2217" s="302"/>
      <c r="E2217" s="302"/>
      <c r="K2217" s="303"/>
      <c r="L2217" s="303"/>
      <c r="M2217" s="303"/>
      <c r="AB2217" s="298"/>
      <c r="AC2217" s="297"/>
      <c r="AF2217" s="296"/>
      <c r="AG2217" s="297"/>
      <c r="AJ2217" s="298"/>
      <c r="AK2217" s="297"/>
      <c r="AN2217" s="298"/>
      <c r="AR2217" s="298"/>
    </row>
    <row r="2218" spans="2:44" s="290" customFormat="1" x14ac:dyDescent="0.2">
      <c r="B2218" s="302"/>
      <c r="D2218" s="302"/>
      <c r="E2218" s="302"/>
      <c r="K2218" s="303"/>
      <c r="L2218" s="303"/>
      <c r="M2218" s="303"/>
      <c r="AB2218" s="298"/>
      <c r="AC2218" s="297"/>
      <c r="AF2218" s="296"/>
      <c r="AG2218" s="297"/>
      <c r="AJ2218" s="298"/>
      <c r="AK2218" s="297"/>
      <c r="AN2218" s="298"/>
      <c r="AR2218" s="298"/>
    </row>
    <row r="2219" spans="2:44" s="290" customFormat="1" x14ac:dyDescent="0.2">
      <c r="B2219" s="302"/>
      <c r="D2219" s="302"/>
      <c r="E2219" s="302"/>
      <c r="K2219" s="303"/>
      <c r="L2219" s="303"/>
      <c r="M2219" s="303"/>
      <c r="AB2219" s="298"/>
      <c r="AC2219" s="297"/>
      <c r="AF2219" s="296"/>
      <c r="AG2219" s="297"/>
      <c r="AJ2219" s="298"/>
      <c r="AK2219" s="297"/>
      <c r="AN2219" s="298"/>
      <c r="AR2219" s="298"/>
    </row>
    <row r="2220" spans="2:44" s="290" customFormat="1" x14ac:dyDescent="0.2">
      <c r="B2220" s="302"/>
      <c r="D2220" s="302"/>
      <c r="E2220" s="302"/>
      <c r="K2220" s="303"/>
      <c r="L2220" s="303"/>
      <c r="M2220" s="303"/>
      <c r="AB2220" s="298"/>
      <c r="AC2220" s="297"/>
      <c r="AF2220" s="296"/>
      <c r="AG2220" s="297"/>
      <c r="AJ2220" s="298"/>
      <c r="AK2220" s="297"/>
      <c r="AN2220" s="298"/>
      <c r="AR2220" s="298"/>
    </row>
    <row r="2221" spans="2:44" s="290" customFormat="1" x14ac:dyDescent="0.2">
      <c r="B2221" s="302"/>
      <c r="D2221" s="302"/>
      <c r="E2221" s="302"/>
      <c r="K2221" s="303"/>
      <c r="L2221" s="303"/>
      <c r="M2221" s="303"/>
      <c r="AB2221" s="298"/>
      <c r="AC2221" s="297"/>
      <c r="AF2221" s="296"/>
      <c r="AG2221" s="297"/>
      <c r="AJ2221" s="298"/>
      <c r="AK2221" s="297"/>
      <c r="AN2221" s="298"/>
      <c r="AR2221" s="298"/>
    </row>
    <row r="2222" spans="2:44" s="290" customFormat="1" x14ac:dyDescent="0.2">
      <c r="B2222" s="302"/>
      <c r="D2222" s="302"/>
      <c r="E2222" s="302"/>
      <c r="K2222" s="303"/>
      <c r="L2222" s="303"/>
      <c r="M2222" s="303"/>
      <c r="AB2222" s="298"/>
      <c r="AC2222" s="297"/>
      <c r="AF2222" s="296"/>
      <c r="AG2222" s="297"/>
      <c r="AJ2222" s="298"/>
      <c r="AK2222" s="297"/>
      <c r="AN2222" s="298"/>
      <c r="AR2222" s="298"/>
    </row>
    <row r="2223" spans="2:44" s="290" customFormat="1" x14ac:dyDescent="0.2">
      <c r="B2223" s="302"/>
      <c r="D2223" s="302"/>
      <c r="E2223" s="302"/>
      <c r="K2223" s="303"/>
      <c r="L2223" s="303"/>
      <c r="M2223" s="303"/>
      <c r="AB2223" s="298"/>
      <c r="AC2223" s="297"/>
      <c r="AF2223" s="296"/>
      <c r="AG2223" s="297"/>
      <c r="AJ2223" s="298"/>
      <c r="AK2223" s="297"/>
      <c r="AN2223" s="298"/>
      <c r="AR2223" s="298"/>
    </row>
    <row r="2224" spans="2:44" s="290" customFormat="1" x14ac:dyDescent="0.2">
      <c r="B2224" s="302"/>
      <c r="D2224" s="302"/>
      <c r="E2224" s="302"/>
      <c r="K2224" s="303"/>
      <c r="L2224" s="303"/>
      <c r="M2224" s="303"/>
      <c r="AB2224" s="298"/>
      <c r="AC2224" s="297"/>
      <c r="AF2224" s="296"/>
      <c r="AG2224" s="297"/>
      <c r="AJ2224" s="298"/>
      <c r="AK2224" s="297"/>
      <c r="AN2224" s="298"/>
      <c r="AR2224" s="298"/>
    </row>
    <row r="2225" spans="2:44" s="290" customFormat="1" x14ac:dyDescent="0.2">
      <c r="B2225" s="302"/>
      <c r="D2225" s="302"/>
      <c r="E2225" s="302"/>
      <c r="K2225" s="303"/>
      <c r="L2225" s="303"/>
      <c r="M2225" s="303"/>
      <c r="AB2225" s="298"/>
      <c r="AC2225" s="297"/>
      <c r="AF2225" s="296"/>
      <c r="AG2225" s="297"/>
      <c r="AJ2225" s="298"/>
      <c r="AK2225" s="297"/>
      <c r="AN2225" s="298"/>
      <c r="AR2225" s="298"/>
    </row>
    <row r="2226" spans="2:44" s="290" customFormat="1" x14ac:dyDescent="0.2">
      <c r="B2226" s="302"/>
      <c r="D2226" s="302"/>
      <c r="E2226" s="302"/>
      <c r="K2226" s="303"/>
      <c r="L2226" s="303"/>
      <c r="M2226" s="303"/>
      <c r="AB2226" s="298"/>
      <c r="AC2226" s="297"/>
      <c r="AF2226" s="296"/>
      <c r="AG2226" s="297"/>
      <c r="AJ2226" s="298"/>
      <c r="AK2226" s="297"/>
      <c r="AN2226" s="298"/>
      <c r="AR2226" s="298"/>
    </row>
    <row r="2227" spans="2:44" s="290" customFormat="1" x14ac:dyDescent="0.2">
      <c r="B2227" s="302"/>
      <c r="D2227" s="302"/>
      <c r="E2227" s="302"/>
      <c r="K2227" s="303"/>
      <c r="L2227" s="303"/>
      <c r="M2227" s="303"/>
      <c r="AB2227" s="298"/>
      <c r="AC2227" s="297"/>
      <c r="AF2227" s="296"/>
      <c r="AG2227" s="297"/>
      <c r="AJ2227" s="298"/>
      <c r="AK2227" s="297"/>
      <c r="AN2227" s="298"/>
      <c r="AR2227" s="298"/>
    </row>
    <row r="2228" spans="2:44" s="290" customFormat="1" x14ac:dyDescent="0.2">
      <c r="B2228" s="302"/>
      <c r="D2228" s="302"/>
      <c r="E2228" s="302"/>
      <c r="K2228" s="303"/>
      <c r="L2228" s="303"/>
      <c r="M2228" s="303"/>
      <c r="AB2228" s="298"/>
      <c r="AC2228" s="297"/>
      <c r="AF2228" s="296"/>
      <c r="AG2228" s="297"/>
      <c r="AJ2228" s="298"/>
      <c r="AK2228" s="297"/>
      <c r="AN2228" s="298"/>
      <c r="AR2228" s="298"/>
    </row>
    <row r="2229" spans="2:44" s="290" customFormat="1" x14ac:dyDescent="0.2">
      <c r="B2229" s="302"/>
      <c r="D2229" s="302"/>
      <c r="E2229" s="302"/>
      <c r="K2229" s="303"/>
      <c r="L2229" s="303"/>
      <c r="M2229" s="303"/>
      <c r="AB2229" s="298"/>
      <c r="AC2229" s="297"/>
      <c r="AF2229" s="296"/>
      <c r="AG2229" s="297"/>
      <c r="AJ2229" s="298"/>
      <c r="AK2229" s="297"/>
      <c r="AN2229" s="298"/>
      <c r="AR2229" s="298"/>
    </row>
    <row r="2230" spans="2:44" s="290" customFormat="1" x14ac:dyDescent="0.2">
      <c r="B2230" s="302"/>
      <c r="D2230" s="302"/>
      <c r="E2230" s="302"/>
      <c r="K2230" s="303"/>
      <c r="L2230" s="303"/>
      <c r="M2230" s="303"/>
      <c r="AB2230" s="298"/>
      <c r="AC2230" s="297"/>
      <c r="AF2230" s="296"/>
      <c r="AG2230" s="297"/>
      <c r="AJ2230" s="298"/>
      <c r="AK2230" s="297"/>
      <c r="AN2230" s="298"/>
      <c r="AR2230" s="298"/>
    </row>
    <row r="2231" spans="2:44" s="290" customFormat="1" x14ac:dyDescent="0.2">
      <c r="B2231" s="302"/>
      <c r="D2231" s="302"/>
      <c r="E2231" s="302"/>
      <c r="K2231" s="303"/>
      <c r="L2231" s="303"/>
      <c r="M2231" s="303"/>
      <c r="AB2231" s="298"/>
      <c r="AC2231" s="297"/>
      <c r="AF2231" s="296"/>
      <c r="AG2231" s="297"/>
      <c r="AJ2231" s="298"/>
      <c r="AK2231" s="297"/>
      <c r="AN2231" s="298"/>
      <c r="AR2231" s="298"/>
    </row>
    <row r="2232" spans="2:44" s="290" customFormat="1" x14ac:dyDescent="0.2">
      <c r="B2232" s="302"/>
      <c r="D2232" s="302"/>
      <c r="E2232" s="302"/>
      <c r="K2232" s="303"/>
      <c r="L2232" s="303"/>
      <c r="M2232" s="303"/>
      <c r="AB2232" s="298"/>
      <c r="AC2232" s="297"/>
      <c r="AF2232" s="296"/>
      <c r="AG2232" s="297"/>
      <c r="AJ2232" s="298"/>
      <c r="AK2232" s="297"/>
      <c r="AN2232" s="298"/>
      <c r="AR2232" s="298"/>
    </row>
    <row r="2233" spans="2:44" s="290" customFormat="1" x14ac:dyDescent="0.2">
      <c r="B2233" s="302"/>
      <c r="D2233" s="302"/>
      <c r="E2233" s="302"/>
      <c r="K2233" s="303"/>
      <c r="L2233" s="303"/>
      <c r="M2233" s="303"/>
      <c r="AB2233" s="298"/>
      <c r="AC2233" s="297"/>
      <c r="AF2233" s="296"/>
      <c r="AG2233" s="297"/>
      <c r="AJ2233" s="298"/>
      <c r="AK2233" s="297"/>
      <c r="AN2233" s="298"/>
      <c r="AR2233" s="298"/>
    </row>
    <row r="2234" spans="2:44" s="290" customFormat="1" x14ac:dyDescent="0.2">
      <c r="B2234" s="302"/>
      <c r="D2234" s="302"/>
      <c r="E2234" s="302"/>
      <c r="K2234" s="303"/>
      <c r="L2234" s="303"/>
      <c r="M2234" s="303"/>
      <c r="AB2234" s="298"/>
      <c r="AC2234" s="297"/>
      <c r="AF2234" s="296"/>
      <c r="AG2234" s="297"/>
      <c r="AJ2234" s="298"/>
      <c r="AK2234" s="297"/>
      <c r="AN2234" s="298"/>
      <c r="AR2234" s="298"/>
    </row>
    <row r="2235" spans="2:44" s="290" customFormat="1" x14ac:dyDescent="0.2">
      <c r="B2235" s="302"/>
      <c r="D2235" s="302"/>
      <c r="E2235" s="302"/>
      <c r="K2235" s="303"/>
      <c r="L2235" s="303"/>
      <c r="M2235" s="303"/>
      <c r="AB2235" s="298"/>
      <c r="AC2235" s="297"/>
      <c r="AF2235" s="296"/>
      <c r="AG2235" s="297"/>
      <c r="AJ2235" s="298"/>
      <c r="AK2235" s="297"/>
      <c r="AN2235" s="298"/>
      <c r="AR2235" s="298"/>
    </row>
    <row r="2236" spans="2:44" s="290" customFormat="1" x14ac:dyDescent="0.2">
      <c r="B2236" s="302"/>
      <c r="D2236" s="302"/>
      <c r="E2236" s="302"/>
      <c r="K2236" s="303"/>
      <c r="L2236" s="303"/>
      <c r="M2236" s="303"/>
      <c r="AB2236" s="298"/>
      <c r="AC2236" s="297"/>
      <c r="AF2236" s="296"/>
      <c r="AG2236" s="297"/>
      <c r="AJ2236" s="298"/>
      <c r="AK2236" s="297"/>
      <c r="AN2236" s="298"/>
      <c r="AR2236" s="298"/>
    </row>
    <row r="2237" spans="2:44" s="290" customFormat="1" x14ac:dyDescent="0.2">
      <c r="B2237" s="302"/>
      <c r="D2237" s="302"/>
      <c r="E2237" s="302"/>
      <c r="K2237" s="303"/>
      <c r="L2237" s="303"/>
      <c r="M2237" s="303"/>
      <c r="AB2237" s="298"/>
      <c r="AC2237" s="297"/>
      <c r="AF2237" s="296"/>
      <c r="AG2237" s="297"/>
      <c r="AJ2237" s="298"/>
      <c r="AK2237" s="297"/>
      <c r="AN2237" s="298"/>
      <c r="AR2237" s="298"/>
    </row>
    <row r="2238" spans="2:44" s="290" customFormat="1" x14ac:dyDescent="0.2">
      <c r="B2238" s="302"/>
      <c r="D2238" s="302"/>
      <c r="E2238" s="302"/>
      <c r="K2238" s="303"/>
      <c r="L2238" s="303"/>
      <c r="M2238" s="303"/>
      <c r="AB2238" s="298"/>
      <c r="AC2238" s="297"/>
      <c r="AF2238" s="296"/>
      <c r="AG2238" s="297"/>
      <c r="AJ2238" s="298"/>
      <c r="AK2238" s="297"/>
      <c r="AN2238" s="298"/>
      <c r="AR2238" s="298"/>
    </row>
    <row r="2239" spans="2:44" s="290" customFormat="1" x14ac:dyDescent="0.2">
      <c r="B2239" s="302"/>
      <c r="D2239" s="302"/>
      <c r="E2239" s="302"/>
      <c r="K2239" s="303"/>
      <c r="L2239" s="303"/>
      <c r="M2239" s="303"/>
      <c r="AB2239" s="298"/>
      <c r="AC2239" s="297"/>
      <c r="AF2239" s="296"/>
      <c r="AG2239" s="297"/>
      <c r="AJ2239" s="298"/>
      <c r="AK2239" s="297"/>
      <c r="AN2239" s="298"/>
      <c r="AR2239" s="298"/>
    </row>
    <row r="2240" spans="2:44" s="290" customFormat="1" x14ac:dyDescent="0.2">
      <c r="B2240" s="302"/>
      <c r="D2240" s="302"/>
      <c r="E2240" s="302"/>
      <c r="K2240" s="303"/>
      <c r="L2240" s="303"/>
      <c r="M2240" s="303"/>
      <c r="AB2240" s="298"/>
      <c r="AC2240" s="297"/>
      <c r="AF2240" s="296"/>
      <c r="AG2240" s="297"/>
      <c r="AJ2240" s="298"/>
      <c r="AK2240" s="297"/>
      <c r="AN2240" s="298"/>
      <c r="AR2240" s="298"/>
    </row>
    <row r="2241" spans="2:44" s="290" customFormat="1" x14ac:dyDescent="0.2">
      <c r="B2241" s="302"/>
      <c r="D2241" s="302"/>
      <c r="E2241" s="302"/>
      <c r="K2241" s="303"/>
      <c r="L2241" s="303"/>
      <c r="M2241" s="303"/>
      <c r="AB2241" s="298"/>
      <c r="AC2241" s="297"/>
      <c r="AF2241" s="296"/>
      <c r="AG2241" s="297"/>
      <c r="AJ2241" s="298"/>
      <c r="AK2241" s="297"/>
      <c r="AN2241" s="298"/>
      <c r="AR2241" s="298"/>
    </row>
    <row r="2242" spans="2:44" s="290" customFormat="1" x14ac:dyDescent="0.2">
      <c r="B2242" s="302"/>
      <c r="D2242" s="302"/>
      <c r="E2242" s="302"/>
      <c r="K2242" s="303"/>
      <c r="L2242" s="303"/>
      <c r="M2242" s="303"/>
      <c r="AB2242" s="298"/>
      <c r="AC2242" s="297"/>
      <c r="AF2242" s="296"/>
      <c r="AG2242" s="297"/>
      <c r="AJ2242" s="298"/>
      <c r="AK2242" s="297"/>
      <c r="AN2242" s="298"/>
      <c r="AR2242" s="298"/>
    </row>
    <row r="2243" spans="2:44" s="290" customFormat="1" x14ac:dyDescent="0.2">
      <c r="B2243" s="302"/>
      <c r="D2243" s="302"/>
      <c r="E2243" s="302"/>
      <c r="K2243" s="303"/>
      <c r="L2243" s="303"/>
      <c r="M2243" s="303"/>
      <c r="AB2243" s="298"/>
      <c r="AC2243" s="297"/>
      <c r="AF2243" s="296"/>
      <c r="AG2243" s="297"/>
      <c r="AJ2243" s="298"/>
      <c r="AK2243" s="297"/>
      <c r="AN2243" s="298"/>
      <c r="AR2243" s="298"/>
    </row>
    <row r="2244" spans="2:44" s="290" customFormat="1" x14ac:dyDescent="0.2">
      <c r="B2244" s="302"/>
      <c r="D2244" s="302"/>
      <c r="E2244" s="302"/>
      <c r="K2244" s="303"/>
      <c r="L2244" s="303"/>
      <c r="M2244" s="303"/>
      <c r="AB2244" s="298"/>
      <c r="AC2244" s="297"/>
      <c r="AF2244" s="296"/>
      <c r="AG2244" s="297"/>
      <c r="AJ2244" s="298"/>
      <c r="AK2244" s="297"/>
      <c r="AN2244" s="298"/>
      <c r="AR2244" s="298"/>
    </row>
    <row r="2245" spans="2:44" s="290" customFormat="1" x14ac:dyDescent="0.2">
      <c r="B2245" s="302"/>
      <c r="D2245" s="302"/>
      <c r="E2245" s="302"/>
      <c r="K2245" s="303"/>
      <c r="L2245" s="303"/>
      <c r="M2245" s="303"/>
      <c r="AB2245" s="298"/>
      <c r="AC2245" s="297"/>
      <c r="AF2245" s="296"/>
      <c r="AG2245" s="297"/>
      <c r="AJ2245" s="298"/>
      <c r="AK2245" s="297"/>
      <c r="AN2245" s="298"/>
      <c r="AR2245" s="298"/>
    </row>
    <row r="2246" spans="2:44" s="290" customFormat="1" x14ac:dyDescent="0.2">
      <c r="B2246" s="302"/>
      <c r="D2246" s="302"/>
      <c r="E2246" s="302"/>
      <c r="K2246" s="303"/>
      <c r="L2246" s="303"/>
      <c r="M2246" s="303"/>
      <c r="AB2246" s="298"/>
      <c r="AC2246" s="297"/>
      <c r="AF2246" s="296"/>
      <c r="AG2246" s="297"/>
      <c r="AJ2246" s="298"/>
      <c r="AK2246" s="297"/>
      <c r="AN2246" s="298"/>
      <c r="AR2246" s="298"/>
    </row>
    <row r="2247" spans="2:44" s="290" customFormat="1" x14ac:dyDescent="0.2">
      <c r="B2247" s="302"/>
      <c r="D2247" s="302"/>
      <c r="E2247" s="302"/>
      <c r="K2247" s="303"/>
      <c r="L2247" s="303"/>
      <c r="M2247" s="303"/>
      <c r="AB2247" s="298"/>
      <c r="AC2247" s="297"/>
      <c r="AF2247" s="296"/>
      <c r="AG2247" s="297"/>
      <c r="AJ2247" s="298"/>
      <c r="AK2247" s="297"/>
      <c r="AN2247" s="298"/>
      <c r="AR2247" s="298"/>
    </row>
    <row r="2248" spans="2:44" s="290" customFormat="1" x14ac:dyDescent="0.2">
      <c r="B2248" s="302"/>
      <c r="D2248" s="302"/>
      <c r="E2248" s="302"/>
      <c r="K2248" s="303"/>
      <c r="L2248" s="303"/>
      <c r="M2248" s="303"/>
      <c r="AB2248" s="298"/>
      <c r="AC2248" s="297"/>
      <c r="AF2248" s="296"/>
      <c r="AG2248" s="297"/>
      <c r="AJ2248" s="298"/>
      <c r="AK2248" s="297"/>
      <c r="AN2248" s="298"/>
      <c r="AR2248" s="298"/>
    </row>
    <row r="2249" spans="2:44" s="290" customFormat="1" x14ac:dyDescent="0.2">
      <c r="B2249" s="302"/>
      <c r="D2249" s="302"/>
      <c r="E2249" s="302"/>
      <c r="K2249" s="303"/>
      <c r="L2249" s="303"/>
      <c r="M2249" s="303"/>
      <c r="AB2249" s="298"/>
      <c r="AC2249" s="297"/>
      <c r="AF2249" s="296"/>
      <c r="AG2249" s="297"/>
      <c r="AJ2249" s="298"/>
      <c r="AK2249" s="297"/>
      <c r="AN2249" s="298"/>
      <c r="AR2249" s="298"/>
    </row>
    <row r="2250" spans="2:44" s="290" customFormat="1" x14ac:dyDescent="0.2">
      <c r="B2250" s="302"/>
      <c r="D2250" s="302"/>
      <c r="E2250" s="302"/>
      <c r="K2250" s="303"/>
      <c r="L2250" s="303"/>
      <c r="M2250" s="303"/>
      <c r="AB2250" s="298"/>
      <c r="AC2250" s="297"/>
      <c r="AF2250" s="296"/>
      <c r="AG2250" s="297"/>
      <c r="AJ2250" s="298"/>
      <c r="AK2250" s="297"/>
      <c r="AN2250" s="298"/>
      <c r="AR2250" s="298"/>
    </row>
    <row r="2251" spans="2:44" s="290" customFormat="1" x14ac:dyDescent="0.2">
      <c r="B2251" s="302"/>
      <c r="D2251" s="302"/>
      <c r="E2251" s="302"/>
      <c r="K2251" s="303"/>
      <c r="L2251" s="303"/>
      <c r="M2251" s="303"/>
      <c r="AB2251" s="298"/>
      <c r="AC2251" s="297"/>
      <c r="AF2251" s="296"/>
      <c r="AG2251" s="297"/>
      <c r="AJ2251" s="298"/>
      <c r="AK2251" s="297"/>
      <c r="AN2251" s="298"/>
      <c r="AR2251" s="298"/>
    </row>
    <row r="2252" spans="2:44" s="290" customFormat="1" x14ac:dyDescent="0.2">
      <c r="B2252" s="302"/>
      <c r="D2252" s="302"/>
      <c r="E2252" s="302"/>
      <c r="K2252" s="303"/>
      <c r="L2252" s="303"/>
      <c r="M2252" s="303"/>
      <c r="AB2252" s="298"/>
      <c r="AC2252" s="297"/>
      <c r="AF2252" s="296"/>
      <c r="AG2252" s="297"/>
      <c r="AJ2252" s="298"/>
      <c r="AK2252" s="297"/>
      <c r="AN2252" s="298"/>
      <c r="AR2252" s="298"/>
    </row>
    <row r="2253" spans="2:44" s="290" customFormat="1" x14ac:dyDescent="0.2">
      <c r="B2253" s="302"/>
      <c r="D2253" s="302"/>
      <c r="E2253" s="302"/>
      <c r="K2253" s="303"/>
      <c r="L2253" s="303"/>
      <c r="M2253" s="303"/>
      <c r="AB2253" s="298"/>
      <c r="AC2253" s="297"/>
      <c r="AF2253" s="296"/>
      <c r="AG2253" s="297"/>
      <c r="AJ2253" s="298"/>
      <c r="AK2253" s="297"/>
      <c r="AN2253" s="298"/>
      <c r="AR2253" s="298"/>
    </row>
    <row r="2254" spans="2:44" s="290" customFormat="1" x14ac:dyDescent="0.2">
      <c r="B2254" s="302"/>
      <c r="D2254" s="302"/>
      <c r="E2254" s="302"/>
      <c r="K2254" s="303"/>
      <c r="L2254" s="303"/>
      <c r="M2254" s="303"/>
      <c r="AB2254" s="298"/>
      <c r="AC2254" s="297"/>
      <c r="AF2254" s="296"/>
      <c r="AG2254" s="297"/>
      <c r="AJ2254" s="298"/>
      <c r="AK2254" s="297"/>
      <c r="AN2254" s="298"/>
      <c r="AR2254" s="298"/>
    </row>
    <row r="2255" spans="2:44" s="290" customFormat="1" x14ac:dyDescent="0.2">
      <c r="B2255" s="302"/>
      <c r="D2255" s="302"/>
      <c r="E2255" s="302"/>
      <c r="K2255" s="303"/>
      <c r="L2255" s="303"/>
      <c r="M2255" s="303"/>
      <c r="AB2255" s="298"/>
      <c r="AC2255" s="297"/>
      <c r="AF2255" s="296"/>
      <c r="AG2255" s="297"/>
      <c r="AJ2255" s="298"/>
      <c r="AK2255" s="297"/>
      <c r="AN2255" s="298"/>
      <c r="AR2255" s="298"/>
    </row>
    <row r="2256" spans="2:44" s="290" customFormat="1" x14ac:dyDescent="0.2">
      <c r="B2256" s="302"/>
      <c r="D2256" s="302"/>
      <c r="E2256" s="302"/>
      <c r="K2256" s="303"/>
      <c r="L2256" s="303"/>
      <c r="M2256" s="303"/>
      <c r="AB2256" s="298"/>
      <c r="AC2256" s="297"/>
      <c r="AF2256" s="296"/>
      <c r="AG2256" s="297"/>
      <c r="AJ2256" s="298"/>
      <c r="AK2256" s="297"/>
      <c r="AN2256" s="298"/>
      <c r="AR2256" s="298"/>
    </row>
    <row r="2257" spans="2:44" s="290" customFormat="1" x14ac:dyDescent="0.2">
      <c r="B2257" s="302"/>
      <c r="D2257" s="302"/>
      <c r="E2257" s="302"/>
      <c r="K2257" s="303"/>
      <c r="L2257" s="303"/>
      <c r="M2257" s="303"/>
      <c r="AB2257" s="298"/>
      <c r="AC2257" s="297"/>
      <c r="AF2257" s="296"/>
      <c r="AG2257" s="297"/>
      <c r="AJ2257" s="298"/>
      <c r="AK2257" s="297"/>
      <c r="AN2257" s="298"/>
      <c r="AR2257" s="298"/>
    </row>
    <row r="2258" spans="2:44" s="290" customFormat="1" x14ac:dyDescent="0.2">
      <c r="B2258" s="302"/>
      <c r="D2258" s="302"/>
      <c r="E2258" s="302"/>
      <c r="K2258" s="303"/>
      <c r="L2258" s="303"/>
      <c r="M2258" s="303"/>
      <c r="AB2258" s="298"/>
      <c r="AC2258" s="297"/>
      <c r="AF2258" s="296"/>
      <c r="AG2258" s="297"/>
      <c r="AJ2258" s="298"/>
      <c r="AK2258" s="297"/>
      <c r="AN2258" s="298"/>
      <c r="AR2258" s="298"/>
    </row>
    <row r="2259" spans="2:44" s="290" customFormat="1" x14ac:dyDescent="0.2">
      <c r="B2259" s="302"/>
      <c r="D2259" s="302"/>
      <c r="E2259" s="302"/>
      <c r="K2259" s="303"/>
      <c r="L2259" s="303"/>
      <c r="M2259" s="303"/>
      <c r="AB2259" s="298"/>
      <c r="AC2259" s="297"/>
      <c r="AF2259" s="296"/>
      <c r="AG2259" s="297"/>
      <c r="AJ2259" s="298"/>
      <c r="AK2259" s="297"/>
      <c r="AN2259" s="298"/>
      <c r="AR2259" s="298"/>
    </row>
    <row r="2260" spans="2:44" s="290" customFormat="1" x14ac:dyDescent="0.2">
      <c r="B2260" s="302"/>
      <c r="D2260" s="302"/>
      <c r="E2260" s="302"/>
      <c r="K2260" s="303"/>
      <c r="L2260" s="303"/>
      <c r="M2260" s="303"/>
      <c r="AB2260" s="298"/>
      <c r="AC2260" s="297"/>
      <c r="AF2260" s="296"/>
      <c r="AG2260" s="297"/>
      <c r="AJ2260" s="298"/>
      <c r="AK2260" s="297"/>
      <c r="AN2260" s="298"/>
      <c r="AR2260" s="298"/>
    </row>
    <row r="2261" spans="2:44" s="290" customFormat="1" x14ac:dyDescent="0.2">
      <c r="B2261" s="302"/>
      <c r="D2261" s="302"/>
      <c r="E2261" s="302"/>
      <c r="K2261" s="303"/>
      <c r="L2261" s="303"/>
      <c r="M2261" s="303"/>
      <c r="AB2261" s="298"/>
      <c r="AC2261" s="297"/>
      <c r="AF2261" s="296"/>
      <c r="AG2261" s="297"/>
      <c r="AJ2261" s="298"/>
      <c r="AK2261" s="297"/>
      <c r="AN2261" s="298"/>
      <c r="AR2261" s="298"/>
    </row>
    <row r="2262" spans="2:44" s="290" customFormat="1" x14ac:dyDescent="0.2">
      <c r="B2262" s="302"/>
      <c r="D2262" s="302"/>
      <c r="E2262" s="302"/>
      <c r="K2262" s="303"/>
      <c r="L2262" s="303"/>
      <c r="M2262" s="303"/>
      <c r="AB2262" s="298"/>
      <c r="AC2262" s="297"/>
      <c r="AF2262" s="296"/>
      <c r="AG2262" s="297"/>
      <c r="AJ2262" s="298"/>
      <c r="AK2262" s="297"/>
      <c r="AN2262" s="298"/>
      <c r="AR2262" s="298"/>
    </row>
    <row r="2263" spans="2:44" s="290" customFormat="1" x14ac:dyDescent="0.2">
      <c r="B2263" s="302"/>
      <c r="D2263" s="302"/>
      <c r="E2263" s="302"/>
      <c r="K2263" s="303"/>
      <c r="L2263" s="303"/>
      <c r="M2263" s="303"/>
      <c r="AB2263" s="298"/>
      <c r="AC2263" s="297"/>
      <c r="AF2263" s="296"/>
      <c r="AG2263" s="297"/>
      <c r="AJ2263" s="298"/>
      <c r="AK2263" s="297"/>
      <c r="AN2263" s="298"/>
      <c r="AR2263" s="298"/>
    </row>
    <row r="2264" spans="2:44" s="290" customFormat="1" x14ac:dyDescent="0.2">
      <c r="B2264" s="302"/>
      <c r="D2264" s="302"/>
      <c r="E2264" s="302"/>
      <c r="K2264" s="303"/>
      <c r="L2264" s="303"/>
      <c r="M2264" s="303"/>
      <c r="AB2264" s="298"/>
      <c r="AC2264" s="297"/>
      <c r="AF2264" s="296"/>
      <c r="AG2264" s="297"/>
      <c r="AJ2264" s="298"/>
      <c r="AK2264" s="297"/>
      <c r="AN2264" s="298"/>
      <c r="AR2264" s="298"/>
    </row>
    <row r="2265" spans="2:44" s="290" customFormat="1" x14ac:dyDescent="0.2">
      <c r="B2265" s="302"/>
      <c r="D2265" s="302"/>
      <c r="E2265" s="302"/>
      <c r="K2265" s="303"/>
      <c r="L2265" s="303"/>
      <c r="M2265" s="303"/>
      <c r="AB2265" s="298"/>
      <c r="AC2265" s="297"/>
      <c r="AF2265" s="296"/>
      <c r="AG2265" s="297"/>
      <c r="AJ2265" s="298"/>
      <c r="AK2265" s="297"/>
      <c r="AN2265" s="298"/>
      <c r="AR2265" s="298"/>
    </row>
    <row r="2266" spans="2:44" s="290" customFormat="1" x14ac:dyDescent="0.2">
      <c r="B2266" s="302"/>
      <c r="D2266" s="302"/>
      <c r="E2266" s="302"/>
      <c r="K2266" s="303"/>
      <c r="L2266" s="303"/>
      <c r="M2266" s="303"/>
      <c r="AB2266" s="298"/>
      <c r="AC2266" s="297"/>
      <c r="AF2266" s="296"/>
      <c r="AG2266" s="297"/>
      <c r="AJ2266" s="298"/>
      <c r="AK2266" s="297"/>
      <c r="AN2266" s="298"/>
      <c r="AR2266" s="298"/>
    </row>
    <row r="2267" spans="2:44" s="290" customFormat="1" x14ac:dyDescent="0.2">
      <c r="B2267" s="302"/>
      <c r="D2267" s="302"/>
      <c r="E2267" s="302"/>
      <c r="K2267" s="303"/>
      <c r="L2267" s="303"/>
      <c r="M2267" s="303"/>
      <c r="AB2267" s="298"/>
      <c r="AC2267" s="297"/>
      <c r="AF2267" s="296"/>
      <c r="AG2267" s="297"/>
      <c r="AJ2267" s="298"/>
      <c r="AK2267" s="297"/>
      <c r="AN2267" s="298"/>
      <c r="AR2267" s="298"/>
    </row>
    <row r="2268" spans="2:44" s="290" customFormat="1" x14ac:dyDescent="0.2">
      <c r="B2268" s="302"/>
      <c r="D2268" s="302"/>
      <c r="E2268" s="302"/>
      <c r="K2268" s="303"/>
      <c r="L2268" s="303"/>
      <c r="M2268" s="303"/>
      <c r="AB2268" s="298"/>
      <c r="AC2268" s="297"/>
      <c r="AF2268" s="296"/>
      <c r="AG2268" s="297"/>
      <c r="AJ2268" s="298"/>
      <c r="AK2268" s="297"/>
      <c r="AN2268" s="298"/>
      <c r="AR2268" s="298"/>
    </row>
    <row r="2269" spans="2:44" s="290" customFormat="1" x14ac:dyDescent="0.2">
      <c r="B2269" s="302"/>
      <c r="D2269" s="302"/>
      <c r="E2269" s="302"/>
      <c r="K2269" s="303"/>
      <c r="L2269" s="303"/>
      <c r="M2269" s="303"/>
      <c r="AB2269" s="298"/>
      <c r="AC2269" s="297"/>
      <c r="AF2269" s="296"/>
      <c r="AG2269" s="297"/>
      <c r="AJ2269" s="298"/>
      <c r="AK2269" s="297"/>
      <c r="AN2269" s="298"/>
      <c r="AR2269" s="298"/>
    </row>
    <row r="2270" spans="2:44" s="290" customFormat="1" x14ac:dyDescent="0.2">
      <c r="B2270" s="302"/>
      <c r="D2270" s="302"/>
      <c r="E2270" s="302"/>
      <c r="K2270" s="303"/>
      <c r="L2270" s="303"/>
      <c r="M2270" s="303"/>
      <c r="AB2270" s="298"/>
      <c r="AC2270" s="297"/>
      <c r="AF2270" s="296"/>
      <c r="AG2270" s="297"/>
      <c r="AJ2270" s="298"/>
      <c r="AK2270" s="297"/>
      <c r="AN2270" s="298"/>
      <c r="AR2270" s="298"/>
    </row>
    <row r="2271" spans="2:44" s="290" customFormat="1" x14ac:dyDescent="0.2">
      <c r="B2271" s="302"/>
      <c r="D2271" s="302"/>
      <c r="E2271" s="302"/>
      <c r="K2271" s="303"/>
      <c r="L2271" s="303"/>
      <c r="M2271" s="303"/>
      <c r="AB2271" s="298"/>
      <c r="AC2271" s="297"/>
      <c r="AF2271" s="296"/>
      <c r="AG2271" s="297"/>
      <c r="AJ2271" s="298"/>
      <c r="AK2271" s="297"/>
      <c r="AN2271" s="298"/>
      <c r="AR2271" s="298"/>
    </row>
    <row r="2272" spans="2:44" s="290" customFormat="1" x14ac:dyDescent="0.2">
      <c r="B2272" s="302"/>
      <c r="D2272" s="302"/>
      <c r="E2272" s="302"/>
      <c r="K2272" s="303"/>
      <c r="L2272" s="303"/>
      <c r="M2272" s="303"/>
      <c r="AB2272" s="298"/>
      <c r="AC2272" s="297"/>
      <c r="AF2272" s="296"/>
      <c r="AG2272" s="297"/>
      <c r="AJ2272" s="298"/>
      <c r="AK2272" s="297"/>
      <c r="AN2272" s="298"/>
      <c r="AR2272" s="298"/>
    </row>
    <row r="2273" spans="2:44" s="290" customFormat="1" x14ac:dyDescent="0.2">
      <c r="B2273" s="302"/>
      <c r="D2273" s="302"/>
      <c r="E2273" s="302"/>
      <c r="K2273" s="303"/>
      <c r="L2273" s="303"/>
      <c r="M2273" s="303"/>
      <c r="AB2273" s="298"/>
      <c r="AC2273" s="297"/>
      <c r="AF2273" s="296"/>
      <c r="AG2273" s="297"/>
      <c r="AJ2273" s="298"/>
      <c r="AK2273" s="297"/>
      <c r="AN2273" s="298"/>
      <c r="AR2273" s="298"/>
    </row>
    <row r="2274" spans="2:44" s="290" customFormat="1" x14ac:dyDescent="0.2">
      <c r="B2274" s="302"/>
      <c r="D2274" s="302"/>
      <c r="E2274" s="302"/>
      <c r="K2274" s="303"/>
      <c r="L2274" s="303"/>
      <c r="M2274" s="303"/>
      <c r="AB2274" s="298"/>
      <c r="AC2274" s="297"/>
      <c r="AF2274" s="296"/>
      <c r="AG2274" s="297"/>
      <c r="AJ2274" s="298"/>
      <c r="AK2274" s="297"/>
      <c r="AN2274" s="298"/>
      <c r="AR2274" s="298"/>
    </row>
    <row r="2275" spans="2:44" s="290" customFormat="1" x14ac:dyDescent="0.2">
      <c r="B2275" s="302"/>
      <c r="D2275" s="302"/>
      <c r="E2275" s="302"/>
      <c r="K2275" s="303"/>
      <c r="L2275" s="303"/>
      <c r="M2275" s="303"/>
      <c r="AB2275" s="298"/>
      <c r="AC2275" s="297"/>
      <c r="AF2275" s="296"/>
      <c r="AG2275" s="297"/>
      <c r="AJ2275" s="298"/>
      <c r="AK2275" s="297"/>
      <c r="AN2275" s="298"/>
      <c r="AR2275" s="298"/>
    </row>
    <row r="2276" spans="2:44" s="290" customFormat="1" x14ac:dyDescent="0.2">
      <c r="B2276" s="302"/>
      <c r="D2276" s="302"/>
      <c r="E2276" s="302"/>
      <c r="K2276" s="303"/>
      <c r="L2276" s="303"/>
      <c r="M2276" s="303"/>
      <c r="AB2276" s="298"/>
      <c r="AC2276" s="297"/>
      <c r="AF2276" s="296"/>
      <c r="AG2276" s="297"/>
      <c r="AJ2276" s="298"/>
      <c r="AK2276" s="297"/>
      <c r="AN2276" s="298"/>
      <c r="AR2276" s="298"/>
    </row>
    <row r="2277" spans="2:44" s="290" customFormat="1" x14ac:dyDescent="0.2">
      <c r="B2277" s="302"/>
      <c r="D2277" s="302"/>
      <c r="E2277" s="302"/>
      <c r="K2277" s="303"/>
      <c r="L2277" s="303"/>
      <c r="M2277" s="303"/>
      <c r="AB2277" s="298"/>
      <c r="AC2277" s="297"/>
      <c r="AF2277" s="296"/>
      <c r="AG2277" s="297"/>
      <c r="AJ2277" s="298"/>
      <c r="AK2277" s="297"/>
      <c r="AN2277" s="298"/>
      <c r="AR2277" s="298"/>
    </row>
    <row r="2278" spans="2:44" s="290" customFormat="1" x14ac:dyDescent="0.2">
      <c r="B2278" s="302"/>
      <c r="D2278" s="302"/>
      <c r="E2278" s="302"/>
      <c r="K2278" s="303"/>
      <c r="L2278" s="303"/>
      <c r="M2278" s="303"/>
      <c r="AB2278" s="298"/>
      <c r="AC2278" s="297"/>
      <c r="AF2278" s="296"/>
      <c r="AG2278" s="297"/>
      <c r="AJ2278" s="298"/>
      <c r="AK2278" s="297"/>
      <c r="AN2278" s="298"/>
      <c r="AR2278" s="298"/>
    </row>
    <row r="2279" spans="2:44" s="290" customFormat="1" x14ac:dyDescent="0.2">
      <c r="B2279" s="302"/>
      <c r="D2279" s="302"/>
      <c r="E2279" s="302"/>
      <c r="K2279" s="303"/>
      <c r="L2279" s="303"/>
      <c r="M2279" s="303"/>
      <c r="AB2279" s="298"/>
      <c r="AC2279" s="297"/>
      <c r="AF2279" s="296"/>
      <c r="AG2279" s="297"/>
      <c r="AJ2279" s="298"/>
      <c r="AK2279" s="297"/>
      <c r="AN2279" s="298"/>
      <c r="AR2279" s="298"/>
    </row>
    <row r="2280" spans="2:44" s="290" customFormat="1" x14ac:dyDescent="0.2">
      <c r="B2280" s="302"/>
      <c r="D2280" s="302"/>
      <c r="E2280" s="302"/>
      <c r="K2280" s="303"/>
      <c r="L2280" s="303"/>
      <c r="M2280" s="303"/>
      <c r="AB2280" s="298"/>
      <c r="AC2280" s="297"/>
      <c r="AF2280" s="296"/>
      <c r="AG2280" s="297"/>
      <c r="AJ2280" s="298"/>
      <c r="AK2280" s="297"/>
      <c r="AN2280" s="298"/>
      <c r="AR2280" s="298"/>
    </row>
    <row r="2281" spans="2:44" s="290" customFormat="1" x14ac:dyDescent="0.2">
      <c r="B2281" s="302"/>
      <c r="D2281" s="302"/>
      <c r="E2281" s="302"/>
      <c r="K2281" s="303"/>
      <c r="L2281" s="303"/>
      <c r="M2281" s="303"/>
      <c r="AB2281" s="298"/>
      <c r="AC2281" s="297"/>
      <c r="AF2281" s="296"/>
      <c r="AG2281" s="297"/>
      <c r="AJ2281" s="298"/>
      <c r="AK2281" s="297"/>
      <c r="AN2281" s="298"/>
      <c r="AR2281" s="298"/>
    </row>
    <row r="2282" spans="2:44" s="290" customFormat="1" x14ac:dyDescent="0.2">
      <c r="B2282" s="302"/>
      <c r="D2282" s="302"/>
      <c r="E2282" s="302"/>
      <c r="K2282" s="303"/>
      <c r="L2282" s="303"/>
      <c r="M2282" s="303"/>
      <c r="AB2282" s="298"/>
      <c r="AC2282" s="297"/>
      <c r="AF2282" s="296"/>
      <c r="AG2282" s="297"/>
      <c r="AJ2282" s="298"/>
      <c r="AK2282" s="297"/>
      <c r="AN2282" s="298"/>
      <c r="AR2282" s="298"/>
    </row>
    <row r="2283" spans="2:44" s="290" customFormat="1" x14ac:dyDescent="0.2">
      <c r="B2283" s="302"/>
      <c r="D2283" s="302"/>
      <c r="E2283" s="302"/>
      <c r="K2283" s="303"/>
      <c r="L2283" s="303"/>
      <c r="M2283" s="303"/>
      <c r="AB2283" s="298"/>
      <c r="AC2283" s="297"/>
      <c r="AF2283" s="296"/>
      <c r="AG2283" s="297"/>
      <c r="AJ2283" s="298"/>
      <c r="AK2283" s="297"/>
      <c r="AN2283" s="298"/>
      <c r="AR2283" s="298"/>
    </row>
    <row r="2284" spans="2:44" s="290" customFormat="1" x14ac:dyDescent="0.2">
      <c r="B2284" s="302"/>
      <c r="D2284" s="302"/>
      <c r="E2284" s="302"/>
      <c r="K2284" s="303"/>
      <c r="L2284" s="303"/>
      <c r="M2284" s="303"/>
      <c r="AB2284" s="298"/>
      <c r="AC2284" s="297"/>
      <c r="AF2284" s="296"/>
      <c r="AG2284" s="297"/>
      <c r="AJ2284" s="298"/>
      <c r="AK2284" s="297"/>
      <c r="AN2284" s="298"/>
      <c r="AR2284" s="298"/>
    </row>
    <row r="2285" spans="2:44" s="290" customFormat="1" x14ac:dyDescent="0.2">
      <c r="B2285" s="302"/>
      <c r="D2285" s="302"/>
      <c r="E2285" s="302"/>
      <c r="K2285" s="303"/>
      <c r="L2285" s="303"/>
      <c r="M2285" s="303"/>
      <c r="AB2285" s="298"/>
      <c r="AC2285" s="297"/>
      <c r="AF2285" s="296"/>
      <c r="AG2285" s="297"/>
      <c r="AJ2285" s="298"/>
      <c r="AK2285" s="297"/>
      <c r="AN2285" s="298"/>
      <c r="AR2285" s="298"/>
    </row>
    <row r="2286" spans="2:44" s="290" customFormat="1" x14ac:dyDescent="0.2">
      <c r="B2286" s="302"/>
      <c r="D2286" s="302"/>
      <c r="E2286" s="302"/>
      <c r="K2286" s="303"/>
      <c r="L2286" s="303"/>
      <c r="M2286" s="303"/>
      <c r="AB2286" s="298"/>
      <c r="AC2286" s="297"/>
      <c r="AF2286" s="296"/>
      <c r="AG2286" s="297"/>
      <c r="AJ2286" s="298"/>
      <c r="AK2286" s="297"/>
      <c r="AN2286" s="298"/>
      <c r="AR2286" s="298"/>
    </row>
    <row r="2287" spans="2:44" s="290" customFormat="1" x14ac:dyDescent="0.2">
      <c r="B2287" s="302"/>
      <c r="D2287" s="302"/>
      <c r="E2287" s="302"/>
      <c r="K2287" s="303"/>
      <c r="L2287" s="303"/>
      <c r="M2287" s="303"/>
      <c r="AB2287" s="298"/>
      <c r="AC2287" s="297"/>
      <c r="AF2287" s="296"/>
      <c r="AG2287" s="297"/>
      <c r="AJ2287" s="298"/>
      <c r="AK2287" s="297"/>
      <c r="AN2287" s="298"/>
      <c r="AR2287" s="298"/>
    </row>
    <row r="2288" spans="2:44" s="290" customFormat="1" x14ac:dyDescent="0.2">
      <c r="B2288" s="302"/>
      <c r="D2288" s="302"/>
      <c r="E2288" s="302"/>
      <c r="K2288" s="303"/>
      <c r="L2288" s="303"/>
      <c r="M2288" s="303"/>
      <c r="AB2288" s="298"/>
      <c r="AC2288" s="297"/>
      <c r="AF2288" s="296"/>
      <c r="AG2288" s="297"/>
      <c r="AJ2288" s="298"/>
      <c r="AK2288" s="297"/>
      <c r="AN2288" s="298"/>
      <c r="AR2288" s="298"/>
    </row>
    <row r="2289" spans="2:44" s="290" customFormat="1" x14ac:dyDescent="0.2">
      <c r="B2289" s="302"/>
      <c r="D2289" s="302"/>
      <c r="E2289" s="302"/>
      <c r="K2289" s="303"/>
      <c r="L2289" s="303"/>
      <c r="M2289" s="303"/>
      <c r="AB2289" s="298"/>
      <c r="AC2289" s="297"/>
      <c r="AF2289" s="296"/>
      <c r="AG2289" s="297"/>
      <c r="AJ2289" s="298"/>
      <c r="AK2289" s="297"/>
      <c r="AN2289" s="298"/>
      <c r="AR2289" s="298"/>
    </row>
    <row r="2290" spans="2:44" s="290" customFormat="1" x14ac:dyDescent="0.2">
      <c r="B2290" s="302"/>
      <c r="D2290" s="302"/>
      <c r="E2290" s="302"/>
      <c r="K2290" s="303"/>
      <c r="L2290" s="303"/>
      <c r="M2290" s="303"/>
      <c r="AB2290" s="298"/>
      <c r="AC2290" s="297"/>
      <c r="AF2290" s="296"/>
      <c r="AG2290" s="297"/>
      <c r="AJ2290" s="298"/>
      <c r="AK2290" s="297"/>
      <c r="AN2290" s="298"/>
      <c r="AR2290" s="298"/>
    </row>
    <row r="2291" spans="2:44" s="290" customFormat="1" x14ac:dyDescent="0.2">
      <c r="B2291" s="302"/>
      <c r="D2291" s="302"/>
      <c r="E2291" s="302"/>
      <c r="K2291" s="303"/>
      <c r="L2291" s="303"/>
      <c r="M2291" s="303"/>
      <c r="AB2291" s="298"/>
      <c r="AC2291" s="297"/>
      <c r="AF2291" s="296"/>
      <c r="AG2291" s="297"/>
      <c r="AJ2291" s="298"/>
      <c r="AK2291" s="297"/>
      <c r="AN2291" s="298"/>
      <c r="AR2291" s="298"/>
    </row>
    <row r="2292" spans="2:44" s="290" customFormat="1" x14ac:dyDescent="0.2">
      <c r="B2292" s="302"/>
      <c r="D2292" s="302"/>
      <c r="E2292" s="302"/>
      <c r="K2292" s="303"/>
      <c r="L2292" s="303"/>
      <c r="M2292" s="303"/>
      <c r="AB2292" s="298"/>
      <c r="AC2292" s="297"/>
      <c r="AF2292" s="296"/>
      <c r="AG2292" s="297"/>
      <c r="AJ2292" s="298"/>
      <c r="AK2292" s="297"/>
      <c r="AN2292" s="298"/>
      <c r="AR2292" s="298"/>
    </row>
    <row r="2293" spans="2:44" s="290" customFormat="1" x14ac:dyDescent="0.2">
      <c r="B2293" s="302"/>
      <c r="D2293" s="302"/>
      <c r="E2293" s="302"/>
      <c r="K2293" s="303"/>
      <c r="L2293" s="303"/>
      <c r="M2293" s="303"/>
      <c r="AB2293" s="298"/>
      <c r="AC2293" s="297"/>
      <c r="AF2293" s="296"/>
      <c r="AG2293" s="297"/>
      <c r="AJ2293" s="298"/>
      <c r="AK2293" s="297"/>
      <c r="AN2293" s="298"/>
      <c r="AR2293" s="298"/>
    </row>
    <row r="2294" spans="2:44" s="290" customFormat="1" x14ac:dyDescent="0.2">
      <c r="B2294" s="302"/>
      <c r="D2294" s="302"/>
      <c r="E2294" s="302"/>
      <c r="K2294" s="303"/>
      <c r="L2294" s="303"/>
      <c r="M2294" s="303"/>
      <c r="AB2294" s="298"/>
      <c r="AC2294" s="297"/>
      <c r="AF2294" s="296"/>
      <c r="AG2294" s="297"/>
      <c r="AJ2294" s="298"/>
      <c r="AK2294" s="297"/>
      <c r="AN2294" s="298"/>
      <c r="AR2294" s="298"/>
    </row>
    <row r="2295" spans="2:44" s="290" customFormat="1" x14ac:dyDescent="0.2">
      <c r="B2295" s="302"/>
      <c r="D2295" s="302"/>
      <c r="E2295" s="302"/>
      <c r="K2295" s="303"/>
      <c r="L2295" s="303"/>
      <c r="M2295" s="303"/>
      <c r="AB2295" s="298"/>
      <c r="AC2295" s="297"/>
      <c r="AF2295" s="296"/>
      <c r="AG2295" s="297"/>
      <c r="AJ2295" s="298"/>
      <c r="AK2295" s="297"/>
      <c r="AN2295" s="298"/>
      <c r="AR2295" s="298"/>
    </row>
    <row r="2296" spans="2:44" s="290" customFormat="1" x14ac:dyDescent="0.2">
      <c r="B2296" s="302"/>
      <c r="D2296" s="302"/>
      <c r="E2296" s="302"/>
      <c r="K2296" s="303"/>
      <c r="L2296" s="303"/>
      <c r="M2296" s="303"/>
      <c r="AB2296" s="298"/>
      <c r="AC2296" s="297"/>
      <c r="AF2296" s="296"/>
      <c r="AG2296" s="297"/>
      <c r="AJ2296" s="298"/>
      <c r="AK2296" s="297"/>
      <c r="AN2296" s="298"/>
      <c r="AR2296" s="298"/>
    </row>
    <row r="2297" spans="2:44" s="290" customFormat="1" x14ac:dyDescent="0.2">
      <c r="B2297" s="302"/>
      <c r="D2297" s="302"/>
      <c r="E2297" s="302"/>
      <c r="K2297" s="303"/>
      <c r="L2297" s="303"/>
      <c r="M2297" s="303"/>
      <c r="AB2297" s="298"/>
      <c r="AC2297" s="297"/>
      <c r="AF2297" s="296"/>
      <c r="AG2297" s="297"/>
      <c r="AJ2297" s="298"/>
      <c r="AK2297" s="297"/>
      <c r="AN2297" s="298"/>
      <c r="AR2297" s="298"/>
    </row>
    <row r="2298" spans="2:44" s="290" customFormat="1" x14ac:dyDescent="0.2">
      <c r="B2298" s="302"/>
      <c r="D2298" s="302"/>
      <c r="E2298" s="302"/>
      <c r="K2298" s="303"/>
      <c r="L2298" s="303"/>
      <c r="M2298" s="303"/>
      <c r="AB2298" s="298"/>
      <c r="AC2298" s="297"/>
      <c r="AF2298" s="296"/>
      <c r="AG2298" s="297"/>
      <c r="AJ2298" s="298"/>
      <c r="AK2298" s="297"/>
      <c r="AN2298" s="298"/>
      <c r="AR2298" s="298"/>
    </row>
    <row r="2299" spans="2:44" s="290" customFormat="1" x14ac:dyDescent="0.2">
      <c r="B2299" s="302"/>
      <c r="D2299" s="302"/>
      <c r="E2299" s="302"/>
      <c r="K2299" s="303"/>
      <c r="L2299" s="303"/>
      <c r="M2299" s="303"/>
      <c r="AB2299" s="298"/>
      <c r="AC2299" s="297"/>
      <c r="AF2299" s="296"/>
      <c r="AG2299" s="297"/>
      <c r="AJ2299" s="298"/>
      <c r="AK2299" s="297"/>
      <c r="AN2299" s="298"/>
      <c r="AR2299" s="298"/>
    </row>
    <row r="2300" spans="2:44" s="290" customFormat="1" x14ac:dyDescent="0.2">
      <c r="B2300" s="302"/>
      <c r="D2300" s="302"/>
      <c r="E2300" s="302"/>
      <c r="K2300" s="303"/>
      <c r="L2300" s="303"/>
      <c r="M2300" s="303"/>
      <c r="AB2300" s="298"/>
      <c r="AC2300" s="297"/>
      <c r="AF2300" s="296"/>
      <c r="AG2300" s="297"/>
      <c r="AJ2300" s="298"/>
      <c r="AK2300" s="297"/>
      <c r="AN2300" s="298"/>
      <c r="AR2300" s="298"/>
    </row>
    <row r="2301" spans="2:44" s="290" customFormat="1" x14ac:dyDescent="0.2">
      <c r="B2301" s="302"/>
      <c r="D2301" s="302"/>
      <c r="E2301" s="302"/>
      <c r="K2301" s="303"/>
      <c r="L2301" s="303"/>
      <c r="M2301" s="303"/>
      <c r="AB2301" s="298"/>
      <c r="AC2301" s="297"/>
      <c r="AF2301" s="296"/>
      <c r="AG2301" s="297"/>
      <c r="AJ2301" s="298"/>
      <c r="AK2301" s="297"/>
      <c r="AN2301" s="298"/>
      <c r="AR2301" s="298"/>
    </row>
    <row r="2302" spans="2:44" s="290" customFormat="1" x14ac:dyDescent="0.2">
      <c r="B2302" s="302"/>
      <c r="D2302" s="302"/>
      <c r="E2302" s="302"/>
      <c r="K2302" s="303"/>
      <c r="L2302" s="303"/>
      <c r="M2302" s="303"/>
      <c r="AB2302" s="298"/>
      <c r="AC2302" s="297"/>
      <c r="AF2302" s="296"/>
      <c r="AG2302" s="297"/>
      <c r="AJ2302" s="298"/>
      <c r="AK2302" s="297"/>
      <c r="AN2302" s="298"/>
      <c r="AR2302" s="298"/>
    </row>
    <row r="2303" spans="2:44" s="290" customFormat="1" x14ac:dyDescent="0.2">
      <c r="B2303" s="302"/>
      <c r="D2303" s="302"/>
      <c r="E2303" s="302"/>
      <c r="K2303" s="303"/>
      <c r="L2303" s="303"/>
      <c r="M2303" s="303"/>
      <c r="AB2303" s="298"/>
      <c r="AC2303" s="297"/>
      <c r="AF2303" s="296"/>
      <c r="AG2303" s="297"/>
      <c r="AJ2303" s="298"/>
      <c r="AK2303" s="297"/>
      <c r="AN2303" s="298"/>
      <c r="AR2303" s="298"/>
    </row>
    <row r="2304" spans="2:44" s="290" customFormat="1" x14ac:dyDescent="0.2">
      <c r="B2304" s="302"/>
      <c r="D2304" s="302"/>
      <c r="E2304" s="302"/>
      <c r="K2304" s="303"/>
      <c r="L2304" s="303"/>
      <c r="M2304" s="303"/>
      <c r="AB2304" s="298"/>
      <c r="AC2304" s="297"/>
      <c r="AF2304" s="296"/>
      <c r="AG2304" s="297"/>
      <c r="AJ2304" s="298"/>
      <c r="AK2304" s="297"/>
      <c r="AN2304" s="298"/>
      <c r="AR2304" s="298"/>
    </row>
    <row r="2305" spans="2:44" s="290" customFormat="1" x14ac:dyDescent="0.2">
      <c r="B2305" s="302"/>
      <c r="D2305" s="302"/>
      <c r="E2305" s="302"/>
      <c r="K2305" s="303"/>
      <c r="L2305" s="303"/>
      <c r="M2305" s="303"/>
      <c r="AB2305" s="298"/>
      <c r="AC2305" s="297"/>
      <c r="AF2305" s="296"/>
      <c r="AG2305" s="297"/>
      <c r="AJ2305" s="298"/>
      <c r="AK2305" s="297"/>
      <c r="AN2305" s="298"/>
      <c r="AR2305" s="298"/>
    </row>
    <row r="2306" spans="2:44" s="290" customFormat="1" x14ac:dyDescent="0.2">
      <c r="B2306" s="302"/>
      <c r="D2306" s="302"/>
      <c r="E2306" s="302"/>
      <c r="K2306" s="303"/>
      <c r="L2306" s="303"/>
      <c r="M2306" s="303"/>
      <c r="AB2306" s="298"/>
      <c r="AC2306" s="297"/>
      <c r="AF2306" s="296"/>
      <c r="AG2306" s="297"/>
      <c r="AJ2306" s="298"/>
      <c r="AK2306" s="297"/>
      <c r="AN2306" s="298"/>
      <c r="AR2306" s="298"/>
    </row>
    <row r="2307" spans="2:44" s="290" customFormat="1" x14ac:dyDescent="0.2">
      <c r="B2307" s="302"/>
      <c r="D2307" s="302"/>
      <c r="E2307" s="302"/>
      <c r="K2307" s="303"/>
      <c r="L2307" s="303"/>
      <c r="M2307" s="303"/>
      <c r="AB2307" s="298"/>
      <c r="AC2307" s="297"/>
      <c r="AF2307" s="296"/>
      <c r="AG2307" s="297"/>
      <c r="AJ2307" s="298"/>
      <c r="AK2307" s="297"/>
      <c r="AN2307" s="298"/>
      <c r="AR2307" s="298"/>
    </row>
    <row r="2308" spans="2:44" s="290" customFormat="1" x14ac:dyDescent="0.2">
      <c r="B2308" s="302"/>
      <c r="D2308" s="302"/>
      <c r="E2308" s="302"/>
      <c r="K2308" s="303"/>
      <c r="L2308" s="303"/>
      <c r="M2308" s="303"/>
      <c r="AB2308" s="298"/>
      <c r="AC2308" s="297"/>
      <c r="AF2308" s="296"/>
      <c r="AG2308" s="297"/>
      <c r="AJ2308" s="298"/>
      <c r="AK2308" s="297"/>
      <c r="AN2308" s="298"/>
      <c r="AR2308" s="298"/>
    </row>
    <row r="2309" spans="2:44" s="290" customFormat="1" x14ac:dyDescent="0.2">
      <c r="B2309" s="302"/>
      <c r="D2309" s="302"/>
      <c r="E2309" s="302"/>
      <c r="K2309" s="303"/>
      <c r="L2309" s="303"/>
      <c r="M2309" s="303"/>
      <c r="AB2309" s="298"/>
      <c r="AC2309" s="297"/>
      <c r="AF2309" s="296"/>
      <c r="AG2309" s="297"/>
      <c r="AJ2309" s="298"/>
      <c r="AK2309" s="297"/>
      <c r="AN2309" s="298"/>
      <c r="AR2309" s="298"/>
    </row>
    <row r="2310" spans="2:44" s="290" customFormat="1" x14ac:dyDescent="0.2">
      <c r="B2310" s="302"/>
      <c r="D2310" s="302"/>
      <c r="E2310" s="302"/>
      <c r="K2310" s="303"/>
      <c r="L2310" s="303"/>
      <c r="M2310" s="303"/>
      <c r="AB2310" s="298"/>
      <c r="AC2310" s="297"/>
      <c r="AF2310" s="296"/>
      <c r="AG2310" s="297"/>
      <c r="AJ2310" s="298"/>
      <c r="AK2310" s="297"/>
      <c r="AN2310" s="298"/>
      <c r="AR2310" s="298"/>
    </row>
    <row r="2311" spans="2:44" s="290" customFormat="1" x14ac:dyDescent="0.2">
      <c r="B2311" s="302"/>
      <c r="D2311" s="302"/>
      <c r="E2311" s="302"/>
      <c r="K2311" s="303"/>
      <c r="L2311" s="303"/>
      <c r="M2311" s="303"/>
      <c r="AB2311" s="298"/>
      <c r="AC2311" s="297"/>
      <c r="AF2311" s="296"/>
      <c r="AG2311" s="297"/>
      <c r="AJ2311" s="298"/>
      <c r="AK2311" s="297"/>
      <c r="AN2311" s="298"/>
      <c r="AR2311" s="298"/>
    </row>
    <row r="2312" spans="2:44" s="290" customFormat="1" x14ac:dyDescent="0.2">
      <c r="B2312" s="302"/>
      <c r="D2312" s="302"/>
      <c r="E2312" s="302"/>
      <c r="K2312" s="303"/>
      <c r="L2312" s="303"/>
      <c r="M2312" s="303"/>
      <c r="AB2312" s="298"/>
      <c r="AC2312" s="297"/>
      <c r="AF2312" s="296"/>
      <c r="AG2312" s="297"/>
      <c r="AJ2312" s="298"/>
      <c r="AK2312" s="297"/>
      <c r="AN2312" s="298"/>
      <c r="AR2312" s="298"/>
    </row>
    <row r="2313" spans="2:44" s="290" customFormat="1" x14ac:dyDescent="0.2">
      <c r="B2313" s="302"/>
      <c r="D2313" s="302"/>
      <c r="E2313" s="302"/>
      <c r="K2313" s="303"/>
      <c r="L2313" s="303"/>
      <c r="M2313" s="303"/>
      <c r="AB2313" s="298"/>
      <c r="AC2313" s="297"/>
      <c r="AF2313" s="296"/>
      <c r="AG2313" s="297"/>
      <c r="AJ2313" s="298"/>
      <c r="AK2313" s="297"/>
      <c r="AN2313" s="298"/>
      <c r="AR2313" s="298"/>
    </row>
    <row r="2314" spans="2:44" s="290" customFormat="1" x14ac:dyDescent="0.2">
      <c r="B2314" s="302"/>
      <c r="D2314" s="302"/>
      <c r="E2314" s="302"/>
      <c r="K2314" s="303"/>
      <c r="L2314" s="303"/>
      <c r="M2314" s="303"/>
      <c r="AB2314" s="298"/>
      <c r="AC2314" s="297"/>
      <c r="AF2314" s="296"/>
      <c r="AG2314" s="297"/>
      <c r="AJ2314" s="298"/>
      <c r="AK2314" s="297"/>
      <c r="AN2314" s="298"/>
      <c r="AR2314" s="298"/>
    </row>
    <row r="2315" spans="2:44" s="290" customFormat="1" x14ac:dyDescent="0.2">
      <c r="B2315" s="302"/>
      <c r="D2315" s="302"/>
      <c r="E2315" s="302"/>
      <c r="K2315" s="303"/>
      <c r="L2315" s="303"/>
      <c r="M2315" s="303"/>
      <c r="AB2315" s="298"/>
      <c r="AC2315" s="297"/>
      <c r="AF2315" s="296"/>
      <c r="AG2315" s="297"/>
      <c r="AJ2315" s="298"/>
      <c r="AK2315" s="297"/>
      <c r="AN2315" s="298"/>
      <c r="AR2315" s="298"/>
    </row>
    <row r="2316" spans="2:44" s="290" customFormat="1" x14ac:dyDescent="0.2">
      <c r="B2316" s="302"/>
      <c r="D2316" s="302"/>
      <c r="E2316" s="302"/>
      <c r="K2316" s="303"/>
      <c r="L2316" s="303"/>
      <c r="M2316" s="303"/>
      <c r="AB2316" s="298"/>
      <c r="AC2316" s="297"/>
      <c r="AF2316" s="296"/>
      <c r="AG2316" s="297"/>
      <c r="AJ2316" s="298"/>
      <c r="AK2316" s="297"/>
      <c r="AN2316" s="298"/>
      <c r="AR2316" s="298"/>
    </row>
    <row r="2317" spans="2:44" s="290" customFormat="1" x14ac:dyDescent="0.2">
      <c r="B2317" s="302"/>
      <c r="D2317" s="302"/>
      <c r="E2317" s="302"/>
      <c r="K2317" s="303"/>
      <c r="L2317" s="303"/>
      <c r="M2317" s="303"/>
      <c r="AB2317" s="298"/>
      <c r="AC2317" s="297"/>
      <c r="AF2317" s="296"/>
      <c r="AG2317" s="297"/>
      <c r="AJ2317" s="298"/>
      <c r="AK2317" s="297"/>
      <c r="AN2317" s="298"/>
      <c r="AR2317" s="298"/>
    </row>
    <row r="2318" spans="2:44" s="290" customFormat="1" x14ac:dyDescent="0.2">
      <c r="B2318" s="302"/>
      <c r="D2318" s="302"/>
      <c r="E2318" s="302"/>
      <c r="K2318" s="303"/>
      <c r="L2318" s="303"/>
      <c r="M2318" s="303"/>
      <c r="AB2318" s="298"/>
      <c r="AC2318" s="297"/>
      <c r="AF2318" s="296"/>
      <c r="AG2318" s="297"/>
      <c r="AJ2318" s="298"/>
      <c r="AK2318" s="297"/>
      <c r="AN2318" s="298"/>
      <c r="AR2318" s="298"/>
    </row>
    <row r="2319" spans="2:44" s="290" customFormat="1" x14ac:dyDescent="0.2">
      <c r="B2319" s="302"/>
      <c r="D2319" s="302"/>
      <c r="E2319" s="302"/>
      <c r="K2319" s="303"/>
      <c r="L2319" s="303"/>
      <c r="M2319" s="303"/>
      <c r="AB2319" s="298"/>
      <c r="AC2319" s="297"/>
      <c r="AF2319" s="296"/>
      <c r="AG2319" s="297"/>
      <c r="AJ2319" s="298"/>
      <c r="AK2319" s="297"/>
      <c r="AN2319" s="298"/>
      <c r="AR2319" s="298"/>
    </row>
    <row r="2320" spans="2:44" s="290" customFormat="1" x14ac:dyDescent="0.2">
      <c r="B2320" s="302"/>
      <c r="D2320" s="302"/>
      <c r="E2320" s="302"/>
      <c r="K2320" s="303"/>
      <c r="L2320" s="303"/>
      <c r="M2320" s="303"/>
      <c r="AB2320" s="298"/>
      <c r="AC2320" s="297"/>
      <c r="AF2320" s="296"/>
      <c r="AG2320" s="297"/>
      <c r="AJ2320" s="298"/>
      <c r="AK2320" s="297"/>
      <c r="AN2320" s="298"/>
      <c r="AR2320" s="298"/>
    </row>
    <row r="2321" spans="2:44" s="290" customFormat="1" x14ac:dyDescent="0.2">
      <c r="B2321" s="302"/>
      <c r="D2321" s="302"/>
      <c r="E2321" s="302"/>
      <c r="K2321" s="303"/>
      <c r="L2321" s="303"/>
      <c r="M2321" s="303"/>
      <c r="AB2321" s="298"/>
      <c r="AC2321" s="297"/>
      <c r="AF2321" s="296"/>
      <c r="AG2321" s="297"/>
      <c r="AJ2321" s="298"/>
      <c r="AK2321" s="297"/>
      <c r="AN2321" s="298"/>
      <c r="AR2321" s="298"/>
    </row>
    <row r="2322" spans="2:44" s="290" customFormat="1" x14ac:dyDescent="0.2">
      <c r="B2322" s="302"/>
      <c r="D2322" s="302"/>
      <c r="E2322" s="302"/>
      <c r="K2322" s="303"/>
      <c r="L2322" s="303"/>
      <c r="M2322" s="303"/>
      <c r="AB2322" s="298"/>
      <c r="AC2322" s="297"/>
      <c r="AF2322" s="296"/>
      <c r="AG2322" s="297"/>
      <c r="AJ2322" s="298"/>
      <c r="AK2322" s="297"/>
      <c r="AN2322" s="298"/>
      <c r="AR2322" s="298"/>
    </row>
    <row r="2323" spans="2:44" s="290" customFormat="1" x14ac:dyDescent="0.2">
      <c r="B2323" s="302"/>
      <c r="D2323" s="302"/>
      <c r="E2323" s="302"/>
      <c r="K2323" s="303"/>
      <c r="L2323" s="303"/>
      <c r="M2323" s="303"/>
      <c r="AB2323" s="298"/>
      <c r="AC2323" s="297"/>
      <c r="AF2323" s="296"/>
      <c r="AG2323" s="297"/>
      <c r="AJ2323" s="298"/>
      <c r="AK2323" s="297"/>
      <c r="AN2323" s="298"/>
      <c r="AR2323" s="298"/>
    </row>
    <row r="2324" spans="2:44" s="290" customFormat="1" x14ac:dyDescent="0.2">
      <c r="B2324" s="302"/>
      <c r="D2324" s="302"/>
      <c r="E2324" s="302"/>
      <c r="K2324" s="303"/>
      <c r="L2324" s="303"/>
      <c r="M2324" s="303"/>
      <c r="AB2324" s="298"/>
      <c r="AC2324" s="297"/>
      <c r="AF2324" s="296"/>
      <c r="AG2324" s="297"/>
      <c r="AJ2324" s="298"/>
      <c r="AK2324" s="297"/>
      <c r="AN2324" s="298"/>
      <c r="AR2324" s="298"/>
    </row>
    <row r="2325" spans="2:44" s="290" customFormat="1" x14ac:dyDescent="0.2">
      <c r="B2325" s="302"/>
      <c r="D2325" s="302"/>
      <c r="E2325" s="302"/>
      <c r="K2325" s="303"/>
      <c r="L2325" s="303"/>
      <c r="M2325" s="303"/>
      <c r="AB2325" s="298"/>
      <c r="AC2325" s="297"/>
      <c r="AF2325" s="296"/>
      <c r="AG2325" s="297"/>
      <c r="AJ2325" s="298"/>
      <c r="AK2325" s="297"/>
      <c r="AN2325" s="298"/>
      <c r="AR2325" s="298"/>
    </row>
    <row r="2326" spans="2:44" s="290" customFormat="1" x14ac:dyDescent="0.2">
      <c r="B2326" s="302"/>
      <c r="D2326" s="302"/>
      <c r="E2326" s="302"/>
      <c r="K2326" s="303"/>
      <c r="L2326" s="303"/>
      <c r="M2326" s="303"/>
      <c r="AB2326" s="298"/>
      <c r="AC2326" s="297"/>
      <c r="AF2326" s="296"/>
      <c r="AG2326" s="297"/>
      <c r="AJ2326" s="298"/>
      <c r="AK2326" s="297"/>
      <c r="AN2326" s="298"/>
      <c r="AR2326" s="298"/>
    </row>
    <row r="2327" spans="2:44" s="290" customFormat="1" x14ac:dyDescent="0.2">
      <c r="B2327" s="302"/>
      <c r="D2327" s="302"/>
      <c r="E2327" s="302"/>
      <c r="K2327" s="303"/>
      <c r="L2327" s="303"/>
      <c r="M2327" s="303"/>
      <c r="AB2327" s="298"/>
      <c r="AC2327" s="297"/>
      <c r="AF2327" s="296"/>
      <c r="AG2327" s="297"/>
      <c r="AJ2327" s="298"/>
      <c r="AK2327" s="297"/>
      <c r="AN2327" s="298"/>
      <c r="AR2327" s="298"/>
    </row>
    <row r="2328" spans="2:44" s="290" customFormat="1" x14ac:dyDescent="0.2">
      <c r="B2328" s="302"/>
      <c r="D2328" s="302"/>
      <c r="E2328" s="302"/>
      <c r="K2328" s="303"/>
      <c r="L2328" s="303"/>
      <c r="M2328" s="303"/>
      <c r="AB2328" s="298"/>
      <c r="AC2328" s="297"/>
      <c r="AF2328" s="296"/>
      <c r="AG2328" s="297"/>
      <c r="AJ2328" s="298"/>
      <c r="AK2328" s="297"/>
      <c r="AN2328" s="298"/>
      <c r="AR2328" s="298"/>
    </row>
    <row r="2329" spans="2:44" s="290" customFormat="1" x14ac:dyDescent="0.2">
      <c r="B2329" s="302"/>
      <c r="D2329" s="302"/>
      <c r="E2329" s="302"/>
      <c r="K2329" s="303"/>
      <c r="L2329" s="303"/>
      <c r="M2329" s="303"/>
      <c r="AB2329" s="298"/>
      <c r="AC2329" s="297"/>
      <c r="AF2329" s="296"/>
      <c r="AG2329" s="297"/>
      <c r="AJ2329" s="298"/>
      <c r="AK2329" s="297"/>
      <c r="AN2329" s="298"/>
      <c r="AR2329" s="298"/>
    </row>
    <row r="2330" spans="2:44" s="290" customFormat="1" x14ac:dyDescent="0.2">
      <c r="B2330" s="302"/>
      <c r="D2330" s="302"/>
      <c r="E2330" s="302"/>
      <c r="K2330" s="303"/>
      <c r="L2330" s="303"/>
      <c r="M2330" s="303"/>
      <c r="AB2330" s="298"/>
      <c r="AC2330" s="297"/>
      <c r="AF2330" s="296"/>
      <c r="AG2330" s="297"/>
      <c r="AJ2330" s="298"/>
      <c r="AK2330" s="297"/>
      <c r="AN2330" s="298"/>
      <c r="AR2330" s="298"/>
    </row>
    <row r="2331" spans="2:44" s="290" customFormat="1" x14ac:dyDescent="0.2">
      <c r="B2331" s="302"/>
      <c r="D2331" s="302"/>
      <c r="E2331" s="302"/>
      <c r="K2331" s="303"/>
      <c r="L2331" s="303"/>
      <c r="M2331" s="303"/>
      <c r="AB2331" s="298"/>
      <c r="AC2331" s="297"/>
      <c r="AF2331" s="296"/>
      <c r="AG2331" s="297"/>
      <c r="AJ2331" s="298"/>
      <c r="AK2331" s="297"/>
      <c r="AN2331" s="298"/>
      <c r="AR2331" s="298"/>
    </row>
    <row r="2332" spans="2:44" s="290" customFormat="1" x14ac:dyDescent="0.2">
      <c r="B2332" s="302"/>
      <c r="D2332" s="302"/>
      <c r="E2332" s="302"/>
      <c r="K2332" s="303"/>
      <c r="L2332" s="303"/>
      <c r="M2332" s="303"/>
      <c r="AB2332" s="298"/>
      <c r="AC2332" s="297"/>
      <c r="AF2332" s="296"/>
      <c r="AG2332" s="297"/>
      <c r="AJ2332" s="298"/>
      <c r="AK2332" s="297"/>
      <c r="AN2332" s="298"/>
      <c r="AR2332" s="298"/>
    </row>
    <row r="2333" spans="2:44" s="290" customFormat="1" x14ac:dyDescent="0.2">
      <c r="B2333" s="302"/>
      <c r="D2333" s="302"/>
      <c r="E2333" s="302"/>
      <c r="K2333" s="303"/>
      <c r="L2333" s="303"/>
      <c r="M2333" s="303"/>
      <c r="AB2333" s="298"/>
      <c r="AC2333" s="297"/>
      <c r="AF2333" s="296"/>
      <c r="AG2333" s="297"/>
      <c r="AJ2333" s="298"/>
      <c r="AK2333" s="297"/>
      <c r="AN2333" s="298"/>
      <c r="AR2333" s="298"/>
    </row>
    <row r="2334" spans="2:44" s="290" customFormat="1" x14ac:dyDescent="0.2">
      <c r="B2334" s="302"/>
      <c r="D2334" s="302"/>
      <c r="E2334" s="302"/>
      <c r="K2334" s="303"/>
      <c r="L2334" s="303"/>
      <c r="M2334" s="303"/>
      <c r="AB2334" s="298"/>
      <c r="AC2334" s="297"/>
      <c r="AF2334" s="296"/>
      <c r="AG2334" s="297"/>
      <c r="AJ2334" s="298"/>
      <c r="AK2334" s="297"/>
      <c r="AN2334" s="298"/>
      <c r="AR2334" s="298"/>
    </row>
    <row r="2335" spans="2:44" s="290" customFormat="1" x14ac:dyDescent="0.2">
      <c r="B2335" s="302"/>
      <c r="D2335" s="302"/>
      <c r="E2335" s="302"/>
      <c r="K2335" s="303"/>
      <c r="L2335" s="303"/>
      <c r="M2335" s="303"/>
      <c r="AB2335" s="298"/>
      <c r="AC2335" s="297"/>
      <c r="AF2335" s="296"/>
      <c r="AG2335" s="297"/>
      <c r="AJ2335" s="298"/>
      <c r="AK2335" s="297"/>
      <c r="AN2335" s="298"/>
      <c r="AR2335" s="298"/>
    </row>
    <row r="2336" spans="2:44" s="290" customFormat="1" x14ac:dyDescent="0.2">
      <c r="B2336" s="302"/>
      <c r="D2336" s="302"/>
      <c r="E2336" s="302"/>
      <c r="K2336" s="303"/>
      <c r="L2336" s="303"/>
      <c r="M2336" s="303"/>
      <c r="AB2336" s="298"/>
      <c r="AC2336" s="297"/>
      <c r="AF2336" s="296"/>
      <c r="AG2336" s="297"/>
      <c r="AJ2336" s="298"/>
      <c r="AK2336" s="297"/>
      <c r="AN2336" s="298"/>
      <c r="AR2336" s="298"/>
    </row>
    <row r="2337" spans="2:44" s="290" customFormat="1" x14ac:dyDescent="0.2">
      <c r="B2337" s="302"/>
      <c r="D2337" s="302"/>
      <c r="E2337" s="302"/>
      <c r="K2337" s="303"/>
      <c r="L2337" s="303"/>
      <c r="M2337" s="303"/>
      <c r="AB2337" s="298"/>
      <c r="AC2337" s="297"/>
      <c r="AF2337" s="296"/>
      <c r="AG2337" s="297"/>
      <c r="AJ2337" s="298"/>
      <c r="AK2337" s="297"/>
      <c r="AN2337" s="298"/>
      <c r="AR2337" s="298"/>
    </row>
    <row r="2338" spans="2:44" s="290" customFormat="1" x14ac:dyDescent="0.2">
      <c r="B2338" s="302"/>
      <c r="D2338" s="302"/>
      <c r="E2338" s="302"/>
      <c r="K2338" s="303"/>
      <c r="L2338" s="303"/>
      <c r="M2338" s="303"/>
      <c r="AB2338" s="298"/>
      <c r="AC2338" s="297"/>
      <c r="AF2338" s="296"/>
      <c r="AG2338" s="297"/>
      <c r="AJ2338" s="298"/>
      <c r="AK2338" s="297"/>
      <c r="AN2338" s="298"/>
      <c r="AR2338" s="298"/>
    </row>
    <row r="2339" spans="2:44" s="290" customFormat="1" x14ac:dyDescent="0.2">
      <c r="B2339" s="302"/>
      <c r="D2339" s="302"/>
      <c r="E2339" s="302"/>
      <c r="K2339" s="303"/>
      <c r="L2339" s="303"/>
      <c r="M2339" s="303"/>
      <c r="AB2339" s="298"/>
      <c r="AC2339" s="297"/>
      <c r="AF2339" s="296"/>
      <c r="AG2339" s="297"/>
      <c r="AJ2339" s="298"/>
      <c r="AK2339" s="297"/>
      <c r="AN2339" s="298"/>
      <c r="AR2339" s="298"/>
    </row>
    <row r="2340" spans="2:44" s="290" customFormat="1" x14ac:dyDescent="0.2">
      <c r="B2340" s="302"/>
      <c r="D2340" s="302"/>
      <c r="E2340" s="302"/>
      <c r="K2340" s="303"/>
      <c r="L2340" s="303"/>
      <c r="M2340" s="303"/>
      <c r="AB2340" s="298"/>
      <c r="AC2340" s="297"/>
      <c r="AF2340" s="296"/>
      <c r="AG2340" s="297"/>
      <c r="AJ2340" s="298"/>
      <c r="AK2340" s="297"/>
      <c r="AN2340" s="298"/>
      <c r="AR2340" s="298"/>
    </row>
    <row r="2341" spans="2:44" s="290" customFormat="1" x14ac:dyDescent="0.2">
      <c r="B2341" s="302"/>
      <c r="D2341" s="302"/>
      <c r="E2341" s="302"/>
      <c r="K2341" s="303"/>
      <c r="L2341" s="303"/>
      <c r="M2341" s="303"/>
      <c r="AB2341" s="298"/>
      <c r="AC2341" s="297"/>
      <c r="AF2341" s="296"/>
      <c r="AG2341" s="297"/>
      <c r="AJ2341" s="298"/>
      <c r="AK2341" s="297"/>
      <c r="AN2341" s="298"/>
      <c r="AR2341" s="298"/>
    </row>
    <row r="2342" spans="2:44" s="290" customFormat="1" x14ac:dyDescent="0.2">
      <c r="B2342" s="302"/>
      <c r="D2342" s="302"/>
      <c r="E2342" s="302"/>
      <c r="K2342" s="303"/>
      <c r="L2342" s="303"/>
      <c r="M2342" s="303"/>
      <c r="AB2342" s="298"/>
      <c r="AC2342" s="297"/>
      <c r="AF2342" s="296"/>
      <c r="AG2342" s="297"/>
      <c r="AJ2342" s="298"/>
      <c r="AK2342" s="297"/>
      <c r="AN2342" s="298"/>
      <c r="AR2342" s="298"/>
    </row>
    <row r="2343" spans="2:44" s="290" customFormat="1" x14ac:dyDescent="0.2">
      <c r="B2343" s="302"/>
      <c r="D2343" s="302"/>
      <c r="E2343" s="302"/>
      <c r="K2343" s="303"/>
      <c r="L2343" s="303"/>
      <c r="M2343" s="303"/>
      <c r="AB2343" s="298"/>
      <c r="AC2343" s="297"/>
      <c r="AF2343" s="296"/>
      <c r="AG2343" s="297"/>
      <c r="AJ2343" s="298"/>
      <c r="AK2343" s="297"/>
      <c r="AN2343" s="298"/>
      <c r="AR2343" s="298"/>
    </row>
    <row r="2344" spans="2:44" s="290" customFormat="1" x14ac:dyDescent="0.2">
      <c r="B2344" s="302"/>
      <c r="D2344" s="302"/>
      <c r="E2344" s="302"/>
      <c r="K2344" s="303"/>
      <c r="L2344" s="303"/>
      <c r="M2344" s="303"/>
      <c r="AB2344" s="298"/>
      <c r="AC2344" s="297"/>
      <c r="AF2344" s="296"/>
      <c r="AG2344" s="297"/>
      <c r="AJ2344" s="298"/>
      <c r="AK2344" s="297"/>
      <c r="AN2344" s="298"/>
      <c r="AR2344" s="298"/>
    </row>
    <row r="2345" spans="2:44" s="290" customFormat="1" x14ac:dyDescent="0.2">
      <c r="B2345" s="302"/>
      <c r="D2345" s="302"/>
      <c r="E2345" s="302"/>
      <c r="K2345" s="303"/>
      <c r="L2345" s="303"/>
      <c r="M2345" s="303"/>
      <c r="AB2345" s="298"/>
      <c r="AC2345" s="297"/>
      <c r="AF2345" s="296"/>
      <c r="AG2345" s="297"/>
      <c r="AJ2345" s="298"/>
      <c r="AK2345" s="297"/>
      <c r="AN2345" s="298"/>
      <c r="AR2345" s="298"/>
    </row>
    <row r="2346" spans="2:44" s="290" customFormat="1" x14ac:dyDescent="0.2">
      <c r="B2346" s="302"/>
      <c r="D2346" s="302"/>
      <c r="E2346" s="302"/>
      <c r="K2346" s="303"/>
      <c r="L2346" s="303"/>
      <c r="M2346" s="303"/>
      <c r="AB2346" s="298"/>
      <c r="AC2346" s="297"/>
      <c r="AF2346" s="296"/>
      <c r="AG2346" s="297"/>
      <c r="AJ2346" s="298"/>
      <c r="AK2346" s="297"/>
      <c r="AN2346" s="298"/>
      <c r="AR2346" s="298"/>
    </row>
    <row r="2347" spans="2:44" s="290" customFormat="1" x14ac:dyDescent="0.2">
      <c r="B2347" s="302"/>
      <c r="D2347" s="302"/>
      <c r="E2347" s="302"/>
      <c r="K2347" s="303"/>
      <c r="L2347" s="303"/>
      <c r="M2347" s="303"/>
      <c r="AB2347" s="298"/>
      <c r="AC2347" s="297"/>
      <c r="AF2347" s="296"/>
      <c r="AG2347" s="297"/>
      <c r="AJ2347" s="298"/>
      <c r="AK2347" s="297"/>
      <c r="AN2347" s="298"/>
      <c r="AR2347" s="298"/>
    </row>
    <row r="2348" spans="2:44" s="290" customFormat="1" x14ac:dyDescent="0.2">
      <c r="B2348" s="302"/>
      <c r="D2348" s="302"/>
      <c r="E2348" s="302"/>
      <c r="K2348" s="303"/>
      <c r="L2348" s="303"/>
      <c r="M2348" s="303"/>
      <c r="AB2348" s="298"/>
      <c r="AC2348" s="297"/>
      <c r="AF2348" s="296"/>
      <c r="AG2348" s="297"/>
      <c r="AJ2348" s="298"/>
      <c r="AK2348" s="297"/>
      <c r="AN2348" s="298"/>
      <c r="AR2348" s="298"/>
    </row>
    <row r="2349" spans="2:44" s="290" customFormat="1" x14ac:dyDescent="0.2">
      <c r="B2349" s="302"/>
      <c r="D2349" s="302"/>
      <c r="E2349" s="302"/>
      <c r="K2349" s="303"/>
      <c r="L2349" s="303"/>
      <c r="M2349" s="303"/>
      <c r="AB2349" s="298"/>
      <c r="AC2349" s="297"/>
      <c r="AF2349" s="296"/>
      <c r="AG2349" s="297"/>
      <c r="AJ2349" s="298"/>
      <c r="AK2349" s="297"/>
      <c r="AN2349" s="298"/>
      <c r="AR2349" s="298"/>
    </row>
    <row r="2350" spans="2:44" s="290" customFormat="1" x14ac:dyDescent="0.2">
      <c r="B2350" s="302"/>
      <c r="D2350" s="302"/>
      <c r="E2350" s="302"/>
      <c r="K2350" s="303"/>
      <c r="L2350" s="303"/>
      <c r="M2350" s="303"/>
      <c r="AB2350" s="298"/>
      <c r="AC2350" s="297"/>
      <c r="AF2350" s="296"/>
      <c r="AG2350" s="297"/>
      <c r="AJ2350" s="298"/>
      <c r="AK2350" s="297"/>
      <c r="AN2350" s="298"/>
      <c r="AR2350" s="298"/>
    </row>
    <row r="2351" spans="2:44" s="290" customFormat="1" x14ac:dyDescent="0.2">
      <c r="B2351" s="302"/>
      <c r="D2351" s="302"/>
      <c r="E2351" s="302"/>
      <c r="K2351" s="303"/>
      <c r="L2351" s="303"/>
      <c r="M2351" s="303"/>
      <c r="AB2351" s="298"/>
      <c r="AC2351" s="297"/>
      <c r="AF2351" s="296"/>
      <c r="AG2351" s="297"/>
      <c r="AJ2351" s="298"/>
      <c r="AK2351" s="297"/>
      <c r="AN2351" s="298"/>
      <c r="AR2351" s="298"/>
    </row>
    <row r="2352" spans="2:44" s="290" customFormat="1" x14ac:dyDescent="0.2">
      <c r="B2352" s="302"/>
      <c r="D2352" s="302"/>
      <c r="E2352" s="302"/>
      <c r="K2352" s="303"/>
      <c r="L2352" s="303"/>
      <c r="M2352" s="303"/>
      <c r="AB2352" s="298"/>
      <c r="AC2352" s="297"/>
      <c r="AF2352" s="296"/>
      <c r="AG2352" s="297"/>
      <c r="AJ2352" s="298"/>
      <c r="AK2352" s="297"/>
      <c r="AN2352" s="298"/>
      <c r="AR2352" s="298"/>
    </row>
    <row r="2353" spans="2:44" s="290" customFormat="1" x14ac:dyDescent="0.2">
      <c r="B2353" s="302"/>
      <c r="D2353" s="302"/>
      <c r="E2353" s="302"/>
      <c r="K2353" s="303"/>
      <c r="L2353" s="303"/>
      <c r="M2353" s="303"/>
      <c r="AB2353" s="298"/>
      <c r="AC2353" s="297"/>
      <c r="AF2353" s="296"/>
      <c r="AG2353" s="297"/>
      <c r="AJ2353" s="298"/>
      <c r="AK2353" s="297"/>
      <c r="AN2353" s="298"/>
      <c r="AR2353" s="298"/>
    </row>
    <row r="2354" spans="2:44" s="290" customFormat="1" x14ac:dyDescent="0.2">
      <c r="B2354" s="302"/>
      <c r="D2354" s="302"/>
      <c r="E2354" s="302"/>
      <c r="K2354" s="303"/>
      <c r="L2354" s="303"/>
      <c r="M2354" s="303"/>
      <c r="AB2354" s="298"/>
      <c r="AC2354" s="297"/>
      <c r="AF2354" s="296"/>
      <c r="AG2354" s="297"/>
      <c r="AJ2354" s="298"/>
      <c r="AK2354" s="297"/>
      <c r="AN2354" s="298"/>
      <c r="AR2354" s="298"/>
    </row>
    <row r="2355" spans="2:44" s="290" customFormat="1" x14ac:dyDescent="0.2">
      <c r="B2355" s="302"/>
      <c r="D2355" s="302"/>
      <c r="E2355" s="302"/>
      <c r="K2355" s="303"/>
      <c r="L2355" s="303"/>
      <c r="M2355" s="303"/>
      <c r="AB2355" s="298"/>
      <c r="AC2355" s="297"/>
      <c r="AF2355" s="296"/>
      <c r="AG2355" s="297"/>
      <c r="AJ2355" s="298"/>
      <c r="AK2355" s="297"/>
      <c r="AN2355" s="298"/>
      <c r="AR2355" s="298"/>
    </row>
    <row r="2356" spans="2:44" s="290" customFormat="1" x14ac:dyDescent="0.2">
      <c r="B2356" s="302"/>
      <c r="D2356" s="302"/>
      <c r="E2356" s="302"/>
      <c r="K2356" s="303"/>
      <c r="L2356" s="303"/>
      <c r="M2356" s="303"/>
      <c r="AB2356" s="298"/>
      <c r="AC2356" s="297"/>
      <c r="AF2356" s="296"/>
      <c r="AG2356" s="297"/>
      <c r="AJ2356" s="298"/>
      <c r="AK2356" s="297"/>
      <c r="AN2356" s="298"/>
      <c r="AR2356" s="298"/>
    </row>
    <row r="2357" spans="2:44" s="290" customFormat="1" x14ac:dyDescent="0.2">
      <c r="B2357" s="302"/>
      <c r="D2357" s="302"/>
      <c r="E2357" s="302"/>
      <c r="K2357" s="303"/>
      <c r="L2357" s="303"/>
      <c r="M2357" s="303"/>
      <c r="AB2357" s="298"/>
      <c r="AC2357" s="297"/>
      <c r="AF2357" s="296"/>
      <c r="AG2357" s="297"/>
      <c r="AJ2357" s="298"/>
      <c r="AK2357" s="297"/>
      <c r="AN2357" s="298"/>
      <c r="AR2357" s="298"/>
    </row>
    <row r="2358" spans="2:44" s="290" customFormat="1" x14ac:dyDescent="0.2">
      <c r="B2358" s="302"/>
      <c r="D2358" s="302"/>
      <c r="E2358" s="302"/>
      <c r="K2358" s="303"/>
      <c r="L2358" s="303"/>
      <c r="M2358" s="303"/>
      <c r="AB2358" s="298"/>
      <c r="AC2358" s="297"/>
      <c r="AF2358" s="296"/>
      <c r="AG2358" s="297"/>
      <c r="AJ2358" s="298"/>
      <c r="AK2358" s="297"/>
      <c r="AN2358" s="298"/>
      <c r="AR2358" s="298"/>
    </row>
    <row r="2359" spans="2:44" s="290" customFormat="1" x14ac:dyDescent="0.2">
      <c r="B2359" s="302"/>
      <c r="D2359" s="302"/>
      <c r="E2359" s="302"/>
      <c r="K2359" s="303"/>
      <c r="L2359" s="303"/>
      <c r="M2359" s="303"/>
      <c r="AB2359" s="298"/>
      <c r="AC2359" s="297"/>
      <c r="AF2359" s="296"/>
      <c r="AG2359" s="297"/>
      <c r="AJ2359" s="298"/>
      <c r="AK2359" s="297"/>
      <c r="AN2359" s="298"/>
      <c r="AR2359" s="298"/>
    </row>
    <row r="2360" spans="2:44" s="290" customFormat="1" x14ac:dyDescent="0.2">
      <c r="B2360" s="302"/>
      <c r="D2360" s="302"/>
      <c r="E2360" s="302"/>
      <c r="K2360" s="303"/>
      <c r="L2360" s="303"/>
      <c r="M2360" s="303"/>
      <c r="AB2360" s="298"/>
      <c r="AC2360" s="297"/>
      <c r="AF2360" s="296"/>
      <c r="AG2360" s="297"/>
      <c r="AJ2360" s="298"/>
      <c r="AK2360" s="297"/>
      <c r="AN2360" s="298"/>
      <c r="AR2360" s="298"/>
    </row>
    <row r="2361" spans="2:44" s="290" customFormat="1" x14ac:dyDescent="0.2">
      <c r="B2361" s="302"/>
      <c r="D2361" s="302"/>
      <c r="E2361" s="302"/>
      <c r="K2361" s="303"/>
      <c r="L2361" s="303"/>
      <c r="M2361" s="303"/>
      <c r="AB2361" s="298"/>
      <c r="AC2361" s="297"/>
      <c r="AF2361" s="296"/>
      <c r="AG2361" s="297"/>
      <c r="AJ2361" s="298"/>
      <c r="AK2361" s="297"/>
      <c r="AN2361" s="298"/>
      <c r="AR2361" s="298"/>
    </row>
    <row r="2362" spans="2:44" s="290" customFormat="1" x14ac:dyDescent="0.2">
      <c r="B2362" s="302"/>
      <c r="D2362" s="302"/>
      <c r="E2362" s="302"/>
      <c r="K2362" s="303"/>
      <c r="L2362" s="303"/>
      <c r="M2362" s="303"/>
      <c r="AB2362" s="298"/>
      <c r="AC2362" s="297"/>
      <c r="AF2362" s="296"/>
      <c r="AG2362" s="297"/>
      <c r="AJ2362" s="298"/>
      <c r="AK2362" s="297"/>
      <c r="AN2362" s="298"/>
      <c r="AR2362" s="298"/>
    </row>
    <row r="2363" spans="2:44" s="290" customFormat="1" x14ac:dyDescent="0.2">
      <c r="B2363" s="302"/>
      <c r="D2363" s="302"/>
      <c r="E2363" s="302"/>
      <c r="K2363" s="303"/>
      <c r="L2363" s="303"/>
      <c r="M2363" s="303"/>
      <c r="AB2363" s="298"/>
      <c r="AC2363" s="297"/>
      <c r="AF2363" s="296"/>
      <c r="AG2363" s="297"/>
      <c r="AJ2363" s="298"/>
      <c r="AK2363" s="297"/>
      <c r="AN2363" s="298"/>
      <c r="AR2363" s="298"/>
    </row>
    <row r="2364" spans="2:44" s="290" customFormat="1" x14ac:dyDescent="0.2">
      <c r="B2364" s="302"/>
      <c r="D2364" s="302"/>
      <c r="E2364" s="302"/>
      <c r="K2364" s="303"/>
      <c r="L2364" s="303"/>
      <c r="M2364" s="303"/>
      <c r="AB2364" s="298"/>
      <c r="AC2364" s="297"/>
      <c r="AF2364" s="296"/>
      <c r="AG2364" s="297"/>
      <c r="AJ2364" s="298"/>
      <c r="AK2364" s="297"/>
      <c r="AN2364" s="298"/>
      <c r="AR2364" s="298"/>
    </row>
    <row r="2365" spans="2:44" s="290" customFormat="1" x14ac:dyDescent="0.2">
      <c r="B2365" s="302"/>
      <c r="D2365" s="302"/>
      <c r="E2365" s="302"/>
      <c r="K2365" s="303"/>
      <c r="L2365" s="303"/>
      <c r="M2365" s="303"/>
      <c r="AB2365" s="298"/>
      <c r="AC2365" s="297"/>
      <c r="AF2365" s="296"/>
      <c r="AG2365" s="297"/>
      <c r="AJ2365" s="298"/>
      <c r="AK2365" s="297"/>
      <c r="AN2365" s="298"/>
      <c r="AR2365" s="298"/>
    </row>
    <row r="2366" spans="2:44" s="290" customFormat="1" x14ac:dyDescent="0.2">
      <c r="B2366" s="302"/>
      <c r="D2366" s="302"/>
      <c r="E2366" s="302"/>
      <c r="K2366" s="303"/>
      <c r="L2366" s="303"/>
      <c r="M2366" s="303"/>
      <c r="AB2366" s="298"/>
      <c r="AC2366" s="297"/>
      <c r="AF2366" s="296"/>
      <c r="AG2366" s="297"/>
      <c r="AJ2366" s="298"/>
      <c r="AK2366" s="297"/>
      <c r="AN2366" s="298"/>
      <c r="AR2366" s="298"/>
    </row>
    <row r="2367" spans="2:44" s="290" customFormat="1" x14ac:dyDescent="0.2">
      <c r="B2367" s="302"/>
      <c r="D2367" s="302"/>
      <c r="E2367" s="302"/>
      <c r="K2367" s="303"/>
      <c r="L2367" s="303"/>
      <c r="M2367" s="303"/>
      <c r="AB2367" s="298"/>
      <c r="AC2367" s="297"/>
      <c r="AF2367" s="296"/>
      <c r="AG2367" s="297"/>
      <c r="AJ2367" s="298"/>
      <c r="AK2367" s="297"/>
      <c r="AN2367" s="298"/>
      <c r="AR2367" s="298"/>
    </row>
    <row r="2368" spans="2:44" s="290" customFormat="1" x14ac:dyDescent="0.2">
      <c r="B2368" s="302"/>
      <c r="D2368" s="302"/>
      <c r="E2368" s="302"/>
      <c r="K2368" s="303"/>
      <c r="L2368" s="303"/>
      <c r="M2368" s="303"/>
      <c r="AB2368" s="298"/>
      <c r="AC2368" s="297"/>
      <c r="AF2368" s="296"/>
      <c r="AG2368" s="297"/>
      <c r="AJ2368" s="298"/>
      <c r="AK2368" s="297"/>
      <c r="AN2368" s="298"/>
      <c r="AR2368" s="298"/>
    </row>
    <row r="2369" spans="2:44" s="290" customFormat="1" x14ac:dyDescent="0.2">
      <c r="B2369" s="302"/>
      <c r="D2369" s="302"/>
      <c r="E2369" s="302"/>
      <c r="K2369" s="303"/>
      <c r="L2369" s="303"/>
      <c r="M2369" s="303"/>
      <c r="AB2369" s="298"/>
      <c r="AC2369" s="297"/>
      <c r="AF2369" s="296"/>
      <c r="AG2369" s="297"/>
      <c r="AJ2369" s="298"/>
      <c r="AK2369" s="297"/>
      <c r="AN2369" s="298"/>
      <c r="AR2369" s="298"/>
    </row>
    <row r="2370" spans="2:44" s="290" customFormat="1" x14ac:dyDescent="0.2">
      <c r="B2370" s="302"/>
      <c r="D2370" s="302"/>
      <c r="E2370" s="302"/>
      <c r="K2370" s="303"/>
      <c r="L2370" s="303"/>
      <c r="M2370" s="303"/>
      <c r="AB2370" s="298"/>
      <c r="AC2370" s="297"/>
      <c r="AF2370" s="296"/>
      <c r="AG2370" s="297"/>
      <c r="AJ2370" s="298"/>
      <c r="AK2370" s="297"/>
      <c r="AN2370" s="298"/>
      <c r="AR2370" s="298"/>
    </row>
    <row r="2371" spans="2:44" s="290" customFormat="1" x14ac:dyDescent="0.2">
      <c r="B2371" s="302"/>
      <c r="D2371" s="302"/>
      <c r="E2371" s="302"/>
      <c r="K2371" s="303"/>
      <c r="L2371" s="303"/>
      <c r="M2371" s="303"/>
      <c r="AB2371" s="298"/>
      <c r="AC2371" s="297"/>
      <c r="AF2371" s="296"/>
      <c r="AG2371" s="297"/>
      <c r="AJ2371" s="298"/>
      <c r="AK2371" s="297"/>
      <c r="AN2371" s="298"/>
      <c r="AR2371" s="298"/>
    </row>
    <row r="2372" spans="2:44" s="290" customFormat="1" x14ac:dyDescent="0.2">
      <c r="B2372" s="302"/>
      <c r="D2372" s="302"/>
      <c r="E2372" s="302"/>
      <c r="K2372" s="303"/>
      <c r="L2372" s="303"/>
      <c r="M2372" s="303"/>
      <c r="AB2372" s="298"/>
      <c r="AC2372" s="297"/>
      <c r="AF2372" s="296"/>
      <c r="AG2372" s="297"/>
      <c r="AJ2372" s="298"/>
      <c r="AK2372" s="297"/>
      <c r="AN2372" s="298"/>
      <c r="AR2372" s="298"/>
    </row>
    <row r="2373" spans="2:44" s="290" customFormat="1" x14ac:dyDescent="0.2">
      <c r="B2373" s="302"/>
      <c r="D2373" s="302"/>
      <c r="E2373" s="302"/>
      <c r="K2373" s="303"/>
      <c r="L2373" s="303"/>
      <c r="M2373" s="303"/>
      <c r="AB2373" s="298"/>
      <c r="AC2373" s="297"/>
      <c r="AF2373" s="296"/>
      <c r="AG2373" s="297"/>
      <c r="AJ2373" s="298"/>
      <c r="AK2373" s="297"/>
      <c r="AN2373" s="298"/>
      <c r="AR2373" s="298"/>
    </row>
    <row r="2374" spans="2:44" s="290" customFormat="1" x14ac:dyDescent="0.2">
      <c r="B2374" s="302"/>
      <c r="D2374" s="302"/>
      <c r="E2374" s="302"/>
      <c r="K2374" s="303"/>
      <c r="L2374" s="303"/>
      <c r="M2374" s="303"/>
      <c r="AB2374" s="298"/>
      <c r="AC2374" s="297"/>
      <c r="AF2374" s="296"/>
      <c r="AG2374" s="297"/>
      <c r="AJ2374" s="298"/>
      <c r="AK2374" s="297"/>
      <c r="AN2374" s="298"/>
      <c r="AR2374" s="298"/>
    </row>
    <row r="2375" spans="2:44" s="290" customFormat="1" x14ac:dyDescent="0.2">
      <c r="B2375" s="302"/>
      <c r="D2375" s="302"/>
      <c r="E2375" s="302"/>
      <c r="K2375" s="303"/>
      <c r="L2375" s="303"/>
      <c r="M2375" s="303"/>
      <c r="AB2375" s="298"/>
      <c r="AC2375" s="297"/>
      <c r="AF2375" s="296"/>
      <c r="AG2375" s="297"/>
      <c r="AJ2375" s="298"/>
      <c r="AK2375" s="297"/>
      <c r="AN2375" s="298"/>
      <c r="AR2375" s="298"/>
    </row>
    <row r="2376" spans="2:44" s="290" customFormat="1" x14ac:dyDescent="0.2">
      <c r="B2376" s="302"/>
      <c r="D2376" s="302"/>
      <c r="E2376" s="302"/>
      <c r="K2376" s="303"/>
      <c r="L2376" s="303"/>
      <c r="M2376" s="303"/>
      <c r="AB2376" s="298"/>
      <c r="AC2376" s="297"/>
      <c r="AF2376" s="296"/>
      <c r="AG2376" s="297"/>
      <c r="AJ2376" s="298"/>
      <c r="AK2376" s="297"/>
      <c r="AN2376" s="298"/>
      <c r="AR2376" s="298"/>
    </row>
    <row r="2377" spans="2:44" s="290" customFormat="1" x14ac:dyDescent="0.2">
      <c r="B2377" s="302"/>
      <c r="D2377" s="302"/>
      <c r="E2377" s="302"/>
      <c r="K2377" s="303"/>
      <c r="L2377" s="303"/>
      <c r="M2377" s="303"/>
      <c r="AB2377" s="298"/>
      <c r="AC2377" s="297"/>
      <c r="AF2377" s="296"/>
      <c r="AG2377" s="297"/>
      <c r="AJ2377" s="298"/>
      <c r="AK2377" s="297"/>
      <c r="AN2377" s="298"/>
      <c r="AR2377" s="298"/>
    </row>
    <row r="2378" spans="2:44" s="290" customFormat="1" x14ac:dyDescent="0.2">
      <c r="B2378" s="302"/>
      <c r="D2378" s="302"/>
      <c r="E2378" s="302"/>
      <c r="K2378" s="303"/>
      <c r="L2378" s="303"/>
      <c r="M2378" s="303"/>
      <c r="AB2378" s="298"/>
      <c r="AC2378" s="297"/>
      <c r="AF2378" s="296"/>
      <c r="AG2378" s="297"/>
      <c r="AJ2378" s="298"/>
      <c r="AK2378" s="297"/>
      <c r="AN2378" s="298"/>
      <c r="AR2378" s="298"/>
    </row>
    <row r="2379" spans="2:44" s="290" customFormat="1" x14ac:dyDescent="0.2">
      <c r="B2379" s="302"/>
      <c r="D2379" s="302"/>
      <c r="E2379" s="302"/>
      <c r="K2379" s="303"/>
      <c r="L2379" s="303"/>
      <c r="M2379" s="303"/>
      <c r="AB2379" s="298"/>
      <c r="AC2379" s="297"/>
      <c r="AF2379" s="296"/>
      <c r="AG2379" s="297"/>
      <c r="AJ2379" s="298"/>
      <c r="AK2379" s="297"/>
      <c r="AN2379" s="298"/>
      <c r="AR2379" s="298"/>
    </row>
    <row r="2380" spans="2:44" s="290" customFormat="1" x14ac:dyDescent="0.2">
      <c r="B2380" s="302"/>
      <c r="D2380" s="302"/>
      <c r="E2380" s="302"/>
      <c r="K2380" s="303"/>
      <c r="L2380" s="303"/>
      <c r="M2380" s="303"/>
      <c r="AB2380" s="298"/>
      <c r="AC2380" s="297"/>
      <c r="AF2380" s="296"/>
      <c r="AG2380" s="297"/>
      <c r="AJ2380" s="298"/>
      <c r="AK2380" s="297"/>
      <c r="AN2380" s="298"/>
      <c r="AR2380" s="298"/>
    </row>
    <row r="2381" spans="2:44" s="290" customFormat="1" x14ac:dyDescent="0.2">
      <c r="B2381" s="302"/>
      <c r="D2381" s="302"/>
      <c r="E2381" s="302"/>
      <c r="K2381" s="303"/>
      <c r="L2381" s="303"/>
      <c r="M2381" s="303"/>
      <c r="AB2381" s="298"/>
      <c r="AC2381" s="297"/>
      <c r="AF2381" s="296"/>
      <c r="AG2381" s="297"/>
      <c r="AJ2381" s="298"/>
      <c r="AK2381" s="297"/>
      <c r="AN2381" s="298"/>
      <c r="AR2381" s="298"/>
    </row>
    <row r="2382" spans="2:44" s="290" customFormat="1" x14ac:dyDescent="0.2">
      <c r="B2382" s="302"/>
      <c r="D2382" s="302"/>
      <c r="E2382" s="302"/>
      <c r="K2382" s="303"/>
      <c r="L2382" s="303"/>
      <c r="M2382" s="303"/>
      <c r="AB2382" s="298"/>
      <c r="AC2382" s="297"/>
      <c r="AF2382" s="296"/>
      <c r="AG2382" s="297"/>
      <c r="AJ2382" s="298"/>
      <c r="AK2382" s="297"/>
      <c r="AN2382" s="298"/>
      <c r="AR2382" s="298"/>
    </row>
    <row r="2383" spans="2:44" s="290" customFormat="1" x14ac:dyDescent="0.2">
      <c r="B2383" s="302"/>
      <c r="D2383" s="302"/>
      <c r="E2383" s="302"/>
      <c r="K2383" s="303"/>
      <c r="L2383" s="303"/>
      <c r="M2383" s="303"/>
      <c r="AB2383" s="298"/>
      <c r="AC2383" s="297"/>
      <c r="AF2383" s="296"/>
      <c r="AG2383" s="297"/>
      <c r="AJ2383" s="298"/>
      <c r="AK2383" s="297"/>
      <c r="AN2383" s="298"/>
      <c r="AR2383" s="298"/>
    </row>
    <row r="2384" spans="2:44" s="290" customFormat="1" x14ac:dyDescent="0.2">
      <c r="B2384" s="302"/>
      <c r="D2384" s="302"/>
      <c r="E2384" s="302"/>
      <c r="K2384" s="303"/>
      <c r="L2384" s="303"/>
      <c r="M2384" s="303"/>
      <c r="AB2384" s="298"/>
      <c r="AC2384" s="297"/>
      <c r="AF2384" s="296"/>
      <c r="AG2384" s="297"/>
      <c r="AJ2384" s="298"/>
      <c r="AK2384" s="297"/>
      <c r="AN2384" s="298"/>
      <c r="AR2384" s="298"/>
    </row>
    <row r="2385" spans="2:44" s="290" customFormat="1" x14ac:dyDescent="0.2">
      <c r="B2385" s="302"/>
      <c r="D2385" s="302"/>
      <c r="E2385" s="302"/>
      <c r="K2385" s="303"/>
      <c r="L2385" s="303"/>
      <c r="M2385" s="303"/>
      <c r="AB2385" s="298"/>
      <c r="AC2385" s="297"/>
      <c r="AF2385" s="296"/>
      <c r="AG2385" s="297"/>
      <c r="AJ2385" s="298"/>
      <c r="AK2385" s="297"/>
      <c r="AN2385" s="298"/>
      <c r="AR2385" s="298"/>
    </row>
    <row r="2386" spans="2:44" s="290" customFormat="1" x14ac:dyDescent="0.2">
      <c r="B2386" s="302"/>
      <c r="D2386" s="302"/>
      <c r="E2386" s="302"/>
      <c r="K2386" s="303"/>
      <c r="L2386" s="303"/>
      <c r="M2386" s="303"/>
      <c r="AB2386" s="298"/>
      <c r="AC2386" s="297"/>
      <c r="AF2386" s="296"/>
      <c r="AG2386" s="297"/>
      <c r="AJ2386" s="298"/>
      <c r="AK2386" s="297"/>
      <c r="AN2386" s="298"/>
      <c r="AR2386" s="298"/>
    </row>
    <row r="2387" spans="2:44" s="290" customFormat="1" x14ac:dyDescent="0.2">
      <c r="B2387" s="302"/>
      <c r="D2387" s="302"/>
      <c r="E2387" s="302"/>
      <c r="K2387" s="303"/>
      <c r="L2387" s="303"/>
      <c r="M2387" s="303"/>
      <c r="AB2387" s="298"/>
      <c r="AC2387" s="297"/>
      <c r="AF2387" s="296"/>
      <c r="AG2387" s="297"/>
      <c r="AJ2387" s="298"/>
      <c r="AK2387" s="297"/>
      <c r="AN2387" s="298"/>
      <c r="AR2387" s="298"/>
    </row>
    <row r="2388" spans="2:44" s="290" customFormat="1" x14ac:dyDescent="0.2">
      <c r="B2388" s="302"/>
      <c r="D2388" s="302"/>
      <c r="E2388" s="302"/>
      <c r="K2388" s="303"/>
      <c r="L2388" s="303"/>
      <c r="M2388" s="303"/>
      <c r="AB2388" s="298"/>
      <c r="AC2388" s="297"/>
      <c r="AF2388" s="296"/>
      <c r="AG2388" s="297"/>
      <c r="AJ2388" s="298"/>
      <c r="AK2388" s="297"/>
      <c r="AN2388" s="298"/>
      <c r="AR2388" s="298"/>
    </row>
    <row r="2389" spans="2:44" s="290" customFormat="1" x14ac:dyDescent="0.2">
      <c r="B2389" s="302"/>
      <c r="D2389" s="302"/>
      <c r="E2389" s="302"/>
      <c r="K2389" s="303"/>
      <c r="L2389" s="303"/>
      <c r="M2389" s="303"/>
      <c r="AB2389" s="298"/>
      <c r="AC2389" s="297"/>
      <c r="AF2389" s="296"/>
      <c r="AG2389" s="297"/>
      <c r="AJ2389" s="298"/>
      <c r="AK2389" s="297"/>
      <c r="AN2389" s="298"/>
      <c r="AR2389" s="298"/>
    </row>
    <row r="2390" spans="2:44" s="290" customFormat="1" x14ac:dyDescent="0.2">
      <c r="B2390" s="302"/>
      <c r="D2390" s="302"/>
      <c r="E2390" s="302"/>
      <c r="K2390" s="303"/>
      <c r="L2390" s="303"/>
      <c r="M2390" s="303"/>
      <c r="AB2390" s="298"/>
      <c r="AC2390" s="297"/>
      <c r="AF2390" s="296"/>
      <c r="AG2390" s="297"/>
      <c r="AJ2390" s="298"/>
      <c r="AK2390" s="297"/>
      <c r="AN2390" s="298"/>
      <c r="AR2390" s="298"/>
    </row>
    <row r="2391" spans="2:44" s="290" customFormat="1" x14ac:dyDescent="0.2">
      <c r="B2391" s="302"/>
      <c r="D2391" s="302"/>
      <c r="E2391" s="302"/>
      <c r="K2391" s="303"/>
      <c r="L2391" s="303"/>
      <c r="M2391" s="303"/>
      <c r="AB2391" s="298"/>
      <c r="AC2391" s="297"/>
      <c r="AF2391" s="296"/>
      <c r="AG2391" s="297"/>
      <c r="AJ2391" s="298"/>
      <c r="AK2391" s="297"/>
      <c r="AN2391" s="298"/>
      <c r="AR2391" s="298"/>
    </row>
    <row r="2392" spans="2:44" s="290" customFormat="1" x14ac:dyDescent="0.2">
      <c r="B2392" s="302"/>
      <c r="D2392" s="302"/>
      <c r="E2392" s="302"/>
      <c r="K2392" s="303"/>
      <c r="L2392" s="303"/>
      <c r="M2392" s="303"/>
      <c r="AB2392" s="298"/>
      <c r="AC2392" s="297"/>
      <c r="AF2392" s="296"/>
      <c r="AG2392" s="297"/>
      <c r="AJ2392" s="298"/>
      <c r="AK2392" s="297"/>
      <c r="AN2392" s="298"/>
      <c r="AR2392" s="298"/>
    </row>
    <row r="2393" spans="2:44" s="290" customFormat="1" x14ac:dyDescent="0.2">
      <c r="B2393" s="302"/>
      <c r="D2393" s="302"/>
      <c r="E2393" s="302"/>
      <c r="K2393" s="303"/>
      <c r="L2393" s="303"/>
      <c r="M2393" s="303"/>
      <c r="AB2393" s="298"/>
      <c r="AC2393" s="297"/>
      <c r="AF2393" s="296"/>
      <c r="AG2393" s="297"/>
      <c r="AJ2393" s="298"/>
      <c r="AK2393" s="297"/>
      <c r="AN2393" s="298"/>
      <c r="AR2393" s="298"/>
    </row>
    <row r="2394" spans="2:44" s="290" customFormat="1" x14ac:dyDescent="0.2">
      <c r="B2394" s="302"/>
      <c r="D2394" s="302"/>
      <c r="E2394" s="302"/>
      <c r="K2394" s="303"/>
      <c r="L2394" s="303"/>
      <c r="M2394" s="303"/>
      <c r="AB2394" s="298"/>
      <c r="AC2394" s="297"/>
      <c r="AF2394" s="296"/>
      <c r="AG2394" s="297"/>
      <c r="AJ2394" s="298"/>
      <c r="AK2394" s="297"/>
      <c r="AN2394" s="298"/>
      <c r="AR2394" s="298"/>
    </row>
    <row r="2395" spans="2:44" s="290" customFormat="1" x14ac:dyDescent="0.2">
      <c r="B2395" s="302"/>
      <c r="D2395" s="302"/>
      <c r="E2395" s="302"/>
      <c r="K2395" s="303"/>
      <c r="L2395" s="303"/>
      <c r="M2395" s="303"/>
      <c r="AB2395" s="298"/>
      <c r="AC2395" s="297"/>
      <c r="AF2395" s="296"/>
      <c r="AG2395" s="297"/>
      <c r="AJ2395" s="298"/>
      <c r="AK2395" s="297"/>
      <c r="AN2395" s="298"/>
      <c r="AR2395" s="298"/>
    </row>
    <row r="2396" spans="2:44" s="290" customFormat="1" x14ac:dyDescent="0.2">
      <c r="B2396" s="302"/>
      <c r="D2396" s="302"/>
      <c r="E2396" s="302"/>
      <c r="K2396" s="303"/>
      <c r="L2396" s="303"/>
      <c r="M2396" s="303"/>
      <c r="AB2396" s="298"/>
      <c r="AC2396" s="297"/>
      <c r="AF2396" s="296"/>
      <c r="AG2396" s="297"/>
      <c r="AJ2396" s="298"/>
      <c r="AK2396" s="297"/>
      <c r="AN2396" s="298"/>
      <c r="AR2396" s="298"/>
    </row>
    <row r="2397" spans="2:44" s="290" customFormat="1" x14ac:dyDescent="0.2">
      <c r="B2397" s="302"/>
      <c r="D2397" s="302"/>
      <c r="E2397" s="302"/>
      <c r="K2397" s="303"/>
      <c r="L2397" s="303"/>
      <c r="M2397" s="303"/>
      <c r="AB2397" s="298"/>
      <c r="AC2397" s="297"/>
      <c r="AF2397" s="296"/>
      <c r="AG2397" s="297"/>
      <c r="AJ2397" s="298"/>
      <c r="AK2397" s="297"/>
      <c r="AN2397" s="298"/>
      <c r="AR2397" s="298"/>
    </row>
    <row r="2398" spans="2:44" s="290" customFormat="1" x14ac:dyDescent="0.2">
      <c r="B2398" s="302"/>
      <c r="D2398" s="302"/>
      <c r="E2398" s="302"/>
      <c r="K2398" s="303"/>
      <c r="L2398" s="303"/>
      <c r="M2398" s="303"/>
      <c r="AB2398" s="298"/>
      <c r="AC2398" s="297"/>
      <c r="AF2398" s="296"/>
      <c r="AG2398" s="297"/>
      <c r="AJ2398" s="298"/>
      <c r="AK2398" s="297"/>
      <c r="AN2398" s="298"/>
      <c r="AR2398" s="298"/>
    </row>
    <row r="2399" spans="2:44" s="290" customFormat="1" x14ac:dyDescent="0.2">
      <c r="B2399" s="302"/>
      <c r="D2399" s="302"/>
      <c r="E2399" s="302"/>
      <c r="K2399" s="303"/>
      <c r="L2399" s="303"/>
      <c r="M2399" s="303"/>
      <c r="AB2399" s="298"/>
      <c r="AC2399" s="297"/>
      <c r="AF2399" s="296"/>
      <c r="AG2399" s="297"/>
      <c r="AJ2399" s="298"/>
      <c r="AK2399" s="297"/>
      <c r="AN2399" s="298"/>
      <c r="AR2399" s="298"/>
    </row>
    <row r="2400" spans="2:44" s="290" customFormat="1" x14ac:dyDescent="0.2">
      <c r="B2400" s="302"/>
      <c r="D2400" s="302"/>
      <c r="E2400" s="302"/>
      <c r="K2400" s="303"/>
      <c r="L2400" s="303"/>
      <c r="M2400" s="303"/>
      <c r="AB2400" s="298"/>
      <c r="AC2400" s="297"/>
      <c r="AF2400" s="296"/>
      <c r="AG2400" s="297"/>
      <c r="AJ2400" s="298"/>
      <c r="AK2400" s="297"/>
      <c r="AN2400" s="298"/>
      <c r="AR2400" s="298"/>
    </row>
    <row r="2401" spans="2:44" s="290" customFormat="1" x14ac:dyDescent="0.2">
      <c r="B2401" s="302"/>
      <c r="D2401" s="302"/>
      <c r="E2401" s="302"/>
      <c r="K2401" s="303"/>
      <c r="L2401" s="303"/>
      <c r="M2401" s="303"/>
      <c r="AB2401" s="298"/>
      <c r="AC2401" s="297"/>
      <c r="AF2401" s="296"/>
      <c r="AG2401" s="297"/>
      <c r="AJ2401" s="298"/>
      <c r="AK2401" s="297"/>
      <c r="AN2401" s="298"/>
      <c r="AR2401" s="298"/>
    </row>
    <row r="2402" spans="2:44" s="290" customFormat="1" x14ac:dyDescent="0.2">
      <c r="B2402" s="302"/>
      <c r="D2402" s="302"/>
      <c r="E2402" s="302"/>
      <c r="K2402" s="303"/>
      <c r="L2402" s="303"/>
      <c r="M2402" s="303"/>
      <c r="AB2402" s="298"/>
      <c r="AC2402" s="297"/>
      <c r="AF2402" s="296"/>
      <c r="AG2402" s="297"/>
      <c r="AJ2402" s="298"/>
      <c r="AK2402" s="297"/>
      <c r="AN2402" s="298"/>
      <c r="AR2402" s="298"/>
    </row>
    <row r="2403" spans="2:44" s="290" customFormat="1" x14ac:dyDescent="0.2">
      <c r="B2403" s="302"/>
      <c r="D2403" s="302"/>
      <c r="E2403" s="302"/>
      <c r="K2403" s="303"/>
      <c r="L2403" s="303"/>
      <c r="M2403" s="303"/>
      <c r="AB2403" s="298"/>
      <c r="AC2403" s="297"/>
      <c r="AF2403" s="296"/>
      <c r="AG2403" s="297"/>
      <c r="AJ2403" s="298"/>
      <c r="AK2403" s="297"/>
      <c r="AN2403" s="298"/>
      <c r="AR2403" s="298"/>
    </row>
    <row r="2404" spans="2:44" s="290" customFormat="1" x14ac:dyDescent="0.2">
      <c r="B2404" s="302"/>
      <c r="D2404" s="302"/>
      <c r="E2404" s="302"/>
      <c r="K2404" s="303"/>
      <c r="L2404" s="303"/>
      <c r="M2404" s="303"/>
      <c r="AB2404" s="298"/>
      <c r="AC2404" s="297"/>
      <c r="AF2404" s="296"/>
      <c r="AG2404" s="297"/>
      <c r="AJ2404" s="298"/>
      <c r="AK2404" s="297"/>
      <c r="AN2404" s="298"/>
      <c r="AR2404" s="298"/>
    </row>
    <row r="2405" spans="2:44" s="290" customFormat="1" x14ac:dyDescent="0.2">
      <c r="B2405" s="302"/>
      <c r="D2405" s="302"/>
      <c r="E2405" s="302"/>
      <c r="K2405" s="303"/>
      <c r="L2405" s="303"/>
      <c r="M2405" s="303"/>
      <c r="AB2405" s="298"/>
      <c r="AC2405" s="297"/>
      <c r="AF2405" s="296"/>
      <c r="AG2405" s="297"/>
      <c r="AJ2405" s="298"/>
      <c r="AK2405" s="297"/>
      <c r="AN2405" s="298"/>
      <c r="AR2405" s="298"/>
    </row>
    <row r="2406" spans="2:44" s="290" customFormat="1" x14ac:dyDescent="0.2">
      <c r="B2406" s="302"/>
      <c r="D2406" s="302"/>
      <c r="E2406" s="302"/>
      <c r="K2406" s="303"/>
      <c r="L2406" s="303"/>
      <c r="M2406" s="303"/>
      <c r="AB2406" s="298"/>
      <c r="AC2406" s="297"/>
      <c r="AF2406" s="296"/>
      <c r="AG2406" s="297"/>
      <c r="AJ2406" s="298"/>
      <c r="AK2406" s="297"/>
      <c r="AN2406" s="298"/>
      <c r="AR2406" s="298"/>
    </row>
    <row r="2407" spans="2:44" s="290" customFormat="1" x14ac:dyDescent="0.2">
      <c r="B2407" s="302"/>
      <c r="D2407" s="302"/>
      <c r="E2407" s="302"/>
      <c r="K2407" s="303"/>
      <c r="L2407" s="303"/>
      <c r="M2407" s="303"/>
      <c r="AB2407" s="298"/>
      <c r="AC2407" s="297"/>
      <c r="AF2407" s="296"/>
      <c r="AG2407" s="297"/>
      <c r="AJ2407" s="298"/>
      <c r="AK2407" s="297"/>
      <c r="AN2407" s="298"/>
      <c r="AR2407" s="298"/>
    </row>
    <row r="2408" spans="2:44" s="290" customFormat="1" x14ac:dyDescent="0.2">
      <c r="B2408" s="302"/>
      <c r="D2408" s="302"/>
      <c r="E2408" s="302"/>
      <c r="K2408" s="303"/>
      <c r="L2408" s="303"/>
      <c r="M2408" s="303"/>
      <c r="AB2408" s="298"/>
      <c r="AC2408" s="297"/>
      <c r="AF2408" s="296"/>
      <c r="AG2408" s="297"/>
      <c r="AJ2408" s="298"/>
      <c r="AK2408" s="297"/>
      <c r="AN2408" s="298"/>
      <c r="AR2408" s="298"/>
    </row>
    <row r="2409" spans="2:44" s="290" customFormat="1" x14ac:dyDescent="0.2">
      <c r="B2409" s="302"/>
      <c r="D2409" s="302"/>
      <c r="E2409" s="302"/>
      <c r="K2409" s="303"/>
      <c r="L2409" s="303"/>
      <c r="M2409" s="303"/>
      <c r="AB2409" s="298"/>
      <c r="AC2409" s="297"/>
      <c r="AF2409" s="296"/>
      <c r="AG2409" s="297"/>
      <c r="AJ2409" s="298"/>
      <c r="AK2409" s="297"/>
      <c r="AN2409" s="298"/>
      <c r="AR2409" s="298"/>
    </row>
    <row r="2410" spans="2:44" s="290" customFormat="1" x14ac:dyDescent="0.2">
      <c r="B2410" s="302"/>
      <c r="D2410" s="302"/>
      <c r="E2410" s="302"/>
      <c r="K2410" s="303"/>
      <c r="L2410" s="303"/>
      <c r="M2410" s="303"/>
      <c r="AB2410" s="298"/>
      <c r="AC2410" s="297"/>
      <c r="AF2410" s="296"/>
      <c r="AG2410" s="297"/>
      <c r="AJ2410" s="298"/>
      <c r="AK2410" s="297"/>
      <c r="AN2410" s="298"/>
      <c r="AR2410" s="298"/>
    </row>
    <row r="2411" spans="2:44" s="290" customFormat="1" x14ac:dyDescent="0.2">
      <c r="B2411" s="302"/>
      <c r="D2411" s="302"/>
      <c r="E2411" s="302"/>
      <c r="K2411" s="303"/>
      <c r="L2411" s="303"/>
      <c r="M2411" s="303"/>
      <c r="AB2411" s="298"/>
      <c r="AC2411" s="297"/>
      <c r="AF2411" s="296"/>
      <c r="AG2411" s="297"/>
      <c r="AJ2411" s="298"/>
      <c r="AK2411" s="297"/>
      <c r="AN2411" s="298"/>
      <c r="AR2411" s="298"/>
    </row>
    <row r="2412" spans="2:44" s="290" customFormat="1" x14ac:dyDescent="0.2">
      <c r="B2412" s="302"/>
      <c r="D2412" s="302"/>
      <c r="E2412" s="302"/>
      <c r="K2412" s="303"/>
      <c r="L2412" s="303"/>
      <c r="M2412" s="303"/>
      <c r="AB2412" s="298"/>
      <c r="AC2412" s="297"/>
      <c r="AF2412" s="296"/>
      <c r="AG2412" s="297"/>
      <c r="AJ2412" s="298"/>
      <c r="AK2412" s="297"/>
      <c r="AN2412" s="298"/>
      <c r="AR2412" s="298"/>
    </row>
    <row r="2413" spans="2:44" s="290" customFormat="1" x14ac:dyDescent="0.2">
      <c r="B2413" s="302"/>
      <c r="D2413" s="302"/>
      <c r="E2413" s="302"/>
      <c r="K2413" s="303"/>
      <c r="L2413" s="303"/>
      <c r="M2413" s="303"/>
      <c r="AB2413" s="298"/>
      <c r="AC2413" s="297"/>
      <c r="AF2413" s="296"/>
      <c r="AG2413" s="297"/>
      <c r="AJ2413" s="298"/>
      <c r="AK2413" s="297"/>
      <c r="AN2413" s="298"/>
      <c r="AR2413" s="298"/>
    </row>
    <row r="2414" spans="2:44" s="290" customFormat="1" x14ac:dyDescent="0.2">
      <c r="B2414" s="302"/>
      <c r="D2414" s="302"/>
      <c r="E2414" s="302"/>
      <c r="K2414" s="303"/>
      <c r="L2414" s="303"/>
      <c r="M2414" s="303"/>
      <c r="AB2414" s="298"/>
      <c r="AC2414" s="297"/>
      <c r="AF2414" s="296"/>
      <c r="AG2414" s="297"/>
      <c r="AJ2414" s="298"/>
      <c r="AK2414" s="297"/>
      <c r="AN2414" s="298"/>
      <c r="AR2414" s="298"/>
    </row>
    <row r="2415" spans="2:44" s="290" customFormat="1" x14ac:dyDescent="0.2">
      <c r="B2415" s="302"/>
      <c r="D2415" s="302"/>
      <c r="E2415" s="302"/>
      <c r="K2415" s="303"/>
      <c r="L2415" s="303"/>
      <c r="M2415" s="303"/>
      <c r="AB2415" s="298"/>
      <c r="AC2415" s="297"/>
      <c r="AF2415" s="296"/>
      <c r="AG2415" s="297"/>
      <c r="AJ2415" s="298"/>
      <c r="AK2415" s="297"/>
      <c r="AN2415" s="298"/>
      <c r="AR2415" s="298"/>
    </row>
    <row r="2416" spans="2:44" s="290" customFormat="1" x14ac:dyDescent="0.2">
      <c r="B2416" s="302"/>
      <c r="D2416" s="302"/>
      <c r="E2416" s="302"/>
      <c r="K2416" s="303"/>
      <c r="L2416" s="303"/>
      <c r="M2416" s="303"/>
      <c r="AB2416" s="298"/>
      <c r="AC2416" s="297"/>
      <c r="AF2416" s="296"/>
      <c r="AG2416" s="297"/>
      <c r="AJ2416" s="298"/>
      <c r="AK2416" s="297"/>
      <c r="AN2416" s="298"/>
      <c r="AR2416" s="298"/>
    </row>
    <row r="2417" spans="2:44" s="290" customFormat="1" x14ac:dyDescent="0.2">
      <c r="B2417" s="302"/>
      <c r="D2417" s="302"/>
      <c r="E2417" s="302"/>
      <c r="K2417" s="303"/>
      <c r="L2417" s="303"/>
      <c r="M2417" s="303"/>
      <c r="AB2417" s="298"/>
      <c r="AC2417" s="297"/>
      <c r="AF2417" s="296"/>
      <c r="AG2417" s="297"/>
      <c r="AJ2417" s="298"/>
      <c r="AK2417" s="297"/>
      <c r="AN2417" s="298"/>
      <c r="AR2417" s="298"/>
    </row>
    <row r="2418" spans="2:44" s="290" customFormat="1" x14ac:dyDescent="0.2">
      <c r="B2418" s="302"/>
      <c r="D2418" s="302"/>
      <c r="E2418" s="302"/>
      <c r="K2418" s="303"/>
      <c r="L2418" s="303"/>
      <c r="M2418" s="303"/>
      <c r="AB2418" s="298"/>
      <c r="AC2418" s="297"/>
      <c r="AF2418" s="296"/>
      <c r="AG2418" s="297"/>
      <c r="AJ2418" s="298"/>
      <c r="AK2418" s="297"/>
      <c r="AN2418" s="298"/>
      <c r="AR2418" s="298"/>
    </row>
    <row r="2419" spans="2:44" s="290" customFormat="1" x14ac:dyDescent="0.2">
      <c r="B2419" s="302"/>
      <c r="D2419" s="302"/>
      <c r="E2419" s="302"/>
      <c r="K2419" s="303"/>
      <c r="L2419" s="303"/>
      <c r="M2419" s="303"/>
      <c r="AB2419" s="298"/>
      <c r="AC2419" s="297"/>
      <c r="AF2419" s="296"/>
      <c r="AG2419" s="297"/>
      <c r="AJ2419" s="298"/>
      <c r="AK2419" s="297"/>
      <c r="AN2419" s="298"/>
      <c r="AR2419" s="298"/>
    </row>
    <row r="2420" spans="2:44" s="290" customFormat="1" x14ac:dyDescent="0.2">
      <c r="B2420" s="302"/>
      <c r="D2420" s="302"/>
      <c r="E2420" s="302"/>
      <c r="K2420" s="303"/>
      <c r="L2420" s="303"/>
      <c r="M2420" s="303"/>
      <c r="AB2420" s="298"/>
      <c r="AC2420" s="297"/>
      <c r="AF2420" s="296"/>
      <c r="AG2420" s="297"/>
      <c r="AJ2420" s="298"/>
      <c r="AK2420" s="297"/>
      <c r="AN2420" s="298"/>
      <c r="AR2420" s="298"/>
    </row>
    <row r="2421" spans="2:44" s="290" customFormat="1" x14ac:dyDescent="0.2">
      <c r="B2421" s="302"/>
      <c r="D2421" s="302"/>
      <c r="E2421" s="302"/>
      <c r="K2421" s="303"/>
      <c r="L2421" s="303"/>
      <c r="M2421" s="303"/>
      <c r="AB2421" s="298"/>
      <c r="AC2421" s="297"/>
      <c r="AF2421" s="296"/>
      <c r="AG2421" s="297"/>
      <c r="AJ2421" s="298"/>
      <c r="AK2421" s="297"/>
      <c r="AN2421" s="298"/>
      <c r="AR2421" s="298"/>
    </row>
    <row r="2422" spans="2:44" s="290" customFormat="1" x14ac:dyDescent="0.2">
      <c r="B2422" s="302"/>
      <c r="D2422" s="302"/>
      <c r="E2422" s="302"/>
      <c r="K2422" s="303"/>
      <c r="L2422" s="303"/>
      <c r="M2422" s="303"/>
      <c r="AB2422" s="298"/>
      <c r="AC2422" s="297"/>
      <c r="AF2422" s="296"/>
      <c r="AG2422" s="297"/>
      <c r="AJ2422" s="298"/>
      <c r="AK2422" s="297"/>
      <c r="AN2422" s="298"/>
      <c r="AR2422" s="298"/>
    </row>
    <row r="2423" spans="2:44" s="290" customFormat="1" x14ac:dyDescent="0.2">
      <c r="B2423" s="302"/>
      <c r="D2423" s="302"/>
      <c r="E2423" s="302"/>
      <c r="K2423" s="303"/>
      <c r="L2423" s="303"/>
      <c r="M2423" s="303"/>
      <c r="AB2423" s="298"/>
      <c r="AC2423" s="297"/>
      <c r="AF2423" s="296"/>
      <c r="AG2423" s="297"/>
      <c r="AJ2423" s="298"/>
      <c r="AK2423" s="297"/>
      <c r="AN2423" s="298"/>
      <c r="AR2423" s="298"/>
    </row>
    <row r="2424" spans="2:44" s="290" customFormat="1" x14ac:dyDescent="0.2">
      <c r="B2424" s="302"/>
      <c r="D2424" s="302"/>
      <c r="E2424" s="302"/>
      <c r="K2424" s="303"/>
      <c r="L2424" s="303"/>
      <c r="M2424" s="303"/>
      <c r="AB2424" s="298"/>
      <c r="AC2424" s="297"/>
      <c r="AF2424" s="296"/>
      <c r="AG2424" s="297"/>
      <c r="AJ2424" s="298"/>
      <c r="AK2424" s="297"/>
      <c r="AN2424" s="298"/>
      <c r="AR2424" s="298"/>
    </row>
    <row r="2425" spans="2:44" s="290" customFormat="1" x14ac:dyDescent="0.2">
      <c r="B2425" s="302"/>
      <c r="D2425" s="302"/>
      <c r="E2425" s="302"/>
      <c r="K2425" s="303"/>
      <c r="L2425" s="303"/>
      <c r="M2425" s="303"/>
      <c r="AB2425" s="298"/>
      <c r="AC2425" s="297"/>
      <c r="AF2425" s="296"/>
      <c r="AG2425" s="297"/>
      <c r="AJ2425" s="298"/>
      <c r="AK2425" s="297"/>
      <c r="AN2425" s="298"/>
      <c r="AR2425" s="298"/>
    </row>
    <row r="2426" spans="2:44" s="290" customFormat="1" x14ac:dyDescent="0.2">
      <c r="B2426" s="302"/>
      <c r="D2426" s="302"/>
      <c r="E2426" s="302"/>
      <c r="K2426" s="303"/>
      <c r="L2426" s="303"/>
      <c r="M2426" s="303"/>
      <c r="AB2426" s="298"/>
      <c r="AC2426" s="297"/>
      <c r="AF2426" s="296"/>
      <c r="AG2426" s="297"/>
      <c r="AJ2426" s="298"/>
      <c r="AK2426" s="297"/>
      <c r="AN2426" s="298"/>
      <c r="AR2426" s="298"/>
    </row>
    <row r="2427" spans="2:44" s="290" customFormat="1" x14ac:dyDescent="0.2">
      <c r="B2427" s="302"/>
      <c r="D2427" s="302"/>
      <c r="E2427" s="302"/>
      <c r="K2427" s="303"/>
      <c r="L2427" s="303"/>
      <c r="M2427" s="303"/>
      <c r="AB2427" s="298"/>
      <c r="AC2427" s="297"/>
      <c r="AF2427" s="296"/>
      <c r="AG2427" s="297"/>
      <c r="AJ2427" s="298"/>
      <c r="AK2427" s="297"/>
      <c r="AN2427" s="298"/>
      <c r="AR2427" s="298"/>
    </row>
    <row r="2428" spans="2:44" s="290" customFormat="1" x14ac:dyDescent="0.2">
      <c r="B2428" s="302"/>
      <c r="D2428" s="302"/>
      <c r="E2428" s="302"/>
      <c r="K2428" s="303"/>
      <c r="L2428" s="303"/>
      <c r="M2428" s="303"/>
      <c r="AB2428" s="298"/>
      <c r="AC2428" s="297"/>
      <c r="AF2428" s="296"/>
      <c r="AG2428" s="297"/>
      <c r="AJ2428" s="298"/>
      <c r="AK2428" s="297"/>
      <c r="AN2428" s="298"/>
      <c r="AR2428" s="298"/>
    </row>
    <row r="2429" spans="2:44" s="290" customFormat="1" x14ac:dyDescent="0.2">
      <c r="B2429" s="302"/>
      <c r="D2429" s="302"/>
      <c r="E2429" s="302"/>
      <c r="K2429" s="303"/>
      <c r="L2429" s="303"/>
      <c r="M2429" s="303"/>
      <c r="AB2429" s="298"/>
      <c r="AC2429" s="297"/>
      <c r="AF2429" s="296"/>
      <c r="AG2429" s="297"/>
      <c r="AJ2429" s="298"/>
      <c r="AK2429" s="297"/>
      <c r="AN2429" s="298"/>
      <c r="AR2429" s="298"/>
    </row>
    <row r="2430" spans="2:44" s="290" customFormat="1" x14ac:dyDescent="0.2">
      <c r="B2430" s="302"/>
      <c r="D2430" s="302"/>
      <c r="E2430" s="302"/>
      <c r="K2430" s="303"/>
      <c r="L2430" s="303"/>
      <c r="M2430" s="303"/>
      <c r="AB2430" s="298"/>
      <c r="AC2430" s="297"/>
      <c r="AF2430" s="296"/>
      <c r="AG2430" s="297"/>
      <c r="AJ2430" s="298"/>
      <c r="AK2430" s="297"/>
      <c r="AN2430" s="298"/>
      <c r="AR2430" s="298"/>
    </row>
    <row r="2431" spans="2:44" s="290" customFormat="1" x14ac:dyDescent="0.2">
      <c r="B2431" s="302"/>
      <c r="D2431" s="302"/>
      <c r="E2431" s="302"/>
      <c r="K2431" s="303"/>
      <c r="L2431" s="303"/>
      <c r="M2431" s="303"/>
      <c r="AB2431" s="298"/>
      <c r="AC2431" s="297"/>
      <c r="AF2431" s="296"/>
      <c r="AG2431" s="297"/>
      <c r="AJ2431" s="298"/>
      <c r="AK2431" s="297"/>
      <c r="AN2431" s="298"/>
      <c r="AR2431" s="298"/>
    </row>
    <row r="2432" spans="2:44" s="290" customFormat="1" x14ac:dyDescent="0.2">
      <c r="B2432" s="302"/>
      <c r="D2432" s="302"/>
      <c r="E2432" s="302"/>
      <c r="K2432" s="303"/>
      <c r="L2432" s="303"/>
      <c r="M2432" s="303"/>
      <c r="AB2432" s="298"/>
      <c r="AC2432" s="297"/>
      <c r="AF2432" s="296"/>
      <c r="AG2432" s="297"/>
      <c r="AJ2432" s="298"/>
      <c r="AK2432" s="297"/>
      <c r="AN2432" s="298"/>
      <c r="AR2432" s="298"/>
    </row>
    <row r="2433" spans="2:44" s="290" customFormat="1" x14ac:dyDescent="0.2">
      <c r="B2433" s="302"/>
      <c r="D2433" s="302"/>
      <c r="E2433" s="302"/>
      <c r="K2433" s="303"/>
      <c r="L2433" s="303"/>
      <c r="M2433" s="303"/>
      <c r="AB2433" s="298"/>
      <c r="AC2433" s="297"/>
      <c r="AF2433" s="296"/>
      <c r="AG2433" s="297"/>
      <c r="AJ2433" s="298"/>
      <c r="AK2433" s="297"/>
      <c r="AN2433" s="298"/>
      <c r="AR2433" s="298"/>
    </row>
    <row r="2434" spans="2:44" s="290" customFormat="1" x14ac:dyDescent="0.2">
      <c r="B2434" s="302"/>
      <c r="D2434" s="302"/>
      <c r="E2434" s="302"/>
      <c r="K2434" s="303"/>
      <c r="L2434" s="303"/>
      <c r="M2434" s="303"/>
      <c r="AB2434" s="298"/>
      <c r="AC2434" s="297"/>
      <c r="AF2434" s="296"/>
      <c r="AG2434" s="297"/>
      <c r="AJ2434" s="298"/>
      <c r="AK2434" s="297"/>
      <c r="AN2434" s="298"/>
      <c r="AR2434" s="298"/>
    </row>
    <row r="2435" spans="2:44" s="290" customFormat="1" x14ac:dyDescent="0.2">
      <c r="B2435" s="302"/>
      <c r="D2435" s="302"/>
      <c r="E2435" s="302"/>
      <c r="K2435" s="303"/>
      <c r="L2435" s="303"/>
      <c r="M2435" s="303"/>
      <c r="AB2435" s="298"/>
      <c r="AC2435" s="297"/>
      <c r="AF2435" s="296"/>
      <c r="AG2435" s="297"/>
      <c r="AJ2435" s="298"/>
      <c r="AK2435" s="297"/>
      <c r="AN2435" s="298"/>
      <c r="AR2435" s="298"/>
    </row>
    <row r="2436" spans="2:44" s="290" customFormat="1" x14ac:dyDescent="0.2">
      <c r="B2436" s="302"/>
      <c r="D2436" s="302"/>
      <c r="E2436" s="302"/>
      <c r="K2436" s="303"/>
      <c r="L2436" s="303"/>
      <c r="M2436" s="303"/>
      <c r="AB2436" s="298"/>
      <c r="AC2436" s="297"/>
      <c r="AF2436" s="296"/>
      <c r="AG2436" s="297"/>
      <c r="AJ2436" s="298"/>
      <c r="AK2436" s="297"/>
      <c r="AN2436" s="298"/>
      <c r="AR2436" s="298"/>
    </row>
    <row r="2437" spans="2:44" s="290" customFormat="1" x14ac:dyDescent="0.2">
      <c r="B2437" s="302"/>
      <c r="D2437" s="302"/>
      <c r="E2437" s="302"/>
      <c r="K2437" s="303"/>
      <c r="L2437" s="303"/>
      <c r="M2437" s="303"/>
      <c r="AB2437" s="298"/>
      <c r="AC2437" s="297"/>
      <c r="AF2437" s="296"/>
      <c r="AG2437" s="297"/>
      <c r="AJ2437" s="298"/>
      <c r="AK2437" s="297"/>
      <c r="AN2437" s="298"/>
      <c r="AR2437" s="298"/>
    </row>
    <row r="2438" spans="2:44" s="290" customFormat="1" x14ac:dyDescent="0.2">
      <c r="B2438" s="302"/>
      <c r="D2438" s="302"/>
      <c r="E2438" s="302"/>
      <c r="K2438" s="303"/>
      <c r="L2438" s="303"/>
      <c r="M2438" s="303"/>
      <c r="AB2438" s="298"/>
      <c r="AC2438" s="297"/>
      <c r="AF2438" s="296"/>
      <c r="AG2438" s="297"/>
      <c r="AJ2438" s="298"/>
      <c r="AK2438" s="297"/>
      <c r="AN2438" s="298"/>
      <c r="AR2438" s="298"/>
    </row>
    <row r="2439" spans="2:44" s="290" customFormat="1" x14ac:dyDescent="0.2">
      <c r="B2439" s="302"/>
      <c r="D2439" s="302"/>
      <c r="E2439" s="302"/>
      <c r="K2439" s="303"/>
      <c r="L2439" s="303"/>
      <c r="M2439" s="303"/>
      <c r="AB2439" s="298"/>
      <c r="AC2439" s="297"/>
      <c r="AF2439" s="296"/>
      <c r="AG2439" s="297"/>
      <c r="AJ2439" s="298"/>
      <c r="AK2439" s="297"/>
      <c r="AN2439" s="298"/>
      <c r="AR2439" s="298"/>
    </row>
    <row r="2440" spans="2:44" s="290" customFormat="1" x14ac:dyDescent="0.2">
      <c r="B2440" s="302"/>
      <c r="D2440" s="302"/>
      <c r="E2440" s="302"/>
      <c r="K2440" s="303"/>
      <c r="L2440" s="303"/>
      <c r="M2440" s="303"/>
      <c r="AB2440" s="298"/>
      <c r="AC2440" s="297"/>
      <c r="AF2440" s="296"/>
      <c r="AG2440" s="297"/>
      <c r="AJ2440" s="298"/>
      <c r="AK2440" s="297"/>
      <c r="AN2440" s="298"/>
      <c r="AR2440" s="298"/>
    </row>
    <row r="2441" spans="2:44" s="290" customFormat="1" x14ac:dyDescent="0.2">
      <c r="B2441" s="302"/>
      <c r="D2441" s="302"/>
      <c r="E2441" s="302"/>
      <c r="K2441" s="303"/>
      <c r="L2441" s="303"/>
      <c r="M2441" s="303"/>
      <c r="AB2441" s="298"/>
      <c r="AC2441" s="297"/>
      <c r="AF2441" s="296"/>
      <c r="AG2441" s="297"/>
      <c r="AJ2441" s="298"/>
      <c r="AK2441" s="297"/>
      <c r="AN2441" s="298"/>
      <c r="AR2441" s="298"/>
    </row>
    <row r="2442" spans="2:44" s="290" customFormat="1" x14ac:dyDescent="0.2">
      <c r="B2442" s="302"/>
      <c r="D2442" s="302"/>
      <c r="E2442" s="302"/>
      <c r="K2442" s="303"/>
      <c r="L2442" s="303"/>
      <c r="M2442" s="303"/>
      <c r="AB2442" s="298"/>
      <c r="AC2442" s="297"/>
      <c r="AF2442" s="296"/>
      <c r="AG2442" s="297"/>
      <c r="AJ2442" s="298"/>
      <c r="AK2442" s="297"/>
      <c r="AN2442" s="298"/>
      <c r="AR2442" s="298"/>
    </row>
    <row r="2443" spans="2:44" s="290" customFormat="1" x14ac:dyDescent="0.2">
      <c r="B2443" s="302"/>
      <c r="D2443" s="302"/>
      <c r="E2443" s="302"/>
      <c r="K2443" s="303"/>
      <c r="L2443" s="303"/>
      <c r="M2443" s="303"/>
      <c r="AB2443" s="298"/>
      <c r="AC2443" s="297"/>
      <c r="AF2443" s="296"/>
      <c r="AG2443" s="297"/>
      <c r="AJ2443" s="298"/>
      <c r="AK2443" s="297"/>
      <c r="AN2443" s="298"/>
      <c r="AR2443" s="298"/>
    </row>
    <row r="2444" spans="2:44" s="290" customFormat="1" x14ac:dyDescent="0.2">
      <c r="B2444" s="302"/>
      <c r="D2444" s="302"/>
      <c r="E2444" s="302"/>
      <c r="K2444" s="303"/>
      <c r="L2444" s="303"/>
      <c r="M2444" s="303"/>
      <c r="AB2444" s="298"/>
      <c r="AC2444" s="297"/>
      <c r="AF2444" s="296"/>
      <c r="AG2444" s="297"/>
      <c r="AJ2444" s="298"/>
      <c r="AK2444" s="297"/>
      <c r="AN2444" s="298"/>
      <c r="AR2444" s="298"/>
    </row>
    <row r="2445" spans="2:44" s="290" customFormat="1" x14ac:dyDescent="0.2">
      <c r="B2445" s="302"/>
      <c r="D2445" s="302"/>
      <c r="E2445" s="302"/>
      <c r="K2445" s="303"/>
      <c r="L2445" s="303"/>
      <c r="M2445" s="303"/>
      <c r="AB2445" s="298"/>
      <c r="AC2445" s="297"/>
      <c r="AF2445" s="296"/>
      <c r="AG2445" s="297"/>
      <c r="AJ2445" s="298"/>
      <c r="AK2445" s="297"/>
      <c r="AN2445" s="298"/>
      <c r="AR2445" s="298"/>
    </row>
    <row r="2446" spans="2:44" s="290" customFormat="1" x14ac:dyDescent="0.2">
      <c r="B2446" s="302"/>
      <c r="D2446" s="302"/>
      <c r="E2446" s="302"/>
      <c r="K2446" s="303"/>
      <c r="L2446" s="303"/>
      <c r="M2446" s="303"/>
      <c r="AB2446" s="298"/>
      <c r="AC2446" s="297"/>
      <c r="AF2446" s="296"/>
      <c r="AG2446" s="297"/>
      <c r="AJ2446" s="298"/>
      <c r="AK2446" s="297"/>
      <c r="AN2446" s="298"/>
      <c r="AR2446" s="298"/>
    </row>
    <row r="2447" spans="2:44" s="290" customFormat="1" x14ac:dyDescent="0.2">
      <c r="B2447" s="302"/>
      <c r="D2447" s="302"/>
      <c r="E2447" s="302"/>
      <c r="K2447" s="303"/>
      <c r="L2447" s="303"/>
      <c r="M2447" s="303"/>
      <c r="AB2447" s="298"/>
      <c r="AC2447" s="297"/>
      <c r="AF2447" s="296"/>
      <c r="AG2447" s="297"/>
      <c r="AJ2447" s="298"/>
      <c r="AK2447" s="297"/>
      <c r="AN2447" s="298"/>
      <c r="AR2447" s="298"/>
    </row>
    <row r="2448" spans="2:44" s="290" customFormat="1" x14ac:dyDescent="0.2">
      <c r="B2448" s="302"/>
      <c r="D2448" s="302"/>
      <c r="E2448" s="302"/>
      <c r="K2448" s="303"/>
      <c r="L2448" s="303"/>
      <c r="M2448" s="303"/>
      <c r="AB2448" s="298"/>
      <c r="AC2448" s="297"/>
      <c r="AF2448" s="296"/>
      <c r="AG2448" s="297"/>
      <c r="AJ2448" s="298"/>
      <c r="AK2448" s="297"/>
      <c r="AN2448" s="298"/>
      <c r="AR2448" s="298"/>
    </row>
    <row r="2449" spans="2:44" s="290" customFormat="1" x14ac:dyDescent="0.2">
      <c r="B2449" s="302"/>
      <c r="D2449" s="302"/>
      <c r="E2449" s="302"/>
      <c r="K2449" s="303"/>
      <c r="L2449" s="303"/>
      <c r="M2449" s="303"/>
      <c r="AB2449" s="298"/>
      <c r="AC2449" s="297"/>
      <c r="AF2449" s="296"/>
      <c r="AG2449" s="297"/>
      <c r="AJ2449" s="298"/>
      <c r="AK2449" s="297"/>
      <c r="AN2449" s="298"/>
      <c r="AR2449" s="298"/>
    </row>
    <row r="2450" spans="2:44" s="290" customFormat="1" x14ac:dyDescent="0.2">
      <c r="B2450" s="302"/>
      <c r="D2450" s="302"/>
      <c r="E2450" s="302"/>
      <c r="K2450" s="303"/>
      <c r="L2450" s="303"/>
      <c r="M2450" s="303"/>
      <c r="AB2450" s="298"/>
      <c r="AC2450" s="297"/>
      <c r="AF2450" s="296"/>
      <c r="AG2450" s="297"/>
      <c r="AJ2450" s="298"/>
      <c r="AK2450" s="297"/>
      <c r="AN2450" s="298"/>
      <c r="AR2450" s="298"/>
    </row>
    <row r="2451" spans="2:44" s="290" customFormat="1" x14ac:dyDescent="0.2">
      <c r="B2451" s="302"/>
      <c r="D2451" s="302"/>
      <c r="E2451" s="302"/>
      <c r="K2451" s="303"/>
      <c r="L2451" s="303"/>
      <c r="M2451" s="303"/>
      <c r="AB2451" s="298"/>
      <c r="AC2451" s="297"/>
      <c r="AF2451" s="296"/>
      <c r="AG2451" s="297"/>
      <c r="AJ2451" s="298"/>
      <c r="AK2451" s="297"/>
      <c r="AN2451" s="298"/>
      <c r="AR2451" s="298"/>
    </row>
    <row r="2452" spans="2:44" s="290" customFormat="1" x14ac:dyDescent="0.2">
      <c r="B2452" s="302"/>
      <c r="D2452" s="302"/>
      <c r="E2452" s="302"/>
      <c r="K2452" s="303"/>
      <c r="L2452" s="303"/>
      <c r="M2452" s="303"/>
      <c r="AB2452" s="298"/>
      <c r="AC2452" s="297"/>
      <c r="AF2452" s="296"/>
      <c r="AG2452" s="297"/>
      <c r="AJ2452" s="298"/>
      <c r="AK2452" s="297"/>
      <c r="AN2452" s="298"/>
      <c r="AR2452" s="298"/>
    </row>
    <row r="2453" spans="2:44" s="290" customFormat="1" x14ac:dyDescent="0.2">
      <c r="B2453" s="302"/>
      <c r="D2453" s="302"/>
      <c r="E2453" s="302"/>
      <c r="K2453" s="303"/>
      <c r="L2453" s="303"/>
      <c r="M2453" s="303"/>
      <c r="AB2453" s="298"/>
      <c r="AC2453" s="297"/>
      <c r="AF2453" s="296"/>
      <c r="AG2453" s="297"/>
      <c r="AJ2453" s="298"/>
      <c r="AK2453" s="297"/>
      <c r="AN2453" s="298"/>
      <c r="AR2453" s="298"/>
    </row>
    <row r="2454" spans="2:44" s="290" customFormat="1" x14ac:dyDescent="0.2">
      <c r="B2454" s="302"/>
      <c r="D2454" s="302"/>
      <c r="E2454" s="302"/>
      <c r="K2454" s="303"/>
      <c r="L2454" s="303"/>
      <c r="M2454" s="303"/>
      <c r="AB2454" s="298"/>
      <c r="AC2454" s="297"/>
      <c r="AF2454" s="296"/>
      <c r="AG2454" s="297"/>
      <c r="AJ2454" s="298"/>
      <c r="AK2454" s="297"/>
      <c r="AN2454" s="298"/>
      <c r="AR2454" s="298"/>
    </row>
    <row r="2455" spans="2:44" s="290" customFormat="1" x14ac:dyDescent="0.2">
      <c r="B2455" s="302"/>
      <c r="D2455" s="302"/>
      <c r="E2455" s="302"/>
      <c r="K2455" s="303"/>
      <c r="L2455" s="303"/>
      <c r="M2455" s="303"/>
      <c r="AB2455" s="298"/>
      <c r="AC2455" s="297"/>
      <c r="AF2455" s="296"/>
      <c r="AG2455" s="297"/>
      <c r="AJ2455" s="298"/>
      <c r="AK2455" s="297"/>
      <c r="AN2455" s="298"/>
      <c r="AR2455" s="298"/>
    </row>
    <row r="2456" spans="2:44" s="290" customFormat="1" x14ac:dyDescent="0.2">
      <c r="B2456" s="302"/>
      <c r="D2456" s="302"/>
      <c r="E2456" s="302"/>
      <c r="K2456" s="303"/>
      <c r="L2456" s="303"/>
      <c r="M2456" s="303"/>
      <c r="AB2456" s="298"/>
      <c r="AC2456" s="297"/>
      <c r="AF2456" s="296"/>
      <c r="AG2456" s="297"/>
      <c r="AJ2456" s="298"/>
      <c r="AK2456" s="297"/>
      <c r="AN2456" s="298"/>
      <c r="AR2456" s="298"/>
    </row>
    <row r="2457" spans="2:44" s="290" customFormat="1" x14ac:dyDescent="0.2">
      <c r="B2457" s="302"/>
      <c r="D2457" s="302"/>
      <c r="E2457" s="302"/>
      <c r="K2457" s="303"/>
      <c r="L2457" s="303"/>
      <c r="M2457" s="303"/>
      <c r="AB2457" s="298"/>
      <c r="AC2457" s="297"/>
      <c r="AF2457" s="296"/>
      <c r="AG2457" s="297"/>
      <c r="AJ2457" s="298"/>
      <c r="AK2457" s="297"/>
      <c r="AN2457" s="298"/>
      <c r="AR2457" s="298"/>
    </row>
    <row r="2458" spans="2:44" s="290" customFormat="1" x14ac:dyDescent="0.2">
      <c r="B2458" s="302"/>
      <c r="D2458" s="302"/>
      <c r="E2458" s="302"/>
      <c r="K2458" s="303"/>
      <c r="L2458" s="303"/>
      <c r="M2458" s="303"/>
      <c r="AB2458" s="298"/>
      <c r="AC2458" s="297"/>
      <c r="AF2458" s="296"/>
      <c r="AG2458" s="297"/>
      <c r="AJ2458" s="298"/>
      <c r="AK2458" s="297"/>
      <c r="AN2458" s="298"/>
      <c r="AR2458" s="298"/>
    </row>
    <row r="2459" spans="2:44" s="290" customFormat="1" x14ac:dyDescent="0.2">
      <c r="B2459" s="302"/>
      <c r="D2459" s="302"/>
      <c r="E2459" s="302"/>
      <c r="K2459" s="303"/>
      <c r="L2459" s="303"/>
      <c r="M2459" s="303"/>
      <c r="AB2459" s="298"/>
      <c r="AC2459" s="297"/>
      <c r="AF2459" s="296"/>
      <c r="AG2459" s="297"/>
      <c r="AJ2459" s="298"/>
      <c r="AK2459" s="297"/>
      <c r="AN2459" s="298"/>
      <c r="AR2459" s="298"/>
    </row>
    <row r="2460" spans="2:44" s="290" customFormat="1" x14ac:dyDescent="0.2">
      <c r="B2460" s="302"/>
      <c r="D2460" s="302"/>
      <c r="E2460" s="302"/>
      <c r="K2460" s="303"/>
      <c r="L2460" s="303"/>
      <c r="M2460" s="303"/>
      <c r="AB2460" s="298"/>
      <c r="AC2460" s="297"/>
      <c r="AF2460" s="296"/>
      <c r="AG2460" s="297"/>
      <c r="AJ2460" s="298"/>
      <c r="AK2460" s="297"/>
      <c r="AN2460" s="298"/>
      <c r="AR2460" s="298"/>
    </row>
    <row r="2461" spans="2:44" s="290" customFormat="1" x14ac:dyDescent="0.2">
      <c r="B2461" s="302"/>
      <c r="D2461" s="302"/>
      <c r="E2461" s="302"/>
      <c r="K2461" s="303"/>
      <c r="L2461" s="303"/>
      <c r="M2461" s="303"/>
      <c r="AB2461" s="298"/>
      <c r="AC2461" s="297"/>
      <c r="AF2461" s="296"/>
      <c r="AG2461" s="297"/>
      <c r="AJ2461" s="298"/>
      <c r="AK2461" s="297"/>
      <c r="AN2461" s="298"/>
      <c r="AR2461" s="298"/>
    </row>
    <row r="2462" spans="2:44" s="290" customFormat="1" x14ac:dyDescent="0.2">
      <c r="B2462" s="302"/>
      <c r="D2462" s="302"/>
      <c r="E2462" s="302"/>
      <c r="K2462" s="303"/>
      <c r="L2462" s="303"/>
      <c r="M2462" s="303"/>
      <c r="AB2462" s="298"/>
      <c r="AC2462" s="297"/>
      <c r="AF2462" s="296"/>
      <c r="AG2462" s="297"/>
      <c r="AJ2462" s="298"/>
      <c r="AK2462" s="297"/>
      <c r="AN2462" s="298"/>
      <c r="AR2462" s="298"/>
    </row>
    <row r="2463" spans="2:44" s="290" customFormat="1" x14ac:dyDescent="0.2">
      <c r="B2463" s="302"/>
      <c r="D2463" s="302"/>
      <c r="E2463" s="302"/>
      <c r="K2463" s="303"/>
      <c r="L2463" s="303"/>
      <c r="M2463" s="303"/>
      <c r="AB2463" s="298"/>
      <c r="AC2463" s="297"/>
      <c r="AF2463" s="296"/>
      <c r="AG2463" s="297"/>
      <c r="AJ2463" s="298"/>
      <c r="AK2463" s="297"/>
      <c r="AN2463" s="298"/>
      <c r="AR2463" s="298"/>
    </row>
    <row r="2464" spans="2:44" s="290" customFormat="1" x14ac:dyDescent="0.2">
      <c r="B2464" s="302"/>
      <c r="D2464" s="302"/>
      <c r="E2464" s="302"/>
      <c r="K2464" s="303"/>
      <c r="L2464" s="303"/>
      <c r="M2464" s="303"/>
      <c r="AB2464" s="298"/>
      <c r="AC2464" s="297"/>
      <c r="AF2464" s="296"/>
      <c r="AG2464" s="297"/>
      <c r="AJ2464" s="298"/>
      <c r="AK2464" s="297"/>
      <c r="AN2464" s="298"/>
      <c r="AR2464" s="298"/>
    </row>
    <row r="2465" spans="2:44" s="290" customFormat="1" x14ac:dyDescent="0.2">
      <c r="B2465" s="302"/>
      <c r="D2465" s="302"/>
      <c r="E2465" s="302"/>
      <c r="K2465" s="303"/>
      <c r="L2465" s="303"/>
      <c r="M2465" s="303"/>
      <c r="AB2465" s="298"/>
      <c r="AC2465" s="297"/>
      <c r="AF2465" s="296"/>
      <c r="AG2465" s="297"/>
      <c r="AJ2465" s="298"/>
      <c r="AK2465" s="297"/>
      <c r="AN2465" s="298"/>
      <c r="AR2465" s="298"/>
    </row>
    <row r="2466" spans="2:44" s="290" customFormat="1" x14ac:dyDescent="0.2">
      <c r="B2466" s="302"/>
      <c r="D2466" s="302"/>
      <c r="E2466" s="302"/>
      <c r="K2466" s="303"/>
      <c r="L2466" s="303"/>
      <c r="M2466" s="303"/>
      <c r="AB2466" s="298"/>
      <c r="AC2466" s="297"/>
      <c r="AF2466" s="296"/>
      <c r="AG2466" s="297"/>
      <c r="AJ2466" s="298"/>
      <c r="AK2466" s="297"/>
      <c r="AN2466" s="298"/>
      <c r="AR2466" s="298"/>
    </row>
    <row r="2467" spans="2:44" s="290" customFormat="1" x14ac:dyDescent="0.2">
      <c r="B2467" s="302"/>
      <c r="D2467" s="302"/>
      <c r="E2467" s="302"/>
      <c r="K2467" s="303"/>
      <c r="L2467" s="303"/>
      <c r="M2467" s="303"/>
      <c r="AB2467" s="298"/>
      <c r="AC2467" s="297"/>
      <c r="AF2467" s="296"/>
      <c r="AG2467" s="297"/>
      <c r="AJ2467" s="298"/>
      <c r="AK2467" s="297"/>
      <c r="AN2467" s="298"/>
      <c r="AR2467" s="298"/>
    </row>
    <row r="2468" spans="2:44" s="290" customFormat="1" x14ac:dyDescent="0.2">
      <c r="B2468" s="302"/>
      <c r="D2468" s="302"/>
      <c r="E2468" s="302"/>
      <c r="K2468" s="303"/>
      <c r="L2468" s="303"/>
      <c r="M2468" s="303"/>
      <c r="AB2468" s="298"/>
      <c r="AC2468" s="297"/>
      <c r="AF2468" s="296"/>
      <c r="AG2468" s="297"/>
      <c r="AJ2468" s="298"/>
      <c r="AK2468" s="297"/>
      <c r="AN2468" s="298"/>
      <c r="AR2468" s="298"/>
    </row>
    <row r="2469" spans="2:44" s="290" customFormat="1" x14ac:dyDescent="0.2">
      <c r="B2469" s="302"/>
      <c r="D2469" s="302"/>
      <c r="E2469" s="302"/>
      <c r="K2469" s="303"/>
      <c r="L2469" s="303"/>
      <c r="M2469" s="303"/>
      <c r="AB2469" s="298"/>
      <c r="AC2469" s="297"/>
      <c r="AF2469" s="296"/>
      <c r="AG2469" s="297"/>
      <c r="AJ2469" s="298"/>
      <c r="AK2469" s="297"/>
      <c r="AN2469" s="298"/>
      <c r="AR2469" s="298"/>
    </row>
    <row r="2470" spans="2:44" s="290" customFormat="1" x14ac:dyDescent="0.2">
      <c r="B2470" s="302"/>
      <c r="D2470" s="302"/>
      <c r="E2470" s="302"/>
      <c r="K2470" s="303"/>
      <c r="L2470" s="303"/>
      <c r="M2470" s="303"/>
      <c r="AB2470" s="298"/>
      <c r="AC2470" s="297"/>
      <c r="AF2470" s="296"/>
      <c r="AG2470" s="297"/>
      <c r="AJ2470" s="298"/>
      <c r="AK2470" s="297"/>
      <c r="AN2470" s="298"/>
      <c r="AR2470" s="298"/>
    </row>
    <row r="2471" spans="2:44" s="290" customFormat="1" x14ac:dyDescent="0.2">
      <c r="B2471" s="302"/>
      <c r="D2471" s="302"/>
      <c r="E2471" s="302"/>
      <c r="K2471" s="303"/>
      <c r="L2471" s="303"/>
      <c r="M2471" s="303"/>
      <c r="AB2471" s="298"/>
      <c r="AC2471" s="297"/>
      <c r="AF2471" s="296"/>
      <c r="AG2471" s="297"/>
      <c r="AJ2471" s="298"/>
      <c r="AK2471" s="297"/>
      <c r="AN2471" s="298"/>
      <c r="AR2471" s="298"/>
    </row>
    <row r="2472" spans="2:44" s="290" customFormat="1" x14ac:dyDescent="0.2">
      <c r="B2472" s="302"/>
      <c r="D2472" s="302"/>
      <c r="E2472" s="302"/>
      <c r="K2472" s="303"/>
      <c r="L2472" s="303"/>
      <c r="M2472" s="303"/>
      <c r="AB2472" s="298"/>
      <c r="AC2472" s="297"/>
      <c r="AF2472" s="296"/>
      <c r="AG2472" s="297"/>
      <c r="AJ2472" s="298"/>
      <c r="AK2472" s="297"/>
      <c r="AN2472" s="298"/>
      <c r="AR2472" s="298"/>
    </row>
    <row r="2473" spans="2:44" s="290" customFormat="1" x14ac:dyDescent="0.2">
      <c r="B2473" s="302"/>
      <c r="D2473" s="302"/>
      <c r="E2473" s="302"/>
      <c r="K2473" s="303"/>
      <c r="L2473" s="303"/>
      <c r="M2473" s="303"/>
      <c r="AB2473" s="298"/>
      <c r="AC2473" s="297"/>
      <c r="AF2473" s="296"/>
      <c r="AG2473" s="297"/>
      <c r="AJ2473" s="298"/>
      <c r="AK2473" s="297"/>
      <c r="AN2473" s="298"/>
      <c r="AR2473" s="298"/>
    </row>
    <row r="2474" spans="2:44" s="290" customFormat="1" x14ac:dyDescent="0.2">
      <c r="B2474" s="302"/>
      <c r="D2474" s="302"/>
      <c r="E2474" s="302"/>
      <c r="K2474" s="303"/>
      <c r="L2474" s="303"/>
      <c r="M2474" s="303"/>
      <c r="AB2474" s="298"/>
      <c r="AC2474" s="297"/>
      <c r="AF2474" s="296"/>
      <c r="AG2474" s="297"/>
      <c r="AJ2474" s="298"/>
      <c r="AK2474" s="297"/>
      <c r="AN2474" s="298"/>
      <c r="AR2474" s="298"/>
    </row>
    <row r="2475" spans="2:44" s="290" customFormat="1" x14ac:dyDescent="0.2">
      <c r="B2475" s="302"/>
      <c r="D2475" s="302"/>
      <c r="E2475" s="302"/>
      <c r="K2475" s="303"/>
      <c r="L2475" s="303"/>
      <c r="M2475" s="303"/>
      <c r="AB2475" s="298"/>
      <c r="AC2475" s="297"/>
      <c r="AF2475" s="296"/>
      <c r="AG2475" s="297"/>
      <c r="AJ2475" s="298"/>
      <c r="AK2475" s="297"/>
      <c r="AN2475" s="298"/>
      <c r="AR2475" s="298"/>
    </row>
    <row r="2476" spans="2:44" s="290" customFormat="1" x14ac:dyDescent="0.2">
      <c r="B2476" s="302"/>
      <c r="D2476" s="302"/>
      <c r="E2476" s="302"/>
      <c r="K2476" s="303"/>
      <c r="L2476" s="303"/>
      <c r="M2476" s="303"/>
      <c r="AB2476" s="298"/>
      <c r="AC2476" s="297"/>
      <c r="AF2476" s="296"/>
      <c r="AG2476" s="297"/>
      <c r="AJ2476" s="298"/>
      <c r="AK2476" s="297"/>
      <c r="AN2476" s="298"/>
      <c r="AR2476" s="298"/>
    </row>
    <row r="2477" spans="2:44" s="290" customFormat="1" x14ac:dyDescent="0.2">
      <c r="B2477" s="302"/>
      <c r="D2477" s="302"/>
      <c r="E2477" s="302"/>
      <c r="K2477" s="303"/>
      <c r="L2477" s="303"/>
      <c r="M2477" s="303"/>
      <c r="AB2477" s="298"/>
      <c r="AC2477" s="297"/>
      <c r="AF2477" s="296"/>
      <c r="AG2477" s="297"/>
      <c r="AJ2477" s="298"/>
      <c r="AK2477" s="297"/>
      <c r="AN2477" s="298"/>
      <c r="AR2477" s="298"/>
    </row>
    <row r="2478" spans="2:44" s="290" customFormat="1" x14ac:dyDescent="0.2">
      <c r="B2478" s="302"/>
      <c r="D2478" s="302"/>
      <c r="E2478" s="302"/>
      <c r="K2478" s="303"/>
      <c r="L2478" s="303"/>
      <c r="M2478" s="303"/>
      <c r="AB2478" s="298"/>
      <c r="AC2478" s="297"/>
      <c r="AF2478" s="296"/>
      <c r="AG2478" s="297"/>
      <c r="AJ2478" s="298"/>
      <c r="AK2478" s="297"/>
      <c r="AN2478" s="298"/>
      <c r="AR2478" s="298"/>
    </row>
    <row r="2479" spans="2:44" s="290" customFormat="1" x14ac:dyDescent="0.2">
      <c r="B2479" s="302"/>
      <c r="D2479" s="302"/>
      <c r="E2479" s="302"/>
      <c r="K2479" s="303"/>
      <c r="L2479" s="303"/>
      <c r="M2479" s="303"/>
      <c r="AB2479" s="298"/>
      <c r="AC2479" s="297"/>
      <c r="AF2479" s="296"/>
      <c r="AG2479" s="297"/>
      <c r="AJ2479" s="298"/>
      <c r="AK2479" s="297"/>
      <c r="AN2479" s="298"/>
      <c r="AR2479" s="298"/>
    </row>
    <row r="2480" spans="2:44" s="290" customFormat="1" x14ac:dyDescent="0.2">
      <c r="B2480" s="302"/>
      <c r="D2480" s="302"/>
      <c r="E2480" s="302"/>
      <c r="K2480" s="303"/>
      <c r="L2480" s="303"/>
      <c r="M2480" s="303"/>
      <c r="AB2480" s="298"/>
      <c r="AC2480" s="297"/>
      <c r="AF2480" s="296"/>
      <c r="AG2480" s="297"/>
      <c r="AJ2480" s="298"/>
      <c r="AK2480" s="297"/>
      <c r="AN2480" s="298"/>
      <c r="AR2480" s="298"/>
    </row>
    <row r="2481" spans="2:44" s="290" customFormat="1" x14ac:dyDescent="0.2">
      <c r="B2481" s="302"/>
      <c r="D2481" s="302"/>
      <c r="E2481" s="302"/>
      <c r="K2481" s="303"/>
      <c r="L2481" s="303"/>
      <c r="M2481" s="303"/>
      <c r="AB2481" s="298"/>
      <c r="AC2481" s="297"/>
      <c r="AF2481" s="296"/>
      <c r="AG2481" s="297"/>
      <c r="AJ2481" s="298"/>
      <c r="AK2481" s="297"/>
      <c r="AN2481" s="298"/>
      <c r="AR2481" s="298"/>
    </row>
    <row r="2482" spans="2:44" s="290" customFormat="1" x14ac:dyDescent="0.2">
      <c r="B2482" s="302"/>
      <c r="D2482" s="302"/>
      <c r="E2482" s="302"/>
      <c r="K2482" s="303"/>
      <c r="L2482" s="303"/>
      <c r="M2482" s="303"/>
      <c r="AB2482" s="298"/>
      <c r="AC2482" s="297"/>
      <c r="AF2482" s="296"/>
      <c r="AG2482" s="297"/>
      <c r="AJ2482" s="298"/>
      <c r="AK2482" s="297"/>
      <c r="AN2482" s="298"/>
      <c r="AR2482" s="298"/>
    </row>
    <row r="2483" spans="2:44" s="290" customFormat="1" x14ac:dyDescent="0.2">
      <c r="B2483" s="302"/>
      <c r="D2483" s="302"/>
      <c r="E2483" s="302"/>
      <c r="K2483" s="303"/>
      <c r="L2483" s="303"/>
      <c r="M2483" s="303"/>
      <c r="AB2483" s="298"/>
      <c r="AC2483" s="297"/>
      <c r="AF2483" s="296"/>
      <c r="AG2483" s="297"/>
      <c r="AJ2483" s="298"/>
      <c r="AK2483" s="297"/>
      <c r="AN2483" s="298"/>
      <c r="AR2483" s="298"/>
    </row>
    <row r="2484" spans="2:44" s="290" customFormat="1" x14ac:dyDescent="0.2">
      <c r="B2484" s="302"/>
      <c r="D2484" s="302"/>
      <c r="E2484" s="302"/>
      <c r="K2484" s="303"/>
      <c r="L2484" s="303"/>
      <c r="M2484" s="303"/>
      <c r="AB2484" s="298"/>
      <c r="AC2484" s="297"/>
      <c r="AF2484" s="296"/>
      <c r="AG2484" s="297"/>
      <c r="AJ2484" s="298"/>
      <c r="AK2484" s="297"/>
      <c r="AN2484" s="298"/>
      <c r="AR2484" s="298"/>
    </row>
    <row r="2485" spans="2:44" s="290" customFormat="1" x14ac:dyDescent="0.2">
      <c r="B2485" s="302"/>
      <c r="D2485" s="302"/>
      <c r="E2485" s="302"/>
      <c r="K2485" s="303"/>
      <c r="L2485" s="303"/>
      <c r="M2485" s="303"/>
      <c r="AB2485" s="298"/>
      <c r="AC2485" s="297"/>
      <c r="AF2485" s="296"/>
      <c r="AG2485" s="297"/>
      <c r="AJ2485" s="298"/>
      <c r="AK2485" s="297"/>
      <c r="AN2485" s="298"/>
      <c r="AR2485" s="298"/>
    </row>
    <row r="2486" spans="2:44" s="290" customFormat="1" x14ac:dyDescent="0.2">
      <c r="B2486" s="302"/>
      <c r="D2486" s="302"/>
      <c r="E2486" s="302"/>
      <c r="K2486" s="303"/>
      <c r="L2486" s="303"/>
      <c r="M2486" s="303"/>
      <c r="AB2486" s="298"/>
      <c r="AC2486" s="297"/>
      <c r="AF2486" s="296"/>
      <c r="AG2486" s="297"/>
      <c r="AJ2486" s="298"/>
      <c r="AK2486" s="297"/>
      <c r="AN2486" s="298"/>
      <c r="AR2486" s="298"/>
    </row>
    <row r="2487" spans="2:44" s="290" customFormat="1" x14ac:dyDescent="0.2">
      <c r="B2487" s="302"/>
      <c r="D2487" s="302"/>
      <c r="E2487" s="302"/>
      <c r="K2487" s="303"/>
      <c r="L2487" s="303"/>
      <c r="M2487" s="303"/>
      <c r="AB2487" s="298"/>
      <c r="AC2487" s="297"/>
      <c r="AF2487" s="296"/>
      <c r="AG2487" s="297"/>
      <c r="AJ2487" s="298"/>
      <c r="AK2487" s="297"/>
      <c r="AN2487" s="298"/>
      <c r="AR2487" s="298"/>
    </row>
    <row r="2488" spans="2:44" s="290" customFormat="1" x14ac:dyDescent="0.2">
      <c r="B2488" s="302"/>
      <c r="D2488" s="302"/>
      <c r="E2488" s="302"/>
      <c r="K2488" s="303"/>
      <c r="L2488" s="303"/>
      <c r="M2488" s="303"/>
      <c r="AB2488" s="298"/>
      <c r="AC2488" s="297"/>
      <c r="AF2488" s="296"/>
      <c r="AG2488" s="297"/>
      <c r="AJ2488" s="298"/>
      <c r="AK2488" s="297"/>
      <c r="AN2488" s="298"/>
      <c r="AR2488" s="298"/>
    </row>
    <row r="2489" spans="2:44" s="290" customFormat="1" x14ac:dyDescent="0.2">
      <c r="B2489" s="302"/>
      <c r="D2489" s="302"/>
      <c r="E2489" s="302"/>
      <c r="K2489" s="303"/>
      <c r="L2489" s="303"/>
      <c r="M2489" s="303"/>
      <c r="AB2489" s="298"/>
      <c r="AC2489" s="297"/>
      <c r="AF2489" s="296"/>
      <c r="AG2489" s="297"/>
      <c r="AJ2489" s="298"/>
      <c r="AK2489" s="297"/>
      <c r="AN2489" s="298"/>
      <c r="AR2489" s="298"/>
    </row>
    <row r="2490" spans="2:44" s="290" customFormat="1" x14ac:dyDescent="0.2">
      <c r="B2490" s="302"/>
      <c r="D2490" s="302"/>
      <c r="E2490" s="302"/>
      <c r="K2490" s="303"/>
      <c r="L2490" s="303"/>
      <c r="M2490" s="303"/>
      <c r="AB2490" s="298"/>
      <c r="AC2490" s="297"/>
      <c r="AF2490" s="296"/>
      <c r="AG2490" s="297"/>
      <c r="AJ2490" s="298"/>
      <c r="AK2490" s="297"/>
      <c r="AN2490" s="298"/>
      <c r="AR2490" s="298"/>
    </row>
    <row r="2491" spans="2:44" s="290" customFormat="1" x14ac:dyDescent="0.2">
      <c r="B2491" s="302"/>
      <c r="D2491" s="302"/>
      <c r="E2491" s="302"/>
      <c r="K2491" s="303"/>
      <c r="L2491" s="303"/>
      <c r="M2491" s="303"/>
      <c r="AB2491" s="298"/>
      <c r="AC2491" s="297"/>
      <c r="AF2491" s="296"/>
      <c r="AG2491" s="297"/>
      <c r="AJ2491" s="298"/>
      <c r="AK2491" s="297"/>
      <c r="AN2491" s="298"/>
      <c r="AR2491" s="298"/>
    </row>
    <row r="2492" spans="2:44" s="290" customFormat="1" x14ac:dyDescent="0.2">
      <c r="B2492" s="302"/>
      <c r="D2492" s="302"/>
      <c r="E2492" s="302"/>
      <c r="K2492" s="303"/>
      <c r="L2492" s="303"/>
      <c r="M2492" s="303"/>
      <c r="AB2492" s="298"/>
      <c r="AC2492" s="297"/>
      <c r="AF2492" s="296"/>
      <c r="AG2492" s="297"/>
      <c r="AJ2492" s="298"/>
      <c r="AK2492" s="297"/>
      <c r="AN2492" s="298"/>
      <c r="AR2492" s="298"/>
    </row>
    <row r="2493" spans="2:44" s="290" customFormat="1" x14ac:dyDescent="0.2">
      <c r="B2493" s="302"/>
      <c r="D2493" s="302"/>
      <c r="E2493" s="302"/>
      <c r="K2493" s="303"/>
      <c r="L2493" s="303"/>
      <c r="M2493" s="303"/>
      <c r="AB2493" s="298"/>
      <c r="AC2493" s="297"/>
      <c r="AF2493" s="296"/>
      <c r="AG2493" s="297"/>
      <c r="AJ2493" s="298"/>
      <c r="AK2493" s="297"/>
      <c r="AN2493" s="298"/>
      <c r="AR2493" s="298"/>
    </row>
    <row r="2494" spans="2:44" s="290" customFormat="1" x14ac:dyDescent="0.2">
      <c r="B2494" s="302"/>
      <c r="D2494" s="302"/>
      <c r="E2494" s="302"/>
      <c r="K2494" s="303"/>
      <c r="L2494" s="303"/>
      <c r="M2494" s="303"/>
      <c r="AB2494" s="298"/>
      <c r="AC2494" s="297"/>
      <c r="AF2494" s="296"/>
      <c r="AG2494" s="297"/>
      <c r="AJ2494" s="298"/>
      <c r="AK2494" s="297"/>
      <c r="AN2494" s="298"/>
      <c r="AR2494" s="298"/>
    </row>
    <row r="2495" spans="2:44" s="290" customFormat="1" x14ac:dyDescent="0.2">
      <c r="B2495" s="302"/>
      <c r="D2495" s="302"/>
      <c r="E2495" s="302"/>
      <c r="K2495" s="303"/>
      <c r="L2495" s="303"/>
      <c r="M2495" s="303"/>
      <c r="AB2495" s="298"/>
      <c r="AC2495" s="297"/>
      <c r="AF2495" s="296"/>
      <c r="AG2495" s="297"/>
      <c r="AJ2495" s="298"/>
      <c r="AK2495" s="297"/>
      <c r="AN2495" s="298"/>
      <c r="AR2495" s="298"/>
    </row>
    <row r="2496" spans="2:44" s="290" customFormat="1" x14ac:dyDescent="0.2">
      <c r="B2496" s="302"/>
      <c r="D2496" s="302"/>
      <c r="E2496" s="302"/>
      <c r="K2496" s="303"/>
      <c r="L2496" s="303"/>
      <c r="M2496" s="303"/>
      <c r="AB2496" s="298"/>
      <c r="AC2496" s="297"/>
      <c r="AF2496" s="296"/>
      <c r="AG2496" s="297"/>
      <c r="AJ2496" s="298"/>
      <c r="AK2496" s="297"/>
      <c r="AN2496" s="298"/>
      <c r="AR2496" s="298"/>
    </row>
  </sheetData>
  <autoFilter ref="A15:OW246">
    <filterColumn colId="27">
      <filters>
        <filter val="22"/>
      </filters>
    </filterColumn>
  </autoFilter>
  <mergeCells count="14">
    <mergeCell ref="B8:AD8"/>
    <mergeCell ref="B1:AD2"/>
    <mergeCell ref="B3:AD4"/>
    <mergeCell ref="B5:AD5"/>
    <mergeCell ref="B6:AD6"/>
    <mergeCell ref="B7:AD7"/>
    <mergeCell ref="AU14:AV14"/>
    <mergeCell ref="B249:J249"/>
    <mergeCell ref="B9:AD10"/>
    <mergeCell ref="AA14:AD14"/>
    <mergeCell ref="AE14:AH14"/>
    <mergeCell ref="AI14:AL14"/>
    <mergeCell ref="AM14:AP14"/>
    <mergeCell ref="AQ14:AT14"/>
  </mergeCells>
  <conditionalFormatting sqref="D248:E248">
    <cfRule type="duplicateValues" dxfId="43" priority="1"/>
  </conditionalFormatting>
  <conditionalFormatting sqref="D15:E247">
    <cfRule type="duplicateValues" dxfId="42" priority="2"/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FR453"/>
  <sheetViews>
    <sheetView tabSelected="1" topLeftCell="L1" workbookViewId="0">
      <selection activeCell="U241" sqref="U241"/>
    </sheetView>
  </sheetViews>
  <sheetFormatPr baseColWidth="10" defaultRowHeight="11.25" x14ac:dyDescent="0.2"/>
  <cols>
    <col min="1" max="1" width="5" style="134" customWidth="1"/>
    <col min="2" max="2" width="10.140625" style="12" customWidth="1"/>
    <col min="3" max="3" width="9.85546875" style="3" customWidth="1"/>
    <col min="4" max="4" width="11.42578125" style="12" customWidth="1"/>
    <col min="5" max="5" width="37" style="3" customWidth="1"/>
    <col min="6" max="6" width="13.140625" style="3" customWidth="1"/>
    <col min="7" max="7" width="11.28515625" style="3" customWidth="1"/>
    <col min="8" max="8" width="18.85546875" style="3" customWidth="1"/>
    <col min="9" max="9" width="9.7109375" style="3" customWidth="1"/>
    <col min="10" max="10" width="12.140625" style="3" customWidth="1"/>
    <col min="11" max="15" width="12" style="3" customWidth="1"/>
    <col min="16" max="16" width="12.42578125" style="3" customWidth="1"/>
    <col min="17" max="17" width="13.28515625" style="3" customWidth="1"/>
    <col min="18" max="18" width="13.85546875" style="3" customWidth="1"/>
    <col min="19" max="19" width="13.5703125" style="3" customWidth="1"/>
    <col min="20" max="20" width="10.140625" style="3" customWidth="1"/>
    <col min="21" max="21" width="10.140625" style="7" customWidth="1"/>
    <col min="22" max="23" width="10.140625" style="3" customWidth="1"/>
    <col min="24" max="24" width="10.28515625" style="3" customWidth="1"/>
    <col min="25" max="28" width="10.140625" style="3" customWidth="1"/>
    <col min="29" max="29" width="10.140625" style="6" customWidth="1"/>
    <col min="30" max="43" width="10.140625" style="3" customWidth="1"/>
    <col min="44" max="45" width="11.42578125" style="3"/>
    <col min="46" max="174" width="11.42578125" style="134"/>
    <col min="175" max="16384" width="11.42578125" style="3"/>
  </cols>
  <sheetData>
    <row r="1" spans="1:174" s="134" customFormat="1" ht="13.5" customHeight="1" x14ac:dyDescent="0.2">
      <c r="B1" s="742"/>
      <c r="C1" s="742"/>
      <c r="D1" s="742"/>
      <c r="E1" s="742"/>
      <c r="F1" s="742"/>
      <c r="G1" s="742"/>
      <c r="H1" s="742"/>
      <c r="I1" s="742"/>
      <c r="J1" s="742"/>
      <c r="K1" s="742"/>
      <c r="L1" s="742"/>
      <c r="M1" s="742"/>
      <c r="N1" s="742"/>
      <c r="O1" s="742"/>
      <c r="P1" s="742"/>
      <c r="Q1" s="742"/>
      <c r="R1" s="742"/>
      <c r="S1" s="742"/>
      <c r="T1" s="742"/>
      <c r="U1" s="742"/>
      <c r="V1" s="742"/>
      <c r="W1" s="742"/>
      <c r="X1" s="137"/>
      <c r="Y1" s="137"/>
      <c r="Z1" s="137"/>
      <c r="AA1" s="137"/>
      <c r="AB1" s="137"/>
      <c r="AC1" s="136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  <c r="AO1" s="137"/>
      <c r="AP1" s="137"/>
      <c r="AQ1" s="137"/>
    </row>
    <row r="2" spans="1:174" s="134" customFormat="1" ht="13.5" customHeight="1" x14ac:dyDescent="0.2">
      <c r="B2" s="742"/>
      <c r="C2" s="742"/>
      <c r="D2" s="742"/>
      <c r="E2" s="742"/>
      <c r="F2" s="742"/>
      <c r="G2" s="742"/>
      <c r="H2" s="742"/>
      <c r="I2" s="742"/>
      <c r="J2" s="742"/>
      <c r="K2" s="742"/>
      <c r="L2" s="742"/>
      <c r="M2" s="742"/>
      <c r="N2" s="742"/>
      <c r="O2" s="742"/>
      <c r="P2" s="742"/>
      <c r="Q2" s="742"/>
      <c r="R2" s="742"/>
      <c r="S2" s="742"/>
      <c r="T2" s="742"/>
      <c r="U2" s="742"/>
      <c r="V2" s="742"/>
      <c r="W2" s="742"/>
      <c r="X2" s="137"/>
      <c r="Y2" s="137"/>
      <c r="Z2" s="137"/>
      <c r="AA2" s="137"/>
      <c r="AB2" s="137"/>
      <c r="AC2" s="136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174" s="134" customFormat="1" ht="13.5" customHeight="1" x14ac:dyDescent="0.2">
      <c r="B3" s="742"/>
      <c r="C3" s="742"/>
      <c r="D3" s="742"/>
      <c r="E3" s="742"/>
      <c r="F3" s="742"/>
      <c r="G3" s="742"/>
      <c r="H3" s="742"/>
      <c r="I3" s="742"/>
      <c r="J3" s="742"/>
      <c r="K3" s="742"/>
      <c r="L3" s="742"/>
      <c r="M3" s="742"/>
      <c r="N3" s="742"/>
      <c r="O3" s="742"/>
      <c r="P3" s="742"/>
      <c r="Q3" s="742"/>
      <c r="R3" s="742"/>
      <c r="S3" s="742"/>
      <c r="T3" s="742"/>
      <c r="U3" s="742"/>
      <c r="V3" s="742"/>
      <c r="W3" s="742"/>
      <c r="X3" s="137"/>
      <c r="Y3" s="137"/>
      <c r="Z3" s="137"/>
      <c r="AA3" s="137"/>
      <c r="AB3" s="137"/>
      <c r="AC3" s="136"/>
      <c r="AD3" s="137"/>
      <c r="AE3" s="137"/>
      <c r="AF3" s="137"/>
      <c r="AG3" s="137"/>
      <c r="AH3" s="137"/>
      <c r="AI3" s="137"/>
      <c r="AJ3" s="137"/>
      <c r="AK3" s="137"/>
      <c r="AL3" s="137"/>
      <c r="AM3" s="137"/>
      <c r="AN3" s="137"/>
      <c r="AO3" s="137"/>
      <c r="AP3" s="137"/>
      <c r="AQ3" s="137"/>
    </row>
    <row r="4" spans="1:174" s="134" customFormat="1" ht="13.5" customHeight="1" x14ac:dyDescent="0.2">
      <c r="B4" s="742"/>
      <c r="C4" s="742"/>
      <c r="D4" s="742"/>
      <c r="E4" s="742"/>
      <c r="F4" s="742"/>
      <c r="G4" s="742"/>
      <c r="H4" s="742"/>
      <c r="I4" s="742"/>
      <c r="J4" s="742"/>
      <c r="K4" s="742"/>
      <c r="L4" s="742"/>
      <c r="M4" s="742"/>
      <c r="N4" s="742"/>
      <c r="O4" s="742"/>
      <c r="P4" s="742"/>
      <c r="Q4" s="742"/>
      <c r="R4" s="742"/>
      <c r="S4" s="742"/>
      <c r="T4" s="742"/>
      <c r="U4" s="742"/>
      <c r="V4" s="742"/>
      <c r="W4" s="742"/>
      <c r="X4" s="137"/>
      <c r="Y4" s="137"/>
      <c r="Z4" s="137"/>
      <c r="AA4" s="137"/>
      <c r="AB4" s="137"/>
      <c r="AC4" s="136"/>
      <c r="AD4" s="137"/>
      <c r="AE4" s="137"/>
      <c r="AF4" s="137"/>
      <c r="AG4" s="137"/>
      <c r="AH4" s="137"/>
      <c r="AI4" s="137"/>
      <c r="AJ4" s="137"/>
      <c r="AK4" s="137"/>
      <c r="AL4" s="137"/>
      <c r="AM4" s="137"/>
      <c r="AN4" s="137"/>
      <c r="AO4" s="137"/>
      <c r="AP4" s="137"/>
      <c r="AQ4" s="137"/>
    </row>
    <row r="5" spans="1:174" s="134" customFormat="1" ht="13.5" customHeight="1" x14ac:dyDescent="0.2">
      <c r="B5" s="751" t="s">
        <v>0</v>
      </c>
      <c r="C5" s="751"/>
      <c r="D5" s="751"/>
      <c r="E5" s="751"/>
      <c r="F5" s="751"/>
      <c r="G5" s="751"/>
      <c r="H5" s="751"/>
      <c r="I5" s="751"/>
      <c r="J5" s="751"/>
      <c r="K5" s="751"/>
      <c r="L5" s="751"/>
      <c r="M5" s="751"/>
      <c r="N5" s="751"/>
      <c r="O5" s="751"/>
      <c r="P5" s="751"/>
      <c r="Q5" s="751"/>
      <c r="R5" s="751"/>
      <c r="S5" s="751"/>
      <c r="T5" s="751"/>
      <c r="U5" s="751"/>
      <c r="V5" s="751"/>
      <c r="W5" s="751"/>
      <c r="X5" s="142"/>
      <c r="Y5" s="142"/>
      <c r="Z5" s="142"/>
      <c r="AA5" s="142"/>
      <c r="AB5" s="137"/>
      <c r="AC5" s="136"/>
      <c r="AD5" s="137"/>
      <c r="AE5" s="137"/>
      <c r="AF5" s="137"/>
      <c r="AG5" s="137"/>
      <c r="AH5" s="137"/>
      <c r="AI5" s="137"/>
      <c r="AJ5" s="137"/>
      <c r="AK5" s="137"/>
      <c r="AL5" s="137"/>
      <c r="AM5" s="137"/>
      <c r="AN5" s="137"/>
      <c r="AO5" s="137"/>
      <c r="AP5" s="137"/>
      <c r="AQ5" s="137"/>
    </row>
    <row r="6" spans="1:174" s="134" customFormat="1" ht="13.5" customHeight="1" x14ac:dyDescent="0.2">
      <c r="B6" s="751"/>
      <c r="C6" s="751"/>
      <c r="D6" s="751"/>
      <c r="E6" s="751"/>
      <c r="F6" s="751"/>
      <c r="G6" s="751"/>
      <c r="H6" s="751"/>
      <c r="I6" s="751"/>
      <c r="J6" s="751"/>
      <c r="K6" s="751"/>
      <c r="L6" s="751"/>
      <c r="M6" s="751"/>
      <c r="N6" s="751"/>
      <c r="O6" s="751"/>
      <c r="P6" s="751"/>
      <c r="Q6" s="751"/>
      <c r="R6" s="751"/>
      <c r="S6" s="751"/>
      <c r="T6" s="751"/>
      <c r="U6" s="751"/>
      <c r="V6" s="751"/>
      <c r="W6" s="751"/>
      <c r="X6" s="142"/>
      <c r="Y6" s="142"/>
      <c r="Z6" s="142"/>
      <c r="AA6" s="142"/>
      <c r="AC6" s="140"/>
    </row>
    <row r="7" spans="1:174" s="134" customFormat="1" ht="13.5" customHeight="1" x14ac:dyDescent="0.2">
      <c r="B7" s="142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2"/>
      <c r="AC7" s="140"/>
    </row>
    <row r="8" spans="1:174" ht="33" customHeight="1" x14ac:dyDescent="0.2">
      <c r="B8" s="8" t="s">
        <v>1</v>
      </c>
      <c r="C8" s="8" t="s">
        <v>2</v>
      </c>
      <c r="D8" s="9" t="s">
        <v>3</v>
      </c>
      <c r="E8" s="10" t="s">
        <v>4</v>
      </c>
      <c r="F8" s="119"/>
      <c r="G8" s="142"/>
      <c r="H8" s="142"/>
      <c r="I8" s="142"/>
      <c r="J8" s="142"/>
      <c r="K8" s="142"/>
      <c r="L8" s="142"/>
      <c r="M8" s="142"/>
      <c r="N8" s="142"/>
      <c r="O8" s="142"/>
      <c r="P8" s="142"/>
      <c r="Q8" s="142"/>
      <c r="R8" s="142"/>
      <c r="S8" s="142"/>
      <c r="T8" s="142"/>
      <c r="U8" s="142"/>
      <c r="V8" s="142"/>
      <c r="W8" s="142"/>
      <c r="X8" s="142"/>
      <c r="Y8" s="142"/>
      <c r="Z8" s="142"/>
      <c r="AA8" s="142"/>
      <c r="AB8" s="134"/>
      <c r="AC8" s="140"/>
      <c r="AD8" s="134"/>
      <c r="AE8" s="134"/>
      <c r="AF8" s="134"/>
      <c r="AG8" s="134"/>
      <c r="AH8" s="134"/>
      <c r="AI8" s="134"/>
      <c r="AJ8" s="134"/>
      <c r="AK8" s="134"/>
      <c r="AL8" s="134"/>
      <c r="AM8" s="134"/>
      <c r="AN8" s="134"/>
      <c r="AO8" s="134"/>
      <c r="AP8" s="134"/>
      <c r="AQ8" s="134"/>
      <c r="AR8" s="134"/>
      <c r="AS8" s="134"/>
    </row>
    <row r="9" spans="1:174" ht="13.5" customHeight="1" x14ac:dyDescent="0.2">
      <c r="B9" s="11">
        <v>56652651</v>
      </c>
      <c r="C9" s="11">
        <v>56652651</v>
      </c>
      <c r="D9" s="11">
        <v>45738680</v>
      </c>
      <c r="E9" s="11">
        <f>+S222</f>
        <v>26688200.876999989</v>
      </c>
      <c r="F9" s="144"/>
      <c r="G9" s="142"/>
      <c r="H9" s="142"/>
      <c r="I9" s="142"/>
      <c r="J9" s="142"/>
      <c r="K9" s="142"/>
      <c r="L9" s="142"/>
      <c r="M9" s="142"/>
      <c r="N9" s="142"/>
      <c r="O9" s="142"/>
      <c r="P9" s="142"/>
      <c r="Q9" s="142"/>
      <c r="R9" s="142"/>
      <c r="S9" s="142"/>
      <c r="T9" s="142"/>
      <c r="U9" s="142"/>
      <c r="V9" s="142"/>
      <c r="W9" s="142"/>
      <c r="X9" s="142"/>
      <c r="Y9" s="142"/>
      <c r="Z9" s="142"/>
      <c r="AA9" s="142"/>
      <c r="AB9" s="134"/>
      <c r="AC9" s="140"/>
      <c r="AD9" s="134"/>
      <c r="AE9" s="134"/>
      <c r="AF9" s="134"/>
      <c r="AG9" s="134"/>
      <c r="AH9" s="134"/>
      <c r="AI9" s="134"/>
      <c r="AJ9" s="134"/>
      <c r="AK9" s="134"/>
      <c r="AL9" s="134"/>
      <c r="AM9" s="134"/>
      <c r="AN9" s="134"/>
      <c r="AO9" s="134"/>
      <c r="AP9" s="134"/>
      <c r="AQ9" s="134"/>
      <c r="AR9" s="134"/>
      <c r="AS9" s="134"/>
    </row>
    <row r="10" spans="1:174" ht="13.5" customHeight="1" x14ac:dyDescent="0.2">
      <c r="C10" s="13"/>
      <c r="D10" s="14"/>
      <c r="E10" s="13"/>
      <c r="F10" s="146"/>
      <c r="G10" s="134"/>
      <c r="H10" s="134"/>
      <c r="I10" s="134"/>
      <c r="J10" s="134"/>
      <c r="K10" s="134"/>
      <c r="L10" s="134"/>
      <c r="M10" s="134"/>
      <c r="N10" s="134"/>
      <c r="O10" s="134"/>
      <c r="P10" s="134"/>
      <c r="Q10" s="134"/>
      <c r="R10" s="134"/>
      <c r="S10" s="134"/>
      <c r="T10" s="736" t="s">
        <v>5</v>
      </c>
      <c r="U10" s="737"/>
      <c r="V10" s="737"/>
      <c r="W10" s="738"/>
      <c r="X10" s="739" t="s">
        <v>6</v>
      </c>
      <c r="Y10" s="740"/>
      <c r="Z10" s="740"/>
      <c r="AA10" s="741"/>
      <c r="AB10" s="739" t="s">
        <v>6</v>
      </c>
      <c r="AC10" s="740"/>
      <c r="AD10" s="740"/>
      <c r="AE10" s="741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723" t="s">
        <v>7</v>
      </c>
      <c r="AS10" s="723"/>
    </row>
    <row r="11" spans="1:174" s="15" customFormat="1" ht="42" customHeight="1" x14ac:dyDescent="0.25">
      <c r="A11" s="148"/>
      <c r="B11" s="81" t="s">
        <v>8</v>
      </c>
      <c r="C11" s="81" t="s">
        <v>9</v>
      </c>
      <c r="D11" s="81" t="s">
        <v>10</v>
      </c>
      <c r="E11" s="83" t="s">
        <v>11</v>
      </c>
      <c r="F11" s="8" t="s">
        <v>12</v>
      </c>
      <c r="G11" s="83" t="s">
        <v>13</v>
      </c>
      <c r="H11" s="83" t="s">
        <v>14</v>
      </c>
      <c r="I11" s="83" t="s">
        <v>122</v>
      </c>
      <c r="J11" s="83" t="s">
        <v>15</v>
      </c>
      <c r="K11" s="83" t="s">
        <v>16</v>
      </c>
      <c r="L11" s="83" t="s">
        <v>17</v>
      </c>
      <c r="M11" s="121" t="s">
        <v>18</v>
      </c>
      <c r="N11" s="121" t="s">
        <v>19</v>
      </c>
      <c r="O11" s="121" t="s">
        <v>20</v>
      </c>
      <c r="P11" s="121" t="s">
        <v>21</v>
      </c>
      <c r="Q11" s="165" t="s">
        <v>22</v>
      </c>
      <c r="R11" s="165" t="s">
        <v>1408</v>
      </c>
      <c r="S11" s="123" t="s">
        <v>30</v>
      </c>
      <c r="T11" s="85" t="s">
        <v>31</v>
      </c>
      <c r="U11" s="86" t="s">
        <v>32</v>
      </c>
      <c r="V11" s="85" t="s">
        <v>33</v>
      </c>
      <c r="W11" s="85" t="s">
        <v>34</v>
      </c>
      <c r="X11" s="87" t="s">
        <v>35</v>
      </c>
      <c r="Y11" s="88" t="s">
        <v>32</v>
      </c>
      <c r="Z11" s="87" t="s">
        <v>33</v>
      </c>
      <c r="AA11" s="87" t="s">
        <v>34</v>
      </c>
      <c r="AB11" s="87" t="s">
        <v>35</v>
      </c>
      <c r="AC11" s="88" t="s">
        <v>32</v>
      </c>
      <c r="AD11" s="87" t="s">
        <v>33</v>
      </c>
      <c r="AE11" s="87" t="s">
        <v>34</v>
      </c>
      <c r="AF11" s="87" t="s">
        <v>35</v>
      </c>
      <c r="AG11" s="88" t="s">
        <v>32</v>
      </c>
      <c r="AH11" s="87" t="s">
        <v>33</v>
      </c>
      <c r="AI11" s="87" t="s">
        <v>34</v>
      </c>
      <c r="AJ11" s="87" t="s">
        <v>35</v>
      </c>
      <c r="AK11" s="88" t="s">
        <v>32</v>
      </c>
      <c r="AL11" s="87" t="s">
        <v>33</v>
      </c>
      <c r="AM11" s="87" t="s">
        <v>34</v>
      </c>
      <c r="AN11" s="87" t="s">
        <v>35</v>
      </c>
      <c r="AO11" s="88" t="s">
        <v>32</v>
      </c>
      <c r="AP11" s="87" t="s">
        <v>33</v>
      </c>
      <c r="AQ11" s="87" t="s">
        <v>34</v>
      </c>
      <c r="AR11" s="89" t="s">
        <v>36</v>
      </c>
      <c r="AS11" s="89" t="s">
        <v>37</v>
      </c>
      <c r="AT11" s="148"/>
      <c r="AU11" s="148"/>
      <c r="AV11" s="148"/>
      <c r="AW11" s="148"/>
      <c r="AX11" s="148"/>
      <c r="AY11" s="148"/>
      <c r="AZ11" s="148"/>
      <c r="BA11" s="148"/>
      <c r="BB11" s="148"/>
      <c r="BC11" s="148"/>
      <c r="BD11" s="148"/>
      <c r="BE11" s="148"/>
      <c r="BF11" s="148"/>
      <c r="BG11" s="148"/>
      <c r="BH11" s="148"/>
      <c r="BI11" s="148"/>
      <c r="BJ11" s="148"/>
      <c r="BK11" s="148"/>
      <c r="BL11" s="148"/>
      <c r="BM11" s="148"/>
      <c r="BN11" s="148"/>
      <c r="BO11" s="148"/>
      <c r="BP11" s="148"/>
      <c r="BQ11" s="148"/>
      <c r="BR11" s="148"/>
      <c r="BS11" s="148"/>
      <c r="BT11" s="148"/>
      <c r="BU11" s="148"/>
      <c r="BV11" s="148"/>
      <c r="BW11" s="148"/>
      <c r="BX11" s="148"/>
      <c r="BY11" s="148"/>
      <c r="BZ11" s="148"/>
      <c r="CA11" s="148"/>
      <c r="CB11" s="148"/>
      <c r="CC11" s="148"/>
      <c r="CD11" s="148"/>
      <c r="CE11" s="148"/>
      <c r="CF11" s="148"/>
      <c r="CG11" s="148"/>
      <c r="CH11" s="148"/>
      <c r="CI11" s="148"/>
      <c r="CJ11" s="148"/>
      <c r="CK11" s="148"/>
      <c r="CL11" s="148"/>
      <c r="CM11" s="148"/>
      <c r="CN11" s="148"/>
      <c r="CO11" s="148"/>
      <c r="CP11" s="148"/>
      <c r="CQ11" s="148"/>
      <c r="CR11" s="148"/>
      <c r="CS11" s="148"/>
      <c r="CT11" s="148"/>
      <c r="CU11" s="148"/>
      <c r="CV11" s="148"/>
      <c r="CW11" s="148"/>
      <c r="CX11" s="148"/>
      <c r="CY11" s="148"/>
      <c r="CZ11" s="148"/>
      <c r="DA11" s="148"/>
      <c r="DB11" s="148"/>
      <c r="DC11" s="148"/>
      <c r="DD11" s="148"/>
      <c r="DE11" s="148"/>
      <c r="DF11" s="148"/>
      <c r="DG11" s="148"/>
      <c r="DH11" s="148"/>
      <c r="DI11" s="148"/>
      <c r="DJ11" s="148"/>
      <c r="DK11" s="148"/>
      <c r="DL11" s="148"/>
      <c r="DM11" s="148"/>
      <c r="DN11" s="148"/>
      <c r="DO11" s="148"/>
      <c r="DP11" s="148"/>
      <c r="DQ11" s="148"/>
      <c r="DR11" s="148"/>
      <c r="DS11" s="148"/>
      <c r="DT11" s="148"/>
      <c r="DU11" s="148"/>
      <c r="DV11" s="148"/>
      <c r="DW11" s="148"/>
      <c r="DX11" s="148"/>
      <c r="DY11" s="148"/>
      <c r="DZ11" s="148"/>
      <c r="EA11" s="148"/>
      <c r="EB11" s="148"/>
      <c r="EC11" s="148"/>
      <c r="ED11" s="148"/>
      <c r="EE11" s="148"/>
      <c r="EF11" s="148"/>
      <c r="EG11" s="148"/>
      <c r="EH11" s="148"/>
      <c r="EI11" s="148"/>
      <c r="EJ11" s="148"/>
      <c r="EK11" s="148"/>
      <c r="EL11" s="148"/>
      <c r="EM11" s="148"/>
      <c r="EN11" s="148"/>
      <c r="EO11" s="148"/>
      <c r="EP11" s="148"/>
      <c r="EQ11" s="148"/>
      <c r="ER11" s="148"/>
      <c r="ES11" s="148"/>
      <c r="ET11" s="148"/>
      <c r="EU11" s="148"/>
      <c r="EV11" s="148"/>
      <c r="EW11" s="148"/>
      <c r="EX11" s="148"/>
      <c r="EY11" s="148"/>
      <c r="EZ11" s="148"/>
      <c r="FA11" s="148"/>
      <c r="FB11" s="148"/>
      <c r="FC11" s="148"/>
      <c r="FD11" s="148"/>
      <c r="FE11" s="148"/>
      <c r="FF11" s="148"/>
      <c r="FG11" s="148"/>
      <c r="FH11" s="148"/>
      <c r="FI11" s="148"/>
      <c r="FJ11" s="148"/>
      <c r="FK11" s="148"/>
      <c r="FL11" s="148"/>
      <c r="FM11" s="148"/>
      <c r="FN11" s="148"/>
      <c r="FO11" s="148"/>
      <c r="FP11" s="148"/>
      <c r="FQ11" s="148"/>
      <c r="FR11" s="148"/>
    </row>
    <row r="12" spans="1:174" s="15" customFormat="1" ht="13.5" customHeight="1" x14ac:dyDescent="0.2">
      <c r="A12" s="148"/>
      <c r="B12" s="307">
        <v>1</v>
      </c>
      <c r="C12" s="307" t="s">
        <v>38</v>
      </c>
      <c r="D12" s="450" t="s">
        <v>1409</v>
      </c>
      <c r="E12" s="569" t="s">
        <v>1410</v>
      </c>
      <c r="F12" s="533" t="s">
        <v>45</v>
      </c>
      <c r="G12" s="533" t="s">
        <v>1411</v>
      </c>
      <c r="H12" s="533" t="s">
        <v>1412</v>
      </c>
      <c r="I12" s="534" t="s">
        <v>42</v>
      </c>
      <c r="J12" s="535">
        <v>3292451</v>
      </c>
      <c r="K12" s="535">
        <v>1022650</v>
      </c>
      <c r="L12" s="535">
        <v>91611</v>
      </c>
      <c r="M12" s="454">
        <v>0</v>
      </c>
      <c r="N12" s="454">
        <v>215850</v>
      </c>
      <c r="O12" s="454">
        <f>4200+384150</f>
        <v>388350</v>
      </c>
      <c r="P12" s="536">
        <v>38560.843999999997</v>
      </c>
      <c r="Q12" s="537">
        <f>1400000/1000+330905</f>
        <v>332305</v>
      </c>
      <c r="R12" s="538">
        <v>1400</v>
      </c>
      <c r="S12" s="535">
        <f>SUM(M12:R12)</f>
        <v>976465.84400000004</v>
      </c>
      <c r="T12" s="539">
        <v>604200</v>
      </c>
      <c r="U12" s="540">
        <v>1</v>
      </c>
      <c r="V12" s="541">
        <v>44200</v>
      </c>
      <c r="W12" s="542">
        <v>44223</v>
      </c>
      <c r="X12" s="543">
        <v>1049000</v>
      </c>
      <c r="Y12" s="544">
        <v>42</v>
      </c>
      <c r="Z12" s="542">
        <v>44294</v>
      </c>
      <c r="AA12" s="542">
        <v>44313</v>
      </c>
      <c r="AB12" s="539">
        <v>2</v>
      </c>
      <c r="AC12" s="544">
        <v>55</v>
      </c>
      <c r="AD12" s="545">
        <v>44323</v>
      </c>
      <c r="AE12" s="542">
        <v>44350</v>
      </c>
      <c r="AF12" s="542"/>
      <c r="AG12" s="542"/>
      <c r="AH12" s="542"/>
      <c r="AI12" s="542"/>
      <c r="AJ12" s="542"/>
      <c r="AK12" s="542"/>
      <c r="AL12" s="542"/>
      <c r="AM12" s="542"/>
      <c r="AN12" s="542"/>
      <c r="AO12" s="544"/>
      <c r="AP12" s="542"/>
      <c r="AQ12" s="542"/>
      <c r="AR12" s="22">
        <f>+T12+X12+AB12+AF12+AJ12+AN12</f>
        <v>1653202</v>
      </c>
      <c r="AS12" s="546">
        <f>+AR12-S12</f>
        <v>676736.15599999996</v>
      </c>
      <c r="AT12" s="148"/>
      <c r="AU12" s="148"/>
      <c r="AV12" s="148"/>
      <c r="AW12" s="148"/>
      <c r="AX12" s="148"/>
      <c r="AY12" s="148"/>
      <c r="AZ12" s="148"/>
      <c r="BA12" s="148"/>
      <c r="BB12" s="148"/>
      <c r="BC12" s="148"/>
      <c r="BD12" s="148"/>
      <c r="BE12" s="148"/>
      <c r="BF12" s="148"/>
      <c r="BG12" s="148"/>
      <c r="BH12" s="148"/>
      <c r="BI12" s="148"/>
      <c r="BJ12" s="148"/>
      <c r="BK12" s="148"/>
      <c r="BL12" s="148"/>
      <c r="BM12" s="148"/>
      <c r="BN12" s="148"/>
      <c r="BO12" s="148"/>
      <c r="BP12" s="148"/>
      <c r="BQ12" s="148"/>
      <c r="BR12" s="148"/>
      <c r="BS12" s="148"/>
      <c r="BT12" s="148"/>
      <c r="BU12" s="148"/>
      <c r="BV12" s="148"/>
      <c r="BW12" s="148"/>
      <c r="BX12" s="148"/>
      <c r="BY12" s="148"/>
      <c r="BZ12" s="148"/>
      <c r="CA12" s="148"/>
      <c r="CB12" s="148"/>
      <c r="CC12" s="148"/>
      <c r="CD12" s="148"/>
      <c r="CE12" s="148"/>
      <c r="CF12" s="148"/>
      <c r="CG12" s="148"/>
      <c r="CH12" s="148"/>
      <c r="CI12" s="148"/>
      <c r="CJ12" s="148"/>
      <c r="CK12" s="148"/>
      <c r="CL12" s="148"/>
      <c r="CM12" s="148"/>
      <c r="CN12" s="148"/>
      <c r="CO12" s="148"/>
      <c r="CP12" s="148"/>
      <c r="CQ12" s="148"/>
      <c r="CR12" s="148"/>
      <c r="CS12" s="148"/>
      <c r="CT12" s="148"/>
      <c r="CU12" s="148"/>
      <c r="CV12" s="148"/>
      <c r="CW12" s="148"/>
      <c r="CX12" s="148"/>
      <c r="CY12" s="148"/>
      <c r="CZ12" s="148"/>
      <c r="DA12" s="148"/>
      <c r="DB12" s="148"/>
      <c r="DC12" s="148"/>
      <c r="DD12" s="148"/>
      <c r="DE12" s="148"/>
      <c r="DF12" s="148"/>
      <c r="DG12" s="148"/>
      <c r="DH12" s="148"/>
      <c r="DI12" s="148"/>
      <c r="DJ12" s="148"/>
      <c r="DK12" s="148"/>
      <c r="DL12" s="148"/>
      <c r="DM12" s="148"/>
      <c r="DN12" s="148"/>
      <c r="DO12" s="148"/>
      <c r="DP12" s="148"/>
      <c r="DQ12" s="148"/>
      <c r="DR12" s="148"/>
      <c r="DS12" s="148"/>
      <c r="DT12" s="148"/>
      <c r="DU12" s="148"/>
      <c r="DV12" s="148"/>
      <c r="DW12" s="148"/>
      <c r="DX12" s="148"/>
      <c r="DY12" s="148"/>
      <c r="DZ12" s="148"/>
      <c r="EA12" s="148"/>
      <c r="EB12" s="148"/>
      <c r="EC12" s="148"/>
      <c r="ED12" s="148"/>
      <c r="EE12" s="148"/>
      <c r="EF12" s="148"/>
      <c r="EG12" s="148"/>
      <c r="EH12" s="148"/>
      <c r="EI12" s="148"/>
      <c r="EJ12" s="148"/>
      <c r="EK12" s="148"/>
      <c r="EL12" s="148"/>
      <c r="EM12" s="148"/>
      <c r="EN12" s="148"/>
      <c r="EO12" s="148"/>
      <c r="EP12" s="148"/>
      <c r="EQ12" s="148"/>
      <c r="ER12" s="148"/>
      <c r="ES12" s="148"/>
      <c r="ET12" s="148"/>
      <c r="EU12" s="148"/>
      <c r="EV12" s="148"/>
      <c r="EW12" s="148"/>
      <c r="EX12" s="148"/>
      <c r="EY12" s="148"/>
      <c r="EZ12" s="148"/>
      <c r="FA12" s="148"/>
      <c r="FB12" s="148"/>
      <c r="FC12" s="148"/>
      <c r="FD12" s="148"/>
      <c r="FE12" s="148"/>
      <c r="FF12" s="148"/>
      <c r="FG12" s="148"/>
      <c r="FH12" s="148"/>
      <c r="FI12" s="148"/>
      <c r="FJ12" s="148"/>
      <c r="FK12" s="148"/>
      <c r="FL12" s="148"/>
      <c r="FM12" s="148"/>
      <c r="FN12" s="148"/>
      <c r="FO12" s="148"/>
      <c r="FP12" s="148"/>
      <c r="FQ12" s="148"/>
      <c r="FR12" s="148"/>
    </row>
    <row r="13" spans="1:174" s="15" customFormat="1" ht="13.5" customHeight="1" x14ac:dyDescent="0.2">
      <c r="A13" s="148"/>
      <c r="B13" s="312">
        <v>2</v>
      </c>
      <c r="C13" s="307" t="s">
        <v>38</v>
      </c>
      <c r="D13" s="450" t="s">
        <v>1413</v>
      </c>
      <c r="E13" s="569" t="s">
        <v>1414</v>
      </c>
      <c r="F13" s="533" t="s">
        <v>45</v>
      </c>
      <c r="G13" s="533" t="s">
        <v>1411</v>
      </c>
      <c r="H13" s="533" t="s">
        <v>1412</v>
      </c>
      <c r="I13" s="534" t="s">
        <v>42</v>
      </c>
      <c r="J13" s="535">
        <v>7070438</v>
      </c>
      <c r="K13" s="535">
        <v>6972438</v>
      </c>
      <c r="L13" s="535">
        <v>0</v>
      </c>
      <c r="M13" s="454">
        <v>0</v>
      </c>
      <c r="N13" s="454">
        <v>0</v>
      </c>
      <c r="O13" s="454">
        <v>0</v>
      </c>
      <c r="P13" s="547"/>
      <c r="Q13" s="537"/>
      <c r="R13" s="538"/>
      <c r="S13" s="535">
        <f t="shared" ref="S13:S76" si="0">SUM(M13:R13)</f>
        <v>0</v>
      </c>
      <c r="T13" s="539">
        <v>98000</v>
      </c>
      <c r="U13" s="540">
        <v>1</v>
      </c>
      <c r="V13" s="541">
        <v>44200</v>
      </c>
      <c r="W13" s="542">
        <v>44223</v>
      </c>
      <c r="X13" s="543"/>
      <c r="Y13" s="544"/>
      <c r="Z13" s="542"/>
      <c r="AA13" s="542"/>
      <c r="AB13" s="539"/>
      <c r="AC13" s="544"/>
      <c r="AD13" s="540"/>
      <c r="AE13" s="542"/>
      <c r="AF13" s="542"/>
      <c r="AG13" s="542"/>
      <c r="AH13" s="542"/>
      <c r="AI13" s="542"/>
      <c r="AJ13" s="542"/>
      <c r="AK13" s="542"/>
      <c r="AL13" s="542"/>
      <c r="AM13" s="542"/>
      <c r="AN13" s="542"/>
      <c r="AO13" s="544"/>
      <c r="AP13" s="542"/>
      <c r="AQ13" s="542"/>
      <c r="AR13" s="22">
        <f t="shared" ref="AR13:AR76" si="1">+T13+X13+AB13+AF13+AJ13+AN13</f>
        <v>98000</v>
      </c>
      <c r="AS13" s="546">
        <f t="shared" ref="AS13:AS76" si="2">+AR13-S13</f>
        <v>98000</v>
      </c>
      <c r="AT13" s="148"/>
      <c r="AU13" s="148"/>
      <c r="AV13" s="148"/>
      <c r="AW13" s="148"/>
      <c r="AX13" s="148"/>
      <c r="AY13" s="148"/>
      <c r="AZ13" s="148"/>
      <c r="BA13" s="148"/>
      <c r="BB13" s="148"/>
      <c r="BC13" s="148"/>
      <c r="BD13" s="148"/>
      <c r="BE13" s="148"/>
      <c r="BF13" s="148"/>
      <c r="BG13" s="148"/>
      <c r="BH13" s="148"/>
      <c r="BI13" s="148"/>
      <c r="BJ13" s="148"/>
      <c r="BK13" s="148"/>
      <c r="BL13" s="148"/>
      <c r="BM13" s="148"/>
      <c r="BN13" s="148"/>
      <c r="BO13" s="148"/>
      <c r="BP13" s="148"/>
      <c r="BQ13" s="148"/>
      <c r="BR13" s="148"/>
      <c r="BS13" s="148"/>
      <c r="BT13" s="148"/>
      <c r="BU13" s="148"/>
      <c r="BV13" s="148"/>
      <c r="BW13" s="148"/>
      <c r="BX13" s="148"/>
      <c r="BY13" s="148"/>
      <c r="BZ13" s="148"/>
      <c r="CA13" s="148"/>
      <c r="CB13" s="148"/>
      <c r="CC13" s="148"/>
      <c r="CD13" s="148"/>
      <c r="CE13" s="148"/>
      <c r="CF13" s="148"/>
      <c r="CG13" s="148"/>
      <c r="CH13" s="148"/>
      <c r="CI13" s="148"/>
      <c r="CJ13" s="148"/>
      <c r="CK13" s="148"/>
      <c r="CL13" s="148"/>
      <c r="CM13" s="148"/>
      <c r="CN13" s="148"/>
      <c r="CO13" s="148"/>
      <c r="CP13" s="148"/>
      <c r="CQ13" s="148"/>
      <c r="CR13" s="148"/>
      <c r="CS13" s="148"/>
      <c r="CT13" s="148"/>
      <c r="CU13" s="148"/>
      <c r="CV13" s="148"/>
      <c r="CW13" s="148"/>
      <c r="CX13" s="148"/>
      <c r="CY13" s="148"/>
      <c r="CZ13" s="148"/>
      <c r="DA13" s="148"/>
      <c r="DB13" s="148"/>
      <c r="DC13" s="148"/>
      <c r="DD13" s="148"/>
      <c r="DE13" s="148"/>
      <c r="DF13" s="148"/>
      <c r="DG13" s="148"/>
      <c r="DH13" s="148"/>
      <c r="DI13" s="148"/>
      <c r="DJ13" s="148"/>
      <c r="DK13" s="148"/>
      <c r="DL13" s="148"/>
      <c r="DM13" s="148"/>
      <c r="DN13" s="148"/>
      <c r="DO13" s="148"/>
      <c r="DP13" s="148"/>
      <c r="DQ13" s="148"/>
      <c r="DR13" s="148"/>
      <c r="DS13" s="148"/>
      <c r="DT13" s="148"/>
      <c r="DU13" s="148"/>
      <c r="DV13" s="148"/>
      <c r="DW13" s="148"/>
      <c r="DX13" s="148"/>
      <c r="DY13" s="148"/>
      <c r="DZ13" s="148"/>
      <c r="EA13" s="148"/>
      <c r="EB13" s="148"/>
      <c r="EC13" s="148"/>
      <c r="ED13" s="148"/>
      <c r="EE13" s="148"/>
      <c r="EF13" s="148"/>
      <c r="EG13" s="148"/>
      <c r="EH13" s="148"/>
      <c r="EI13" s="148"/>
      <c r="EJ13" s="148"/>
      <c r="EK13" s="148"/>
      <c r="EL13" s="148"/>
      <c r="EM13" s="148"/>
      <c r="EN13" s="148"/>
      <c r="EO13" s="148"/>
      <c r="EP13" s="148"/>
      <c r="EQ13" s="148"/>
      <c r="ER13" s="148"/>
      <c r="ES13" s="148"/>
      <c r="ET13" s="148"/>
      <c r="EU13" s="148"/>
      <c r="EV13" s="148"/>
      <c r="EW13" s="148"/>
      <c r="EX13" s="148"/>
      <c r="EY13" s="148"/>
      <c r="EZ13" s="148"/>
      <c r="FA13" s="148"/>
      <c r="FB13" s="148"/>
      <c r="FC13" s="148"/>
      <c r="FD13" s="148"/>
      <c r="FE13" s="148"/>
      <c r="FF13" s="148"/>
      <c r="FG13" s="148"/>
      <c r="FH13" s="148"/>
      <c r="FI13" s="148"/>
      <c r="FJ13" s="148"/>
      <c r="FK13" s="148"/>
      <c r="FL13" s="148"/>
      <c r="FM13" s="148"/>
      <c r="FN13" s="148"/>
      <c r="FO13" s="148"/>
      <c r="FP13" s="148"/>
      <c r="FQ13" s="148"/>
      <c r="FR13" s="148"/>
    </row>
    <row r="14" spans="1:174" s="15" customFormat="1" ht="13.5" customHeight="1" x14ac:dyDescent="0.2">
      <c r="A14" s="148"/>
      <c r="B14" s="307">
        <v>3</v>
      </c>
      <c r="C14" s="307" t="s">
        <v>38</v>
      </c>
      <c r="D14" s="450" t="s">
        <v>1415</v>
      </c>
      <c r="E14" s="569" t="s">
        <v>1416</v>
      </c>
      <c r="F14" s="533" t="s">
        <v>45</v>
      </c>
      <c r="G14" s="533" t="s">
        <v>1411</v>
      </c>
      <c r="H14" s="533" t="s">
        <v>1412</v>
      </c>
      <c r="I14" s="534" t="s">
        <v>42</v>
      </c>
      <c r="J14" s="535">
        <v>1062965</v>
      </c>
      <c r="K14" s="535">
        <v>237752</v>
      </c>
      <c r="L14" s="535">
        <v>0</v>
      </c>
      <c r="M14" s="454">
        <v>0</v>
      </c>
      <c r="N14" s="454">
        <v>0</v>
      </c>
      <c r="O14" s="454">
        <v>0</v>
      </c>
      <c r="P14" s="548">
        <v>127474.075</v>
      </c>
      <c r="Q14" s="537">
        <v>138472.59599999999</v>
      </c>
      <c r="R14" s="538">
        <v>106186.46400000001</v>
      </c>
      <c r="S14" s="535">
        <f t="shared" si="0"/>
        <v>372133.13500000001</v>
      </c>
      <c r="T14" s="539">
        <v>560000</v>
      </c>
      <c r="U14" s="540">
        <v>1</v>
      </c>
      <c r="V14" s="541">
        <v>44200</v>
      </c>
      <c r="W14" s="542">
        <v>44223</v>
      </c>
      <c r="X14" s="543"/>
      <c r="Y14" s="544"/>
      <c r="Z14" s="542"/>
      <c r="AA14" s="542"/>
      <c r="AB14" s="549"/>
      <c r="AC14" s="550"/>
      <c r="AD14" s="551"/>
      <c r="AE14" s="552"/>
      <c r="AF14" s="552"/>
      <c r="AG14" s="552"/>
      <c r="AH14" s="552"/>
      <c r="AI14" s="552"/>
      <c r="AJ14" s="552"/>
      <c r="AK14" s="552"/>
      <c r="AL14" s="552"/>
      <c r="AM14" s="552"/>
      <c r="AN14" s="552"/>
      <c r="AO14" s="544"/>
      <c r="AP14" s="552"/>
      <c r="AQ14" s="552"/>
      <c r="AR14" s="22">
        <f t="shared" si="1"/>
        <v>560000</v>
      </c>
      <c r="AS14" s="546">
        <f t="shared" si="2"/>
        <v>187866.86499999999</v>
      </c>
      <c r="AT14" s="148"/>
      <c r="AU14" s="148"/>
      <c r="AV14" s="148"/>
      <c r="AW14" s="148"/>
      <c r="AX14" s="148"/>
      <c r="AY14" s="148"/>
      <c r="AZ14" s="148"/>
      <c r="BA14" s="148"/>
      <c r="BB14" s="148"/>
      <c r="BC14" s="148"/>
      <c r="BD14" s="148"/>
      <c r="BE14" s="148"/>
      <c r="BF14" s="148"/>
      <c r="BG14" s="148"/>
      <c r="BH14" s="148"/>
      <c r="BI14" s="148"/>
      <c r="BJ14" s="148"/>
      <c r="BK14" s="148"/>
      <c r="BL14" s="148"/>
      <c r="BM14" s="148"/>
      <c r="BN14" s="148"/>
      <c r="BO14" s="148"/>
      <c r="BP14" s="148"/>
      <c r="BQ14" s="148"/>
      <c r="BR14" s="148"/>
      <c r="BS14" s="148"/>
      <c r="BT14" s="148"/>
      <c r="BU14" s="148"/>
      <c r="BV14" s="148"/>
      <c r="BW14" s="148"/>
      <c r="BX14" s="148"/>
      <c r="BY14" s="148"/>
      <c r="BZ14" s="148"/>
      <c r="CA14" s="148"/>
      <c r="CB14" s="148"/>
      <c r="CC14" s="148"/>
      <c r="CD14" s="148"/>
      <c r="CE14" s="148"/>
      <c r="CF14" s="148"/>
      <c r="CG14" s="148"/>
      <c r="CH14" s="148"/>
      <c r="CI14" s="148"/>
      <c r="CJ14" s="148"/>
      <c r="CK14" s="148"/>
      <c r="CL14" s="148"/>
      <c r="CM14" s="148"/>
      <c r="CN14" s="148"/>
      <c r="CO14" s="148"/>
      <c r="CP14" s="148"/>
      <c r="CQ14" s="148"/>
      <c r="CR14" s="148"/>
      <c r="CS14" s="148"/>
      <c r="CT14" s="148"/>
      <c r="CU14" s="148"/>
      <c r="CV14" s="148"/>
      <c r="CW14" s="148"/>
      <c r="CX14" s="148"/>
      <c r="CY14" s="148"/>
      <c r="CZ14" s="148"/>
      <c r="DA14" s="148"/>
      <c r="DB14" s="148"/>
      <c r="DC14" s="148"/>
      <c r="DD14" s="148"/>
      <c r="DE14" s="148"/>
      <c r="DF14" s="148"/>
      <c r="DG14" s="148"/>
      <c r="DH14" s="148"/>
      <c r="DI14" s="148"/>
      <c r="DJ14" s="148"/>
      <c r="DK14" s="148"/>
      <c r="DL14" s="148"/>
      <c r="DM14" s="148"/>
      <c r="DN14" s="148"/>
      <c r="DO14" s="148"/>
      <c r="DP14" s="148"/>
      <c r="DQ14" s="148"/>
      <c r="DR14" s="148"/>
      <c r="DS14" s="148"/>
      <c r="DT14" s="148"/>
      <c r="DU14" s="148"/>
      <c r="DV14" s="148"/>
      <c r="DW14" s="148"/>
      <c r="DX14" s="148"/>
      <c r="DY14" s="148"/>
      <c r="DZ14" s="148"/>
      <c r="EA14" s="148"/>
      <c r="EB14" s="148"/>
      <c r="EC14" s="148"/>
      <c r="ED14" s="148"/>
      <c r="EE14" s="148"/>
      <c r="EF14" s="148"/>
      <c r="EG14" s="148"/>
      <c r="EH14" s="148"/>
      <c r="EI14" s="148"/>
      <c r="EJ14" s="148"/>
      <c r="EK14" s="148"/>
      <c r="EL14" s="148"/>
      <c r="EM14" s="148"/>
      <c r="EN14" s="148"/>
      <c r="EO14" s="148"/>
      <c r="EP14" s="148"/>
      <c r="EQ14" s="148"/>
      <c r="ER14" s="148"/>
      <c r="ES14" s="148"/>
      <c r="ET14" s="148"/>
      <c r="EU14" s="148"/>
      <c r="EV14" s="148"/>
      <c r="EW14" s="148"/>
      <c r="EX14" s="148"/>
      <c r="EY14" s="148"/>
      <c r="EZ14" s="148"/>
      <c r="FA14" s="148"/>
      <c r="FB14" s="148"/>
      <c r="FC14" s="148"/>
      <c r="FD14" s="148"/>
      <c r="FE14" s="148"/>
      <c r="FF14" s="148"/>
      <c r="FG14" s="148"/>
      <c r="FH14" s="148"/>
      <c r="FI14" s="148"/>
      <c r="FJ14" s="148"/>
      <c r="FK14" s="148"/>
      <c r="FL14" s="148"/>
      <c r="FM14" s="148"/>
      <c r="FN14" s="148"/>
      <c r="FO14" s="148"/>
      <c r="FP14" s="148"/>
      <c r="FQ14" s="148"/>
      <c r="FR14" s="148"/>
    </row>
    <row r="15" spans="1:174" s="15" customFormat="1" ht="13.5" customHeight="1" x14ac:dyDescent="0.2">
      <c r="A15" s="148"/>
      <c r="B15" s="312">
        <v>4</v>
      </c>
      <c r="C15" s="307" t="s">
        <v>38</v>
      </c>
      <c r="D15" s="450" t="s">
        <v>1417</v>
      </c>
      <c r="E15" s="569" t="s">
        <v>1418</v>
      </c>
      <c r="F15" s="533" t="s">
        <v>45</v>
      </c>
      <c r="G15" s="533" t="s">
        <v>1411</v>
      </c>
      <c r="H15" s="533" t="s">
        <v>1412</v>
      </c>
      <c r="I15" s="534" t="s">
        <v>42</v>
      </c>
      <c r="J15" s="535">
        <v>7399741</v>
      </c>
      <c r="K15" s="535">
        <v>1273627</v>
      </c>
      <c r="L15" s="535">
        <v>109619</v>
      </c>
      <c r="M15" s="454">
        <v>1300</v>
      </c>
      <c r="N15" s="454">
        <v>188796</v>
      </c>
      <c r="O15" s="454">
        <v>156176</v>
      </c>
      <c r="P15" s="548">
        <v>459963.576</v>
      </c>
      <c r="Q15" s="538">
        <v>248560</v>
      </c>
      <c r="R15" s="538">
        <v>301444.82299999997</v>
      </c>
      <c r="S15" s="535">
        <f t="shared" si="0"/>
        <v>1356240.3989999997</v>
      </c>
      <c r="T15" s="539">
        <v>783900</v>
      </c>
      <c r="U15" s="540">
        <v>1</v>
      </c>
      <c r="V15" s="541">
        <v>44200</v>
      </c>
      <c r="W15" s="542">
        <v>44223</v>
      </c>
      <c r="X15" s="543">
        <v>1515872</v>
      </c>
      <c r="Y15" s="544">
        <v>42</v>
      </c>
      <c r="Z15" s="542">
        <v>44294</v>
      </c>
      <c r="AA15" s="542">
        <v>44313</v>
      </c>
      <c r="AB15" s="539">
        <v>-561031</v>
      </c>
      <c r="AC15" s="550">
        <v>62</v>
      </c>
      <c r="AD15" s="551">
        <v>44327</v>
      </c>
      <c r="AE15" s="552">
        <v>44355</v>
      </c>
      <c r="AF15" s="552"/>
      <c r="AG15" s="552"/>
      <c r="AH15" s="552"/>
      <c r="AI15" s="552"/>
      <c r="AJ15" s="552"/>
      <c r="AK15" s="552"/>
      <c r="AL15" s="552"/>
      <c r="AM15" s="552"/>
      <c r="AN15" s="552"/>
      <c r="AO15" s="544"/>
      <c r="AP15" s="552"/>
      <c r="AQ15" s="552"/>
      <c r="AR15" s="22">
        <f t="shared" si="1"/>
        <v>1738741</v>
      </c>
      <c r="AS15" s="546">
        <f t="shared" si="2"/>
        <v>382500.60100000026</v>
      </c>
      <c r="AT15" s="148"/>
      <c r="AU15" s="148"/>
      <c r="AV15" s="148"/>
      <c r="AW15" s="148"/>
      <c r="AX15" s="148"/>
      <c r="AY15" s="148"/>
      <c r="AZ15" s="148"/>
      <c r="BA15" s="148"/>
      <c r="BB15" s="148"/>
      <c r="BC15" s="148"/>
      <c r="BD15" s="148"/>
      <c r="BE15" s="148"/>
      <c r="BF15" s="148"/>
      <c r="BG15" s="148"/>
      <c r="BH15" s="148"/>
      <c r="BI15" s="148"/>
      <c r="BJ15" s="148"/>
      <c r="BK15" s="148"/>
      <c r="BL15" s="148"/>
      <c r="BM15" s="148"/>
      <c r="BN15" s="148"/>
      <c r="BO15" s="148"/>
      <c r="BP15" s="148"/>
      <c r="BQ15" s="148"/>
      <c r="BR15" s="148"/>
      <c r="BS15" s="148"/>
      <c r="BT15" s="148"/>
      <c r="BU15" s="148"/>
      <c r="BV15" s="148"/>
      <c r="BW15" s="148"/>
      <c r="BX15" s="148"/>
      <c r="BY15" s="148"/>
      <c r="BZ15" s="148"/>
      <c r="CA15" s="148"/>
      <c r="CB15" s="148"/>
      <c r="CC15" s="148"/>
      <c r="CD15" s="148"/>
      <c r="CE15" s="148"/>
      <c r="CF15" s="148"/>
      <c r="CG15" s="148"/>
      <c r="CH15" s="148"/>
      <c r="CI15" s="148"/>
      <c r="CJ15" s="148"/>
      <c r="CK15" s="148"/>
      <c r="CL15" s="148"/>
      <c r="CM15" s="148"/>
      <c r="CN15" s="148"/>
      <c r="CO15" s="148"/>
      <c r="CP15" s="148"/>
      <c r="CQ15" s="148"/>
      <c r="CR15" s="148"/>
      <c r="CS15" s="148"/>
      <c r="CT15" s="148"/>
      <c r="CU15" s="148"/>
      <c r="CV15" s="148"/>
      <c r="CW15" s="148"/>
      <c r="CX15" s="148"/>
      <c r="CY15" s="148"/>
      <c r="CZ15" s="148"/>
      <c r="DA15" s="148"/>
      <c r="DB15" s="148"/>
      <c r="DC15" s="148"/>
      <c r="DD15" s="148"/>
      <c r="DE15" s="148"/>
      <c r="DF15" s="148"/>
      <c r="DG15" s="148"/>
      <c r="DH15" s="148"/>
      <c r="DI15" s="148"/>
      <c r="DJ15" s="148"/>
      <c r="DK15" s="148"/>
      <c r="DL15" s="148"/>
      <c r="DM15" s="148"/>
      <c r="DN15" s="148"/>
      <c r="DO15" s="148"/>
      <c r="DP15" s="148"/>
      <c r="DQ15" s="148"/>
      <c r="DR15" s="148"/>
      <c r="DS15" s="148"/>
      <c r="DT15" s="148"/>
      <c r="DU15" s="148"/>
      <c r="DV15" s="148"/>
      <c r="DW15" s="148"/>
      <c r="DX15" s="148"/>
      <c r="DY15" s="148"/>
      <c r="DZ15" s="148"/>
      <c r="EA15" s="148"/>
      <c r="EB15" s="148"/>
      <c r="EC15" s="148"/>
      <c r="ED15" s="148"/>
      <c r="EE15" s="148"/>
      <c r="EF15" s="148"/>
      <c r="EG15" s="148"/>
      <c r="EH15" s="148"/>
      <c r="EI15" s="148"/>
      <c r="EJ15" s="148"/>
      <c r="EK15" s="148"/>
      <c r="EL15" s="148"/>
      <c r="EM15" s="148"/>
      <c r="EN15" s="148"/>
      <c r="EO15" s="148"/>
      <c r="EP15" s="148"/>
      <c r="EQ15" s="148"/>
      <c r="ER15" s="148"/>
      <c r="ES15" s="148"/>
      <c r="ET15" s="148"/>
      <c r="EU15" s="148"/>
      <c r="EV15" s="148"/>
      <c r="EW15" s="148"/>
      <c r="EX15" s="148"/>
      <c r="EY15" s="148"/>
      <c r="EZ15" s="148"/>
      <c r="FA15" s="148"/>
      <c r="FB15" s="148"/>
      <c r="FC15" s="148"/>
      <c r="FD15" s="148"/>
      <c r="FE15" s="148"/>
      <c r="FF15" s="148"/>
      <c r="FG15" s="148"/>
      <c r="FH15" s="148"/>
      <c r="FI15" s="148"/>
      <c r="FJ15" s="148"/>
      <c r="FK15" s="148"/>
      <c r="FL15" s="148"/>
      <c r="FM15" s="148"/>
      <c r="FN15" s="148"/>
      <c r="FO15" s="148"/>
      <c r="FP15" s="148"/>
      <c r="FQ15" s="148"/>
      <c r="FR15" s="148"/>
    </row>
    <row r="16" spans="1:174" s="15" customFormat="1" ht="13.5" customHeight="1" x14ac:dyDescent="0.2">
      <c r="A16" s="148"/>
      <c r="B16" s="307">
        <v>5</v>
      </c>
      <c r="C16" s="307" t="s">
        <v>38</v>
      </c>
      <c r="D16" s="450" t="s">
        <v>1419</v>
      </c>
      <c r="E16" s="569" t="s">
        <v>1420</v>
      </c>
      <c r="F16" s="533" t="s">
        <v>46</v>
      </c>
      <c r="G16" s="533" t="s">
        <v>1411</v>
      </c>
      <c r="H16" s="553" t="s">
        <v>1421</v>
      </c>
      <c r="I16" s="534" t="s">
        <v>42</v>
      </c>
      <c r="J16" s="535">
        <v>182004</v>
      </c>
      <c r="K16" s="535">
        <v>165117</v>
      </c>
      <c r="L16" s="535">
        <v>0</v>
      </c>
      <c r="M16" s="454">
        <v>16887</v>
      </c>
      <c r="N16" s="454">
        <v>0</v>
      </c>
      <c r="O16" s="454">
        <v>0</v>
      </c>
      <c r="P16" s="547"/>
      <c r="Q16" s="538"/>
      <c r="R16" s="538"/>
      <c r="S16" s="535">
        <f t="shared" si="0"/>
        <v>16887</v>
      </c>
      <c r="T16" s="539">
        <v>16887</v>
      </c>
      <c r="U16" s="540">
        <v>1</v>
      </c>
      <c r="V16" s="541">
        <v>44200</v>
      </c>
      <c r="W16" s="542">
        <v>44223</v>
      </c>
      <c r="X16" s="543"/>
      <c r="Y16" s="544"/>
      <c r="Z16" s="542"/>
      <c r="AA16" s="542"/>
      <c r="AB16" s="539"/>
      <c r="AC16" s="550"/>
      <c r="AD16" s="551"/>
      <c r="AE16" s="552"/>
      <c r="AF16" s="552"/>
      <c r="AG16" s="552"/>
      <c r="AH16" s="552"/>
      <c r="AI16" s="552"/>
      <c r="AJ16" s="552"/>
      <c r="AK16" s="552"/>
      <c r="AL16" s="552"/>
      <c r="AM16" s="552"/>
      <c r="AN16" s="552"/>
      <c r="AO16" s="544"/>
      <c r="AP16" s="552"/>
      <c r="AQ16" s="552"/>
      <c r="AR16" s="22">
        <f t="shared" si="1"/>
        <v>16887</v>
      </c>
      <c r="AS16" s="546">
        <f t="shared" si="2"/>
        <v>0</v>
      </c>
      <c r="AT16" s="148"/>
      <c r="AU16" s="148"/>
      <c r="AV16" s="148"/>
      <c r="AW16" s="148"/>
      <c r="AX16" s="148"/>
      <c r="AY16" s="148"/>
      <c r="AZ16" s="148"/>
      <c r="BA16" s="148"/>
      <c r="BB16" s="148"/>
      <c r="BC16" s="148"/>
      <c r="BD16" s="148"/>
      <c r="BE16" s="148"/>
      <c r="BF16" s="148"/>
      <c r="BG16" s="148"/>
      <c r="BH16" s="148"/>
      <c r="BI16" s="148"/>
      <c r="BJ16" s="148"/>
      <c r="BK16" s="148"/>
      <c r="BL16" s="148"/>
      <c r="BM16" s="148"/>
      <c r="BN16" s="148"/>
      <c r="BO16" s="148"/>
      <c r="BP16" s="148"/>
      <c r="BQ16" s="148"/>
      <c r="BR16" s="148"/>
      <c r="BS16" s="148"/>
      <c r="BT16" s="148"/>
      <c r="BU16" s="148"/>
      <c r="BV16" s="148"/>
      <c r="BW16" s="148"/>
      <c r="BX16" s="148"/>
      <c r="BY16" s="148"/>
      <c r="BZ16" s="148"/>
      <c r="CA16" s="148"/>
      <c r="CB16" s="148"/>
      <c r="CC16" s="148"/>
      <c r="CD16" s="148"/>
      <c r="CE16" s="148"/>
      <c r="CF16" s="148"/>
      <c r="CG16" s="148"/>
      <c r="CH16" s="148"/>
      <c r="CI16" s="148"/>
      <c r="CJ16" s="148"/>
      <c r="CK16" s="148"/>
      <c r="CL16" s="148"/>
      <c r="CM16" s="148"/>
      <c r="CN16" s="148"/>
      <c r="CO16" s="148"/>
      <c r="CP16" s="148"/>
      <c r="CQ16" s="148"/>
      <c r="CR16" s="148"/>
      <c r="CS16" s="148"/>
      <c r="CT16" s="148"/>
      <c r="CU16" s="148"/>
      <c r="CV16" s="148"/>
      <c r="CW16" s="148"/>
      <c r="CX16" s="148"/>
      <c r="CY16" s="148"/>
      <c r="CZ16" s="148"/>
      <c r="DA16" s="148"/>
      <c r="DB16" s="148"/>
      <c r="DC16" s="148"/>
      <c r="DD16" s="148"/>
      <c r="DE16" s="148"/>
      <c r="DF16" s="148"/>
      <c r="DG16" s="148"/>
      <c r="DH16" s="148"/>
      <c r="DI16" s="148"/>
      <c r="DJ16" s="148"/>
      <c r="DK16" s="148"/>
      <c r="DL16" s="148"/>
      <c r="DM16" s="148"/>
      <c r="DN16" s="148"/>
      <c r="DO16" s="148"/>
      <c r="DP16" s="148"/>
      <c r="DQ16" s="148"/>
      <c r="DR16" s="148"/>
      <c r="DS16" s="148"/>
      <c r="DT16" s="148"/>
      <c r="DU16" s="148"/>
      <c r="DV16" s="148"/>
      <c r="DW16" s="148"/>
      <c r="DX16" s="148"/>
      <c r="DY16" s="148"/>
      <c r="DZ16" s="148"/>
      <c r="EA16" s="148"/>
      <c r="EB16" s="148"/>
      <c r="EC16" s="148"/>
      <c r="ED16" s="148"/>
      <c r="EE16" s="148"/>
      <c r="EF16" s="148"/>
      <c r="EG16" s="148"/>
      <c r="EH16" s="148"/>
      <c r="EI16" s="148"/>
      <c r="EJ16" s="148"/>
      <c r="EK16" s="148"/>
      <c r="EL16" s="148"/>
      <c r="EM16" s="148"/>
      <c r="EN16" s="148"/>
      <c r="EO16" s="148"/>
      <c r="EP16" s="148"/>
      <c r="EQ16" s="148"/>
      <c r="ER16" s="148"/>
      <c r="ES16" s="148"/>
      <c r="ET16" s="148"/>
      <c r="EU16" s="148"/>
      <c r="EV16" s="148"/>
      <c r="EW16" s="148"/>
      <c r="EX16" s="148"/>
      <c r="EY16" s="148"/>
      <c r="EZ16" s="148"/>
      <c r="FA16" s="148"/>
      <c r="FB16" s="148"/>
      <c r="FC16" s="148"/>
      <c r="FD16" s="148"/>
      <c r="FE16" s="148"/>
      <c r="FF16" s="148"/>
      <c r="FG16" s="148"/>
      <c r="FH16" s="148"/>
      <c r="FI16" s="148"/>
      <c r="FJ16" s="148"/>
      <c r="FK16" s="148"/>
      <c r="FL16" s="148"/>
      <c r="FM16" s="148"/>
      <c r="FN16" s="148"/>
      <c r="FO16" s="148"/>
      <c r="FP16" s="148"/>
      <c r="FQ16" s="148"/>
      <c r="FR16" s="148"/>
    </row>
    <row r="17" spans="1:174" s="15" customFormat="1" ht="13.5" customHeight="1" x14ac:dyDescent="0.2">
      <c r="A17" s="148"/>
      <c r="B17" s="312">
        <v>6</v>
      </c>
      <c r="C17" s="307" t="s">
        <v>38</v>
      </c>
      <c r="D17" s="450" t="s">
        <v>1422</v>
      </c>
      <c r="E17" s="569" t="s">
        <v>1423</v>
      </c>
      <c r="F17" s="533" t="s">
        <v>45</v>
      </c>
      <c r="G17" s="533" t="s">
        <v>1411</v>
      </c>
      <c r="H17" s="553" t="s">
        <v>1424</v>
      </c>
      <c r="I17" s="534" t="s">
        <v>42</v>
      </c>
      <c r="J17" s="535">
        <v>3727745</v>
      </c>
      <c r="K17" s="535">
        <v>3376794</v>
      </c>
      <c r="L17" s="535">
        <v>0</v>
      </c>
      <c r="M17" s="454">
        <v>0</v>
      </c>
      <c r="N17" s="454">
        <v>0</v>
      </c>
      <c r="O17" s="454">
        <v>905</v>
      </c>
      <c r="P17" s="547"/>
      <c r="Q17" s="538"/>
      <c r="R17" s="538"/>
      <c r="S17" s="535">
        <f t="shared" si="0"/>
        <v>905</v>
      </c>
      <c r="T17" s="539">
        <v>350000</v>
      </c>
      <c r="U17" s="540">
        <v>1</v>
      </c>
      <c r="V17" s="541">
        <v>44200</v>
      </c>
      <c r="W17" s="542">
        <v>44223</v>
      </c>
      <c r="X17" s="543">
        <v>906</v>
      </c>
      <c r="Y17" s="544">
        <v>17</v>
      </c>
      <c r="Z17" s="545">
        <v>44242</v>
      </c>
      <c r="AA17" s="542">
        <v>44271</v>
      </c>
      <c r="AB17" s="554">
        <v>45</v>
      </c>
      <c r="AC17" s="554">
        <v>40</v>
      </c>
      <c r="AD17" s="555">
        <v>44294</v>
      </c>
      <c r="AE17" s="542">
        <v>44312</v>
      </c>
      <c r="AF17" s="554"/>
      <c r="AG17" s="555"/>
      <c r="AH17" s="555"/>
      <c r="AI17" s="555"/>
      <c r="AJ17" s="555"/>
      <c r="AK17" s="555"/>
      <c r="AL17" s="555"/>
      <c r="AM17" s="555"/>
      <c r="AN17" s="555"/>
      <c r="AO17" s="544"/>
      <c r="AP17" s="555"/>
      <c r="AQ17" s="555"/>
      <c r="AR17" s="22">
        <f t="shared" si="1"/>
        <v>350951</v>
      </c>
      <c r="AS17" s="546">
        <f t="shared" si="2"/>
        <v>350046</v>
      </c>
      <c r="AT17" s="148"/>
      <c r="AU17" s="148"/>
      <c r="AV17" s="148"/>
      <c r="AW17" s="148"/>
      <c r="AX17" s="148"/>
      <c r="AY17" s="148"/>
      <c r="AZ17" s="148"/>
      <c r="BA17" s="148"/>
      <c r="BB17" s="148"/>
      <c r="BC17" s="148"/>
      <c r="BD17" s="148"/>
      <c r="BE17" s="148"/>
      <c r="BF17" s="148"/>
      <c r="BG17" s="148"/>
      <c r="BH17" s="148"/>
      <c r="BI17" s="148"/>
      <c r="BJ17" s="148"/>
      <c r="BK17" s="148"/>
      <c r="BL17" s="148"/>
      <c r="BM17" s="148"/>
      <c r="BN17" s="148"/>
      <c r="BO17" s="148"/>
      <c r="BP17" s="148"/>
      <c r="BQ17" s="148"/>
      <c r="BR17" s="148"/>
      <c r="BS17" s="148"/>
      <c r="BT17" s="148"/>
      <c r="BU17" s="148"/>
      <c r="BV17" s="148"/>
      <c r="BW17" s="148"/>
      <c r="BX17" s="148"/>
      <c r="BY17" s="148"/>
      <c r="BZ17" s="148"/>
      <c r="CA17" s="148"/>
      <c r="CB17" s="148"/>
      <c r="CC17" s="148"/>
      <c r="CD17" s="148"/>
      <c r="CE17" s="148"/>
      <c r="CF17" s="148"/>
      <c r="CG17" s="148"/>
      <c r="CH17" s="148"/>
      <c r="CI17" s="148"/>
      <c r="CJ17" s="148"/>
      <c r="CK17" s="148"/>
      <c r="CL17" s="148"/>
      <c r="CM17" s="148"/>
      <c r="CN17" s="148"/>
      <c r="CO17" s="148"/>
      <c r="CP17" s="148"/>
      <c r="CQ17" s="148"/>
      <c r="CR17" s="148"/>
      <c r="CS17" s="148"/>
      <c r="CT17" s="148"/>
      <c r="CU17" s="148"/>
      <c r="CV17" s="148"/>
      <c r="CW17" s="148"/>
      <c r="CX17" s="148"/>
      <c r="CY17" s="148"/>
      <c r="CZ17" s="148"/>
      <c r="DA17" s="148"/>
      <c r="DB17" s="148"/>
      <c r="DC17" s="148"/>
      <c r="DD17" s="148"/>
      <c r="DE17" s="148"/>
      <c r="DF17" s="148"/>
      <c r="DG17" s="148"/>
      <c r="DH17" s="148"/>
      <c r="DI17" s="148"/>
      <c r="DJ17" s="148"/>
      <c r="DK17" s="148"/>
      <c r="DL17" s="148"/>
      <c r="DM17" s="148"/>
      <c r="DN17" s="148"/>
      <c r="DO17" s="148"/>
      <c r="DP17" s="148"/>
      <c r="DQ17" s="148"/>
      <c r="DR17" s="148"/>
      <c r="DS17" s="148"/>
      <c r="DT17" s="148"/>
      <c r="DU17" s="148"/>
      <c r="DV17" s="148"/>
      <c r="DW17" s="148"/>
      <c r="DX17" s="148"/>
      <c r="DY17" s="148"/>
      <c r="DZ17" s="148"/>
      <c r="EA17" s="148"/>
      <c r="EB17" s="148"/>
      <c r="EC17" s="148"/>
      <c r="ED17" s="148"/>
      <c r="EE17" s="148"/>
      <c r="EF17" s="148"/>
      <c r="EG17" s="148"/>
      <c r="EH17" s="148"/>
      <c r="EI17" s="148"/>
      <c r="EJ17" s="148"/>
      <c r="EK17" s="148"/>
      <c r="EL17" s="148"/>
      <c r="EM17" s="148"/>
      <c r="EN17" s="148"/>
      <c r="EO17" s="148"/>
      <c r="EP17" s="148"/>
      <c r="EQ17" s="148"/>
      <c r="ER17" s="148"/>
      <c r="ES17" s="148"/>
      <c r="ET17" s="148"/>
      <c r="EU17" s="148"/>
      <c r="EV17" s="148"/>
      <c r="EW17" s="148"/>
      <c r="EX17" s="148"/>
      <c r="EY17" s="148"/>
      <c r="EZ17" s="148"/>
      <c r="FA17" s="148"/>
      <c r="FB17" s="148"/>
      <c r="FC17" s="148"/>
      <c r="FD17" s="148"/>
      <c r="FE17" s="148"/>
      <c r="FF17" s="148"/>
      <c r="FG17" s="148"/>
      <c r="FH17" s="148"/>
      <c r="FI17" s="148"/>
      <c r="FJ17" s="148"/>
      <c r="FK17" s="148"/>
      <c r="FL17" s="148"/>
      <c r="FM17" s="148"/>
      <c r="FN17" s="148"/>
      <c r="FO17" s="148"/>
      <c r="FP17" s="148"/>
      <c r="FQ17" s="148"/>
      <c r="FR17" s="148"/>
    </row>
    <row r="18" spans="1:174" s="15" customFormat="1" ht="13.5" customHeight="1" x14ac:dyDescent="0.2">
      <c r="A18" s="148"/>
      <c r="B18" s="307">
        <v>7</v>
      </c>
      <c r="C18" s="307" t="s">
        <v>38</v>
      </c>
      <c r="D18" s="450" t="s">
        <v>1425</v>
      </c>
      <c r="E18" s="569" t="s">
        <v>1426</v>
      </c>
      <c r="F18" s="533" t="s">
        <v>45</v>
      </c>
      <c r="G18" s="533" t="s">
        <v>1411</v>
      </c>
      <c r="H18" s="553" t="s">
        <v>1427</v>
      </c>
      <c r="I18" s="534" t="s">
        <v>42</v>
      </c>
      <c r="J18" s="535">
        <v>162567</v>
      </c>
      <c r="K18" s="535">
        <v>132741</v>
      </c>
      <c r="L18" s="535">
        <v>0</v>
      </c>
      <c r="M18" s="454">
        <v>17292</v>
      </c>
      <c r="N18" s="454">
        <v>0</v>
      </c>
      <c r="O18" s="454">
        <f>1190+11044</f>
        <v>12234</v>
      </c>
      <c r="P18" s="547"/>
      <c r="Q18" s="538"/>
      <c r="R18" s="538"/>
      <c r="S18" s="535">
        <f t="shared" si="0"/>
        <v>29526</v>
      </c>
      <c r="T18" s="539">
        <v>29826</v>
      </c>
      <c r="U18" s="540">
        <v>1</v>
      </c>
      <c r="V18" s="541">
        <v>44200</v>
      </c>
      <c r="W18" s="542">
        <v>44223</v>
      </c>
      <c r="X18" s="556"/>
      <c r="Y18" s="545"/>
      <c r="Z18" s="542"/>
      <c r="AA18" s="542"/>
      <c r="AB18" s="539"/>
      <c r="AC18" s="544"/>
      <c r="AD18" s="540"/>
      <c r="AE18" s="542"/>
      <c r="AF18" s="554"/>
      <c r="AG18" s="542"/>
      <c r="AH18" s="542"/>
      <c r="AI18" s="542"/>
      <c r="AJ18" s="542"/>
      <c r="AK18" s="542"/>
      <c r="AL18" s="542"/>
      <c r="AM18" s="542"/>
      <c r="AN18" s="542"/>
      <c r="AO18" s="544"/>
      <c r="AP18" s="542"/>
      <c r="AQ18" s="542"/>
      <c r="AR18" s="22">
        <f t="shared" si="1"/>
        <v>29826</v>
      </c>
      <c r="AS18" s="546">
        <f t="shared" si="2"/>
        <v>300</v>
      </c>
      <c r="AT18" s="148"/>
      <c r="AU18" s="148"/>
      <c r="AV18" s="148"/>
      <c r="AW18" s="148"/>
      <c r="AX18" s="148"/>
      <c r="AY18" s="148"/>
      <c r="AZ18" s="148"/>
      <c r="BA18" s="148"/>
      <c r="BB18" s="148"/>
      <c r="BC18" s="148"/>
      <c r="BD18" s="148"/>
      <c r="BE18" s="148"/>
      <c r="BF18" s="148"/>
      <c r="BG18" s="148"/>
      <c r="BH18" s="148"/>
      <c r="BI18" s="148"/>
      <c r="BJ18" s="148"/>
      <c r="BK18" s="148"/>
      <c r="BL18" s="148"/>
      <c r="BM18" s="148"/>
      <c r="BN18" s="148"/>
      <c r="BO18" s="148"/>
      <c r="BP18" s="148"/>
      <c r="BQ18" s="148"/>
      <c r="BR18" s="148"/>
      <c r="BS18" s="148"/>
      <c r="BT18" s="148"/>
      <c r="BU18" s="148"/>
      <c r="BV18" s="148"/>
      <c r="BW18" s="148"/>
      <c r="BX18" s="148"/>
      <c r="BY18" s="148"/>
      <c r="BZ18" s="148"/>
      <c r="CA18" s="148"/>
      <c r="CB18" s="148"/>
      <c r="CC18" s="148"/>
      <c r="CD18" s="148"/>
      <c r="CE18" s="148"/>
      <c r="CF18" s="148"/>
      <c r="CG18" s="148"/>
      <c r="CH18" s="148"/>
      <c r="CI18" s="148"/>
      <c r="CJ18" s="148"/>
      <c r="CK18" s="148"/>
      <c r="CL18" s="148"/>
      <c r="CM18" s="148"/>
      <c r="CN18" s="148"/>
      <c r="CO18" s="148"/>
      <c r="CP18" s="148"/>
      <c r="CQ18" s="148"/>
      <c r="CR18" s="148"/>
      <c r="CS18" s="148"/>
      <c r="CT18" s="148"/>
      <c r="CU18" s="148"/>
      <c r="CV18" s="148"/>
      <c r="CW18" s="148"/>
      <c r="CX18" s="148"/>
      <c r="CY18" s="148"/>
      <c r="CZ18" s="148"/>
      <c r="DA18" s="148"/>
      <c r="DB18" s="148"/>
      <c r="DC18" s="148"/>
      <c r="DD18" s="148"/>
      <c r="DE18" s="148"/>
      <c r="DF18" s="148"/>
      <c r="DG18" s="148"/>
      <c r="DH18" s="148"/>
      <c r="DI18" s="148"/>
      <c r="DJ18" s="148"/>
      <c r="DK18" s="148"/>
      <c r="DL18" s="148"/>
      <c r="DM18" s="148"/>
      <c r="DN18" s="148"/>
      <c r="DO18" s="148"/>
      <c r="DP18" s="148"/>
      <c r="DQ18" s="148"/>
      <c r="DR18" s="148"/>
      <c r="DS18" s="148"/>
      <c r="DT18" s="148"/>
      <c r="DU18" s="148"/>
      <c r="DV18" s="148"/>
      <c r="DW18" s="148"/>
      <c r="DX18" s="148"/>
      <c r="DY18" s="148"/>
      <c r="DZ18" s="148"/>
      <c r="EA18" s="148"/>
      <c r="EB18" s="148"/>
      <c r="EC18" s="148"/>
      <c r="ED18" s="148"/>
      <c r="EE18" s="148"/>
      <c r="EF18" s="148"/>
      <c r="EG18" s="148"/>
      <c r="EH18" s="148"/>
      <c r="EI18" s="148"/>
      <c r="EJ18" s="148"/>
      <c r="EK18" s="148"/>
      <c r="EL18" s="148"/>
      <c r="EM18" s="148"/>
      <c r="EN18" s="148"/>
      <c r="EO18" s="148"/>
      <c r="EP18" s="148"/>
      <c r="EQ18" s="148"/>
      <c r="ER18" s="148"/>
      <c r="ES18" s="148"/>
      <c r="ET18" s="148"/>
      <c r="EU18" s="148"/>
      <c r="EV18" s="148"/>
      <c r="EW18" s="148"/>
      <c r="EX18" s="148"/>
      <c r="EY18" s="148"/>
      <c r="EZ18" s="148"/>
      <c r="FA18" s="148"/>
      <c r="FB18" s="148"/>
      <c r="FC18" s="148"/>
      <c r="FD18" s="148"/>
      <c r="FE18" s="148"/>
      <c r="FF18" s="148"/>
      <c r="FG18" s="148"/>
      <c r="FH18" s="148"/>
      <c r="FI18" s="148"/>
      <c r="FJ18" s="148"/>
      <c r="FK18" s="148"/>
      <c r="FL18" s="148"/>
      <c r="FM18" s="148"/>
      <c r="FN18" s="148"/>
      <c r="FO18" s="148"/>
      <c r="FP18" s="148"/>
      <c r="FQ18" s="148"/>
      <c r="FR18" s="148"/>
    </row>
    <row r="19" spans="1:174" s="15" customFormat="1" ht="13.5" customHeight="1" x14ac:dyDescent="0.2">
      <c r="A19" s="148"/>
      <c r="B19" s="312">
        <v>8</v>
      </c>
      <c r="C19" s="307" t="s">
        <v>38</v>
      </c>
      <c r="D19" s="450" t="s">
        <v>1428</v>
      </c>
      <c r="E19" s="569" t="s">
        <v>1429</v>
      </c>
      <c r="F19" s="533" t="s">
        <v>45</v>
      </c>
      <c r="G19" s="533" t="s">
        <v>1411</v>
      </c>
      <c r="H19" s="553" t="s">
        <v>1427</v>
      </c>
      <c r="I19" s="534" t="s">
        <v>42</v>
      </c>
      <c r="J19" s="535">
        <v>659221</v>
      </c>
      <c r="K19" s="535">
        <v>656805</v>
      </c>
      <c r="L19" s="535">
        <v>0</v>
      </c>
      <c r="M19" s="454">
        <v>2415</v>
      </c>
      <c r="N19" s="454">
        <v>0</v>
      </c>
      <c r="O19" s="454">
        <v>0</v>
      </c>
      <c r="P19" s="547"/>
      <c r="Q19" s="538"/>
      <c r="R19" s="538"/>
      <c r="S19" s="535">
        <f t="shared" si="0"/>
        <v>2415</v>
      </c>
      <c r="T19" s="539">
        <v>2416</v>
      </c>
      <c r="U19" s="540">
        <v>1</v>
      </c>
      <c r="V19" s="541">
        <v>44200</v>
      </c>
      <c r="W19" s="542">
        <v>44223</v>
      </c>
      <c r="X19" s="556"/>
      <c r="Y19" s="545"/>
      <c r="Z19" s="542"/>
      <c r="AA19" s="542"/>
      <c r="AB19" s="539"/>
      <c r="AC19" s="544"/>
      <c r="AD19" s="540"/>
      <c r="AE19" s="542"/>
      <c r="AF19" s="554"/>
      <c r="AG19" s="542"/>
      <c r="AH19" s="542"/>
      <c r="AI19" s="542"/>
      <c r="AJ19" s="542"/>
      <c r="AK19" s="542"/>
      <c r="AL19" s="542"/>
      <c r="AM19" s="542"/>
      <c r="AN19" s="542"/>
      <c r="AO19" s="544"/>
      <c r="AP19" s="542"/>
      <c r="AQ19" s="542"/>
      <c r="AR19" s="22">
        <f t="shared" si="1"/>
        <v>2416</v>
      </c>
      <c r="AS19" s="546">
        <f t="shared" si="2"/>
        <v>1</v>
      </c>
      <c r="AT19" s="148"/>
      <c r="AU19" s="148"/>
      <c r="AV19" s="148"/>
      <c r="AW19" s="148"/>
      <c r="AX19" s="148"/>
      <c r="AY19" s="148"/>
      <c r="AZ19" s="148"/>
      <c r="BA19" s="148"/>
      <c r="BB19" s="148"/>
      <c r="BC19" s="148"/>
      <c r="BD19" s="148"/>
      <c r="BE19" s="148"/>
      <c r="BF19" s="148"/>
      <c r="BG19" s="148"/>
      <c r="BH19" s="148"/>
      <c r="BI19" s="148"/>
      <c r="BJ19" s="148"/>
      <c r="BK19" s="148"/>
      <c r="BL19" s="148"/>
      <c r="BM19" s="148"/>
      <c r="BN19" s="148"/>
      <c r="BO19" s="148"/>
      <c r="BP19" s="148"/>
      <c r="BQ19" s="148"/>
      <c r="BR19" s="148"/>
      <c r="BS19" s="148"/>
      <c r="BT19" s="148"/>
      <c r="BU19" s="148"/>
      <c r="BV19" s="148"/>
      <c r="BW19" s="148"/>
      <c r="BX19" s="148"/>
      <c r="BY19" s="148"/>
      <c r="BZ19" s="148"/>
      <c r="CA19" s="148"/>
      <c r="CB19" s="148"/>
      <c r="CC19" s="148"/>
      <c r="CD19" s="148"/>
      <c r="CE19" s="148"/>
      <c r="CF19" s="148"/>
      <c r="CG19" s="148"/>
      <c r="CH19" s="148"/>
      <c r="CI19" s="148"/>
      <c r="CJ19" s="148"/>
      <c r="CK19" s="148"/>
      <c r="CL19" s="148"/>
      <c r="CM19" s="148"/>
      <c r="CN19" s="148"/>
      <c r="CO19" s="148"/>
      <c r="CP19" s="148"/>
      <c r="CQ19" s="148"/>
      <c r="CR19" s="148"/>
      <c r="CS19" s="148"/>
      <c r="CT19" s="148"/>
      <c r="CU19" s="148"/>
      <c r="CV19" s="148"/>
      <c r="CW19" s="148"/>
      <c r="CX19" s="148"/>
      <c r="CY19" s="148"/>
      <c r="CZ19" s="148"/>
      <c r="DA19" s="148"/>
      <c r="DB19" s="148"/>
      <c r="DC19" s="148"/>
      <c r="DD19" s="148"/>
      <c r="DE19" s="148"/>
      <c r="DF19" s="148"/>
      <c r="DG19" s="148"/>
      <c r="DH19" s="148"/>
      <c r="DI19" s="148"/>
      <c r="DJ19" s="148"/>
      <c r="DK19" s="148"/>
      <c r="DL19" s="148"/>
      <c r="DM19" s="148"/>
      <c r="DN19" s="148"/>
      <c r="DO19" s="148"/>
      <c r="DP19" s="148"/>
      <c r="DQ19" s="148"/>
      <c r="DR19" s="148"/>
      <c r="DS19" s="148"/>
      <c r="DT19" s="148"/>
      <c r="DU19" s="148"/>
      <c r="DV19" s="148"/>
      <c r="DW19" s="148"/>
      <c r="DX19" s="148"/>
      <c r="DY19" s="148"/>
      <c r="DZ19" s="148"/>
      <c r="EA19" s="148"/>
      <c r="EB19" s="148"/>
      <c r="EC19" s="148"/>
      <c r="ED19" s="148"/>
      <c r="EE19" s="148"/>
      <c r="EF19" s="148"/>
      <c r="EG19" s="148"/>
      <c r="EH19" s="148"/>
      <c r="EI19" s="148"/>
      <c r="EJ19" s="148"/>
      <c r="EK19" s="148"/>
      <c r="EL19" s="148"/>
      <c r="EM19" s="148"/>
      <c r="EN19" s="148"/>
      <c r="EO19" s="148"/>
      <c r="EP19" s="148"/>
      <c r="EQ19" s="148"/>
      <c r="ER19" s="148"/>
      <c r="ES19" s="148"/>
      <c r="ET19" s="148"/>
      <c r="EU19" s="148"/>
      <c r="EV19" s="148"/>
      <c r="EW19" s="148"/>
      <c r="EX19" s="148"/>
      <c r="EY19" s="148"/>
      <c r="EZ19" s="148"/>
      <c r="FA19" s="148"/>
      <c r="FB19" s="148"/>
      <c r="FC19" s="148"/>
      <c r="FD19" s="148"/>
      <c r="FE19" s="148"/>
      <c r="FF19" s="148"/>
      <c r="FG19" s="148"/>
      <c r="FH19" s="148"/>
      <c r="FI19" s="148"/>
      <c r="FJ19" s="148"/>
      <c r="FK19" s="148"/>
      <c r="FL19" s="148"/>
      <c r="FM19" s="148"/>
      <c r="FN19" s="148"/>
      <c r="FO19" s="148"/>
      <c r="FP19" s="148"/>
      <c r="FQ19" s="148"/>
      <c r="FR19" s="148"/>
    </row>
    <row r="20" spans="1:174" s="15" customFormat="1" ht="13.5" customHeight="1" x14ac:dyDescent="0.2">
      <c r="A20" s="148"/>
      <c r="B20" s="312">
        <v>9</v>
      </c>
      <c r="C20" s="307" t="s">
        <v>38</v>
      </c>
      <c r="D20" s="450" t="s">
        <v>1430</v>
      </c>
      <c r="E20" s="569" t="s">
        <v>1431</v>
      </c>
      <c r="F20" s="533" t="s">
        <v>45</v>
      </c>
      <c r="G20" s="533" t="s">
        <v>1411</v>
      </c>
      <c r="H20" s="553" t="s">
        <v>1432</v>
      </c>
      <c r="I20" s="534" t="s">
        <v>42</v>
      </c>
      <c r="J20" s="535">
        <v>548516</v>
      </c>
      <c r="K20" s="535">
        <v>208378</v>
      </c>
      <c r="L20" s="535">
        <v>0</v>
      </c>
      <c r="M20" s="454">
        <v>0</v>
      </c>
      <c r="N20" s="454">
        <v>181094</v>
      </c>
      <c r="O20" s="454">
        <v>0</v>
      </c>
      <c r="P20" s="548">
        <v>59896.377</v>
      </c>
      <c r="Q20" s="538"/>
      <c r="R20" s="538"/>
      <c r="S20" s="535">
        <f t="shared" si="0"/>
        <v>240990.37700000001</v>
      </c>
      <c r="T20" s="539">
        <v>317759</v>
      </c>
      <c r="U20" s="540">
        <v>1</v>
      </c>
      <c r="V20" s="541">
        <v>44200</v>
      </c>
      <c r="W20" s="542">
        <v>44223</v>
      </c>
      <c r="X20" s="557">
        <v>19292</v>
      </c>
      <c r="Y20" s="558">
        <v>55</v>
      </c>
      <c r="Z20" s="542">
        <v>44323</v>
      </c>
      <c r="AA20" s="542">
        <v>44350</v>
      </c>
      <c r="AB20" s="539"/>
      <c r="AC20" s="544"/>
      <c r="AD20" s="540"/>
      <c r="AE20" s="542"/>
      <c r="AF20" s="554"/>
      <c r="AG20" s="542"/>
      <c r="AH20" s="542"/>
      <c r="AI20" s="542"/>
      <c r="AJ20" s="542"/>
      <c r="AK20" s="542"/>
      <c r="AL20" s="542"/>
      <c r="AM20" s="542"/>
      <c r="AN20" s="542"/>
      <c r="AO20" s="544"/>
      <c r="AP20" s="542"/>
      <c r="AQ20" s="542"/>
      <c r="AR20" s="22">
        <f t="shared" si="1"/>
        <v>337051</v>
      </c>
      <c r="AS20" s="546">
        <f t="shared" si="2"/>
        <v>96060.622999999992</v>
      </c>
      <c r="AT20" s="148"/>
      <c r="AU20" s="148"/>
      <c r="AV20" s="148"/>
      <c r="AW20" s="148"/>
      <c r="AX20" s="148"/>
      <c r="AY20" s="148"/>
      <c r="AZ20" s="148"/>
      <c r="BA20" s="148"/>
      <c r="BB20" s="148"/>
      <c r="BC20" s="148"/>
      <c r="BD20" s="148"/>
      <c r="BE20" s="148"/>
      <c r="BF20" s="148"/>
      <c r="BG20" s="148"/>
      <c r="BH20" s="148"/>
      <c r="BI20" s="148"/>
      <c r="BJ20" s="148"/>
      <c r="BK20" s="148"/>
      <c r="BL20" s="148"/>
      <c r="BM20" s="148"/>
      <c r="BN20" s="148"/>
      <c r="BO20" s="148"/>
      <c r="BP20" s="148"/>
      <c r="BQ20" s="148"/>
      <c r="BR20" s="148"/>
      <c r="BS20" s="148"/>
      <c r="BT20" s="148"/>
      <c r="BU20" s="148"/>
      <c r="BV20" s="148"/>
      <c r="BW20" s="148"/>
      <c r="BX20" s="148"/>
      <c r="BY20" s="148"/>
      <c r="BZ20" s="148"/>
      <c r="CA20" s="148"/>
      <c r="CB20" s="148"/>
      <c r="CC20" s="148"/>
      <c r="CD20" s="148"/>
      <c r="CE20" s="148"/>
      <c r="CF20" s="148"/>
      <c r="CG20" s="148"/>
      <c r="CH20" s="148"/>
      <c r="CI20" s="148"/>
      <c r="CJ20" s="148"/>
      <c r="CK20" s="148"/>
      <c r="CL20" s="148"/>
      <c r="CM20" s="148"/>
      <c r="CN20" s="148"/>
      <c r="CO20" s="148"/>
      <c r="CP20" s="148"/>
      <c r="CQ20" s="148"/>
      <c r="CR20" s="148"/>
      <c r="CS20" s="148"/>
      <c r="CT20" s="148"/>
      <c r="CU20" s="148"/>
      <c r="CV20" s="148"/>
      <c r="CW20" s="148"/>
      <c r="CX20" s="148"/>
      <c r="CY20" s="148"/>
      <c r="CZ20" s="148"/>
      <c r="DA20" s="148"/>
      <c r="DB20" s="148"/>
      <c r="DC20" s="148"/>
      <c r="DD20" s="148"/>
      <c r="DE20" s="148"/>
      <c r="DF20" s="148"/>
      <c r="DG20" s="148"/>
      <c r="DH20" s="148"/>
      <c r="DI20" s="148"/>
      <c r="DJ20" s="148"/>
      <c r="DK20" s="148"/>
      <c r="DL20" s="148"/>
      <c r="DM20" s="148"/>
      <c r="DN20" s="148"/>
      <c r="DO20" s="148"/>
      <c r="DP20" s="148"/>
      <c r="DQ20" s="148"/>
      <c r="DR20" s="148"/>
      <c r="DS20" s="148"/>
      <c r="DT20" s="148"/>
      <c r="DU20" s="148"/>
      <c r="DV20" s="148"/>
      <c r="DW20" s="148"/>
      <c r="DX20" s="148"/>
      <c r="DY20" s="148"/>
      <c r="DZ20" s="148"/>
      <c r="EA20" s="148"/>
      <c r="EB20" s="148"/>
      <c r="EC20" s="148"/>
      <c r="ED20" s="148"/>
      <c r="EE20" s="148"/>
      <c r="EF20" s="148"/>
      <c r="EG20" s="148"/>
      <c r="EH20" s="148"/>
      <c r="EI20" s="148"/>
      <c r="EJ20" s="148"/>
      <c r="EK20" s="148"/>
      <c r="EL20" s="148"/>
      <c r="EM20" s="148"/>
      <c r="EN20" s="148"/>
      <c r="EO20" s="148"/>
      <c r="EP20" s="148"/>
      <c r="EQ20" s="148"/>
      <c r="ER20" s="148"/>
      <c r="ES20" s="148"/>
      <c r="ET20" s="148"/>
      <c r="EU20" s="148"/>
      <c r="EV20" s="148"/>
      <c r="EW20" s="148"/>
      <c r="EX20" s="148"/>
      <c r="EY20" s="148"/>
      <c r="EZ20" s="148"/>
      <c r="FA20" s="148"/>
      <c r="FB20" s="148"/>
      <c r="FC20" s="148"/>
      <c r="FD20" s="148"/>
      <c r="FE20" s="148"/>
      <c r="FF20" s="148"/>
      <c r="FG20" s="148"/>
      <c r="FH20" s="148"/>
      <c r="FI20" s="148"/>
      <c r="FJ20" s="148"/>
      <c r="FK20" s="148"/>
      <c r="FL20" s="148"/>
      <c r="FM20" s="148"/>
      <c r="FN20" s="148"/>
      <c r="FO20" s="148"/>
      <c r="FP20" s="148"/>
      <c r="FQ20" s="148"/>
      <c r="FR20" s="148"/>
    </row>
    <row r="21" spans="1:174" s="15" customFormat="1" ht="13.5" customHeight="1" x14ac:dyDescent="0.2">
      <c r="A21" s="148"/>
      <c r="B21" s="312">
        <v>10</v>
      </c>
      <c r="C21" s="307" t="s">
        <v>38</v>
      </c>
      <c r="D21" s="450" t="s">
        <v>1433</v>
      </c>
      <c r="E21" s="569" t="s">
        <v>1434</v>
      </c>
      <c r="F21" s="533" t="s">
        <v>45</v>
      </c>
      <c r="G21" s="533" t="s">
        <v>1411</v>
      </c>
      <c r="H21" s="553" t="s">
        <v>1435</v>
      </c>
      <c r="I21" s="534" t="s">
        <v>42</v>
      </c>
      <c r="J21" s="535">
        <v>368358</v>
      </c>
      <c r="K21" s="535">
        <v>364828</v>
      </c>
      <c r="L21" s="535">
        <v>0</v>
      </c>
      <c r="M21" s="454">
        <v>0</v>
      </c>
      <c r="N21" s="454">
        <v>0</v>
      </c>
      <c r="O21" s="454">
        <v>0</v>
      </c>
      <c r="P21" s="548">
        <v>3529.297</v>
      </c>
      <c r="Q21" s="538"/>
      <c r="R21" s="538"/>
      <c r="S21" s="535">
        <f t="shared" si="0"/>
        <v>3529.297</v>
      </c>
      <c r="T21" s="539">
        <v>3530</v>
      </c>
      <c r="U21" s="540">
        <v>1</v>
      </c>
      <c r="V21" s="541">
        <v>44200</v>
      </c>
      <c r="W21" s="542">
        <v>44223</v>
      </c>
      <c r="X21" s="557">
        <v>359</v>
      </c>
      <c r="Y21" s="558">
        <v>55</v>
      </c>
      <c r="Z21" s="542">
        <v>44323</v>
      </c>
      <c r="AA21" s="542">
        <v>44350</v>
      </c>
      <c r="AB21" s="539"/>
      <c r="AC21" s="544"/>
      <c r="AD21" s="540"/>
      <c r="AE21" s="542"/>
      <c r="AF21" s="554"/>
      <c r="AG21" s="542"/>
      <c r="AH21" s="542"/>
      <c r="AI21" s="542"/>
      <c r="AJ21" s="542"/>
      <c r="AK21" s="542"/>
      <c r="AL21" s="542"/>
      <c r="AM21" s="542"/>
      <c r="AN21" s="542"/>
      <c r="AO21" s="544"/>
      <c r="AP21" s="542"/>
      <c r="AQ21" s="542"/>
      <c r="AR21" s="22">
        <f t="shared" si="1"/>
        <v>3889</v>
      </c>
      <c r="AS21" s="546">
        <f t="shared" si="2"/>
        <v>359.70299999999997</v>
      </c>
      <c r="AT21" s="148"/>
      <c r="AU21" s="148"/>
      <c r="AV21" s="148"/>
      <c r="AW21" s="148"/>
      <c r="AX21" s="148"/>
      <c r="AY21" s="148"/>
      <c r="AZ21" s="148"/>
      <c r="BA21" s="148"/>
      <c r="BB21" s="148"/>
      <c r="BC21" s="148"/>
      <c r="BD21" s="148"/>
      <c r="BE21" s="148"/>
      <c r="BF21" s="148"/>
      <c r="BG21" s="148"/>
      <c r="BH21" s="148"/>
      <c r="BI21" s="148"/>
      <c r="BJ21" s="148"/>
      <c r="BK21" s="148"/>
      <c r="BL21" s="148"/>
      <c r="BM21" s="148"/>
      <c r="BN21" s="148"/>
      <c r="BO21" s="148"/>
      <c r="BP21" s="148"/>
      <c r="BQ21" s="148"/>
      <c r="BR21" s="148"/>
      <c r="BS21" s="148"/>
      <c r="BT21" s="148"/>
      <c r="BU21" s="148"/>
      <c r="BV21" s="148"/>
      <c r="BW21" s="148"/>
      <c r="BX21" s="148"/>
      <c r="BY21" s="148"/>
      <c r="BZ21" s="148"/>
      <c r="CA21" s="148"/>
      <c r="CB21" s="148"/>
      <c r="CC21" s="148"/>
      <c r="CD21" s="148"/>
      <c r="CE21" s="148"/>
      <c r="CF21" s="148"/>
      <c r="CG21" s="148"/>
      <c r="CH21" s="148"/>
      <c r="CI21" s="148"/>
      <c r="CJ21" s="148"/>
      <c r="CK21" s="148"/>
      <c r="CL21" s="148"/>
      <c r="CM21" s="148"/>
      <c r="CN21" s="148"/>
      <c r="CO21" s="148"/>
      <c r="CP21" s="148"/>
      <c r="CQ21" s="148"/>
      <c r="CR21" s="148"/>
      <c r="CS21" s="148"/>
      <c r="CT21" s="148"/>
      <c r="CU21" s="148"/>
      <c r="CV21" s="148"/>
      <c r="CW21" s="148"/>
      <c r="CX21" s="148"/>
      <c r="CY21" s="148"/>
      <c r="CZ21" s="148"/>
      <c r="DA21" s="148"/>
      <c r="DB21" s="148"/>
      <c r="DC21" s="148"/>
      <c r="DD21" s="148"/>
      <c r="DE21" s="148"/>
      <c r="DF21" s="148"/>
      <c r="DG21" s="148"/>
      <c r="DH21" s="148"/>
      <c r="DI21" s="148"/>
      <c r="DJ21" s="148"/>
      <c r="DK21" s="148"/>
      <c r="DL21" s="148"/>
      <c r="DM21" s="148"/>
      <c r="DN21" s="148"/>
      <c r="DO21" s="148"/>
      <c r="DP21" s="148"/>
      <c r="DQ21" s="148"/>
      <c r="DR21" s="148"/>
      <c r="DS21" s="148"/>
      <c r="DT21" s="148"/>
      <c r="DU21" s="148"/>
      <c r="DV21" s="148"/>
      <c r="DW21" s="148"/>
      <c r="DX21" s="148"/>
      <c r="DY21" s="148"/>
      <c r="DZ21" s="148"/>
      <c r="EA21" s="148"/>
      <c r="EB21" s="148"/>
      <c r="EC21" s="148"/>
      <c r="ED21" s="148"/>
      <c r="EE21" s="148"/>
      <c r="EF21" s="148"/>
      <c r="EG21" s="148"/>
      <c r="EH21" s="148"/>
      <c r="EI21" s="148"/>
      <c r="EJ21" s="148"/>
      <c r="EK21" s="148"/>
      <c r="EL21" s="148"/>
      <c r="EM21" s="148"/>
      <c r="EN21" s="148"/>
      <c r="EO21" s="148"/>
      <c r="EP21" s="148"/>
      <c r="EQ21" s="148"/>
      <c r="ER21" s="148"/>
      <c r="ES21" s="148"/>
      <c r="ET21" s="148"/>
      <c r="EU21" s="148"/>
      <c r="EV21" s="148"/>
      <c r="EW21" s="148"/>
      <c r="EX21" s="148"/>
      <c r="EY21" s="148"/>
      <c r="EZ21" s="148"/>
      <c r="FA21" s="148"/>
      <c r="FB21" s="148"/>
      <c r="FC21" s="148"/>
      <c r="FD21" s="148"/>
      <c r="FE21" s="148"/>
      <c r="FF21" s="148"/>
      <c r="FG21" s="148"/>
      <c r="FH21" s="148"/>
      <c r="FI21" s="148"/>
      <c r="FJ21" s="148"/>
      <c r="FK21" s="148"/>
      <c r="FL21" s="148"/>
      <c r="FM21" s="148"/>
      <c r="FN21" s="148"/>
      <c r="FO21" s="148"/>
      <c r="FP21" s="148"/>
      <c r="FQ21" s="148"/>
      <c r="FR21" s="148"/>
    </row>
    <row r="22" spans="1:174" s="15" customFormat="1" ht="13.5" customHeight="1" x14ac:dyDescent="0.2">
      <c r="A22" s="148"/>
      <c r="B22" s="307">
        <v>11</v>
      </c>
      <c r="C22" s="307" t="s">
        <v>38</v>
      </c>
      <c r="D22" s="450" t="s">
        <v>1436</v>
      </c>
      <c r="E22" s="569" t="s">
        <v>1437</v>
      </c>
      <c r="F22" s="533" t="s">
        <v>45</v>
      </c>
      <c r="G22" s="533" t="s">
        <v>1411</v>
      </c>
      <c r="H22" s="553" t="s">
        <v>1435</v>
      </c>
      <c r="I22" s="534" t="s">
        <v>42</v>
      </c>
      <c r="J22" s="535">
        <v>369197</v>
      </c>
      <c r="K22" s="535">
        <v>66980</v>
      </c>
      <c r="L22" s="535">
        <v>0</v>
      </c>
      <c r="M22" s="454">
        <v>0</v>
      </c>
      <c r="N22" s="454"/>
      <c r="O22" s="454"/>
      <c r="P22" s="547"/>
      <c r="Q22" s="538"/>
      <c r="R22" s="538">
        <v>141402.48199999999</v>
      </c>
      <c r="S22" s="535">
        <f t="shared" si="0"/>
        <v>141402.48199999999</v>
      </c>
      <c r="T22" s="539">
        <v>6562</v>
      </c>
      <c r="U22" s="540">
        <v>1</v>
      </c>
      <c r="V22" s="541">
        <v>44200</v>
      </c>
      <c r="W22" s="542">
        <v>44223</v>
      </c>
      <c r="X22" s="557">
        <v>190900</v>
      </c>
      <c r="Y22" s="558">
        <v>55</v>
      </c>
      <c r="Z22" s="542">
        <v>44323</v>
      </c>
      <c r="AA22" s="542">
        <v>44350</v>
      </c>
      <c r="AB22" s="539"/>
      <c r="AC22" s="544"/>
      <c r="AD22" s="540"/>
      <c r="AE22" s="542"/>
      <c r="AF22" s="554"/>
      <c r="AG22" s="542"/>
      <c r="AH22" s="542"/>
      <c r="AI22" s="542"/>
      <c r="AJ22" s="542"/>
      <c r="AK22" s="542"/>
      <c r="AL22" s="542"/>
      <c r="AM22" s="542"/>
      <c r="AN22" s="542"/>
      <c r="AO22" s="544"/>
      <c r="AP22" s="542"/>
      <c r="AQ22" s="542"/>
      <c r="AR22" s="22">
        <f t="shared" si="1"/>
        <v>197462</v>
      </c>
      <c r="AS22" s="546">
        <f t="shared" si="2"/>
        <v>56059.518000000011</v>
      </c>
      <c r="AT22" s="148"/>
      <c r="AU22" s="148"/>
      <c r="AV22" s="148"/>
      <c r="AW22" s="148"/>
      <c r="AX22" s="148"/>
      <c r="AY22" s="148"/>
      <c r="AZ22" s="148"/>
      <c r="BA22" s="148"/>
      <c r="BB22" s="148"/>
      <c r="BC22" s="148"/>
      <c r="BD22" s="148"/>
      <c r="BE22" s="148"/>
      <c r="BF22" s="148"/>
      <c r="BG22" s="148"/>
      <c r="BH22" s="148"/>
      <c r="BI22" s="148"/>
      <c r="BJ22" s="148"/>
      <c r="BK22" s="148"/>
      <c r="BL22" s="148"/>
      <c r="BM22" s="148"/>
      <c r="BN22" s="148"/>
      <c r="BO22" s="148"/>
      <c r="BP22" s="148"/>
      <c r="BQ22" s="148"/>
      <c r="BR22" s="148"/>
      <c r="BS22" s="148"/>
      <c r="BT22" s="148"/>
      <c r="BU22" s="148"/>
      <c r="BV22" s="148"/>
      <c r="BW22" s="148"/>
      <c r="BX22" s="148"/>
      <c r="BY22" s="148"/>
      <c r="BZ22" s="148"/>
      <c r="CA22" s="148"/>
      <c r="CB22" s="148"/>
      <c r="CC22" s="148"/>
      <c r="CD22" s="148"/>
      <c r="CE22" s="148"/>
      <c r="CF22" s="148"/>
      <c r="CG22" s="148"/>
      <c r="CH22" s="148"/>
      <c r="CI22" s="148"/>
      <c r="CJ22" s="148"/>
      <c r="CK22" s="148"/>
      <c r="CL22" s="148"/>
      <c r="CM22" s="148"/>
      <c r="CN22" s="148"/>
      <c r="CO22" s="148"/>
      <c r="CP22" s="148"/>
      <c r="CQ22" s="148"/>
      <c r="CR22" s="148"/>
      <c r="CS22" s="148"/>
      <c r="CT22" s="148"/>
      <c r="CU22" s="148"/>
      <c r="CV22" s="148"/>
      <c r="CW22" s="148"/>
      <c r="CX22" s="148"/>
      <c r="CY22" s="148"/>
      <c r="CZ22" s="148"/>
      <c r="DA22" s="148"/>
      <c r="DB22" s="148"/>
      <c r="DC22" s="148"/>
      <c r="DD22" s="148"/>
      <c r="DE22" s="148"/>
      <c r="DF22" s="148"/>
      <c r="DG22" s="148"/>
      <c r="DH22" s="148"/>
      <c r="DI22" s="148"/>
      <c r="DJ22" s="148"/>
      <c r="DK22" s="148"/>
      <c r="DL22" s="148"/>
      <c r="DM22" s="148"/>
      <c r="DN22" s="148"/>
      <c r="DO22" s="148"/>
      <c r="DP22" s="148"/>
      <c r="DQ22" s="148"/>
      <c r="DR22" s="148"/>
      <c r="DS22" s="148"/>
      <c r="DT22" s="148"/>
      <c r="DU22" s="148"/>
      <c r="DV22" s="148"/>
      <c r="DW22" s="148"/>
      <c r="DX22" s="148"/>
      <c r="DY22" s="148"/>
      <c r="DZ22" s="148"/>
      <c r="EA22" s="148"/>
      <c r="EB22" s="148"/>
      <c r="EC22" s="148"/>
      <c r="ED22" s="148"/>
      <c r="EE22" s="148"/>
      <c r="EF22" s="148"/>
      <c r="EG22" s="148"/>
      <c r="EH22" s="148"/>
      <c r="EI22" s="148"/>
      <c r="EJ22" s="148"/>
      <c r="EK22" s="148"/>
      <c r="EL22" s="148"/>
      <c r="EM22" s="148"/>
      <c r="EN22" s="148"/>
      <c r="EO22" s="148"/>
      <c r="EP22" s="148"/>
      <c r="EQ22" s="148"/>
      <c r="ER22" s="148"/>
      <c r="ES22" s="148"/>
      <c r="ET22" s="148"/>
      <c r="EU22" s="148"/>
      <c r="EV22" s="148"/>
      <c r="EW22" s="148"/>
      <c r="EX22" s="148"/>
      <c r="EY22" s="148"/>
      <c r="EZ22" s="148"/>
      <c r="FA22" s="148"/>
      <c r="FB22" s="148"/>
      <c r="FC22" s="148"/>
      <c r="FD22" s="148"/>
      <c r="FE22" s="148"/>
      <c r="FF22" s="148"/>
      <c r="FG22" s="148"/>
      <c r="FH22" s="148"/>
      <c r="FI22" s="148"/>
      <c r="FJ22" s="148"/>
      <c r="FK22" s="148"/>
      <c r="FL22" s="148"/>
      <c r="FM22" s="148"/>
      <c r="FN22" s="148"/>
      <c r="FO22" s="148"/>
      <c r="FP22" s="148"/>
      <c r="FQ22" s="148"/>
      <c r="FR22" s="148"/>
    </row>
    <row r="23" spans="1:174" s="15" customFormat="1" ht="13.5" customHeight="1" x14ac:dyDescent="0.2">
      <c r="A23" s="148"/>
      <c r="B23" s="312">
        <v>12</v>
      </c>
      <c r="C23" s="307" t="s">
        <v>38</v>
      </c>
      <c r="D23" s="450" t="s">
        <v>1438</v>
      </c>
      <c r="E23" s="569" t="s">
        <v>1439</v>
      </c>
      <c r="F23" s="533" t="s">
        <v>45</v>
      </c>
      <c r="G23" s="533" t="s">
        <v>1411</v>
      </c>
      <c r="H23" s="553" t="s">
        <v>1440</v>
      </c>
      <c r="I23" s="534" t="s">
        <v>42</v>
      </c>
      <c r="J23" s="535">
        <v>299437</v>
      </c>
      <c r="K23" s="535">
        <v>237397</v>
      </c>
      <c r="L23" s="535">
        <v>0</v>
      </c>
      <c r="M23" s="454">
        <v>62039</v>
      </c>
      <c r="N23" s="454"/>
      <c r="O23" s="454"/>
      <c r="P23" s="547"/>
      <c r="Q23" s="538"/>
      <c r="R23" s="538"/>
      <c r="S23" s="535">
        <f t="shared" si="0"/>
        <v>62039</v>
      </c>
      <c r="T23" s="539">
        <v>62040</v>
      </c>
      <c r="U23" s="540">
        <v>1</v>
      </c>
      <c r="V23" s="541">
        <v>44200</v>
      </c>
      <c r="W23" s="542">
        <v>44223</v>
      </c>
      <c r="X23" s="556"/>
      <c r="Y23" s="545"/>
      <c r="Z23" s="542"/>
      <c r="AA23" s="542"/>
      <c r="AB23" s="539"/>
      <c r="AC23" s="544"/>
      <c r="AD23" s="540"/>
      <c r="AE23" s="542"/>
      <c r="AF23" s="554"/>
      <c r="AG23" s="542"/>
      <c r="AH23" s="542"/>
      <c r="AI23" s="542"/>
      <c r="AJ23" s="542"/>
      <c r="AK23" s="542"/>
      <c r="AL23" s="542"/>
      <c r="AM23" s="542"/>
      <c r="AN23" s="542"/>
      <c r="AO23" s="544"/>
      <c r="AP23" s="542"/>
      <c r="AQ23" s="542"/>
      <c r="AR23" s="22">
        <f t="shared" si="1"/>
        <v>62040</v>
      </c>
      <c r="AS23" s="546">
        <f t="shared" si="2"/>
        <v>1</v>
      </c>
      <c r="AT23" s="148"/>
      <c r="AU23" s="148"/>
      <c r="AV23" s="148"/>
      <c r="AW23" s="148"/>
      <c r="AX23" s="148"/>
      <c r="AY23" s="148"/>
      <c r="AZ23" s="148"/>
      <c r="BA23" s="148"/>
      <c r="BB23" s="148"/>
      <c r="BC23" s="148"/>
      <c r="BD23" s="148"/>
      <c r="BE23" s="148"/>
      <c r="BF23" s="148"/>
      <c r="BG23" s="148"/>
      <c r="BH23" s="148"/>
      <c r="BI23" s="148"/>
      <c r="BJ23" s="148"/>
      <c r="BK23" s="148"/>
      <c r="BL23" s="148"/>
      <c r="BM23" s="148"/>
      <c r="BN23" s="148"/>
      <c r="BO23" s="148"/>
      <c r="BP23" s="148"/>
      <c r="BQ23" s="148"/>
      <c r="BR23" s="148"/>
      <c r="BS23" s="148"/>
      <c r="BT23" s="148"/>
      <c r="BU23" s="148"/>
      <c r="BV23" s="148"/>
      <c r="BW23" s="148"/>
      <c r="BX23" s="148"/>
      <c r="BY23" s="148"/>
      <c r="BZ23" s="148"/>
      <c r="CA23" s="148"/>
      <c r="CB23" s="148"/>
      <c r="CC23" s="148"/>
      <c r="CD23" s="148"/>
      <c r="CE23" s="148"/>
      <c r="CF23" s="148"/>
      <c r="CG23" s="148"/>
      <c r="CH23" s="148"/>
      <c r="CI23" s="148"/>
      <c r="CJ23" s="148"/>
      <c r="CK23" s="148"/>
      <c r="CL23" s="148"/>
      <c r="CM23" s="148"/>
      <c r="CN23" s="148"/>
      <c r="CO23" s="148"/>
      <c r="CP23" s="148"/>
      <c r="CQ23" s="148"/>
      <c r="CR23" s="148"/>
      <c r="CS23" s="148"/>
      <c r="CT23" s="148"/>
      <c r="CU23" s="148"/>
      <c r="CV23" s="148"/>
      <c r="CW23" s="148"/>
      <c r="CX23" s="148"/>
      <c r="CY23" s="148"/>
      <c r="CZ23" s="148"/>
      <c r="DA23" s="148"/>
      <c r="DB23" s="148"/>
      <c r="DC23" s="148"/>
      <c r="DD23" s="148"/>
      <c r="DE23" s="148"/>
      <c r="DF23" s="148"/>
      <c r="DG23" s="148"/>
      <c r="DH23" s="148"/>
      <c r="DI23" s="148"/>
      <c r="DJ23" s="148"/>
      <c r="DK23" s="148"/>
      <c r="DL23" s="148"/>
      <c r="DM23" s="148"/>
      <c r="DN23" s="148"/>
      <c r="DO23" s="148"/>
      <c r="DP23" s="148"/>
      <c r="DQ23" s="148"/>
      <c r="DR23" s="148"/>
      <c r="DS23" s="148"/>
      <c r="DT23" s="148"/>
      <c r="DU23" s="148"/>
      <c r="DV23" s="148"/>
      <c r="DW23" s="148"/>
      <c r="DX23" s="148"/>
      <c r="DY23" s="148"/>
      <c r="DZ23" s="148"/>
      <c r="EA23" s="148"/>
      <c r="EB23" s="148"/>
      <c r="EC23" s="148"/>
      <c r="ED23" s="148"/>
      <c r="EE23" s="148"/>
      <c r="EF23" s="148"/>
      <c r="EG23" s="148"/>
      <c r="EH23" s="148"/>
      <c r="EI23" s="148"/>
      <c r="EJ23" s="148"/>
      <c r="EK23" s="148"/>
      <c r="EL23" s="148"/>
      <c r="EM23" s="148"/>
      <c r="EN23" s="148"/>
      <c r="EO23" s="148"/>
      <c r="EP23" s="148"/>
      <c r="EQ23" s="148"/>
      <c r="ER23" s="148"/>
      <c r="ES23" s="148"/>
      <c r="ET23" s="148"/>
      <c r="EU23" s="148"/>
      <c r="EV23" s="148"/>
      <c r="EW23" s="148"/>
      <c r="EX23" s="148"/>
      <c r="EY23" s="148"/>
      <c r="EZ23" s="148"/>
      <c r="FA23" s="148"/>
      <c r="FB23" s="148"/>
      <c r="FC23" s="148"/>
      <c r="FD23" s="148"/>
      <c r="FE23" s="148"/>
      <c r="FF23" s="148"/>
      <c r="FG23" s="148"/>
      <c r="FH23" s="148"/>
      <c r="FI23" s="148"/>
      <c r="FJ23" s="148"/>
      <c r="FK23" s="148"/>
      <c r="FL23" s="148"/>
      <c r="FM23" s="148"/>
      <c r="FN23" s="148"/>
      <c r="FO23" s="148"/>
      <c r="FP23" s="148"/>
      <c r="FQ23" s="148"/>
      <c r="FR23" s="148"/>
    </row>
    <row r="24" spans="1:174" s="15" customFormat="1" ht="13.5" customHeight="1" x14ac:dyDescent="0.2">
      <c r="A24" s="148"/>
      <c r="B24" s="307">
        <v>13</v>
      </c>
      <c r="C24" s="307" t="s">
        <v>38</v>
      </c>
      <c r="D24" s="559" t="s">
        <v>1441</v>
      </c>
      <c r="E24" s="569" t="s">
        <v>1442</v>
      </c>
      <c r="F24" s="533" t="s">
        <v>45</v>
      </c>
      <c r="G24" s="533" t="s">
        <v>1411</v>
      </c>
      <c r="H24" s="553" t="s">
        <v>1443</v>
      </c>
      <c r="I24" s="534" t="s">
        <v>42</v>
      </c>
      <c r="J24" s="535">
        <v>322251</v>
      </c>
      <c r="K24" s="535">
        <v>54940</v>
      </c>
      <c r="L24" s="535">
        <v>0</v>
      </c>
      <c r="M24" s="454">
        <v>57781</v>
      </c>
      <c r="N24" s="454"/>
      <c r="O24" s="454"/>
      <c r="P24" s="548">
        <v>1399.279</v>
      </c>
      <c r="Q24" s="538"/>
      <c r="R24" s="538"/>
      <c r="S24" s="535">
        <f t="shared" si="0"/>
        <v>59180.279000000002</v>
      </c>
      <c r="T24" s="539">
        <v>241800</v>
      </c>
      <c r="U24" s="540">
        <v>1</v>
      </c>
      <c r="V24" s="541">
        <v>44200</v>
      </c>
      <c r="W24" s="542">
        <v>44223</v>
      </c>
      <c r="X24" s="557">
        <v>1387</v>
      </c>
      <c r="Y24" s="558">
        <v>11</v>
      </c>
      <c r="Z24" s="542">
        <v>44221</v>
      </c>
      <c r="AA24" s="542">
        <v>44246</v>
      </c>
      <c r="AB24" s="539">
        <v>1252</v>
      </c>
      <c r="AC24" s="544">
        <v>17</v>
      </c>
      <c r="AD24" s="545">
        <v>44242</v>
      </c>
      <c r="AE24" s="542">
        <v>44271</v>
      </c>
      <c r="AF24" s="554"/>
      <c r="AG24" s="542"/>
      <c r="AH24" s="542"/>
      <c r="AI24" s="542"/>
      <c r="AJ24" s="542"/>
      <c r="AK24" s="542"/>
      <c r="AL24" s="542"/>
      <c r="AM24" s="542"/>
      <c r="AN24" s="542"/>
      <c r="AO24" s="544"/>
      <c r="AP24" s="542"/>
      <c r="AQ24" s="542"/>
      <c r="AR24" s="22">
        <f t="shared" si="1"/>
        <v>244439</v>
      </c>
      <c r="AS24" s="546">
        <f t="shared" si="2"/>
        <v>185258.72099999999</v>
      </c>
      <c r="AT24" s="148"/>
      <c r="AU24" s="148"/>
      <c r="AV24" s="148"/>
      <c r="AW24" s="148"/>
      <c r="AX24" s="148"/>
      <c r="AY24" s="148"/>
      <c r="AZ24" s="148"/>
      <c r="BA24" s="148"/>
      <c r="BB24" s="148"/>
      <c r="BC24" s="148"/>
      <c r="BD24" s="148"/>
      <c r="BE24" s="148"/>
      <c r="BF24" s="148"/>
      <c r="BG24" s="148"/>
      <c r="BH24" s="148"/>
      <c r="BI24" s="148"/>
      <c r="BJ24" s="148"/>
      <c r="BK24" s="148"/>
      <c r="BL24" s="148"/>
      <c r="BM24" s="148"/>
      <c r="BN24" s="148"/>
      <c r="BO24" s="148"/>
      <c r="BP24" s="148"/>
      <c r="BQ24" s="148"/>
      <c r="BR24" s="148"/>
      <c r="BS24" s="148"/>
      <c r="BT24" s="148"/>
      <c r="BU24" s="148"/>
      <c r="BV24" s="148"/>
      <c r="BW24" s="148"/>
      <c r="BX24" s="148"/>
      <c r="BY24" s="148"/>
      <c r="BZ24" s="148"/>
      <c r="CA24" s="148"/>
      <c r="CB24" s="148"/>
      <c r="CC24" s="148"/>
      <c r="CD24" s="148"/>
      <c r="CE24" s="148"/>
      <c r="CF24" s="148"/>
      <c r="CG24" s="148"/>
      <c r="CH24" s="148"/>
      <c r="CI24" s="148"/>
      <c r="CJ24" s="148"/>
      <c r="CK24" s="148"/>
      <c r="CL24" s="148"/>
      <c r="CM24" s="148"/>
      <c r="CN24" s="148"/>
      <c r="CO24" s="148"/>
      <c r="CP24" s="148"/>
      <c r="CQ24" s="148"/>
      <c r="CR24" s="148"/>
      <c r="CS24" s="148"/>
      <c r="CT24" s="148"/>
      <c r="CU24" s="148"/>
      <c r="CV24" s="148"/>
      <c r="CW24" s="148"/>
      <c r="CX24" s="148"/>
      <c r="CY24" s="148"/>
      <c r="CZ24" s="148"/>
      <c r="DA24" s="148"/>
      <c r="DB24" s="148"/>
      <c r="DC24" s="148"/>
      <c r="DD24" s="148"/>
      <c r="DE24" s="148"/>
      <c r="DF24" s="148"/>
      <c r="DG24" s="148"/>
      <c r="DH24" s="148"/>
      <c r="DI24" s="148"/>
      <c r="DJ24" s="148"/>
      <c r="DK24" s="148"/>
      <c r="DL24" s="148"/>
      <c r="DM24" s="148"/>
      <c r="DN24" s="148"/>
      <c r="DO24" s="148"/>
      <c r="DP24" s="148"/>
      <c r="DQ24" s="148"/>
      <c r="DR24" s="148"/>
      <c r="DS24" s="148"/>
      <c r="DT24" s="148"/>
      <c r="DU24" s="148"/>
      <c r="DV24" s="148"/>
      <c r="DW24" s="148"/>
      <c r="DX24" s="148"/>
      <c r="DY24" s="148"/>
      <c r="DZ24" s="148"/>
      <c r="EA24" s="148"/>
      <c r="EB24" s="148"/>
      <c r="EC24" s="148"/>
      <c r="ED24" s="148"/>
      <c r="EE24" s="148"/>
      <c r="EF24" s="148"/>
      <c r="EG24" s="148"/>
      <c r="EH24" s="148"/>
      <c r="EI24" s="148"/>
      <c r="EJ24" s="148"/>
      <c r="EK24" s="148"/>
      <c r="EL24" s="148"/>
      <c r="EM24" s="148"/>
      <c r="EN24" s="148"/>
      <c r="EO24" s="148"/>
      <c r="EP24" s="148"/>
      <c r="EQ24" s="148"/>
      <c r="ER24" s="148"/>
      <c r="ES24" s="148"/>
      <c r="ET24" s="148"/>
      <c r="EU24" s="148"/>
      <c r="EV24" s="148"/>
      <c r="EW24" s="148"/>
      <c r="EX24" s="148"/>
      <c r="EY24" s="148"/>
      <c r="EZ24" s="148"/>
      <c r="FA24" s="148"/>
      <c r="FB24" s="148"/>
      <c r="FC24" s="148"/>
      <c r="FD24" s="148"/>
      <c r="FE24" s="148"/>
      <c r="FF24" s="148"/>
      <c r="FG24" s="148"/>
      <c r="FH24" s="148"/>
      <c r="FI24" s="148"/>
      <c r="FJ24" s="148"/>
      <c r="FK24" s="148"/>
      <c r="FL24" s="148"/>
      <c r="FM24" s="148"/>
      <c r="FN24" s="148"/>
      <c r="FO24" s="148"/>
      <c r="FP24" s="148"/>
      <c r="FQ24" s="148"/>
      <c r="FR24" s="148"/>
    </row>
    <row r="25" spans="1:174" s="15" customFormat="1" ht="13.5" customHeight="1" x14ac:dyDescent="0.2">
      <c r="A25" s="148"/>
      <c r="B25" s="312">
        <v>14</v>
      </c>
      <c r="C25" s="307" t="s">
        <v>38</v>
      </c>
      <c r="D25" s="450" t="s">
        <v>1444</v>
      </c>
      <c r="E25" s="569" t="s">
        <v>1445</v>
      </c>
      <c r="F25" s="533" t="s">
        <v>45</v>
      </c>
      <c r="G25" s="533" t="s">
        <v>1411</v>
      </c>
      <c r="H25" s="553" t="s">
        <v>1427</v>
      </c>
      <c r="I25" s="534" t="s">
        <v>42</v>
      </c>
      <c r="J25" s="535">
        <v>691446</v>
      </c>
      <c r="K25" s="535">
        <v>262662</v>
      </c>
      <c r="L25" s="535">
        <v>0</v>
      </c>
      <c r="M25" s="454">
        <v>93881</v>
      </c>
      <c r="N25" s="454">
        <f>3500+104990</f>
        <v>108490</v>
      </c>
      <c r="O25" s="454">
        <v>27438</v>
      </c>
      <c r="P25" s="548">
        <v>32894.716</v>
      </c>
      <c r="Q25" s="538">
        <v>1750</v>
      </c>
      <c r="R25" s="538">
        <v>13166.844999999999</v>
      </c>
      <c r="S25" s="535">
        <f t="shared" si="0"/>
        <v>277620.56099999999</v>
      </c>
      <c r="T25" s="539">
        <v>408651</v>
      </c>
      <c r="U25" s="540">
        <v>1</v>
      </c>
      <c r="V25" s="541">
        <v>44200</v>
      </c>
      <c r="W25" s="542">
        <v>44223</v>
      </c>
      <c r="X25" s="543">
        <v>108750</v>
      </c>
      <c r="Y25" s="544">
        <v>22</v>
      </c>
      <c r="Z25" s="545">
        <v>44256</v>
      </c>
      <c r="AA25" s="542">
        <v>44277</v>
      </c>
      <c r="AB25" s="539">
        <v>4045</v>
      </c>
      <c r="AC25" s="544">
        <v>25</v>
      </c>
      <c r="AD25" s="545">
        <v>44263</v>
      </c>
      <c r="AE25" s="542">
        <v>44292</v>
      </c>
      <c r="AF25" s="554">
        <v>1950</v>
      </c>
      <c r="AG25" s="560">
        <v>55</v>
      </c>
      <c r="AH25" s="542">
        <v>44323</v>
      </c>
      <c r="AI25" s="542">
        <v>44350</v>
      </c>
      <c r="AJ25" s="560">
        <v>-117247</v>
      </c>
      <c r="AK25" s="560">
        <v>70</v>
      </c>
      <c r="AL25" s="542">
        <v>44354</v>
      </c>
      <c r="AM25" s="542">
        <v>44372</v>
      </c>
      <c r="AN25" s="542"/>
      <c r="AO25" s="544"/>
      <c r="AP25" s="542"/>
      <c r="AQ25" s="542"/>
      <c r="AR25" s="22">
        <f t="shared" si="1"/>
        <v>406149</v>
      </c>
      <c r="AS25" s="546">
        <f t="shared" si="2"/>
        <v>128528.43900000001</v>
      </c>
      <c r="AT25" s="148"/>
      <c r="AU25" s="148"/>
      <c r="AV25" s="148"/>
      <c r="AW25" s="148"/>
      <c r="AX25" s="148"/>
      <c r="AY25" s="148"/>
      <c r="AZ25" s="148"/>
      <c r="BA25" s="148"/>
      <c r="BB25" s="148"/>
      <c r="BC25" s="148"/>
      <c r="BD25" s="148"/>
      <c r="BE25" s="148"/>
      <c r="BF25" s="148"/>
      <c r="BG25" s="148"/>
      <c r="BH25" s="148"/>
      <c r="BI25" s="148"/>
      <c r="BJ25" s="148"/>
      <c r="BK25" s="148"/>
      <c r="BL25" s="148"/>
      <c r="BM25" s="148"/>
      <c r="BN25" s="148"/>
      <c r="BO25" s="148"/>
      <c r="BP25" s="148"/>
      <c r="BQ25" s="148"/>
      <c r="BR25" s="148"/>
      <c r="BS25" s="148"/>
      <c r="BT25" s="148"/>
      <c r="BU25" s="148"/>
      <c r="BV25" s="148"/>
      <c r="BW25" s="148"/>
      <c r="BX25" s="148"/>
      <c r="BY25" s="148"/>
      <c r="BZ25" s="148"/>
      <c r="CA25" s="148"/>
      <c r="CB25" s="148"/>
      <c r="CC25" s="148"/>
      <c r="CD25" s="148"/>
      <c r="CE25" s="148"/>
      <c r="CF25" s="148"/>
      <c r="CG25" s="148"/>
      <c r="CH25" s="148"/>
      <c r="CI25" s="148"/>
      <c r="CJ25" s="148"/>
      <c r="CK25" s="148"/>
      <c r="CL25" s="148"/>
      <c r="CM25" s="148"/>
      <c r="CN25" s="148"/>
      <c r="CO25" s="148"/>
      <c r="CP25" s="148"/>
      <c r="CQ25" s="148"/>
      <c r="CR25" s="148"/>
      <c r="CS25" s="148"/>
      <c r="CT25" s="148"/>
      <c r="CU25" s="148"/>
      <c r="CV25" s="148"/>
      <c r="CW25" s="148"/>
      <c r="CX25" s="148"/>
      <c r="CY25" s="148"/>
      <c r="CZ25" s="148"/>
      <c r="DA25" s="148"/>
      <c r="DB25" s="148"/>
      <c r="DC25" s="148"/>
      <c r="DD25" s="148"/>
      <c r="DE25" s="148"/>
      <c r="DF25" s="148"/>
      <c r="DG25" s="148"/>
      <c r="DH25" s="148"/>
      <c r="DI25" s="148"/>
      <c r="DJ25" s="148"/>
      <c r="DK25" s="148"/>
      <c r="DL25" s="148"/>
      <c r="DM25" s="148"/>
      <c r="DN25" s="148"/>
      <c r="DO25" s="148"/>
      <c r="DP25" s="148"/>
      <c r="DQ25" s="148"/>
      <c r="DR25" s="148"/>
      <c r="DS25" s="148"/>
      <c r="DT25" s="148"/>
      <c r="DU25" s="148"/>
      <c r="DV25" s="148"/>
      <c r="DW25" s="148"/>
      <c r="DX25" s="148"/>
      <c r="DY25" s="148"/>
      <c r="DZ25" s="148"/>
      <c r="EA25" s="148"/>
      <c r="EB25" s="148"/>
      <c r="EC25" s="148"/>
      <c r="ED25" s="148"/>
      <c r="EE25" s="148"/>
      <c r="EF25" s="148"/>
      <c r="EG25" s="148"/>
      <c r="EH25" s="148"/>
      <c r="EI25" s="148"/>
      <c r="EJ25" s="148"/>
      <c r="EK25" s="148"/>
      <c r="EL25" s="148"/>
      <c r="EM25" s="148"/>
      <c r="EN25" s="148"/>
      <c r="EO25" s="148"/>
      <c r="EP25" s="148"/>
      <c r="EQ25" s="148"/>
      <c r="ER25" s="148"/>
      <c r="ES25" s="148"/>
      <c r="ET25" s="148"/>
      <c r="EU25" s="148"/>
      <c r="EV25" s="148"/>
      <c r="EW25" s="148"/>
      <c r="EX25" s="148"/>
      <c r="EY25" s="148"/>
      <c r="EZ25" s="148"/>
      <c r="FA25" s="148"/>
      <c r="FB25" s="148"/>
      <c r="FC25" s="148"/>
      <c r="FD25" s="148"/>
      <c r="FE25" s="148"/>
      <c r="FF25" s="148"/>
      <c r="FG25" s="148"/>
      <c r="FH25" s="148"/>
      <c r="FI25" s="148"/>
      <c r="FJ25" s="148"/>
      <c r="FK25" s="148"/>
      <c r="FL25" s="148"/>
      <c r="FM25" s="148"/>
      <c r="FN25" s="148"/>
      <c r="FO25" s="148"/>
      <c r="FP25" s="148"/>
      <c r="FQ25" s="148"/>
      <c r="FR25" s="148"/>
    </row>
    <row r="26" spans="1:174" s="15" customFormat="1" ht="13.5" customHeight="1" x14ac:dyDescent="0.2">
      <c r="A26" s="148"/>
      <c r="B26" s="307">
        <v>15</v>
      </c>
      <c r="C26" s="307" t="s">
        <v>38</v>
      </c>
      <c r="D26" s="450" t="s">
        <v>1446</v>
      </c>
      <c r="E26" s="569" t="s">
        <v>1447</v>
      </c>
      <c r="F26" s="533" t="s">
        <v>45</v>
      </c>
      <c r="G26" s="533" t="s">
        <v>1411</v>
      </c>
      <c r="H26" s="553" t="s">
        <v>1448</v>
      </c>
      <c r="I26" s="534" t="s">
        <v>42</v>
      </c>
      <c r="J26" s="535">
        <v>271223</v>
      </c>
      <c r="K26" s="535">
        <v>201141</v>
      </c>
      <c r="L26" s="535">
        <v>0</v>
      </c>
      <c r="M26" s="454">
        <v>49101</v>
      </c>
      <c r="N26" s="454">
        <v>8264</v>
      </c>
      <c r="O26" s="454"/>
      <c r="P26" s="548">
        <v>2651.875</v>
      </c>
      <c r="Q26" s="538"/>
      <c r="R26" s="538"/>
      <c r="S26" s="535">
        <f t="shared" si="0"/>
        <v>60016.875</v>
      </c>
      <c r="T26" s="539">
        <v>69266</v>
      </c>
      <c r="U26" s="540">
        <v>1</v>
      </c>
      <c r="V26" s="541">
        <v>44200</v>
      </c>
      <c r="W26" s="542">
        <v>44223</v>
      </c>
      <c r="X26" s="539">
        <v>-9248</v>
      </c>
      <c r="Y26" s="561">
        <v>65</v>
      </c>
      <c r="Z26" s="542">
        <v>44340</v>
      </c>
      <c r="AA26" s="542">
        <v>44356</v>
      </c>
      <c r="AB26" s="539"/>
      <c r="AC26" s="544"/>
      <c r="AD26" s="540"/>
      <c r="AE26" s="542"/>
      <c r="AF26" s="554"/>
      <c r="AG26" s="542"/>
      <c r="AH26" s="542"/>
      <c r="AI26" s="542"/>
      <c r="AJ26" s="542"/>
      <c r="AK26" s="542"/>
      <c r="AL26" s="542"/>
      <c r="AM26" s="542"/>
      <c r="AN26" s="542"/>
      <c r="AO26" s="544"/>
      <c r="AP26" s="542"/>
      <c r="AQ26" s="542"/>
      <c r="AR26" s="22">
        <f t="shared" si="1"/>
        <v>60018</v>
      </c>
      <c r="AS26" s="546">
        <f t="shared" si="2"/>
        <v>1.125</v>
      </c>
      <c r="AT26" s="148"/>
      <c r="AU26" s="148"/>
      <c r="AV26" s="148"/>
      <c r="AW26" s="148"/>
      <c r="AX26" s="148"/>
      <c r="AY26" s="148"/>
      <c r="AZ26" s="148"/>
      <c r="BA26" s="148"/>
      <c r="BB26" s="148"/>
      <c r="BC26" s="148"/>
      <c r="BD26" s="148"/>
      <c r="BE26" s="148"/>
      <c r="BF26" s="148"/>
      <c r="BG26" s="148"/>
      <c r="BH26" s="148"/>
      <c r="BI26" s="148"/>
      <c r="BJ26" s="148"/>
      <c r="BK26" s="148"/>
      <c r="BL26" s="148"/>
      <c r="BM26" s="148"/>
      <c r="BN26" s="148"/>
      <c r="BO26" s="148"/>
      <c r="BP26" s="148"/>
      <c r="BQ26" s="148"/>
      <c r="BR26" s="148"/>
      <c r="BS26" s="148"/>
      <c r="BT26" s="148"/>
      <c r="BU26" s="148"/>
      <c r="BV26" s="148"/>
      <c r="BW26" s="148"/>
      <c r="BX26" s="148"/>
      <c r="BY26" s="148"/>
      <c r="BZ26" s="148"/>
      <c r="CA26" s="148"/>
      <c r="CB26" s="148"/>
      <c r="CC26" s="148"/>
      <c r="CD26" s="148"/>
      <c r="CE26" s="148"/>
      <c r="CF26" s="148"/>
      <c r="CG26" s="148"/>
      <c r="CH26" s="148"/>
      <c r="CI26" s="148"/>
      <c r="CJ26" s="148"/>
      <c r="CK26" s="148"/>
      <c r="CL26" s="148"/>
      <c r="CM26" s="148"/>
      <c r="CN26" s="148"/>
      <c r="CO26" s="148"/>
      <c r="CP26" s="148"/>
      <c r="CQ26" s="148"/>
      <c r="CR26" s="148"/>
      <c r="CS26" s="148"/>
      <c r="CT26" s="148"/>
      <c r="CU26" s="148"/>
      <c r="CV26" s="148"/>
      <c r="CW26" s="148"/>
      <c r="CX26" s="148"/>
      <c r="CY26" s="148"/>
      <c r="CZ26" s="148"/>
      <c r="DA26" s="148"/>
      <c r="DB26" s="148"/>
      <c r="DC26" s="148"/>
      <c r="DD26" s="148"/>
      <c r="DE26" s="148"/>
      <c r="DF26" s="148"/>
      <c r="DG26" s="148"/>
      <c r="DH26" s="148"/>
      <c r="DI26" s="148"/>
      <c r="DJ26" s="148"/>
      <c r="DK26" s="148"/>
      <c r="DL26" s="148"/>
      <c r="DM26" s="148"/>
      <c r="DN26" s="148"/>
      <c r="DO26" s="148"/>
      <c r="DP26" s="148"/>
      <c r="DQ26" s="148"/>
      <c r="DR26" s="148"/>
      <c r="DS26" s="148"/>
      <c r="DT26" s="148"/>
      <c r="DU26" s="148"/>
      <c r="DV26" s="148"/>
      <c r="DW26" s="148"/>
      <c r="DX26" s="148"/>
      <c r="DY26" s="148"/>
      <c r="DZ26" s="148"/>
      <c r="EA26" s="148"/>
      <c r="EB26" s="148"/>
      <c r="EC26" s="148"/>
      <c r="ED26" s="148"/>
      <c r="EE26" s="148"/>
      <c r="EF26" s="148"/>
      <c r="EG26" s="148"/>
      <c r="EH26" s="148"/>
      <c r="EI26" s="148"/>
      <c r="EJ26" s="148"/>
      <c r="EK26" s="148"/>
      <c r="EL26" s="148"/>
      <c r="EM26" s="148"/>
      <c r="EN26" s="148"/>
      <c r="EO26" s="148"/>
      <c r="EP26" s="148"/>
      <c r="EQ26" s="148"/>
      <c r="ER26" s="148"/>
      <c r="ES26" s="148"/>
      <c r="ET26" s="148"/>
      <c r="EU26" s="148"/>
      <c r="EV26" s="148"/>
      <c r="EW26" s="148"/>
      <c r="EX26" s="148"/>
      <c r="EY26" s="148"/>
      <c r="EZ26" s="148"/>
      <c r="FA26" s="148"/>
      <c r="FB26" s="148"/>
      <c r="FC26" s="148"/>
      <c r="FD26" s="148"/>
      <c r="FE26" s="148"/>
      <c r="FF26" s="148"/>
      <c r="FG26" s="148"/>
      <c r="FH26" s="148"/>
      <c r="FI26" s="148"/>
      <c r="FJ26" s="148"/>
      <c r="FK26" s="148"/>
      <c r="FL26" s="148"/>
      <c r="FM26" s="148"/>
      <c r="FN26" s="148"/>
      <c r="FO26" s="148"/>
      <c r="FP26" s="148"/>
      <c r="FQ26" s="148"/>
      <c r="FR26" s="148"/>
    </row>
    <row r="27" spans="1:174" s="15" customFormat="1" ht="13.5" customHeight="1" x14ac:dyDescent="0.2">
      <c r="A27" s="148"/>
      <c r="B27" s="312">
        <v>16</v>
      </c>
      <c r="C27" s="307" t="s">
        <v>38</v>
      </c>
      <c r="D27" s="450" t="s">
        <v>1449</v>
      </c>
      <c r="E27" s="569" t="s">
        <v>1450</v>
      </c>
      <c r="F27" s="533" t="s">
        <v>45</v>
      </c>
      <c r="G27" s="533" t="s">
        <v>1411</v>
      </c>
      <c r="H27" s="553" t="s">
        <v>1448</v>
      </c>
      <c r="I27" s="534" t="s">
        <v>42</v>
      </c>
      <c r="J27" s="535">
        <v>257055</v>
      </c>
      <c r="K27" s="535">
        <v>235140</v>
      </c>
      <c r="L27" s="535">
        <v>0</v>
      </c>
      <c r="M27" s="454">
        <v>0</v>
      </c>
      <c r="N27" s="454"/>
      <c r="O27" s="454">
        <v>5637</v>
      </c>
      <c r="P27" s="547"/>
      <c r="Q27" s="538"/>
      <c r="R27" s="538"/>
      <c r="S27" s="535">
        <f t="shared" si="0"/>
        <v>5637</v>
      </c>
      <c r="T27" s="539">
        <v>21915</v>
      </c>
      <c r="U27" s="540">
        <v>1</v>
      </c>
      <c r="V27" s="541">
        <v>44200</v>
      </c>
      <c r="W27" s="542">
        <v>44223</v>
      </c>
      <c r="X27" s="542"/>
      <c r="Y27" s="545"/>
      <c r="Z27" s="542"/>
      <c r="AA27" s="542"/>
      <c r="AB27" s="539"/>
      <c r="AC27" s="544"/>
      <c r="AD27" s="540"/>
      <c r="AE27" s="542"/>
      <c r="AF27" s="554"/>
      <c r="AG27" s="542"/>
      <c r="AH27" s="542"/>
      <c r="AI27" s="542"/>
      <c r="AJ27" s="542"/>
      <c r="AK27" s="542"/>
      <c r="AL27" s="542"/>
      <c r="AM27" s="542"/>
      <c r="AN27" s="542"/>
      <c r="AO27" s="544"/>
      <c r="AP27" s="542"/>
      <c r="AQ27" s="542"/>
      <c r="AR27" s="22">
        <f t="shared" si="1"/>
        <v>21915</v>
      </c>
      <c r="AS27" s="546">
        <f t="shared" si="2"/>
        <v>16278</v>
      </c>
      <c r="AT27" s="148"/>
      <c r="AU27" s="148"/>
      <c r="AV27" s="148"/>
      <c r="AW27" s="148"/>
      <c r="AX27" s="148"/>
      <c r="AY27" s="148"/>
      <c r="AZ27" s="148"/>
      <c r="BA27" s="148"/>
      <c r="BB27" s="148"/>
      <c r="BC27" s="148"/>
      <c r="BD27" s="148"/>
      <c r="BE27" s="148"/>
      <c r="BF27" s="148"/>
      <c r="BG27" s="148"/>
      <c r="BH27" s="148"/>
      <c r="BI27" s="148"/>
      <c r="BJ27" s="148"/>
      <c r="BK27" s="148"/>
      <c r="BL27" s="148"/>
      <c r="BM27" s="148"/>
      <c r="BN27" s="148"/>
      <c r="BO27" s="148"/>
      <c r="BP27" s="148"/>
      <c r="BQ27" s="148"/>
      <c r="BR27" s="148"/>
      <c r="BS27" s="148"/>
      <c r="BT27" s="148"/>
      <c r="BU27" s="148"/>
      <c r="BV27" s="148"/>
      <c r="BW27" s="148"/>
      <c r="BX27" s="148"/>
      <c r="BY27" s="148"/>
      <c r="BZ27" s="148"/>
      <c r="CA27" s="148"/>
      <c r="CB27" s="148"/>
      <c r="CC27" s="148"/>
      <c r="CD27" s="148"/>
      <c r="CE27" s="148"/>
      <c r="CF27" s="148"/>
      <c r="CG27" s="148"/>
      <c r="CH27" s="148"/>
      <c r="CI27" s="148"/>
      <c r="CJ27" s="148"/>
      <c r="CK27" s="148"/>
      <c r="CL27" s="148"/>
      <c r="CM27" s="148"/>
      <c r="CN27" s="148"/>
      <c r="CO27" s="148"/>
      <c r="CP27" s="148"/>
      <c r="CQ27" s="148"/>
      <c r="CR27" s="148"/>
      <c r="CS27" s="148"/>
      <c r="CT27" s="148"/>
      <c r="CU27" s="148"/>
      <c r="CV27" s="148"/>
      <c r="CW27" s="148"/>
      <c r="CX27" s="148"/>
      <c r="CY27" s="148"/>
      <c r="CZ27" s="148"/>
      <c r="DA27" s="148"/>
      <c r="DB27" s="148"/>
      <c r="DC27" s="148"/>
      <c r="DD27" s="148"/>
      <c r="DE27" s="148"/>
      <c r="DF27" s="148"/>
      <c r="DG27" s="148"/>
      <c r="DH27" s="148"/>
      <c r="DI27" s="148"/>
      <c r="DJ27" s="148"/>
      <c r="DK27" s="148"/>
      <c r="DL27" s="148"/>
      <c r="DM27" s="148"/>
      <c r="DN27" s="148"/>
      <c r="DO27" s="148"/>
      <c r="DP27" s="148"/>
      <c r="DQ27" s="148"/>
      <c r="DR27" s="148"/>
      <c r="DS27" s="148"/>
      <c r="DT27" s="148"/>
      <c r="DU27" s="148"/>
      <c r="DV27" s="148"/>
      <c r="DW27" s="148"/>
      <c r="DX27" s="148"/>
      <c r="DY27" s="148"/>
      <c r="DZ27" s="148"/>
      <c r="EA27" s="148"/>
      <c r="EB27" s="148"/>
      <c r="EC27" s="148"/>
      <c r="ED27" s="148"/>
      <c r="EE27" s="148"/>
      <c r="EF27" s="148"/>
      <c r="EG27" s="148"/>
      <c r="EH27" s="148"/>
      <c r="EI27" s="148"/>
      <c r="EJ27" s="148"/>
      <c r="EK27" s="148"/>
      <c r="EL27" s="148"/>
      <c r="EM27" s="148"/>
      <c r="EN27" s="148"/>
      <c r="EO27" s="148"/>
      <c r="EP27" s="148"/>
      <c r="EQ27" s="148"/>
      <c r="ER27" s="148"/>
      <c r="ES27" s="148"/>
      <c r="ET27" s="148"/>
      <c r="EU27" s="148"/>
      <c r="EV27" s="148"/>
      <c r="EW27" s="148"/>
      <c r="EX27" s="148"/>
      <c r="EY27" s="148"/>
      <c r="EZ27" s="148"/>
      <c r="FA27" s="148"/>
      <c r="FB27" s="148"/>
      <c r="FC27" s="148"/>
      <c r="FD27" s="148"/>
      <c r="FE27" s="148"/>
      <c r="FF27" s="148"/>
      <c r="FG27" s="148"/>
      <c r="FH27" s="148"/>
      <c r="FI27" s="148"/>
      <c r="FJ27" s="148"/>
      <c r="FK27" s="148"/>
      <c r="FL27" s="148"/>
      <c r="FM27" s="148"/>
      <c r="FN27" s="148"/>
      <c r="FO27" s="148"/>
      <c r="FP27" s="148"/>
      <c r="FQ27" s="148"/>
      <c r="FR27" s="148"/>
    </row>
    <row r="28" spans="1:174" s="15" customFormat="1" ht="13.5" customHeight="1" x14ac:dyDescent="0.2">
      <c r="A28" s="148"/>
      <c r="B28" s="307">
        <v>17</v>
      </c>
      <c r="C28" s="307" t="s">
        <v>38</v>
      </c>
      <c r="D28" s="450" t="s">
        <v>1451</v>
      </c>
      <c r="E28" s="569" t="s">
        <v>1452</v>
      </c>
      <c r="F28" s="533" t="s">
        <v>45</v>
      </c>
      <c r="G28" s="533" t="s">
        <v>1411</v>
      </c>
      <c r="H28" s="553" t="s">
        <v>1448</v>
      </c>
      <c r="I28" s="534" t="s">
        <v>42</v>
      </c>
      <c r="J28" s="535">
        <v>1302195</v>
      </c>
      <c r="K28" s="535">
        <v>4473</v>
      </c>
      <c r="L28" s="535">
        <v>0</v>
      </c>
      <c r="M28" s="454">
        <v>0</v>
      </c>
      <c r="N28" s="454">
        <f>4375+58412</f>
        <v>62787</v>
      </c>
      <c r="O28" s="454">
        <f>8750+39826</f>
        <v>48576</v>
      </c>
      <c r="P28" s="548">
        <v>55613.824999999997</v>
      </c>
      <c r="Q28" s="538">
        <v>21339.201000000001</v>
      </c>
      <c r="R28" s="538">
        <v>20811.896000000001</v>
      </c>
      <c r="S28" s="535">
        <f t="shared" si="0"/>
        <v>209127.92200000002</v>
      </c>
      <c r="T28" s="539">
        <v>399018</v>
      </c>
      <c r="U28" s="540">
        <v>1</v>
      </c>
      <c r="V28" s="541">
        <v>44200</v>
      </c>
      <c r="W28" s="542">
        <v>44223</v>
      </c>
      <c r="X28" s="539">
        <v>2</v>
      </c>
      <c r="Y28" s="561">
        <v>15</v>
      </c>
      <c r="Z28" s="542">
        <v>44228</v>
      </c>
      <c r="AA28" s="542">
        <v>44260</v>
      </c>
      <c r="AB28" s="539">
        <v>107341</v>
      </c>
      <c r="AC28" s="544">
        <v>25</v>
      </c>
      <c r="AD28" s="545">
        <v>44263</v>
      </c>
      <c r="AE28" s="542">
        <v>44292</v>
      </c>
      <c r="AF28" s="554">
        <v>4375</v>
      </c>
      <c r="AG28" s="560">
        <v>46</v>
      </c>
      <c r="AH28" s="542">
        <v>44295</v>
      </c>
      <c r="AI28" s="542">
        <v>44327</v>
      </c>
      <c r="AJ28" s="554">
        <v>8751</v>
      </c>
      <c r="AK28" s="554">
        <v>55</v>
      </c>
      <c r="AL28" s="542">
        <v>44323</v>
      </c>
      <c r="AM28" s="542">
        <v>44350</v>
      </c>
      <c r="AN28" s="542"/>
      <c r="AO28" s="544"/>
      <c r="AP28" s="542"/>
      <c r="AQ28" s="542"/>
      <c r="AR28" s="22">
        <f t="shared" si="1"/>
        <v>519487</v>
      </c>
      <c r="AS28" s="546">
        <f t="shared" si="2"/>
        <v>310359.07799999998</v>
      </c>
      <c r="AT28" s="148"/>
      <c r="AU28" s="148"/>
      <c r="AV28" s="148"/>
      <c r="AW28" s="148"/>
      <c r="AX28" s="148"/>
      <c r="AY28" s="148"/>
      <c r="AZ28" s="148"/>
      <c r="BA28" s="148"/>
      <c r="BB28" s="148"/>
      <c r="BC28" s="148"/>
      <c r="BD28" s="148"/>
      <c r="BE28" s="148"/>
      <c r="BF28" s="148"/>
      <c r="BG28" s="148"/>
      <c r="BH28" s="148"/>
      <c r="BI28" s="148"/>
      <c r="BJ28" s="148"/>
      <c r="BK28" s="148"/>
      <c r="BL28" s="148"/>
      <c r="BM28" s="148"/>
      <c r="BN28" s="148"/>
      <c r="BO28" s="148"/>
      <c r="BP28" s="148"/>
      <c r="BQ28" s="148"/>
      <c r="BR28" s="148"/>
      <c r="BS28" s="148"/>
      <c r="BT28" s="148"/>
      <c r="BU28" s="148"/>
      <c r="BV28" s="148"/>
      <c r="BW28" s="148"/>
      <c r="BX28" s="148"/>
      <c r="BY28" s="148"/>
      <c r="BZ28" s="148"/>
      <c r="CA28" s="148"/>
      <c r="CB28" s="148"/>
      <c r="CC28" s="148"/>
      <c r="CD28" s="148"/>
      <c r="CE28" s="148"/>
      <c r="CF28" s="148"/>
      <c r="CG28" s="148"/>
      <c r="CH28" s="148"/>
      <c r="CI28" s="148"/>
      <c r="CJ28" s="148"/>
      <c r="CK28" s="148"/>
      <c r="CL28" s="148"/>
      <c r="CM28" s="148"/>
      <c r="CN28" s="148"/>
      <c r="CO28" s="148"/>
      <c r="CP28" s="148"/>
      <c r="CQ28" s="148"/>
      <c r="CR28" s="148"/>
      <c r="CS28" s="148"/>
      <c r="CT28" s="148"/>
      <c r="CU28" s="148"/>
      <c r="CV28" s="148"/>
      <c r="CW28" s="148"/>
      <c r="CX28" s="148"/>
      <c r="CY28" s="148"/>
      <c r="CZ28" s="148"/>
      <c r="DA28" s="148"/>
      <c r="DB28" s="148"/>
      <c r="DC28" s="148"/>
      <c r="DD28" s="148"/>
      <c r="DE28" s="148"/>
      <c r="DF28" s="148"/>
      <c r="DG28" s="148"/>
      <c r="DH28" s="148"/>
      <c r="DI28" s="148"/>
      <c r="DJ28" s="148"/>
      <c r="DK28" s="148"/>
      <c r="DL28" s="148"/>
      <c r="DM28" s="148"/>
      <c r="DN28" s="148"/>
      <c r="DO28" s="148"/>
      <c r="DP28" s="148"/>
      <c r="DQ28" s="148"/>
      <c r="DR28" s="148"/>
      <c r="DS28" s="148"/>
      <c r="DT28" s="148"/>
      <c r="DU28" s="148"/>
      <c r="DV28" s="148"/>
      <c r="DW28" s="148"/>
      <c r="DX28" s="148"/>
      <c r="DY28" s="148"/>
      <c r="DZ28" s="148"/>
      <c r="EA28" s="148"/>
      <c r="EB28" s="148"/>
      <c r="EC28" s="148"/>
      <c r="ED28" s="148"/>
      <c r="EE28" s="148"/>
      <c r="EF28" s="148"/>
      <c r="EG28" s="148"/>
      <c r="EH28" s="148"/>
      <c r="EI28" s="148"/>
      <c r="EJ28" s="148"/>
      <c r="EK28" s="148"/>
      <c r="EL28" s="148"/>
      <c r="EM28" s="148"/>
      <c r="EN28" s="148"/>
      <c r="EO28" s="148"/>
      <c r="EP28" s="148"/>
      <c r="EQ28" s="148"/>
      <c r="ER28" s="148"/>
      <c r="ES28" s="148"/>
      <c r="ET28" s="148"/>
      <c r="EU28" s="148"/>
      <c r="EV28" s="148"/>
      <c r="EW28" s="148"/>
      <c r="EX28" s="148"/>
      <c r="EY28" s="148"/>
      <c r="EZ28" s="148"/>
      <c r="FA28" s="148"/>
      <c r="FB28" s="148"/>
      <c r="FC28" s="148"/>
      <c r="FD28" s="148"/>
      <c r="FE28" s="148"/>
      <c r="FF28" s="148"/>
      <c r="FG28" s="148"/>
      <c r="FH28" s="148"/>
      <c r="FI28" s="148"/>
      <c r="FJ28" s="148"/>
      <c r="FK28" s="148"/>
      <c r="FL28" s="148"/>
      <c r="FM28" s="148"/>
      <c r="FN28" s="148"/>
      <c r="FO28" s="148"/>
      <c r="FP28" s="148"/>
      <c r="FQ28" s="148"/>
      <c r="FR28" s="148"/>
    </row>
    <row r="29" spans="1:174" s="15" customFormat="1" ht="13.5" customHeight="1" x14ac:dyDescent="0.2">
      <c r="A29" s="148"/>
      <c r="B29" s="312">
        <v>18</v>
      </c>
      <c r="C29" s="307" t="s">
        <v>38</v>
      </c>
      <c r="D29" s="450" t="s">
        <v>1453</v>
      </c>
      <c r="E29" s="569" t="s">
        <v>1454</v>
      </c>
      <c r="F29" s="533" t="s">
        <v>45</v>
      </c>
      <c r="G29" s="533" t="s">
        <v>1411</v>
      </c>
      <c r="H29" s="553" t="s">
        <v>1448</v>
      </c>
      <c r="I29" s="534" t="s">
        <v>42</v>
      </c>
      <c r="J29" s="535">
        <v>300667</v>
      </c>
      <c r="K29" s="535">
        <v>0</v>
      </c>
      <c r="L29" s="535">
        <v>0</v>
      </c>
      <c r="M29" s="454">
        <v>32239</v>
      </c>
      <c r="N29" s="454"/>
      <c r="O29" s="454">
        <v>246696</v>
      </c>
      <c r="P29" s="547"/>
      <c r="Q29" s="538"/>
      <c r="R29" s="538"/>
      <c r="S29" s="535">
        <f t="shared" si="0"/>
        <v>278935</v>
      </c>
      <c r="T29" s="539">
        <v>278935</v>
      </c>
      <c r="U29" s="540">
        <v>1</v>
      </c>
      <c r="V29" s="541">
        <v>44200</v>
      </c>
      <c r="W29" s="542">
        <v>44223</v>
      </c>
      <c r="X29" s="539"/>
      <c r="Y29" s="561"/>
      <c r="Z29" s="542"/>
      <c r="AA29" s="542"/>
      <c r="AB29" s="539"/>
      <c r="AC29" s="544"/>
      <c r="AD29" s="540"/>
      <c r="AE29" s="542"/>
      <c r="AF29" s="554"/>
      <c r="AG29" s="560"/>
      <c r="AH29" s="542"/>
      <c r="AI29" s="542"/>
      <c r="AJ29" s="542"/>
      <c r="AK29" s="542"/>
      <c r="AL29" s="542"/>
      <c r="AM29" s="542"/>
      <c r="AN29" s="542"/>
      <c r="AO29" s="544"/>
      <c r="AP29" s="542"/>
      <c r="AQ29" s="542"/>
      <c r="AR29" s="22">
        <f t="shared" si="1"/>
        <v>278935</v>
      </c>
      <c r="AS29" s="546">
        <f t="shared" si="2"/>
        <v>0</v>
      </c>
      <c r="AT29" s="148"/>
      <c r="AU29" s="148"/>
      <c r="AV29" s="148"/>
      <c r="AW29" s="148"/>
      <c r="AX29" s="148"/>
      <c r="AY29" s="148"/>
      <c r="AZ29" s="148"/>
      <c r="BA29" s="148"/>
      <c r="BB29" s="148"/>
      <c r="BC29" s="148"/>
      <c r="BD29" s="148"/>
      <c r="BE29" s="148"/>
      <c r="BF29" s="148"/>
      <c r="BG29" s="148"/>
      <c r="BH29" s="148"/>
      <c r="BI29" s="148"/>
      <c r="BJ29" s="148"/>
      <c r="BK29" s="148"/>
      <c r="BL29" s="148"/>
      <c r="BM29" s="148"/>
      <c r="BN29" s="148"/>
      <c r="BO29" s="148"/>
      <c r="BP29" s="148"/>
      <c r="BQ29" s="148"/>
      <c r="BR29" s="148"/>
      <c r="BS29" s="148"/>
      <c r="BT29" s="148"/>
      <c r="BU29" s="148"/>
      <c r="BV29" s="148"/>
      <c r="BW29" s="148"/>
      <c r="BX29" s="148"/>
      <c r="BY29" s="148"/>
      <c r="BZ29" s="148"/>
      <c r="CA29" s="148"/>
      <c r="CB29" s="148"/>
      <c r="CC29" s="148"/>
      <c r="CD29" s="148"/>
      <c r="CE29" s="148"/>
      <c r="CF29" s="148"/>
      <c r="CG29" s="148"/>
      <c r="CH29" s="148"/>
      <c r="CI29" s="148"/>
      <c r="CJ29" s="148"/>
      <c r="CK29" s="148"/>
      <c r="CL29" s="148"/>
      <c r="CM29" s="148"/>
      <c r="CN29" s="148"/>
      <c r="CO29" s="148"/>
      <c r="CP29" s="148"/>
      <c r="CQ29" s="148"/>
      <c r="CR29" s="148"/>
      <c r="CS29" s="148"/>
      <c r="CT29" s="148"/>
      <c r="CU29" s="148"/>
      <c r="CV29" s="148"/>
      <c r="CW29" s="148"/>
      <c r="CX29" s="148"/>
      <c r="CY29" s="148"/>
      <c r="CZ29" s="148"/>
      <c r="DA29" s="148"/>
      <c r="DB29" s="148"/>
      <c r="DC29" s="148"/>
      <c r="DD29" s="148"/>
      <c r="DE29" s="148"/>
      <c r="DF29" s="148"/>
      <c r="DG29" s="148"/>
      <c r="DH29" s="148"/>
      <c r="DI29" s="148"/>
      <c r="DJ29" s="148"/>
      <c r="DK29" s="148"/>
      <c r="DL29" s="148"/>
      <c r="DM29" s="148"/>
      <c r="DN29" s="148"/>
      <c r="DO29" s="148"/>
      <c r="DP29" s="148"/>
      <c r="DQ29" s="148"/>
      <c r="DR29" s="148"/>
      <c r="DS29" s="148"/>
      <c r="DT29" s="148"/>
      <c r="DU29" s="148"/>
      <c r="DV29" s="148"/>
      <c r="DW29" s="148"/>
      <c r="DX29" s="148"/>
      <c r="DY29" s="148"/>
      <c r="DZ29" s="148"/>
      <c r="EA29" s="148"/>
      <c r="EB29" s="148"/>
      <c r="EC29" s="148"/>
      <c r="ED29" s="148"/>
      <c r="EE29" s="148"/>
      <c r="EF29" s="148"/>
      <c r="EG29" s="148"/>
      <c r="EH29" s="148"/>
      <c r="EI29" s="148"/>
      <c r="EJ29" s="148"/>
      <c r="EK29" s="148"/>
      <c r="EL29" s="148"/>
      <c r="EM29" s="148"/>
      <c r="EN29" s="148"/>
      <c r="EO29" s="148"/>
      <c r="EP29" s="148"/>
      <c r="EQ29" s="148"/>
      <c r="ER29" s="148"/>
      <c r="ES29" s="148"/>
      <c r="ET29" s="148"/>
      <c r="EU29" s="148"/>
      <c r="EV29" s="148"/>
      <c r="EW29" s="148"/>
      <c r="EX29" s="148"/>
      <c r="EY29" s="148"/>
      <c r="EZ29" s="148"/>
      <c r="FA29" s="148"/>
      <c r="FB29" s="148"/>
      <c r="FC29" s="148"/>
      <c r="FD29" s="148"/>
      <c r="FE29" s="148"/>
      <c r="FF29" s="148"/>
      <c r="FG29" s="148"/>
      <c r="FH29" s="148"/>
      <c r="FI29" s="148"/>
      <c r="FJ29" s="148"/>
      <c r="FK29" s="148"/>
      <c r="FL29" s="148"/>
      <c r="FM29" s="148"/>
      <c r="FN29" s="148"/>
      <c r="FO29" s="148"/>
      <c r="FP29" s="148"/>
      <c r="FQ29" s="148"/>
      <c r="FR29" s="148"/>
    </row>
    <row r="30" spans="1:174" s="15" customFormat="1" ht="13.5" customHeight="1" x14ac:dyDescent="0.2">
      <c r="A30" s="148"/>
      <c r="B30" s="307">
        <v>19</v>
      </c>
      <c r="C30" s="307" t="s">
        <v>38</v>
      </c>
      <c r="D30" s="450" t="s">
        <v>1455</v>
      </c>
      <c r="E30" s="569" t="s">
        <v>1456</v>
      </c>
      <c r="F30" s="533" t="s">
        <v>45</v>
      </c>
      <c r="G30" s="533" t="s">
        <v>1411</v>
      </c>
      <c r="H30" s="553" t="s">
        <v>1457</v>
      </c>
      <c r="I30" s="534" t="s">
        <v>42</v>
      </c>
      <c r="J30" s="535">
        <v>1000149</v>
      </c>
      <c r="K30" s="535">
        <v>240242</v>
      </c>
      <c r="L30" s="535">
        <v>0</v>
      </c>
      <c r="M30" s="454">
        <f>1800+38261</f>
        <v>40061</v>
      </c>
      <c r="N30" s="454">
        <f>1800+95719</f>
        <v>97519</v>
      </c>
      <c r="O30" s="454">
        <f>3600+90226</f>
        <v>93826</v>
      </c>
      <c r="P30" s="547">
        <v>88163.076000000001</v>
      </c>
      <c r="Q30" s="538">
        <v>72149.180999999997</v>
      </c>
      <c r="R30" s="538"/>
      <c r="S30" s="535">
        <f t="shared" si="0"/>
        <v>391718.25699999998</v>
      </c>
      <c r="T30" s="539">
        <v>224502</v>
      </c>
      <c r="U30" s="540">
        <v>1</v>
      </c>
      <c r="V30" s="541">
        <v>44200</v>
      </c>
      <c r="W30" s="542">
        <v>44223</v>
      </c>
      <c r="X30" s="539">
        <v>386730</v>
      </c>
      <c r="Y30" s="561">
        <v>25</v>
      </c>
      <c r="Z30" s="545">
        <v>44263</v>
      </c>
      <c r="AA30" s="542">
        <v>44292</v>
      </c>
      <c r="AB30" s="539">
        <v>1800</v>
      </c>
      <c r="AC30" s="544">
        <v>46</v>
      </c>
      <c r="AD30" s="545">
        <v>44295</v>
      </c>
      <c r="AE30" s="542">
        <v>44327</v>
      </c>
      <c r="AF30" s="554">
        <v>156281</v>
      </c>
      <c r="AG30" s="560">
        <v>55</v>
      </c>
      <c r="AH30" s="542">
        <v>44323</v>
      </c>
      <c r="AI30" s="542">
        <v>44350</v>
      </c>
      <c r="AJ30" s="542"/>
      <c r="AK30" s="554"/>
      <c r="AL30" s="542"/>
      <c r="AM30" s="542"/>
      <c r="AN30" s="542"/>
      <c r="AO30" s="542"/>
      <c r="AP30" s="542"/>
      <c r="AQ30" s="542"/>
      <c r="AR30" s="22">
        <f t="shared" si="1"/>
        <v>769313</v>
      </c>
      <c r="AS30" s="546">
        <f t="shared" si="2"/>
        <v>377594.74300000002</v>
      </c>
      <c r="AT30" s="148"/>
      <c r="AU30" s="148"/>
      <c r="AV30" s="148"/>
      <c r="AW30" s="148"/>
      <c r="AX30" s="148"/>
      <c r="AY30" s="148"/>
      <c r="AZ30" s="148"/>
      <c r="BA30" s="148"/>
      <c r="BB30" s="148"/>
      <c r="BC30" s="148"/>
      <c r="BD30" s="148"/>
      <c r="BE30" s="148"/>
      <c r="BF30" s="148"/>
      <c r="BG30" s="148"/>
      <c r="BH30" s="148"/>
      <c r="BI30" s="148"/>
      <c r="BJ30" s="148"/>
      <c r="BK30" s="148"/>
      <c r="BL30" s="148"/>
      <c r="BM30" s="148"/>
      <c r="BN30" s="148"/>
      <c r="BO30" s="148"/>
      <c r="BP30" s="148"/>
      <c r="BQ30" s="148"/>
      <c r="BR30" s="148"/>
      <c r="BS30" s="148"/>
      <c r="BT30" s="148"/>
      <c r="BU30" s="148"/>
      <c r="BV30" s="148"/>
      <c r="BW30" s="148"/>
      <c r="BX30" s="148"/>
      <c r="BY30" s="148"/>
      <c r="BZ30" s="148"/>
      <c r="CA30" s="148"/>
      <c r="CB30" s="148"/>
      <c r="CC30" s="148"/>
      <c r="CD30" s="148"/>
      <c r="CE30" s="148"/>
      <c r="CF30" s="148"/>
      <c r="CG30" s="148"/>
      <c r="CH30" s="148"/>
      <c r="CI30" s="148"/>
      <c r="CJ30" s="148"/>
      <c r="CK30" s="148"/>
      <c r="CL30" s="148"/>
      <c r="CM30" s="148"/>
      <c r="CN30" s="148"/>
      <c r="CO30" s="148"/>
      <c r="CP30" s="148"/>
      <c r="CQ30" s="148"/>
      <c r="CR30" s="148"/>
      <c r="CS30" s="148"/>
      <c r="CT30" s="148"/>
      <c r="CU30" s="148"/>
      <c r="CV30" s="148"/>
      <c r="CW30" s="148"/>
      <c r="CX30" s="148"/>
      <c r="CY30" s="148"/>
      <c r="CZ30" s="148"/>
      <c r="DA30" s="148"/>
      <c r="DB30" s="148"/>
      <c r="DC30" s="148"/>
      <c r="DD30" s="148"/>
      <c r="DE30" s="148"/>
      <c r="DF30" s="148"/>
      <c r="DG30" s="148"/>
      <c r="DH30" s="148"/>
      <c r="DI30" s="148"/>
      <c r="DJ30" s="148"/>
      <c r="DK30" s="148"/>
      <c r="DL30" s="148"/>
      <c r="DM30" s="148"/>
      <c r="DN30" s="148"/>
      <c r="DO30" s="148"/>
      <c r="DP30" s="148"/>
      <c r="DQ30" s="148"/>
      <c r="DR30" s="148"/>
      <c r="DS30" s="148"/>
      <c r="DT30" s="148"/>
      <c r="DU30" s="148"/>
      <c r="DV30" s="148"/>
      <c r="DW30" s="148"/>
      <c r="DX30" s="148"/>
      <c r="DY30" s="148"/>
      <c r="DZ30" s="148"/>
      <c r="EA30" s="148"/>
      <c r="EB30" s="148"/>
      <c r="EC30" s="148"/>
      <c r="ED30" s="148"/>
      <c r="EE30" s="148"/>
      <c r="EF30" s="148"/>
      <c r="EG30" s="148"/>
      <c r="EH30" s="148"/>
      <c r="EI30" s="148"/>
      <c r="EJ30" s="148"/>
      <c r="EK30" s="148"/>
      <c r="EL30" s="148"/>
      <c r="EM30" s="148"/>
      <c r="EN30" s="148"/>
      <c r="EO30" s="148"/>
      <c r="EP30" s="148"/>
      <c r="EQ30" s="148"/>
      <c r="ER30" s="148"/>
      <c r="ES30" s="148"/>
      <c r="ET30" s="148"/>
      <c r="EU30" s="148"/>
      <c r="EV30" s="148"/>
      <c r="EW30" s="148"/>
      <c r="EX30" s="148"/>
      <c r="EY30" s="148"/>
      <c r="EZ30" s="148"/>
      <c r="FA30" s="148"/>
      <c r="FB30" s="148"/>
      <c r="FC30" s="148"/>
      <c r="FD30" s="148"/>
      <c r="FE30" s="148"/>
      <c r="FF30" s="148"/>
      <c r="FG30" s="148"/>
      <c r="FH30" s="148"/>
      <c r="FI30" s="148"/>
      <c r="FJ30" s="148"/>
      <c r="FK30" s="148"/>
      <c r="FL30" s="148"/>
      <c r="FM30" s="148"/>
      <c r="FN30" s="148"/>
      <c r="FO30" s="148"/>
      <c r="FP30" s="148"/>
      <c r="FQ30" s="148"/>
      <c r="FR30" s="148"/>
    </row>
    <row r="31" spans="1:174" s="15" customFormat="1" ht="13.5" customHeight="1" x14ac:dyDescent="0.2">
      <c r="A31" s="148"/>
      <c r="B31" s="312">
        <v>20</v>
      </c>
      <c r="C31" s="307" t="s">
        <v>38</v>
      </c>
      <c r="D31" s="450" t="s">
        <v>1458</v>
      </c>
      <c r="E31" s="569" t="s">
        <v>1459</v>
      </c>
      <c r="F31" s="533" t="s">
        <v>46</v>
      </c>
      <c r="G31" s="533" t="s">
        <v>1411</v>
      </c>
      <c r="H31" s="553" t="s">
        <v>1457</v>
      </c>
      <c r="I31" s="534" t="s">
        <v>43</v>
      </c>
      <c r="J31" s="535">
        <v>51891</v>
      </c>
      <c r="K31" s="535">
        <v>0</v>
      </c>
      <c r="L31" s="535">
        <v>0</v>
      </c>
      <c r="M31" s="454">
        <v>0</v>
      </c>
      <c r="N31" s="454"/>
      <c r="O31" s="454"/>
      <c r="P31" s="547"/>
      <c r="Q31" s="538"/>
      <c r="R31" s="538"/>
      <c r="S31" s="535">
        <f t="shared" si="0"/>
        <v>0</v>
      </c>
      <c r="T31" s="539">
        <v>29193</v>
      </c>
      <c r="U31" s="540">
        <v>1</v>
      </c>
      <c r="V31" s="541">
        <v>44200</v>
      </c>
      <c r="W31" s="542">
        <v>44223</v>
      </c>
      <c r="X31" s="539">
        <v>1</v>
      </c>
      <c r="Y31" s="561">
        <v>15</v>
      </c>
      <c r="Z31" s="545">
        <v>44228</v>
      </c>
      <c r="AA31" s="542">
        <v>44260</v>
      </c>
      <c r="AB31" s="539"/>
      <c r="AC31" s="544"/>
      <c r="AD31" s="545"/>
      <c r="AE31" s="542"/>
      <c r="AF31" s="554"/>
      <c r="AG31" s="560"/>
      <c r="AH31" s="542"/>
      <c r="AI31" s="542"/>
      <c r="AJ31" s="542"/>
      <c r="AK31" s="554"/>
      <c r="AL31" s="542"/>
      <c r="AM31" s="542"/>
      <c r="AN31" s="542"/>
      <c r="AO31" s="542"/>
      <c r="AP31" s="542"/>
      <c r="AQ31" s="542"/>
      <c r="AR31" s="22">
        <f t="shared" si="1"/>
        <v>29194</v>
      </c>
      <c r="AS31" s="546">
        <f t="shared" si="2"/>
        <v>29194</v>
      </c>
      <c r="AT31" s="148"/>
      <c r="AU31" s="148"/>
      <c r="AV31" s="148"/>
      <c r="AW31" s="148"/>
      <c r="AX31" s="148"/>
      <c r="AY31" s="148"/>
      <c r="AZ31" s="148"/>
      <c r="BA31" s="148"/>
      <c r="BB31" s="148"/>
      <c r="BC31" s="148"/>
      <c r="BD31" s="148"/>
      <c r="BE31" s="148"/>
      <c r="BF31" s="148"/>
      <c r="BG31" s="148"/>
      <c r="BH31" s="148"/>
      <c r="BI31" s="148"/>
      <c r="BJ31" s="148"/>
      <c r="BK31" s="148"/>
      <c r="BL31" s="148"/>
      <c r="BM31" s="148"/>
      <c r="BN31" s="148"/>
      <c r="BO31" s="148"/>
      <c r="BP31" s="148"/>
      <c r="BQ31" s="148"/>
      <c r="BR31" s="148"/>
      <c r="BS31" s="148"/>
      <c r="BT31" s="148"/>
      <c r="BU31" s="148"/>
      <c r="BV31" s="148"/>
      <c r="BW31" s="148"/>
      <c r="BX31" s="148"/>
      <c r="BY31" s="148"/>
      <c r="BZ31" s="148"/>
      <c r="CA31" s="148"/>
      <c r="CB31" s="148"/>
      <c r="CC31" s="148"/>
      <c r="CD31" s="148"/>
      <c r="CE31" s="148"/>
      <c r="CF31" s="148"/>
      <c r="CG31" s="148"/>
      <c r="CH31" s="148"/>
      <c r="CI31" s="148"/>
      <c r="CJ31" s="148"/>
      <c r="CK31" s="148"/>
      <c r="CL31" s="148"/>
      <c r="CM31" s="148"/>
      <c r="CN31" s="148"/>
      <c r="CO31" s="148"/>
      <c r="CP31" s="148"/>
      <c r="CQ31" s="148"/>
      <c r="CR31" s="148"/>
      <c r="CS31" s="148"/>
      <c r="CT31" s="148"/>
      <c r="CU31" s="148"/>
      <c r="CV31" s="148"/>
      <c r="CW31" s="148"/>
      <c r="CX31" s="148"/>
      <c r="CY31" s="148"/>
      <c r="CZ31" s="148"/>
      <c r="DA31" s="148"/>
      <c r="DB31" s="148"/>
      <c r="DC31" s="148"/>
      <c r="DD31" s="148"/>
      <c r="DE31" s="148"/>
      <c r="DF31" s="148"/>
      <c r="DG31" s="148"/>
      <c r="DH31" s="148"/>
      <c r="DI31" s="148"/>
      <c r="DJ31" s="148"/>
      <c r="DK31" s="148"/>
      <c r="DL31" s="148"/>
      <c r="DM31" s="148"/>
      <c r="DN31" s="148"/>
      <c r="DO31" s="148"/>
      <c r="DP31" s="148"/>
      <c r="DQ31" s="148"/>
      <c r="DR31" s="148"/>
      <c r="DS31" s="148"/>
      <c r="DT31" s="148"/>
      <c r="DU31" s="148"/>
      <c r="DV31" s="148"/>
      <c r="DW31" s="148"/>
      <c r="DX31" s="148"/>
      <c r="DY31" s="148"/>
      <c r="DZ31" s="148"/>
      <c r="EA31" s="148"/>
      <c r="EB31" s="148"/>
      <c r="EC31" s="148"/>
      <c r="ED31" s="148"/>
      <c r="EE31" s="148"/>
      <c r="EF31" s="148"/>
      <c r="EG31" s="148"/>
      <c r="EH31" s="148"/>
      <c r="EI31" s="148"/>
      <c r="EJ31" s="148"/>
      <c r="EK31" s="148"/>
      <c r="EL31" s="148"/>
      <c r="EM31" s="148"/>
      <c r="EN31" s="148"/>
      <c r="EO31" s="148"/>
      <c r="EP31" s="148"/>
      <c r="EQ31" s="148"/>
      <c r="ER31" s="148"/>
      <c r="ES31" s="148"/>
      <c r="ET31" s="148"/>
      <c r="EU31" s="148"/>
      <c r="EV31" s="148"/>
      <c r="EW31" s="148"/>
      <c r="EX31" s="148"/>
      <c r="EY31" s="148"/>
      <c r="EZ31" s="148"/>
      <c r="FA31" s="148"/>
      <c r="FB31" s="148"/>
      <c r="FC31" s="148"/>
      <c r="FD31" s="148"/>
      <c r="FE31" s="148"/>
      <c r="FF31" s="148"/>
      <c r="FG31" s="148"/>
      <c r="FH31" s="148"/>
      <c r="FI31" s="148"/>
      <c r="FJ31" s="148"/>
      <c r="FK31" s="148"/>
      <c r="FL31" s="148"/>
      <c r="FM31" s="148"/>
      <c r="FN31" s="148"/>
      <c r="FO31" s="148"/>
      <c r="FP31" s="148"/>
      <c r="FQ31" s="148"/>
      <c r="FR31" s="148"/>
    </row>
    <row r="32" spans="1:174" s="15" customFormat="1" ht="13.5" customHeight="1" x14ac:dyDescent="0.2">
      <c r="A32" s="148"/>
      <c r="B32" s="307">
        <v>21</v>
      </c>
      <c r="C32" s="307" t="s">
        <v>38</v>
      </c>
      <c r="D32" s="450" t="s">
        <v>1460</v>
      </c>
      <c r="E32" s="569" t="s">
        <v>1461</v>
      </c>
      <c r="F32" s="533" t="s">
        <v>46</v>
      </c>
      <c r="G32" s="533" t="s">
        <v>1411</v>
      </c>
      <c r="H32" s="553" t="s">
        <v>1457</v>
      </c>
      <c r="I32" s="534" t="s">
        <v>42</v>
      </c>
      <c r="J32" s="535">
        <v>23759</v>
      </c>
      <c r="K32" s="535">
        <v>0</v>
      </c>
      <c r="L32" s="535">
        <v>0</v>
      </c>
      <c r="M32" s="454">
        <v>6150</v>
      </c>
      <c r="N32" s="454"/>
      <c r="O32" s="454"/>
      <c r="P32" s="547"/>
      <c r="Q32" s="538"/>
      <c r="R32" s="538"/>
      <c r="S32" s="535">
        <f t="shared" si="0"/>
        <v>6150</v>
      </c>
      <c r="T32" s="539">
        <v>12300</v>
      </c>
      <c r="U32" s="540">
        <v>1</v>
      </c>
      <c r="V32" s="541">
        <v>44200</v>
      </c>
      <c r="W32" s="542">
        <v>44223</v>
      </c>
      <c r="X32" s="539"/>
      <c r="Y32" s="561"/>
      <c r="Z32" s="545"/>
      <c r="AA32" s="542"/>
      <c r="AB32" s="539"/>
      <c r="AC32" s="544"/>
      <c r="AD32" s="540"/>
      <c r="AE32" s="542"/>
      <c r="AF32" s="554"/>
      <c r="AG32" s="560"/>
      <c r="AH32" s="542"/>
      <c r="AI32" s="542"/>
      <c r="AJ32" s="542"/>
      <c r="AK32" s="554"/>
      <c r="AL32" s="542"/>
      <c r="AM32" s="542"/>
      <c r="AN32" s="542"/>
      <c r="AO32" s="542"/>
      <c r="AP32" s="542"/>
      <c r="AQ32" s="542"/>
      <c r="AR32" s="22">
        <f t="shared" si="1"/>
        <v>12300</v>
      </c>
      <c r="AS32" s="546">
        <f>+AR32-S32</f>
        <v>6150</v>
      </c>
      <c r="AT32" s="148"/>
      <c r="AU32" s="148"/>
      <c r="AV32" s="148"/>
      <c r="AW32" s="148"/>
      <c r="AX32" s="148"/>
      <c r="AY32" s="148"/>
      <c r="AZ32" s="148"/>
      <c r="BA32" s="148"/>
      <c r="BB32" s="148"/>
      <c r="BC32" s="148"/>
      <c r="BD32" s="148"/>
      <c r="BE32" s="148"/>
      <c r="BF32" s="148"/>
      <c r="BG32" s="148"/>
      <c r="BH32" s="148"/>
      <c r="BI32" s="148"/>
      <c r="BJ32" s="148"/>
      <c r="BK32" s="148"/>
      <c r="BL32" s="148"/>
      <c r="BM32" s="148"/>
      <c r="BN32" s="148"/>
      <c r="BO32" s="148"/>
      <c r="BP32" s="148"/>
      <c r="BQ32" s="148"/>
      <c r="BR32" s="148"/>
      <c r="BS32" s="148"/>
      <c r="BT32" s="148"/>
      <c r="BU32" s="148"/>
      <c r="BV32" s="148"/>
      <c r="BW32" s="148"/>
      <c r="BX32" s="148"/>
      <c r="BY32" s="148"/>
      <c r="BZ32" s="148"/>
      <c r="CA32" s="148"/>
      <c r="CB32" s="148"/>
      <c r="CC32" s="148"/>
      <c r="CD32" s="148"/>
      <c r="CE32" s="148"/>
      <c r="CF32" s="148"/>
      <c r="CG32" s="148"/>
      <c r="CH32" s="148"/>
      <c r="CI32" s="148"/>
      <c r="CJ32" s="148"/>
      <c r="CK32" s="148"/>
      <c r="CL32" s="148"/>
      <c r="CM32" s="148"/>
      <c r="CN32" s="148"/>
      <c r="CO32" s="148"/>
      <c r="CP32" s="148"/>
      <c r="CQ32" s="148"/>
      <c r="CR32" s="148"/>
      <c r="CS32" s="148"/>
      <c r="CT32" s="148"/>
      <c r="CU32" s="148"/>
      <c r="CV32" s="148"/>
      <c r="CW32" s="148"/>
      <c r="CX32" s="148"/>
      <c r="CY32" s="148"/>
      <c r="CZ32" s="148"/>
      <c r="DA32" s="148"/>
      <c r="DB32" s="148"/>
      <c r="DC32" s="148"/>
      <c r="DD32" s="148"/>
      <c r="DE32" s="148"/>
      <c r="DF32" s="148"/>
      <c r="DG32" s="148"/>
      <c r="DH32" s="148"/>
      <c r="DI32" s="148"/>
      <c r="DJ32" s="148"/>
      <c r="DK32" s="148"/>
      <c r="DL32" s="148"/>
      <c r="DM32" s="148"/>
      <c r="DN32" s="148"/>
      <c r="DO32" s="148"/>
      <c r="DP32" s="148"/>
      <c r="DQ32" s="148"/>
      <c r="DR32" s="148"/>
      <c r="DS32" s="148"/>
      <c r="DT32" s="148"/>
      <c r="DU32" s="148"/>
      <c r="DV32" s="148"/>
      <c r="DW32" s="148"/>
      <c r="DX32" s="148"/>
      <c r="DY32" s="148"/>
      <c r="DZ32" s="148"/>
      <c r="EA32" s="148"/>
      <c r="EB32" s="148"/>
      <c r="EC32" s="148"/>
      <c r="ED32" s="148"/>
      <c r="EE32" s="148"/>
      <c r="EF32" s="148"/>
      <c r="EG32" s="148"/>
      <c r="EH32" s="148"/>
      <c r="EI32" s="148"/>
      <c r="EJ32" s="148"/>
      <c r="EK32" s="148"/>
      <c r="EL32" s="148"/>
      <c r="EM32" s="148"/>
      <c r="EN32" s="148"/>
      <c r="EO32" s="148"/>
      <c r="EP32" s="148"/>
      <c r="EQ32" s="148"/>
      <c r="ER32" s="148"/>
      <c r="ES32" s="148"/>
      <c r="ET32" s="148"/>
      <c r="EU32" s="148"/>
      <c r="EV32" s="148"/>
      <c r="EW32" s="148"/>
      <c r="EX32" s="148"/>
      <c r="EY32" s="148"/>
      <c r="EZ32" s="148"/>
      <c r="FA32" s="148"/>
      <c r="FB32" s="148"/>
      <c r="FC32" s="148"/>
      <c r="FD32" s="148"/>
      <c r="FE32" s="148"/>
      <c r="FF32" s="148"/>
      <c r="FG32" s="148"/>
      <c r="FH32" s="148"/>
      <c r="FI32" s="148"/>
      <c r="FJ32" s="148"/>
      <c r="FK32" s="148"/>
      <c r="FL32" s="148"/>
      <c r="FM32" s="148"/>
      <c r="FN32" s="148"/>
      <c r="FO32" s="148"/>
      <c r="FP32" s="148"/>
      <c r="FQ32" s="148"/>
      <c r="FR32" s="148"/>
    </row>
    <row r="33" spans="1:174" s="15" customFormat="1" ht="13.5" customHeight="1" x14ac:dyDescent="0.2">
      <c r="A33" s="148"/>
      <c r="B33" s="312">
        <v>22</v>
      </c>
      <c r="C33" s="307" t="s">
        <v>38</v>
      </c>
      <c r="D33" s="450" t="s">
        <v>1462</v>
      </c>
      <c r="E33" s="569" t="s">
        <v>1463</v>
      </c>
      <c r="F33" s="533" t="s">
        <v>46</v>
      </c>
      <c r="G33" s="533" t="s">
        <v>1411</v>
      </c>
      <c r="H33" s="553" t="s">
        <v>1464</v>
      </c>
      <c r="I33" s="534" t="s">
        <v>42</v>
      </c>
      <c r="J33" s="535">
        <v>30418</v>
      </c>
      <c r="K33" s="535">
        <v>13418</v>
      </c>
      <c r="L33" s="535">
        <v>0</v>
      </c>
      <c r="M33" s="454">
        <v>0</v>
      </c>
      <c r="N33" s="454">
        <v>9541</v>
      </c>
      <c r="O33" s="454"/>
      <c r="P33" s="547"/>
      <c r="Q33" s="538"/>
      <c r="R33" s="538"/>
      <c r="S33" s="535">
        <f t="shared" si="0"/>
        <v>9541</v>
      </c>
      <c r="T33" s="539">
        <v>13600</v>
      </c>
      <c r="U33" s="540">
        <v>1</v>
      </c>
      <c r="V33" s="541">
        <v>44200</v>
      </c>
      <c r="W33" s="542">
        <v>44223</v>
      </c>
      <c r="X33" s="539">
        <v>2756</v>
      </c>
      <c r="Y33" s="561">
        <v>25</v>
      </c>
      <c r="Z33" s="545">
        <v>44263</v>
      </c>
      <c r="AA33" s="542">
        <v>44292</v>
      </c>
      <c r="AB33" s="539"/>
      <c r="AC33" s="544"/>
      <c r="AD33" s="540"/>
      <c r="AE33" s="542"/>
      <c r="AF33" s="554"/>
      <c r="AG33" s="560"/>
      <c r="AH33" s="542"/>
      <c r="AI33" s="542"/>
      <c r="AJ33" s="542"/>
      <c r="AK33" s="554"/>
      <c r="AL33" s="542"/>
      <c r="AM33" s="542"/>
      <c r="AN33" s="542"/>
      <c r="AO33" s="542"/>
      <c r="AP33" s="542"/>
      <c r="AQ33" s="542"/>
      <c r="AR33" s="22">
        <f t="shared" si="1"/>
        <v>16356</v>
      </c>
      <c r="AS33" s="546">
        <f t="shared" si="2"/>
        <v>6815</v>
      </c>
      <c r="AT33" s="148"/>
      <c r="AU33" s="148"/>
      <c r="AV33" s="148"/>
      <c r="AW33" s="148"/>
      <c r="AX33" s="148"/>
      <c r="AY33" s="148"/>
      <c r="AZ33" s="148"/>
      <c r="BA33" s="148"/>
      <c r="BB33" s="148"/>
      <c r="BC33" s="148"/>
      <c r="BD33" s="148"/>
      <c r="BE33" s="148"/>
      <c r="BF33" s="148"/>
      <c r="BG33" s="148"/>
      <c r="BH33" s="148"/>
      <c r="BI33" s="148"/>
      <c r="BJ33" s="148"/>
      <c r="BK33" s="148"/>
      <c r="BL33" s="148"/>
      <c r="BM33" s="148"/>
      <c r="BN33" s="148"/>
      <c r="BO33" s="148"/>
      <c r="BP33" s="148"/>
      <c r="BQ33" s="148"/>
      <c r="BR33" s="148"/>
      <c r="BS33" s="148"/>
      <c r="BT33" s="148"/>
      <c r="BU33" s="148"/>
      <c r="BV33" s="148"/>
      <c r="BW33" s="148"/>
      <c r="BX33" s="148"/>
      <c r="BY33" s="148"/>
      <c r="BZ33" s="148"/>
      <c r="CA33" s="148"/>
      <c r="CB33" s="148"/>
      <c r="CC33" s="148"/>
      <c r="CD33" s="148"/>
      <c r="CE33" s="148"/>
      <c r="CF33" s="148"/>
      <c r="CG33" s="148"/>
      <c r="CH33" s="148"/>
      <c r="CI33" s="148"/>
      <c r="CJ33" s="148"/>
      <c r="CK33" s="148"/>
      <c r="CL33" s="148"/>
      <c r="CM33" s="148"/>
      <c r="CN33" s="148"/>
      <c r="CO33" s="148"/>
      <c r="CP33" s="148"/>
      <c r="CQ33" s="148"/>
      <c r="CR33" s="148"/>
      <c r="CS33" s="148"/>
      <c r="CT33" s="148"/>
      <c r="CU33" s="148"/>
      <c r="CV33" s="148"/>
      <c r="CW33" s="148"/>
      <c r="CX33" s="148"/>
      <c r="CY33" s="148"/>
      <c r="CZ33" s="148"/>
      <c r="DA33" s="148"/>
      <c r="DB33" s="148"/>
      <c r="DC33" s="148"/>
      <c r="DD33" s="148"/>
      <c r="DE33" s="148"/>
      <c r="DF33" s="148"/>
      <c r="DG33" s="148"/>
      <c r="DH33" s="148"/>
      <c r="DI33" s="148"/>
      <c r="DJ33" s="148"/>
      <c r="DK33" s="148"/>
      <c r="DL33" s="148"/>
      <c r="DM33" s="148"/>
      <c r="DN33" s="148"/>
      <c r="DO33" s="148"/>
      <c r="DP33" s="148"/>
      <c r="DQ33" s="148"/>
      <c r="DR33" s="148"/>
      <c r="DS33" s="148"/>
      <c r="DT33" s="148"/>
      <c r="DU33" s="148"/>
      <c r="DV33" s="148"/>
      <c r="DW33" s="148"/>
      <c r="DX33" s="148"/>
      <c r="DY33" s="148"/>
      <c r="DZ33" s="148"/>
      <c r="EA33" s="148"/>
      <c r="EB33" s="148"/>
      <c r="EC33" s="148"/>
      <c r="ED33" s="148"/>
      <c r="EE33" s="148"/>
      <c r="EF33" s="148"/>
      <c r="EG33" s="148"/>
      <c r="EH33" s="148"/>
      <c r="EI33" s="148"/>
      <c r="EJ33" s="148"/>
      <c r="EK33" s="148"/>
      <c r="EL33" s="148"/>
      <c r="EM33" s="148"/>
      <c r="EN33" s="148"/>
      <c r="EO33" s="148"/>
      <c r="EP33" s="148"/>
      <c r="EQ33" s="148"/>
      <c r="ER33" s="148"/>
      <c r="ES33" s="148"/>
      <c r="ET33" s="148"/>
      <c r="EU33" s="148"/>
      <c r="EV33" s="148"/>
      <c r="EW33" s="148"/>
      <c r="EX33" s="148"/>
      <c r="EY33" s="148"/>
      <c r="EZ33" s="148"/>
      <c r="FA33" s="148"/>
      <c r="FB33" s="148"/>
      <c r="FC33" s="148"/>
      <c r="FD33" s="148"/>
      <c r="FE33" s="148"/>
      <c r="FF33" s="148"/>
      <c r="FG33" s="148"/>
      <c r="FH33" s="148"/>
      <c r="FI33" s="148"/>
      <c r="FJ33" s="148"/>
      <c r="FK33" s="148"/>
      <c r="FL33" s="148"/>
      <c r="FM33" s="148"/>
      <c r="FN33" s="148"/>
      <c r="FO33" s="148"/>
      <c r="FP33" s="148"/>
      <c r="FQ33" s="148"/>
      <c r="FR33" s="148"/>
    </row>
    <row r="34" spans="1:174" s="15" customFormat="1" ht="13.5" customHeight="1" x14ac:dyDescent="0.2">
      <c r="A34" s="148"/>
      <c r="B34" s="307">
        <v>23</v>
      </c>
      <c r="C34" s="307" t="s">
        <v>38</v>
      </c>
      <c r="D34" s="450" t="s">
        <v>1465</v>
      </c>
      <c r="E34" s="569" t="s">
        <v>1466</v>
      </c>
      <c r="F34" s="533" t="s">
        <v>45</v>
      </c>
      <c r="G34" s="533" t="s">
        <v>1411</v>
      </c>
      <c r="H34" s="553" t="s">
        <v>1464</v>
      </c>
      <c r="I34" s="534" t="s">
        <v>42</v>
      </c>
      <c r="J34" s="535">
        <v>668999</v>
      </c>
      <c r="K34" s="535">
        <v>549542</v>
      </c>
      <c r="L34" s="535">
        <v>0</v>
      </c>
      <c r="M34" s="454">
        <v>0</v>
      </c>
      <c r="N34" s="454">
        <f>4300+82846</f>
        <v>87146</v>
      </c>
      <c r="O34" s="454"/>
      <c r="P34" s="547"/>
      <c r="Q34" s="538"/>
      <c r="R34" s="538"/>
      <c r="S34" s="535">
        <f t="shared" si="0"/>
        <v>87146</v>
      </c>
      <c r="T34" s="539">
        <v>116310</v>
      </c>
      <c r="U34" s="540">
        <v>1</v>
      </c>
      <c r="V34" s="541">
        <v>44200</v>
      </c>
      <c r="W34" s="542">
        <v>44223</v>
      </c>
      <c r="X34" s="539"/>
      <c r="Y34" s="561"/>
      <c r="Z34" s="545"/>
      <c r="AA34" s="542"/>
      <c r="AB34" s="539"/>
      <c r="AC34" s="544"/>
      <c r="AD34" s="540"/>
      <c r="AE34" s="542"/>
      <c r="AF34" s="554"/>
      <c r="AG34" s="560"/>
      <c r="AH34" s="542"/>
      <c r="AI34" s="542"/>
      <c r="AJ34" s="542"/>
      <c r="AK34" s="554"/>
      <c r="AL34" s="542"/>
      <c r="AM34" s="542"/>
      <c r="AN34" s="542"/>
      <c r="AO34" s="542"/>
      <c r="AP34" s="542"/>
      <c r="AQ34" s="542"/>
      <c r="AR34" s="22">
        <f t="shared" si="1"/>
        <v>116310</v>
      </c>
      <c r="AS34" s="546">
        <f t="shared" si="2"/>
        <v>29164</v>
      </c>
      <c r="AT34" s="148"/>
      <c r="AU34" s="148"/>
      <c r="AV34" s="148"/>
      <c r="AW34" s="148"/>
      <c r="AX34" s="148"/>
      <c r="AY34" s="148"/>
      <c r="AZ34" s="148"/>
      <c r="BA34" s="148"/>
      <c r="BB34" s="148"/>
      <c r="BC34" s="148"/>
      <c r="BD34" s="148"/>
      <c r="BE34" s="148"/>
      <c r="BF34" s="148"/>
      <c r="BG34" s="148"/>
      <c r="BH34" s="148"/>
      <c r="BI34" s="148"/>
      <c r="BJ34" s="148"/>
      <c r="BK34" s="148"/>
      <c r="BL34" s="148"/>
      <c r="BM34" s="148"/>
      <c r="BN34" s="148"/>
      <c r="BO34" s="148"/>
      <c r="BP34" s="148"/>
      <c r="BQ34" s="148"/>
      <c r="BR34" s="148"/>
      <c r="BS34" s="148"/>
      <c r="BT34" s="148"/>
      <c r="BU34" s="148"/>
      <c r="BV34" s="148"/>
      <c r="BW34" s="148"/>
      <c r="BX34" s="148"/>
      <c r="BY34" s="148"/>
      <c r="BZ34" s="148"/>
      <c r="CA34" s="148"/>
      <c r="CB34" s="148"/>
      <c r="CC34" s="148"/>
      <c r="CD34" s="148"/>
      <c r="CE34" s="148"/>
      <c r="CF34" s="148"/>
      <c r="CG34" s="148"/>
      <c r="CH34" s="148"/>
      <c r="CI34" s="148"/>
      <c r="CJ34" s="148"/>
      <c r="CK34" s="148"/>
      <c r="CL34" s="148"/>
      <c r="CM34" s="148"/>
      <c r="CN34" s="148"/>
      <c r="CO34" s="148"/>
      <c r="CP34" s="148"/>
      <c r="CQ34" s="148"/>
      <c r="CR34" s="148"/>
      <c r="CS34" s="148"/>
      <c r="CT34" s="148"/>
      <c r="CU34" s="148"/>
      <c r="CV34" s="148"/>
      <c r="CW34" s="148"/>
      <c r="CX34" s="148"/>
      <c r="CY34" s="148"/>
      <c r="CZ34" s="148"/>
      <c r="DA34" s="148"/>
      <c r="DB34" s="148"/>
      <c r="DC34" s="148"/>
      <c r="DD34" s="148"/>
      <c r="DE34" s="148"/>
      <c r="DF34" s="148"/>
      <c r="DG34" s="148"/>
      <c r="DH34" s="148"/>
      <c r="DI34" s="148"/>
      <c r="DJ34" s="148"/>
      <c r="DK34" s="148"/>
      <c r="DL34" s="148"/>
      <c r="DM34" s="148"/>
      <c r="DN34" s="148"/>
      <c r="DO34" s="148"/>
      <c r="DP34" s="148"/>
      <c r="DQ34" s="148"/>
      <c r="DR34" s="148"/>
      <c r="DS34" s="148"/>
      <c r="DT34" s="148"/>
      <c r="DU34" s="148"/>
      <c r="DV34" s="148"/>
      <c r="DW34" s="148"/>
      <c r="DX34" s="148"/>
      <c r="DY34" s="148"/>
      <c r="DZ34" s="148"/>
      <c r="EA34" s="148"/>
      <c r="EB34" s="148"/>
      <c r="EC34" s="148"/>
      <c r="ED34" s="148"/>
      <c r="EE34" s="148"/>
      <c r="EF34" s="148"/>
      <c r="EG34" s="148"/>
      <c r="EH34" s="148"/>
      <c r="EI34" s="148"/>
      <c r="EJ34" s="148"/>
      <c r="EK34" s="148"/>
      <c r="EL34" s="148"/>
      <c r="EM34" s="148"/>
      <c r="EN34" s="148"/>
      <c r="EO34" s="148"/>
      <c r="EP34" s="148"/>
      <c r="EQ34" s="148"/>
      <c r="ER34" s="148"/>
      <c r="ES34" s="148"/>
      <c r="ET34" s="148"/>
      <c r="EU34" s="148"/>
      <c r="EV34" s="148"/>
      <c r="EW34" s="148"/>
      <c r="EX34" s="148"/>
      <c r="EY34" s="148"/>
      <c r="EZ34" s="148"/>
      <c r="FA34" s="148"/>
      <c r="FB34" s="148"/>
      <c r="FC34" s="148"/>
      <c r="FD34" s="148"/>
      <c r="FE34" s="148"/>
      <c r="FF34" s="148"/>
      <c r="FG34" s="148"/>
      <c r="FH34" s="148"/>
      <c r="FI34" s="148"/>
      <c r="FJ34" s="148"/>
      <c r="FK34" s="148"/>
      <c r="FL34" s="148"/>
      <c r="FM34" s="148"/>
      <c r="FN34" s="148"/>
      <c r="FO34" s="148"/>
      <c r="FP34" s="148"/>
      <c r="FQ34" s="148"/>
      <c r="FR34" s="148"/>
    </row>
    <row r="35" spans="1:174" s="15" customFormat="1" ht="13.5" customHeight="1" x14ac:dyDescent="0.2">
      <c r="A35" s="148"/>
      <c r="B35" s="312">
        <v>24</v>
      </c>
      <c r="C35" s="307" t="s">
        <v>38</v>
      </c>
      <c r="D35" s="450" t="s">
        <v>1467</v>
      </c>
      <c r="E35" s="569" t="s">
        <v>1468</v>
      </c>
      <c r="F35" s="533" t="s">
        <v>46</v>
      </c>
      <c r="G35" s="533" t="s">
        <v>1411</v>
      </c>
      <c r="H35" s="553" t="s">
        <v>1464</v>
      </c>
      <c r="I35" s="534" t="s">
        <v>42</v>
      </c>
      <c r="J35" s="535">
        <v>44887</v>
      </c>
      <c r="K35" s="535">
        <v>25460</v>
      </c>
      <c r="L35" s="535">
        <v>0</v>
      </c>
      <c r="M35" s="454">
        <v>0</v>
      </c>
      <c r="N35" s="454"/>
      <c r="O35" s="454"/>
      <c r="P35" s="547"/>
      <c r="Q35" s="538">
        <v>9100</v>
      </c>
      <c r="R35" s="538"/>
      <c r="S35" s="535">
        <f t="shared" si="0"/>
        <v>9100</v>
      </c>
      <c r="T35" s="539">
        <v>30316</v>
      </c>
      <c r="U35" s="540">
        <v>1</v>
      </c>
      <c r="V35" s="541">
        <v>44200</v>
      </c>
      <c r="W35" s="542">
        <v>44223</v>
      </c>
      <c r="X35" s="539"/>
      <c r="Y35" s="561"/>
      <c r="Z35" s="545"/>
      <c r="AA35" s="542"/>
      <c r="AB35" s="539"/>
      <c r="AC35" s="544"/>
      <c r="AD35" s="540"/>
      <c r="AE35" s="542"/>
      <c r="AF35" s="554"/>
      <c r="AG35" s="560"/>
      <c r="AH35" s="542"/>
      <c r="AI35" s="542"/>
      <c r="AJ35" s="542"/>
      <c r="AK35" s="554"/>
      <c r="AL35" s="542"/>
      <c r="AM35" s="542"/>
      <c r="AN35" s="542"/>
      <c r="AO35" s="542"/>
      <c r="AP35" s="542"/>
      <c r="AQ35" s="542"/>
      <c r="AR35" s="22">
        <f t="shared" si="1"/>
        <v>30316</v>
      </c>
      <c r="AS35" s="546">
        <f t="shared" si="2"/>
        <v>21216</v>
      </c>
      <c r="AT35" s="148"/>
      <c r="AU35" s="148"/>
      <c r="AV35" s="148"/>
      <c r="AW35" s="148"/>
      <c r="AX35" s="148"/>
      <c r="AY35" s="148"/>
      <c r="AZ35" s="148"/>
      <c r="BA35" s="148"/>
      <c r="BB35" s="148"/>
      <c r="BC35" s="148"/>
      <c r="BD35" s="148"/>
      <c r="BE35" s="148"/>
      <c r="BF35" s="148"/>
      <c r="BG35" s="148"/>
      <c r="BH35" s="148"/>
      <c r="BI35" s="148"/>
      <c r="BJ35" s="148"/>
      <c r="BK35" s="148"/>
      <c r="BL35" s="148"/>
      <c r="BM35" s="148"/>
      <c r="BN35" s="148"/>
      <c r="BO35" s="148"/>
      <c r="BP35" s="148"/>
      <c r="BQ35" s="148"/>
      <c r="BR35" s="148"/>
      <c r="BS35" s="148"/>
      <c r="BT35" s="148"/>
      <c r="BU35" s="148"/>
      <c r="BV35" s="148"/>
      <c r="BW35" s="148"/>
      <c r="BX35" s="148"/>
      <c r="BY35" s="148"/>
      <c r="BZ35" s="148"/>
      <c r="CA35" s="148"/>
      <c r="CB35" s="148"/>
      <c r="CC35" s="148"/>
      <c r="CD35" s="148"/>
      <c r="CE35" s="148"/>
      <c r="CF35" s="148"/>
      <c r="CG35" s="148"/>
      <c r="CH35" s="148"/>
      <c r="CI35" s="148"/>
      <c r="CJ35" s="148"/>
      <c r="CK35" s="148"/>
      <c r="CL35" s="148"/>
      <c r="CM35" s="148"/>
      <c r="CN35" s="148"/>
      <c r="CO35" s="148"/>
      <c r="CP35" s="148"/>
      <c r="CQ35" s="148"/>
      <c r="CR35" s="148"/>
      <c r="CS35" s="148"/>
      <c r="CT35" s="148"/>
      <c r="CU35" s="148"/>
      <c r="CV35" s="148"/>
      <c r="CW35" s="148"/>
      <c r="CX35" s="148"/>
      <c r="CY35" s="148"/>
      <c r="CZ35" s="148"/>
      <c r="DA35" s="148"/>
      <c r="DB35" s="148"/>
      <c r="DC35" s="148"/>
      <c r="DD35" s="148"/>
      <c r="DE35" s="148"/>
      <c r="DF35" s="148"/>
      <c r="DG35" s="148"/>
      <c r="DH35" s="148"/>
      <c r="DI35" s="148"/>
      <c r="DJ35" s="148"/>
      <c r="DK35" s="148"/>
      <c r="DL35" s="148"/>
      <c r="DM35" s="148"/>
      <c r="DN35" s="148"/>
      <c r="DO35" s="148"/>
      <c r="DP35" s="148"/>
      <c r="DQ35" s="148"/>
      <c r="DR35" s="148"/>
      <c r="DS35" s="148"/>
      <c r="DT35" s="148"/>
      <c r="DU35" s="148"/>
      <c r="DV35" s="148"/>
      <c r="DW35" s="148"/>
      <c r="DX35" s="148"/>
      <c r="DY35" s="148"/>
      <c r="DZ35" s="148"/>
      <c r="EA35" s="148"/>
      <c r="EB35" s="148"/>
      <c r="EC35" s="148"/>
      <c r="ED35" s="148"/>
      <c r="EE35" s="148"/>
      <c r="EF35" s="148"/>
      <c r="EG35" s="148"/>
      <c r="EH35" s="148"/>
      <c r="EI35" s="148"/>
      <c r="EJ35" s="148"/>
      <c r="EK35" s="148"/>
      <c r="EL35" s="148"/>
      <c r="EM35" s="148"/>
      <c r="EN35" s="148"/>
      <c r="EO35" s="148"/>
      <c r="EP35" s="148"/>
      <c r="EQ35" s="148"/>
      <c r="ER35" s="148"/>
      <c r="ES35" s="148"/>
      <c r="ET35" s="148"/>
      <c r="EU35" s="148"/>
      <c r="EV35" s="148"/>
      <c r="EW35" s="148"/>
      <c r="EX35" s="148"/>
      <c r="EY35" s="148"/>
      <c r="EZ35" s="148"/>
      <c r="FA35" s="148"/>
      <c r="FB35" s="148"/>
      <c r="FC35" s="148"/>
      <c r="FD35" s="148"/>
      <c r="FE35" s="148"/>
      <c r="FF35" s="148"/>
      <c r="FG35" s="148"/>
      <c r="FH35" s="148"/>
      <c r="FI35" s="148"/>
      <c r="FJ35" s="148"/>
      <c r="FK35" s="148"/>
      <c r="FL35" s="148"/>
      <c r="FM35" s="148"/>
      <c r="FN35" s="148"/>
      <c r="FO35" s="148"/>
      <c r="FP35" s="148"/>
      <c r="FQ35" s="148"/>
      <c r="FR35" s="148"/>
    </row>
    <row r="36" spans="1:174" s="15" customFormat="1" ht="13.5" customHeight="1" x14ac:dyDescent="0.2">
      <c r="A36" s="148"/>
      <c r="B36" s="307">
        <v>25</v>
      </c>
      <c r="C36" s="307" t="s">
        <v>38</v>
      </c>
      <c r="D36" s="450" t="s">
        <v>1469</v>
      </c>
      <c r="E36" s="569" t="s">
        <v>1470</v>
      </c>
      <c r="F36" s="533" t="s">
        <v>46</v>
      </c>
      <c r="G36" s="533" t="s">
        <v>1411</v>
      </c>
      <c r="H36" s="553" t="s">
        <v>1464</v>
      </c>
      <c r="I36" s="534" t="s">
        <v>42</v>
      </c>
      <c r="J36" s="535">
        <v>34393</v>
      </c>
      <c r="K36" s="535">
        <v>21233</v>
      </c>
      <c r="L36" s="535">
        <v>0</v>
      </c>
      <c r="M36" s="454">
        <v>13160</v>
      </c>
      <c r="N36" s="454"/>
      <c r="O36" s="454"/>
      <c r="P36" s="547"/>
      <c r="Q36" s="538"/>
      <c r="R36" s="538"/>
      <c r="S36" s="535">
        <f t="shared" si="0"/>
        <v>13160</v>
      </c>
      <c r="T36" s="539">
        <v>13160</v>
      </c>
      <c r="U36" s="540">
        <v>1</v>
      </c>
      <c r="V36" s="541">
        <v>44200</v>
      </c>
      <c r="W36" s="542">
        <v>44223</v>
      </c>
      <c r="X36" s="539"/>
      <c r="Y36" s="561"/>
      <c r="Z36" s="545"/>
      <c r="AA36" s="542"/>
      <c r="AB36" s="539"/>
      <c r="AC36" s="544"/>
      <c r="AD36" s="540"/>
      <c r="AE36" s="542"/>
      <c r="AF36" s="554"/>
      <c r="AG36" s="560"/>
      <c r="AH36" s="542"/>
      <c r="AI36" s="542"/>
      <c r="AJ36" s="542"/>
      <c r="AK36" s="554"/>
      <c r="AL36" s="542"/>
      <c r="AM36" s="542"/>
      <c r="AN36" s="542"/>
      <c r="AO36" s="542"/>
      <c r="AP36" s="542"/>
      <c r="AQ36" s="542"/>
      <c r="AR36" s="22">
        <f t="shared" si="1"/>
        <v>13160</v>
      </c>
      <c r="AS36" s="546">
        <f t="shared" si="2"/>
        <v>0</v>
      </c>
      <c r="AT36" s="148"/>
      <c r="AU36" s="148"/>
      <c r="AV36" s="148"/>
      <c r="AW36" s="148"/>
      <c r="AX36" s="148"/>
      <c r="AY36" s="148"/>
      <c r="AZ36" s="148"/>
      <c r="BA36" s="148"/>
      <c r="BB36" s="148"/>
      <c r="BC36" s="148"/>
      <c r="BD36" s="148"/>
      <c r="BE36" s="148"/>
      <c r="BF36" s="148"/>
      <c r="BG36" s="148"/>
      <c r="BH36" s="148"/>
      <c r="BI36" s="148"/>
      <c r="BJ36" s="148"/>
      <c r="BK36" s="148"/>
      <c r="BL36" s="148"/>
      <c r="BM36" s="148"/>
      <c r="BN36" s="148"/>
      <c r="BO36" s="148"/>
      <c r="BP36" s="148"/>
      <c r="BQ36" s="148"/>
      <c r="BR36" s="148"/>
      <c r="BS36" s="148"/>
      <c r="BT36" s="148"/>
      <c r="BU36" s="148"/>
      <c r="BV36" s="148"/>
      <c r="BW36" s="148"/>
      <c r="BX36" s="148"/>
      <c r="BY36" s="148"/>
      <c r="BZ36" s="148"/>
      <c r="CA36" s="148"/>
      <c r="CB36" s="148"/>
      <c r="CC36" s="148"/>
      <c r="CD36" s="148"/>
      <c r="CE36" s="148"/>
      <c r="CF36" s="148"/>
      <c r="CG36" s="148"/>
      <c r="CH36" s="148"/>
      <c r="CI36" s="148"/>
      <c r="CJ36" s="148"/>
      <c r="CK36" s="148"/>
      <c r="CL36" s="148"/>
      <c r="CM36" s="148"/>
      <c r="CN36" s="148"/>
      <c r="CO36" s="148"/>
      <c r="CP36" s="148"/>
      <c r="CQ36" s="148"/>
      <c r="CR36" s="148"/>
      <c r="CS36" s="148"/>
      <c r="CT36" s="148"/>
      <c r="CU36" s="148"/>
      <c r="CV36" s="148"/>
      <c r="CW36" s="148"/>
      <c r="CX36" s="148"/>
      <c r="CY36" s="148"/>
      <c r="CZ36" s="148"/>
      <c r="DA36" s="148"/>
      <c r="DB36" s="148"/>
      <c r="DC36" s="148"/>
      <c r="DD36" s="148"/>
      <c r="DE36" s="148"/>
      <c r="DF36" s="148"/>
      <c r="DG36" s="148"/>
      <c r="DH36" s="148"/>
      <c r="DI36" s="148"/>
      <c r="DJ36" s="148"/>
      <c r="DK36" s="148"/>
      <c r="DL36" s="148"/>
      <c r="DM36" s="148"/>
      <c r="DN36" s="148"/>
      <c r="DO36" s="148"/>
      <c r="DP36" s="148"/>
      <c r="DQ36" s="148"/>
      <c r="DR36" s="148"/>
      <c r="DS36" s="148"/>
      <c r="DT36" s="148"/>
      <c r="DU36" s="148"/>
      <c r="DV36" s="148"/>
      <c r="DW36" s="148"/>
      <c r="DX36" s="148"/>
      <c r="DY36" s="148"/>
      <c r="DZ36" s="148"/>
      <c r="EA36" s="148"/>
      <c r="EB36" s="148"/>
      <c r="EC36" s="148"/>
      <c r="ED36" s="148"/>
      <c r="EE36" s="148"/>
      <c r="EF36" s="148"/>
      <c r="EG36" s="148"/>
      <c r="EH36" s="148"/>
      <c r="EI36" s="148"/>
      <c r="EJ36" s="148"/>
      <c r="EK36" s="148"/>
      <c r="EL36" s="148"/>
      <c r="EM36" s="148"/>
      <c r="EN36" s="148"/>
      <c r="EO36" s="148"/>
      <c r="EP36" s="148"/>
      <c r="EQ36" s="148"/>
      <c r="ER36" s="148"/>
      <c r="ES36" s="148"/>
      <c r="ET36" s="148"/>
      <c r="EU36" s="148"/>
      <c r="EV36" s="148"/>
      <c r="EW36" s="148"/>
      <c r="EX36" s="148"/>
      <c r="EY36" s="148"/>
      <c r="EZ36" s="148"/>
      <c r="FA36" s="148"/>
      <c r="FB36" s="148"/>
      <c r="FC36" s="148"/>
      <c r="FD36" s="148"/>
      <c r="FE36" s="148"/>
      <c r="FF36" s="148"/>
      <c r="FG36" s="148"/>
      <c r="FH36" s="148"/>
      <c r="FI36" s="148"/>
      <c r="FJ36" s="148"/>
      <c r="FK36" s="148"/>
      <c r="FL36" s="148"/>
      <c r="FM36" s="148"/>
      <c r="FN36" s="148"/>
      <c r="FO36" s="148"/>
      <c r="FP36" s="148"/>
      <c r="FQ36" s="148"/>
      <c r="FR36" s="148"/>
    </row>
    <row r="37" spans="1:174" s="15" customFormat="1" ht="13.5" customHeight="1" x14ac:dyDescent="0.2">
      <c r="A37" s="148"/>
      <c r="B37" s="312">
        <v>26</v>
      </c>
      <c r="C37" s="307" t="s">
        <v>38</v>
      </c>
      <c r="D37" s="450" t="s">
        <v>1471</v>
      </c>
      <c r="E37" s="569" t="s">
        <v>1472</v>
      </c>
      <c r="F37" s="533" t="s">
        <v>46</v>
      </c>
      <c r="G37" s="533" t="s">
        <v>1411</v>
      </c>
      <c r="H37" s="553" t="s">
        <v>1473</v>
      </c>
      <c r="I37" s="534" t="s">
        <v>42</v>
      </c>
      <c r="J37" s="535">
        <v>135783</v>
      </c>
      <c r="K37" s="535">
        <v>23270</v>
      </c>
      <c r="L37" s="535">
        <v>0</v>
      </c>
      <c r="M37" s="535">
        <v>0</v>
      </c>
      <c r="N37" s="454"/>
      <c r="O37" s="454"/>
      <c r="P37" s="547"/>
      <c r="Q37" s="538"/>
      <c r="R37" s="538"/>
      <c r="S37" s="535">
        <f t="shared" si="0"/>
        <v>0</v>
      </c>
      <c r="T37" s="539">
        <v>35000</v>
      </c>
      <c r="U37" s="540">
        <v>1</v>
      </c>
      <c r="V37" s="541">
        <v>44200</v>
      </c>
      <c r="W37" s="542">
        <v>44223</v>
      </c>
      <c r="X37" s="539">
        <v>56030</v>
      </c>
      <c r="Y37" s="561">
        <v>25</v>
      </c>
      <c r="Z37" s="545">
        <v>44263</v>
      </c>
      <c r="AA37" s="542">
        <v>44292</v>
      </c>
      <c r="AB37" s="539"/>
      <c r="AC37" s="544"/>
      <c r="AD37" s="540"/>
      <c r="AE37" s="542"/>
      <c r="AF37" s="554"/>
      <c r="AG37" s="560"/>
      <c r="AH37" s="542"/>
      <c r="AI37" s="542"/>
      <c r="AJ37" s="542"/>
      <c r="AK37" s="554"/>
      <c r="AL37" s="542"/>
      <c r="AM37" s="542"/>
      <c r="AN37" s="542"/>
      <c r="AO37" s="542"/>
      <c r="AP37" s="542"/>
      <c r="AQ37" s="542"/>
      <c r="AR37" s="22">
        <f t="shared" si="1"/>
        <v>91030</v>
      </c>
      <c r="AS37" s="546">
        <f t="shared" si="2"/>
        <v>91030</v>
      </c>
      <c r="AT37" s="148"/>
      <c r="AU37" s="148"/>
      <c r="AV37" s="148"/>
      <c r="AW37" s="148"/>
      <c r="AX37" s="148"/>
      <c r="AY37" s="148"/>
      <c r="AZ37" s="148"/>
      <c r="BA37" s="148"/>
      <c r="BB37" s="148"/>
      <c r="BC37" s="148"/>
      <c r="BD37" s="148"/>
      <c r="BE37" s="148"/>
      <c r="BF37" s="148"/>
      <c r="BG37" s="148"/>
      <c r="BH37" s="148"/>
      <c r="BI37" s="148"/>
      <c r="BJ37" s="148"/>
      <c r="BK37" s="148"/>
      <c r="BL37" s="148"/>
      <c r="BM37" s="148"/>
      <c r="BN37" s="148"/>
      <c r="BO37" s="148"/>
      <c r="BP37" s="148"/>
      <c r="BQ37" s="148"/>
      <c r="BR37" s="148"/>
      <c r="BS37" s="148"/>
      <c r="BT37" s="148"/>
      <c r="BU37" s="148"/>
      <c r="BV37" s="148"/>
      <c r="BW37" s="148"/>
      <c r="BX37" s="148"/>
      <c r="BY37" s="148"/>
      <c r="BZ37" s="148"/>
      <c r="CA37" s="148"/>
      <c r="CB37" s="148"/>
      <c r="CC37" s="148"/>
      <c r="CD37" s="148"/>
      <c r="CE37" s="148"/>
      <c r="CF37" s="148"/>
      <c r="CG37" s="148"/>
      <c r="CH37" s="148"/>
      <c r="CI37" s="148"/>
      <c r="CJ37" s="148"/>
      <c r="CK37" s="148"/>
      <c r="CL37" s="148"/>
      <c r="CM37" s="148"/>
      <c r="CN37" s="148"/>
      <c r="CO37" s="148"/>
      <c r="CP37" s="148"/>
      <c r="CQ37" s="148"/>
      <c r="CR37" s="148"/>
      <c r="CS37" s="148"/>
      <c r="CT37" s="148"/>
      <c r="CU37" s="148"/>
      <c r="CV37" s="148"/>
      <c r="CW37" s="148"/>
      <c r="CX37" s="148"/>
      <c r="CY37" s="148"/>
      <c r="CZ37" s="148"/>
      <c r="DA37" s="148"/>
      <c r="DB37" s="148"/>
      <c r="DC37" s="148"/>
      <c r="DD37" s="148"/>
      <c r="DE37" s="148"/>
      <c r="DF37" s="148"/>
      <c r="DG37" s="148"/>
      <c r="DH37" s="148"/>
      <c r="DI37" s="148"/>
      <c r="DJ37" s="148"/>
      <c r="DK37" s="148"/>
      <c r="DL37" s="148"/>
      <c r="DM37" s="148"/>
      <c r="DN37" s="148"/>
      <c r="DO37" s="148"/>
      <c r="DP37" s="148"/>
      <c r="DQ37" s="148"/>
      <c r="DR37" s="148"/>
      <c r="DS37" s="148"/>
      <c r="DT37" s="148"/>
      <c r="DU37" s="148"/>
      <c r="DV37" s="148"/>
      <c r="DW37" s="148"/>
      <c r="DX37" s="148"/>
      <c r="DY37" s="148"/>
      <c r="DZ37" s="148"/>
      <c r="EA37" s="148"/>
      <c r="EB37" s="148"/>
      <c r="EC37" s="148"/>
      <c r="ED37" s="148"/>
      <c r="EE37" s="148"/>
      <c r="EF37" s="148"/>
      <c r="EG37" s="148"/>
      <c r="EH37" s="148"/>
      <c r="EI37" s="148"/>
      <c r="EJ37" s="148"/>
      <c r="EK37" s="148"/>
      <c r="EL37" s="148"/>
      <c r="EM37" s="148"/>
      <c r="EN37" s="148"/>
      <c r="EO37" s="148"/>
      <c r="EP37" s="148"/>
      <c r="EQ37" s="148"/>
      <c r="ER37" s="148"/>
      <c r="ES37" s="148"/>
      <c r="ET37" s="148"/>
      <c r="EU37" s="148"/>
      <c r="EV37" s="148"/>
      <c r="EW37" s="148"/>
      <c r="EX37" s="148"/>
      <c r="EY37" s="148"/>
      <c r="EZ37" s="148"/>
      <c r="FA37" s="148"/>
      <c r="FB37" s="148"/>
      <c r="FC37" s="148"/>
      <c r="FD37" s="148"/>
      <c r="FE37" s="148"/>
      <c r="FF37" s="148"/>
      <c r="FG37" s="148"/>
      <c r="FH37" s="148"/>
      <c r="FI37" s="148"/>
      <c r="FJ37" s="148"/>
      <c r="FK37" s="148"/>
      <c r="FL37" s="148"/>
      <c r="FM37" s="148"/>
      <c r="FN37" s="148"/>
      <c r="FO37" s="148"/>
      <c r="FP37" s="148"/>
      <c r="FQ37" s="148"/>
      <c r="FR37" s="148"/>
    </row>
    <row r="38" spans="1:174" s="15" customFormat="1" ht="13.5" customHeight="1" x14ac:dyDescent="0.2">
      <c r="A38" s="148"/>
      <c r="B38" s="307">
        <v>27</v>
      </c>
      <c r="C38" s="307" t="s">
        <v>38</v>
      </c>
      <c r="D38" s="450" t="s">
        <v>1474</v>
      </c>
      <c r="E38" s="569" t="s">
        <v>1475</v>
      </c>
      <c r="F38" s="533" t="s">
        <v>46</v>
      </c>
      <c r="G38" s="533" t="s">
        <v>1411</v>
      </c>
      <c r="H38" s="553" t="s">
        <v>1476</v>
      </c>
      <c r="I38" s="534" t="s">
        <v>42</v>
      </c>
      <c r="J38" s="535">
        <v>312378</v>
      </c>
      <c r="K38" s="535">
        <v>234857</v>
      </c>
      <c r="L38" s="535">
        <v>0</v>
      </c>
      <c r="M38" s="535">
        <v>0</v>
      </c>
      <c r="N38" s="454"/>
      <c r="O38" s="454"/>
      <c r="P38" s="547"/>
      <c r="Q38" s="538"/>
      <c r="R38" s="538"/>
      <c r="S38" s="535">
        <f t="shared" si="0"/>
        <v>0</v>
      </c>
      <c r="T38" s="539">
        <v>77144</v>
      </c>
      <c r="U38" s="540">
        <v>1</v>
      </c>
      <c r="V38" s="541">
        <v>44200</v>
      </c>
      <c r="W38" s="542">
        <v>44223</v>
      </c>
      <c r="X38" s="539"/>
      <c r="Y38" s="561"/>
      <c r="Z38" s="545"/>
      <c r="AA38" s="542"/>
      <c r="AB38" s="539"/>
      <c r="AC38" s="544"/>
      <c r="AD38" s="540"/>
      <c r="AE38" s="542"/>
      <c r="AF38" s="554"/>
      <c r="AG38" s="560"/>
      <c r="AH38" s="542"/>
      <c r="AI38" s="542"/>
      <c r="AJ38" s="542"/>
      <c r="AK38" s="554"/>
      <c r="AL38" s="542"/>
      <c r="AM38" s="542"/>
      <c r="AN38" s="542"/>
      <c r="AO38" s="542"/>
      <c r="AP38" s="542"/>
      <c r="AQ38" s="542"/>
      <c r="AR38" s="22">
        <f t="shared" si="1"/>
        <v>77144</v>
      </c>
      <c r="AS38" s="546">
        <f t="shared" si="2"/>
        <v>77144</v>
      </c>
      <c r="AT38" s="148"/>
      <c r="AU38" s="148"/>
      <c r="AV38" s="148"/>
      <c r="AW38" s="148"/>
      <c r="AX38" s="148"/>
      <c r="AY38" s="148"/>
      <c r="AZ38" s="148"/>
      <c r="BA38" s="148"/>
      <c r="BB38" s="148"/>
      <c r="BC38" s="148"/>
      <c r="BD38" s="148"/>
      <c r="BE38" s="148"/>
      <c r="BF38" s="148"/>
      <c r="BG38" s="148"/>
      <c r="BH38" s="148"/>
      <c r="BI38" s="148"/>
      <c r="BJ38" s="148"/>
      <c r="BK38" s="148"/>
      <c r="BL38" s="148"/>
      <c r="BM38" s="148"/>
      <c r="BN38" s="148"/>
      <c r="BO38" s="148"/>
      <c r="BP38" s="148"/>
      <c r="BQ38" s="148"/>
      <c r="BR38" s="148"/>
      <c r="BS38" s="148"/>
      <c r="BT38" s="148"/>
      <c r="BU38" s="148"/>
      <c r="BV38" s="148"/>
      <c r="BW38" s="148"/>
      <c r="BX38" s="148"/>
      <c r="BY38" s="148"/>
      <c r="BZ38" s="148"/>
      <c r="CA38" s="148"/>
      <c r="CB38" s="148"/>
      <c r="CC38" s="148"/>
      <c r="CD38" s="148"/>
      <c r="CE38" s="148"/>
      <c r="CF38" s="148"/>
      <c r="CG38" s="148"/>
      <c r="CH38" s="148"/>
      <c r="CI38" s="148"/>
      <c r="CJ38" s="148"/>
      <c r="CK38" s="148"/>
      <c r="CL38" s="148"/>
      <c r="CM38" s="148"/>
      <c r="CN38" s="148"/>
      <c r="CO38" s="148"/>
      <c r="CP38" s="148"/>
      <c r="CQ38" s="148"/>
      <c r="CR38" s="148"/>
      <c r="CS38" s="148"/>
      <c r="CT38" s="148"/>
      <c r="CU38" s="148"/>
      <c r="CV38" s="148"/>
      <c r="CW38" s="148"/>
      <c r="CX38" s="148"/>
      <c r="CY38" s="148"/>
      <c r="CZ38" s="148"/>
      <c r="DA38" s="148"/>
      <c r="DB38" s="148"/>
      <c r="DC38" s="148"/>
      <c r="DD38" s="148"/>
      <c r="DE38" s="148"/>
      <c r="DF38" s="148"/>
      <c r="DG38" s="148"/>
      <c r="DH38" s="148"/>
      <c r="DI38" s="148"/>
      <c r="DJ38" s="148"/>
      <c r="DK38" s="148"/>
      <c r="DL38" s="148"/>
      <c r="DM38" s="148"/>
      <c r="DN38" s="148"/>
      <c r="DO38" s="148"/>
      <c r="DP38" s="148"/>
      <c r="DQ38" s="148"/>
      <c r="DR38" s="148"/>
      <c r="DS38" s="148"/>
      <c r="DT38" s="148"/>
      <c r="DU38" s="148"/>
      <c r="DV38" s="148"/>
      <c r="DW38" s="148"/>
      <c r="DX38" s="148"/>
      <c r="DY38" s="148"/>
      <c r="DZ38" s="148"/>
      <c r="EA38" s="148"/>
      <c r="EB38" s="148"/>
      <c r="EC38" s="148"/>
      <c r="ED38" s="148"/>
      <c r="EE38" s="148"/>
      <c r="EF38" s="148"/>
      <c r="EG38" s="148"/>
      <c r="EH38" s="148"/>
      <c r="EI38" s="148"/>
      <c r="EJ38" s="148"/>
      <c r="EK38" s="148"/>
      <c r="EL38" s="148"/>
      <c r="EM38" s="148"/>
      <c r="EN38" s="148"/>
      <c r="EO38" s="148"/>
      <c r="EP38" s="148"/>
      <c r="EQ38" s="148"/>
      <c r="ER38" s="148"/>
      <c r="ES38" s="148"/>
      <c r="ET38" s="148"/>
      <c r="EU38" s="148"/>
      <c r="EV38" s="148"/>
      <c r="EW38" s="148"/>
      <c r="EX38" s="148"/>
      <c r="EY38" s="148"/>
      <c r="EZ38" s="148"/>
      <c r="FA38" s="148"/>
      <c r="FB38" s="148"/>
      <c r="FC38" s="148"/>
      <c r="FD38" s="148"/>
      <c r="FE38" s="148"/>
      <c r="FF38" s="148"/>
      <c r="FG38" s="148"/>
      <c r="FH38" s="148"/>
      <c r="FI38" s="148"/>
      <c r="FJ38" s="148"/>
      <c r="FK38" s="148"/>
      <c r="FL38" s="148"/>
      <c r="FM38" s="148"/>
      <c r="FN38" s="148"/>
      <c r="FO38" s="148"/>
      <c r="FP38" s="148"/>
      <c r="FQ38" s="148"/>
      <c r="FR38" s="148"/>
    </row>
    <row r="39" spans="1:174" s="15" customFormat="1" ht="13.5" customHeight="1" x14ac:dyDescent="0.2">
      <c r="A39" s="148"/>
      <c r="B39" s="312">
        <v>28</v>
      </c>
      <c r="C39" s="307" t="s">
        <v>38</v>
      </c>
      <c r="D39" s="450" t="s">
        <v>1477</v>
      </c>
      <c r="E39" s="569" t="s">
        <v>1478</v>
      </c>
      <c r="F39" s="533" t="s">
        <v>45</v>
      </c>
      <c r="G39" s="533" t="s">
        <v>1411</v>
      </c>
      <c r="H39" s="553" t="s">
        <v>1479</v>
      </c>
      <c r="I39" s="534" t="s">
        <v>42</v>
      </c>
      <c r="J39" s="535">
        <v>323489</v>
      </c>
      <c r="K39" s="535">
        <v>206720</v>
      </c>
      <c r="L39" s="535">
        <v>0</v>
      </c>
      <c r="M39" s="535">
        <v>0</v>
      </c>
      <c r="N39" s="454"/>
      <c r="O39" s="454"/>
      <c r="P39" s="547"/>
      <c r="Q39" s="538"/>
      <c r="R39" s="538"/>
      <c r="S39" s="535">
        <f t="shared" si="0"/>
        <v>0</v>
      </c>
      <c r="T39" s="539">
        <v>98990</v>
      </c>
      <c r="U39" s="540">
        <v>1</v>
      </c>
      <c r="V39" s="541">
        <v>44200</v>
      </c>
      <c r="W39" s="542">
        <v>44223</v>
      </c>
      <c r="X39" s="539">
        <v>25000</v>
      </c>
      <c r="Y39" s="561">
        <v>70</v>
      </c>
      <c r="Z39" s="545">
        <v>44354</v>
      </c>
      <c r="AA39" s="542">
        <v>44372</v>
      </c>
      <c r="AB39" s="539"/>
      <c r="AC39" s="544"/>
      <c r="AD39" s="540"/>
      <c r="AE39" s="542"/>
      <c r="AF39" s="554"/>
      <c r="AG39" s="560"/>
      <c r="AH39" s="542"/>
      <c r="AI39" s="542"/>
      <c r="AJ39" s="542"/>
      <c r="AK39" s="554"/>
      <c r="AL39" s="542"/>
      <c r="AM39" s="542"/>
      <c r="AN39" s="542"/>
      <c r="AO39" s="542"/>
      <c r="AP39" s="542"/>
      <c r="AQ39" s="542"/>
      <c r="AR39" s="22">
        <f t="shared" si="1"/>
        <v>123990</v>
      </c>
      <c r="AS39" s="546">
        <f t="shared" si="2"/>
        <v>123990</v>
      </c>
      <c r="AT39" s="148"/>
      <c r="AU39" s="148"/>
      <c r="AV39" s="148"/>
      <c r="AW39" s="148"/>
      <c r="AX39" s="148"/>
      <c r="AY39" s="148"/>
      <c r="AZ39" s="148"/>
      <c r="BA39" s="148"/>
      <c r="BB39" s="148"/>
      <c r="BC39" s="148"/>
      <c r="BD39" s="148"/>
      <c r="BE39" s="148"/>
      <c r="BF39" s="148"/>
      <c r="BG39" s="148"/>
      <c r="BH39" s="148"/>
      <c r="BI39" s="148"/>
      <c r="BJ39" s="148"/>
      <c r="BK39" s="148"/>
      <c r="BL39" s="148"/>
      <c r="BM39" s="148"/>
      <c r="BN39" s="148"/>
      <c r="BO39" s="148"/>
      <c r="BP39" s="148"/>
      <c r="BQ39" s="148"/>
      <c r="BR39" s="148"/>
      <c r="BS39" s="148"/>
      <c r="BT39" s="148"/>
      <c r="BU39" s="148"/>
      <c r="BV39" s="148"/>
      <c r="BW39" s="148"/>
      <c r="BX39" s="148"/>
      <c r="BY39" s="148"/>
      <c r="BZ39" s="148"/>
      <c r="CA39" s="148"/>
      <c r="CB39" s="148"/>
      <c r="CC39" s="148"/>
      <c r="CD39" s="148"/>
      <c r="CE39" s="148"/>
      <c r="CF39" s="148"/>
      <c r="CG39" s="148"/>
      <c r="CH39" s="148"/>
      <c r="CI39" s="148"/>
      <c r="CJ39" s="148"/>
      <c r="CK39" s="148"/>
      <c r="CL39" s="148"/>
      <c r="CM39" s="148"/>
      <c r="CN39" s="148"/>
      <c r="CO39" s="148"/>
      <c r="CP39" s="148"/>
      <c r="CQ39" s="148"/>
      <c r="CR39" s="148"/>
      <c r="CS39" s="148"/>
      <c r="CT39" s="148"/>
      <c r="CU39" s="148"/>
      <c r="CV39" s="148"/>
      <c r="CW39" s="148"/>
      <c r="CX39" s="148"/>
      <c r="CY39" s="148"/>
      <c r="CZ39" s="148"/>
      <c r="DA39" s="148"/>
      <c r="DB39" s="148"/>
      <c r="DC39" s="148"/>
      <c r="DD39" s="148"/>
      <c r="DE39" s="148"/>
      <c r="DF39" s="148"/>
      <c r="DG39" s="148"/>
      <c r="DH39" s="148"/>
      <c r="DI39" s="148"/>
      <c r="DJ39" s="148"/>
      <c r="DK39" s="148"/>
      <c r="DL39" s="148"/>
      <c r="DM39" s="148"/>
      <c r="DN39" s="148"/>
      <c r="DO39" s="148"/>
      <c r="DP39" s="148"/>
      <c r="DQ39" s="148"/>
      <c r="DR39" s="148"/>
      <c r="DS39" s="148"/>
      <c r="DT39" s="148"/>
      <c r="DU39" s="148"/>
      <c r="DV39" s="148"/>
      <c r="DW39" s="148"/>
      <c r="DX39" s="148"/>
      <c r="DY39" s="148"/>
      <c r="DZ39" s="148"/>
      <c r="EA39" s="148"/>
      <c r="EB39" s="148"/>
      <c r="EC39" s="148"/>
      <c r="ED39" s="148"/>
      <c r="EE39" s="148"/>
      <c r="EF39" s="148"/>
      <c r="EG39" s="148"/>
      <c r="EH39" s="148"/>
      <c r="EI39" s="148"/>
      <c r="EJ39" s="148"/>
      <c r="EK39" s="148"/>
      <c r="EL39" s="148"/>
      <c r="EM39" s="148"/>
      <c r="EN39" s="148"/>
      <c r="EO39" s="148"/>
      <c r="EP39" s="148"/>
      <c r="EQ39" s="148"/>
      <c r="ER39" s="148"/>
      <c r="ES39" s="148"/>
      <c r="ET39" s="148"/>
      <c r="EU39" s="148"/>
      <c r="EV39" s="148"/>
      <c r="EW39" s="148"/>
      <c r="EX39" s="148"/>
      <c r="EY39" s="148"/>
      <c r="EZ39" s="148"/>
      <c r="FA39" s="148"/>
      <c r="FB39" s="148"/>
      <c r="FC39" s="148"/>
      <c r="FD39" s="148"/>
      <c r="FE39" s="148"/>
      <c r="FF39" s="148"/>
      <c r="FG39" s="148"/>
      <c r="FH39" s="148"/>
      <c r="FI39" s="148"/>
      <c r="FJ39" s="148"/>
      <c r="FK39" s="148"/>
      <c r="FL39" s="148"/>
      <c r="FM39" s="148"/>
      <c r="FN39" s="148"/>
      <c r="FO39" s="148"/>
      <c r="FP39" s="148"/>
      <c r="FQ39" s="148"/>
      <c r="FR39" s="148"/>
    </row>
    <row r="40" spans="1:174" s="15" customFormat="1" ht="13.5" customHeight="1" x14ac:dyDescent="0.2">
      <c r="A40" s="148"/>
      <c r="B40" s="307">
        <v>29</v>
      </c>
      <c r="C40" s="307" t="s">
        <v>38</v>
      </c>
      <c r="D40" s="450" t="s">
        <v>1480</v>
      </c>
      <c r="E40" s="569" t="s">
        <v>1481</v>
      </c>
      <c r="F40" s="533" t="s">
        <v>45</v>
      </c>
      <c r="G40" s="533" t="s">
        <v>1411</v>
      </c>
      <c r="H40" s="553" t="s">
        <v>1482</v>
      </c>
      <c r="I40" s="534" t="s">
        <v>42</v>
      </c>
      <c r="J40" s="535">
        <v>394530</v>
      </c>
      <c r="K40" s="535">
        <v>348187</v>
      </c>
      <c r="L40" s="535">
        <v>0</v>
      </c>
      <c r="M40" s="535">
        <v>0</v>
      </c>
      <c r="N40" s="454"/>
      <c r="O40" s="454">
        <v>12651</v>
      </c>
      <c r="P40" s="548">
        <v>1330</v>
      </c>
      <c r="Q40" s="538">
        <v>3990</v>
      </c>
      <c r="R40" s="538"/>
      <c r="S40" s="535">
        <f t="shared" si="0"/>
        <v>17971</v>
      </c>
      <c r="T40" s="539">
        <v>52733</v>
      </c>
      <c r="U40" s="540">
        <v>1</v>
      </c>
      <c r="V40" s="541">
        <v>44200</v>
      </c>
      <c r="W40" s="542">
        <v>44223</v>
      </c>
      <c r="X40" s="539">
        <v>2660</v>
      </c>
      <c r="Y40" s="561">
        <v>62</v>
      </c>
      <c r="Z40" s="545">
        <v>44327</v>
      </c>
      <c r="AA40" s="542">
        <v>44355</v>
      </c>
      <c r="AB40" s="539"/>
      <c r="AC40" s="544"/>
      <c r="AD40" s="540"/>
      <c r="AE40" s="542"/>
      <c r="AF40" s="554"/>
      <c r="AG40" s="560"/>
      <c r="AH40" s="542"/>
      <c r="AI40" s="542"/>
      <c r="AJ40" s="542"/>
      <c r="AK40" s="542"/>
      <c r="AL40" s="542"/>
      <c r="AM40" s="542"/>
      <c r="AN40" s="542"/>
      <c r="AO40" s="542"/>
      <c r="AP40" s="542"/>
      <c r="AQ40" s="542"/>
      <c r="AR40" s="22">
        <f t="shared" si="1"/>
        <v>55393</v>
      </c>
      <c r="AS40" s="546">
        <f t="shared" si="2"/>
        <v>37422</v>
      </c>
      <c r="AT40" s="148"/>
      <c r="AU40" s="148"/>
      <c r="AV40" s="148"/>
      <c r="AW40" s="148"/>
      <c r="AX40" s="148"/>
      <c r="AY40" s="148"/>
      <c r="AZ40" s="148"/>
      <c r="BA40" s="148"/>
      <c r="BB40" s="148"/>
      <c r="BC40" s="148"/>
      <c r="BD40" s="148"/>
      <c r="BE40" s="148"/>
      <c r="BF40" s="148"/>
      <c r="BG40" s="148"/>
      <c r="BH40" s="148"/>
      <c r="BI40" s="148"/>
      <c r="BJ40" s="148"/>
      <c r="BK40" s="148"/>
      <c r="BL40" s="148"/>
      <c r="BM40" s="148"/>
      <c r="BN40" s="148"/>
      <c r="BO40" s="148"/>
      <c r="BP40" s="148"/>
      <c r="BQ40" s="148"/>
      <c r="BR40" s="148"/>
      <c r="BS40" s="148"/>
      <c r="BT40" s="148"/>
      <c r="BU40" s="148"/>
      <c r="BV40" s="148"/>
      <c r="BW40" s="148"/>
      <c r="BX40" s="148"/>
      <c r="BY40" s="148"/>
      <c r="BZ40" s="148"/>
      <c r="CA40" s="148"/>
      <c r="CB40" s="148"/>
      <c r="CC40" s="148"/>
      <c r="CD40" s="148"/>
      <c r="CE40" s="148"/>
      <c r="CF40" s="148"/>
      <c r="CG40" s="148"/>
      <c r="CH40" s="148"/>
      <c r="CI40" s="148"/>
      <c r="CJ40" s="148"/>
      <c r="CK40" s="148"/>
      <c r="CL40" s="148"/>
      <c r="CM40" s="148"/>
      <c r="CN40" s="148"/>
      <c r="CO40" s="148"/>
      <c r="CP40" s="148"/>
      <c r="CQ40" s="148"/>
      <c r="CR40" s="148"/>
      <c r="CS40" s="148"/>
      <c r="CT40" s="148"/>
      <c r="CU40" s="148"/>
      <c r="CV40" s="148"/>
      <c r="CW40" s="148"/>
      <c r="CX40" s="148"/>
      <c r="CY40" s="148"/>
      <c r="CZ40" s="148"/>
      <c r="DA40" s="148"/>
      <c r="DB40" s="148"/>
      <c r="DC40" s="148"/>
      <c r="DD40" s="148"/>
      <c r="DE40" s="148"/>
      <c r="DF40" s="148"/>
      <c r="DG40" s="148"/>
      <c r="DH40" s="148"/>
      <c r="DI40" s="148"/>
      <c r="DJ40" s="148"/>
      <c r="DK40" s="148"/>
      <c r="DL40" s="148"/>
      <c r="DM40" s="148"/>
      <c r="DN40" s="148"/>
      <c r="DO40" s="148"/>
      <c r="DP40" s="148"/>
      <c r="DQ40" s="148"/>
      <c r="DR40" s="148"/>
      <c r="DS40" s="148"/>
      <c r="DT40" s="148"/>
      <c r="DU40" s="148"/>
      <c r="DV40" s="148"/>
      <c r="DW40" s="148"/>
      <c r="DX40" s="148"/>
      <c r="DY40" s="148"/>
      <c r="DZ40" s="148"/>
      <c r="EA40" s="148"/>
      <c r="EB40" s="148"/>
      <c r="EC40" s="148"/>
      <c r="ED40" s="148"/>
      <c r="EE40" s="148"/>
      <c r="EF40" s="148"/>
      <c r="EG40" s="148"/>
      <c r="EH40" s="148"/>
      <c r="EI40" s="148"/>
      <c r="EJ40" s="148"/>
      <c r="EK40" s="148"/>
      <c r="EL40" s="148"/>
      <c r="EM40" s="148"/>
      <c r="EN40" s="148"/>
      <c r="EO40" s="148"/>
      <c r="EP40" s="148"/>
      <c r="EQ40" s="148"/>
      <c r="ER40" s="148"/>
      <c r="ES40" s="148"/>
      <c r="ET40" s="148"/>
      <c r="EU40" s="148"/>
      <c r="EV40" s="148"/>
      <c r="EW40" s="148"/>
      <c r="EX40" s="148"/>
      <c r="EY40" s="148"/>
      <c r="EZ40" s="148"/>
      <c r="FA40" s="148"/>
      <c r="FB40" s="148"/>
      <c r="FC40" s="148"/>
      <c r="FD40" s="148"/>
      <c r="FE40" s="148"/>
      <c r="FF40" s="148"/>
      <c r="FG40" s="148"/>
      <c r="FH40" s="148"/>
      <c r="FI40" s="148"/>
      <c r="FJ40" s="148"/>
      <c r="FK40" s="148"/>
      <c r="FL40" s="148"/>
      <c r="FM40" s="148"/>
      <c r="FN40" s="148"/>
      <c r="FO40" s="148"/>
      <c r="FP40" s="148"/>
      <c r="FQ40" s="148"/>
      <c r="FR40" s="148"/>
    </row>
    <row r="41" spans="1:174" s="15" customFormat="1" ht="13.5" customHeight="1" x14ac:dyDescent="0.2">
      <c r="A41" s="148"/>
      <c r="B41" s="312">
        <v>30</v>
      </c>
      <c r="C41" s="307" t="s">
        <v>38</v>
      </c>
      <c r="D41" s="450" t="s">
        <v>1483</v>
      </c>
      <c r="E41" s="569" t="s">
        <v>1484</v>
      </c>
      <c r="F41" s="533" t="s">
        <v>46</v>
      </c>
      <c r="G41" s="533" t="s">
        <v>1411</v>
      </c>
      <c r="H41" s="553" t="s">
        <v>1485</v>
      </c>
      <c r="I41" s="534" t="s">
        <v>42</v>
      </c>
      <c r="J41" s="535">
        <v>137464</v>
      </c>
      <c r="K41" s="535">
        <v>74364</v>
      </c>
      <c r="L41" s="535">
        <v>0</v>
      </c>
      <c r="M41" s="535">
        <v>0</v>
      </c>
      <c r="N41" s="454">
        <v>29500</v>
      </c>
      <c r="O41" s="454"/>
      <c r="P41" s="548">
        <v>24175.24</v>
      </c>
      <c r="Q41" s="538"/>
      <c r="R41" s="538"/>
      <c r="S41" s="535">
        <f t="shared" si="0"/>
        <v>53675.240000000005</v>
      </c>
      <c r="T41" s="539">
        <v>50676</v>
      </c>
      <c r="U41" s="540">
        <v>1</v>
      </c>
      <c r="V41" s="541">
        <v>44200</v>
      </c>
      <c r="W41" s="542">
        <v>44223</v>
      </c>
      <c r="X41" s="539">
        <v>3000</v>
      </c>
      <c r="Y41" s="561">
        <v>33</v>
      </c>
      <c r="Z41" s="545">
        <v>44266</v>
      </c>
      <c r="AA41" s="542">
        <v>44298</v>
      </c>
      <c r="AB41" s="539"/>
      <c r="AC41" s="544"/>
      <c r="AD41" s="540"/>
      <c r="AE41" s="542"/>
      <c r="AF41" s="554"/>
      <c r="AG41" s="560"/>
      <c r="AH41" s="542"/>
      <c r="AI41" s="542"/>
      <c r="AJ41" s="542"/>
      <c r="AK41" s="542"/>
      <c r="AL41" s="542"/>
      <c r="AM41" s="542"/>
      <c r="AN41" s="542"/>
      <c r="AO41" s="542"/>
      <c r="AP41" s="542"/>
      <c r="AQ41" s="542"/>
      <c r="AR41" s="22">
        <f t="shared" si="1"/>
        <v>53676</v>
      </c>
      <c r="AS41" s="546">
        <f t="shared" si="2"/>
        <v>0.75999999999476131</v>
      </c>
      <c r="AT41" s="148"/>
      <c r="AU41" s="148"/>
      <c r="AV41" s="148"/>
      <c r="AW41" s="148"/>
      <c r="AX41" s="148"/>
      <c r="AY41" s="148"/>
      <c r="AZ41" s="148"/>
      <c r="BA41" s="148"/>
      <c r="BB41" s="148"/>
      <c r="BC41" s="148"/>
      <c r="BD41" s="148"/>
      <c r="BE41" s="148"/>
      <c r="BF41" s="148"/>
      <c r="BG41" s="148"/>
      <c r="BH41" s="148"/>
      <c r="BI41" s="148"/>
      <c r="BJ41" s="148"/>
      <c r="BK41" s="148"/>
      <c r="BL41" s="148"/>
      <c r="BM41" s="148"/>
      <c r="BN41" s="148"/>
      <c r="BO41" s="148"/>
      <c r="BP41" s="148"/>
      <c r="BQ41" s="148"/>
      <c r="BR41" s="148"/>
      <c r="BS41" s="148"/>
      <c r="BT41" s="148"/>
      <c r="BU41" s="148"/>
      <c r="BV41" s="148"/>
      <c r="BW41" s="148"/>
      <c r="BX41" s="148"/>
      <c r="BY41" s="148"/>
      <c r="BZ41" s="148"/>
      <c r="CA41" s="148"/>
      <c r="CB41" s="148"/>
      <c r="CC41" s="148"/>
      <c r="CD41" s="148"/>
      <c r="CE41" s="148"/>
      <c r="CF41" s="148"/>
      <c r="CG41" s="148"/>
      <c r="CH41" s="148"/>
      <c r="CI41" s="148"/>
      <c r="CJ41" s="148"/>
      <c r="CK41" s="148"/>
      <c r="CL41" s="148"/>
      <c r="CM41" s="148"/>
      <c r="CN41" s="148"/>
      <c r="CO41" s="148"/>
      <c r="CP41" s="148"/>
      <c r="CQ41" s="148"/>
      <c r="CR41" s="148"/>
      <c r="CS41" s="148"/>
      <c r="CT41" s="148"/>
      <c r="CU41" s="148"/>
      <c r="CV41" s="148"/>
      <c r="CW41" s="148"/>
      <c r="CX41" s="148"/>
      <c r="CY41" s="148"/>
      <c r="CZ41" s="148"/>
      <c r="DA41" s="148"/>
      <c r="DB41" s="148"/>
      <c r="DC41" s="148"/>
      <c r="DD41" s="148"/>
      <c r="DE41" s="148"/>
      <c r="DF41" s="148"/>
      <c r="DG41" s="148"/>
      <c r="DH41" s="148"/>
      <c r="DI41" s="148"/>
      <c r="DJ41" s="148"/>
      <c r="DK41" s="148"/>
      <c r="DL41" s="148"/>
      <c r="DM41" s="148"/>
      <c r="DN41" s="148"/>
      <c r="DO41" s="148"/>
      <c r="DP41" s="148"/>
      <c r="DQ41" s="148"/>
      <c r="DR41" s="148"/>
      <c r="DS41" s="148"/>
      <c r="DT41" s="148"/>
      <c r="DU41" s="148"/>
      <c r="DV41" s="148"/>
      <c r="DW41" s="148"/>
      <c r="DX41" s="148"/>
      <c r="DY41" s="148"/>
      <c r="DZ41" s="148"/>
      <c r="EA41" s="148"/>
      <c r="EB41" s="148"/>
      <c r="EC41" s="148"/>
      <c r="ED41" s="148"/>
      <c r="EE41" s="148"/>
      <c r="EF41" s="148"/>
      <c r="EG41" s="148"/>
      <c r="EH41" s="148"/>
      <c r="EI41" s="148"/>
      <c r="EJ41" s="148"/>
      <c r="EK41" s="148"/>
      <c r="EL41" s="148"/>
      <c r="EM41" s="148"/>
      <c r="EN41" s="148"/>
      <c r="EO41" s="148"/>
      <c r="EP41" s="148"/>
      <c r="EQ41" s="148"/>
      <c r="ER41" s="148"/>
      <c r="ES41" s="148"/>
      <c r="ET41" s="148"/>
      <c r="EU41" s="148"/>
      <c r="EV41" s="148"/>
      <c r="EW41" s="148"/>
      <c r="EX41" s="148"/>
      <c r="EY41" s="148"/>
      <c r="EZ41" s="148"/>
      <c r="FA41" s="148"/>
      <c r="FB41" s="148"/>
      <c r="FC41" s="148"/>
      <c r="FD41" s="148"/>
      <c r="FE41" s="148"/>
      <c r="FF41" s="148"/>
      <c r="FG41" s="148"/>
      <c r="FH41" s="148"/>
      <c r="FI41" s="148"/>
      <c r="FJ41" s="148"/>
      <c r="FK41" s="148"/>
      <c r="FL41" s="148"/>
      <c r="FM41" s="148"/>
      <c r="FN41" s="148"/>
      <c r="FO41" s="148"/>
      <c r="FP41" s="148"/>
      <c r="FQ41" s="148"/>
      <c r="FR41" s="148"/>
    </row>
    <row r="42" spans="1:174" s="15" customFormat="1" ht="13.5" customHeight="1" x14ac:dyDescent="0.2">
      <c r="A42" s="148"/>
      <c r="B42" s="307">
        <v>31</v>
      </c>
      <c r="C42" s="307" t="s">
        <v>38</v>
      </c>
      <c r="D42" s="450" t="s">
        <v>1486</v>
      </c>
      <c r="E42" s="569" t="s">
        <v>1487</v>
      </c>
      <c r="F42" s="533" t="s">
        <v>45</v>
      </c>
      <c r="G42" s="533" t="s">
        <v>1411</v>
      </c>
      <c r="H42" s="553" t="s">
        <v>1488</v>
      </c>
      <c r="I42" s="534" t="s">
        <v>42</v>
      </c>
      <c r="J42" s="535">
        <v>4217787</v>
      </c>
      <c r="K42" s="535">
        <v>4131915</v>
      </c>
      <c r="L42" s="535">
        <v>0</v>
      </c>
      <c r="M42" s="535">
        <v>0</v>
      </c>
      <c r="N42" s="454"/>
      <c r="O42" s="454"/>
      <c r="P42" s="547"/>
      <c r="Q42" s="538"/>
      <c r="R42" s="538"/>
      <c r="S42" s="535">
        <f t="shared" si="0"/>
        <v>0</v>
      </c>
      <c r="T42" s="539">
        <v>21250</v>
      </c>
      <c r="U42" s="540">
        <v>1</v>
      </c>
      <c r="V42" s="541">
        <v>44200</v>
      </c>
      <c r="W42" s="542">
        <v>44223</v>
      </c>
      <c r="X42" s="539">
        <v>27453</v>
      </c>
      <c r="Y42" s="561">
        <v>55</v>
      </c>
      <c r="Z42" s="545">
        <v>44323</v>
      </c>
      <c r="AA42" s="542">
        <v>44380</v>
      </c>
      <c r="AB42" s="539"/>
      <c r="AC42" s="544"/>
      <c r="AD42" s="540"/>
      <c r="AE42" s="542"/>
      <c r="AF42" s="554"/>
      <c r="AG42" s="560"/>
      <c r="AH42" s="542"/>
      <c r="AI42" s="542"/>
      <c r="AJ42" s="542"/>
      <c r="AK42" s="542"/>
      <c r="AL42" s="542"/>
      <c r="AM42" s="542"/>
      <c r="AN42" s="542"/>
      <c r="AO42" s="542"/>
      <c r="AP42" s="542"/>
      <c r="AQ42" s="542"/>
      <c r="AR42" s="22">
        <f t="shared" si="1"/>
        <v>48703</v>
      </c>
      <c r="AS42" s="546">
        <f t="shared" si="2"/>
        <v>48703</v>
      </c>
      <c r="AT42" s="148"/>
      <c r="AU42" s="148"/>
      <c r="AV42" s="148"/>
      <c r="AW42" s="148"/>
      <c r="AX42" s="148"/>
      <c r="AY42" s="148"/>
      <c r="AZ42" s="148"/>
      <c r="BA42" s="148"/>
      <c r="BB42" s="148"/>
      <c r="BC42" s="148"/>
      <c r="BD42" s="148"/>
      <c r="BE42" s="148"/>
      <c r="BF42" s="148"/>
      <c r="BG42" s="148"/>
      <c r="BH42" s="148"/>
      <c r="BI42" s="148"/>
      <c r="BJ42" s="148"/>
      <c r="BK42" s="148"/>
      <c r="BL42" s="148"/>
      <c r="BM42" s="148"/>
      <c r="BN42" s="148"/>
      <c r="BO42" s="148"/>
      <c r="BP42" s="148"/>
      <c r="BQ42" s="148"/>
      <c r="BR42" s="148"/>
      <c r="BS42" s="148"/>
      <c r="BT42" s="148"/>
      <c r="BU42" s="148"/>
      <c r="BV42" s="148"/>
      <c r="BW42" s="148"/>
      <c r="BX42" s="148"/>
      <c r="BY42" s="148"/>
      <c r="BZ42" s="148"/>
      <c r="CA42" s="148"/>
      <c r="CB42" s="148"/>
      <c r="CC42" s="148"/>
      <c r="CD42" s="148"/>
      <c r="CE42" s="148"/>
      <c r="CF42" s="148"/>
      <c r="CG42" s="148"/>
      <c r="CH42" s="148"/>
      <c r="CI42" s="148"/>
      <c r="CJ42" s="148"/>
      <c r="CK42" s="148"/>
      <c r="CL42" s="148"/>
      <c r="CM42" s="148"/>
      <c r="CN42" s="148"/>
      <c r="CO42" s="148"/>
      <c r="CP42" s="148"/>
      <c r="CQ42" s="148"/>
      <c r="CR42" s="148"/>
      <c r="CS42" s="148"/>
      <c r="CT42" s="148"/>
      <c r="CU42" s="148"/>
      <c r="CV42" s="148"/>
      <c r="CW42" s="148"/>
      <c r="CX42" s="148"/>
      <c r="CY42" s="148"/>
      <c r="CZ42" s="148"/>
      <c r="DA42" s="148"/>
      <c r="DB42" s="148"/>
      <c r="DC42" s="148"/>
      <c r="DD42" s="148"/>
      <c r="DE42" s="148"/>
      <c r="DF42" s="148"/>
      <c r="DG42" s="148"/>
      <c r="DH42" s="148"/>
      <c r="DI42" s="148"/>
      <c r="DJ42" s="148"/>
      <c r="DK42" s="148"/>
      <c r="DL42" s="148"/>
      <c r="DM42" s="148"/>
      <c r="DN42" s="148"/>
      <c r="DO42" s="148"/>
      <c r="DP42" s="148"/>
      <c r="DQ42" s="148"/>
      <c r="DR42" s="148"/>
      <c r="DS42" s="148"/>
      <c r="DT42" s="148"/>
      <c r="DU42" s="148"/>
      <c r="DV42" s="148"/>
      <c r="DW42" s="148"/>
      <c r="DX42" s="148"/>
      <c r="DY42" s="148"/>
      <c r="DZ42" s="148"/>
      <c r="EA42" s="148"/>
      <c r="EB42" s="148"/>
      <c r="EC42" s="148"/>
      <c r="ED42" s="148"/>
      <c r="EE42" s="148"/>
      <c r="EF42" s="148"/>
      <c r="EG42" s="148"/>
      <c r="EH42" s="148"/>
      <c r="EI42" s="148"/>
      <c r="EJ42" s="148"/>
      <c r="EK42" s="148"/>
      <c r="EL42" s="148"/>
      <c r="EM42" s="148"/>
      <c r="EN42" s="148"/>
      <c r="EO42" s="148"/>
      <c r="EP42" s="148"/>
      <c r="EQ42" s="148"/>
      <c r="ER42" s="148"/>
      <c r="ES42" s="148"/>
      <c r="ET42" s="148"/>
      <c r="EU42" s="148"/>
      <c r="EV42" s="148"/>
      <c r="EW42" s="148"/>
      <c r="EX42" s="148"/>
      <c r="EY42" s="148"/>
      <c r="EZ42" s="148"/>
      <c r="FA42" s="148"/>
      <c r="FB42" s="148"/>
      <c r="FC42" s="148"/>
      <c r="FD42" s="148"/>
      <c r="FE42" s="148"/>
      <c r="FF42" s="148"/>
      <c r="FG42" s="148"/>
      <c r="FH42" s="148"/>
      <c r="FI42" s="148"/>
      <c r="FJ42" s="148"/>
      <c r="FK42" s="148"/>
      <c r="FL42" s="148"/>
      <c r="FM42" s="148"/>
      <c r="FN42" s="148"/>
      <c r="FO42" s="148"/>
      <c r="FP42" s="148"/>
      <c r="FQ42" s="148"/>
      <c r="FR42" s="148"/>
    </row>
    <row r="43" spans="1:174" s="15" customFormat="1" ht="13.5" customHeight="1" x14ac:dyDescent="0.2">
      <c r="A43" s="148"/>
      <c r="B43" s="312">
        <v>32</v>
      </c>
      <c r="C43" s="307" t="s">
        <v>38</v>
      </c>
      <c r="D43" s="450" t="s">
        <v>1489</v>
      </c>
      <c r="E43" s="569" t="s">
        <v>1490</v>
      </c>
      <c r="F43" s="533" t="s">
        <v>45</v>
      </c>
      <c r="G43" s="533" t="s">
        <v>1411</v>
      </c>
      <c r="H43" s="553" t="s">
        <v>1488</v>
      </c>
      <c r="I43" s="534" t="s">
        <v>42</v>
      </c>
      <c r="J43" s="535">
        <v>3691386</v>
      </c>
      <c r="K43" s="535">
        <v>3603092</v>
      </c>
      <c r="L43" s="535">
        <v>1</v>
      </c>
      <c r="M43" s="535">
        <v>0</v>
      </c>
      <c r="N43" s="454"/>
      <c r="O43" s="454"/>
      <c r="P43" s="547"/>
      <c r="Q43" s="538"/>
      <c r="R43" s="538"/>
      <c r="S43" s="535">
        <f t="shared" si="0"/>
        <v>0</v>
      </c>
      <c r="T43" s="539">
        <v>28018</v>
      </c>
      <c r="U43" s="540">
        <v>1</v>
      </c>
      <c r="V43" s="541">
        <v>44200</v>
      </c>
      <c r="W43" s="542">
        <v>44223</v>
      </c>
      <c r="X43" s="539">
        <v>28016</v>
      </c>
      <c r="Y43" s="561">
        <v>25</v>
      </c>
      <c r="Z43" s="545">
        <v>44263</v>
      </c>
      <c r="AA43" s="542">
        <v>44292</v>
      </c>
      <c r="AB43" s="539"/>
      <c r="AC43" s="544"/>
      <c r="AD43" s="540"/>
      <c r="AE43" s="542"/>
      <c r="AF43" s="554"/>
      <c r="AG43" s="560"/>
      <c r="AH43" s="542"/>
      <c r="AI43" s="542"/>
      <c r="AJ43" s="542"/>
      <c r="AK43" s="542"/>
      <c r="AL43" s="542"/>
      <c r="AM43" s="542"/>
      <c r="AN43" s="542"/>
      <c r="AO43" s="542"/>
      <c r="AP43" s="542"/>
      <c r="AQ43" s="542"/>
      <c r="AR43" s="22">
        <f t="shared" si="1"/>
        <v>56034</v>
      </c>
      <c r="AS43" s="546">
        <f t="shared" si="2"/>
        <v>56034</v>
      </c>
      <c r="AT43" s="148"/>
      <c r="AU43" s="148"/>
      <c r="AV43" s="148"/>
      <c r="AW43" s="148"/>
      <c r="AX43" s="148"/>
      <c r="AY43" s="148"/>
      <c r="AZ43" s="148"/>
      <c r="BA43" s="148"/>
      <c r="BB43" s="148"/>
      <c r="BC43" s="148"/>
      <c r="BD43" s="148"/>
      <c r="BE43" s="148"/>
      <c r="BF43" s="148"/>
      <c r="BG43" s="148"/>
      <c r="BH43" s="148"/>
      <c r="BI43" s="148"/>
      <c r="BJ43" s="148"/>
      <c r="BK43" s="148"/>
      <c r="BL43" s="148"/>
      <c r="BM43" s="148"/>
      <c r="BN43" s="148"/>
      <c r="BO43" s="148"/>
      <c r="BP43" s="148"/>
      <c r="BQ43" s="148"/>
      <c r="BR43" s="148"/>
      <c r="BS43" s="148"/>
      <c r="BT43" s="148"/>
      <c r="BU43" s="148"/>
      <c r="BV43" s="148"/>
      <c r="BW43" s="148"/>
      <c r="BX43" s="148"/>
      <c r="BY43" s="148"/>
      <c r="BZ43" s="148"/>
      <c r="CA43" s="148"/>
      <c r="CB43" s="148"/>
      <c r="CC43" s="148"/>
      <c r="CD43" s="148"/>
      <c r="CE43" s="148"/>
      <c r="CF43" s="148"/>
      <c r="CG43" s="148"/>
      <c r="CH43" s="148"/>
      <c r="CI43" s="148"/>
      <c r="CJ43" s="148"/>
      <c r="CK43" s="148"/>
      <c r="CL43" s="148"/>
      <c r="CM43" s="148"/>
      <c r="CN43" s="148"/>
      <c r="CO43" s="148"/>
      <c r="CP43" s="148"/>
      <c r="CQ43" s="148"/>
      <c r="CR43" s="148"/>
      <c r="CS43" s="148"/>
      <c r="CT43" s="148"/>
      <c r="CU43" s="148"/>
      <c r="CV43" s="148"/>
      <c r="CW43" s="148"/>
      <c r="CX43" s="148"/>
      <c r="CY43" s="148"/>
      <c r="CZ43" s="148"/>
      <c r="DA43" s="148"/>
      <c r="DB43" s="148"/>
      <c r="DC43" s="148"/>
      <c r="DD43" s="148"/>
      <c r="DE43" s="148"/>
      <c r="DF43" s="148"/>
      <c r="DG43" s="148"/>
      <c r="DH43" s="148"/>
      <c r="DI43" s="148"/>
      <c r="DJ43" s="148"/>
      <c r="DK43" s="148"/>
      <c r="DL43" s="148"/>
      <c r="DM43" s="148"/>
      <c r="DN43" s="148"/>
      <c r="DO43" s="148"/>
      <c r="DP43" s="148"/>
      <c r="DQ43" s="148"/>
      <c r="DR43" s="148"/>
      <c r="DS43" s="148"/>
      <c r="DT43" s="148"/>
      <c r="DU43" s="148"/>
      <c r="DV43" s="148"/>
      <c r="DW43" s="148"/>
      <c r="DX43" s="148"/>
      <c r="DY43" s="148"/>
      <c r="DZ43" s="148"/>
      <c r="EA43" s="148"/>
      <c r="EB43" s="148"/>
      <c r="EC43" s="148"/>
      <c r="ED43" s="148"/>
      <c r="EE43" s="148"/>
      <c r="EF43" s="148"/>
      <c r="EG43" s="148"/>
      <c r="EH43" s="148"/>
      <c r="EI43" s="148"/>
      <c r="EJ43" s="148"/>
      <c r="EK43" s="148"/>
      <c r="EL43" s="148"/>
      <c r="EM43" s="148"/>
      <c r="EN43" s="148"/>
      <c r="EO43" s="148"/>
      <c r="EP43" s="148"/>
      <c r="EQ43" s="148"/>
      <c r="ER43" s="148"/>
      <c r="ES43" s="148"/>
      <c r="ET43" s="148"/>
      <c r="EU43" s="148"/>
      <c r="EV43" s="148"/>
      <c r="EW43" s="148"/>
      <c r="EX43" s="148"/>
      <c r="EY43" s="148"/>
      <c r="EZ43" s="148"/>
      <c r="FA43" s="148"/>
      <c r="FB43" s="148"/>
      <c r="FC43" s="148"/>
      <c r="FD43" s="148"/>
      <c r="FE43" s="148"/>
      <c r="FF43" s="148"/>
      <c r="FG43" s="148"/>
      <c r="FH43" s="148"/>
      <c r="FI43" s="148"/>
      <c r="FJ43" s="148"/>
      <c r="FK43" s="148"/>
      <c r="FL43" s="148"/>
      <c r="FM43" s="148"/>
      <c r="FN43" s="148"/>
      <c r="FO43" s="148"/>
      <c r="FP43" s="148"/>
      <c r="FQ43" s="148"/>
      <c r="FR43" s="148"/>
    </row>
    <row r="44" spans="1:174" s="15" customFormat="1" ht="13.5" customHeight="1" x14ac:dyDescent="0.2">
      <c r="A44" s="148"/>
      <c r="B44" s="307">
        <v>33</v>
      </c>
      <c r="C44" s="307" t="s">
        <v>38</v>
      </c>
      <c r="D44" s="450" t="s">
        <v>1491</v>
      </c>
      <c r="E44" s="569" t="s">
        <v>1492</v>
      </c>
      <c r="F44" s="533" t="s">
        <v>45</v>
      </c>
      <c r="G44" s="533" t="s">
        <v>1411</v>
      </c>
      <c r="H44" s="553" t="s">
        <v>1488</v>
      </c>
      <c r="I44" s="534" t="s">
        <v>42</v>
      </c>
      <c r="J44" s="535">
        <v>701747</v>
      </c>
      <c r="K44" s="535">
        <v>599230</v>
      </c>
      <c r="L44" s="535">
        <v>0</v>
      </c>
      <c r="M44" s="535">
        <v>0</v>
      </c>
      <c r="N44" s="454"/>
      <c r="O44" s="454">
        <v>6114</v>
      </c>
      <c r="P44" s="547"/>
      <c r="Q44" s="538"/>
      <c r="R44" s="538"/>
      <c r="S44" s="535">
        <f t="shared" si="0"/>
        <v>6114</v>
      </c>
      <c r="T44" s="539">
        <v>50440</v>
      </c>
      <c r="U44" s="540">
        <v>1</v>
      </c>
      <c r="V44" s="541">
        <v>44200</v>
      </c>
      <c r="W44" s="542">
        <v>44223</v>
      </c>
      <c r="X44" s="539">
        <v>31209</v>
      </c>
      <c r="Y44" s="561">
        <v>25</v>
      </c>
      <c r="Z44" s="545">
        <v>44263</v>
      </c>
      <c r="AA44" s="542">
        <v>44292</v>
      </c>
      <c r="AB44" s="539"/>
      <c r="AC44" s="544"/>
      <c r="AD44" s="540"/>
      <c r="AE44" s="542"/>
      <c r="AF44" s="554"/>
      <c r="AG44" s="560"/>
      <c r="AH44" s="542"/>
      <c r="AI44" s="542"/>
      <c r="AJ44" s="542"/>
      <c r="AK44" s="542"/>
      <c r="AL44" s="542"/>
      <c r="AM44" s="542"/>
      <c r="AN44" s="542"/>
      <c r="AO44" s="542"/>
      <c r="AP44" s="542"/>
      <c r="AQ44" s="542"/>
      <c r="AR44" s="22">
        <f t="shared" si="1"/>
        <v>81649</v>
      </c>
      <c r="AS44" s="546">
        <f t="shared" si="2"/>
        <v>75535</v>
      </c>
      <c r="AT44" s="148"/>
      <c r="AU44" s="148"/>
      <c r="AV44" s="148"/>
      <c r="AW44" s="148"/>
      <c r="AX44" s="148"/>
      <c r="AY44" s="148"/>
      <c r="AZ44" s="148"/>
      <c r="BA44" s="148"/>
      <c r="BB44" s="148"/>
      <c r="BC44" s="148"/>
      <c r="BD44" s="148"/>
      <c r="BE44" s="148"/>
      <c r="BF44" s="148"/>
      <c r="BG44" s="148"/>
      <c r="BH44" s="148"/>
      <c r="BI44" s="148"/>
      <c r="BJ44" s="148"/>
      <c r="BK44" s="148"/>
      <c r="BL44" s="148"/>
      <c r="BM44" s="148"/>
      <c r="BN44" s="148"/>
      <c r="BO44" s="148"/>
      <c r="BP44" s="148"/>
      <c r="BQ44" s="148"/>
      <c r="BR44" s="148"/>
      <c r="BS44" s="148"/>
      <c r="BT44" s="148"/>
      <c r="BU44" s="148"/>
      <c r="BV44" s="148"/>
      <c r="BW44" s="148"/>
      <c r="BX44" s="148"/>
      <c r="BY44" s="148"/>
      <c r="BZ44" s="148"/>
      <c r="CA44" s="148"/>
      <c r="CB44" s="148"/>
      <c r="CC44" s="148"/>
      <c r="CD44" s="148"/>
      <c r="CE44" s="148"/>
      <c r="CF44" s="148"/>
      <c r="CG44" s="148"/>
      <c r="CH44" s="148"/>
      <c r="CI44" s="148"/>
      <c r="CJ44" s="148"/>
      <c r="CK44" s="148"/>
      <c r="CL44" s="148"/>
      <c r="CM44" s="148"/>
      <c r="CN44" s="148"/>
      <c r="CO44" s="148"/>
      <c r="CP44" s="148"/>
      <c r="CQ44" s="148"/>
      <c r="CR44" s="148"/>
      <c r="CS44" s="148"/>
      <c r="CT44" s="148"/>
      <c r="CU44" s="148"/>
      <c r="CV44" s="148"/>
      <c r="CW44" s="148"/>
      <c r="CX44" s="148"/>
      <c r="CY44" s="148"/>
      <c r="CZ44" s="148"/>
      <c r="DA44" s="148"/>
      <c r="DB44" s="148"/>
      <c r="DC44" s="148"/>
      <c r="DD44" s="148"/>
      <c r="DE44" s="148"/>
      <c r="DF44" s="148"/>
      <c r="DG44" s="148"/>
      <c r="DH44" s="148"/>
      <c r="DI44" s="148"/>
      <c r="DJ44" s="148"/>
      <c r="DK44" s="148"/>
      <c r="DL44" s="148"/>
      <c r="DM44" s="148"/>
      <c r="DN44" s="148"/>
      <c r="DO44" s="148"/>
      <c r="DP44" s="148"/>
      <c r="DQ44" s="148"/>
      <c r="DR44" s="148"/>
      <c r="DS44" s="148"/>
      <c r="DT44" s="148"/>
      <c r="DU44" s="148"/>
      <c r="DV44" s="148"/>
      <c r="DW44" s="148"/>
      <c r="DX44" s="148"/>
      <c r="DY44" s="148"/>
      <c r="DZ44" s="148"/>
      <c r="EA44" s="148"/>
      <c r="EB44" s="148"/>
      <c r="EC44" s="148"/>
      <c r="ED44" s="148"/>
      <c r="EE44" s="148"/>
      <c r="EF44" s="148"/>
      <c r="EG44" s="148"/>
      <c r="EH44" s="148"/>
      <c r="EI44" s="148"/>
      <c r="EJ44" s="148"/>
      <c r="EK44" s="148"/>
      <c r="EL44" s="148"/>
      <c r="EM44" s="148"/>
      <c r="EN44" s="148"/>
      <c r="EO44" s="148"/>
      <c r="EP44" s="148"/>
      <c r="EQ44" s="148"/>
      <c r="ER44" s="148"/>
      <c r="ES44" s="148"/>
      <c r="ET44" s="148"/>
      <c r="EU44" s="148"/>
      <c r="EV44" s="148"/>
      <c r="EW44" s="148"/>
      <c r="EX44" s="148"/>
      <c r="EY44" s="148"/>
      <c r="EZ44" s="148"/>
      <c r="FA44" s="148"/>
      <c r="FB44" s="148"/>
      <c r="FC44" s="148"/>
      <c r="FD44" s="148"/>
      <c r="FE44" s="148"/>
      <c r="FF44" s="148"/>
      <c r="FG44" s="148"/>
      <c r="FH44" s="148"/>
      <c r="FI44" s="148"/>
      <c r="FJ44" s="148"/>
      <c r="FK44" s="148"/>
      <c r="FL44" s="148"/>
      <c r="FM44" s="148"/>
      <c r="FN44" s="148"/>
      <c r="FO44" s="148"/>
      <c r="FP44" s="148"/>
      <c r="FQ44" s="148"/>
      <c r="FR44" s="148"/>
    </row>
    <row r="45" spans="1:174" s="15" customFormat="1" ht="13.5" customHeight="1" x14ac:dyDescent="0.2">
      <c r="A45" s="148"/>
      <c r="B45" s="312">
        <v>34</v>
      </c>
      <c r="C45" s="307" t="s">
        <v>38</v>
      </c>
      <c r="D45" s="450" t="s">
        <v>1493</v>
      </c>
      <c r="E45" s="569" t="s">
        <v>1494</v>
      </c>
      <c r="F45" s="533" t="s">
        <v>45</v>
      </c>
      <c r="G45" s="533" t="s">
        <v>1411</v>
      </c>
      <c r="H45" s="553" t="s">
        <v>1495</v>
      </c>
      <c r="I45" s="534" t="s">
        <v>42</v>
      </c>
      <c r="J45" s="535">
        <v>645926</v>
      </c>
      <c r="K45" s="535">
        <v>570048</v>
      </c>
      <c r="L45" s="535">
        <v>0</v>
      </c>
      <c r="M45" s="454">
        <v>35724</v>
      </c>
      <c r="N45" s="454"/>
      <c r="O45" s="454"/>
      <c r="P45" s="547"/>
      <c r="Q45" s="538">
        <v>30585</v>
      </c>
      <c r="R45" s="538">
        <v>6589.7960000000003</v>
      </c>
      <c r="S45" s="535">
        <f t="shared" si="0"/>
        <v>72898.796000000002</v>
      </c>
      <c r="T45" s="539">
        <v>87823</v>
      </c>
      <c r="U45" s="540">
        <v>1</v>
      </c>
      <c r="V45" s="541">
        <v>44200</v>
      </c>
      <c r="W45" s="542">
        <v>44223</v>
      </c>
      <c r="X45" s="539"/>
      <c r="Y45" s="544"/>
      <c r="Z45" s="545"/>
      <c r="AA45" s="542"/>
      <c r="AB45" s="539"/>
      <c r="AC45" s="544"/>
      <c r="AD45" s="540"/>
      <c r="AE45" s="542"/>
      <c r="AF45" s="554"/>
      <c r="AG45" s="560"/>
      <c r="AH45" s="542"/>
      <c r="AI45" s="542"/>
      <c r="AJ45" s="542"/>
      <c r="AK45" s="542"/>
      <c r="AL45" s="542"/>
      <c r="AM45" s="542"/>
      <c r="AN45" s="542"/>
      <c r="AO45" s="542"/>
      <c r="AP45" s="542"/>
      <c r="AQ45" s="542"/>
      <c r="AR45" s="22">
        <f t="shared" si="1"/>
        <v>87823</v>
      </c>
      <c r="AS45" s="546">
        <f t="shared" si="2"/>
        <v>14924.203999999998</v>
      </c>
      <c r="AT45" s="148"/>
      <c r="AU45" s="148"/>
      <c r="AV45" s="148"/>
      <c r="AW45" s="148"/>
      <c r="AX45" s="148"/>
      <c r="AY45" s="148"/>
      <c r="AZ45" s="148"/>
      <c r="BA45" s="148"/>
      <c r="BB45" s="148"/>
      <c r="BC45" s="148"/>
      <c r="BD45" s="148"/>
      <c r="BE45" s="148"/>
      <c r="BF45" s="148"/>
      <c r="BG45" s="148"/>
      <c r="BH45" s="148"/>
      <c r="BI45" s="148"/>
      <c r="BJ45" s="148"/>
      <c r="BK45" s="148"/>
      <c r="BL45" s="148"/>
      <c r="BM45" s="148"/>
      <c r="BN45" s="148"/>
      <c r="BO45" s="148"/>
      <c r="BP45" s="148"/>
      <c r="BQ45" s="148"/>
      <c r="BR45" s="148"/>
      <c r="BS45" s="148"/>
      <c r="BT45" s="148"/>
      <c r="BU45" s="148"/>
      <c r="BV45" s="148"/>
      <c r="BW45" s="148"/>
      <c r="BX45" s="148"/>
      <c r="BY45" s="148"/>
      <c r="BZ45" s="148"/>
      <c r="CA45" s="148"/>
      <c r="CB45" s="148"/>
      <c r="CC45" s="148"/>
      <c r="CD45" s="148"/>
      <c r="CE45" s="148"/>
      <c r="CF45" s="148"/>
      <c r="CG45" s="148"/>
      <c r="CH45" s="148"/>
      <c r="CI45" s="148"/>
      <c r="CJ45" s="148"/>
      <c r="CK45" s="148"/>
      <c r="CL45" s="148"/>
      <c r="CM45" s="148"/>
      <c r="CN45" s="148"/>
      <c r="CO45" s="148"/>
      <c r="CP45" s="148"/>
      <c r="CQ45" s="148"/>
      <c r="CR45" s="148"/>
      <c r="CS45" s="148"/>
      <c r="CT45" s="148"/>
      <c r="CU45" s="148"/>
      <c r="CV45" s="148"/>
      <c r="CW45" s="148"/>
      <c r="CX45" s="148"/>
      <c r="CY45" s="148"/>
      <c r="CZ45" s="148"/>
      <c r="DA45" s="148"/>
      <c r="DB45" s="148"/>
      <c r="DC45" s="148"/>
      <c r="DD45" s="148"/>
      <c r="DE45" s="148"/>
      <c r="DF45" s="148"/>
      <c r="DG45" s="148"/>
      <c r="DH45" s="148"/>
      <c r="DI45" s="148"/>
      <c r="DJ45" s="148"/>
      <c r="DK45" s="148"/>
      <c r="DL45" s="148"/>
      <c r="DM45" s="148"/>
      <c r="DN45" s="148"/>
      <c r="DO45" s="148"/>
      <c r="DP45" s="148"/>
      <c r="DQ45" s="148"/>
      <c r="DR45" s="148"/>
      <c r="DS45" s="148"/>
      <c r="DT45" s="148"/>
      <c r="DU45" s="148"/>
      <c r="DV45" s="148"/>
      <c r="DW45" s="148"/>
      <c r="DX45" s="148"/>
      <c r="DY45" s="148"/>
      <c r="DZ45" s="148"/>
      <c r="EA45" s="148"/>
      <c r="EB45" s="148"/>
      <c r="EC45" s="148"/>
      <c r="ED45" s="148"/>
      <c r="EE45" s="148"/>
      <c r="EF45" s="148"/>
      <c r="EG45" s="148"/>
      <c r="EH45" s="148"/>
      <c r="EI45" s="148"/>
      <c r="EJ45" s="148"/>
      <c r="EK45" s="148"/>
      <c r="EL45" s="148"/>
      <c r="EM45" s="148"/>
      <c r="EN45" s="148"/>
      <c r="EO45" s="148"/>
      <c r="EP45" s="148"/>
      <c r="EQ45" s="148"/>
      <c r="ER45" s="148"/>
      <c r="ES45" s="148"/>
      <c r="ET45" s="148"/>
      <c r="EU45" s="148"/>
      <c r="EV45" s="148"/>
      <c r="EW45" s="148"/>
      <c r="EX45" s="148"/>
      <c r="EY45" s="148"/>
      <c r="EZ45" s="148"/>
      <c r="FA45" s="148"/>
      <c r="FB45" s="148"/>
      <c r="FC45" s="148"/>
      <c r="FD45" s="148"/>
      <c r="FE45" s="148"/>
      <c r="FF45" s="148"/>
      <c r="FG45" s="148"/>
      <c r="FH45" s="148"/>
      <c r="FI45" s="148"/>
      <c r="FJ45" s="148"/>
      <c r="FK45" s="148"/>
      <c r="FL45" s="148"/>
      <c r="FM45" s="148"/>
      <c r="FN45" s="148"/>
      <c r="FO45" s="148"/>
      <c r="FP45" s="148"/>
      <c r="FQ45" s="148"/>
      <c r="FR45" s="148"/>
    </row>
    <row r="46" spans="1:174" s="15" customFormat="1" ht="13.5" customHeight="1" x14ac:dyDescent="0.2">
      <c r="A46" s="148"/>
      <c r="B46" s="307">
        <v>35</v>
      </c>
      <c r="C46" s="307" t="s">
        <v>38</v>
      </c>
      <c r="D46" s="450" t="s">
        <v>1496</v>
      </c>
      <c r="E46" s="569" t="s">
        <v>1497</v>
      </c>
      <c r="F46" s="533" t="s">
        <v>1498</v>
      </c>
      <c r="G46" s="533" t="s">
        <v>1411</v>
      </c>
      <c r="H46" s="553" t="s">
        <v>1495</v>
      </c>
      <c r="I46" s="534" t="s">
        <v>43</v>
      </c>
      <c r="J46" s="535">
        <v>672376</v>
      </c>
      <c r="K46" s="535">
        <v>562376</v>
      </c>
      <c r="L46" s="535">
        <v>0</v>
      </c>
      <c r="M46" s="535">
        <v>0</v>
      </c>
      <c r="N46" s="454"/>
      <c r="O46" s="454"/>
      <c r="P46" s="547"/>
      <c r="Q46" s="538"/>
      <c r="R46" s="538">
        <v>10894.95</v>
      </c>
      <c r="S46" s="535">
        <f t="shared" si="0"/>
        <v>10894.95</v>
      </c>
      <c r="T46" s="539">
        <v>102912</v>
      </c>
      <c r="U46" s="540">
        <v>1</v>
      </c>
      <c r="V46" s="541">
        <v>44200</v>
      </c>
      <c r="W46" s="542">
        <v>44223</v>
      </c>
      <c r="X46" s="539">
        <v>2912</v>
      </c>
      <c r="Y46" s="544">
        <v>25</v>
      </c>
      <c r="Z46" s="545">
        <v>44263</v>
      </c>
      <c r="AA46" s="542">
        <v>44292</v>
      </c>
      <c r="AB46" s="539">
        <v>14376</v>
      </c>
      <c r="AC46" s="544">
        <v>46</v>
      </c>
      <c r="AD46" s="545">
        <v>44295</v>
      </c>
      <c r="AE46" s="542">
        <v>44327</v>
      </c>
      <c r="AF46" s="554">
        <v>88744</v>
      </c>
      <c r="AG46" s="560">
        <v>55</v>
      </c>
      <c r="AH46" s="542">
        <v>44323</v>
      </c>
      <c r="AI46" s="542">
        <v>44350</v>
      </c>
      <c r="AJ46" s="542"/>
      <c r="AK46" s="542"/>
      <c r="AL46" s="542"/>
      <c r="AM46" s="542"/>
      <c r="AN46" s="542"/>
      <c r="AO46" s="542"/>
      <c r="AP46" s="542"/>
      <c r="AQ46" s="542"/>
      <c r="AR46" s="22">
        <f t="shared" si="1"/>
        <v>208944</v>
      </c>
      <c r="AS46" s="546">
        <f t="shared" si="2"/>
        <v>198049.05</v>
      </c>
      <c r="AT46" s="148"/>
      <c r="AU46" s="148"/>
      <c r="AV46" s="148"/>
      <c r="AW46" s="148"/>
      <c r="AX46" s="148"/>
      <c r="AY46" s="148"/>
      <c r="AZ46" s="148"/>
      <c r="BA46" s="148"/>
      <c r="BB46" s="148"/>
      <c r="BC46" s="148"/>
      <c r="BD46" s="148"/>
      <c r="BE46" s="148"/>
      <c r="BF46" s="148"/>
      <c r="BG46" s="148"/>
      <c r="BH46" s="148"/>
      <c r="BI46" s="148"/>
      <c r="BJ46" s="148"/>
      <c r="BK46" s="148"/>
      <c r="BL46" s="148"/>
      <c r="BM46" s="148"/>
      <c r="BN46" s="148"/>
      <c r="BO46" s="148"/>
      <c r="BP46" s="148"/>
      <c r="BQ46" s="148"/>
      <c r="BR46" s="148"/>
      <c r="BS46" s="148"/>
      <c r="BT46" s="148"/>
      <c r="BU46" s="148"/>
      <c r="BV46" s="148"/>
      <c r="BW46" s="148"/>
      <c r="BX46" s="148"/>
      <c r="BY46" s="148"/>
      <c r="BZ46" s="148"/>
      <c r="CA46" s="148"/>
      <c r="CB46" s="148"/>
      <c r="CC46" s="148"/>
      <c r="CD46" s="148"/>
      <c r="CE46" s="148"/>
      <c r="CF46" s="148"/>
      <c r="CG46" s="148"/>
      <c r="CH46" s="148"/>
      <c r="CI46" s="148"/>
      <c r="CJ46" s="148"/>
      <c r="CK46" s="148"/>
      <c r="CL46" s="148"/>
      <c r="CM46" s="148"/>
      <c r="CN46" s="148"/>
      <c r="CO46" s="148"/>
      <c r="CP46" s="148"/>
      <c r="CQ46" s="148"/>
      <c r="CR46" s="148"/>
      <c r="CS46" s="148"/>
      <c r="CT46" s="148"/>
      <c r="CU46" s="148"/>
      <c r="CV46" s="148"/>
      <c r="CW46" s="148"/>
      <c r="CX46" s="148"/>
      <c r="CY46" s="148"/>
      <c r="CZ46" s="148"/>
      <c r="DA46" s="148"/>
      <c r="DB46" s="148"/>
      <c r="DC46" s="148"/>
      <c r="DD46" s="148"/>
      <c r="DE46" s="148"/>
      <c r="DF46" s="148"/>
      <c r="DG46" s="148"/>
      <c r="DH46" s="148"/>
      <c r="DI46" s="148"/>
      <c r="DJ46" s="148"/>
      <c r="DK46" s="148"/>
      <c r="DL46" s="148"/>
      <c r="DM46" s="148"/>
      <c r="DN46" s="148"/>
      <c r="DO46" s="148"/>
      <c r="DP46" s="148"/>
      <c r="DQ46" s="148"/>
      <c r="DR46" s="148"/>
      <c r="DS46" s="148"/>
      <c r="DT46" s="148"/>
      <c r="DU46" s="148"/>
      <c r="DV46" s="148"/>
      <c r="DW46" s="148"/>
      <c r="DX46" s="148"/>
      <c r="DY46" s="148"/>
      <c r="DZ46" s="148"/>
      <c r="EA46" s="148"/>
      <c r="EB46" s="148"/>
      <c r="EC46" s="148"/>
      <c r="ED46" s="148"/>
      <c r="EE46" s="148"/>
      <c r="EF46" s="148"/>
      <c r="EG46" s="148"/>
      <c r="EH46" s="148"/>
      <c r="EI46" s="148"/>
      <c r="EJ46" s="148"/>
      <c r="EK46" s="148"/>
      <c r="EL46" s="148"/>
      <c r="EM46" s="148"/>
      <c r="EN46" s="148"/>
      <c r="EO46" s="148"/>
      <c r="EP46" s="148"/>
      <c r="EQ46" s="148"/>
      <c r="ER46" s="148"/>
      <c r="ES46" s="148"/>
      <c r="ET46" s="148"/>
      <c r="EU46" s="148"/>
      <c r="EV46" s="148"/>
      <c r="EW46" s="148"/>
      <c r="EX46" s="148"/>
      <c r="EY46" s="148"/>
      <c r="EZ46" s="148"/>
      <c r="FA46" s="148"/>
      <c r="FB46" s="148"/>
      <c r="FC46" s="148"/>
      <c r="FD46" s="148"/>
      <c r="FE46" s="148"/>
      <c r="FF46" s="148"/>
      <c r="FG46" s="148"/>
      <c r="FH46" s="148"/>
      <c r="FI46" s="148"/>
      <c r="FJ46" s="148"/>
      <c r="FK46" s="148"/>
      <c r="FL46" s="148"/>
      <c r="FM46" s="148"/>
      <c r="FN46" s="148"/>
      <c r="FO46" s="148"/>
      <c r="FP46" s="148"/>
      <c r="FQ46" s="148"/>
      <c r="FR46" s="148"/>
    </row>
    <row r="47" spans="1:174" s="15" customFormat="1" ht="13.5" customHeight="1" x14ac:dyDescent="0.2">
      <c r="A47" s="148"/>
      <c r="B47" s="312">
        <v>36</v>
      </c>
      <c r="C47" s="307" t="s">
        <v>38</v>
      </c>
      <c r="D47" s="450" t="s">
        <v>1499</v>
      </c>
      <c r="E47" s="569" t="s">
        <v>1500</v>
      </c>
      <c r="F47" s="533" t="s">
        <v>45</v>
      </c>
      <c r="G47" s="533" t="s">
        <v>1411</v>
      </c>
      <c r="H47" s="553" t="s">
        <v>1485</v>
      </c>
      <c r="I47" s="534" t="s">
        <v>42</v>
      </c>
      <c r="J47" s="535">
        <v>9113946</v>
      </c>
      <c r="K47" s="535">
        <v>146940</v>
      </c>
      <c r="L47" s="535">
        <v>6516735</v>
      </c>
      <c r="M47" s="535">
        <v>0</v>
      </c>
      <c r="N47" s="454"/>
      <c r="O47" s="454"/>
      <c r="P47" s="548">
        <v>90.706999999999994</v>
      </c>
      <c r="Q47" s="538">
        <v>89.573999999999998</v>
      </c>
      <c r="R47" s="538">
        <v>5639.1139999999996</v>
      </c>
      <c r="S47" s="535">
        <f t="shared" si="0"/>
        <v>5819.3949999999995</v>
      </c>
      <c r="T47" s="539">
        <v>337802</v>
      </c>
      <c r="U47" s="540">
        <v>1</v>
      </c>
      <c r="V47" s="541">
        <v>44200</v>
      </c>
      <c r="W47" s="542">
        <v>44223</v>
      </c>
      <c r="X47" s="539">
        <v>15000</v>
      </c>
      <c r="Y47" s="544">
        <v>13</v>
      </c>
      <c r="Z47" s="545">
        <v>44221</v>
      </c>
      <c r="AA47" s="542">
        <v>44249</v>
      </c>
      <c r="AB47" s="539">
        <v>1162198</v>
      </c>
      <c r="AC47" s="544">
        <v>43</v>
      </c>
      <c r="AD47" s="545">
        <v>44294</v>
      </c>
      <c r="AE47" s="542">
        <v>44314</v>
      </c>
      <c r="AF47" s="554">
        <v>792299</v>
      </c>
      <c r="AG47" s="560">
        <v>55</v>
      </c>
      <c r="AH47" s="542">
        <v>44323</v>
      </c>
      <c r="AI47" s="542">
        <v>44350</v>
      </c>
      <c r="AJ47" s="542"/>
      <c r="AK47" s="542"/>
      <c r="AL47" s="542"/>
      <c r="AM47" s="542"/>
      <c r="AN47" s="542"/>
      <c r="AO47" s="542"/>
      <c r="AP47" s="542"/>
      <c r="AQ47" s="542"/>
      <c r="AR47" s="22">
        <f t="shared" si="1"/>
        <v>2307299</v>
      </c>
      <c r="AS47" s="546">
        <f t="shared" si="2"/>
        <v>2301479.605</v>
      </c>
      <c r="AT47" s="148"/>
      <c r="AU47" s="148"/>
      <c r="AV47" s="148"/>
      <c r="AW47" s="148"/>
      <c r="AX47" s="148"/>
      <c r="AY47" s="148"/>
      <c r="AZ47" s="148"/>
      <c r="BA47" s="148"/>
      <c r="BB47" s="148"/>
      <c r="BC47" s="148"/>
      <c r="BD47" s="148"/>
      <c r="BE47" s="148"/>
      <c r="BF47" s="148"/>
      <c r="BG47" s="148"/>
      <c r="BH47" s="148"/>
      <c r="BI47" s="148"/>
      <c r="BJ47" s="148"/>
      <c r="BK47" s="148"/>
      <c r="BL47" s="148"/>
      <c r="BM47" s="148"/>
      <c r="BN47" s="148"/>
      <c r="BO47" s="148"/>
      <c r="BP47" s="148"/>
      <c r="BQ47" s="148"/>
      <c r="BR47" s="148"/>
      <c r="BS47" s="148"/>
      <c r="BT47" s="148"/>
      <c r="BU47" s="148"/>
      <c r="BV47" s="148"/>
      <c r="BW47" s="148"/>
      <c r="BX47" s="148"/>
      <c r="BY47" s="148"/>
      <c r="BZ47" s="148"/>
      <c r="CA47" s="148"/>
      <c r="CB47" s="148"/>
      <c r="CC47" s="148"/>
      <c r="CD47" s="148"/>
      <c r="CE47" s="148"/>
      <c r="CF47" s="148"/>
      <c r="CG47" s="148"/>
      <c r="CH47" s="148"/>
      <c r="CI47" s="148"/>
      <c r="CJ47" s="148"/>
      <c r="CK47" s="148"/>
      <c r="CL47" s="148"/>
      <c r="CM47" s="148"/>
      <c r="CN47" s="148"/>
      <c r="CO47" s="148"/>
      <c r="CP47" s="148"/>
      <c r="CQ47" s="148"/>
      <c r="CR47" s="148"/>
      <c r="CS47" s="148"/>
      <c r="CT47" s="148"/>
      <c r="CU47" s="148"/>
      <c r="CV47" s="148"/>
      <c r="CW47" s="148"/>
      <c r="CX47" s="148"/>
      <c r="CY47" s="148"/>
      <c r="CZ47" s="148"/>
      <c r="DA47" s="148"/>
      <c r="DB47" s="148"/>
      <c r="DC47" s="148"/>
      <c r="DD47" s="148"/>
      <c r="DE47" s="148"/>
      <c r="DF47" s="148"/>
      <c r="DG47" s="148"/>
      <c r="DH47" s="148"/>
      <c r="DI47" s="148"/>
      <c r="DJ47" s="148"/>
      <c r="DK47" s="148"/>
      <c r="DL47" s="148"/>
      <c r="DM47" s="148"/>
      <c r="DN47" s="148"/>
      <c r="DO47" s="148"/>
      <c r="DP47" s="148"/>
      <c r="DQ47" s="148"/>
      <c r="DR47" s="148"/>
      <c r="DS47" s="148"/>
      <c r="DT47" s="148"/>
      <c r="DU47" s="148"/>
      <c r="DV47" s="148"/>
      <c r="DW47" s="148"/>
      <c r="DX47" s="148"/>
      <c r="DY47" s="148"/>
      <c r="DZ47" s="148"/>
      <c r="EA47" s="148"/>
      <c r="EB47" s="148"/>
      <c r="EC47" s="148"/>
      <c r="ED47" s="148"/>
      <c r="EE47" s="148"/>
      <c r="EF47" s="148"/>
      <c r="EG47" s="148"/>
      <c r="EH47" s="148"/>
      <c r="EI47" s="148"/>
      <c r="EJ47" s="148"/>
      <c r="EK47" s="148"/>
      <c r="EL47" s="148"/>
      <c r="EM47" s="148"/>
      <c r="EN47" s="148"/>
      <c r="EO47" s="148"/>
      <c r="EP47" s="148"/>
      <c r="EQ47" s="148"/>
      <c r="ER47" s="148"/>
      <c r="ES47" s="148"/>
      <c r="ET47" s="148"/>
      <c r="EU47" s="148"/>
      <c r="EV47" s="148"/>
      <c r="EW47" s="148"/>
      <c r="EX47" s="148"/>
      <c r="EY47" s="148"/>
      <c r="EZ47" s="148"/>
      <c r="FA47" s="148"/>
      <c r="FB47" s="148"/>
      <c r="FC47" s="148"/>
      <c r="FD47" s="148"/>
      <c r="FE47" s="148"/>
      <c r="FF47" s="148"/>
      <c r="FG47" s="148"/>
      <c r="FH47" s="148"/>
      <c r="FI47" s="148"/>
      <c r="FJ47" s="148"/>
      <c r="FK47" s="148"/>
      <c r="FL47" s="148"/>
      <c r="FM47" s="148"/>
      <c r="FN47" s="148"/>
      <c r="FO47" s="148"/>
      <c r="FP47" s="148"/>
      <c r="FQ47" s="148"/>
      <c r="FR47" s="148"/>
    </row>
    <row r="48" spans="1:174" s="15" customFormat="1" ht="13.5" customHeight="1" x14ac:dyDescent="0.2">
      <c r="A48" s="148"/>
      <c r="B48" s="307">
        <v>37</v>
      </c>
      <c r="C48" s="307" t="s">
        <v>38</v>
      </c>
      <c r="D48" s="450" t="s">
        <v>1501</v>
      </c>
      <c r="E48" s="569" t="s">
        <v>1502</v>
      </c>
      <c r="F48" s="533" t="s">
        <v>45</v>
      </c>
      <c r="G48" s="533" t="s">
        <v>1411</v>
      </c>
      <c r="H48" s="553" t="s">
        <v>1503</v>
      </c>
      <c r="I48" s="534" t="s">
        <v>42</v>
      </c>
      <c r="J48" s="535">
        <v>28699842</v>
      </c>
      <c r="K48" s="535">
        <v>10243</v>
      </c>
      <c r="L48" s="535">
        <v>22779393</v>
      </c>
      <c r="M48" s="454">
        <v>96539</v>
      </c>
      <c r="N48" s="454"/>
      <c r="O48" s="454">
        <v>86</v>
      </c>
      <c r="P48" s="548">
        <v>620.11500000000001</v>
      </c>
      <c r="Q48" s="538">
        <v>10780.643</v>
      </c>
      <c r="R48" s="538">
        <v>3101.038</v>
      </c>
      <c r="S48" s="535">
        <f t="shared" si="0"/>
        <v>111126.796</v>
      </c>
      <c r="T48" s="539">
        <v>100000</v>
      </c>
      <c r="U48" s="540">
        <v>1</v>
      </c>
      <c r="V48" s="541">
        <v>44200</v>
      </c>
      <c r="W48" s="542">
        <v>44223</v>
      </c>
      <c r="X48" s="539">
        <v>170000</v>
      </c>
      <c r="Y48" s="544">
        <v>13</v>
      </c>
      <c r="Z48" s="545">
        <v>44221</v>
      </c>
      <c r="AA48" s="542">
        <v>44249</v>
      </c>
      <c r="AB48" s="539">
        <v>500000</v>
      </c>
      <c r="AC48" s="544">
        <v>25</v>
      </c>
      <c r="AD48" s="545">
        <v>44263</v>
      </c>
      <c r="AE48" s="542">
        <v>44292</v>
      </c>
      <c r="AF48" s="554">
        <v>4500000</v>
      </c>
      <c r="AG48" s="560">
        <v>54</v>
      </c>
      <c r="AH48" s="542">
        <v>44323</v>
      </c>
      <c r="AI48" s="542">
        <v>44341</v>
      </c>
      <c r="AJ48" s="542"/>
      <c r="AK48" s="542"/>
      <c r="AL48" s="542"/>
      <c r="AM48" s="542"/>
      <c r="AN48" s="542"/>
      <c r="AO48" s="542"/>
      <c r="AP48" s="542"/>
      <c r="AQ48" s="542"/>
      <c r="AR48" s="22">
        <f t="shared" si="1"/>
        <v>5270000</v>
      </c>
      <c r="AS48" s="546">
        <f t="shared" si="2"/>
        <v>5158873.2039999999</v>
      </c>
      <c r="AT48" s="148"/>
      <c r="AU48" s="148"/>
      <c r="AV48" s="148"/>
      <c r="AW48" s="148"/>
      <c r="AX48" s="148"/>
      <c r="AY48" s="148"/>
      <c r="AZ48" s="148"/>
      <c r="BA48" s="148"/>
      <c r="BB48" s="148"/>
      <c r="BC48" s="148"/>
      <c r="BD48" s="148"/>
      <c r="BE48" s="148"/>
      <c r="BF48" s="148"/>
      <c r="BG48" s="148"/>
      <c r="BH48" s="148"/>
      <c r="BI48" s="148"/>
      <c r="BJ48" s="148"/>
      <c r="BK48" s="148"/>
      <c r="BL48" s="148"/>
      <c r="BM48" s="148"/>
      <c r="BN48" s="148"/>
      <c r="BO48" s="148"/>
      <c r="BP48" s="148"/>
      <c r="BQ48" s="148"/>
      <c r="BR48" s="148"/>
      <c r="BS48" s="148"/>
      <c r="BT48" s="148"/>
      <c r="BU48" s="148"/>
      <c r="BV48" s="148"/>
      <c r="BW48" s="148"/>
      <c r="BX48" s="148"/>
      <c r="BY48" s="148"/>
      <c r="BZ48" s="148"/>
      <c r="CA48" s="148"/>
      <c r="CB48" s="148"/>
      <c r="CC48" s="148"/>
      <c r="CD48" s="148"/>
      <c r="CE48" s="148"/>
      <c r="CF48" s="148"/>
      <c r="CG48" s="148"/>
      <c r="CH48" s="148"/>
      <c r="CI48" s="148"/>
      <c r="CJ48" s="148"/>
      <c r="CK48" s="148"/>
      <c r="CL48" s="148"/>
      <c r="CM48" s="148"/>
      <c r="CN48" s="148"/>
      <c r="CO48" s="148"/>
      <c r="CP48" s="148"/>
      <c r="CQ48" s="148"/>
      <c r="CR48" s="148"/>
      <c r="CS48" s="148"/>
      <c r="CT48" s="148"/>
      <c r="CU48" s="148"/>
      <c r="CV48" s="148"/>
      <c r="CW48" s="148"/>
      <c r="CX48" s="148"/>
      <c r="CY48" s="148"/>
      <c r="CZ48" s="148"/>
      <c r="DA48" s="148"/>
      <c r="DB48" s="148"/>
      <c r="DC48" s="148"/>
      <c r="DD48" s="148"/>
      <c r="DE48" s="148"/>
      <c r="DF48" s="148"/>
      <c r="DG48" s="148"/>
      <c r="DH48" s="148"/>
      <c r="DI48" s="148"/>
      <c r="DJ48" s="148"/>
      <c r="DK48" s="148"/>
      <c r="DL48" s="148"/>
      <c r="DM48" s="148"/>
      <c r="DN48" s="148"/>
      <c r="DO48" s="148"/>
      <c r="DP48" s="148"/>
      <c r="DQ48" s="148"/>
      <c r="DR48" s="148"/>
      <c r="DS48" s="148"/>
      <c r="DT48" s="148"/>
      <c r="DU48" s="148"/>
      <c r="DV48" s="148"/>
      <c r="DW48" s="148"/>
      <c r="DX48" s="148"/>
      <c r="DY48" s="148"/>
      <c r="DZ48" s="148"/>
      <c r="EA48" s="148"/>
      <c r="EB48" s="148"/>
      <c r="EC48" s="148"/>
      <c r="ED48" s="148"/>
      <c r="EE48" s="148"/>
      <c r="EF48" s="148"/>
      <c r="EG48" s="148"/>
      <c r="EH48" s="148"/>
      <c r="EI48" s="148"/>
      <c r="EJ48" s="148"/>
      <c r="EK48" s="148"/>
      <c r="EL48" s="148"/>
      <c r="EM48" s="148"/>
      <c r="EN48" s="148"/>
      <c r="EO48" s="148"/>
      <c r="EP48" s="148"/>
      <c r="EQ48" s="148"/>
      <c r="ER48" s="148"/>
      <c r="ES48" s="148"/>
      <c r="ET48" s="148"/>
      <c r="EU48" s="148"/>
      <c r="EV48" s="148"/>
      <c r="EW48" s="148"/>
      <c r="EX48" s="148"/>
      <c r="EY48" s="148"/>
      <c r="EZ48" s="148"/>
      <c r="FA48" s="148"/>
      <c r="FB48" s="148"/>
      <c r="FC48" s="148"/>
      <c r="FD48" s="148"/>
      <c r="FE48" s="148"/>
      <c r="FF48" s="148"/>
      <c r="FG48" s="148"/>
      <c r="FH48" s="148"/>
      <c r="FI48" s="148"/>
      <c r="FJ48" s="148"/>
      <c r="FK48" s="148"/>
      <c r="FL48" s="148"/>
      <c r="FM48" s="148"/>
      <c r="FN48" s="148"/>
      <c r="FO48" s="148"/>
      <c r="FP48" s="148"/>
      <c r="FQ48" s="148"/>
      <c r="FR48" s="148"/>
    </row>
    <row r="49" spans="1:174" s="15" customFormat="1" ht="13.5" customHeight="1" x14ac:dyDescent="0.2">
      <c r="A49" s="148"/>
      <c r="B49" s="312">
        <v>38</v>
      </c>
      <c r="C49" s="307" t="s">
        <v>38</v>
      </c>
      <c r="D49" s="450" t="s">
        <v>1504</v>
      </c>
      <c r="E49" s="569" t="s">
        <v>1505</v>
      </c>
      <c r="F49" s="533" t="s">
        <v>45</v>
      </c>
      <c r="G49" s="533" t="s">
        <v>1411</v>
      </c>
      <c r="H49" s="553" t="s">
        <v>1485</v>
      </c>
      <c r="I49" s="534" t="s">
        <v>42</v>
      </c>
      <c r="J49" s="535">
        <v>469545</v>
      </c>
      <c r="K49" s="535">
        <v>23620</v>
      </c>
      <c r="L49" s="535">
        <v>0</v>
      </c>
      <c r="M49" s="454"/>
      <c r="N49" s="454">
        <v>81750</v>
      </c>
      <c r="O49" s="454"/>
      <c r="P49" s="547"/>
      <c r="Q49" s="538"/>
      <c r="R49" s="538"/>
      <c r="S49" s="535">
        <f t="shared" si="0"/>
        <v>81750</v>
      </c>
      <c r="T49" s="539">
        <v>81750</v>
      </c>
      <c r="U49" s="540">
        <v>1</v>
      </c>
      <c r="V49" s="541">
        <v>44200</v>
      </c>
      <c r="W49" s="542">
        <v>44223</v>
      </c>
      <c r="X49" s="539"/>
      <c r="Y49" s="544"/>
      <c r="Z49" s="540"/>
      <c r="AA49" s="542"/>
      <c r="AB49" s="539"/>
      <c r="AC49" s="544"/>
      <c r="AD49" s="540"/>
      <c r="AE49" s="542"/>
      <c r="AF49" s="554"/>
      <c r="AG49" s="560"/>
      <c r="AH49" s="542"/>
      <c r="AI49" s="542"/>
      <c r="AJ49" s="542"/>
      <c r="AK49" s="542"/>
      <c r="AL49" s="542"/>
      <c r="AM49" s="542"/>
      <c r="AN49" s="542"/>
      <c r="AO49" s="542"/>
      <c r="AP49" s="542"/>
      <c r="AQ49" s="542"/>
      <c r="AR49" s="22">
        <f t="shared" si="1"/>
        <v>81750</v>
      </c>
      <c r="AS49" s="546">
        <f t="shared" si="2"/>
        <v>0</v>
      </c>
      <c r="AT49" s="148"/>
      <c r="AU49" s="148"/>
      <c r="AV49" s="148"/>
      <c r="AW49" s="148"/>
      <c r="AX49" s="148"/>
      <c r="AY49" s="148"/>
      <c r="AZ49" s="148"/>
      <c r="BA49" s="148"/>
      <c r="BB49" s="148"/>
      <c r="BC49" s="148"/>
      <c r="BD49" s="148"/>
      <c r="BE49" s="148"/>
      <c r="BF49" s="148"/>
      <c r="BG49" s="148"/>
      <c r="BH49" s="148"/>
      <c r="BI49" s="148"/>
      <c r="BJ49" s="148"/>
      <c r="BK49" s="148"/>
      <c r="BL49" s="148"/>
      <c r="BM49" s="148"/>
      <c r="BN49" s="148"/>
      <c r="BO49" s="148"/>
      <c r="BP49" s="148"/>
      <c r="BQ49" s="148"/>
      <c r="BR49" s="148"/>
      <c r="BS49" s="148"/>
      <c r="BT49" s="148"/>
      <c r="BU49" s="148"/>
      <c r="BV49" s="148"/>
      <c r="BW49" s="148"/>
      <c r="BX49" s="148"/>
      <c r="BY49" s="148"/>
      <c r="BZ49" s="148"/>
      <c r="CA49" s="148"/>
      <c r="CB49" s="148"/>
      <c r="CC49" s="148"/>
      <c r="CD49" s="148"/>
      <c r="CE49" s="148"/>
      <c r="CF49" s="148"/>
      <c r="CG49" s="148"/>
      <c r="CH49" s="148"/>
      <c r="CI49" s="148"/>
      <c r="CJ49" s="148"/>
      <c r="CK49" s="148"/>
      <c r="CL49" s="148"/>
      <c r="CM49" s="148"/>
      <c r="CN49" s="148"/>
      <c r="CO49" s="148"/>
      <c r="CP49" s="148"/>
      <c r="CQ49" s="148"/>
      <c r="CR49" s="148"/>
      <c r="CS49" s="148"/>
      <c r="CT49" s="148"/>
      <c r="CU49" s="148"/>
      <c r="CV49" s="148"/>
      <c r="CW49" s="148"/>
      <c r="CX49" s="148"/>
      <c r="CY49" s="148"/>
      <c r="CZ49" s="148"/>
      <c r="DA49" s="148"/>
      <c r="DB49" s="148"/>
      <c r="DC49" s="148"/>
      <c r="DD49" s="148"/>
      <c r="DE49" s="148"/>
      <c r="DF49" s="148"/>
      <c r="DG49" s="148"/>
      <c r="DH49" s="148"/>
      <c r="DI49" s="148"/>
      <c r="DJ49" s="148"/>
      <c r="DK49" s="148"/>
      <c r="DL49" s="148"/>
      <c r="DM49" s="148"/>
      <c r="DN49" s="148"/>
      <c r="DO49" s="148"/>
      <c r="DP49" s="148"/>
      <c r="DQ49" s="148"/>
      <c r="DR49" s="148"/>
      <c r="DS49" s="148"/>
      <c r="DT49" s="148"/>
      <c r="DU49" s="148"/>
      <c r="DV49" s="148"/>
      <c r="DW49" s="148"/>
      <c r="DX49" s="148"/>
      <c r="DY49" s="148"/>
      <c r="DZ49" s="148"/>
      <c r="EA49" s="148"/>
      <c r="EB49" s="148"/>
      <c r="EC49" s="148"/>
      <c r="ED49" s="148"/>
      <c r="EE49" s="148"/>
      <c r="EF49" s="148"/>
      <c r="EG49" s="148"/>
      <c r="EH49" s="148"/>
      <c r="EI49" s="148"/>
      <c r="EJ49" s="148"/>
      <c r="EK49" s="148"/>
      <c r="EL49" s="148"/>
      <c r="EM49" s="148"/>
      <c r="EN49" s="148"/>
      <c r="EO49" s="148"/>
      <c r="EP49" s="148"/>
      <c r="EQ49" s="148"/>
      <c r="ER49" s="148"/>
      <c r="ES49" s="148"/>
      <c r="ET49" s="148"/>
      <c r="EU49" s="148"/>
      <c r="EV49" s="148"/>
      <c r="EW49" s="148"/>
      <c r="EX49" s="148"/>
      <c r="EY49" s="148"/>
      <c r="EZ49" s="148"/>
      <c r="FA49" s="148"/>
      <c r="FB49" s="148"/>
      <c r="FC49" s="148"/>
      <c r="FD49" s="148"/>
      <c r="FE49" s="148"/>
      <c r="FF49" s="148"/>
      <c r="FG49" s="148"/>
      <c r="FH49" s="148"/>
      <c r="FI49" s="148"/>
      <c r="FJ49" s="148"/>
      <c r="FK49" s="148"/>
      <c r="FL49" s="148"/>
      <c r="FM49" s="148"/>
      <c r="FN49" s="148"/>
      <c r="FO49" s="148"/>
      <c r="FP49" s="148"/>
      <c r="FQ49" s="148"/>
      <c r="FR49" s="148"/>
    </row>
    <row r="50" spans="1:174" s="15" customFormat="1" ht="13.5" customHeight="1" x14ac:dyDescent="0.2">
      <c r="A50" s="148"/>
      <c r="B50" s="307">
        <v>39</v>
      </c>
      <c r="C50" s="307" t="s">
        <v>38</v>
      </c>
      <c r="D50" s="450" t="s">
        <v>1506</v>
      </c>
      <c r="E50" s="569" t="s">
        <v>1507</v>
      </c>
      <c r="F50" s="533" t="s">
        <v>45</v>
      </c>
      <c r="G50" s="533" t="s">
        <v>1411</v>
      </c>
      <c r="H50" s="553" t="s">
        <v>1503</v>
      </c>
      <c r="I50" s="534" t="s">
        <v>42</v>
      </c>
      <c r="J50" s="535">
        <v>2571601</v>
      </c>
      <c r="K50" s="535">
        <v>514560</v>
      </c>
      <c r="L50" s="535">
        <v>0</v>
      </c>
      <c r="M50" s="454">
        <f>1792+181046</f>
        <v>182838</v>
      </c>
      <c r="N50" s="454">
        <v>324389</v>
      </c>
      <c r="O50" s="454">
        <f>507+3583</f>
        <v>4090</v>
      </c>
      <c r="P50" s="548">
        <v>144495.05900000001</v>
      </c>
      <c r="Q50" s="538">
        <v>126843</v>
      </c>
      <c r="R50" s="538">
        <v>103226.548</v>
      </c>
      <c r="S50" s="535">
        <f t="shared" si="0"/>
        <v>885881.60699999996</v>
      </c>
      <c r="T50" s="539">
        <v>815968</v>
      </c>
      <c r="U50" s="540">
        <v>1</v>
      </c>
      <c r="V50" s="541">
        <v>44200</v>
      </c>
      <c r="W50" s="542">
        <v>44223</v>
      </c>
      <c r="X50" s="539">
        <v>297227</v>
      </c>
      <c r="Y50" s="544">
        <v>25</v>
      </c>
      <c r="Z50" s="545">
        <v>44263</v>
      </c>
      <c r="AA50" s="542">
        <v>44292</v>
      </c>
      <c r="AB50" s="539">
        <v>220338</v>
      </c>
      <c r="AC50" s="544">
        <v>55</v>
      </c>
      <c r="AD50" s="545">
        <v>44323</v>
      </c>
      <c r="AE50" s="542">
        <v>44350</v>
      </c>
      <c r="AF50" s="554"/>
      <c r="AG50" s="560"/>
      <c r="AH50" s="542"/>
      <c r="AI50" s="542"/>
      <c r="AJ50" s="542"/>
      <c r="AK50" s="542"/>
      <c r="AL50" s="542"/>
      <c r="AM50" s="542"/>
      <c r="AN50" s="542"/>
      <c r="AO50" s="542"/>
      <c r="AP50" s="542"/>
      <c r="AQ50" s="542"/>
      <c r="AR50" s="22">
        <f t="shared" si="1"/>
        <v>1333533</v>
      </c>
      <c r="AS50" s="546">
        <f t="shared" si="2"/>
        <v>447651.39300000004</v>
      </c>
      <c r="AT50" s="148"/>
      <c r="AU50" s="148"/>
      <c r="AV50" s="148"/>
      <c r="AW50" s="148"/>
      <c r="AX50" s="148"/>
      <c r="AY50" s="148"/>
      <c r="AZ50" s="148"/>
      <c r="BA50" s="148"/>
      <c r="BB50" s="148"/>
      <c r="BC50" s="148"/>
      <c r="BD50" s="148"/>
      <c r="BE50" s="148"/>
      <c r="BF50" s="148"/>
      <c r="BG50" s="148"/>
      <c r="BH50" s="148"/>
      <c r="BI50" s="148"/>
      <c r="BJ50" s="148"/>
      <c r="BK50" s="148"/>
      <c r="BL50" s="148"/>
      <c r="BM50" s="148"/>
      <c r="BN50" s="148"/>
      <c r="BO50" s="148"/>
      <c r="BP50" s="148"/>
      <c r="BQ50" s="148"/>
      <c r="BR50" s="148"/>
      <c r="BS50" s="148"/>
      <c r="BT50" s="148"/>
      <c r="BU50" s="148"/>
      <c r="BV50" s="148"/>
      <c r="BW50" s="148"/>
      <c r="BX50" s="148"/>
      <c r="BY50" s="148"/>
      <c r="BZ50" s="148"/>
      <c r="CA50" s="148"/>
      <c r="CB50" s="148"/>
      <c r="CC50" s="148"/>
      <c r="CD50" s="148"/>
      <c r="CE50" s="148"/>
      <c r="CF50" s="148"/>
      <c r="CG50" s="148"/>
      <c r="CH50" s="148"/>
      <c r="CI50" s="148"/>
      <c r="CJ50" s="148"/>
      <c r="CK50" s="148"/>
      <c r="CL50" s="148"/>
      <c r="CM50" s="148"/>
      <c r="CN50" s="148"/>
      <c r="CO50" s="148"/>
      <c r="CP50" s="148"/>
      <c r="CQ50" s="148"/>
      <c r="CR50" s="148"/>
      <c r="CS50" s="148"/>
      <c r="CT50" s="148"/>
      <c r="CU50" s="148"/>
      <c r="CV50" s="148"/>
      <c r="CW50" s="148"/>
      <c r="CX50" s="148"/>
      <c r="CY50" s="148"/>
      <c r="CZ50" s="148"/>
      <c r="DA50" s="148"/>
      <c r="DB50" s="148"/>
      <c r="DC50" s="148"/>
      <c r="DD50" s="148"/>
      <c r="DE50" s="148"/>
      <c r="DF50" s="148"/>
      <c r="DG50" s="148"/>
      <c r="DH50" s="148"/>
      <c r="DI50" s="148"/>
      <c r="DJ50" s="148"/>
      <c r="DK50" s="148"/>
      <c r="DL50" s="148"/>
      <c r="DM50" s="148"/>
      <c r="DN50" s="148"/>
      <c r="DO50" s="148"/>
      <c r="DP50" s="148"/>
      <c r="DQ50" s="148"/>
      <c r="DR50" s="148"/>
      <c r="DS50" s="148"/>
      <c r="DT50" s="148"/>
      <c r="DU50" s="148"/>
      <c r="DV50" s="148"/>
      <c r="DW50" s="148"/>
      <c r="DX50" s="148"/>
      <c r="DY50" s="148"/>
      <c r="DZ50" s="148"/>
      <c r="EA50" s="148"/>
      <c r="EB50" s="148"/>
      <c r="EC50" s="148"/>
      <c r="ED50" s="148"/>
      <c r="EE50" s="148"/>
      <c r="EF50" s="148"/>
      <c r="EG50" s="148"/>
      <c r="EH50" s="148"/>
      <c r="EI50" s="148"/>
      <c r="EJ50" s="148"/>
      <c r="EK50" s="148"/>
      <c r="EL50" s="148"/>
      <c r="EM50" s="148"/>
      <c r="EN50" s="148"/>
      <c r="EO50" s="148"/>
      <c r="EP50" s="148"/>
      <c r="EQ50" s="148"/>
      <c r="ER50" s="148"/>
      <c r="ES50" s="148"/>
      <c r="ET50" s="148"/>
      <c r="EU50" s="148"/>
      <c r="EV50" s="148"/>
      <c r="EW50" s="148"/>
      <c r="EX50" s="148"/>
      <c r="EY50" s="148"/>
      <c r="EZ50" s="148"/>
      <c r="FA50" s="148"/>
      <c r="FB50" s="148"/>
      <c r="FC50" s="148"/>
      <c r="FD50" s="148"/>
      <c r="FE50" s="148"/>
      <c r="FF50" s="148"/>
      <c r="FG50" s="148"/>
      <c r="FH50" s="148"/>
      <c r="FI50" s="148"/>
      <c r="FJ50" s="148"/>
      <c r="FK50" s="148"/>
      <c r="FL50" s="148"/>
      <c r="FM50" s="148"/>
      <c r="FN50" s="148"/>
      <c r="FO50" s="148"/>
      <c r="FP50" s="148"/>
      <c r="FQ50" s="148"/>
      <c r="FR50" s="148"/>
    </row>
    <row r="51" spans="1:174" s="15" customFormat="1" ht="13.5" customHeight="1" x14ac:dyDescent="0.2">
      <c r="A51" s="148"/>
      <c r="B51" s="312">
        <v>40</v>
      </c>
      <c r="C51" s="307" t="s">
        <v>38</v>
      </c>
      <c r="D51" s="450" t="s">
        <v>1508</v>
      </c>
      <c r="E51" s="569" t="s">
        <v>1509</v>
      </c>
      <c r="F51" s="533" t="s">
        <v>45</v>
      </c>
      <c r="G51" s="533" t="s">
        <v>1411</v>
      </c>
      <c r="H51" s="553" t="s">
        <v>1457</v>
      </c>
      <c r="I51" s="534" t="s">
        <v>43</v>
      </c>
      <c r="J51" s="535">
        <v>8491459</v>
      </c>
      <c r="K51" s="535">
        <v>4249</v>
      </c>
      <c r="L51" s="535">
        <v>7358814</v>
      </c>
      <c r="M51" s="454"/>
      <c r="N51" s="454"/>
      <c r="O51" s="454">
        <f>11467+60380</f>
        <v>71847</v>
      </c>
      <c r="P51" s="548">
        <v>125982.433</v>
      </c>
      <c r="Q51" s="538">
        <v>146354</v>
      </c>
      <c r="R51" s="538">
        <v>165734.549</v>
      </c>
      <c r="S51" s="535">
        <f t="shared" si="0"/>
        <v>509917.98200000002</v>
      </c>
      <c r="T51" s="539">
        <v>340800</v>
      </c>
      <c r="U51" s="540">
        <v>1</v>
      </c>
      <c r="V51" s="541">
        <v>44200</v>
      </c>
      <c r="W51" s="542">
        <v>44223</v>
      </c>
      <c r="X51" s="539">
        <v>200000</v>
      </c>
      <c r="Y51" s="544">
        <v>17</v>
      </c>
      <c r="Z51" s="545">
        <v>44242</v>
      </c>
      <c r="AA51" s="542">
        <v>44271</v>
      </c>
      <c r="AB51" s="539">
        <v>11467</v>
      </c>
      <c r="AC51" s="544">
        <v>46</v>
      </c>
      <c r="AD51" s="545">
        <v>44295</v>
      </c>
      <c r="AE51" s="542">
        <v>44327</v>
      </c>
      <c r="AF51" s="554">
        <v>271363</v>
      </c>
      <c r="AG51" s="560">
        <v>55</v>
      </c>
      <c r="AH51" s="542">
        <v>44323</v>
      </c>
      <c r="AI51" s="542">
        <v>44350</v>
      </c>
      <c r="AJ51" s="558">
        <v>8600</v>
      </c>
      <c r="AK51" s="560">
        <v>70</v>
      </c>
      <c r="AL51" s="542">
        <v>44354</v>
      </c>
      <c r="AM51" s="542">
        <v>44372</v>
      </c>
      <c r="AN51" s="542"/>
      <c r="AO51" s="542"/>
      <c r="AP51" s="542"/>
      <c r="AQ51" s="542"/>
      <c r="AR51" s="22">
        <f t="shared" si="1"/>
        <v>832230</v>
      </c>
      <c r="AS51" s="546">
        <f t="shared" si="2"/>
        <v>322312.01799999998</v>
      </c>
      <c r="AT51" s="148"/>
      <c r="AU51" s="148"/>
      <c r="AV51" s="148"/>
      <c r="AW51" s="148"/>
      <c r="AX51" s="148"/>
      <c r="AY51" s="148"/>
      <c r="AZ51" s="148"/>
      <c r="BA51" s="148"/>
      <c r="BB51" s="148"/>
      <c r="BC51" s="148"/>
      <c r="BD51" s="148"/>
      <c r="BE51" s="148"/>
      <c r="BF51" s="148"/>
      <c r="BG51" s="148"/>
      <c r="BH51" s="148"/>
      <c r="BI51" s="148"/>
      <c r="BJ51" s="148"/>
      <c r="BK51" s="148"/>
      <c r="BL51" s="148"/>
      <c r="BM51" s="148"/>
      <c r="BN51" s="148"/>
      <c r="BO51" s="148"/>
      <c r="BP51" s="148"/>
      <c r="BQ51" s="148"/>
      <c r="BR51" s="148"/>
      <c r="BS51" s="148"/>
      <c r="BT51" s="148"/>
      <c r="BU51" s="148"/>
      <c r="BV51" s="148"/>
      <c r="BW51" s="148"/>
      <c r="BX51" s="148"/>
      <c r="BY51" s="148"/>
      <c r="BZ51" s="148"/>
      <c r="CA51" s="148"/>
      <c r="CB51" s="148"/>
      <c r="CC51" s="148"/>
      <c r="CD51" s="148"/>
      <c r="CE51" s="148"/>
      <c r="CF51" s="148"/>
      <c r="CG51" s="148"/>
      <c r="CH51" s="148"/>
      <c r="CI51" s="148"/>
      <c r="CJ51" s="148"/>
      <c r="CK51" s="148"/>
      <c r="CL51" s="148"/>
      <c r="CM51" s="148"/>
      <c r="CN51" s="148"/>
      <c r="CO51" s="148"/>
      <c r="CP51" s="148"/>
      <c r="CQ51" s="148"/>
      <c r="CR51" s="148"/>
      <c r="CS51" s="148"/>
      <c r="CT51" s="148"/>
      <c r="CU51" s="148"/>
      <c r="CV51" s="148"/>
      <c r="CW51" s="148"/>
      <c r="CX51" s="148"/>
      <c r="CY51" s="148"/>
      <c r="CZ51" s="148"/>
      <c r="DA51" s="148"/>
      <c r="DB51" s="148"/>
      <c r="DC51" s="148"/>
      <c r="DD51" s="148"/>
      <c r="DE51" s="148"/>
      <c r="DF51" s="148"/>
      <c r="DG51" s="148"/>
      <c r="DH51" s="148"/>
      <c r="DI51" s="148"/>
      <c r="DJ51" s="148"/>
      <c r="DK51" s="148"/>
      <c r="DL51" s="148"/>
      <c r="DM51" s="148"/>
      <c r="DN51" s="148"/>
      <c r="DO51" s="148"/>
      <c r="DP51" s="148"/>
      <c r="DQ51" s="148"/>
      <c r="DR51" s="148"/>
      <c r="DS51" s="148"/>
      <c r="DT51" s="148"/>
      <c r="DU51" s="148"/>
      <c r="DV51" s="148"/>
      <c r="DW51" s="148"/>
      <c r="DX51" s="148"/>
      <c r="DY51" s="148"/>
      <c r="DZ51" s="148"/>
      <c r="EA51" s="148"/>
      <c r="EB51" s="148"/>
      <c r="EC51" s="148"/>
      <c r="ED51" s="148"/>
      <c r="EE51" s="148"/>
      <c r="EF51" s="148"/>
      <c r="EG51" s="148"/>
      <c r="EH51" s="148"/>
      <c r="EI51" s="148"/>
      <c r="EJ51" s="148"/>
      <c r="EK51" s="148"/>
      <c r="EL51" s="148"/>
      <c r="EM51" s="148"/>
      <c r="EN51" s="148"/>
      <c r="EO51" s="148"/>
      <c r="EP51" s="148"/>
      <c r="EQ51" s="148"/>
      <c r="ER51" s="148"/>
      <c r="ES51" s="148"/>
      <c r="ET51" s="148"/>
      <c r="EU51" s="148"/>
      <c r="EV51" s="148"/>
      <c r="EW51" s="148"/>
      <c r="EX51" s="148"/>
      <c r="EY51" s="148"/>
      <c r="EZ51" s="148"/>
      <c r="FA51" s="148"/>
      <c r="FB51" s="148"/>
      <c r="FC51" s="148"/>
      <c r="FD51" s="148"/>
      <c r="FE51" s="148"/>
      <c r="FF51" s="148"/>
      <c r="FG51" s="148"/>
      <c r="FH51" s="148"/>
      <c r="FI51" s="148"/>
      <c r="FJ51" s="148"/>
      <c r="FK51" s="148"/>
      <c r="FL51" s="148"/>
      <c r="FM51" s="148"/>
      <c r="FN51" s="148"/>
      <c r="FO51" s="148"/>
      <c r="FP51" s="148"/>
      <c r="FQ51" s="148"/>
      <c r="FR51" s="148"/>
    </row>
    <row r="52" spans="1:174" s="15" customFormat="1" ht="13.5" customHeight="1" x14ac:dyDescent="0.2">
      <c r="A52" s="148"/>
      <c r="B52" s="307">
        <v>41</v>
      </c>
      <c r="C52" s="307" t="s">
        <v>38</v>
      </c>
      <c r="D52" s="450" t="s">
        <v>1510</v>
      </c>
      <c r="E52" s="569" t="s">
        <v>1511</v>
      </c>
      <c r="F52" s="533" t="s">
        <v>45</v>
      </c>
      <c r="G52" s="533" t="s">
        <v>1411</v>
      </c>
      <c r="H52" s="553" t="s">
        <v>1457</v>
      </c>
      <c r="I52" s="534" t="s">
        <v>42</v>
      </c>
      <c r="J52" s="535">
        <v>3291323</v>
      </c>
      <c r="K52" s="535">
        <v>3108758</v>
      </c>
      <c r="L52" s="535">
        <v>0</v>
      </c>
      <c r="M52" s="454">
        <f>3800+9559</f>
        <v>13359</v>
      </c>
      <c r="N52" s="454"/>
      <c r="O52" s="454"/>
      <c r="P52" s="547"/>
      <c r="Q52" s="538"/>
      <c r="R52" s="538"/>
      <c r="S52" s="535">
        <f t="shared" si="0"/>
        <v>13359</v>
      </c>
      <c r="T52" s="539">
        <v>13359</v>
      </c>
      <c r="U52" s="540">
        <v>1</v>
      </c>
      <c r="V52" s="541">
        <v>44200</v>
      </c>
      <c r="W52" s="542">
        <v>44223</v>
      </c>
      <c r="X52" s="539"/>
      <c r="Y52" s="544"/>
      <c r="Z52" s="540"/>
      <c r="AA52" s="542"/>
      <c r="AB52" s="539"/>
      <c r="AC52" s="544"/>
      <c r="AD52" s="540"/>
      <c r="AE52" s="542"/>
      <c r="AF52" s="554"/>
      <c r="AG52" s="560"/>
      <c r="AH52" s="542"/>
      <c r="AI52" s="542"/>
      <c r="AJ52" s="542"/>
      <c r="AK52" s="542"/>
      <c r="AL52" s="542"/>
      <c r="AM52" s="542"/>
      <c r="AN52" s="542"/>
      <c r="AO52" s="542"/>
      <c r="AP52" s="542"/>
      <c r="AQ52" s="542"/>
      <c r="AR52" s="22">
        <f t="shared" si="1"/>
        <v>13359</v>
      </c>
      <c r="AS52" s="546">
        <f t="shared" si="2"/>
        <v>0</v>
      </c>
      <c r="AT52" s="148"/>
      <c r="AU52" s="148"/>
      <c r="AV52" s="148"/>
      <c r="AW52" s="148"/>
      <c r="AX52" s="148"/>
      <c r="AY52" s="148"/>
      <c r="AZ52" s="148"/>
      <c r="BA52" s="148"/>
      <c r="BB52" s="148"/>
      <c r="BC52" s="148"/>
      <c r="BD52" s="148"/>
      <c r="BE52" s="148"/>
      <c r="BF52" s="148"/>
      <c r="BG52" s="148"/>
      <c r="BH52" s="148"/>
      <c r="BI52" s="148"/>
      <c r="BJ52" s="148"/>
      <c r="BK52" s="148"/>
      <c r="BL52" s="148"/>
      <c r="BM52" s="148"/>
      <c r="BN52" s="148"/>
      <c r="BO52" s="148"/>
      <c r="BP52" s="148"/>
      <c r="BQ52" s="148"/>
      <c r="BR52" s="148"/>
      <c r="BS52" s="148"/>
      <c r="BT52" s="148"/>
      <c r="BU52" s="148"/>
      <c r="BV52" s="148"/>
      <c r="BW52" s="148"/>
      <c r="BX52" s="148"/>
      <c r="BY52" s="148"/>
      <c r="BZ52" s="148"/>
      <c r="CA52" s="148"/>
      <c r="CB52" s="148"/>
      <c r="CC52" s="148"/>
      <c r="CD52" s="148"/>
      <c r="CE52" s="148"/>
      <c r="CF52" s="148"/>
      <c r="CG52" s="148"/>
      <c r="CH52" s="148"/>
      <c r="CI52" s="148"/>
      <c r="CJ52" s="148"/>
      <c r="CK52" s="148"/>
      <c r="CL52" s="148"/>
      <c r="CM52" s="148"/>
      <c r="CN52" s="148"/>
      <c r="CO52" s="148"/>
      <c r="CP52" s="148"/>
      <c r="CQ52" s="148"/>
      <c r="CR52" s="148"/>
      <c r="CS52" s="148"/>
      <c r="CT52" s="148"/>
      <c r="CU52" s="148"/>
      <c r="CV52" s="148"/>
      <c r="CW52" s="148"/>
      <c r="CX52" s="148"/>
      <c r="CY52" s="148"/>
      <c r="CZ52" s="148"/>
      <c r="DA52" s="148"/>
      <c r="DB52" s="148"/>
      <c r="DC52" s="148"/>
      <c r="DD52" s="148"/>
      <c r="DE52" s="148"/>
      <c r="DF52" s="148"/>
      <c r="DG52" s="148"/>
      <c r="DH52" s="148"/>
      <c r="DI52" s="148"/>
      <c r="DJ52" s="148"/>
      <c r="DK52" s="148"/>
      <c r="DL52" s="148"/>
      <c r="DM52" s="148"/>
      <c r="DN52" s="148"/>
      <c r="DO52" s="148"/>
      <c r="DP52" s="148"/>
      <c r="DQ52" s="148"/>
      <c r="DR52" s="148"/>
      <c r="DS52" s="148"/>
      <c r="DT52" s="148"/>
      <c r="DU52" s="148"/>
      <c r="DV52" s="148"/>
      <c r="DW52" s="148"/>
      <c r="DX52" s="148"/>
      <c r="DY52" s="148"/>
      <c r="DZ52" s="148"/>
      <c r="EA52" s="148"/>
      <c r="EB52" s="148"/>
      <c r="EC52" s="148"/>
      <c r="ED52" s="148"/>
      <c r="EE52" s="148"/>
      <c r="EF52" s="148"/>
      <c r="EG52" s="148"/>
      <c r="EH52" s="148"/>
      <c r="EI52" s="148"/>
      <c r="EJ52" s="148"/>
      <c r="EK52" s="148"/>
      <c r="EL52" s="148"/>
      <c r="EM52" s="148"/>
      <c r="EN52" s="148"/>
      <c r="EO52" s="148"/>
      <c r="EP52" s="148"/>
      <c r="EQ52" s="148"/>
      <c r="ER52" s="148"/>
      <c r="ES52" s="148"/>
      <c r="ET52" s="148"/>
      <c r="EU52" s="148"/>
      <c r="EV52" s="148"/>
      <c r="EW52" s="148"/>
      <c r="EX52" s="148"/>
      <c r="EY52" s="148"/>
      <c r="EZ52" s="148"/>
      <c r="FA52" s="148"/>
      <c r="FB52" s="148"/>
      <c r="FC52" s="148"/>
      <c r="FD52" s="148"/>
      <c r="FE52" s="148"/>
      <c r="FF52" s="148"/>
      <c r="FG52" s="148"/>
      <c r="FH52" s="148"/>
      <c r="FI52" s="148"/>
      <c r="FJ52" s="148"/>
      <c r="FK52" s="148"/>
      <c r="FL52" s="148"/>
      <c r="FM52" s="148"/>
      <c r="FN52" s="148"/>
      <c r="FO52" s="148"/>
      <c r="FP52" s="148"/>
      <c r="FQ52" s="148"/>
      <c r="FR52" s="148"/>
    </row>
    <row r="53" spans="1:174" s="15" customFormat="1" ht="13.5" customHeight="1" x14ac:dyDescent="0.2">
      <c r="A53" s="148"/>
      <c r="B53" s="312">
        <v>42</v>
      </c>
      <c r="C53" s="307" t="s">
        <v>38</v>
      </c>
      <c r="D53" s="450" t="s">
        <v>1512</v>
      </c>
      <c r="E53" s="569" t="s">
        <v>1513</v>
      </c>
      <c r="F53" s="533" t="s">
        <v>45</v>
      </c>
      <c r="G53" s="533" t="s">
        <v>1411</v>
      </c>
      <c r="H53" s="553" t="s">
        <v>1457</v>
      </c>
      <c r="I53" s="534" t="s">
        <v>43</v>
      </c>
      <c r="J53" s="535">
        <v>974613</v>
      </c>
      <c r="K53" s="535">
        <v>0</v>
      </c>
      <c r="L53" s="535">
        <v>738522</v>
      </c>
      <c r="M53" s="454"/>
      <c r="N53" s="454"/>
      <c r="O53" s="454"/>
      <c r="P53" s="547"/>
      <c r="Q53" s="538"/>
      <c r="R53" s="538"/>
      <c r="S53" s="535">
        <f t="shared" si="0"/>
        <v>0</v>
      </c>
      <c r="T53" s="539">
        <v>52002</v>
      </c>
      <c r="U53" s="540">
        <v>1</v>
      </c>
      <c r="V53" s="541">
        <v>44200</v>
      </c>
      <c r="W53" s="542">
        <v>44223</v>
      </c>
      <c r="X53" s="539"/>
      <c r="Y53" s="544"/>
      <c r="Z53" s="540"/>
      <c r="AA53" s="542"/>
      <c r="AB53" s="539"/>
      <c r="AC53" s="544"/>
      <c r="AD53" s="540"/>
      <c r="AE53" s="542"/>
      <c r="AF53" s="554"/>
      <c r="AG53" s="560"/>
      <c r="AH53" s="542"/>
      <c r="AI53" s="542"/>
      <c r="AJ53" s="542"/>
      <c r="AK53" s="542"/>
      <c r="AL53" s="542"/>
      <c r="AM53" s="542"/>
      <c r="AN53" s="542"/>
      <c r="AO53" s="542"/>
      <c r="AP53" s="542"/>
      <c r="AQ53" s="542"/>
      <c r="AR53" s="22">
        <f t="shared" si="1"/>
        <v>52002</v>
      </c>
      <c r="AS53" s="546">
        <f t="shared" si="2"/>
        <v>52002</v>
      </c>
      <c r="AT53" s="148"/>
      <c r="AU53" s="148"/>
      <c r="AV53" s="148"/>
      <c r="AW53" s="148"/>
      <c r="AX53" s="148"/>
      <c r="AY53" s="148"/>
      <c r="AZ53" s="148"/>
      <c r="BA53" s="148"/>
      <c r="BB53" s="148"/>
      <c r="BC53" s="148"/>
      <c r="BD53" s="148"/>
      <c r="BE53" s="148"/>
      <c r="BF53" s="148"/>
      <c r="BG53" s="148"/>
      <c r="BH53" s="148"/>
      <c r="BI53" s="148"/>
      <c r="BJ53" s="148"/>
      <c r="BK53" s="148"/>
      <c r="BL53" s="148"/>
      <c r="BM53" s="148"/>
      <c r="BN53" s="148"/>
      <c r="BO53" s="148"/>
      <c r="BP53" s="148"/>
      <c r="BQ53" s="148"/>
      <c r="BR53" s="148"/>
      <c r="BS53" s="148"/>
      <c r="BT53" s="148"/>
      <c r="BU53" s="148"/>
      <c r="BV53" s="148"/>
      <c r="BW53" s="148"/>
      <c r="BX53" s="148"/>
      <c r="BY53" s="148"/>
      <c r="BZ53" s="148"/>
      <c r="CA53" s="148"/>
      <c r="CB53" s="148"/>
      <c r="CC53" s="148"/>
      <c r="CD53" s="148"/>
      <c r="CE53" s="148"/>
      <c r="CF53" s="148"/>
      <c r="CG53" s="148"/>
      <c r="CH53" s="148"/>
      <c r="CI53" s="148"/>
      <c r="CJ53" s="148"/>
      <c r="CK53" s="148"/>
      <c r="CL53" s="148"/>
      <c r="CM53" s="148"/>
      <c r="CN53" s="148"/>
      <c r="CO53" s="148"/>
      <c r="CP53" s="148"/>
      <c r="CQ53" s="148"/>
      <c r="CR53" s="148"/>
      <c r="CS53" s="148"/>
      <c r="CT53" s="148"/>
      <c r="CU53" s="148"/>
      <c r="CV53" s="148"/>
      <c r="CW53" s="148"/>
      <c r="CX53" s="148"/>
      <c r="CY53" s="148"/>
      <c r="CZ53" s="148"/>
      <c r="DA53" s="148"/>
      <c r="DB53" s="148"/>
      <c r="DC53" s="148"/>
      <c r="DD53" s="148"/>
      <c r="DE53" s="148"/>
      <c r="DF53" s="148"/>
      <c r="DG53" s="148"/>
      <c r="DH53" s="148"/>
      <c r="DI53" s="148"/>
      <c r="DJ53" s="148"/>
      <c r="DK53" s="148"/>
      <c r="DL53" s="148"/>
      <c r="DM53" s="148"/>
      <c r="DN53" s="148"/>
      <c r="DO53" s="148"/>
      <c r="DP53" s="148"/>
      <c r="DQ53" s="148"/>
      <c r="DR53" s="148"/>
      <c r="DS53" s="148"/>
      <c r="DT53" s="148"/>
      <c r="DU53" s="148"/>
      <c r="DV53" s="148"/>
      <c r="DW53" s="148"/>
      <c r="DX53" s="148"/>
      <c r="DY53" s="148"/>
      <c r="DZ53" s="148"/>
      <c r="EA53" s="148"/>
      <c r="EB53" s="148"/>
      <c r="EC53" s="148"/>
      <c r="ED53" s="148"/>
      <c r="EE53" s="148"/>
      <c r="EF53" s="148"/>
      <c r="EG53" s="148"/>
      <c r="EH53" s="148"/>
      <c r="EI53" s="148"/>
      <c r="EJ53" s="148"/>
      <c r="EK53" s="148"/>
      <c r="EL53" s="148"/>
      <c r="EM53" s="148"/>
      <c r="EN53" s="148"/>
      <c r="EO53" s="148"/>
      <c r="EP53" s="148"/>
      <c r="EQ53" s="148"/>
      <c r="ER53" s="148"/>
      <c r="ES53" s="148"/>
      <c r="ET53" s="148"/>
      <c r="EU53" s="148"/>
      <c r="EV53" s="148"/>
      <c r="EW53" s="148"/>
      <c r="EX53" s="148"/>
      <c r="EY53" s="148"/>
      <c r="EZ53" s="148"/>
      <c r="FA53" s="148"/>
      <c r="FB53" s="148"/>
      <c r="FC53" s="148"/>
      <c r="FD53" s="148"/>
      <c r="FE53" s="148"/>
      <c r="FF53" s="148"/>
      <c r="FG53" s="148"/>
      <c r="FH53" s="148"/>
      <c r="FI53" s="148"/>
      <c r="FJ53" s="148"/>
      <c r="FK53" s="148"/>
      <c r="FL53" s="148"/>
      <c r="FM53" s="148"/>
      <c r="FN53" s="148"/>
      <c r="FO53" s="148"/>
      <c r="FP53" s="148"/>
      <c r="FQ53" s="148"/>
      <c r="FR53" s="148"/>
    </row>
    <row r="54" spans="1:174" s="15" customFormat="1" ht="13.5" customHeight="1" x14ac:dyDescent="0.2">
      <c r="A54" s="148"/>
      <c r="B54" s="307">
        <v>43</v>
      </c>
      <c r="C54" s="307" t="s">
        <v>38</v>
      </c>
      <c r="D54" s="450" t="s">
        <v>1514</v>
      </c>
      <c r="E54" s="569" t="s">
        <v>1515</v>
      </c>
      <c r="F54" s="533" t="s">
        <v>45</v>
      </c>
      <c r="G54" s="533" t="s">
        <v>1411</v>
      </c>
      <c r="H54" s="553" t="s">
        <v>1457</v>
      </c>
      <c r="I54" s="534" t="s">
        <v>43</v>
      </c>
      <c r="J54" s="535">
        <v>477264</v>
      </c>
      <c r="K54" s="535">
        <v>0</v>
      </c>
      <c r="L54" s="535">
        <v>0</v>
      </c>
      <c r="M54" s="454"/>
      <c r="N54" s="454"/>
      <c r="O54" s="454"/>
      <c r="P54" s="547"/>
      <c r="Q54" s="538">
        <f>1645200/1000+69156</f>
        <v>70801.2</v>
      </c>
      <c r="R54" s="538">
        <v>41140.991000000002</v>
      </c>
      <c r="S54" s="535">
        <f t="shared" si="0"/>
        <v>111942.19099999999</v>
      </c>
      <c r="T54" s="539">
        <v>61002</v>
      </c>
      <c r="U54" s="540">
        <v>1</v>
      </c>
      <c r="V54" s="541">
        <v>44200</v>
      </c>
      <c r="W54" s="542">
        <v>44223</v>
      </c>
      <c r="X54" s="539">
        <v>80000</v>
      </c>
      <c r="Y54" s="544">
        <v>46</v>
      </c>
      <c r="Z54" s="545">
        <v>44295</v>
      </c>
      <c r="AA54" s="542">
        <v>44327</v>
      </c>
      <c r="AB54" s="539">
        <v>18498</v>
      </c>
      <c r="AC54" s="544">
        <v>55</v>
      </c>
      <c r="AD54" s="545">
        <v>44323</v>
      </c>
      <c r="AE54" s="542">
        <v>44350</v>
      </c>
      <c r="AF54" s="554">
        <v>36303</v>
      </c>
      <c r="AG54" s="560">
        <v>70</v>
      </c>
      <c r="AH54" s="542">
        <v>44354</v>
      </c>
      <c r="AI54" s="542">
        <v>44372</v>
      </c>
      <c r="AJ54" s="542"/>
      <c r="AK54" s="542"/>
      <c r="AL54" s="542"/>
      <c r="AM54" s="542"/>
      <c r="AN54" s="542"/>
      <c r="AO54" s="542"/>
      <c r="AP54" s="542"/>
      <c r="AQ54" s="542"/>
      <c r="AR54" s="22">
        <f t="shared" si="1"/>
        <v>195803</v>
      </c>
      <c r="AS54" s="546">
        <f t="shared" si="2"/>
        <v>83860.809000000008</v>
      </c>
      <c r="AT54" s="148"/>
      <c r="AU54" s="148"/>
      <c r="AV54" s="148"/>
      <c r="AW54" s="148"/>
      <c r="AX54" s="148"/>
      <c r="AY54" s="148"/>
      <c r="AZ54" s="148"/>
      <c r="BA54" s="148"/>
      <c r="BB54" s="148"/>
      <c r="BC54" s="148"/>
      <c r="BD54" s="148"/>
      <c r="BE54" s="148"/>
      <c r="BF54" s="148"/>
      <c r="BG54" s="148"/>
      <c r="BH54" s="148"/>
      <c r="BI54" s="148"/>
      <c r="BJ54" s="148"/>
      <c r="BK54" s="148"/>
      <c r="BL54" s="148"/>
      <c r="BM54" s="148"/>
      <c r="BN54" s="148"/>
      <c r="BO54" s="148"/>
      <c r="BP54" s="148"/>
      <c r="BQ54" s="148"/>
      <c r="BR54" s="148"/>
      <c r="BS54" s="148"/>
      <c r="BT54" s="148"/>
      <c r="BU54" s="148"/>
      <c r="BV54" s="148"/>
      <c r="BW54" s="148"/>
      <c r="BX54" s="148"/>
      <c r="BY54" s="148"/>
      <c r="BZ54" s="148"/>
      <c r="CA54" s="148"/>
      <c r="CB54" s="148"/>
      <c r="CC54" s="148"/>
      <c r="CD54" s="148"/>
      <c r="CE54" s="148"/>
      <c r="CF54" s="148"/>
      <c r="CG54" s="148"/>
      <c r="CH54" s="148"/>
      <c r="CI54" s="148"/>
      <c r="CJ54" s="148"/>
      <c r="CK54" s="148"/>
      <c r="CL54" s="148"/>
      <c r="CM54" s="148"/>
      <c r="CN54" s="148"/>
      <c r="CO54" s="148"/>
      <c r="CP54" s="148"/>
      <c r="CQ54" s="148"/>
      <c r="CR54" s="148"/>
      <c r="CS54" s="148"/>
      <c r="CT54" s="148"/>
      <c r="CU54" s="148"/>
      <c r="CV54" s="148"/>
      <c r="CW54" s="148"/>
      <c r="CX54" s="148"/>
      <c r="CY54" s="148"/>
      <c r="CZ54" s="148"/>
      <c r="DA54" s="148"/>
      <c r="DB54" s="148"/>
      <c r="DC54" s="148"/>
      <c r="DD54" s="148"/>
      <c r="DE54" s="148"/>
      <c r="DF54" s="148"/>
      <c r="DG54" s="148"/>
      <c r="DH54" s="148"/>
      <c r="DI54" s="148"/>
      <c r="DJ54" s="148"/>
      <c r="DK54" s="148"/>
      <c r="DL54" s="148"/>
      <c r="DM54" s="148"/>
      <c r="DN54" s="148"/>
      <c r="DO54" s="148"/>
      <c r="DP54" s="148"/>
      <c r="DQ54" s="148"/>
      <c r="DR54" s="148"/>
      <c r="DS54" s="148"/>
      <c r="DT54" s="148"/>
      <c r="DU54" s="148"/>
      <c r="DV54" s="148"/>
      <c r="DW54" s="148"/>
      <c r="DX54" s="148"/>
      <c r="DY54" s="148"/>
      <c r="DZ54" s="148"/>
      <c r="EA54" s="148"/>
      <c r="EB54" s="148"/>
      <c r="EC54" s="148"/>
      <c r="ED54" s="148"/>
      <c r="EE54" s="148"/>
      <c r="EF54" s="148"/>
      <c r="EG54" s="148"/>
      <c r="EH54" s="148"/>
      <c r="EI54" s="148"/>
      <c r="EJ54" s="148"/>
      <c r="EK54" s="148"/>
      <c r="EL54" s="148"/>
      <c r="EM54" s="148"/>
      <c r="EN54" s="148"/>
      <c r="EO54" s="148"/>
      <c r="EP54" s="148"/>
      <c r="EQ54" s="148"/>
      <c r="ER54" s="148"/>
      <c r="ES54" s="148"/>
      <c r="ET54" s="148"/>
      <c r="EU54" s="148"/>
      <c r="EV54" s="148"/>
      <c r="EW54" s="148"/>
      <c r="EX54" s="148"/>
      <c r="EY54" s="148"/>
      <c r="EZ54" s="148"/>
      <c r="FA54" s="148"/>
      <c r="FB54" s="148"/>
      <c r="FC54" s="148"/>
      <c r="FD54" s="148"/>
      <c r="FE54" s="148"/>
      <c r="FF54" s="148"/>
      <c r="FG54" s="148"/>
      <c r="FH54" s="148"/>
      <c r="FI54" s="148"/>
      <c r="FJ54" s="148"/>
      <c r="FK54" s="148"/>
      <c r="FL54" s="148"/>
      <c r="FM54" s="148"/>
      <c r="FN54" s="148"/>
      <c r="FO54" s="148"/>
      <c r="FP54" s="148"/>
      <c r="FQ54" s="148"/>
      <c r="FR54" s="148"/>
    </row>
    <row r="55" spans="1:174" s="15" customFormat="1" ht="13.5" customHeight="1" x14ac:dyDescent="0.2">
      <c r="A55" s="148"/>
      <c r="B55" s="312">
        <v>44</v>
      </c>
      <c r="C55" s="307" t="s">
        <v>38</v>
      </c>
      <c r="D55" s="450" t="s">
        <v>1516</v>
      </c>
      <c r="E55" s="569" t="s">
        <v>1517</v>
      </c>
      <c r="F55" s="533" t="s">
        <v>45</v>
      </c>
      <c r="G55" s="533" t="s">
        <v>1411</v>
      </c>
      <c r="H55" s="553" t="s">
        <v>1457</v>
      </c>
      <c r="I55" s="534" t="s">
        <v>42</v>
      </c>
      <c r="J55" s="535">
        <v>3858633</v>
      </c>
      <c r="K55" s="535">
        <v>426795</v>
      </c>
      <c r="L55" s="535">
        <v>1864043</v>
      </c>
      <c r="M55" s="454">
        <v>125596</v>
      </c>
      <c r="N55" s="454">
        <v>3278</v>
      </c>
      <c r="O55" s="454">
        <v>505962</v>
      </c>
      <c r="P55" s="548">
        <v>224253.36799999999</v>
      </c>
      <c r="Q55" s="538">
        <v>208521.73699999999</v>
      </c>
      <c r="R55" s="538">
        <v>150468.95300000001</v>
      </c>
      <c r="S55" s="535">
        <f t="shared" si="0"/>
        <v>1218080.058</v>
      </c>
      <c r="T55" s="539">
        <v>315000</v>
      </c>
      <c r="U55" s="540">
        <v>1</v>
      </c>
      <c r="V55" s="541">
        <v>44200</v>
      </c>
      <c r="W55" s="542">
        <v>44223</v>
      </c>
      <c r="X55" s="539">
        <v>200000</v>
      </c>
      <c r="Y55" s="544">
        <v>17</v>
      </c>
      <c r="Z55" s="545">
        <v>44242</v>
      </c>
      <c r="AA55" s="542">
        <v>44271</v>
      </c>
      <c r="AB55" s="539">
        <v>380045</v>
      </c>
      <c r="AC55" s="544">
        <v>25</v>
      </c>
      <c r="AD55" s="545">
        <v>44263</v>
      </c>
      <c r="AE55" s="542">
        <v>44292</v>
      </c>
      <c r="AF55" s="554">
        <v>501513</v>
      </c>
      <c r="AG55" s="560">
        <v>46</v>
      </c>
      <c r="AH55" s="542">
        <v>44295</v>
      </c>
      <c r="AI55" s="542">
        <v>44327</v>
      </c>
      <c r="AJ55" s="554">
        <v>74253</v>
      </c>
      <c r="AK55" s="558">
        <v>55</v>
      </c>
      <c r="AL55" s="542">
        <v>44323</v>
      </c>
      <c r="AM55" s="542">
        <v>44350</v>
      </c>
      <c r="AN55" s="558">
        <v>58522</v>
      </c>
      <c r="AO55" s="558">
        <v>70</v>
      </c>
      <c r="AP55" s="542">
        <v>44354</v>
      </c>
      <c r="AQ55" s="542">
        <v>44372</v>
      </c>
      <c r="AR55" s="22">
        <f t="shared" si="1"/>
        <v>1529333</v>
      </c>
      <c r="AS55" s="546">
        <f t="shared" si="2"/>
        <v>311252.94200000004</v>
      </c>
      <c r="AT55" s="148"/>
      <c r="AU55" s="148"/>
      <c r="AV55" s="148"/>
      <c r="AW55" s="148"/>
      <c r="AX55" s="148"/>
      <c r="AY55" s="148"/>
      <c r="AZ55" s="148"/>
      <c r="BA55" s="148"/>
      <c r="BB55" s="148"/>
      <c r="BC55" s="148"/>
      <c r="BD55" s="148"/>
      <c r="BE55" s="148"/>
      <c r="BF55" s="148"/>
      <c r="BG55" s="148"/>
      <c r="BH55" s="148"/>
      <c r="BI55" s="148"/>
      <c r="BJ55" s="148"/>
      <c r="BK55" s="148"/>
      <c r="BL55" s="148"/>
      <c r="BM55" s="148"/>
      <c r="BN55" s="148"/>
      <c r="BO55" s="148"/>
      <c r="BP55" s="148"/>
      <c r="BQ55" s="148"/>
      <c r="BR55" s="148"/>
      <c r="BS55" s="148"/>
      <c r="BT55" s="148"/>
      <c r="BU55" s="148"/>
      <c r="BV55" s="148"/>
      <c r="BW55" s="148"/>
      <c r="BX55" s="148"/>
      <c r="BY55" s="148"/>
      <c r="BZ55" s="148"/>
      <c r="CA55" s="148"/>
      <c r="CB55" s="148"/>
      <c r="CC55" s="148"/>
      <c r="CD55" s="148"/>
      <c r="CE55" s="148"/>
      <c r="CF55" s="148"/>
      <c r="CG55" s="148"/>
      <c r="CH55" s="148"/>
      <c r="CI55" s="148"/>
      <c r="CJ55" s="148"/>
      <c r="CK55" s="148"/>
      <c r="CL55" s="148"/>
      <c r="CM55" s="148"/>
      <c r="CN55" s="148"/>
      <c r="CO55" s="148"/>
      <c r="CP55" s="148"/>
      <c r="CQ55" s="148"/>
      <c r="CR55" s="148"/>
      <c r="CS55" s="148"/>
      <c r="CT55" s="148"/>
      <c r="CU55" s="148"/>
      <c r="CV55" s="148"/>
      <c r="CW55" s="148"/>
      <c r="CX55" s="148"/>
      <c r="CY55" s="148"/>
      <c r="CZ55" s="148"/>
      <c r="DA55" s="148"/>
      <c r="DB55" s="148"/>
      <c r="DC55" s="148"/>
      <c r="DD55" s="148"/>
      <c r="DE55" s="148"/>
      <c r="DF55" s="148"/>
      <c r="DG55" s="148"/>
      <c r="DH55" s="148"/>
      <c r="DI55" s="148"/>
      <c r="DJ55" s="148"/>
      <c r="DK55" s="148"/>
      <c r="DL55" s="148"/>
      <c r="DM55" s="148"/>
      <c r="DN55" s="148"/>
      <c r="DO55" s="148"/>
      <c r="DP55" s="148"/>
      <c r="DQ55" s="148"/>
      <c r="DR55" s="148"/>
      <c r="DS55" s="148"/>
      <c r="DT55" s="148"/>
      <c r="DU55" s="148"/>
      <c r="DV55" s="148"/>
      <c r="DW55" s="148"/>
      <c r="DX55" s="148"/>
      <c r="DY55" s="148"/>
      <c r="DZ55" s="148"/>
      <c r="EA55" s="148"/>
      <c r="EB55" s="148"/>
      <c r="EC55" s="148"/>
      <c r="ED55" s="148"/>
      <c r="EE55" s="148"/>
      <c r="EF55" s="148"/>
      <c r="EG55" s="148"/>
      <c r="EH55" s="148"/>
      <c r="EI55" s="148"/>
      <c r="EJ55" s="148"/>
      <c r="EK55" s="148"/>
      <c r="EL55" s="148"/>
      <c r="EM55" s="148"/>
      <c r="EN55" s="148"/>
      <c r="EO55" s="148"/>
      <c r="EP55" s="148"/>
      <c r="EQ55" s="148"/>
      <c r="ER55" s="148"/>
      <c r="ES55" s="148"/>
      <c r="ET55" s="148"/>
      <c r="EU55" s="148"/>
      <c r="EV55" s="148"/>
      <c r="EW55" s="148"/>
      <c r="EX55" s="148"/>
      <c r="EY55" s="148"/>
      <c r="EZ55" s="148"/>
      <c r="FA55" s="148"/>
      <c r="FB55" s="148"/>
      <c r="FC55" s="148"/>
      <c r="FD55" s="148"/>
      <c r="FE55" s="148"/>
      <c r="FF55" s="148"/>
      <c r="FG55" s="148"/>
      <c r="FH55" s="148"/>
      <c r="FI55" s="148"/>
      <c r="FJ55" s="148"/>
      <c r="FK55" s="148"/>
      <c r="FL55" s="148"/>
      <c r="FM55" s="148"/>
      <c r="FN55" s="148"/>
      <c r="FO55" s="148"/>
      <c r="FP55" s="148"/>
      <c r="FQ55" s="148"/>
      <c r="FR55" s="148"/>
    </row>
    <row r="56" spans="1:174" s="15" customFormat="1" ht="13.5" customHeight="1" x14ac:dyDescent="0.2">
      <c r="A56" s="148"/>
      <c r="B56" s="307">
        <v>45</v>
      </c>
      <c r="C56" s="307" t="s">
        <v>38</v>
      </c>
      <c r="D56" s="450" t="s">
        <v>1518</v>
      </c>
      <c r="E56" s="569" t="s">
        <v>1519</v>
      </c>
      <c r="F56" s="533" t="s">
        <v>46</v>
      </c>
      <c r="G56" s="533" t="s">
        <v>1411</v>
      </c>
      <c r="H56" s="553" t="s">
        <v>1464</v>
      </c>
      <c r="I56" s="534" t="s">
        <v>43</v>
      </c>
      <c r="J56" s="535">
        <v>103809</v>
      </c>
      <c r="K56" s="535">
        <v>0</v>
      </c>
      <c r="L56" s="535">
        <v>0</v>
      </c>
      <c r="M56" s="454">
        <v>19832</v>
      </c>
      <c r="N56" s="454">
        <v>1992</v>
      </c>
      <c r="O56" s="454">
        <v>19832</v>
      </c>
      <c r="P56" s="548">
        <v>24789.441999999999</v>
      </c>
      <c r="Q56" s="538">
        <v>24789.440999999999</v>
      </c>
      <c r="R56" s="538"/>
      <c r="S56" s="535">
        <f t="shared" si="0"/>
        <v>91234.883000000002</v>
      </c>
      <c r="T56" s="539">
        <v>68507</v>
      </c>
      <c r="U56" s="540">
        <v>1</v>
      </c>
      <c r="V56" s="541">
        <v>44200</v>
      </c>
      <c r="W56" s="542">
        <v>44223</v>
      </c>
      <c r="X56" s="539">
        <v>2000</v>
      </c>
      <c r="Y56" s="544">
        <v>11</v>
      </c>
      <c r="Z56" s="545">
        <v>44221</v>
      </c>
      <c r="AA56" s="542">
        <v>44246</v>
      </c>
      <c r="AB56" s="539">
        <v>30651</v>
      </c>
      <c r="AC56" s="544">
        <v>46</v>
      </c>
      <c r="AD56" s="545">
        <v>44295</v>
      </c>
      <c r="AE56" s="542">
        <v>44327</v>
      </c>
      <c r="AF56" s="554"/>
      <c r="AG56" s="558"/>
      <c r="AH56" s="542"/>
      <c r="AI56" s="542"/>
      <c r="AJ56" s="542"/>
      <c r="AK56" s="542"/>
      <c r="AL56" s="542"/>
      <c r="AM56" s="542"/>
      <c r="AN56" s="542"/>
      <c r="AO56" s="542"/>
      <c r="AP56" s="542"/>
      <c r="AQ56" s="542"/>
      <c r="AR56" s="22">
        <f t="shared" si="1"/>
        <v>101158</v>
      </c>
      <c r="AS56" s="546">
        <f t="shared" si="2"/>
        <v>9923.1169999999984</v>
      </c>
      <c r="AT56" s="148"/>
      <c r="AU56" s="148"/>
      <c r="AV56" s="148"/>
      <c r="AW56" s="148"/>
      <c r="AX56" s="148"/>
      <c r="AY56" s="148"/>
      <c r="AZ56" s="148"/>
      <c r="BA56" s="148"/>
      <c r="BB56" s="148"/>
      <c r="BC56" s="148"/>
      <c r="BD56" s="148"/>
      <c r="BE56" s="148"/>
      <c r="BF56" s="148"/>
      <c r="BG56" s="148"/>
      <c r="BH56" s="148"/>
      <c r="BI56" s="148"/>
      <c r="BJ56" s="148"/>
      <c r="BK56" s="148"/>
      <c r="BL56" s="148"/>
      <c r="BM56" s="148"/>
      <c r="BN56" s="148"/>
      <c r="BO56" s="148"/>
      <c r="BP56" s="148"/>
      <c r="BQ56" s="148"/>
      <c r="BR56" s="148"/>
      <c r="BS56" s="148"/>
      <c r="BT56" s="148"/>
      <c r="BU56" s="148"/>
      <c r="BV56" s="148"/>
      <c r="BW56" s="148"/>
      <c r="BX56" s="148"/>
      <c r="BY56" s="148"/>
      <c r="BZ56" s="148"/>
      <c r="CA56" s="148"/>
      <c r="CB56" s="148"/>
      <c r="CC56" s="148"/>
      <c r="CD56" s="148"/>
      <c r="CE56" s="148"/>
      <c r="CF56" s="148"/>
      <c r="CG56" s="148"/>
      <c r="CH56" s="148"/>
      <c r="CI56" s="148"/>
      <c r="CJ56" s="148"/>
      <c r="CK56" s="148"/>
      <c r="CL56" s="148"/>
      <c r="CM56" s="148"/>
      <c r="CN56" s="148"/>
      <c r="CO56" s="148"/>
      <c r="CP56" s="148"/>
      <c r="CQ56" s="148"/>
      <c r="CR56" s="148"/>
      <c r="CS56" s="148"/>
      <c r="CT56" s="148"/>
      <c r="CU56" s="148"/>
      <c r="CV56" s="148"/>
      <c r="CW56" s="148"/>
      <c r="CX56" s="148"/>
      <c r="CY56" s="148"/>
      <c r="CZ56" s="148"/>
      <c r="DA56" s="148"/>
      <c r="DB56" s="148"/>
      <c r="DC56" s="148"/>
      <c r="DD56" s="148"/>
      <c r="DE56" s="148"/>
      <c r="DF56" s="148"/>
      <c r="DG56" s="148"/>
      <c r="DH56" s="148"/>
      <c r="DI56" s="148"/>
      <c r="DJ56" s="148"/>
      <c r="DK56" s="148"/>
      <c r="DL56" s="148"/>
      <c r="DM56" s="148"/>
      <c r="DN56" s="148"/>
      <c r="DO56" s="148"/>
      <c r="DP56" s="148"/>
      <c r="DQ56" s="148"/>
      <c r="DR56" s="148"/>
      <c r="DS56" s="148"/>
      <c r="DT56" s="148"/>
      <c r="DU56" s="148"/>
      <c r="DV56" s="148"/>
      <c r="DW56" s="148"/>
      <c r="DX56" s="148"/>
      <c r="DY56" s="148"/>
      <c r="DZ56" s="148"/>
      <c r="EA56" s="148"/>
      <c r="EB56" s="148"/>
      <c r="EC56" s="148"/>
      <c r="ED56" s="148"/>
      <c r="EE56" s="148"/>
      <c r="EF56" s="148"/>
      <c r="EG56" s="148"/>
      <c r="EH56" s="148"/>
      <c r="EI56" s="148"/>
      <c r="EJ56" s="148"/>
      <c r="EK56" s="148"/>
      <c r="EL56" s="148"/>
      <c r="EM56" s="148"/>
      <c r="EN56" s="148"/>
      <c r="EO56" s="148"/>
      <c r="EP56" s="148"/>
      <c r="EQ56" s="148"/>
      <c r="ER56" s="148"/>
      <c r="ES56" s="148"/>
      <c r="ET56" s="148"/>
      <c r="EU56" s="148"/>
      <c r="EV56" s="148"/>
      <c r="EW56" s="148"/>
      <c r="EX56" s="148"/>
      <c r="EY56" s="148"/>
      <c r="EZ56" s="148"/>
      <c r="FA56" s="148"/>
      <c r="FB56" s="148"/>
      <c r="FC56" s="148"/>
      <c r="FD56" s="148"/>
      <c r="FE56" s="148"/>
      <c r="FF56" s="148"/>
      <c r="FG56" s="148"/>
      <c r="FH56" s="148"/>
      <c r="FI56" s="148"/>
      <c r="FJ56" s="148"/>
      <c r="FK56" s="148"/>
      <c r="FL56" s="148"/>
      <c r="FM56" s="148"/>
      <c r="FN56" s="148"/>
      <c r="FO56" s="148"/>
      <c r="FP56" s="148"/>
      <c r="FQ56" s="148"/>
      <c r="FR56" s="148"/>
    </row>
    <row r="57" spans="1:174" s="15" customFormat="1" ht="13.5" customHeight="1" x14ac:dyDescent="0.2">
      <c r="A57" s="148"/>
      <c r="B57" s="312">
        <v>46</v>
      </c>
      <c r="C57" s="307" t="s">
        <v>38</v>
      </c>
      <c r="D57" s="450" t="s">
        <v>1520</v>
      </c>
      <c r="E57" s="569" t="s">
        <v>1521</v>
      </c>
      <c r="F57" s="533" t="s">
        <v>45</v>
      </c>
      <c r="G57" s="533" t="s">
        <v>1411</v>
      </c>
      <c r="H57" s="553" t="s">
        <v>1479</v>
      </c>
      <c r="I57" s="534" t="s">
        <v>42</v>
      </c>
      <c r="J57" s="535">
        <v>729067</v>
      </c>
      <c r="K57" s="535">
        <v>602391</v>
      </c>
      <c r="L57" s="535">
        <v>0</v>
      </c>
      <c r="M57" s="454">
        <v>63815</v>
      </c>
      <c r="N57" s="454"/>
      <c r="O57" s="454"/>
      <c r="P57" s="547"/>
      <c r="Q57" s="538"/>
      <c r="R57" s="538"/>
      <c r="S57" s="535">
        <f t="shared" si="0"/>
        <v>63815</v>
      </c>
      <c r="T57" s="539">
        <v>65816</v>
      </c>
      <c r="U57" s="540">
        <v>1</v>
      </c>
      <c r="V57" s="541">
        <v>44200</v>
      </c>
      <c r="W57" s="542">
        <v>44223</v>
      </c>
      <c r="X57" s="539">
        <v>6615</v>
      </c>
      <c r="Y57" s="544">
        <v>55</v>
      </c>
      <c r="Z57" s="542">
        <v>44323</v>
      </c>
      <c r="AA57" s="542">
        <v>44350</v>
      </c>
      <c r="AB57" s="539"/>
      <c r="AC57" s="544"/>
      <c r="AD57" s="540"/>
      <c r="AE57" s="542"/>
      <c r="AF57" s="554"/>
      <c r="AG57" s="558"/>
      <c r="AH57" s="542"/>
      <c r="AI57" s="542"/>
      <c r="AJ57" s="542"/>
      <c r="AK57" s="542"/>
      <c r="AL57" s="542"/>
      <c r="AM57" s="542"/>
      <c r="AN57" s="542"/>
      <c r="AO57" s="542"/>
      <c r="AP57" s="542"/>
      <c r="AQ57" s="542"/>
      <c r="AR57" s="22">
        <f t="shared" si="1"/>
        <v>72431</v>
      </c>
      <c r="AS57" s="546">
        <f t="shared" si="2"/>
        <v>8616</v>
      </c>
      <c r="AT57" s="148"/>
      <c r="AU57" s="148"/>
      <c r="AV57" s="148"/>
      <c r="AW57" s="148"/>
      <c r="AX57" s="148"/>
      <c r="AY57" s="148"/>
      <c r="AZ57" s="148"/>
      <c r="BA57" s="148"/>
      <c r="BB57" s="148"/>
      <c r="BC57" s="148"/>
      <c r="BD57" s="148"/>
      <c r="BE57" s="148"/>
      <c r="BF57" s="148"/>
      <c r="BG57" s="148"/>
      <c r="BH57" s="148"/>
      <c r="BI57" s="148"/>
      <c r="BJ57" s="148"/>
      <c r="BK57" s="148"/>
      <c r="BL57" s="148"/>
      <c r="BM57" s="148"/>
      <c r="BN57" s="148"/>
      <c r="BO57" s="148"/>
      <c r="BP57" s="148"/>
      <c r="BQ57" s="148"/>
      <c r="BR57" s="148"/>
      <c r="BS57" s="148"/>
      <c r="BT57" s="148"/>
      <c r="BU57" s="148"/>
      <c r="BV57" s="148"/>
      <c r="BW57" s="148"/>
      <c r="BX57" s="148"/>
      <c r="BY57" s="148"/>
      <c r="BZ57" s="148"/>
      <c r="CA57" s="148"/>
      <c r="CB57" s="148"/>
      <c r="CC57" s="148"/>
      <c r="CD57" s="148"/>
      <c r="CE57" s="148"/>
      <c r="CF57" s="148"/>
      <c r="CG57" s="148"/>
      <c r="CH57" s="148"/>
      <c r="CI57" s="148"/>
      <c r="CJ57" s="148"/>
      <c r="CK57" s="148"/>
      <c r="CL57" s="148"/>
      <c r="CM57" s="148"/>
      <c r="CN57" s="148"/>
      <c r="CO57" s="148"/>
      <c r="CP57" s="148"/>
      <c r="CQ57" s="148"/>
      <c r="CR57" s="148"/>
      <c r="CS57" s="148"/>
      <c r="CT57" s="148"/>
      <c r="CU57" s="148"/>
      <c r="CV57" s="148"/>
      <c r="CW57" s="148"/>
      <c r="CX57" s="148"/>
      <c r="CY57" s="148"/>
      <c r="CZ57" s="148"/>
      <c r="DA57" s="148"/>
      <c r="DB57" s="148"/>
      <c r="DC57" s="148"/>
      <c r="DD57" s="148"/>
      <c r="DE57" s="148"/>
      <c r="DF57" s="148"/>
      <c r="DG57" s="148"/>
      <c r="DH57" s="148"/>
      <c r="DI57" s="148"/>
      <c r="DJ57" s="148"/>
      <c r="DK57" s="148"/>
      <c r="DL57" s="148"/>
      <c r="DM57" s="148"/>
      <c r="DN57" s="148"/>
      <c r="DO57" s="148"/>
      <c r="DP57" s="148"/>
      <c r="DQ57" s="148"/>
      <c r="DR57" s="148"/>
      <c r="DS57" s="148"/>
      <c r="DT57" s="148"/>
      <c r="DU57" s="148"/>
      <c r="DV57" s="148"/>
      <c r="DW57" s="148"/>
      <c r="DX57" s="148"/>
      <c r="DY57" s="148"/>
      <c r="DZ57" s="148"/>
      <c r="EA57" s="148"/>
      <c r="EB57" s="148"/>
      <c r="EC57" s="148"/>
      <c r="ED57" s="148"/>
      <c r="EE57" s="148"/>
      <c r="EF57" s="148"/>
      <c r="EG57" s="148"/>
      <c r="EH57" s="148"/>
      <c r="EI57" s="148"/>
      <c r="EJ57" s="148"/>
      <c r="EK57" s="148"/>
      <c r="EL57" s="148"/>
      <c r="EM57" s="148"/>
      <c r="EN57" s="148"/>
      <c r="EO57" s="148"/>
      <c r="EP57" s="148"/>
      <c r="EQ57" s="148"/>
      <c r="ER57" s="148"/>
      <c r="ES57" s="148"/>
      <c r="ET57" s="148"/>
      <c r="EU57" s="148"/>
      <c r="EV57" s="148"/>
      <c r="EW57" s="148"/>
      <c r="EX57" s="148"/>
      <c r="EY57" s="148"/>
      <c r="EZ57" s="148"/>
      <c r="FA57" s="148"/>
      <c r="FB57" s="148"/>
      <c r="FC57" s="148"/>
      <c r="FD57" s="148"/>
      <c r="FE57" s="148"/>
      <c r="FF57" s="148"/>
      <c r="FG57" s="148"/>
      <c r="FH57" s="148"/>
      <c r="FI57" s="148"/>
      <c r="FJ57" s="148"/>
      <c r="FK57" s="148"/>
      <c r="FL57" s="148"/>
      <c r="FM57" s="148"/>
      <c r="FN57" s="148"/>
      <c r="FO57" s="148"/>
      <c r="FP57" s="148"/>
      <c r="FQ57" s="148"/>
      <c r="FR57" s="148"/>
    </row>
    <row r="58" spans="1:174" s="15" customFormat="1" ht="13.5" customHeight="1" x14ac:dyDescent="0.2">
      <c r="A58" s="148"/>
      <c r="B58" s="307">
        <v>47</v>
      </c>
      <c r="C58" s="307" t="s">
        <v>38</v>
      </c>
      <c r="D58" s="450" t="s">
        <v>1522</v>
      </c>
      <c r="E58" s="569" t="s">
        <v>1523</v>
      </c>
      <c r="F58" s="533" t="s">
        <v>45</v>
      </c>
      <c r="G58" s="533" t="s">
        <v>1411</v>
      </c>
      <c r="H58" s="553" t="s">
        <v>1479</v>
      </c>
      <c r="I58" s="534" t="s">
        <v>42</v>
      </c>
      <c r="J58" s="535">
        <v>1192459</v>
      </c>
      <c r="K58" s="535">
        <v>997421</v>
      </c>
      <c r="L58" s="535">
        <v>0</v>
      </c>
      <c r="M58" s="454"/>
      <c r="N58" s="454"/>
      <c r="O58" s="454"/>
      <c r="P58" s="547"/>
      <c r="Q58" s="538"/>
      <c r="R58" s="538"/>
      <c r="S58" s="535">
        <f t="shared" si="0"/>
        <v>0</v>
      </c>
      <c r="T58" s="539">
        <v>189038</v>
      </c>
      <c r="U58" s="540">
        <v>1</v>
      </c>
      <c r="V58" s="541">
        <v>44200</v>
      </c>
      <c r="W58" s="542">
        <v>44223</v>
      </c>
      <c r="X58" s="539"/>
      <c r="Y58" s="544"/>
      <c r="Z58" s="542"/>
      <c r="AA58" s="542"/>
      <c r="AB58" s="539"/>
      <c r="AC58" s="544"/>
      <c r="AD58" s="540"/>
      <c r="AE58" s="542"/>
      <c r="AF58" s="554"/>
      <c r="AG58" s="558"/>
      <c r="AH58" s="542"/>
      <c r="AI58" s="542"/>
      <c r="AJ58" s="542"/>
      <c r="AK58" s="542"/>
      <c r="AL58" s="542"/>
      <c r="AM58" s="542"/>
      <c r="AN58" s="542"/>
      <c r="AO58" s="542"/>
      <c r="AP58" s="542"/>
      <c r="AQ58" s="542"/>
      <c r="AR58" s="22">
        <f t="shared" si="1"/>
        <v>189038</v>
      </c>
      <c r="AS58" s="546">
        <f t="shared" si="2"/>
        <v>189038</v>
      </c>
      <c r="AT58" s="148"/>
      <c r="AU58" s="148"/>
      <c r="AV58" s="148"/>
      <c r="AW58" s="148"/>
      <c r="AX58" s="148"/>
      <c r="AY58" s="148"/>
      <c r="AZ58" s="148"/>
      <c r="BA58" s="148"/>
      <c r="BB58" s="148"/>
      <c r="BC58" s="148"/>
      <c r="BD58" s="148"/>
      <c r="BE58" s="148"/>
      <c r="BF58" s="148"/>
      <c r="BG58" s="148"/>
      <c r="BH58" s="148"/>
      <c r="BI58" s="148"/>
      <c r="BJ58" s="148"/>
      <c r="BK58" s="148"/>
      <c r="BL58" s="148"/>
      <c r="BM58" s="148"/>
      <c r="BN58" s="148"/>
      <c r="BO58" s="148"/>
      <c r="BP58" s="148"/>
      <c r="BQ58" s="148"/>
      <c r="BR58" s="148"/>
      <c r="BS58" s="148"/>
      <c r="BT58" s="148"/>
      <c r="BU58" s="148"/>
      <c r="BV58" s="148"/>
      <c r="BW58" s="148"/>
      <c r="BX58" s="148"/>
      <c r="BY58" s="148"/>
      <c r="BZ58" s="148"/>
      <c r="CA58" s="148"/>
      <c r="CB58" s="148"/>
      <c r="CC58" s="148"/>
      <c r="CD58" s="148"/>
      <c r="CE58" s="148"/>
      <c r="CF58" s="148"/>
      <c r="CG58" s="148"/>
      <c r="CH58" s="148"/>
      <c r="CI58" s="148"/>
      <c r="CJ58" s="148"/>
      <c r="CK58" s="148"/>
      <c r="CL58" s="148"/>
      <c r="CM58" s="148"/>
      <c r="CN58" s="148"/>
      <c r="CO58" s="148"/>
      <c r="CP58" s="148"/>
      <c r="CQ58" s="148"/>
      <c r="CR58" s="148"/>
      <c r="CS58" s="148"/>
      <c r="CT58" s="148"/>
      <c r="CU58" s="148"/>
      <c r="CV58" s="148"/>
      <c r="CW58" s="148"/>
      <c r="CX58" s="148"/>
      <c r="CY58" s="148"/>
      <c r="CZ58" s="148"/>
      <c r="DA58" s="148"/>
      <c r="DB58" s="148"/>
      <c r="DC58" s="148"/>
      <c r="DD58" s="148"/>
      <c r="DE58" s="148"/>
      <c r="DF58" s="148"/>
      <c r="DG58" s="148"/>
      <c r="DH58" s="148"/>
      <c r="DI58" s="148"/>
      <c r="DJ58" s="148"/>
      <c r="DK58" s="148"/>
      <c r="DL58" s="148"/>
      <c r="DM58" s="148"/>
      <c r="DN58" s="148"/>
      <c r="DO58" s="148"/>
      <c r="DP58" s="148"/>
      <c r="DQ58" s="148"/>
      <c r="DR58" s="148"/>
      <c r="DS58" s="148"/>
      <c r="DT58" s="148"/>
      <c r="DU58" s="148"/>
      <c r="DV58" s="148"/>
      <c r="DW58" s="148"/>
      <c r="DX58" s="148"/>
      <c r="DY58" s="148"/>
      <c r="DZ58" s="148"/>
      <c r="EA58" s="148"/>
      <c r="EB58" s="148"/>
      <c r="EC58" s="148"/>
      <c r="ED58" s="148"/>
      <c r="EE58" s="148"/>
      <c r="EF58" s="148"/>
      <c r="EG58" s="148"/>
      <c r="EH58" s="148"/>
      <c r="EI58" s="148"/>
      <c r="EJ58" s="148"/>
      <c r="EK58" s="148"/>
      <c r="EL58" s="148"/>
      <c r="EM58" s="148"/>
      <c r="EN58" s="148"/>
      <c r="EO58" s="148"/>
      <c r="EP58" s="148"/>
      <c r="EQ58" s="148"/>
      <c r="ER58" s="148"/>
      <c r="ES58" s="148"/>
      <c r="ET58" s="148"/>
      <c r="EU58" s="148"/>
      <c r="EV58" s="148"/>
      <c r="EW58" s="148"/>
      <c r="EX58" s="148"/>
      <c r="EY58" s="148"/>
      <c r="EZ58" s="148"/>
      <c r="FA58" s="148"/>
      <c r="FB58" s="148"/>
      <c r="FC58" s="148"/>
      <c r="FD58" s="148"/>
      <c r="FE58" s="148"/>
      <c r="FF58" s="148"/>
      <c r="FG58" s="148"/>
      <c r="FH58" s="148"/>
      <c r="FI58" s="148"/>
      <c r="FJ58" s="148"/>
      <c r="FK58" s="148"/>
      <c r="FL58" s="148"/>
      <c r="FM58" s="148"/>
      <c r="FN58" s="148"/>
      <c r="FO58" s="148"/>
      <c r="FP58" s="148"/>
      <c r="FQ58" s="148"/>
      <c r="FR58" s="148"/>
    </row>
    <row r="59" spans="1:174" s="15" customFormat="1" ht="13.5" customHeight="1" x14ac:dyDescent="0.2">
      <c r="A59" s="148"/>
      <c r="B59" s="312">
        <v>48</v>
      </c>
      <c r="C59" s="307" t="s">
        <v>38</v>
      </c>
      <c r="D59" s="450" t="s">
        <v>1524</v>
      </c>
      <c r="E59" s="569" t="s">
        <v>1525</v>
      </c>
      <c r="F59" s="533" t="s">
        <v>45</v>
      </c>
      <c r="G59" s="533" t="s">
        <v>1411</v>
      </c>
      <c r="H59" s="553" t="s">
        <v>1479</v>
      </c>
      <c r="I59" s="534" t="s">
        <v>43</v>
      </c>
      <c r="J59" s="535">
        <v>731640</v>
      </c>
      <c r="K59" s="535">
        <v>0</v>
      </c>
      <c r="L59" s="535">
        <v>406845</v>
      </c>
      <c r="M59" s="454"/>
      <c r="N59" s="454"/>
      <c r="O59" s="454"/>
      <c r="P59" s="547"/>
      <c r="Q59" s="538">
        <v>15525.311</v>
      </c>
      <c r="R59" s="538">
        <v>78840.384999999995</v>
      </c>
      <c r="S59" s="535">
        <f t="shared" si="0"/>
        <v>94365.695999999996</v>
      </c>
      <c r="T59" s="539">
        <v>2</v>
      </c>
      <c r="U59" s="540">
        <v>1</v>
      </c>
      <c r="V59" s="541">
        <v>44200</v>
      </c>
      <c r="W59" s="542">
        <v>44223</v>
      </c>
      <c r="X59" s="539">
        <v>49999</v>
      </c>
      <c r="Y59" s="544">
        <v>46</v>
      </c>
      <c r="Z59" s="542">
        <v>44295</v>
      </c>
      <c r="AA59" s="542">
        <v>44327</v>
      </c>
      <c r="AB59" s="539">
        <v>79499</v>
      </c>
      <c r="AC59" s="544">
        <v>55</v>
      </c>
      <c r="AD59" s="545">
        <v>44323</v>
      </c>
      <c r="AE59" s="542">
        <v>44350</v>
      </c>
      <c r="AF59" s="554"/>
      <c r="AG59" s="558"/>
      <c r="AH59" s="542"/>
      <c r="AI59" s="542"/>
      <c r="AJ59" s="542"/>
      <c r="AK59" s="542"/>
      <c r="AL59" s="542"/>
      <c r="AM59" s="542"/>
      <c r="AN59" s="542"/>
      <c r="AO59" s="542"/>
      <c r="AP59" s="542"/>
      <c r="AQ59" s="542"/>
      <c r="AR59" s="22">
        <f t="shared" si="1"/>
        <v>129500</v>
      </c>
      <c r="AS59" s="546">
        <f t="shared" si="2"/>
        <v>35134.304000000004</v>
      </c>
      <c r="AT59" s="148"/>
      <c r="AU59" s="148"/>
      <c r="AV59" s="148"/>
      <c r="AW59" s="148"/>
      <c r="AX59" s="148"/>
      <c r="AY59" s="148"/>
      <c r="AZ59" s="148"/>
      <c r="BA59" s="148"/>
      <c r="BB59" s="148"/>
      <c r="BC59" s="148"/>
      <c r="BD59" s="148"/>
      <c r="BE59" s="148"/>
      <c r="BF59" s="148"/>
      <c r="BG59" s="148"/>
      <c r="BH59" s="148"/>
      <c r="BI59" s="148"/>
      <c r="BJ59" s="148"/>
      <c r="BK59" s="148"/>
      <c r="BL59" s="148"/>
      <c r="BM59" s="148"/>
      <c r="BN59" s="148"/>
      <c r="BO59" s="148"/>
      <c r="BP59" s="148"/>
      <c r="BQ59" s="148"/>
      <c r="BR59" s="148"/>
      <c r="BS59" s="148"/>
      <c r="BT59" s="148"/>
      <c r="BU59" s="148"/>
      <c r="BV59" s="148"/>
      <c r="BW59" s="148"/>
      <c r="BX59" s="148"/>
      <c r="BY59" s="148"/>
      <c r="BZ59" s="148"/>
      <c r="CA59" s="148"/>
      <c r="CB59" s="148"/>
      <c r="CC59" s="148"/>
      <c r="CD59" s="148"/>
      <c r="CE59" s="148"/>
      <c r="CF59" s="148"/>
      <c r="CG59" s="148"/>
      <c r="CH59" s="148"/>
      <c r="CI59" s="148"/>
      <c r="CJ59" s="148"/>
      <c r="CK59" s="148"/>
      <c r="CL59" s="148"/>
      <c r="CM59" s="148"/>
      <c r="CN59" s="148"/>
      <c r="CO59" s="148"/>
      <c r="CP59" s="148"/>
      <c r="CQ59" s="148"/>
      <c r="CR59" s="148"/>
      <c r="CS59" s="148"/>
      <c r="CT59" s="148"/>
      <c r="CU59" s="148"/>
      <c r="CV59" s="148"/>
      <c r="CW59" s="148"/>
      <c r="CX59" s="148"/>
      <c r="CY59" s="148"/>
      <c r="CZ59" s="148"/>
      <c r="DA59" s="148"/>
      <c r="DB59" s="148"/>
      <c r="DC59" s="148"/>
      <c r="DD59" s="148"/>
      <c r="DE59" s="148"/>
      <c r="DF59" s="148"/>
      <c r="DG59" s="148"/>
      <c r="DH59" s="148"/>
      <c r="DI59" s="148"/>
      <c r="DJ59" s="148"/>
      <c r="DK59" s="148"/>
      <c r="DL59" s="148"/>
      <c r="DM59" s="148"/>
      <c r="DN59" s="148"/>
      <c r="DO59" s="148"/>
      <c r="DP59" s="148"/>
      <c r="DQ59" s="148"/>
      <c r="DR59" s="148"/>
      <c r="DS59" s="148"/>
      <c r="DT59" s="148"/>
      <c r="DU59" s="148"/>
      <c r="DV59" s="148"/>
      <c r="DW59" s="148"/>
      <c r="DX59" s="148"/>
      <c r="DY59" s="148"/>
      <c r="DZ59" s="148"/>
      <c r="EA59" s="148"/>
      <c r="EB59" s="148"/>
      <c r="EC59" s="148"/>
      <c r="ED59" s="148"/>
      <c r="EE59" s="148"/>
      <c r="EF59" s="148"/>
      <c r="EG59" s="148"/>
      <c r="EH59" s="148"/>
      <c r="EI59" s="148"/>
      <c r="EJ59" s="148"/>
      <c r="EK59" s="148"/>
      <c r="EL59" s="148"/>
      <c r="EM59" s="148"/>
      <c r="EN59" s="148"/>
      <c r="EO59" s="148"/>
      <c r="EP59" s="148"/>
      <c r="EQ59" s="148"/>
      <c r="ER59" s="148"/>
      <c r="ES59" s="148"/>
      <c r="ET59" s="148"/>
      <c r="EU59" s="148"/>
      <c r="EV59" s="148"/>
      <c r="EW59" s="148"/>
      <c r="EX59" s="148"/>
      <c r="EY59" s="148"/>
      <c r="EZ59" s="148"/>
      <c r="FA59" s="148"/>
      <c r="FB59" s="148"/>
      <c r="FC59" s="148"/>
      <c r="FD59" s="148"/>
      <c r="FE59" s="148"/>
      <c r="FF59" s="148"/>
      <c r="FG59" s="148"/>
      <c r="FH59" s="148"/>
      <c r="FI59" s="148"/>
      <c r="FJ59" s="148"/>
      <c r="FK59" s="148"/>
      <c r="FL59" s="148"/>
      <c r="FM59" s="148"/>
      <c r="FN59" s="148"/>
      <c r="FO59" s="148"/>
      <c r="FP59" s="148"/>
      <c r="FQ59" s="148"/>
      <c r="FR59" s="148"/>
    </row>
    <row r="60" spans="1:174" s="15" customFormat="1" ht="13.5" customHeight="1" x14ac:dyDescent="0.2">
      <c r="A60" s="148"/>
      <c r="B60" s="307">
        <v>49</v>
      </c>
      <c r="C60" s="307" t="s">
        <v>38</v>
      </c>
      <c r="D60" s="450" t="s">
        <v>1526</v>
      </c>
      <c r="E60" s="569" t="s">
        <v>1527</v>
      </c>
      <c r="F60" s="533" t="s">
        <v>45</v>
      </c>
      <c r="G60" s="533" t="s">
        <v>1411</v>
      </c>
      <c r="H60" s="553" t="s">
        <v>1479</v>
      </c>
      <c r="I60" s="534" t="s">
        <v>43</v>
      </c>
      <c r="J60" s="535">
        <v>964227</v>
      </c>
      <c r="K60" s="535">
        <v>0</v>
      </c>
      <c r="L60" s="535">
        <v>383158</v>
      </c>
      <c r="M60" s="454"/>
      <c r="N60" s="454"/>
      <c r="O60" s="454"/>
      <c r="P60" s="547"/>
      <c r="Q60" s="538"/>
      <c r="R60" s="538"/>
      <c r="S60" s="535">
        <f t="shared" si="0"/>
        <v>0</v>
      </c>
      <c r="T60" s="539">
        <v>2</v>
      </c>
      <c r="U60" s="540">
        <v>1</v>
      </c>
      <c r="V60" s="541">
        <v>44200</v>
      </c>
      <c r="W60" s="542">
        <v>44223</v>
      </c>
      <c r="X60" s="539"/>
      <c r="Y60" s="544"/>
      <c r="Z60" s="542"/>
      <c r="AA60" s="542"/>
      <c r="AB60" s="539"/>
      <c r="AC60" s="544"/>
      <c r="AD60" s="540"/>
      <c r="AE60" s="542"/>
      <c r="AF60" s="554"/>
      <c r="AG60" s="558"/>
      <c r="AH60" s="542"/>
      <c r="AI60" s="542"/>
      <c r="AJ60" s="542"/>
      <c r="AK60" s="542"/>
      <c r="AL60" s="542"/>
      <c r="AM60" s="542"/>
      <c r="AN60" s="542"/>
      <c r="AO60" s="542"/>
      <c r="AP60" s="542"/>
      <c r="AQ60" s="542"/>
      <c r="AR60" s="22">
        <f t="shared" si="1"/>
        <v>2</v>
      </c>
      <c r="AS60" s="546">
        <f t="shared" si="2"/>
        <v>2</v>
      </c>
      <c r="AT60" s="148"/>
      <c r="AU60" s="148"/>
      <c r="AV60" s="148"/>
      <c r="AW60" s="148"/>
      <c r="AX60" s="148"/>
      <c r="AY60" s="148"/>
      <c r="AZ60" s="148"/>
      <c r="BA60" s="148"/>
      <c r="BB60" s="148"/>
      <c r="BC60" s="148"/>
      <c r="BD60" s="148"/>
      <c r="BE60" s="148"/>
      <c r="BF60" s="148"/>
      <c r="BG60" s="148"/>
      <c r="BH60" s="148"/>
      <c r="BI60" s="148"/>
      <c r="BJ60" s="148"/>
      <c r="BK60" s="148"/>
      <c r="BL60" s="148"/>
      <c r="BM60" s="148"/>
      <c r="BN60" s="148"/>
      <c r="BO60" s="148"/>
      <c r="BP60" s="148"/>
      <c r="BQ60" s="148"/>
      <c r="BR60" s="148"/>
      <c r="BS60" s="148"/>
      <c r="BT60" s="148"/>
      <c r="BU60" s="148"/>
      <c r="BV60" s="148"/>
      <c r="BW60" s="148"/>
      <c r="BX60" s="148"/>
      <c r="BY60" s="148"/>
      <c r="BZ60" s="148"/>
      <c r="CA60" s="148"/>
      <c r="CB60" s="148"/>
      <c r="CC60" s="148"/>
      <c r="CD60" s="148"/>
      <c r="CE60" s="148"/>
      <c r="CF60" s="148"/>
      <c r="CG60" s="148"/>
      <c r="CH60" s="148"/>
      <c r="CI60" s="148"/>
      <c r="CJ60" s="148"/>
      <c r="CK60" s="148"/>
      <c r="CL60" s="148"/>
      <c r="CM60" s="148"/>
      <c r="CN60" s="148"/>
      <c r="CO60" s="148"/>
      <c r="CP60" s="148"/>
      <c r="CQ60" s="148"/>
      <c r="CR60" s="148"/>
      <c r="CS60" s="148"/>
      <c r="CT60" s="148"/>
      <c r="CU60" s="148"/>
      <c r="CV60" s="148"/>
      <c r="CW60" s="148"/>
      <c r="CX60" s="148"/>
      <c r="CY60" s="148"/>
      <c r="CZ60" s="148"/>
      <c r="DA60" s="148"/>
      <c r="DB60" s="148"/>
      <c r="DC60" s="148"/>
      <c r="DD60" s="148"/>
      <c r="DE60" s="148"/>
      <c r="DF60" s="148"/>
      <c r="DG60" s="148"/>
      <c r="DH60" s="148"/>
      <c r="DI60" s="148"/>
      <c r="DJ60" s="148"/>
      <c r="DK60" s="148"/>
      <c r="DL60" s="148"/>
      <c r="DM60" s="148"/>
      <c r="DN60" s="148"/>
      <c r="DO60" s="148"/>
      <c r="DP60" s="148"/>
      <c r="DQ60" s="148"/>
      <c r="DR60" s="148"/>
      <c r="DS60" s="148"/>
      <c r="DT60" s="148"/>
      <c r="DU60" s="148"/>
      <c r="DV60" s="148"/>
      <c r="DW60" s="148"/>
      <c r="DX60" s="148"/>
      <c r="DY60" s="148"/>
      <c r="DZ60" s="148"/>
      <c r="EA60" s="148"/>
      <c r="EB60" s="148"/>
      <c r="EC60" s="148"/>
      <c r="ED60" s="148"/>
      <c r="EE60" s="148"/>
      <c r="EF60" s="148"/>
      <c r="EG60" s="148"/>
      <c r="EH60" s="148"/>
      <c r="EI60" s="148"/>
      <c r="EJ60" s="148"/>
      <c r="EK60" s="148"/>
      <c r="EL60" s="148"/>
      <c r="EM60" s="148"/>
      <c r="EN60" s="148"/>
      <c r="EO60" s="148"/>
      <c r="EP60" s="148"/>
      <c r="EQ60" s="148"/>
      <c r="ER60" s="148"/>
      <c r="ES60" s="148"/>
      <c r="ET60" s="148"/>
      <c r="EU60" s="148"/>
      <c r="EV60" s="148"/>
      <c r="EW60" s="148"/>
      <c r="EX60" s="148"/>
      <c r="EY60" s="148"/>
      <c r="EZ60" s="148"/>
      <c r="FA60" s="148"/>
      <c r="FB60" s="148"/>
      <c r="FC60" s="148"/>
      <c r="FD60" s="148"/>
      <c r="FE60" s="148"/>
      <c r="FF60" s="148"/>
      <c r="FG60" s="148"/>
      <c r="FH60" s="148"/>
      <c r="FI60" s="148"/>
      <c r="FJ60" s="148"/>
      <c r="FK60" s="148"/>
      <c r="FL60" s="148"/>
      <c r="FM60" s="148"/>
      <c r="FN60" s="148"/>
      <c r="FO60" s="148"/>
      <c r="FP60" s="148"/>
      <c r="FQ60" s="148"/>
      <c r="FR60" s="148"/>
    </row>
    <row r="61" spans="1:174" s="15" customFormat="1" ht="13.5" customHeight="1" x14ac:dyDescent="0.2">
      <c r="A61" s="148"/>
      <c r="B61" s="312">
        <v>50</v>
      </c>
      <c r="C61" s="307" t="s">
        <v>38</v>
      </c>
      <c r="D61" s="450" t="s">
        <v>1528</v>
      </c>
      <c r="E61" s="569" t="s">
        <v>1529</v>
      </c>
      <c r="F61" s="533" t="s">
        <v>45</v>
      </c>
      <c r="G61" s="533" t="s">
        <v>1411</v>
      </c>
      <c r="H61" s="553" t="s">
        <v>1530</v>
      </c>
      <c r="I61" s="534" t="s">
        <v>42</v>
      </c>
      <c r="J61" s="535">
        <v>173664</v>
      </c>
      <c r="K61" s="535">
        <v>107567</v>
      </c>
      <c r="L61" s="535">
        <v>0</v>
      </c>
      <c r="M61" s="454">
        <v>53498</v>
      </c>
      <c r="N61" s="454"/>
      <c r="O61" s="454"/>
      <c r="P61" s="547"/>
      <c r="Q61" s="538"/>
      <c r="R61" s="538"/>
      <c r="S61" s="535">
        <f t="shared" si="0"/>
        <v>53498</v>
      </c>
      <c r="T61" s="539">
        <v>57267</v>
      </c>
      <c r="U61" s="540">
        <v>1</v>
      </c>
      <c r="V61" s="541">
        <v>44200</v>
      </c>
      <c r="W61" s="542">
        <v>44223</v>
      </c>
      <c r="X61" s="539">
        <v>1</v>
      </c>
      <c r="Y61" s="544">
        <v>46</v>
      </c>
      <c r="Z61" s="542">
        <v>44295</v>
      </c>
      <c r="AA61" s="542">
        <v>44327</v>
      </c>
      <c r="AB61" s="539"/>
      <c r="AC61" s="544"/>
      <c r="AD61" s="540"/>
      <c r="AE61" s="542"/>
      <c r="AF61" s="554"/>
      <c r="AG61" s="558"/>
      <c r="AH61" s="542"/>
      <c r="AI61" s="542"/>
      <c r="AJ61" s="542"/>
      <c r="AK61" s="542"/>
      <c r="AL61" s="542"/>
      <c r="AM61" s="542"/>
      <c r="AN61" s="542"/>
      <c r="AO61" s="542"/>
      <c r="AP61" s="542"/>
      <c r="AQ61" s="542"/>
      <c r="AR61" s="22">
        <f t="shared" si="1"/>
        <v>57268</v>
      </c>
      <c r="AS61" s="546">
        <f t="shared" si="2"/>
        <v>3770</v>
      </c>
      <c r="AT61" s="148"/>
      <c r="AU61" s="148"/>
      <c r="AV61" s="148"/>
      <c r="AW61" s="148"/>
      <c r="AX61" s="148"/>
      <c r="AY61" s="148"/>
      <c r="AZ61" s="148"/>
      <c r="BA61" s="148"/>
      <c r="BB61" s="148"/>
      <c r="BC61" s="148"/>
      <c r="BD61" s="148"/>
      <c r="BE61" s="148"/>
      <c r="BF61" s="148"/>
      <c r="BG61" s="148"/>
      <c r="BH61" s="148"/>
      <c r="BI61" s="148"/>
      <c r="BJ61" s="148"/>
      <c r="BK61" s="148"/>
      <c r="BL61" s="148"/>
      <c r="BM61" s="148"/>
      <c r="BN61" s="148"/>
      <c r="BO61" s="148"/>
      <c r="BP61" s="148"/>
      <c r="BQ61" s="148"/>
      <c r="BR61" s="148"/>
      <c r="BS61" s="148"/>
      <c r="BT61" s="148"/>
      <c r="BU61" s="148"/>
      <c r="BV61" s="148"/>
      <c r="BW61" s="148"/>
      <c r="BX61" s="148"/>
      <c r="BY61" s="148"/>
      <c r="BZ61" s="148"/>
      <c r="CA61" s="148"/>
      <c r="CB61" s="148"/>
      <c r="CC61" s="148"/>
      <c r="CD61" s="148"/>
      <c r="CE61" s="148"/>
      <c r="CF61" s="148"/>
      <c r="CG61" s="148"/>
      <c r="CH61" s="148"/>
      <c r="CI61" s="148"/>
      <c r="CJ61" s="148"/>
      <c r="CK61" s="148"/>
      <c r="CL61" s="148"/>
      <c r="CM61" s="148"/>
      <c r="CN61" s="148"/>
      <c r="CO61" s="148"/>
      <c r="CP61" s="148"/>
      <c r="CQ61" s="148"/>
      <c r="CR61" s="148"/>
      <c r="CS61" s="148"/>
      <c r="CT61" s="148"/>
      <c r="CU61" s="148"/>
      <c r="CV61" s="148"/>
      <c r="CW61" s="148"/>
      <c r="CX61" s="148"/>
      <c r="CY61" s="148"/>
      <c r="CZ61" s="148"/>
      <c r="DA61" s="148"/>
      <c r="DB61" s="148"/>
      <c r="DC61" s="148"/>
      <c r="DD61" s="148"/>
      <c r="DE61" s="148"/>
      <c r="DF61" s="148"/>
      <c r="DG61" s="148"/>
      <c r="DH61" s="148"/>
      <c r="DI61" s="148"/>
      <c r="DJ61" s="148"/>
      <c r="DK61" s="148"/>
      <c r="DL61" s="148"/>
      <c r="DM61" s="148"/>
      <c r="DN61" s="148"/>
      <c r="DO61" s="148"/>
      <c r="DP61" s="148"/>
      <c r="DQ61" s="148"/>
      <c r="DR61" s="148"/>
      <c r="DS61" s="148"/>
      <c r="DT61" s="148"/>
      <c r="DU61" s="148"/>
      <c r="DV61" s="148"/>
      <c r="DW61" s="148"/>
      <c r="DX61" s="148"/>
      <c r="DY61" s="148"/>
      <c r="DZ61" s="148"/>
      <c r="EA61" s="148"/>
      <c r="EB61" s="148"/>
      <c r="EC61" s="148"/>
      <c r="ED61" s="148"/>
      <c r="EE61" s="148"/>
      <c r="EF61" s="148"/>
      <c r="EG61" s="148"/>
      <c r="EH61" s="148"/>
      <c r="EI61" s="148"/>
      <c r="EJ61" s="148"/>
      <c r="EK61" s="148"/>
      <c r="EL61" s="148"/>
      <c r="EM61" s="148"/>
      <c r="EN61" s="148"/>
      <c r="EO61" s="148"/>
      <c r="EP61" s="148"/>
      <c r="EQ61" s="148"/>
      <c r="ER61" s="148"/>
      <c r="ES61" s="148"/>
      <c r="ET61" s="148"/>
      <c r="EU61" s="148"/>
      <c r="EV61" s="148"/>
      <c r="EW61" s="148"/>
      <c r="EX61" s="148"/>
      <c r="EY61" s="148"/>
      <c r="EZ61" s="148"/>
      <c r="FA61" s="148"/>
      <c r="FB61" s="148"/>
      <c r="FC61" s="148"/>
      <c r="FD61" s="148"/>
      <c r="FE61" s="148"/>
      <c r="FF61" s="148"/>
      <c r="FG61" s="148"/>
      <c r="FH61" s="148"/>
      <c r="FI61" s="148"/>
      <c r="FJ61" s="148"/>
      <c r="FK61" s="148"/>
      <c r="FL61" s="148"/>
      <c r="FM61" s="148"/>
      <c r="FN61" s="148"/>
      <c r="FO61" s="148"/>
      <c r="FP61" s="148"/>
      <c r="FQ61" s="148"/>
      <c r="FR61" s="148"/>
    </row>
    <row r="62" spans="1:174" s="15" customFormat="1" ht="13.5" customHeight="1" x14ac:dyDescent="0.2">
      <c r="A62" s="148"/>
      <c r="B62" s="307">
        <v>51</v>
      </c>
      <c r="C62" s="307" t="s">
        <v>38</v>
      </c>
      <c r="D62" s="450" t="s">
        <v>1531</v>
      </c>
      <c r="E62" s="569" t="s">
        <v>1532</v>
      </c>
      <c r="F62" s="533" t="s">
        <v>45</v>
      </c>
      <c r="G62" s="533" t="s">
        <v>1411</v>
      </c>
      <c r="H62" s="553" t="s">
        <v>1530</v>
      </c>
      <c r="I62" s="534" t="s">
        <v>42</v>
      </c>
      <c r="J62" s="535">
        <v>6691476</v>
      </c>
      <c r="K62" s="535">
        <v>849028</v>
      </c>
      <c r="L62" s="535">
        <v>0</v>
      </c>
      <c r="M62" s="454">
        <f>3870+1813537</f>
        <v>1817407</v>
      </c>
      <c r="N62" s="454">
        <v>444785</v>
      </c>
      <c r="O62" s="454">
        <f>2580+332567</f>
        <v>335147</v>
      </c>
      <c r="P62" s="548">
        <v>360948.24800000002</v>
      </c>
      <c r="Q62" s="538">
        <v>287759</v>
      </c>
      <c r="R62" s="538">
        <v>417397.01500000001</v>
      </c>
      <c r="S62" s="535">
        <f t="shared" si="0"/>
        <v>3663443.2630000003</v>
      </c>
      <c r="T62" s="539">
        <v>2053870</v>
      </c>
      <c r="U62" s="540">
        <v>1</v>
      </c>
      <c r="V62" s="541">
        <v>44200</v>
      </c>
      <c r="W62" s="542">
        <v>44223</v>
      </c>
      <c r="X62" s="539">
        <v>1003870</v>
      </c>
      <c r="Y62" s="544">
        <v>13</v>
      </c>
      <c r="Z62" s="545">
        <v>44221</v>
      </c>
      <c r="AA62" s="542">
        <v>44249</v>
      </c>
      <c r="AB62" s="539">
        <v>1096180</v>
      </c>
      <c r="AC62" s="544">
        <v>46</v>
      </c>
      <c r="AD62" s="545">
        <v>44295</v>
      </c>
      <c r="AE62" s="542">
        <v>44327</v>
      </c>
      <c r="AF62" s="554"/>
      <c r="AG62" s="558"/>
      <c r="AH62" s="542"/>
      <c r="AI62" s="542"/>
      <c r="AJ62" s="542"/>
      <c r="AK62" s="542"/>
      <c r="AL62" s="542"/>
      <c r="AM62" s="542"/>
      <c r="AN62" s="542"/>
      <c r="AO62" s="542"/>
      <c r="AP62" s="542"/>
      <c r="AQ62" s="542"/>
      <c r="AR62" s="22">
        <f t="shared" si="1"/>
        <v>4153920</v>
      </c>
      <c r="AS62" s="546">
        <f t="shared" si="2"/>
        <v>490476.73699999973</v>
      </c>
      <c r="AT62" s="148"/>
      <c r="AU62" s="148"/>
      <c r="AV62" s="148"/>
      <c r="AW62" s="148"/>
      <c r="AX62" s="148"/>
      <c r="AY62" s="148"/>
      <c r="AZ62" s="148"/>
      <c r="BA62" s="148"/>
      <c r="BB62" s="148"/>
      <c r="BC62" s="148"/>
      <c r="BD62" s="148"/>
      <c r="BE62" s="148"/>
      <c r="BF62" s="148"/>
      <c r="BG62" s="148"/>
      <c r="BH62" s="148"/>
      <c r="BI62" s="148"/>
      <c r="BJ62" s="148"/>
      <c r="BK62" s="148"/>
      <c r="BL62" s="148"/>
      <c r="BM62" s="148"/>
      <c r="BN62" s="148"/>
      <c r="BO62" s="148"/>
      <c r="BP62" s="148"/>
      <c r="BQ62" s="148"/>
      <c r="BR62" s="148"/>
      <c r="BS62" s="148"/>
      <c r="BT62" s="148"/>
      <c r="BU62" s="148"/>
      <c r="BV62" s="148"/>
      <c r="BW62" s="148"/>
      <c r="BX62" s="148"/>
      <c r="BY62" s="148"/>
      <c r="BZ62" s="148"/>
      <c r="CA62" s="148"/>
      <c r="CB62" s="148"/>
      <c r="CC62" s="148"/>
      <c r="CD62" s="148"/>
      <c r="CE62" s="148"/>
      <c r="CF62" s="148"/>
      <c r="CG62" s="148"/>
      <c r="CH62" s="148"/>
      <c r="CI62" s="148"/>
      <c r="CJ62" s="148"/>
      <c r="CK62" s="148"/>
      <c r="CL62" s="148"/>
      <c r="CM62" s="148"/>
      <c r="CN62" s="148"/>
      <c r="CO62" s="148"/>
      <c r="CP62" s="148"/>
      <c r="CQ62" s="148"/>
      <c r="CR62" s="148"/>
      <c r="CS62" s="148"/>
      <c r="CT62" s="148"/>
      <c r="CU62" s="148"/>
      <c r="CV62" s="148"/>
      <c r="CW62" s="148"/>
      <c r="CX62" s="148"/>
      <c r="CY62" s="148"/>
      <c r="CZ62" s="148"/>
      <c r="DA62" s="148"/>
      <c r="DB62" s="148"/>
      <c r="DC62" s="148"/>
      <c r="DD62" s="148"/>
      <c r="DE62" s="148"/>
      <c r="DF62" s="148"/>
      <c r="DG62" s="148"/>
      <c r="DH62" s="148"/>
      <c r="DI62" s="148"/>
      <c r="DJ62" s="148"/>
      <c r="DK62" s="148"/>
      <c r="DL62" s="148"/>
      <c r="DM62" s="148"/>
      <c r="DN62" s="148"/>
      <c r="DO62" s="148"/>
      <c r="DP62" s="148"/>
      <c r="DQ62" s="148"/>
      <c r="DR62" s="148"/>
      <c r="DS62" s="148"/>
      <c r="DT62" s="148"/>
      <c r="DU62" s="148"/>
      <c r="DV62" s="148"/>
      <c r="DW62" s="148"/>
      <c r="DX62" s="148"/>
      <c r="DY62" s="148"/>
      <c r="DZ62" s="148"/>
      <c r="EA62" s="148"/>
      <c r="EB62" s="148"/>
      <c r="EC62" s="148"/>
      <c r="ED62" s="148"/>
      <c r="EE62" s="148"/>
      <c r="EF62" s="148"/>
      <c r="EG62" s="148"/>
      <c r="EH62" s="148"/>
      <c r="EI62" s="148"/>
      <c r="EJ62" s="148"/>
      <c r="EK62" s="148"/>
      <c r="EL62" s="148"/>
      <c r="EM62" s="148"/>
      <c r="EN62" s="148"/>
      <c r="EO62" s="148"/>
      <c r="EP62" s="148"/>
      <c r="EQ62" s="148"/>
      <c r="ER62" s="148"/>
      <c r="ES62" s="148"/>
      <c r="ET62" s="148"/>
      <c r="EU62" s="148"/>
      <c r="EV62" s="148"/>
      <c r="EW62" s="148"/>
      <c r="EX62" s="148"/>
      <c r="EY62" s="148"/>
      <c r="EZ62" s="148"/>
      <c r="FA62" s="148"/>
      <c r="FB62" s="148"/>
      <c r="FC62" s="148"/>
      <c r="FD62" s="148"/>
      <c r="FE62" s="148"/>
      <c r="FF62" s="148"/>
      <c r="FG62" s="148"/>
      <c r="FH62" s="148"/>
      <c r="FI62" s="148"/>
      <c r="FJ62" s="148"/>
      <c r="FK62" s="148"/>
      <c r="FL62" s="148"/>
      <c r="FM62" s="148"/>
      <c r="FN62" s="148"/>
      <c r="FO62" s="148"/>
      <c r="FP62" s="148"/>
      <c r="FQ62" s="148"/>
      <c r="FR62" s="148"/>
    </row>
    <row r="63" spans="1:174" s="15" customFormat="1" ht="13.5" customHeight="1" x14ac:dyDescent="0.2">
      <c r="A63" s="148"/>
      <c r="B63" s="312">
        <v>52</v>
      </c>
      <c r="C63" s="307" t="s">
        <v>38</v>
      </c>
      <c r="D63" s="450" t="s">
        <v>1533</v>
      </c>
      <c r="E63" s="569" t="s">
        <v>1534</v>
      </c>
      <c r="F63" s="533" t="s">
        <v>45</v>
      </c>
      <c r="G63" s="533" t="s">
        <v>1411</v>
      </c>
      <c r="H63" s="553" t="s">
        <v>1473</v>
      </c>
      <c r="I63" s="534" t="s">
        <v>42</v>
      </c>
      <c r="J63" s="535">
        <v>1391412</v>
      </c>
      <c r="K63" s="535">
        <v>1375192</v>
      </c>
      <c r="L63" s="535">
        <v>0</v>
      </c>
      <c r="M63" s="454"/>
      <c r="N63" s="454"/>
      <c r="O63" s="454">
        <v>13184</v>
      </c>
      <c r="P63" s="547"/>
      <c r="Q63" s="538"/>
      <c r="R63" s="538"/>
      <c r="S63" s="535">
        <f t="shared" si="0"/>
        <v>13184</v>
      </c>
      <c r="T63" s="539">
        <v>16220</v>
      </c>
      <c r="U63" s="540">
        <v>1</v>
      </c>
      <c r="V63" s="541">
        <v>44200</v>
      </c>
      <c r="W63" s="542">
        <v>44223</v>
      </c>
      <c r="X63" s="539"/>
      <c r="Y63" s="544"/>
      <c r="Z63" s="540"/>
      <c r="AA63" s="542"/>
      <c r="AB63" s="539"/>
      <c r="AC63" s="544"/>
      <c r="AD63" s="540"/>
      <c r="AE63" s="542"/>
      <c r="AF63" s="554"/>
      <c r="AG63" s="558"/>
      <c r="AH63" s="542"/>
      <c r="AI63" s="542"/>
      <c r="AJ63" s="542"/>
      <c r="AK63" s="542"/>
      <c r="AL63" s="542"/>
      <c r="AM63" s="542"/>
      <c r="AN63" s="542"/>
      <c r="AO63" s="542"/>
      <c r="AP63" s="542"/>
      <c r="AQ63" s="542"/>
      <c r="AR63" s="22">
        <f t="shared" si="1"/>
        <v>16220</v>
      </c>
      <c r="AS63" s="546">
        <f t="shared" si="2"/>
        <v>3036</v>
      </c>
      <c r="AT63" s="148"/>
      <c r="AU63" s="148"/>
      <c r="AV63" s="148"/>
      <c r="AW63" s="148"/>
      <c r="AX63" s="148"/>
      <c r="AY63" s="148"/>
      <c r="AZ63" s="148"/>
      <c r="BA63" s="148"/>
      <c r="BB63" s="148"/>
      <c r="BC63" s="148"/>
      <c r="BD63" s="148"/>
      <c r="BE63" s="148"/>
      <c r="BF63" s="148"/>
      <c r="BG63" s="148"/>
      <c r="BH63" s="148"/>
      <c r="BI63" s="148"/>
      <c r="BJ63" s="148"/>
      <c r="BK63" s="148"/>
      <c r="BL63" s="148"/>
      <c r="BM63" s="148"/>
      <c r="BN63" s="148"/>
      <c r="BO63" s="148"/>
      <c r="BP63" s="148"/>
      <c r="BQ63" s="148"/>
      <c r="BR63" s="148"/>
      <c r="BS63" s="148"/>
      <c r="BT63" s="148"/>
      <c r="BU63" s="148"/>
      <c r="BV63" s="148"/>
      <c r="BW63" s="148"/>
      <c r="BX63" s="148"/>
      <c r="BY63" s="148"/>
      <c r="BZ63" s="148"/>
      <c r="CA63" s="148"/>
      <c r="CB63" s="148"/>
      <c r="CC63" s="148"/>
      <c r="CD63" s="148"/>
      <c r="CE63" s="148"/>
      <c r="CF63" s="148"/>
      <c r="CG63" s="148"/>
      <c r="CH63" s="148"/>
      <c r="CI63" s="148"/>
      <c r="CJ63" s="148"/>
      <c r="CK63" s="148"/>
      <c r="CL63" s="148"/>
      <c r="CM63" s="148"/>
      <c r="CN63" s="148"/>
      <c r="CO63" s="148"/>
      <c r="CP63" s="148"/>
      <c r="CQ63" s="148"/>
      <c r="CR63" s="148"/>
      <c r="CS63" s="148"/>
      <c r="CT63" s="148"/>
      <c r="CU63" s="148"/>
      <c r="CV63" s="148"/>
      <c r="CW63" s="148"/>
      <c r="CX63" s="148"/>
      <c r="CY63" s="148"/>
      <c r="CZ63" s="148"/>
      <c r="DA63" s="148"/>
      <c r="DB63" s="148"/>
      <c r="DC63" s="148"/>
      <c r="DD63" s="148"/>
      <c r="DE63" s="148"/>
      <c r="DF63" s="148"/>
      <c r="DG63" s="148"/>
      <c r="DH63" s="148"/>
      <c r="DI63" s="148"/>
      <c r="DJ63" s="148"/>
      <c r="DK63" s="148"/>
      <c r="DL63" s="148"/>
      <c r="DM63" s="148"/>
      <c r="DN63" s="148"/>
      <c r="DO63" s="148"/>
      <c r="DP63" s="148"/>
      <c r="DQ63" s="148"/>
      <c r="DR63" s="148"/>
      <c r="DS63" s="148"/>
      <c r="DT63" s="148"/>
      <c r="DU63" s="148"/>
      <c r="DV63" s="148"/>
      <c r="DW63" s="148"/>
      <c r="DX63" s="148"/>
      <c r="DY63" s="148"/>
      <c r="DZ63" s="148"/>
      <c r="EA63" s="148"/>
      <c r="EB63" s="148"/>
      <c r="EC63" s="148"/>
      <c r="ED63" s="148"/>
      <c r="EE63" s="148"/>
      <c r="EF63" s="148"/>
      <c r="EG63" s="148"/>
      <c r="EH63" s="148"/>
      <c r="EI63" s="148"/>
      <c r="EJ63" s="148"/>
      <c r="EK63" s="148"/>
      <c r="EL63" s="148"/>
      <c r="EM63" s="148"/>
      <c r="EN63" s="148"/>
      <c r="EO63" s="148"/>
      <c r="EP63" s="148"/>
      <c r="EQ63" s="148"/>
      <c r="ER63" s="148"/>
      <c r="ES63" s="148"/>
      <c r="ET63" s="148"/>
      <c r="EU63" s="148"/>
      <c r="EV63" s="148"/>
      <c r="EW63" s="148"/>
      <c r="EX63" s="148"/>
      <c r="EY63" s="148"/>
      <c r="EZ63" s="148"/>
      <c r="FA63" s="148"/>
      <c r="FB63" s="148"/>
      <c r="FC63" s="148"/>
      <c r="FD63" s="148"/>
      <c r="FE63" s="148"/>
      <c r="FF63" s="148"/>
      <c r="FG63" s="148"/>
      <c r="FH63" s="148"/>
      <c r="FI63" s="148"/>
      <c r="FJ63" s="148"/>
      <c r="FK63" s="148"/>
      <c r="FL63" s="148"/>
      <c r="FM63" s="148"/>
      <c r="FN63" s="148"/>
      <c r="FO63" s="148"/>
      <c r="FP63" s="148"/>
      <c r="FQ63" s="148"/>
      <c r="FR63" s="148"/>
    </row>
    <row r="64" spans="1:174" s="15" customFormat="1" ht="13.5" customHeight="1" x14ac:dyDescent="0.2">
      <c r="A64" s="148"/>
      <c r="B64" s="307">
        <v>53</v>
      </c>
      <c r="C64" s="307" t="s">
        <v>38</v>
      </c>
      <c r="D64" s="450" t="s">
        <v>1535</v>
      </c>
      <c r="E64" s="569" t="s">
        <v>1536</v>
      </c>
      <c r="F64" s="533" t="s">
        <v>45</v>
      </c>
      <c r="G64" s="533" t="s">
        <v>1411</v>
      </c>
      <c r="H64" s="553" t="s">
        <v>1473</v>
      </c>
      <c r="I64" s="534" t="s">
        <v>42</v>
      </c>
      <c r="J64" s="535">
        <v>7319283</v>
      </c>
      <c r="K64" s="535">
        <v>6980759</v>
      </c>
      <c r="L64" s="535">
        <v>0</v>
      </c>
      <c r="M64" s="454">
        <f>23324+1220</f>
        <v>24544</v>
      </c>
      <c r="N64" s="454">
        <v>937</v>
      </c>
      <c r="O64" s="454">
        <v>51</v>
      </c>
      <c r="P64" s="548">
        <v>179.14</v>
      </c>
      <c r="Q64" s="538">
        <v>1631.913</v>
      </c>
      <c r="R64" s="538">
        <v>84.98</v>
      </c>
      <c r="S64" s="535">
        <f t="shared" si="0"/>
        <v>27428.032999999999</v>
      </c>
      <c r="T64" s="539">
        <v>227604</v>
      </c>
      <c r="U64" s="540">
        <v>1</v>
      </c>
      <c r="V64" s="541">
        <v>44200</v>
      </c>
      <c r="W64" s="542">
        <v>44223</v>
      </c>
      <c r="X64" s="539">
        <v>8731</v>
      </c>
      <c r="Y64" s="544">
        <v>25</v>
      </c>
      <c r="Z64" s="545">
        <v>44263</v>
      </c>
      <c r="AA64" s="542">
        <v>44292</v>
      </c>
      <c r="AB64" s="539">
        <v>131</v>
      </c>
      <c r="AC64" s="544">
        <v>55</v>
      </c>
      <c r="AD64" s="545">
        <v>44323</v>
      </c>
      <c r="AE64" s="542">
        <v>44350</v>
      </c>
      <c r="AF64" s="554"/>
      <c r="AG64" s="558"/>
      <c r="AH64" s="542"/>
      <c r="AI64" s="542"/>
      <c r="AJ64" s="542"/>
      <c r="AK64" s="542"/>
      <c r="AL64" s="542"/>
      <c r="AM64" s="542"/>
      <c r="AN64" s="542"/>
      <c r="AO64" s="542"/>
      <c r="AP64" s="542"/>
      <c r="AQ64" s="542"/>
      <c r="AR64" s="22">
        <f t="shared" si="1"/>
        <v>236466</v>
      </c>
      <c r="AS64" s="546">
        <f t="shared" si="2"/>
        <v>209037.967</v>
      </c>
      <c r="AT64" s="148"/>
      <c r="AU64" s="148"/>
      <c r="AV64" s="148"/>
      <c r="AW64" s="148"/>
      <c r="AX64" s="148"/>
      <c r="AY64" s="148"/>
      <c r="AZ64" s="148"/>
      <c r="BA64" s="148"/>
      <c r="BB64" s="148"/>
      <c r="BC64" s="148"/>
      <c r="BD64" s="148"/>
      <c r="BE64" s="148"/>
      <c r="BF64" s="148"/>
      <c r="BG64" s="148"/>
      <c r="BH64" s="148"/>
      <c r="BI64" s="148"/>
      <c r="BJ64" s="148"/>
      <c r="BK64" s="148"/>
      <c r="BL64" s="148"/>
      <c r="BM64" s="148"/>
      <c r="BN64" s="148"/>
      <c r="BO64" s="148"/>
      <c r="BP64" s="148"/>
      <c r="BQ64" s="148"/>
      <c r="BR64" s="148"/>
      <c r="BS64" s="148"/>
      <c r="BT64" s="148"/>
      <c r="BU64" s="148"/>
      <c r="BV64" s="148"/>
      <c r="BW64" s="148"/>
      <c r="BX64" s="148"/>
      <c r="BY64" s="148"/>
      <c r="BZ64" s="148"/>
      <c r="CA64" s="148"/>
      <c r="CB64" s="148"/>
      <c r="CC64" s="148"/>
      <c r="CD64" s="148"/>
      <c r="CE64" s="148"/>
      <c r="CF64" s="148"/>
      <c r="CG64" s="148"/>
      <c r="CH64" s="148"/>
      <c r="CI64" s="148"/>
      <c r="CJ64" s="148"/>
      <c r="CK64" s="148"/>
      <c r="CL64" s="148"/>
      <c r="CM64" s="148"/>
      <c r="CN64" s="148"/>
      <c r="CO64" s="148"/>
      <c r="CP64" s="148"/>
      <c r="CQ64" s="148"/>
      <c r="CR64" s="148"/>
      <c r="CS64" s="148"/>
      <c r="CT64" s="148"/>
      <c r="CU64" s="148"/>
      <c r="CV64" s="148"/>
      <c r="CW64" s="148"/>
      <c r="CX64" s="148"/>
      <c r="CY64" s="148"/>
      <c r="CZ64" s="148"/>
      <c r="DA64" s="148"/>
      <c r="DB64" s="148"/>
      <c r="DC64" s="148"/>
      <c r="DD64" s="148"/>
      <c r="DE64" s="148"/>
      <c r="DF64" s="148"/>
      <c r="DG64" s="148"/>
      <c r="DH64" s="148"/>
      <c r="DI64" s="148"/>
      <c r="DJ64" s="148"/>
      <c r="DK64" s="148"/>
      <c r="DL64" s="148"/>
      <c r="DM64" s="148"/>
      <c r="DN64" s="148"/>
      <c r="DO64" s="148"/>
      <c r="DP64" s="148"/>
      <c r="DQ64" s="148"/>
      <c r="DR64" s="148"/>
      <c r="DS64" s="148"/>
      <c r="DT64" s="148"/>
      <c r="DU64" s="148"/>
      <c r="DV64" s="148"/>
      <c r="DW64" s="148"/>
      <c r="DX64" s="148"/>
      <c r="DY64" s="148"/>
      <c r="DZ64" s="148"/>
      <c r="EA64" s="148"/>
      <c r="EB64" s="148"/>
      <c r="EC64" s="148"/>
      <c r="ED64" s="148"/>
      <c r="EE64" s="148"/>
      <c r="EF64" s="148"/>
      <c r="EG64" s="148"/>
      <c r="EH64" s="148"/>
      <c r="EI64" s="148"/>
      <c r="EJ64" s="148"/>
      <c r="EK64" s="148"/>
      <c r="EL64" s="148"/>
      <c r="EM64" s="148"/>
      <c r="EN64" s="148"/>
      <c r="EO64" s="148"/>
      <c r="EP64" s="148"/>
      <c r="EQ64" s="148"/>
      <c r="ER64" s="148"/>
      <c r="ES64" s="148"/>
      <c r="ET64" s="148"/>
      <c r="EU64" s="148"/>
      <c r="EV64" s="148"/>
      <c r="EW64" s="148"/>
      <c r="EX64" s="148"/>
      <c r="EY64" s="148"/>
      <c r="EZ64" s="148"/>
      <c r="FA64" s="148"/>
      <c r="FB64" s="148"/>
      <c r="FC64" s="148"/>
      <c r="FD64" s="148"/>
      <c r="FE64" s="148"/>
      <c r="FF64" s="148"/>
      <c r="FG64" s="148"/>
      <c r="FH64" s="148"/>
      <c r="FI64" s="148"/>
      <c r="FJ64" s="148"/>
      <c r="FK64" s="148"/>
      <c r="FL64" s="148"/>
      <c r="FM64" s="148"/>
      <c r="FN64" s="148"/>
      <c r="FO64" s="148"/>
      <c r="FP64" s="148"/>
      <c r="FQ64" s="148"/>
      <c r="FR64" s="148"/>
    </row>
    <row r="65" spans="1:174" s="15" customFormat="1" ht="13.5" customHeight="1" x14ac:dyDescent="0.2">
      <c r="A65" s="148"/>
      <c r="B65" s="312">
        <v>54</v>
      </c>
      <c r="C65" s="307" t="s">
        <v>38</v>
      </c>
      <c r="D65" s="450" t="s">
        <v>1537</v>
      </c>
      <c r="E65" s="569" t="s">
        <v>1538</v>
      </c>
      <c r="F65" s="533" t="s">
        <v>45</v>
      </c>
      <c r="G65" s="533" t="s">
        <v>1411</v>
      </c>
      <c r="H65" s="553" t="s">
        <v>1539</v>
      </c>
      <c r="I65" s="534" t="s">
        <v>43</v>
      </c>
      <c r="J65" s="535">
        <v>2096917</v>
      </c>
      <c r="K65" s="535">
        <v>0</v>
      </c>
      <c r="L65" s="535">
        <v>2008137</v>
      </c>
      <c r="M65" s="454"/>
      <c r="N65" s="454"/>
      <c r="O65" s="454">
        <v>19084</v>
      </c>
      <c r="P65" s="547"/>
      <c r="Q65" s="538"/>
      <c r="R65" s="538"/>
      <c r="S65" s="535">
        <f t="shared" si="0"/>
        <v>19084</v>
      </c>
      <c r="T65" s="539">
        <v>23000</v>
      </c>
      <c r="U65" s="540">
        <v>1</v>
      </c>
      <c r="V65" s="541">
        <v>44200</v>
      </c>
      <c r="W65" s="542">
        <v>44223</v>
      </c>
      <c r="X65" s="539">
        <v>28085</v>
      </c>
      <c r="Y65" s="544">
        <v>46</v>
      </c>
      <c r="Z65" s="545">
        <v>44295</v>
      </c>
      <c r="AA65" s="542">
        <v>44327</v>
      </c>
      <c r="AB65" s="539">
        <v>47454</v>
      </c>
      <c r="AC65" s="544">
        <v>55</v>
      </c>
      <c r="AD65" s="545">
        <v>44323</v>
      </c>
      <c r="AE65" s="542">
        <v>44350</v>
      </c>
      <c r="AF65" s="554"/>
      <c r="AG65" s="558"/>
      <c r="AH65" s="542"/>
      <c r="AI65" s="542"/>
      <c r="AJ65" s="542"/>
      <c r="AK65" s="542"/>
      <c r="AL65" s="542"/>
      <c r="AM65" s="542"/>
      <c r="AN65" s="542"/>
      <c r="AO65" s="542"/>
      <c r="AP65" s="542"/>
      <c r="AQ65" s="542"/>
      <c r="AR65" s="22">
        <f t="shared" si="1"/>
        <v>98539</v>
      </c>
      <c r="AS65" s="546">
        <f t="shared" si="2"/>
        <v>79455</v>
      </c>
      <c r="AT65" s="148"/>
      <c r="AU65" s="148"/>
      <c r="AV65" s="148"/>
      <c r="AW65" s="148"/>
      <c r="AX65" s="148"/>
      <c r="AY65" s="148"/>
      <c r="AZ65" s="148"/>
      <c r="BA65" s="148"/>
      <c r="BB65" s="148"/>
      <c r="BC65" s="148"/>
      <c r="BD65" s="148"/>
      <c r="BE65" s="148"/>
      <c r="BF65" s="148"/>
      <c r="BG65" s="148"/>
      <c r="BH65" s="148"/>
      <c r="BI65" s="148"/>
      <c r="BJ65" s="148"/>
      <c r="BK65" s="148"/>
      <c r="BL65" s="148"/>
      <c r="BM65" s="148"/>
      <c r="BN65" s="148"/>
      <c r="BO65" s="148"/>
      <c r="BP65" s="148"/>
      <c r="BQ65" s="148"/>
      <c r="BR65" s="148"/>
      <c r="BS65" s="148"/>
      <c r="BT65" s="148"/>
      <c r="BU65" s="148"/>
      <c r="BV65" s="148"/>
      <c r="BW65" s="148"/>
      <c r="BX65" s="148"/>
      <c r="BY65" s="148"/>
      <c r="BZ65" s="148"/>
      <c r="CA65" s="148"/>
      <c r="CB65" s="148"/>
      <c r="CC65" s="148"/>
      <c r="CD65" s="148"/>
      <c r="CE65" s="148"/>
      <c r="CF65" s="148"/>
      <c r="CG65" s="148"/>
      <c r="CH65" s="148"/>
      <c r="CI65" s="148"/>
      <c r="CJ65" s="148"/>
      <c r="CK65" s="148"/>
      <c r="CL65" s="148"/>
      <c r="CM65" s="148"/>
      <c r="CN65" s="148"/>
      <c r="CO65" s="148"/>
      <c r="CP65" s="148"/>
      <c r="CQ65" s="148"/>
      <c r="CR65" s="148"/>
      <c r="CS65" s="148"/>
      <c r="CT65" s="148"/>
      <c r="CU65" s="148"/>
      <c r="CV65" s="148"/>
      <c r="CW65" s="148"/>
      <c r="CX65" s="148"/>
      <c r="CY65" s="148"/>
      <c r="CZ65" s="148"/>
      <c r="DA65" s="148"/>
      <c r="DB65" s="148"/>
      <c r="DC65" s="148"/>
      <c r="DD65" s="148"/>
      <c r="DE65" s="148"/>
      <c r="DF65" s="148"/>
      <c r="DG65" s="148"/>
      <c r="DH65" s="148"/>
      <c r="DI65" s="148"/>
      <c r="DJ65" s="148"/>
      <c r="DK65" s="148"/>
      <c r="DL65" s="148"/>
      <c r="DM65" s="148"/>
      <c r="DN65" s="148"/>
      <c r="DO65" s="148"/>
      <c r="DP65" s="148"/>
      <c r="DQ65" s="148"/>
      <c r="DR65" s="148"/>
      <c r="DS65" s="148"/>
      <c r="DT65" s="148"/>
      <c r="DU65" s="148"/>
      <c r="DV65" s="148"/>
      <c r="DW65" s="148"/>
      <c r="DX65" s="148"/>
      <c r="DY65" s="148"/>
      <c r="DZ65" s="148"/>
      <c r="EA65" s="148"/>
      <c r="EB65" s="148"/>
      <c r="EC65" s="148"/>
      <c r="ED65" s="148"/>
      <c r="EE65" s="148"/>
      <c r="EF65" s="148"/>
      <c r="EG65" s="148"/>
      <c r="EH65" s="148"/>
      <c r="EI65" s="148"/>
      <c r="EJ65" s="148"/>
      <c r="EK65" s="148"/>
      <c r="EL65" s="148"/>
      <c r="EM65" s="148"/>
      <c r="EN65" s="148"/>
      <c r="EO65" s="148"/>
      <c r="EP65" s="148"/>
      <c r="EQ65" s="148"/>
      <c r="ER65" s="148"/>
      <c r="ES65" s="148"/>
      <c r="ET65" s="148"/>
      <c r="EU65" s="148"/>
      <c r="EV65" s="148"/>
      <c r="EW65" s="148"/>
      <c r="EX65" s="148"/>
      <c r="EY65" s="148"/>
      <c r="EZ65" s="148"/>
      <c r="FA65" s="148"/>
      <c r="FB65" s="148"/>
      <c r="FC65" s="148"/>
      <c r="FD65" s="148"/>
      <c r="FE65" s="148"/>
      <c r="FF65" s="148"/>
      <c r="FG65" s="148"/>
      <c r="FH65" s="148"/>
      <c r="FI65" s="148"/>
      <c r="FJ65" s="148"/>
      <c r="FK65" s="148"/>
      <c r="FL65" s="148"/>
      <c r="FM65" s="148"/>
      <c r="FN65" s="148"/>
      <c r="FO65" s="148"/>
      <c r="FP65" s="148"/>
      <c r="FQ65" s="148"/>
      <c r="FR65" s="148"/>
    </row>
    <row r="66" spans="1:174" s="15" customFormat="1" ht="13.5" customHeight="1" x14ac:dyDescent="0.2">
      <c r="A66" s="148"/>
      <c r="B66" s="307">
        <v>55</v>
      </c>
      <c r="C66" s="307" t="s">
        <v>38</v>
      </c>
      <c r="D66" s="450" t="s">
        <v>1540</v>
      </c>
      <c r="E66" s="569" t="s">
        <v>1541</v>
      </c>
      <c r="F66" s="533" t="s">
        <v>45</v>
      </c>
      <c r="G66" s="533" t="s">
        <v>1411</v>
      </c>
      <c r="H66" s="553" t="s">
        <v>1476</v>
      </c>
      <c r="I66" s="534" t="s">
        <v>42</v>
      </c>
      <c r="J66" s="535">
        <v>10376427</v>
      </c>
      <c r="K66" s="535">
        <v>124285</v>
      </c>
      <c r="L66" s="535">
        <v>2904998</v>
      </c>
      <c r="M66" s="454"/>
      <c r="N66" s="454">
        <v>4356</v>
      </c>
      <c r="O66" s="454">
        <f>4356+230940</f>
        <v>235296</v>
      </c>
      <c r="P66" s="548">
        <v>186917.962</v>
      </c>
      <c r="Q66" s="538">
        <v>85909</v>
      </c>
      <c r="R66" s="538">
        <v>4355.75</v>
      </c>
      <c r="S66" s="535">
        <f t="shared" si="0"/>
        <v>516834.712</v>
      </c>
      <c r="T66" s="539">
        <v>569280</v>
      </c>
      <c r="U66" s="540">
        <v>1</v>
      </c>
      <c r="V66" s="541">
        <v>44200</v>
      </c>
      <c r="W66" s="542">
        <v>44223</v>
      </c>
      <c r="X66" s="539">
        <v>10000</v>
      </c>
      <c r="Y66" s="544">
        <v>13</v>
      </c>
      <c r="Z66" s="545">
        <v>44221</v>
      </c>
      <c r="AA66" s="542">
        <v>44249</v>
      </c>
      <c r="AB66" s="539">
        <v>60516</v>
      </c>
      <c r="AC66" s="544">
        <v>25</v>
      </c>
      <c r="AD66" s="545">
        <v>44263</v>
      </c>
      <c r="AE66" s="542">
        <v>44292</v>
      </c>
      <c r="AF66" s="554">
        <v>200312</v>
      </c>
      <c r="AG66" s="558">
        <v>46</v>
      </c>
      <c r="AH66" s="542">
        <v>44295</v>
      </c>
      <c r="AI66" s="542">
        <v>44327</v>
      </c>
      <c r="AJ66" s="554">
        <v>306014</v>
      </c>
      <c r="AK66" s="558">
        <v>55</v>
      </c>
      <c r="AL66" s="542">
        <v>44323</v>
      </c>
      <c r="AM66" s="542">
        <v>44350</v>
      </c>
      <c r="AN66" s="558">
        <v>4355</v>
      </c>
      <c r="AO66" s="558">
        <v>70</v>
      </c>
      <c r="AP66" s="542">
        <v>44354</v>
      </c>
      <c r="AQ66" s="542">
        <v>44372</v>
      </c>
      <c r="AR66" s="22">
        <f t="shared" si="1"/>
        <v>1150477</v>
      </c>
      <c r="AS66" s="546">
        <f t="shared" si="2"/>
        <v>633642.28799999994</v>
      </c>
      <c r="AT66" s="148"/>
      <c r="AU66" s="148"/>
      <c r="AV66" s="148"/>
      <c r="AW66" s="148"/>
      <c r="AX66" s="148"/>
      <c r="AY66" s="148"/>
      <c r="AZ66" s="148"/>
      <c r="BA66" s="148"/>
      <c r="BB66" s="148"/>
      <c r="BC66" s="148"/>
      <c r="BD66" s="148"/>
      <c r="BE66" s="148"/>
      <c r="BF66" s="148"/>
      <c r="BG66" s="148"/>
      <c r="BH66" s="148"/>
      <c r="BI66" s="148"/>
      <c r="BJ66" s="148"/>
      <c r="BK66" s="148"/>
      <c r="BL66" s="148"/>
      <c r="BM66" s="148"/>
      <c r="BN66" s="148"/>
      <c r="BO66" s="148"/>
      <c r="BP66" s="148"/>
      <c r="BQ66" s="148"/>
      <c r="BR66" s="148"/>
      <c r="BS66" s="148"/>
      <c r="BT66" s="148"/>
      <c r="BU66" s="148"/>
      <c r="BV66" s="148"/>
      <c r="BW66" s="148"/>
      <c r="BX66" s="148"/>
      <c r="BY66" s="148"/>
      <c r="BZ66" s="148"/>
      <c r="CA66" s="148"/>
      <c r="CB66" s="148"/>
      <c r="CC66" s="148"/>
      <c r="CD66" s="148"/>
      <c r="CE66" s="148"/>
      <c r="CF66" s="148"/>
      <c r="CG66" s="148"/>
      <c r="CH66" s="148"/>
      <c r="CI66" s="148"/>
      <c r="CJ66" s="148"/>
      <c r="CK66" s="148"/>
      <c r="CL66" s="148"/>
      <c r="CM66" s="148"/>
      <c r="CN66" s="148"/>
      <c r="CO66" s="148"/>
      <c r="CP66" s="148"/>
      <c r="CQ66" s="148"/>
      <c r="CR66" s="148"/>
      <c r="CS66" s="148"/>
      <c r="CT66" s="148"/>
      <c r="CU66" s="148"/>
      <c r="CV66" s="148"/>
      <c r="CW66" s="148"/>
      <c r="CX66" s="148"/>
      <c r="CY66" s="148"/>
      <c r="CZ66" s="148"/>
      <c r="DA66" s="148"/>
      <c r="DB66" s="148"/>
      <c r="DC66" s="148"/>
      <c r="DD66" s="148"/>
      <c r="DE66" s="148"/>
      <c r="DF66" s="148"/>
      <c r="DG66" s="148"/>
      <c r="DH66" s="148"/>
      <c r="DI66" s="148"/>
      <c r="DJ66" s="148"/>
      <c r="DK66" s="148"/>
      <c r="DL66" s="148"/>
      <c r="DM66" s="148"/>
      <c r="DN66" s="148"/>
      <c r="DO66" s="148"/>
      <c r="DP66" s="148"/>
      <c r="DQ66" s="148"/>
      <c r="DR66" s="148"/>
      <c r="DS66" s="148"/>
      <c r="DT66" s="148"/>
      <c r="DU66" s="148"/>
      <c r="DV66" s="148"/>
      <c r="DW66" s="148"/>
      <c r="DX66" s="148"/>
      <c r="DY66" s="148"/>
      <c r="DZ66" s="148"/>
      <c r="EA66" s="148"/>
      <c r="EB66" s="148"/>
      <c r="EC66" s="148"/>
      <c r="ED66" s="148"/>
      <c r="EE66" s="148"/>
      <c r="EF66" s="148"/>
      <c r="EG66" s="148"/>
      <c r="EH66" s="148"/>
      <c r="EI66" s="148"/>
      <c r="EJ66" s="148"/>
      <c r="EK66" s="148"/>
      <c r="EL66" s="148"/>
      <c r="EM66" s="148"/>
      <c r="EN66" s="148"/>
      <c r="EO66" s="148"/>
      <c r="EP66" s="148"/>
      <c r="EQ66" s="148"/>
      <c r="ER66" s="148"/>
      <c r="ES66" s="148"/>
      <c r="ET66" s="148"/>
      <c r="EU66" s="148"/>
      <c r="EV66" s="148"/>
      <c r="EW66" s="148"/>
      <c r="EX66" s="148"/>
      <c r="EY66" s="148"/>
      <c r="EZ66" s="148"/>
      <c r="FA66" s="148"/>
      <c r="FB66" s="148"/>
      <c r="FC66" s="148"/>
      <c r="FD66" s="148"/>
      <c r="FE66" s="148"/>
      <c r="FF66" s="148"/>
      <c r="FG66" s="148"/>
      <c r="FH66" s="148"/>
      <c r="FI66" s="148"/>
      <c r="FJ66" s="148"/>
      <c r="FK66" s="148"/>
      <c r="FL66" s="148"/>
      <c r="FM66" s="148"/>
      <c r="FN66" s="148"/>
      <c r="FO66" s="148"/>
      <c r="FP66" s="148"/>
      <c r="FQ66" s="148"/>
      <c r="FR66" s="148"/>
    </row>
    <row r="67" spans="1:174" s="15" customFormat="1" ht="13.5" customHeight="1" x14ac:dyDescent="0.2">
      <c r="A67" s="148"/>
      <c r="B67" s="312">
        <v>56</v>
      </c>
      <c r="C67" s="307" t="s">
        <v>38</v>
      </c>
      <c r="D67" s="450" t="s">
        <v>1542</v>
      </c>
      <c r="E67" s="569" t="s">
        <v>1543</v>
      </c>
      <c r="F67" s="533" t="s">
        <v>45</v>
      </c>
      <c r="G67" s="533" t="s">
        <v>1411</v>
      </c>
      <c r="H67" s="553" t="s">
        <v>1476</v>
      </c>
      <c r="I67" s="534" t="s">
        <v>42</v>
      </c>
      <c r="J67" s="535">
        <v>1374637</v>
      </c>
      <c r="K67" s="535">
        <v>1292774</v>
      </c>
      <c r="L67" s="535">
        <v>0</v>
      </c>
      <c r="M67" s="454"/>
      <c r="N67" s="454">
        <v>659</v>
      </c>
      <c r="O67" s="454">
        <f>1474+892</f>
        <v>2366</v>
      </c>
      <c r="P67" s="547"/>
      <c r="Q67" s="538"/>
      <c r="R67" s="538">
        <v>51303.47</v>
      </c>
      <c r="S67" s="535">
        <f t="shared" si="0"/>
        <v>54328.47</v>
      </c>
      <c r="T67" s="539">
        <v>81863</v>
      </c>
      <c r="U67" s="540">
        <v>1</v>
      </c>
      <c r="V67" s="541">
        <v>44200</v>
      </c>
      <c r="W67" s="542">
        <v>44223</v>
      </c>
      <c r="X67" s="539"/>
      <c r="Y67" s="544"/>
      <c r="Z67" s="540"/>
      <c r="AA67" s="542"/>
      <c r="AB67" s="539"/>
      <c r="AC67" s="544"/>
      <c r="AD67" s="540"/>
      <c r="AE67" s="542"/>
      <c r="AF67" s="554"/>
      <c r="AG67" s="558"/>
      <c r="AH67" s="542"/>
      <c r="AI67" s="542"/>
      <c r="AJ67" s="554"/>
      <c r="AK67" s="542"/>
      <c r="AL67" s="542"/>
      <c r="AM67" s="542"/>
      <c r="AN67" s="542"/>
      <c r="AO67" s="542"/>
      <c r="AP67" s="542"/>
      <c r="AQ67" s="542"/>
      <c r="AR67" s="22">
        <f t="shared" si="1"/>
        <v>81863</v>
      </c>
      <c r="AS67" s="546">
        <f t="shared" si="2"/>
        <v>27534.53</v>
      </c>
      <c r="AT67" s="148"/>
      <c r="AU67" s="148"/>
      <c r="AV67" s="148"/>
      <c r="AW67" s="148"/>
      <c r="AX67" s="148"/>
      <c r="AY67" s="148"/>
      <c r="AZ67" s="148"/>
      <c r="BA67" s="148"/>
      <c r="BB67" s="148"/>
      <c r="BC67" s="148"/>
      <c r="BD67" s="148"/>
      <c r="BE67" s="148"/>
      <c r="BF67" s="148"/>
      <c r="BG67" s="148"/>
      <c r="BH67" s="148"/>
      <c r="BI67" s="148"/>
      <c r="BJ67" s="148"/>
      <c r="BK67" s="148"/>
      <c r="BL67" s="148"/>
      <c r="BM67" s="148"/>
      <c r="BN67" s="148"/>
      <c r="BO67" s="148"/>
      <c r="BP67" s="148"/>
      <c r="BQ67" s="148"/>
      <c r="BR67" s="148"/>
      <c r="BS67" s="148"/>
      <c r="BT67" s="148"/>
      <c r="BU67" s="148"/>
      <c r="BV67" s="148"/>
      <c r="BW67" s="148"/>
      <c r="BX67" s="148"/>
      <c r="BY67" s="148"/>
      <c r="BZ67" s="148"/>
      <c r="CA67" s="148"/>
      <c r="CB67" s="148"/>
      <c r="CC67" s="148"/>
      <c r="CD67" s="148"/>
      <c r="CE67" s="148"/>
      <c r="CF67" s="148"/>
      <c r="CG67" s="148"/>
      <c r="CH67" s="148"/>
      <c r="CI67" s="148"/>
      <c r="CJ67" s="148"/>
      <c r="CK67" s="148"/>
      <c r="CL67" s="148"/>
      <c r="CM67" s="148"/>
      <c r="CN67" s="148"/>
      <c r="CO67" s="148"/>
      <c r="CP67" s="148"/>
      <c r="CQ67" s="148"/>
      <c r="CR67" s="148"/>
      <c r="CS67" s="148"/>
      <c r="CT67" s="148"/>
      <c r="CU67" s="148"/>
      <c r="CV67" s="148"/>
      <c r="CW67" s="148"/>
      <c r="CX67" s="148"/>
      <c r="CY67" s="148"/>
      <c r="CZ67" s="148"/>
      <c r="DA67" s="148"/>
      <c r="DB67" s="148"/>
      <c r="DC67" s="148"/>
      <c r="DD67" s="148"/>
      <c r="DE67" s="148"/>
      <c r="DF67" s="148"/>
      <c r="DG67" s="148"/>
      <c r="DH67" s="148"/>
      <c r="DI67" s="148"/>
      <c r="DJ67" s="148"/>
      <c r="DK67" s="148"/>
      <c r="DL67" s="148"/>
      <c r="DM67" s="148"/>
      <c r="DN67" s="148"/>
      <c r="DO67" s="148"/>
      <c r="DP67" s="148"/>
      <c r="DQ67" s="148"/>
      <c r="DR67" s="148"/>
      <c r="DS67" s="148"/>
      <c r="DT67" s="148"/>
      <c r="DU67" s="148"/>
      <c r="DV67" s="148"/>
      <c r="DW67" s="148"/>
      <c r="DX67" s="148"/>
      <c r="DY67" s="148"/>
      <c r="DZ67" s="148"/>
      <c r="EA67" s="148"/>
      <c r="EB67" s="148"/>
      <c r="EC67" s="148"/>
      <c r="ED67" s="148"/>
      <c r="EE67" s="148"/>
      <c r="EF67" s="148"/>
      <c r="EG67" s="148"/>
      <c r="EH67" s="148"/>
      <c r="EI67" s="148"/>
      <c r="EJ67" s="148"/>
      <c r="EK67" s="148"/>
      <c r="EL67" s="148"/>
      <c r="EM67" s="148"/>
      <c r="EN67" s="148"/>
      <c r="EO67" s="148"/>
      <c r="EP67" s="148"/>
      <c r="EQ67" s="148"/>
      <c r="ER67" s="148"/>
      <c r="ES67" s="148"/>
      <c r="ET67" s="148"/>
      <c r="EU67" s="148"/>
      <c r="EV67" s="148"/>
      <c r="EW67" s="148"/>
      <c r="EX67" s="148"/>
      <c r="EY67" s="148"/>
      <c r="EZ67" s="148"/>
      <c r="FA67" s="148"/>
      <c r="FB67" s="148"/>
      <c r="FC67" s="148"/>
      <c r="FD67" s="148"/>
      <c r="FE67" s="148"/>
      <c r="FF67" s="148"/>
      <c r="FG67" s="148"/>
      <c r="FH67" s="148"/>
      <c r="FI67" s="148"/>
      <c r="FJ67" s="148"/>
      <c r="FK67" s="148"/>
      <c r="FL67" s="148"/>
      <c r="FM67" s="148"/>
      <c r="FN67" s="148"/>
      <c r="FO67" s="148"/>
      <c r="FP67" s="148"/>
      <c r="FQ67" s="148"/>
      <c r="FR67" s="148"/>
    </row>
    <row r="68" spans="1:174" s="15" customFormat="1" ht="13.5" customHeight="1" x14ac:dyDescent="0.2">
      <c r="A68" s="148"/>
      <c r="B68" s="307">
        <v>57</v>
      </c>
      <c r="C68" s="307" t="s">
        <v>38</v>
      </c>
      <c r="D68" s="450" t="s">
        <v>1544</v>
      </c>
      <c r="E68" s="569" t="s">
        <v>1545</v>
      </c>
      <c r="F68" s="533" t="s">
        <v>45</v>
      </c>
      <c r="G68" s="533" t="s">
        <v>1411</v>
      </c>
      <c r="H68" s="553" t="s">
        <v>1448</v>
      </c>
      <c r="I68" s="534" t="s">
        <v>42</v>
      </c>
      <c r="J68" s="535">
        <v>205922</v>
      </c>
      <c r="K68" s="535">
        <v>25607</v>
      </c>
      <c r="L68" s="535">
        <v>0</v>
      </c>
      <c r="M68" s="454">
        <f>2250+63178</f>
        <v>65428</v>
      </c>
      <c r="N68" s="454"/>
      <c r="O68" s="454">
        <v>2250</v>
      </c>
      <c r="P68" s="548">
        <v>40365.245999999999</v>
      </c>
      <c r="Q68" s="538"/>
      <c r="R68" s="538"/>
      <c r="S68" s="535">
        <f t="shared" si="0"/>
        <v>108043.246</v>
      </c>
      <c r="T68" s="539">
        <v>103375</v>
      </c>
      <c r="U68" s="540">
        <v>1</v>
      </c>
      <c r="V68" s="541">
        <v>44200</v>
      </c>
      <c r="W68" s="542">
        <v>44223</v>
      </c>
      <c r="X68" s="539">
        <v>26290</v>
      </c>
      <c r="Y68" s="544">
        <v>24</v>
      </c>
      <c r="Z68" s="545">
        <v>44263</v>
      </c>
      <c r="AA68" s="542">
        <v>44284</v>
      </c>
      <c r="AB68" s="539">
        <v>2639</v>
      </c>
      <c r="AC68" s="544">
        <v>25</v>
      </c>
      <c r="AD68" s="545">
        <v>44263</v>
      </c>
      <c r="AE68" s="542">
        <v>44292</v>
      </c>
      <c r="AF68" s="554"/>
      <c r="AG68" s="558"/>
      <c r="AH68" s="542"/>
      <c r="AI68" s="542"/>
      <c r="AJ68" s="554"/>
      <c r="AK68" s="542"/>
      <c r="AL68" s="542"/>
      <c r="AM68" s="542"/>
      <c r="AN68" s="542"/>
      <c r="AO68" s="542"/>
      <c r="AP68" s="542"/>
      <c r="AQ68" s="542"/>
      <c r="AR68" s="22">
        <f t="shared" si="1"/>
        <v>132304</v>
      </c>
      <c r="AS68" s="546">
        <f t="shared" si="2"/>
        <v>24260.754000000001</v>
      </c>
      <c r="AT68" s="148"/>
      <c r="AU68" s="148"/>
      <c r="AV68" s="148"/>
      <c r="AW68" s="148"/>
      <c r="AX68" s="148"/>
      <c r="AY68" s="148"/>
      <c r="AZ68" s="148"/>
      <c r="BA68" s="148"/>
      <c r="BB68" s="148"/>
      <c r="BC68" s="148"/>
      <c r="BD68" s="148"/>
      <c r="BE68" s="148"/>
      <c r="BF68" s="148"/>
      <c r="BG68" s="148"/>
      <c r="BH68" s="148"/>
      <c r="BI68" s="148"/>
      <c r="BJ68" s="148"/>
      <c r="BK68" s="148"/>
      <c r="BL68" s="148"/>
      <c r="BM68" s="148"/>
      <c r="BN68" s="148"/>
      <c r="BO68" s="148"/>
      <c r="BP68" s="148"/>
      <c r="BQ68" s="148"/>
      <c r="BR68" s="148"/>
      <c r="BS68" s="148"/>
      <c r="BT68" s="148"/>
      <c r="BU68" s="148"/>
      <c r="BV68" s="148"/>
      <c r="BW68" s="148"/>
      <c r="BX68" s="148"/>
      <c r="BY68" s="148"/>
      <c r="BZ68" s="148"/>
      <c r="CA68" s="148"/>
      <c r="CB68" s="148"/>
      <c r="CC68" s="148"/>
      <c r="CD68" s="148"/>
      <c r="CE68" s="148"/>
      <c r="CF68" s="148"/>
      <c r="CG68" s="148"/>
      <c r="CH68" s="148"/>
      <c r="CI68" s="148"/>
      <c r="CJ68" s="148"/>
      <c r="CK68" s="148"/>
      <c r="CL68" s="148"/>
      <c r="CM68" s="148"/>
      <c r="CN68" s="148"/>
      <c r="CO68" s="148"/>
      <c r="CP68" s="148"/>
      <c r="CQ68" s="148"/>
      <c r="CR68" s="148"/>
      <c r="CS68" s="148"/>
      <c r="CT68" s="148"/>
      <c r="CU68" s="148"/>
      <c r="CV68" s="148"/>
      <c r="CW68" s="148"/>
      <c r="CX68" s="148"/>
      <c r="CY68" s="148"/>
      <c r="CZ68" s="148"/>
      <c r="DA68" s="148"/>
      <c r="DB68" s="148"/>
      <c r="DC68" s="148"/>
      <c r="DD68" s="148"/>
      <c r="DE68" s="148"/>
      <c r="DF68" s="148"/>
      <c r="DG68" s="148"/>
      <c r="DH68" s="148"/>
      <c r="DI68" s="148"/>
      <c r="DJ68" s="148"/>
      <c r="DK68" s="148"/>
      <c r="DL68" s="148"/>
      <c r="DM68" s="148"/>
      <c r="DN68" s="148"/>
      <c r="DO68" s="148"/>
      <c r="DP68" s="148"/>
      <c r="DQ68" s="148"/>
      <c r="DR68" s="148"/>
      <c r="DS68" s="148"/>
      <c r="DT68" s="148"/>
      <c r="DU68" s="148"/>
      <c r="DV68" s="148"/>
      <c r="DW68" s="148"/>
      <c r="DX68" s="148"/>
      <c r="DY68" s="148"/>
      <c r="DZ68" s="148"/>
      <c r="EA68" s="148"/>
      <c r="EB68" s="148"/>
      <c r="EC68" s="148"/>
      <c r="ED68" s="148"/>
      <c r="EE68" s="148"/>
      <c r="EF68" s="148"/>
      <c r="EG68" s="148"/>
      <c r="EH68" s="148"/>
      <c r="EI68" s="148"/>
      <c r="EJ68" s="148"/>
      <c r="EK68" s="148"/>
      <c r="EL68" s="148"/>
      <c r="EM68" s="148"/>
      <c r="EN68" s="148"/>
      <c r="EO68" s="148"/>
      <c r="EP68" s="148"/>
      <c r="EQ68" s="148"/>
      <c r="ER68" s="148"/>
      <c r="ES68" s="148"/>
      <c r="ET68" s="148"/>
      <c r="EU68" s="148"/>
      <c r="EV68" s="148"/>
      <c r="EW68" s="148"/>
      <c r="EX68" s="148"/>
      <c r="EY68" s="148"/>
      <c r="EZ68" s="148"/>
      <c r="FA68" s="148"/>
      <c r="FB68" s="148"/>
      <c r="FC68" s="148"/>
      <c r="FD68" s="148"/>
      <c r="FE68" s="148"/>
      <c r="FF68" s="148"/>
      <c r="FG68" s="148"/>
      <c r="FH68" s="148"/>
      <c r="FI68" s="148"/>
      <c r="FJ68" s="148"/>
      <c r="FK68" s="148"/>
      <c r="FL68" s="148"/>
      <c r="FM68" s="148"/>
      <c r="FN68" s="148"/>
      <c r="FO68" s="148"/>
      <c r="FP68" s="148"/>
      <c r="FQ68" s="148"/>
      <c r="FR68" s="148"/>
    </row>
    <row r="69" spans="1:174" s="15" customFormat="1" ht="13.5" customHeight="1" x14ac:dyDescent="0.2">
      <c r="A69" s="148"/>
      <c r="B69" s="312">
        <v>58</v>
      </c>
      <c r="C69" s="307" t="s">
        <v>38</v>
      </c>
      <c r="D69" s="450" t="s">
        <v>1546</v>
      </c>
      <c r="E69" s="569" t="s">
        <v>1547</v>
      </c>
      <c r="F69" s="533" t="s">
        <v>46</v>
      </c>
      <c r="G69" s="533" t="s">
        <v>1411</v>
      </c>
      <c r="H69" s="553" t="s">
        <v>1457</v>
      </c>
      <c r="I69" s="534" t="s">
        <v>43</v>
      </c>
      <c r="J69" s="535">
        <v>11254189</v>
      </c>
      <c r="K69" s="535">
        <v>0</v>
      </c>
      <c r="L69" s="535">
        <v>11135152</v>
      </c>
      <c r="M69" s="454"/>
      <c r="N69" s="454"/>
      <c r="O69" s="454"/>
      <c r="P69" s="547"/>
      <c r="Q69" s="538"/>
      <c r="R69" s="538"/>
      <c r="S69" s="535">
        <f t="shared" si="0"/>
        <v>0</v>
      </c>
      <c r="T69" s="539">
        <v>1</v>
      </c>
      <c r="U69" s="540">
        <v>1</v>
      </c>
      <c r="V69" s="541">
        <v>44200</v>
      </c>
      <c r="W69" s="542">
        <v>44223</v>
      </c>
      <c r="X69" s="539"/>
      <c r="Y69" s="544"/>
      <c r="Z69" s="540"/>
      <c r="AA69" s="542"/>
      <c r="AB69" s="539"/>
      <c r="AC69" s="544"/>
      <c r="AD69" s="540"/>
      <c r="AE69" s="542"/>
      <c r="AF69" s="554"/>
      <c r="AG69" s="558"/>
      <c r="AH69" s="542"/>
      <c r="AI69" s="542"/>
      <c r="AJ69" s="554"/>
      <c r="AK69" s="542"/>
      <c r="AL69" s="542"/>
      <c r="AM69" s="542"/>
      <c r="AN69" s="542"/>
      <c r="AO69" s="542"/>
      <c r="AP69" s="542"/>
      <c r="AQ69" s="542"/>
      <c r="AR69" s="22">
        <f t="shared" si="1"/>
        <v>1</v>
      </c>
      <c r="AS69" s="546">
        <f t="shared" si="2"/>
        <v>1</v>
      </c>
      <c r="AT69" s="148"/>
      <c r="AU69" s="148"/>
      <c r="AV69" s="148"/>
      <c r="AW69" s="148"/>
      <c r="AX69" s="148"/>
      <c r="AY69" s="148"/>
      <c r="AZ69" s="148"/>
      <c r="BA69" s="148"/>
      <c r="BB69" s="148"/>
      <c r="BC69" s="148"/>
      <c r="BD69" s="148"/>
      <c r="BE69" s="148"/>
      <c r="BF69" s="148"/>
      <c r="BG69" s="148"/>
      <c r="BH69" s="148"/>
      <c r="BI69" s="148"/>
      <c r="BJ69" s="148"/>
      <c r="BK69" s="148"/>
      <c r="BL69" s="148"/>
      <c r="BM69" s="148"/>
      <c r="BN69" s="148"/>
      <c r="BO69" s="148"/>
      <c r="BP69" s="148"/>
      <c r="BQ69" s="148"/>
      <c r="BR69" s="148"/>
      <c r="BS69" s="148"/>
      <c r="BT69" s="148"/>
      <c r="BU69" s="148"/>
      <c r="BV69" s="148"/>
      <c r="BW69" s="148"/>
      <c r="BX69" s="148"/>
      <c r="BY69" s="148"/>
      <c r="BZ69" s="148"/>
      <c r="CA69" s="148"/>
      <c r="CB69" s="148"/>
      <c r="CC69" s="148"/>
      <c r="CD69" s="148"/>
      <c r="CE69" s="148"/>
      <c r="CF69" s="148"/>
      <c r="CG69" s="148"/>
      <c r="CH69" s="148"/>
      <c r="CI69" s="148"/>
      <c r="CJ69" s="148"/>
      <c r="CK69" s="148"/>
      <c r="CL69" s="148"/>
      <c r="CM69" s="148"/>
      <c r="CN69" s="148"/>
      <c r="CO69" s="148"/>
      <c r="CP69" s="148"/>
      <c r="CQ69" s="148"/>
      <c r="CR69" s="148"/>
      <c r="CS69" s="148"/>
      <c r="CT69" s="148"/>
      <c r="CU69" s="148"/>
      <c r="CV69" s="148"/>
      <c r="CW69" s="148"/>
      <c r="CX69" s="148"/>
      <c r="CY69" s="148"/>
      <c r="CZ69" s="148"/>
      <c r="DA69" s="148"/>
      <c r="DB69" s="148"/>
      <c r="DC69" s="148"/>
      <c r="DD69" s="148"/>
      <c r="DE69" s="148"/>
      <c r="DF69" s="148"/>
      <c r="DG69" s="148"/>
      <c r="DH69" s="148"/>
      <c r="DI69" s="148"/>
      <c r="DJ69" s="148"/>
      <c r="DK69" s="148"/>
      <c r="DL69" s="148"/>
      <c r="DM69" s="148"/>
      <c r="DN69" s="148"/>
      <c r="DO69" s="148"/>
      <c r="DP69" s="148"/>
      <c r="DQ69" s="148"/>
      <c r="DR69" s="148"/>
      <c r="DS69" s="148"/>
      <c r="DT69" s="148"/>
      <c r="DU69" s="148"/>
      <c r="DV69" s="148"/>
      <c r="DW69" s="148"/>
      <c r="DX69" s="148"/>
      <c r="DY69" s="148"/>
      <c r="DZ69" s="148"/>
      <c r="EA69" s="148"/>
      <c r="EB69" s="148"/>
      <c r="EC69" s="148"/>
      <c r="ED69" s="148"/>
      <c r="EE69" s="148"/>
      <c r="EF69" s="148"/>
      <c r="EG69" s="148"/>
      <c r="EH69" s="148"/>
      <c r="EI69" s="148"/>
      <c r="EJ69" s="148"/>
      <c r="EK69" s="148"/>
      <c r="EL69" s="148"/>
      <c r="EM69" s="148"/>
      <c r="EN69" s="148"/>
      <c r="EO69" s="148"/>
      <c r="EP69" s="148"/>
      <c r="EQ69" s="148"/>
      <c r="ER69" s="148"/>
      <c r="ES69" s="148"/>
      <c r="ET69" s="148"/>
      <c r="EU69" s="148"/>
      <c r="EV69" s="148"/>
      <c r="EW69" s="148"/>
      <c r="EX69" s="148"/>
      <c r="EY69" s="148"/>
      <c r="EZ69" s="148"/>
      <c r="FA69" s="148"/>
      <c r="FB69" s="148"/>
      <c r="FC69" s="148"/>
      <c r="FD69" s="148"/>
      <c r="FE69" s="148"/>
      <c r="FF69" s="148"/>
      <c r="FG69" s="148"/>
      <c r="FH69" s="148"/>
      <c r="FI69" s="148"/>
      <c r="FJ69" s="148"/>
      <c r="FK69" s="148"/>
      <c r="FL69" s="148"/>
      <c r="FM69" s="148"/>
      <c r="FN69" s="148"/>
      <c r="FO69" s="148"/>
      <c r="FP69" s="148"/>
      <c r="FQ69" s="148"/>
      <c r="FR69" s="148"/>
    </row>
    <row r="70" spans="1:174" s="15" customFormat="1" ht="13.5" customHeight="1" x14ac:dyDescent="0.2">
      <c r="A70" s="148"/>
      <c r="B70" s="307">
        <v>59</v>
      </c>
      <c r="C70" s="307" t="s">
        <v>38</v>
      </c>
      <c r="D70" s="450" t="s">
        <v>1548</v>
      </c>
      <c r="E70" s="569" t="s">
        <v>1549</v>
      </c>
      <c r="F70" s="533" t="s">
        <v>45</v>
      </c>
      <c r="G70" s="533" t="s">
        <v>1411</v>
      </c>
      <c r="H70" s="553" t="s">
        <v>1427</v>
      </c>
      <c r="I70" s="534" t="s">
        <v>43</v>
      </c>
      <c r="J70" s="535">
        <v>591240</v>
      </c>
      <c r="K70" s="535">
        <v>0</v>
      </c>
      <c r="L70" s="535">
        <v>24528</v>
      </c>
      <c r="M70" s="454"/>
      <c r="N70" s="454">
        <f>1612+96578</f>
        <v>98190</v>
      </c>
      <c r="O70" s="454"/>
      <c r="P70" s="548">
        <v>39598.879000000001</v>
      </c>
      <c r="Q70" s="538">
        <v>153532</v>
      </c>
      <c r="R70" s="538">
        <v>64420.498</v>
      </c>
      <c r="S70" s="535">
        <f t="shared" si="0"/>
        <v>355741.37700000004</v>
      </c>
      <c r="T70" s="539">
        <v>75151</v>
      </c>
      <c r="U70" s="540">
        <v>1</v>
      </c>
      <c r="V70" s="541">
        <v>44200</v>
      </c>
      <c r="W70" s="542">
        <v>44223</v>
      </c>
      <c r="X70" s="539">
        <v>103438</v>
      </c>
      <c r="Y70" s="544">
        <v>3</v>
      </c>
      <c r="Z70" s="545">
        <v>44202</v>
      </c>
      <c r="AA70" s="542">
        <v>44231</v>
      </c>
      <c r="AB70" s="539">
        <v>182477</v>
      </c>
      <c r="AC70" s="544">
        <v>46</v>
      </c>
      <c r="AD70" s="545">
        <v>44295</v>
      </c>
      <c r="AE70" s="542">
        <v>44327</v>
      </c>
      <c r="AF70" s="554">
        <v>113322</v>
      </c>
      <c r="AG70" s="558">
        <v>55</v>
      </c>
      <c r="AH70" s="545">
        <v>44323</v>
      </c>
      <c r="AI70" s="542">
        <v>44350</v>
      </c>
      <c r="AJ70" s="554"/>
      <c r="AK70" s="542"/>
      <c r="AL70" s="542"/>
      <c r="AM70" s="542"/>
      <c r="AN70" s="542"/>
      <c r="AO70" s="542"/>
      <c r="AP70" s="542"/>
      <c r="AQ70" s="542"/>
      <c r="AR70" s="22">
        <f t="shared" si="1"/>
        <v>474388</v>
      </c>
      <c r="AS70" s="546">
        <f t="shared" si="2"/>
        <v>118646.62299999996</v>
      </c>
      <c r="AT70" s="148"/>
      <c r="AU70" s="148"/>
      <c r="AV70" s="148"/>
      <c r="AW70" s="148"/>
      <c r="AX70" s="148"/>
      <c r="AY70" s="148"/>
      <c r="AZ70" s="148"/>
      <c r="BA70" s="148"/>
      <c r="BB70" s="148"/>
      <c r="BC70" s="148"/>
      <c r="BD70" s="148"/>
      <c r="BE70" s="148"/>
      <c r="BF70" s="148"/>
      <c r="BG70" s="148"/>
      <c r="BH70" s="148"/>
      <c r="BI70" s="148"/>
      <c r="BJ70" s="148"/>
      <c r="BK70" s="148"/>
      <c r="BL70" s="148"/>
      <c r="BM70" s="148"/>
      <c r="BN70" s="148"/>
      <c r="BO70" s="148"/>
      <c r="BP70" s="148"/>
      <c r="BQ70" s="148"/>
      <c r="BR70" s="148"/>
      <c r="BS70" s="148"/>
      <c r="BT70" s="148"/>
      <c r="BU70" s="148"/>
      <c r="BV70" s="148"/>
      <c r="BW70" s="148"/>
      <c r="BX70" s="148"/>
      <c r="BY70" s="148"/>
      <c r="BZ70" s="148"/>
      <c r="CA70" s="148"/>
      <c r="CB70" s="148"/>
      <c r="CC70" s="148"/>
      <c r="CD70" s="148"/>
      <c r="CE70" s="148"/>
      <c r="CF70" s="148"/>
      <c r="CG70" s="148"/>
      <c r="CH70" s="148"/>
      <c r="CI70" s="148"/>
      <c r="CJ70" s="148"/>
      <c r="CK70" s="148"/>
      <c r="CL70" s="148"/>
      <c r="CM70" s="148"/>
      <c r="CN70" s="148"/>
      <c r="CO70" s="148"/>
      <c r="CP70" s="148"/>
      <c r="CQ70" s="148"/>
      <c r="CR70" s="148"/>
      <c r="CS70" s="148"/>
      <c r="CT70" s="148"/>
      <c r="CU70" s="148"/>
      <c r="CV70" s="148"/>
      <c r="CW70" s="148"/>
      <c r="CX70" s="148"/>
      <c r="CY70" s="148"/>
      <c r="CZ70" s="148"/>
      <c r="DA70" s="148"/>
      <c r="DB70" s="148"/>
      <c r="DC70" s="148"/>
      <c r="DD70" s="148"/>
      <c r="DE70" s="148"/>
      <c r="DF70" s="148"/>
      <c r="DG70" s="148"/>
      <c r="DH70" s="148"/>
      <c r="DI70" s="148"/>
      <c r="DJ70" s="148"/>
      <c r="DK70" s="148"/>
      <c r="DL70" s="148"/>
      <c r="DM70" s="148"/>
      <c r="DN70" s="148"/>
      <c r="DO70" s="148"/>
      <c r="DP70" s="148"/>
      <c r="DQ70" s="148"/>
      <c r="DR70" s="148"/>
      <c r="DS70" s="148"/>
      <c r="DT70" s="148"/>
      <c r="DU70" s="148"/>
      <c r="DV70" s="148"/>
      <c r="DW70" s="148"/>
      <c r="DX70" s="148"/>
      <c r="DY70" s="148"/>
      <c r="DZ70" s="148"/>
      <c r="EA70" s="148"/>
      <c r="EB70" s="148"/>
      <c r="EC70" s="148"/>
      <c r="ED70" s="148"/>
      <c r="EE70" s="148"/>
      <c r="EF70" s="148"/>
      <c r="EG70" s="148"/>
      <c r="EH70" s="148"/>
      <c r="EI70" s="148"/>
      <c r="EJ70" s="148"/>
      <c r="EK70" s="148"/>
      <c r="EL70" s="148"/>
      <c r="EM70" s="148"/>
      <c r="EN70" s="148"/>
      <c r="EO70" s="148"/>
      <c r="EP70" s="148"/>
      <c r="EQ70" s="148"/>
      <c r="ER70" s="148"/>
      <c r="ES70" s="148"/>
      <c r="ET70" s="148"/>
      <c r="EU70" s="148"/>
      <c r="EV70" s="148"/>
      <c r="EW70" s="148"/>
      <c r="EX70" s="148"/>
      <c r="EY70" s="148"/>
      <c r="EZ70" s="148"/>
      <c r="FA70" s="148"/>
      <c r="FB70" s="148"/>
      <c r="FC70" s="148"/>
      <c r="FD70" s="148"/>
      <c r="FE70" s="148"/>
      <c r="FF70" s="148"/>
      <c r="FG70" s="148"/>
      <c r="FH70" s="148"/>
      <c r="FI70" s="148"/>
      <c r="FJ70" s="148"/>
      <c r="FK70" s="148"/>
      <c r="FL70" s="148"/>
      <c r="FM70" s="148"/>
      <c r="FN70" s="148"/>
      <c r="FO70" s="148"/>
      <c r="FP70" s="148"/>
      <c r="FQ70" s="148"/>
      <c r="FR70" s="148"/>
    </row>
    <row r="71" spans="1:174" s="15" customFormat="1" ht="13.5" customHeight="1" x14ac:dyDescent="0.2">
      <c r="A71" s="148"/>
      <c r="B71" s="312">
        <v>60</v>
      </c>
      <c r="C71" s="307" t="s">
        <v>38</v>
      </c>
      <c r="D71" s="450" t="s">
        <v>1550</v>
      </c>
      <c r="E71" s="569" t="s">
        <v>1551</v>
      </c>
      <c r="F71" s="533" t="s">
        <v>45</v>
      </c>
      <c r="G71" s="533" t="s">
        <v>1411</v>
      </c>
      <c r="H71" s="553" t="s">
        <v>1464</v>
      </c>
      <c r="I71" s="562" t="s">
        <v>42</v>
      </c>
      <c r="J71" s="535">
        <v>444083</v>
      </c>
      <c r="K71" s="535">
        <v>75118</v>
      </c>
      <c r="L71" s="535">
        <v>0</v>
      </c>
      <c r="M71" s="454">
        <v>170144</v>
      </c>
      <c r="N71" s="454"/>
      <c r="O71" s="454"/>
      <c r="P71" s="548">
        <v>107726.943</v>
      </c>
      <c r="Q71" s="538"/>
      <c r="R71" s="538"/>
      <c r="S71" s="535">
        <f t="shared" si="0"/>
        <v>277870.94299999997</v>
      </c>
      <c r="T71" s="539">
        <v>278166</v>
      </c>
      <c r="U71" s="540">
        <v>2</v>
      </c>
      <c r="V71" s="541">
        <v>44200</v>
      </c>
      <c r="W71" s="542">
        <v>44224</v>
      </c>
      <c r="X71" s="539"/>
      <c r="Y71" s="544"/>
      <c r="Z71" s="540"/>
      <c r="AA71" s="542"/>
      <c r="AB71" s="539"/>
      <c r="AC71" s="544"/>
      <c r="AD71" s="540"/>
      <c r="AE71" s="542"/>
      <c r="AF71" s="554"/>
      <c r="AG71" s="558"/>
      <c r="AH71" s="542"/>
      <c r="AI71" s="542"/>
      <c r="AJ71" s="554"/>
      <c r="AK71" s="542"/>
      <c r="AL71" s="542"/>
      <c r="AM71" s="542"/>
      <c r="AN71" s="542"/>
      <c r="AO71" s="542"/>
      <c r="AP71" s="542"/>
      <c r="AQ71" s="542"/>
      <c r="AR71" s="22">
        <f t="shared" si="1"/>
        <v>278166</v>
      </c>
      <c r="AS71" s="546">
        <f t="shared" si="2"/>
        <v>295.0570000000298</v>
      </c>
      <c r="AT71" s="148"/>
      <c r="AU71" s="148"/>
      <c r="AV71" s="148"/>
      <c r="AW71" s="148"/>
      <c r="AX71" s="148"/>
      <c r="AY71" s="148"/>
      <c r="AZ71" s="148"/>
      <c r="BA71" s="148"/>
      <c r="BB71" s="148"/>
      <c r="BC71" s="148"/>
      <c r="BD71" s="148"/>
      <c r="BE71" s="148"/>
      <c r="BF71" s="148"/>
      <c r="BG71" s="148"/>
      <c r="BH71" s="148"/>
      <c r="BI71" s="148"/>
      <c r="BJ71" s="148"/>
      <c r="BK71" s="148"/>
      <c r="BL71" s="148"/>
      <c r="BM71" s="148"/>
      <c r="BN71" s="148"/>
      <c r="BO71" s="148"/>
      <c r="BP71" s="148"/>
      <c r="BQ71" s="148"/>
      <c r="BR71" s="148"/>
      <c r="BS71" s="148"/>
      <c r="BT71" s="148"/>
      <c r="BU71" s="148"/>
      <c r="BV71" s="148"/>
      <c r="BW71" s="148"/>
      <c r="BX71" s="148"/>
      <c r="BY71" s="148"/>
      <c r="BZ71" s="148"/>
      <c r="CA71" s="148"/>
      <c r="CB71" s="148"/>
      <c r="CC71" s="148"/>
      <c r="CD71" s="148"/>
      <c r="CE71" s="148"/>
      <c r="CF71" s="148"/>
      <c r="CG71" s="148"/>
      <c r="CH71" s="148"/>
      <c r="CI71" s="148"/>
      <c r="CJ71" s="148"/>
      <c r="CK71" s="148"/>
      <c r="CL71" s="148"/>
      <c r="CM71" s="148"/>
      <c r="CN71" s="148"/>
      <c r="CO71" s="148"/>
      <c r="CP71" s="148"/>
      <c r="CQ71" s="148"/>
      <c r="CR71" s="148"/>
      <c r="CS71" s="148"/>
      <c r="CT71" s="148"/>
      <c r="CU71" s="148"/>
      <c r="CV71" s="148"/>
      <c r="CW71" s="148"/>
      <c r="CX71" s="148"/>
      <c r="CY71" s="148"/>
      <c r="CZ71" s="148"/>
      <c r="DA71" s="148"/>
      <c r="DB71" s="148"/>
      <c r="DC71" s="148"/>
      <c r="DD71" s="148"/>
      <c r="DE71" s="148"/>
      <c r="DF71" s="148"/>
      <c r="DG71" s="148"/>
      <c r="DH71" s="148"/>
      <c r="DI71" s="148"/>
      <c r="DJ71" s="148"/>
      <c r="DK71" s="148"/>
      <c r="DL71" s="148"/>
      <c r="DM71" s="148"/>
      <c r="DN71" s="148"/>
      <c r="DO71" s="148"/>
      <c r="DP71" s="148"/>
      <c r="DQ71" s="148"/>
      <c r="DR71" s="148"/>
      <c r="DS71" s="148"/>
      <c r="DT71" s="148"/>
      <c r="DU71" s="148"/>
      <c r="DV71" s="148"/>
      <c r="DW71" s="148"/>
      <c r="DX71" s="148"/>
      <c r="DY71" s="148"/>
      <c r="DZ71" s="148"/>
      <c r="EA71" s="148"/>
      <c r="EB71" s="148"/>
      <c r="EC71" s="148"/>
      <c r="ED71" s="148"/>
      <c r="EE71" s="148"/>
      <c r="EF71" s="148"/>
      <c r="EG71" s="148"/>
      <c r="EH71" s="148"/>
      <c r="EI71" s="148"/>
      <c r="EJ71" s="148"/>
      <c r="EK71" s="148"/>
      <c r="EL71" s="148"/>
      <c r="EM71" s="148"/>
      <c r="EN71" s="148"/>
      <c r="EO71" s="148"/>
      <c r="EP71" s="148"/>
      <c r="EQ71" s="148"/>
      <c r="ER71" s="148"/>
      <c r="ES71" s="148"/>
      <c r="ET71" s="148"/>
      <c r="EU71" s="148"/>
      <c r="EV71" s="148"/>
      <c r="EW71" s="148"/>
      <c r="EX71" s="148"/>
      <c r="EY71" s="148"/>
      <c r="EZ71" s="148"/>
      <c r="FA71" s="148"/>
      <c r="FB71" s="148"/>
      <c r="FC71" s="148"/>
      <c r="FD71" s="148"/>
      <c r="FE71" s="148"/>
      <c r="FF71" s="148"/>
      <c r="FG71" s="148"/>
      <c r="FH71" s="148"/>
      <c r="FI71" s="148"/>
      <c r="FJ71" s="148"/>
      <c r="FK71" s="148"/>
      <c r="FL71" s="148"/>
      <c r="FM71" s="148"/>
      <c r="FN71" s="148"/>
      <c r="FO71" s="148"/>
      <c r="FP71" s="148"/>
      <c r="FQ71" s="148"/>
      <c r="FR71" s="148"/>
    </row>
    <row r="72" spans="1:174" s="15" customFormat="1" ht="13.5" customHeight="1" x14ac:dyDescent="0.2">
      <c r="A72" s="148"/>
      <c r="B72" s="307">
        <v>61</v>
      </c>
      <c r="C72" s="307" t="s">
        <v>38</v>
      </c>
      <c r="D72" s="450" t="s">
        <v>1552</v>
      </c>
      <c r="E72" s="569" t="s">
        <v>1553</v>
      </c>
      <c r="F72" s="533" t="s">
        <v>45</v>
      </c>
      <c r="G72" s="533" t="s">
        <v>1411</v>
      </c>
      <c r="H72" s="553" t="s">
        <v>1503</v>
      </c>
      <c r="I72" s="562" t="s">
        <v>42</v>
      </c>
      <c r="J72" s="535">
        <v>5055141</v>
      </c>
      <c r="K72" s="535">
        <v>4981794</v>
      </c>
      <c r="L72" s="535">
        <v>0</v>
      </c>
      <c r="M72" s="454"/>
      <c r="N72" s="454"/>
      <c r="O72" s="454"/>
      <c r="P72" s="547"/>
      <c r="Q72" s="538"/>
      <c r="R72" s="538"/>
      <c r="S72" s="535">
        <f t="shared" si="0"/>
        <v>0</v>
      </c>
      <c r="T72" s="539">
        <v>71733</v>
      </c>
      <c r="U72" s="540">
        <v>2</v>
      </c>
      <c r="V72" s="541">
        <v>44200</v>
      </c>
      <c r="W72" s="542">
        <v>44224</v>
      </c>
      <c r="X72" s="539">
        <v>-71733</v>
      </c>
      <c r="Y72" s="544">
        <v>41</v>
      </c>
      <c r="Z72" s="545">
        <v>44294</v>
      </c>
      <c r="AA72" s="542">
        <v>44305</v>
      </c>
      <c r="AB72" s="539"/>
      <c r="AC72" s="544"/>
      <c r="AD72" s="540"/>
      <c r="AE72" s="542"/>
      <c r="AF72" s="554"/>
      <c r="AG72" s="542"/>
      <c r="AH72" s="542"/>
      <c r="AI72" s="542"/>
      <c r="AJ72" s="554"/>
      <c r="AK72" s="542"/>
      <c r="AL72" s="542"/>
      <c r="AM72" s="542"/>
      <c r="AN72" s="542"/>
      <c r="AO72" s="542"/>
      <c r="AP72" s="542"/>
      <c r="AQ72" s="542"/>
      <c r="AR72" s="22">
        <f t="shared" si="1"/>
        <v>0</v>
      </c>
      <c r="AS72" s="546">
        <f t="shared" si="2"/>
        <v>0</v>
      </c>
      <c r="AT72" s="148"/>
      <c r="AU72" s="148"/>
      <c r="AV72" s="148"/>
      <c r="AW72" s="148"/>
      <c r="AX72" s="148"/>
      <c r="AY72" s="148"/>
      <c r="AZ72" s="148"/>
      <c r="BA72" s="148"/>
      <c r="BB72" s="148"/>
      <c r="BC72" s="148"/>
      <c r="BD72" s="148"/>
      <c r="BE72" s="148"/>
      <c r="BF72" s="148"/>
      <c r="BG72" s="148"/>
      <c r="BH72" s="148"/>
      <c r="BI72" s="148"/>
      <c r="BJ72" s="148"/>
      <c r="BK72" s="148"/>
      <c r="BL72" s="148"/>
      <c r="BM72" s="148"/>
      <c r="BN72" s="148"/>
      <c r="BO72" s="148"/>
      <c r="BP72" s="148"/>
      <c r="BQ72" s="148"/>
      <c r="BR72" s="148"/>
      <c r="BS72" s="148"/>
      <c r="BT72" s="148"/>
      <c r="BU72" s="148"/>
      <c r="BV72" s="148"/>
      <c r="BW72" s="148"/>
      <c r="BX72" s="148"/>
      <c r="BY72" s="148"/>
      <c r="BZ72" s="148"/>
      <c r="CA72" s="148"/>
      <c r="CB72" s="148"/>
      <c r="CC72" s="148"/>
      <c r="CD72" s="148"/>
      <c r="CE72" s="148"/>
      <c r="CF72" s="148"/>
      <c r="CG72" s="148"/>
      <c r="CH72" s="148"/>
      <c r="CI72" s="148"/>
      <c r="CJ72" s="148"/>
      <c r="CK72" s="148"/>
      <c r="CL72" s="148"/>
      <c r="CM72" s="148"/>
      <c r="CN72" s="148"/>
      <c r="CO72" s="148"/>
      <c r="CP72" s="148"/>
      <c r="CQ72" s="148"/>
      <c r="CR72" s="148"/>
      <c r="CS72" s="148"/>
      <c r="CT72" s="148"/>
      <c r="CU72" s="148"/>
      <c r="CV72" s="148"/>
      <c r="CW72" s="148"/>
      <c r="CX72" s="148"/>
      <c r="CY72" s="148"/>
      <c r="CZ72" s="148"/>
      <c r="DA72" s="148"/>
      <c r="DB72" s="148"/>
      <c r="DC72" s="148"/>
      <c r="DD72" s="148"/>
      <c r="DE72" s="148"/>
      <c r="DF72" s="148"/>
      <c r="DG72" s="148"/>
      <c r="DH72" s="148"/>
      <c r="DI72" s="148"/>
      <c r="DJ72" s="148"/>
      <c r="DK72" s="148"/>
      <c r="DL72" s="148"/>
      <c r="DM72" s="148"/>
      <c r="DN72" s="148"/>
      <c r="DO72" s="148"/>
      <c r="DP72" s="148"/>
      <c r="DQ72" s="148"/>
      <c r="DR72" s="148"/>
      <c r="DS72" s="148"/>
      <c r="DT72" s="148"/>
      <c r="DU72" s="148"/>
      <c r="DV72" s="148"/>
      <c r="DW72" s="148"/>
      <c r="DX72" s="148"/>
      <c r="DY72" s="148"/>
      <c r="DZ72" s="148"/>
      <c r="EA72" s="148"/>
      <c r="EB72" s="148"/>
      <c r="EC72" s="148"/>
      <c r="ED72" s="148"/>
      <c r="EE72" s="148"/>
      <c r="EF72" s="148"/>
      <c r="EG72" s="148"/>
      <c r="EH72" s="148"/>
      <c r="EI72" s="148"/>
      <c r="EJ72" s="148"/>
      <c r="EK72" s="148"/>
      <c r="EL72" s="148"/>
      <c r="EM72" s="148"/>
      <c r="EN72" s="148"/>
      <c r="EO72" s="148"/>
      <c r="EP72" s="148"/>
      <c r="EQ72" s="148"/>
      <c r="ER72" s="148"/>
      <c r="ES72" s="148"/>
      <c r="ET72" s="148"/>
      <c r="EU72" s="148"/>
      <c r="EV72" s="148"/>
      <c r="EW72" s="148"/>
      <c r="EX72" s="148"/>
      <c r="EY72" s="148"/>
      <c r="EZ72" s="148"/>
      <c r="FA72" s="148"/>
      <c r="FB72" s="148"/>
      <c r="FC72" s="148"/>
      <c r="FD72" s="148"/>
      <c r="FE72" s="148"/>
      <c r="FF72" s="148"/>
      <c r="FG72" s="148"/>
      <c r="FH72" s="148"/>
      <c r="FI72" s="148"/>
      <c r="FJ72" s="148"/>
      <c r="FK72" s="148"/>
      <c r="FL72" s="148"/>
      <c r="FM72" s="148"/>
      <c r="FN72" s="148"/>
      <c r="FO72" s="148"/>
      <c r="FP72" s="148"/>
      <c r="FQ72" s="148"/>
      <c r="FR72" s="148"/>
    </row>
    <row r="73" spans="1:174" s="15" customFormat="1" ht="13.5" customHeight="1" x14ac:dyDescent="0.2">
      <c r="A73" s="148"/>
      <c r="B73" s="312">
        <v>62</v>
      </c>
      <c r="C73" s="307" t="s">
        <v>38</v>
      </c>
      <c r="D73" s="450" t="s">
        <v>1554</v>
      </c>
      <c r="E73" s="569" t="s">
        <v>1555</v>
      </c>
      <c r="F73" s="533" t="s">
        <v>45</v>
      </c>
      <c r="G73" s="533" t="s">
        <v>1411</v>
      </c>
      <c r="H73" s="553" t="s">
        <v>1503</v>
      </c>
      <c r="I73" s="562" t="s">
        <v>43</v>
      </c>
      <c r="J73" s="535">
        <v>111420</v>
      </c>
      <c r="K73" s="535">
        <v>48592</v>
      </c>
      <c r="L73" s="535">
        <v>0</v>
      </c>
      <c r="M73" s="454"/>
      <c r="N73" s="454"/>
      <c r="O73" s="454"/>
      <c r="P73" s="547"/>
      <c r="Q73" s="538"/>
      <c r="R73" s="538"/>
      <c r="S73" s="535">
        <f t="shared" si="0"/>
        <v>0</v>
      </c>
      <c r="T73" s="539">
        <v>13924</v>
      </c>
      <c r="U73" s="540">
        <v>2</v>
      </c>
      <c r="V73" s="541">
        <v>44200</v>
      </c>
      <c r="W73" s="542">
        <v>44224</v>
      </c>
      <c r="X73" s="539"/>
      <c r="Y73" s="544"/>
      <c r="Z73" s="540"/>
      <c r="AA73" s="542"/>
      <c r="AB73" s="539"/>
      <c r="AC73" s="544"/>
      <c r="AD73" s="540"/>
      <c r="AE73" s="542"/>
      <c r="AF73" s="554"/>
      <c r="AG73" s="542"/>
      <c r="AH73" s="542"/>
      <c r="AI73" s="542"/>
      <c r="AJ73" s="554"/>
      <c r="AK73" s="542"/>
      <c r="AL73" s="542"/>
      <c r="AM73" s="542"/>
      <c r="AN73" s="542"/>
      <c r="AO73" s="542"/>
      <c r="AP73" s="542"/>
      <c r="AQ73" s="542"/>
      <c r="AR73" s="22">
        <f t="shared" si="1"/>
        <v>13924</v>
      </c>
      <c r="AS73" s="546">
        <f t="shared" si="2"/>
        <v>13924</v>
      </c>
      <c r="AT73" s="148"/>
      <c r="AU73" s="148"/>
      <c r="AV73" s="148"/>
      <c r="AW73" s="148"/>
      <c r="AX73" s="148"/>
      <c r="AY73" s="148"/>
      <c r="AZ73" s="148"/>
      <c r="BA73" s="148"/>
      <c r="BB73" s="148"/>
      <c r="BC73" s="148"/>
      <c r="BD73" s="148"/>
      <c r="BE73" s="148"/>
      <c r="BF73" s="148"/>
      <c r="BG73" s="148"/>
      <c r="BH73" s="148"/>
      <c r="BI73" s="148"/>
      <c r="BJ73" s="148"/>
      <c r="BK73" s="148"/>
      <c r="BL73" s="148"/>
      <c r="BM73" s="148"/>
      <c r="BN73" s="148"/>
      <c r="BO73" s="148"/>
      <c r="BP73" s="148"/>
      <c r="BQ73" s="148"/>
      <c r="BR73" s="148"/>
      <c r="BS73" s="148"/>
      <c r="BT73" s="148"/>
      <c r="BU73" s="148"/>
      <c r="BV73" s="148"/>
      <c r="BW73" s="148"/>
      <c r="BX73" s="148"/>
      <c r="BY73" s="148"/>
      <c r="BZ73" s="148"/>
      <c r="CA73" s="148"/>
      <c r="CB73" s="148"/>
      <c r="CC73" s="148"/>
      <c r="CD73" s="148"/>
      <c r="CE73" s="148"/>
      <c r="CF73" s="148"/>
      <c r="CG73" s="148"/>
      <c r="CH73" s="148"/>
      <c r="CI73" s="148"/>
      <c r="CJ73" s="148"/>
      <c r="CK73" s="148"/>
      <c r="CL73" s="148"/>
      <c r="CM73" s="148"/>
      <c r="CN73" s="148"/>
      <c r="CO73" s="148"/>
      <c r="CP73" s="148"/>
      <c r="CQ73" s="148"/>
      <c r="CR73" s="148"/>
      <c r="CS73" s="148"/>
      <c r="CT73" s="148"/>
      <c r="CU73" s="148"/>
      <c r="CV73" s="148"/>
      <c r="CW73" s="148"/>
      <c r="CX73" s="148"/>
      <c r="CY73" s="148"/>
      <c r="CZ73" s="148"/>
      <c r="DA73" s="148"/>
      <c r="DB73" s="148"/>
      <c r="DC73" s="148"/>
      <c r="DD73" s="148"/>
      <c r="DE73" s="148"/>
      <c r="DF73" s="148"/>
      <c r="DG73" s="148"/>
      <c r="DH73" s="148"/>
      <c r="DI73" s="148"/>
      <c r="DJ73" s="148"/>
      <c r="DK73" s="148"/>
      <c r="DL73" s="148"/>
      <c r="DM73" s="148"/>
      <c r="DN73" s="148"/>
      <c r="DO73" s="148"/>
      <c r="DP73" s="148"/>
      <c r="DQ73" s="148"/>
      <c r="DR73" s="148"/>
      <c r="DS73" s="148"/>
      <c r="DT73" s="148"/>
      <c r="DU73" s="148"/>
      <c r="DV73" s="148"/>
      <c r="DW73" s="148"/>
      <c r="DX73" s="148"/>
      <c r="DY73" s="148"/>
      <c r="DZ73" s="148"/>
      <c r="EA73" s="148"/>
      <c r="EB73" s="148"/>
      <c r="EC73" s="148"/>
      <c r="ED73" s="148"/>
      <c r="EE73" s="148"/>
      <c r="EF73" s="148"/>
      <c r="EG73" s="148"/>
      <c r="EH73" s="148"/>
      <c r="EI73" s="148"/>
      <c r="EJ73" s="148"/>
      <c r="EK73" s="148"/>
      <c r="EL73" s="148"/>
      <c r="EM73" s="148"/>
      <c r="EN73" s="148"/>
      <c r="EO73" s="148"/>
      <c r="EP73" s="148"/>
      <c r="EQ73" s="148"/>
      <c r="ER73" s="148"/>
      <c r="ES73" s="148"/>
      <c r="ET73" s="148"/>
      <c r="EU73" s="148"/>
      <c r="EV73" s="148"/>
      <c r="EW73" s="148"/>
      <c r="EX73" s="148"/>
      <c r="EY73" s="148"/>
      <c r="EZ73" s="148"/>
      <c r="FA73" s="148"/>
      <c r="FB73" s="148"/>
      <c r="FC73" s="148"/>
      <c r="FD73" s="148"/>
      <c r="FE73" s="148"/>
      <c r="FF73" s="148"/>
      <c r="FG73" s="148"/>
      <c r="FH73" s="148"/>
      <c r="FI73" s="148"/>
      <c r="FJ73" s="148"/>
      <c r="FK73" s="148"/>
      <c r="FL73" s="148"/>
      <c r="FM73" s="148"/>
      <c r="FN73" s="148"/>
      <c r="FO73" s="148"/>
      <c r="FP73" s="148"/>
      <c r="FQ73" s="148"/>
      <c r="FR73" s="148"/>
    </row>
    <row r="74" spans="1:174" s="15" customFormat="1" ht="13.5" customHeight="1" x14ac:dyDescent="0.2">
      <c r="A74" s="148"/>
      <c r="B74" s="307">
        <v>63</v>
      </c>
      <c r="C74" s="307" t="s">
        <v>38</v>
      </c>
      <c r="D74" s="450" t="s">
        <v>1556</v>
      </c>
      <c r="E74" s="569" t="s">
        <v>1557</v>
      </c>
      <c r="F74" s="533" t="s">
        <v>45</v>
      </c>
      <c r="G74" s="533" t="s">
        <v>1411</v>
      </c>
      <c r="H74" s="553" t="s">
        <v>1457</v>
      </c>
      <c r="I74" s="562" t="s">
        <v>43</v>
      </c>
      <c r="J74" s="535">
        <v>2747319</v>
      </c>
      <c r="K74" s="535">
        <v>1031</v>
      </c>
      <c r="L74" s="535">
        <v>1170882</v>
      </c>
      <c r="M74" s="454"/>
      <c r="N74" s="454"/>
      <c r="O74" s="454"/>
      <c r="P74" s="547"/>
      <c r="Q74" s="538"/>
      <c r="R74" s="538"/>
      <c r="S74" s="535">
        <f t="shared" si="0"/>
        <v>0</v>
      </c>
      <c r="T74" s="539">
        <v>167490</v>
      </c>
      <c r="U74" s="540">
        <v>2</v>
      </c>
      <c r="V74" s="541">
        <v>44200</v>
      </c>
      <c r="W74" s="542">
        <v>44224</v>
      </c>
      <c r="X74" s="539">
        <v>1406869</v>
      </c>
      <c r="Y74" s="544">
        <v>8</v>
      </c>
      <c r="Z74" s="545">
        <v>44214</v>
      </c>
      <c r="AA74" s="542">
        <v>44246</v>
      </c>
      <c r="AB74" s="539"/>
      <c r="AC74" s="544"/>
      <c r="AD74" s="545"/>
      <c r="AE74" s="542"/>
      <c r="AF74" s="554"/>
      <c r="AG74" s="542"/>
      <c r="AH74" s="542"/>
      <c r="AI74" s="542"/>
      <c r="AJ74" s="554"/>
      <c r="AK74" s="542"/>
      <c r="AL74" s="542"/>
      <c r="AM74" s="542"/>
      <c r="AN74" s="542"/>
      <c r="AO74" s="542"/>
      <c r="AP74" s="542"/>
      <c r="AQ74" s="542"/>
      <c r="AR74" s="22">
        <f t="shared" si="1"/>
        <v>1574359</v>
      </c>
      <c r="AS74" s="546">
        <f>+AR74-S74</f>
        <v>1574359</v>
      </c>
      <c r="AT74" s="148"/>
      <c r="AU74" s="148"/>
      <c r="AV74" s="148"/>
      <c r="AW74" s="148"/>
      <c r="AX74" s="148"/>
      <c r="AY74" s="148"/>
      <c r="AZ74" s="148"/>
      <c r="BA74" s="148"/>
      <c r="BB74" s="148"/>
      <c r="BC74" s="148"/>
      <c r="BD74" s="148"/>
      <c r="BE74" s="148"/>
      <c r="BF74" s="148"/>
      <c r="BG74" s="148"/>
      <c r="BH74" s="148"/>
      <c r="BI74" s="148"/>
      <c r="BJ74" s="148"/>
      <c r="BK74" s="148"/>
      <c r="BL74" s="148"/>
      <c r="BM74" s="148"/>
      <c r="BN74" s="148"/>
      <c r="BO74" s="148"/>
      <c r="BP74" s="148"/>
      <c r="BQ74" s="148"/>
      <c r="BR74" s="148"/>
      <c r="BS74" s="148"/>
      <c r="BT74" s="148"/>
      <c r="BU74" s="148"/>
      <c r="BV74" s="148"/>
      <c r="BW74" s="148"/>
      <c r="BX74" s="148"/>
      <c r="BY74" s="148"/>
      <c r="BZ74" s="148"/>
      <c r="CA74" s="148"/>
      <c r="CB74" s="148"/>
      <c r="CC74" s="148"/>
      <c r="CD74" s="148"/>
      <c r="CE74" s="148"/>
      <c r="CF74" s="148"/>
      <c r="CG74" s="148"/>
      <c r="CH74" s="148"/>
      <c r="CI74" s="148"/>
      <c r="CJ74" s="148"/>
      <c r="CK74" s="148"/>
      <c r="CL74" s="148"/>
      <c r="CM74" s="148"/>
      <c r="CN74" s="148"/>
      <c r="CO74" s="148"/>
      <c r="CP74" s="148"/>
      <c r="CQ74" s="148"/>
      <c r="CR74" s="148"/>
      <c r="CS74" s="148"/>
      <c r="CT74" s="148"/>
      <c r="CU74" s="148"/>
      <c r="CV74" s="148"/>
      <c r="CW74" s="148"/>
      <c r="CX74" s="148"/>
      <c r="CY74" s="148"/>
      <c r="CZ74" s="148"/>
      <c r="DA74" s="148"/>
      <c r="DB74" s="148"/>
      <c r="DC74" s="148"/>
      <c r="DD74" s="148"/>
      <c r="DE74" s="148"/>
      <c r="DF74" s="148"/>
      <c r="DG74" s="148"/>
      <c r="DH74" s="148"/>
      <c r="DI74" s="148"/>
      <c r="DJ74" s="148"/>
      <c r="DK74" s="148"/>
      <c r="DL74" s="148"/>
      <c r="DM74" s="148"/>
      <c r="DN74" s="148"/>
      <c r="DO74" s="148"/>
      <c r="DP74" s="148"/>
      <c r="DQ74" s="148"/>
      <c r="DR74" s="148"/>
      <c r="DS74" s="148"/>
      <c r="DT74" s="148"/>
      <c r="DU74" s="148"/>
      <c r="DV74" s="148"/>
      <c r="DW74" s="148"/>
      <c r="DX74" s="148"/>
      <c r="DY74" s="148"/>
      <c r="DZ74" s="148"/>
      <c r="EA74" s="148"/>
      <c r="EB74" s="148"/>
      <c r="EC74" s="148"/>
      <c r="ED74" s="148"/>
      <c r="EE74" s="148"/>
      <c r="EF74" s="148"/>
      <c r="EG74" s="148"/>
      <c r="EH74" s="148"/>
      <c r="EI74" s="148"/>
      <c r="EJ74" s="148"/>
      <c r="EK74" s="148"/>
      <c r="EL74" s="148"/>
      <c r="EM74" s="148"/>
      <c r="EN74" s="148"/>
      <c r="EO74" s="148"/>
      <c r="EP74" s="148"/>
      <c r="EQ74" s="148"/>
      <c r="ER74" s="148"/>
      <c r="ES74" s="148"/>
      <c r="ET74" s="148"/>
      <c r="EU74" s="148"/>
      <c r="EV74" s="148"/>
      <c r="EW74" s="148"/>
      <c r="EX74" s="148"/>
      <c r="EY74" s="148"/>
      <c r="EZ74" s="148"/>
      <c r="FA74" s="148"/>
      <c r="FB74" s="148"/>
      <c r="FC74" s="148"/>
      <c r="FD74" s="148"/>
      <c r="FE74" s="148"/>
      <c r="FF74" s="148"/>
      <c r="FG74" s="148"/>
      <c r="FH74" s="148"/>
      <c r="FI74" s="148"/>
      <c r="FJ74" s="148"/>
      <c r="FK74" s="148"/>
      <c r="FL74" s="148"/>
      <c r="FM74" s="148"/>
      <c r="FN74" s="148"/>
      <c r="FO74" s="148"/>
      <c r="FP74" s="148"/>
      <c r="FQ74" s="148"/>
      <c r="FR74" s="148"/>
    </row>
    <row r="75" spans="1:174" s="15" customFormat="1" ht="13.5" customHeight="1" x14ac:dyDescent="0.2">
      <c r="A75" s="148"/>
      <c r="B75" s="312">
        <v>64</v>
      </c>
      <c r="C75" s="307" t="s">
        <v>38</v>
      </c>
      <c r="D75" s="450" t="s">
        <v>1558</v>
      </c>
      <c r="E75" s="569" t="s">
        <v>1559</v>
      </c>
      <c r="F75" s="533" t="s">
        <v>45</v>
      </c>
      <c r="G75" s="533" t="s">
        <v>1411</v>
      </c>
      <c r="H75" s="553" t="s">
        <v>1448</v>
      </c>
      <c r="I75" s="562" t="s">
        <v>42</v>
      </c>
      <c r="J75" s="535">
        <v>830014</v>
      </c>
      <c r="K75" s="535">
        <v>624725</v>
      </c>
      <c r="L75" s="535">
        <v>0</v>
      </c>
      <c r="M75" s="454">
        <v>205288</v>
      </c>
      <c r="N75" s="454"/>
      <c r="O75" s="454"/>
      <c r="P75" s="547"/>
      <c r="Q75" s="538"/>
      <c r="R75" s="538"/>
      <c r="S75" s="535">
        <f t="shared" si="0"/>
        <v>205288</v>
      </c>
      <c r="T75" s="539">
        <v>205289</v>
      </c>
      <c r="U75" s="540">
        <v>2</v>
      </c>
      <c r="V75" s="541">
        <v>44200</v>
      </c>
      <c r="W75" s="542">
        <v>44224</v>
      </c>
      <c r="X75" s="539"/>
      <c r="Y75" s="544"/>
      <c r="Z75" s="540"/>
      <c r="AA75" s="542"/>
      <c r="AB75" s="539"/>
      <c r="AC75" s="544"/>
      <c r="AD75" s="540"/>
      <c r="AE75" s="542"/>
      <c r="AF75" s="554"/>
      <c r="AG75" s="542"/>
      <c r="AH75" s="542"/>
      <c r="AI75" s="542"/>
      <c r="AJ75" s="554"/>
      <c r="AK75" s="542"/>
      <c r="AL75" s="542"/>
      <c r="AM75" s="542"/>
      <c r="AN75" s="542"/>
      <c r="AO75" s="542"/>
      <c r="AP75" s="542"/>
      <c r="AQ75" s="542"/>
      <c r="AR75" s="22">
        <f t="shared" si="1"/>
        <v>205289</v>
      </c>
      <c r="AS75" s="546">
        <f t="shared" si="2"/>
        <v>1</v>
      </c>
      <c r="AT75" s="148"/>
      <c r="AU75" s="148"/>
      <c r="AV75" s="148"/>
      <c r="AW75" s="148"/>
      <c r="AX75" s="148"/>
      <c r="AY75" s="148"/>
      <c r="AZ75" s="148"/>
      <c r="BA75" s="148"/>
      <c r="BB75" s="148"/>
      <c r="BC75" s="148"/>
      <c r="BD75" s="148"/>
      <c r="BE75" s="148"/>
      <c r="BF75" s="148"/>
      <c r="BG75" s="148"/>
      <c r="BH75" s="148"/>
      <c r="BI75" s="148"/>
      <c r="BJ75" s="148"/>
      <c r="BK75" s="148"/>
      <c r="BL75" s="148"/>
      <c r="BM75" s="148"/>
      <c r="BN75" s="148"/>
      <c r="BO75" s="148"/>
      <c r="BP75" s="148"/>
      <c r="BQ75" s="148"/>
      <c r="BR75" s="148"/>
      <c r="BS75" s="148"/>
      <c r="BT75" s="148"/>
      <c r="BU75" s="148"/>
      <c r="BV75" s="148"/>
      <c r="BW75" s="148"/>
      <c r="BX75" s="148"/>
      <c r="BY75" s="148"/>
      <c r="BZ75" s="148"/>
      <c r="CA75" s="148"/>
      <c r="CB75" s="148"/>
      <c r="CC75" s="148"/>
      <c r="CD75" s="148"/>
      <c r="CE75" s="148"/>
      <c r="CF75" s="148"/>
      <c r="CG75" s="148"/>
      <c r="CH75" s="148"/>
      <c r="CI75" s="148"/>
      <c r="CJ75" s="148"/>
      <c r="CK75" s="148"/>
      <c r="CL75" s="148"/>
      <c r="CM75" s="148"/>
      <c r="CN75" s="148"/>
      <c r="CO75" s="148"/>
      <c r="CP75" s="148"/>
      <c r="CQ75" s="148"/>
      <c r="CR75" s="148"/>
      <c r="CS75" s="148"/>
      <c r="CT75" s="148"/>
      <c r="CU75" s="148"/>
      <c r="CV75" s="148"/>
      <c r="CW75" s="148"/>
      <c r="CX75" s="148"/>
      <c r="CY75" s="148"/>
      <c r="CZ75" s="148"/>
      <c r="DA75" s="148"/>
      <c r="DB75" s="148"/>
      <c r="DC75" s="148"/>
      <c r="DD75" s="148"/>
      <c r="DE75" s="148"/>
      <c r="DF75" s="148"/>
      <c r="DG75" s="148"/>
      <c r="DH75" s="148"/>
      <c r="DI75" s="148"/>
      <c r="DJ75" s="148"/>
      <c r="DK75" s="148"/>
      <c r="DL75" s="148"/>
      <c r="DM75" s="148"/>
      <c r="DN75" s="148"/>
      <c r="DO75" s="148"/>
      <c r="DP75" s="148"/>
      <c r="DQ75" s="148"/>
      <c r="DR75" s="148"/>
      <c r="DS75" s="148"/>
      <c r="DT75" s="148"/>
      <c r="DU75" s="148"/>
      <c r="DV75" s="148"/>
      <c r="DW75" s="148"/>
      <c r="DX75" s="148"/>
      <c r="DY75" s="148"/>
      <c r="DZ75" s="148"/>
      <c r="EA75" s="148"/>
      <c r="EB75" s="148"/>
      <c r="EC75" s="148"/>
      <c r="ED75" s="148"/>
      <c r="EE75" s="148"/>
      <c r="EF75" s="148"/>
      <c r="EG75" s="148"/>
      <c r="EH75" s="148"/>
      <c r="EI75" s="148"/>
      <c r="EJ75" s="148"/>
      <c r="EK75" s="148"/>
      <c r="EL75" s="148"/>
      <c r="EM75" s="148"/>
      <c r="EN75" s="148"/>
      <c r="EO75" s="148"/>
      <c r="EP75" s="148"/>
      <c r="EQ75" s="148"/>
      <c r="ER75" s="148"/>
      <c r="ES75" s="148"/>
      <c r="ET75" s="148"/>
      <c r="EU75" s="148"/>
      <c r="EV75" s="148"/>
      <c r="EW75" s="148"/>
      <c r="EX75" s="148"/>
      <c r="EY75" s="148"/>
      <c r="EZ75" s="148"/>
      <c r="FA75" s="148"/>
      <c r="FB75" s="148"/>
      <c r="FC75" s="148"/>
      <c r="FD75" s="148"/>
      <c r="FE75" s="148"/>
      <c r="FF75" s="148"/>
      <c r="FG75" s="148"/>
      <c r="FH75" s="148"/>
      <c r="FI75" s="148"/>
      <c r="FJ75" s="148"/>
      <c r="FK75" s="148"/>
      <c r="FL75" s="148"/>
      <c r="FM75" s="148"/>
      <c r="FN75" s="148"/>
      <c r="FO75" s="148"/>
      <c r="FP75" s="148"/>
      <c r="FQ75" s="148"/>
      <c r="FR75" s="148"/>
    </row>
    <row r="76" spans="1:174" s="15" customFormat="1" ht="13.5" customHeight="1" x14ac:dyDescent="0.2">
      <c r="A76" s="148"/>
      <c r="B76" s="307">
        <v>65</v>
      </c>
      <c r="C76" s="307" t="s">
        <v>38</v>
      </c>
      <c r="D76" s="450" t="s">
        <v>1560</v>
      </c>
      <c r="E76" s="569" t="s">
        <v>1561</v>
      </c>
      <c r="F76" s="533" t="s">
        <v>45</v>
      </c>
      <c r="G76" s="533" t="s">
        <v>1411</v>
      </c>
      <c r="H76" s="553" t="s">
        <v>1562</v>
      </c>
      <c r="I76" s="562" t="s">
        <v>42</v>
      </c>
      <c r="J76" s="535">
        <v>3923117</v>
      </c>
      <c r="K76" s="535">
        <v>3746816</v>
      </c>
      <c r="L76" s="535">
        <v>0</v>
      </c>
      <c r="M76" s="454"/>
      <c r="N76" s="454"/>
      <c r="O76" s="454"/>
      <c r="P76" s="547"/>
      <c r="Q76" s="538"/>
      <c r="R76" s="538"/>
      <c r="S76" s="535">
        <f t="shared" si="0"/>
        <v>0</v>
      </c>
      <c r="T76" s="539">
        <v>50000</v>
      </c>
      <c r="U76" s="540">
        <v>2</v>
      </c>
      <c r="V76" s="541">
        <v>44200</v>
      </c>
      <c r="W76" s="542">
        <v>44224</v>
      </c>
      <c r="X76" s="539">
        <v>7772</v>
      </c>
      <c r="Y76" s="544">
        <v>12</v>
      </c>
      <c r="Z76" s="545">
        <v>44221</v>
      </c>
      <c r="AA76" s="542">
        <v>44263</v>
      </c>
      <c r="AB76" s="539">
        <v>23740</v>
      </c>
      <c r="AC76" s="544">
        <v>71</v>
      </c>
      <c r="AD76" s="545">
        <v>44354</v>
      </c>
      <c r="AE76" s="542">
        <v>44376</v>
      </c>
      <c r="AF76" s="554"/>
      <c r="AG76" s="542"/>
      <c r="AH76" s="542"/>
      <c r="AI76" s="542"/>
      <c r="AJ76" s="554"/>
      <c r="AK76" s="542"/>
      <c r="AL76" s="542"/>
      <c r="AM76" s="542"/>
      <c r="AN76" s="542"/>
      <c r="AO76" s="542"/>
      <c r="AP76" s="542"/>
      <c r="AQ76" s="542"/>
      <c r="AR76" s="22">
        <f t="shared" si="1"/>
        <v>81512</v>
      </c>
      <c r="AS76" s="546">
        <f t="shared" si="2"/>
        <v>81512</v>
      </c>
      <c r="AT76" s="148"/>
      <c r="AU76" s="148"/>
      <c r="AV76" s="148"/>
      <c r="AW76" s="148"/>
      <c r="AX76" s="148"/>
      <c r="AY76" s="148"/>
      <c r="AZ76" s="148"/>
      <c r="BA76" s="148"/>
      <c r="BB76" s="148"/>
      <c r="BC76" s="148"/>
      <c r="BD76" s="148"/>
      <c r="BE76" s="148"/>
      <c r="BF76" s="148"/>
      <c r="BG76" s="148"/>
      <c r="BH76" s="148"/>
      <c r="BI76" s="148"/>
      <c r="BJ76" s="148"/>
      <c r="BK76" s="148"/>
      <c r="BL76" s="148"/>
      <c r="BM76" s="148"/>
      <c r="BN76" s="148"/>
      <c r="BO76" s="148"/>
      <c r="BP76" s="148"/>
      <c r="BQ76" s="148"/>
      <c r="BR76" s="148"/>
      <c r="BS76" s="148"/>
      <c r="BT76" s="148"/>
      <c r="BU76" s="148"/>
      <c r="BV76" s="148"/>
      <c r="BW76" s="148"/>
      <c r="BX76" s="148"/>
      <c r="BY76" s="148"/>
      <c r="BZ76" s="148"/>
      <c r="CA76" s="148"/>
      <c r="CB76" s="148"/>
      <c r="CC76" s="148"/>
      <c r="CD76" s="148"/>
      <c r="CE76" s="148"/>
      <c r="CF76" s="148"/>
      <c r="CG76" s="148"/>
      <c r="CH76" s="148"/>
      <c r="CI76" s="148"/>
      <c r="CJ76" s="148"/>
      <c r="CK76" s="148"/>
      <c r="CL76" s="148"/>
      <c r="CM76" s="148"/>
      <c r="CN76" s="148"/>
      <c r="CO76" s="148"/>
      <c r="CP76" s="148"/>
      <c r="CQ76" s="148"/>
      <c r="CR76" s="148"/>
      <c r="CS76" s="148"/>
      <c r="CT76" s="148"/>
      <c r="CU76" s="148"/>
      <c r="CV76" s="148"/>
      <c r="CW76" s="148"/>
      <c r="CX76" s="148"/>
      <c r="CY76" s="148"/>
      <c r="CZ76" s="148"/>
      <c r="DA76" s="148"/>
      <c r="DB76" s="148"/>
      <c r="DC76" s="148"/>
      <c r="DD76" s="148"/>
      <c r="DE76" s="148"/>
      <c r="DF76" s="148"/>
      <c r="DG76" s="148"/>
      <c r="DH76" s="148"/>
      <c r="DI76" s="148"/>
      <c r="DJ76" s="148"/>
      <c r="DK76" s="148"/>
      <c r="DL76" s="148"/>
      <c r="DM76" s="148"/>
      <c r="DN76" s="148"/>
      <c r="DO76" s="148"/>
      <c r="DP76" s="148"/>
      <c r="DQ76" s="148"/>
      <c r="DR76" s="148"/>
      <c r="DS76" s="148"/>
      <c r="DT76" s="148"/>
      <c r="DU76" s="148"/>
      <c r="DV76" s="148"/>
      <c r="DW76" s="148"/>
      <c r="DX76" s="148"/>
      <c r="DY76" s="148"/>
      <c r="DZ76" s="148"/>
      <c r="EA76" s="148"/>
      <c r="EB76" s="148"/>
      <c r="EC76" s="148"/>
      <c r="ED76" s="148"/>
      <c r="EE76" s="148"/>
      <c r="EF76" s="148"/>
      <c r="EG76" s="148"/>
      <c r="EH76" s="148"/>
      <c r="EI76" s="148"/>
      <c r="EJ76" s="148"/>
      <c r="EK76" s="148"/>
      <c r="EL76" s="148"/>
      <c r="EM76" s="148"/>
      <c r="EN76" s="148"/>
      <c r="EO76" s="148"/>
      <c r="EP76" s="148"/>
      <c r="EQ76" s="148"/>
      <c r="ER76" s="148"/>
      <c r="ES76" s="148"/>
      <c r="ET76" s="148"/>
      <c r="EU76" s="148"/>
      <c r="EV76" s="148"/>
      <c r="EW76" s="148"/>
      <c r="EX76" s="148"/>
      <c r="EY76" s="148"/>
      <c r="EZ76" s="148"/>
      <c r="FA76" s="148"/>
      <c r="FB76" s="148"/>
      <c r="FC76" s="148"/>
      <c r="FD76" s="148"/>
      <c r="FE76" s="148"/>
      <c r="FF76" s="148"/>
      <c r="FG76" s="148"/>
      <c r="FH76" s="148"/>
      <c r="FI76" s="148"/>
      <c r="FJ76" s="148"/>
      <c r="FK76" s="148"/>
      <c r="FL76" s="148"/>
      <c r="FM76" s="148"/>
      <c r="FN76" s="148"/>
      <c r="FO76" s="148"/>
      <c r="FP76" s="148"/>
      <c r="FQ76" s="148"/>
      <c r="FR76" s="148"/>
    </row>
    <row r="77" spans="1:174" s="15" customFormat="1" ht="13.5" customHeight="1" x14ac:dyDescent="0.2">
      <c r="A77" s="148"/>
      <c r="B77" s="307">
        <v>66</v>
      </c>
      <c r="C77" s="307" t="s">
        <v>38</v>
      </c>
      <c r="D77" s="307" t="s">
        <v>1563</v>
      </c>
      <c r="E77" s="321" t="s">
        <v>1564</v>
      </c>
      <c r="F77" s="533" t="s">
        <v>46</v>
      </c>
      <c r="G77" s="533" t="s">
        <v>1411</v>
      </c>
      <c r="H77" s="533" t="s">
        <v>1427</v>
      </c>
      <c r="I77" s="562" t="s">
        <v>42</v>
      </c>
      <c r="J77" s="535">
        <v>101683</v>
      </c>
      <c r="K77" s="535">
        <v>30982</v>
      </c>
      <c r="L77" s="535">
        <v>0</v>
      </c>
      <c r="M77" s="454">
        <v>40400</v>
      </c>
      <c r="N77" s="454"/>
      <c r="O77" s="454"/>
      <c r="P77" s="547"/>
      <c r="Q77" s="538"/>
      <c r="R77" s="538"/>
      <c r="S77" s="535">
        <f t="shared" ref="S77:S140" si="3">SUM(M77:R77)</f>
        <v>40400</v>
      </c>
      <c r="T77" s="539">
        <v>70700</v>
      </c>
      <c r="U77" s="540">
        <v>3</v>
      </c>
      <c r="V77" s="542">
        <v>44202</v>
      </c>
      <c r="W77" s="542">
        <v>44231</v>
      </c>
      <c r="X77" s="539"/>
      <c r="Y77" s="544"/>
      <c r="Z77" s="540"/>
      <c r="AA77" s="542"/>
      <c r="AB77" s="539"/>
      <c r="AC77" s="544"/>
      <c r="AD77" s="540"/>
      <c r="AE77" s="542"/>
      <c r="AF77" s="554"/>
      <c r="AG77" s="542"/>
      <c r="AH77" s="542"/>
      <c r="AI77" s="542"/>
      <c r="AJ77" s="554"/>
      <c r="AK77" s="542"/>
      <c r="AL77" s="542"/>
      <c r="AM77" s="542"/>
      <c r="AN77" s="542"/>
      <c r="AO77" s="542"/>
      <c r="AP77" s="542"/>
      <c r="AQ77" s="542"/>
      <c r="AR77" s="22">
        <f t="shared" ref="AR77:AR140" si="4">+T77+X77+AB77+AF77+AJ77+AN77</f>
        <v>70700</v>
      </c>
      <c r="AS77" s="546">
        <f t="shared" ref="AS77:AS140" si="5">+AR77-S77</f>
        <v>30300</v>
      </c>
      <c r="AT77" s="148"/>
      <c r="AU77" s="148"/>
      <c r="AV77" s="148"/>
      <c r="AW77" s="148"/>
      <c r="AX77" s="148"/>
      <c r="AY77" s="148"/>
      <c r="AZ77" s="148"/>
      <c r="BA77" s="148"/>
      <c r="BB77" s="148"/>
      <c r="BC77" s="148"/>
      <c r="BD77" s="148"/>
      <c r="BE77" s="148"/>
      <c r="BF77" s="148"/>
      <c r="BG77" s="148"/>
      <c r="BH77" s="148"/>
      <c r="BI77" s="148"/>
      <c r="BJ77" s="148"/>
      <c r="BK77" s="148"/>
      <c r="BL77" s="148"/>
      <c r="BM77" s="148"/>
      <c r="BN77" s="148"/>
      <c r="BO77" s="148"/>
      <c r="BP77" s="148"/>
      <c r="BQ77" s="148"/>
      <c r="BR77" s="148"/>
      <c r="BS77" s="148"/>
      <c r="BT77" s="148"/>
      <c r="BU77" s="148"/>
      <c r="BV77" s="148"/>
      <c r="BW77" s="148"/>
      <c r="BX77" s="148"/>
      <c r="BY77" s="148"/>
      <c r="BZ77" s="148"/>
      <c r="CA77" s="148"/>
      <c r="CB77" s="148"/>
      <c r="CC77" s="148"/>
      <c r="CD77" s="148"/>
      <c r="CE77" s="148"/>
      <c r="CF77" s="148"/>
      <c r="CG77" s="148"/>
      <c r="CH77" s="148"/>
      <c r="CI77" s="148"/>
      <c r="CJ77" s="148"/>
      <c r="CK77" s="148"/>
      <c r="CL77" s="148"/>
      <c r="CM77" s="148"/>
      <c r="CN77" s="148"/>
      <c r="CO77" s="148"/>
      <c r="CP77" s="148"/>
      <c r="CQ77" s="148"/>
      <c r="CR77" s="148"/>
      <c r="CS77" s="148"/>
      <c r="CT77" s="148"/>
      <c r="CU77" s="148"/>
      <c r="CV77" s="148"/>
      <c r="CW77" s="148"/>
      <c r="CX77" s="148"/>
      <c r="CY77" s="148"/>
      <c r="CZ77" s="148"/>
      <c r="DA77" s="148"/>
      <c r="DB77" s="148"/>
      <c r="DC77" s="148"/>
      <c r="DD77" s="148"/>
      <c r="DE77" s="148"/>
      <c r="DF77" s="148"/>
      <c r="DG77" s="148"/>
      <c r="DH77" s="148"/>
      <c r="DI77" s="148"/>
      <c r="DJ77" s="148"/>
      <c r="DK77" s="148"/>
      <c r="DL77" s="148"/>
      <c r="DM77" s="148"/>
      <c r="DN77" s="148"/>
      <c r="DO77" s="148"/>
      <c r="DP77" s="148"/>
      <c r="DQ77" s="148"/>
      <c r="DR77" s="148"/>
      <c r="DS77" s="148"/>
      <c r="DT77" s="148"/>
      <c r="DU77" s="148"/>
      <c r="DV77" s="148"/>
      <c r="DW77" s="148"/>
      <c r="DX77" s="148"/>
      <c r="DY77" s="148"/>
      <c r="DZ77" s="148"/>
      <c r="EA77" s="148"/>
      <c r="EB77" s="148"/>
      <c r="EC77" s="148"/>
      <c r="ED77" s="148"/>
      <c r="EE77" s="148"/>
      <c r="EF77" s="148"/>
      <c r="EG77" s="148"/>
      <c r="EH77" s="148"/>
      <c r="EI77" s="148"/>
      <c r="EJ77" s="148"/>
      <c r="EK77" s="148"/>
      <c r="EL77" s="148"/>
      <c r="EM77" s="148"/>
      <c r="EN77" s="148"/>
      <c r="EO77" s="148"/>
      <c r="EP77" s="148"/>
      <c r="EQ77" s="148"/>
      <c r="ER77" s="148"/>
      <c r="ES77" s="148"/>
      <c r="ET77" s="148"/>
      <c r="EU77" s="148"/>
      <c r="EV77" s="148"/>
      <c r="EW77" s="148"/>
      <c r="EX77" s="148"/>
      <c r="EY77" s="148"/>
      <c r="EZ77" s="148"/>
      <c r="FA77" s="148"/>
      <c r="FB77" s="148"/>
      <c r="FC77" s="148"/>
      <c r="FD77" s="148"/>
      <c r="FE77" s="148"/>
      <c r="FF77" s="148"/>
      <c r="FG77" s="148"/>
      <c r="FH77" s="148"/>
      <c r="FI77" s="148"/>
      <c r="FJ77" s="148"/>
      <c r="FK77" s="148"/>
      <c r="FL77" s="148"/>
      <c r="FM77" s="148"/>
      <c r="FN77" s="148"/>
      <c r="FO77" s="148"/>
      <c r="FP77" s="148"/>
      <c r="FQ77" s="148"/>
      <c r="FR77" s="148"/>
    </row>
    <row r="78" spans="1:174" s="15" customFormat="1" ht="13.5" customHeight="1" x14ac:dyDescent="0.2">
      <c r="A78" s="148"/>
      <c r="B78" s="307">
        <v>67</v>
      </c>
      <c r="C78" s="307" t="s">
        <v>38</v>
      </c>
      <c r="D78" s="307" t="s">
        <v>1565</v>
      </c>
      <c r="E78" s="321" t="s">
        <v>1566</v>
      </c>
      <c r="F78" s="533" t="s">
        <v>45</v>
      </c>
      <c r="G78" s="533" t="s">
        <v>1411</v>
      </c>
      <c r="H78" s="533" t="s">
        <v>1432</v>
      </c>
      <c r="I78" s="562" t="s">
        <v>42</v>
      </c>
      <c r="J78" s="535">
        <v>1678558</v>
      </c>
      <c r="K78" s="535">
        <v>540319</v>
      </c>
      <c r="L78" s="535">
        <v>0</v>
      </c>
      <c r="M78" s="454">
        <f>943+12017</f>
        <v>12960</v>
      </c>
      <c r="N78" s="454"/>
      <c r="O78" s="454">
        <v>943</v>
      </c>
      <c r="P78" s="548">
        <v>943.41300000000001</v>
      </c>
      <c r="Q78" s="538"/>
      <c r="R78" s="538"/>
      <c r="S78" s="535">
        <f t="shared" si="3"/>
        <v>14846.413</v>
      </c>
      <c r="T78" s="539">
        <v>14849</v>
      </c>
      <c r="U78" s="540">
        <v>3</v>
      </c>
      <c r="V78" s="542">
        <v>44202</v>
      </c>
      <c r="W78" s="542">
        <v>44231</v>
      </c>
      <c r="X78" s="539">
        <v>7100</v>
      </c>
      <c r="Y78" s="544">
        <v>11</v>
      </c>
      <c r="Z78" s="545">
        <v>44221</v>
      </c>
      <c r="AA78" s="542">
        <v>44246</v>
      </c>
      <c r="AB78" s="539">
        <v>943</v>
      </c>
      <c r="AC78" s="544">
        <v>46</v>
      </c>
      <c r="AD78" s="545">
        <v>44295</v>
      </c>
      <c r="AE78" s="542">
        <v>44327</v>
      </c>
      <c r="AF78" s="554"/>
      <c r="AG78" s="542"/>
      <c r="AH78" s="542"/>
      <c r="AI78" s="542"/>
      <c r="AJ78" s="554"/>
      <c r="AK78" s="542"/>
      <c r="AL78" s="542"/>
      <c r="AM78" s="542"/>
      <c r="AN78" s="542"/>
      <c r="AO78" s="542"/>
      <c r="AP78" s="542"/>
      <c r="AQ78" s="542"/>
      <c r="AR78" s="22">
        <f t="shared" si="4"/>
        <v>22892</v>
      </c>
      <c r="AS78" s="546">
        <f t="shared" si="5"/>
        <v>8045.5869999999995</v>
      </c>
      <c r="AT78" s="148"/>
      <c r="AU78" s="148"/>
      <c r="AV78" s="148"/>
      <c r="AW78" s="148"/>
      <c r="AX78" s="148"/>
      <c r="AY78" s="148"/>
      <c r="AZ78" s="148"/>
      <c r="BA78" s="148"/>
      <c r="BB78" s="148"/>
      <c r="BC78" s="148"/>
      <c r="BD78" s="148"/>
      <c r="BE78" s="148"/>
      <c r="BF78" s="148"/>
      <c r="BG78" s="148"/>
      <c r="BH78" s="148"/>
      <c r="BI78" s="148"/>
      <c r="BJ78" s="148"/>
      <c r="BK78" s="148"/>
      <c r="BL78" s="148"/>
      <c r="BM78" s="148"/>
      <c r="BN78" s="148"/>
      <c r="BO78" s="148"/>
      <c r="BP78" s="148"/>
      <c r="BQ78" s="148"/>
      <c r="BR78" s="148"/>
      <c r="BS78" s="148"/>
      <c r="BT78" s="148"/>
      <c r="BU78" s="148"/>
      <c r="BV78" s="148"/>
      <c r="BW78" s="148"/>
      <c r="BX78" s="148"/>
      <c r="BY78" s="148"/>
      <c r="BZ78" s="148"/>
      <c r="CA78" s="148"/>
      <c r="CB78" s="148"/>
      <c r="CC78" s="148"/>
      <c r="CD78" s="148"/>
      <c r="CE78" s="148"/>
      <c r="CF78" s="148"/>
      <c r="CG78" s="148"/>
      <c r="CH78" s="148"/>
      <c r="CI78" s="148"/>
      <c r="CJ78" s="148"/>
      <c r="CK78" s="148"/>
      <c r="CL78" s="148"/>
      <c r="CM78" s="148"/>
      <c r="CN78" s="148"/>
      <c r="CO78" s="148"/>
      <c r="CP78" s="148"/>
      <c r="CQ78" s="148"/>
      <c r="CR78" s="148"/>
      <c r="CS78" s="148"/>
      <c r="CT78" s="148"/>
      <c r="CU78" s="148"/>
      <c r="CV78" s="148"/>
      <c r="CW78" s="148"/>
      <c r="CX78" s="148"/>
      <c r="CY78" s="148"/>
      <c r="CZ78" s="148"/>
      <c r="DA78" s="148"/>
      <c r="DB78" s="148"/>
      <c r="DC78" s="148"/>
      <c r="DD78" s="148"/>
      <c r="DE78" s="148"/>
      <c r="DF78" s="148"/>
      <c r="DG78" s="148"/>
      <c r="DH78" s="148"/>
      <c r="DI78" s="148"/>
      <c r="DJ78" s="148"/>
      <c r="DK78" s="148"/>
      <c r="DL78" s="148"/>
      <c r="DM78" s="148"/>
      <c r="DN78" s="148"/>
      <c r="DO78" s="148"/>
      <c r="DP78" s="148"/>
      <c r="DQ78" s="148"/>
      <c r="DR78" s="148"/>
      <c r="DS78" s="148"/>
      <c r="DT78" s="148"/>
      <c r="DU78" s="148"/>
      <c r="DV78" s="148"/>
      <c r="DW78" s="148"/>
      <c r="DX78" s="148"/>
      <c r="DY78" s="148"/>
      <c r="DZ78" s="148"/>
      <c r="EA78" s="148"/>
      <c r="EB78" s="148"/>
      <c r="EC78" s="148"/>
      <c r="ED78" s="148"/>
      <c r="EE78" s="148"/>
      <c r="EF78" s="148"/>
      <c r="EG78" s="148"/>
      <c r="EH78" s="148"/>
      <c r="EI78" s="148"/>
      <c r="EJ78" s="148"/>
      <c r="EK78" s="148"/>
      <c r="EL78" s="148"/>
      <c r="EM78" s="148"/>
      <c r="EN78" s="148"/>
      <c r="EO78" s="148"/>
      <c r="EP78" s="148"/>
      <c r="EQ78" s="148"/>
      <c r="ER78" s="148"/>
      <c r="ES78" s="148"/>
      <c r="ET78" s="148"/>
      <c r="EU78" s="148"/>
      <c r="EV78" s="148"/>
      <c r="EW78" s="148"/>
      <c r="EX78" s="148"/>
      <c r="EY78" s="148"/>
      <c r="EZ78" s="148"/>
      <c r="FA78" s="148"/>
      <c r="FB78" s="148"/>
      <c r="FC78" s="148"/>
      <c r="FD78" s="148"/>
      <c r="FE78" s="148"/>
      <c r="FF78" s="148"/>
      <c r="FG78" s="148"/>
      <c r="FH78" s="148"/>
      <c r="FI78" s="148"/>
      <c r="FJ78" s="148"/>
      <c r="FK78" s="148"/>
      <c r="FL78" s="148"/>
      <c r="FM78" s="148"/>
      <c r="FN78" s="148"/>
      <c r="FO78" s="148"/>
      <c r="FP78" s="148"/>
      <c r="FQ78" s="148"/>
      <c r="FR78" s="148"/>
    </row>
    <row r="79" spans="1:174" s="15" customFormat="1" ht="13.5" customHeight="1" x14ac:dyDescent="0.2">
      <c r="A79" s="148"/>
      <c r="B79" s="307">
        <v>68</v>
      </c>
      <c r="C79" s="307" t="s">
        <v>38</v>
      </c>
      <c r="D79" s="307" t="s">
        <v>1567</v>
      </c>
      <c r="E79" s="321" t="s">
        <v>1568</v>
      </c>
      <c r="F79" s="533" t="s">
        <v>46</v>
      </c>
      <c r="G79" s="533" t="s">
        <v>1411</v>
      </c>
      <c r="H79" s="533" t="s">
        <v>1432</v>
      </c>
      <c r="I79" s="562" t="s">
        <v>42</v>
      </c>
      <c r="J79" s="535">
        <v>291792</v>
      </c>
      <c r="K79" s="535">
        <v>195707</v>
      </c>
      <c r="L79" s="535">
        <v>0</v>
      </c>
      <c r="M79" s="454">
        <v>56290</v>
      </c>
      <c r="N79" s="454"/>
      <c r="O79" s="454"/>
      <c r="P79" s="547"/>
      <c r="Q79" s="538"/>
      <c r="R79" s="538"/>
      <c r="S79" s="535">
        <f t="shared" si="3"/>
        <v>56290</v>
      </c>
      <c r="T79" s="539">
        <v>56621</v>
      </c>
      <c r="U79" s="540">
        <v>3</v>
      </c>
      <c r="V79" s="542">
        <v>44202</v>
      </c>
      <c r="W79" s="542">
        <v>44231</v>
      </c>
      <c r="X79" s="539"/>
      <c r="Y79" s="544"/>
      <c r="Z79" s="542"/>
      <c r="AA79" s="542"/>
      <c r="AB79" s="539"/>
      <c r="AC79" s="544"/>
      <c r="AD79" s="540"/>
      <c r="AE79" s="542"/>
      <c r="AF79" s="554"/>
      <c r="AG79" s="542"/>
      <c r="AH79" s="542"/>
      <c r="AI79" s="542"/>
      <c r="AJ79" s="554"/>
      <c r="AK79" s="542"/>
      <c r="AL79" s="542"/>
      <c r="AM79" s="542"/>
      <c r="AN79" s="542"/>
      <c r="AO79" s="542"/>
      <c r="AP79" s="542"/>
      <c r="AQ79" s="542"/>
      <c r="AR79" s="22">
        <f t="shared" si="4"/>
        <v>56621</v>
      </c>
      <c r="AS79" s="546">
        <f t="shared" si="5"/>
        <v>331</v>
      </c>
      <c r="AT79" s="148"/>
      <c r="AU79" s="148"/>
      <c r="AV79" s="148"/>
      <c r="AW79" s="148"/>
      <c r="AX79" s="148"/>
      <c r="AY79" s="148"/>
      <c r="AZ79" s="148"/>
      <c r="BA79" s="148"/>
      <c r="BB79" s="148"/>
      <c r="BC79" s="148"/>
      <c r="BD79" s="148"/>
      <c r="BE79" s="148"/>
      <c r="BF79" s="148"/>
      <c r="BG79" s="148"/>
      <c r="BH79" s="148"/>
      <c r="BI79" s="148"/>
      <c r="BJ79" s="148"/>
      <c r="BK79" s="148"/>
      <c r="BL79" s="148"/>
      <c r="BM79" s="148"/>
      <c r="BN79" s="148"/>
      <c r="BO79" s="148"/>
      <c r="BP79" s="148"/>
      <c r="BQ79" s="148"/>
      <c r="BR79" s="148"/>
      <c r="BS79" s="148"/>
      <c r="BT79" s="148"/>
      <c r="BU79" s="148"/>
      <c r="BV79" s="148"/>
      <c r="BW79" s="148"/>
      <c r="BX79" s="148"/>
      <c r="BY79" s="148"/>
      <c r="BZ79" s="148"/>
      <c r="CA79" s="148"/>
      <c r="CB79" s="148"/>
      <c r="CC79" s="148"/>
      <c r="CD79" s="148"/>
      <c r="CE79" s="148"/>
      <c r="CF79" s="148"/>
      <c r="CG79" s="148"/>
      <c r="CH79" s="148"/>
      <c r="CI79" s="148"/>
      <c r="CJ79" s="148"/>
      <c r="CK79" s="148"/>
      <c r="CL79" s="148"/>
      <c r="CM79" s="148"/>
      <c r="CN79" s="148"/>
      <c r="CO79" s="148"/>
      <c r="CP79" s="148"/>
      <c r="CQ79" s="148"/>
      <c r="CR79" s="148"/>
      <c r="CS79" s="148"/>
      <c r="CT79" s="148"/>
      <c r="CU79" s="148"/>
      <c r="CV79" s="148"/>
      <c r="CW79" s="148"/>
      <c r="CX79" s="148"/>
      <c r="CY79" s="148"/>
      <c r="CZ79" s="148"/>
      <c r="DA79" s="148"/>
      <c r="DB79" s="148"/>
      <c r="DC79" s="148"/>
      <c r="DD79" s="148"/>
      <c r="DE79" s="148"/>
      <c r="DF79" s="148"/>
      <c r="DG79" s="148"/>
      <c r="DH79" s="148"/>
      <c r="DI79" s="148"/>
      <c r="DJ79" s="148"/>
      <c r="DK79" s="148"/>
      <c r="DL79" s="148"/>
      <c r="DM79" s="148"/>
      <c r="DN79" s="148"/>
      <c r="DO79" s="148"/>
      <c r="DP79" s="148"/>
      <c r="DQ79" s="148"/>
      <c r="DR79" s="148"/>
      <c r="DS79" s="148"/>
      <c r="DT79" s="148"/>
      <c r="DU79" s="148"/>
      <c r="DV79" s="148"/>
      <c r="DW79" s="148"/>
      <c r="DX79" s="148"/>
      <c r="DY79" s="148"/>
      <c r="DZ79" s="148"/>
      <c r="EA79" s="148"/>
      <c r="EB79" s="148"/>
      <c r="EC79" s="148"/>
      <c r="ED79" s="148"/>
      <c r="EE79" s="148"/>
      <c r="EF79" s="148"/>
      <c r="EG79" s="148"/>
      <c r="EH79" s="148"/>
      <c r="EI79" s="148"/>
      <c r="EJ79" s="148"/>
      <c r="EK79" s="148"/>
      <c r="EL79" s="148"/>
      <c r="EM79" s="148"/>
      <c r="EN79" s="148"/>
      <c r="EO79" s="148"/>
      <c r="EP79" s="148"/>
      <c r="EQ79" s="148"/>
      <c r="ER79" s="148"/>
      <c r="ES79" s="148"/>
      <c r="ET79" s="148"/>
      <c r="EU79" s="148"/>
      <c r="EV79" s="148"/>
      <c r="EW79" s="148"/>
      <c r="EX79" s="148"/>
      <c r="EY79" s="148"/>
      <c r="EZ79" s="148"/>
      <c r="FA79" s="148"/>
      <c r="FB79" s="148"/>
      <c r="FC79" s="148"/>
      <c r="FD79" s="148"/>
      <c r="FE79" s="148"/>
      <c r="FF79" s="148"/>
      <c r="FG79" s="148"/>
      <c r="FH79" s="148"/>
      <c r="FI79" s="148"/>
      <c r="FJ79" s="148"/>
      <c r="FK79" s="148"/>
      <c r="FL79" s="148"/>
      <c r="FM79" s="148"/>
      <c r="FN79" s="148"/>
      <c r="FO79" s="148"/>
      <c r="FP79" s="148"/>
      <c r="FQ79" s="148"/>
      <c r="FR79" s="148"/>
    </row>
    <row r="80" spans="1:174" s="15" customFormat="1" ht="13.5" customHeight="1" x14ac:dyDescent="0.2">
      <c r="A80" s="148"/>
      <c r="B80" s="307">
        <v>69</v>
      </c>
      <c r="C80" s="307" t="s">
        <v>38</v>
      </c>
      <c r="D80" s="307" t="s">
        <v>1569</v>
      </c>
      <c r="E80" s="321" t="s">
        <v>1570</v>
      </c>
      <c r="F80" s="533" t="s">
        <v>45</v>
      </c>
      <c r="G80" s="533" t="s">
        <v>1411</v>
      </c>
      <c r="H80" s="533" t="s">
        <v>1435</v>
      </c>
      <c r="I80" s="562" t="s">
        <v>42</v>
      </c>
      <c r="J80" s="535">
        <v>320509</v>
      </c>
      <c r="K80" s="535">
        <v>139069</v>
      </c>
      <c r="L80" s="535">
        <v>0</v>
      </c>
      <c r="M80" s="454"/>
      <c r="N80" s="454">
        <f>3000+55500</f>
        <v>58500</v>
      </c>
      <c r="O80" s="454">
        <v>37090</v>
      </c>
      <c r="P80" s="548">
        <v>47616.144</v>
      </c>
      <c r="Q80" s="538"/>
      <c r="R80" s="538">
        <v>33130.563999999998</v>
      </c>
      <c r="S80" s="535">
        <f t="shared" si="3"/>
        <v>176336.70799999998</v>
      </c>
      <c r="T80" s="539">
        <v>178961</v>
      </c>
      <c r="U80" s="540">
        <v>3</v>
      </c>
      <c r="V80" s="542">
        <v>44202</v>
      </c>
      <c r="W80" s="542">
        <v>44231</v>
      </c>
      <c r="X80" s="539">
        <v>1430</v>
      </c>
      <c r="Y80" s="544">
        <v>46</v>
      </c>
      <c r="Z80" s="545">
        <v>44295</v>
      </c>
      <c r="AA80" s="542">
        <v>44327</v>
      </c>
      <c r="AB80" s="539"/>
      <c r="AC80" s="544"/>
      <c r="AD80" s="540"/>
      <c r="AE80" s="542"/>
      <c r="AF80" s="554"/>
      <c r="AG80" s="542"/>
      <c r="AH80" s="542"/>
      <c r="AI80" s="542"/>
      <c r="AJ80" s="554"/>
      <c r="AK80" s="542"/>
      <c r="AL80" s="542"/>
      <c r="AM80" s="542"/>
      <c r="AN80" s="542"/>
      <c r="AO80" s="542"/>
      <c r="AP80" s="542"/>
      <c r="AQ80" s="542"/>
      <c r="AR80" s="22">
        <f t="shared" si="4"/>
        <v>180391</v>
      </c>
      <c r="AS80" s="546">
        <f t="shared" si="5"/>
        <v>4054.2920000000158</v>
      </c>
      <c r="AT80" s="148"/>
      <c r="AU80" s="148"/>
      <c r="AV80" s="148"/>
      <c r="AW80" s="148"/>
      <c r="AX80" s="148"/>
      <c r="AY80" s="148"/>
      <c r="AZ80" s="148"/>
      <c r="BA80" s="148"/>
      <c r="BB80" s="148"/>
      <c r="BC80" s="148"/>
      <c r="BD80" s="148"/>
      <c r="BE80" s="148"/>
      <c r="BF80" s="148"/>
      <c r="BG80" s="148"/>
      <c r="BH80" s="148"/>
      <c r="BI80" s="148"/>
      <c r="BJ80" s="148"/>
      <c r="BK80" s="148"/>
      <c r="BL80" s="148"/>
      <c r="BM80" s="148"/>
      <c r="BN80" s="148"/>
      <c r="BO80" s="148"/>
      <c r="BP80" s="148"/>
      <c r="BQ80" s="148"/>
      <c r="BR80" s="148"/>
      <c r="BS80" s="148"/>
      <c r="BT80" s="148"/>
      <c r="BU80" s="148"/>
      <c r="BV80" s="148"/>
      <c r="BW80" s="148"/>
      <c r="BX80" s="148"/>
      <c r="BY80" s="148"/>
      <c r="BZ80" s="148"/>
      <c r="CA80" s="148"/>
      <c r="CB80" s="148"/>
      <c r="CC80" s="148"/>
      <c r="CD80" s="148"/>
      <c r="CE80" s="148"/>
      <c r="CF80" s="148"/>
      <c r="CG80" s="148"/>
      <c r="CH80" s="148"/>
      <c r="CI80" s="148"/>
      <c r="CJ80" s="148"/>
      <c r="CK80" s="148"/>
      <c r="CL80" s="148"/>
      <c r="CM80" s="148"/>
      <c r="CN80" s="148"/>
      <c r="CO80" s="148"/>
      <c r="CP80" s="148"/>
      <c r="CQ80" s="148"/>
      <c r="CR80" s="148"/>
      <c r="CS80" s="148"/>
      <c r="CT80" s="148"/>
      <c r="CU80" s="148"/>
      <c r="CV80" s="148"/>
      <c r="CW80" s="148"/>
      <c r="CX80" s="148"/>
      <c r="CY80" s="148"/>
      <c r="CZ80" s="148"/>
      <c r="DA80" s="148"/>
      <c r="DB80" s="148"/>
      <c r="DC80" s="148"/>
      <c r="DD80" s="148"/>
      <c r="DE80" s="148"/>
      <c r="DF80" s="148"/>
      <c r="DG80" s="148"/>
      <c r="DH80" s="148"/>
      <c r="DI80" s="148"/>
      <c r="DJ80" s="148"/>
      <c r="DK80" s="148"/>
      <c r="DL80" s="148"/>
      <c r="DM80" s="148"/>
      <c r="DN80" s="148"/>
      <c r="DO80" s="148"/>
      <c r="DP80" s="148"/>
      <c r="DQ80" s="148"/>
      <c r="DR80" s="148"/>
      <c r="DS80" s="148"/>
      <c r="DT80" s="148"/>
      <c r="DU80" s="148"/>
      <c r="DV80" s="148"/>
      <c r="DW80" s="148"/>
      <c r="DX80" s="148"/>
      <c r="DY80" s="148"/>
      <c r="DZ80" s="148"/>
      <c r="EA80" s="148"/>
      <c r="EB80" s="148"/>
      <c r="EC80" s="148"/>
      <c r="ED80" s="148"/>
      <c r="EE80" s="148"/>
      <c r="EF80" s="148"/>
      <c r="EG80" s="148"/>
      <c r="EH80" s="148"/>
      <c r="EI80" s="148"/>
      <c r="EJ80" s="148"/>
      <c r="EK80" s="148"/>
      <c r="EL80" s="148"/>
      <c r="EM80" s="148"/>
      <c r="EN80" s="148"/>
      <c r="EO80" s="148"/>
      <c r="EP80" s="148"/>
      <c r="EQ80" s="148"/>
      <c r="ER80" s="148"/>
      <c r="ES80" s="148"/>
      <c r="ET80" s="148"/>
      <c r="EU80" s="148"/>
      <c r="EV80" s="148"/>
      <c r="EW80" s="148"/>
      <c r="EX80" s="148"/>
      <c r="EY80" s="148"/>
      <c r="EZ80" s="148"/>
      <c r="FA80" s="148"/>
      <c r="FB80" s="148"/>
      <c r="FC80" s="148"/>
      <c r="FD80" s="148"/>
      <c r="FE80" s="148"/>
      <c r="FF80" s="148"/>
      <c r="FG80" s="148"/>
      <c r="FH80" s="148"/>
      <c r="FI80" s="148"/>
      <c r="FJ80" s="148"/>
      <c r="FK80" s="148"/>
      <c r="FL80" s="148"/>
      <c r="FM80" s="148"/>
      <c r="FN80" s="148"/>
      <c r="FO80" s="148"/>
      <c r="FP80" s="148"/>
      <c r="FQ80" s="148"/>
      <c r="FR80" s="148"/>
    </row>
    <row r="81" spans="1:174" s="15" customFormat="1" ht="13.5" customHeight="1" x14ac:dyDescent="0.2">
      <c r="A81" s="148"/>
      <c r="B81" s="307">
        <v>70</v>
      </c>
      <c r="C81" s="307" t="s">
        <v>38</v>
      </c>
      <c r="D81" s="307" t="s">
        <v>1571</v>
      </c>
      <c r="E81" s="321" t="s">
        <v>1572</v>
      </c>
      <c r="F81" s="533" t="s">
        <v>46</v>
      </c>
      <c r="G81" s="533" t="s">
        <v>1411</v>
      </c>
      <c r="H81" s="553" t="s">
        <v>1435</v>
      </c>
      <c r="I81" s="562" t="s">
        <v>42</v>
      </c>
      <c r="J81" s="535">
        <v>19907</v>
      </c>
      <c r="K81" s="535">
        <v>7069</v>
      </c>
      <c r="L81" s="535">
        <v>0</v>
      </c>
      <c r="M81" s="454"/>
      <c r="N81" s="454"/>
      <c r="O81" s="454"/>
      <c r="P81" s="547"/>
      <c r="Q81" s="538"/>
      <c r="R81" s="538"/>
      <c r="S81" s="535">
        <f t="shared" si="3"/>
        <v>0</v>
      </c>
      <c r="T81" s="539">
        <v>5925</v>
      </c>
      <c r="U81" s="540">
        <v>3</v>
      </c>
      <c r="V81" s="542">
        <v>44202</v>
      </c>
      <c r="W81" s="542">
        <v>44231</v>
      </c>
      <c r="X81" s="539">
        <v>6913</v>
      </c>
      <c r="Y81" s="544">
        <v>55</v>
      </c>
      <c r="Z81" s="545">
        <v>44323</v>
      </c>
      <c r="AA81" s="545">
        <v>44350</v>
      </c>
      <c r="AB81" s="539"/>
      <c r="AC81" s="544"/>
      <c r="AD81" s="540"/>
      <c r="AE81" s="542"/>
      <c r="AF81" s="554"/>
      <c r="AG81" s="542"/>
      <c r="AH81" s="542"/>
      <c r="AI81" s="542"/>
      <c r="AJ81" s="554"/>
      <c r="AK81" s="542"/>
      <c r="AL81" s="542"/>
      <c r="AM81" s="542"/>
      <c r="AN81" s="542"/>
      <c r="AO81" s="542"/>
      <c r="AP81" s="542"/>
      <c r="AQ81" s="542"/>
      <c r="AR81" s="22">
        <f t="shared" si="4"/>
        <v>12838</v>
      </c>
      <c r="AS81" s="546">
        <f t="shared" si="5"/>
        <v>12838</v>
      </c>
      <c r="AT81" s="148"/>
      <c r="AU81" s="148"/>
      <c r="AV81" s="148"/>
      <c r="AW81" s="148"/>
      <c r="AX81" s="148"/>
      <c r="AY81" s="148"/>
      <c r="AZ81" s="148"/>
      <c r="BA81" s="148"/>
      <c r="BB81" s="148"/>
      <c r="BC81" s="148"/>
      <c r="BD81" s="148"/>
      <c r="BE81" s="148"/>
      <c r="BF81" s="148"/>
      <c r="BG81" s="148"/>
      <c r="BH81" s="148"/>
      <c r="BI81" s="148"/>
      <c r="BJ81" s="148"/>
      <c r="BK81" s="148"/>
      <c r="BL81" s="148"/>
      <c r="BM81" s="148"/>
      <c r="BN81" s="148"/>
      <c r="BO81" s="148"/>
      <c r="BP81" s="148"/>
      <c r="BQ81" s="148"/>
      <c r="BR81" s="148"/>
      <c r="BS81" s="148"/>
      <c r="BT81" s="148"/>
      <c r="BU81" s="148"/>
      <c r="BV81" s="148"/>
      <c r="BW81" s="148"/>
      <c r="BX81" s="148"/>
      <c r="BY81" s="148"/>
      <c r="BZ81" s="148"/>
      <c r="CA81" s="148"/>
      <c r="CB81" s="148"/>
      <c r="CC81" s="148"/>
      <c r="CD81" s="148"/>
      <c r="CE81" s="148"/>
      <c r="CF81" s="148"/>
      <c r="CG81" s="148"/>
      <c r="CH81" s="148"/>
      <c r="CI81" s="148"/>
      <c r="CJ81" s="148"/>
      <c r="CK81" s="148"/>
      <c r="CL81" s="148"/>
      <c r="CM81" s="148"/>
      <c r="CN81" s="148"/>
      <c r="CO81" s="148"/>
      <c r="CP81" s="148"/>
      <c r="CQ81" s="148"/>
      <c r="CR81" s="148"/>
      <c r="CS81" s="148"/>
      <c r="CT81" s="148"/>
      <c r="CU81" s="148"/>
      <c r="CV81" s="148"/>
      <c r="CW81" s="148"/>
      <c r="CX81" s="148"/>
      <c r="CY81" s="148"/>
      <c r="CZ81" s="148"/>
      <c r="DA81" s="148"/>
      <c r="DB81" s="148"/>
      <c r="DC81" s="148"/>
      <c r="DD81" s="148"/>
      <c r="DE81" s="148"/>
      <c r="DF81" s="148"/>
      <c r="DG81" s="148"/>
      <c r="DH81" s="148"/>
      <c r="DI81" s="148"/>
      <c r="DJ81" s="148"/>
      <c r="DK81" s="148"/>
      <c r="DL81" s="148"/>
      <c r="DM81" s="148"/>
      <c r="DN81" s="148"/>
      <c r="DO81" s="148"/>
      <c r="DP81" s="148"/>
      <c r="DQ81" s="148"/>
      <c r="DR81" s="148"/>
      <c r="DS81" s="148"/>
      <c r="DT81" s="148"/>
      <c r="DU81" s="148"/>
      <c r="DV81" s="148"/>
      <c r="DW81" s="148"/>
      <c r="DX81" s="148"/>
      <c r="DY81" s="148"/>
      <c r="DZ81" s="148"/>
      <c r="EA81" s="148"/>
      <c r="EB81" s="148"/>
      <c r="EC81" s="148"/>
      <c r="ED81" s="148"/>
      <c r="EE81" s="148"/>
      <c r="EF81" s="148"/>
      <c r="EG81" s="148"/>
      <c r="EH81" s="148"/>
      <c r="EI81" s="148"/>
      <c r="EJ81" s="148"/>
      <c r="EK81" s="148"/>
      <c r="EL81" s="148"/>
      <c r="EM81" s="148"/>
      <c r="EN81" s="148"/>
      <c r="EO81" s="148"/>
      <c r="EP81" s="148"/>
      <c r="EQ81" s="148"/>
      <c r="ER81" s="148"/>
      <c r="ES81" s="148"/>
      <c r="ET81" s="148"/>
      <c r="EU81" s="148"/>
      <c r="EV81" s="148"/>
      <c r="EW81" s="148"/>
      <c r="EX81" s="148"/>
      <c r="EY81" s="148"/>
      <c r="EZ81" s="148"/>
      <c r="FA81" s="148"/>
      <c r="FB81" s="148"/>
      <c r="FC81" s="148"/>
      <c r="FD81" s="148"/>
      <c r="FE81" s="148"/>
      <c r="FF81" s="148"/>
      <c r="FG81" s="148"/>
      <c r="FH81" s="148"/>
      <c r="FI81" s="148"/>
      <c r="FJ81" s="148"/>
      <c r="FK81" s="148"/>
      <c r="FL81" s="148"/>
      <c r="FM81" s="148"/>
      <c r="FN81" s="148"/>
      <c r="FO81" s="148"/>
      <c r="FP81" s="148"/>
      <c r="FQ81" s="148"/>
      <c r="FR81" s="148"/>
    </row>
    <row r="82" spans="1:174" s="15" customFormat="1" ht="13.5" customHeight="1" x14ac:dyDescent="0.2">
      <c r="A82" s="148"/>
      <c r="B82" s="307">
        <v>71</v>
      </c>
      <c r="C82" s="307" t="s">
        <v>38</v>
      </c>
      <c r="D82" s="307" t="s">
        <v>1573</v>
      </c>
      <c r="E82" s="321" t="s">
        <v>1574</v>
      </c>
      <c r="F82" s="533" t="s">
        <v>45</v>
      </c>
      <c r="G82" s="533" t="s">
        <v>1411</v>
      </c>
      <c r="H82" s="553" t="s">
        <v>1427</v>
      </c>
      <c r="I82" s="534" t="s">
        <v>43</v>
      </c>
      <c r="J82" s="535">
        <v>193667</v>
      </c>
      <c r="K82" s="535">
        <v>0</v>
      </c>
      <c r="L82" s="535">
        <v>0</v>
      </c>
      <c r="M82" s="454"/>
      <c r="N82" s="454">
        <v>189406</v>
      </c>
      <c r="O82" s="454"/>
      <c r="P82" s="547"/>
      <c r="Q82" s="538"/>
      <c r="R82" s="538"/>
      <c r="S82" s="535">
        <f t="shared" si="3"/>
        <v>189406</v>
      </c>
      <c r="T82" s="539">
        <v>189406</v>
      </c>
      <c r="U82" s="540">
        <v>3</v>
      </c>
      <c r="V82" s="542">
        <v>44202</v>
      </c>
      <c r="W82" s="542">
        <v>44231</v>
      </c>
      <c r="X82" s="539"/>
      <c r="Y82" s="544"/>
      <c r="Z82" s="542"/>
      <c r="AA82" s="542"/>
      <c r="AB82" s="539"/>
      <c r="AC82" s="544"/>
      <c r="AD82" s="540"/>
      <c r="AE82" s="542"/>
      <c r="AF82" s="554"/>
      <c r="AG82" s="542"/>
      <c r="AH82" s="542"/>
      <c r="AI82" s="542"/>
      <c r="AJ82" s="554"/>
      <c r="AK82" s="542"/>
      <c r="AL82" s="542"/>
      <c r="AM82" s="542"/>
      <c r="AN82" s="542"/>
      <c r="AO82" s="542"/>
      <c r="AP82" s="542"/>
      <c r="AQ82" s="542"/>
      <c r="AR82" s="22">
        <f t="shared" si="4"/>
        <v>189406</v>
      </c>
      <c r="AS82" s="546">
        <f t="shared" si="5"/>
        <v>0</v>
      </c>
      <c r="AT82" s="148"/>
      <c r="AU82" s="148"/>
      <c r="AV82" s="148"/>
      <c r="AW82" s="148"/>
      <c r="AX82" s="148"/>
      <c r="AY82" s="148"/>
      <c r="AZ82" s="148"/>
      <c r="BA82" s="148"/>
      <c r="BB82" s="148"/>
      <c r="BC82" s="148"/>
      <c r="BD82" s="148"/>
      <c r="BE82" s="148"/>
      <c r="BF82" s="148"/>
      <c r="BG82" s="148"/>
      <c r="BH82" s="148"/>
      <c r="BI82" s="148"/>
      <c r="BJ82" s="148"/>
      <c r="BK82" s="148"/>
      <c r="BL82" s="148"/>
      <c r="BM82" s="148"/>
      <c r="BN82" s="148"/>
      <c r="BO82" s="148"/>
      <c r="BP82" s="148"/>
      <c r="BQ82" s="148"/>
      <c r="BR82" s="148"/>
      <c r="BS82" s="148"/>
      <c r="BT82" s="148"/>
      <c r="BU82" s="148"/>
      <c r="BV82" s="148"/>
      <c r="BW82" s="148"/>
      <c r="BX82" s="148"/>
      <c r="BY82" s="148"/>
      <c r="BZ82" s="148"/>
      <c r="CA82" s="148"/>
      <c r="CB82" s="148"/>
      <c r="CC82" s="148"/>
      <c r="CD82" s="148"/>
      <c r="CE82" s="148"/>
      <c r="CF82" s="148"/>
      <c r="CG82" s="148"/>
      <c r="CH82" s="148"/>
      <c r="CI82" s="148"/>
      <c r="CJ82" s="148"/>
      <c r="CK82" s="148"/>
      <c r="CL82" s="148"/>
      <c r="CM82" s="148"/>
      <c r="CN82" s="148"/>
      <c r="CO82" s="148"/>
      <c r="CP82" s="148"/>
      <c r="CQ82" s="148"/>
      <c r="CR82" s="148"/>
      <c r="CS82" s="148"/>
      <c r="CT82" s="148"/>
      <c r="CU82" s="148"/>
      <c r="CV82" s="148"/>
      <c r="CW82" s="148"/>
      <c r="CX82" s="148"/>
      <c r="CY82" s="148"/>
      <c r="CZ82" s="148"/>
      <c r="DA82" s="148"/>
      <c r="DB82" s="148"/>
      <c r="DC82" s="148"/>
      <c r="DD82" s="148"/>
      <c r="DE82" s="148"/>
      <c r="DF82" s="148"/>
      <c r="DG82" s="148"/>
      <c r="DH82" s="148"/>
      <c r="DI82" s="148"/>
      <c r="DJ82" s="148"/>
      <c r="DK82" s="148"/>
      <c r="DL82" s="148"/>
      <c r="DM82" s="148"/>
      <c r="DN82" s="148"/>
      <c r="DO82" s="148"/>
      <c r="DP82" s="148"/>
      <c r="DQ82" s="148"/>
      <c r="DR82" s="148"/>
      <c r="DS82" s="148"/>
      <c r="DT82" s="148"/>
      <c r="DU82" s="148"/>
      <c r="DV82" s="148"/>
      <c r="DW82" s="148"/>
      <c r="DX82" s="148"/>
      <c r="DY82" s="148"/>
      <c r="DZ82" s="148"/>
      <c r="EA82" s="148"/>
      <c r="EB82" s="148"/>
      <c r="EC82" s="148"/>
      <c r="ED82" s="148"/>
      <c r="EE82" s="148"/>
      <c r="EF82" s="148"/>
      <c r="EG82" s="148"/>
      <c r="EH82" s="148"/>
      <c r="EI82" s="148"/>
      <c r="EJ82" s="148"/>
      <c r="EK82" s="148"/>
      <c r="EL82" s="148"/>
      <c r="EM82" s="148"/>
      <c r="EN82" s="148"/>
      <c r="EO82" s="148"/>
      <c r="EP82" s="148"/>
      <c r="EQ82" s="148"/>
      <c r="ER82" s="148"/>
      <c r="ES82" s="148"/>
      <c r="ET82" s="148"/>
      <c r="EU82" s="148"/>
      <c r="EV82" s="148"/>
      <c r="EW82" s="148"/>
      <c r="EX82" s="148"/>
      <c r="EY82" s="148"/>
      <c r="EZ82" s="148"/>
      <c r="FA82" s="148"/>
      <c r="FB82" s="148"/>
      <c r="FC82" s="148"/>
      <c r="FD82" s="148"/>
      <c r="FE82" s="148"/>
      <c r="FF82" s="148"/>
      <c r="FG82" s="148"/>
      <c r="FH82" s="148"/>
      <c r="FI82" s="148"/>
      <c r="FJ82" s="148"/>
      <c r="FK82" s="148"/>
      <c r="FL82" s="148"/>
      <c r="FM82" s="148"/>
      <c r="FN82" s="148"/>
      <c r="FO82" s="148"/>
      <c r="FP82" s="148"/>
      <c r="FQ82" s="148"/>
      <c r="FR82" s="148"/>
    </row>
    <row r="83" spans="1:174" s="15" customFormat="1" ht="13.5" customHeight="1" x14ac:dyDescent="0.2">
      <c r="A83" s="148"/>
      <c r="B83" s="307">
        <v>72</v>
      </c>
      <c r="C83" s="307" t="s">
        <v>38</v>
      </c>
      <c r="D83" s="307" t="s">
        <v>1575</v>
      </c>
      <c r="E83" s="321" t="s">
        <v>1576</v>
      </c>
      <c r="F83" s="533" t="s">
        <v>45</v>
      </c>
      <c r="G83" s="533" t="s">
        <v>1411</v>
      </c>
      <c r="H83" s="553" t="s">
        <v>1539</v>
      </c>
      <c r="I83" s="534" t="s">
        <v>43</v>
      </c>
      <c r="J83" s="535">
        <v>150824</v>
      </c>
      <c r="K83" s="535">
        <v>0</v>
      </c>
      <c r="L83" s="535">
        <v>0</v>
      </c>
      <c r="M83" s="454"/>
      <c r="N83" s="454">
        <v>147506</v>
      </c>
      <c r="O83" s="454"/>
      <c r="P83" s="547"/>
      <c r="Q83" s="538"/>
      <c r="R83" s="538"/>
      <c r="S83" s="535">
        <f t="shared" si="3"/>
        <v>147506</v>
      </c>
      <c r="T83" s="539">
        <v>147506</v>
      </c>
      <c r="U83" s="540">
        <v>3</v>
      </c>
      <c r="V83" s="542">
        <v>44202</v>
      </c>
      <c r="W83" s="542">
        <v>44231</v>
      </c>
      <c r="X83" s="539"/>
      <c r="Y83" s="544"/>
      <c r="Z83" s="542"/>
      <c r="AA83" s="542"/>
      <c r="AB83" s="539"/>
      <c r="AC83" s="544"/>
      <c r="AD83" s="540"/>
      <c r="AE83" s="542"/>
      <c r="AF83" s="554"/>
      <c r="AG83" s="542"/>
      <c r="AH83" s="542"/>
      <c r="AI83" s="542"/>
      <c r="AJ83" s="554"/>
      <c r="AK83" s="542"/>
      <c r="AL83" s="542"/>
      <c r="AM83" s="542"/>
      <c r="AN83" s="542"/>
      <c r="AO83" s="542"/>
      <c r="AP83" s="542"/>
      <c r="AQ83" s="542"/>
      <c r="AR83" s="22">
        <f t="shared" si="4"/>
        <v>147506</v>
      </c>
      <c r="AS83" s="546">
        <f t="shared" si="5"/>
        <v>0</v>
      </c>
      <c r="AT83" s="148"/>
      <c r="AU83" s="148"/>
      <c r="AV83" s="148"/>
      <c r="AW83" s="148"/>
      <c r="AX83" s="148"/>
      <c r="AY83" s="148"/>
      <c r="AZ83" s="148"/>
      <c r="BA83" s="148"/>
      <c r="BB83" s="148"/>
      <c r="BC83" s="148"/>
      <c r="BD83" s="148"/>
      <c r="BE83" s="148"/>
      <c r="BF83" s="148"/>
      <c r="BG83" s="148"/>
      <c r="BH83" s="148"/>
      <c r="BI83" s="148"/>
      <c r="BJ83" s="148"/>
      <c r="BK83" s="148"/>
      <c r="BL83" s="148"/>
      <c r="BM83" s="148"/>
      <c r="BN83" s="148"/>
      <c r="BO83" s="148"/>
      <c r="BP83" s="148"/>
      <c r="BQ83" s="148"/>
      <c r="BR83" s="148"/>
      <c r="BS83" s="148"/>
      <c r="BT83" s="148"/>
      <c r="BU83" s="148"/>
      <c r="BV83" s="148"/>
      <c r="BW83" s="148"/>
      <c r="BX83" s="148"/>
      <c r="BY83" s="148"/>
      <c r="BZ83" s="148"/>
      <c r="CA83" s="148"/>
      <c r="CB83" s="148"/>
      <c r="CC83" s="148"/>
      <c r="CD83" s="148"/>
      <c r="CE83" s="148"/>
      <c r="CF83" s="148"/>
      <c r="CG83" s="148"/>
      <c r="CH83" s="148"/>
      <c r="CI83" s="148"/>
      <c r="CJ83" s="148"/>
      <c r="CK83" s="148"/>
      <c r="CL83" s="148"/>
      <c r="CM83" s="148"/>
      <c r="CN83" s="148"/>
      <c r="CO83" s="148"/>
      <c r="CP83" s="148"/>
      <c r="CQ83" s="148"/>
      <c r="CR83" s="148"/>
      <c r="CS83" s="148"/>
      <c r="CT83" s="148"/>
      <c r="CU83" s="148"/>
      <c r="CV83" s="148"/>
      <c r="CW83" s="148"/>
      <c r="CX83" s="148"/>
      <c r="CY83" s="148"/>
      <c r="CZ83" s="148"/>
      <c r="DA83" s="148"/>
      <c r="DB83" s="148"/>
      <c r="DC83" s="148"/>
      <c r="DD83" s="148"/>
      <c r="DE83" s="148"/>
      <c r="DF83" s="148"/>
      <c r="DG83" s="148"/>
      <c r="DH83" s="148"/>
      <c r="DI83" s="148"/>
      <c r="DJ83" s="148"/>
      <c r="DK83" s="148"/>
      <c r="DL83" s="148"/>
      <c r="DM83" s="148"/>
      <c r="DN83" s="148"/>
      <c r="DO83" s="148"/>
      <c r="DP83" s="148"/>
      <c r="DQ83" s="148"/>
      <c r="DR83" s="148"/>
      <c r="DS83" s="148"/>
      <c r="DT83" s="148"/>
      <c r="DU83" s="148"/>
      <c r="DV83" s="148"/>
      <c r="DW83" s="148"/>
      <c r="DX83" s="148"/>
      <c r="DY83" s="148"/>
      <c r="DZ83" s="148"/>
      <c r="EA83" s="148"/>
      <c r="EB83" s="148"/>
      <c r="EC83" s="148"/>
      <c r="ED83" s="148"/>
      <c r="EE83" s="148"/>
      <c r="EF83" s="148"/>
      <c r="EG83" s="148"/>
      <c r="EH83" s="148"/>
      <c r="EI83" s="148"/>
      <c r="EJ83" s="148"/>
      <c r="EK83" s="148"/>
      <c r="EL83" s="148"/>
      <c r="EM83" s="148"/>
      <c r="EN83" s="148"/>
      <c r="EO83" s="148"/>
      <c r="EP83" s="148"/>
      <c r="EQ83" s="148"/>
      <c r="ER83" s="148"/>
      <c r="ES83" s="148"/>
      <c r="ET83" s="148"/>
      <c r="EU83" s="148"/>
      <c r="EV83" s="148"/>
      <c r="EW83" s="148"/>
      <c r="EX83" s="148"/>
      <c r="EY83" s="148"/>
      <c r="EZ83" s="148"/>
      <c r="FA83" s="148"/>
      <c r="FB83" s="148"/>
      <c r="FC83" s="148"/>
      <c r="FD83" s="148"/>
      <c r="FE83" s="148"/>
      <c r="FF83" s="148"/>
      <c r="FG83" s="148"/>
      <c r="FH83" s="148"/>
      <c r="FI83" s="148"/>
      <c r="FJ83" s="148"/>
      <c r="FK83" s="148"/>
      <c r="FL83" s="148"/>
      <c r="FM83" s="148"/>
      <c r="FN83" s="148"/>
      <c r="FO83" s="148"/>
      <c r="FP83" s="148"/>
      <c r="FQ83" s="148"/>
      <c r="FR83" s="148"/>
    </row>
    <row r="84" spans="1:174" s="15" customFormat="1" ht="13.5" customHeight="1" x14ac:dyDescent="0.2">
      <c r="A84" s="148"/>
      <c r="B84" s="307">
        <v>73</v>
      </c>
      <c r="C84" s="307" t="s">
        <v>38</v>
      </c>
      <c r="D84" s="307" t="s">
        <v>1577</v>
      </c>
      <c r="E84" s="321" t="s">
        <v>1578</v>
      </c>
      <c r="F84" s="533" t="s">
        <v>45</v>
      </c>
      <c r="G84" s="533" t="s">
        <v>1411</v>
      </c>
      <c r="H84" s="553" t="s">
        <v>1464</v>
      </c>
      <c r="I84" s="534" t="s">
        <v>43</v>
      </c>
      <c r="J84" s="535">
        <v>117661</v>
      </c>
      <c r="K84" s="535">
        <v>0</v>
      </c>
      <c r="L84" s="535">
        <v>0</v>
      </c>
      <c r="M84" s="454"/>
      <c r="N84" s="454">
        <v>115072</v>
      </c>
      <c r="O84" s="454"/>
      <c r="P84" s="547"/>
      <c r="Q84" s="538"/>
      <c r="R84" s="538"/>
      <c r="S84" s="535">
        <f t="shared" si="3"/>
        <v>115072</v>
      </c>
      <c r="T84" s="539">
        <v>115072</v>
      </c>
      <c r="U84" s="540">
        <v>3</v>
      </c>
      <c r="V84" s="542">
        <v>44202</v>
      </c>
      <c r="W84" s="542">
        <v>44231</v>
      </c>
      <c r="X84" s="539"/>
      <c r="Y84" s="544"/>
      <c r="Z84" s="542"/>
      <c r="AA84" s="542"/>
      <c r="AB84" s="539"/>
      <c r="AC84" s="544"/>
      <c r="AD84" s="540"/>
      <c r="AE84" s="542"/>
      <c r="AF84" s="554"/>
      <c r="AG84" s="542"/>
      <c r="AH84" s="542"/>
      <c r="AI84" s="542"/>
      <c r="AJ84" s="554"/>
      <c r="AK84" s="542"/>
      <c r="AL84" s="542"/>
      <c r="AM84" s="542"/>
      <c r="AN84" s="542"/>
      <c r="AO84" s="542"/>
      <c r="AP84" s="542"/>
      <c r="AQ84" s="542"/>
      <c r="AR84" s="22">
        <f t="shared" si="4"/>
        <v>115072</v>
      </c>
      <c r="AS84" s="546">
        <f t="shared" si="5"/>
        <v>0</v>
      </c>
      <c r="AT84" s="148"/>
      <c r="AU84" s="148"/>
      <c r="AV84" s="148"/>
      <c r="AW84" s="148"/>
      <c r="AX84" s="148"/>
      <c r="AY84" s="148"/>
      <c r="AZ84" s="148"/>
      <c r="BA84" s="148"/>
      <c r="BB84" s="148"/>
      <c r="BC84" s="148"/>
      <c r="BD84" s="148"/>
      <c r="BE84" s="148"/>
      <c r="BF84" s="148"/>
      <c r="BG84" s="148"/>
      <c r="BH84" s="148"/>
      <c r="BI84" s="148"/>
      <c r="BJ84" s="148"/>
      <c r="BK84" s="148"/>
      <c r="BL84" s="148"/>
      <c r="BM84" s="148"/>
      <c r="BN84" s="148"/>
      <c r="BO84" s="148"/>
      <c r="BP84" s="148"/>
      <c r="BQ84" s="148"/>
      <c r="BR84" s="148"/>
      <c r="BS84" s="148"/>
      <c r="BT84" s="148"/>
      <c r="BU84" s="148"/>
      <c r="BV84" s="148"/>
      <c r="BW84" s="148"/>
      <c r="BX84" s="148"/>
      <c r="BY84" s="148"/>
      <c r="BZ84" s="148"/>
      <c r="CA84" s="148"/>
      <c r="CB84" s="148"/>
      <c r="CC84" s="148"/>
      <c r="CD84" s="148"/>
      <c r="CE84" s="148"/>
      <c r="CF84" s="148"/>
      <c r="CG84" s="148"/>
      <c r="CH84" s="148"/>
      <c r="CI84" s="148"/>
      <c r="CJ84" s="148"/>
      <c r="CK84" s="148"/>
      <c r="CL84" s="148"/>
      <c r="CM84" s="148"/>
      <c r="CN84" s="148"/>
      <c r="CO84" s="148"/>
      <c r="CP84" s="148"/>
      <c r="CQ84" s="148"/>
      <c r="CR84" s="148"/>
      <c r="CS84" s="148"/>
      <c r="CT84" s="148"/>
      <c r="CU84" s="148"/>
      <c r="CV84" s="148"/>
      <c r="CW84" s="148"/>
      <c r="CX84" s="148"/>
      <c r="CY84" s="148"/>
      <c r="CZ84" s="148"/>
      <c r="DA84" s="148"/>
      <c r="DB84" s="148"/>
      <c r="DC84" s="148"/>
      <c r="DD84" s="148"/>
      <c r="DE84" s="148"/>
      <c r="DF84" s="148"/>
      <c r="DG84" s="148"/>
      <c r="DH84" s="148"/>
      <c r="DI84" s="148"/>
      <c r="DJ84" s="148"/>
      <c r="DK84" s="148"/>
      <c r="DL84" s="148"/>
      <c r="DM84" s="148"/>
      <c r="DN84" s="148"/>
      <c r="DO84" s="148"/>
      <c r="DP84" s="148"/>
      <c r="DQ84" s="148"/>
      <c r="DR84" s="148"/>
      <c r="DS84" s="148"/>
      <c r="DT84" s="148"/>
      <c r="DU84" s="148"/>
      <c r="DV84" s="148"/>
      <c r="DW84" s="148"/>
      <c r="DX84" s="148"/>
      <c r="DY84" s="148"/>
      <c r="DZ84" s="148"/>
      <c r="EA84" s="148"/>
      <c r="EB84" s="148"/>
      <c r="EC84" s="148"/>
      <c r="ED84" s="148"/>
      <c r="EE84" s="148"/>
      <c r="EF84" s="148"/>
      <c r="EG84" s="148"/>
      <c r="EH84" s="148"/>
      <c r="EI84" s="148"/>
      <c r="EJ84" s="148"/>
      <c r="EK84" s="148"/>
      <c r="EL84" s="148"/>
      <c r="EM84" s="148"/>
      <c r="EN84" s="148"/>
      <c r="EO84" s="148"/>
      <c r="EP84" s="148"/>
      <c r="EQ84" s="148"/>
      <c r="ER84" s="148"/>
      <c r="ES84" s="148"/>
      <c r="ET84" s="148"/>
      <c r="EU84" s="148"/>
      <c r="EV84" s="148"/>
      <c r="EW84" s="148"/>
      <c r="EX84" s="148"/>
      <c r="EY84" s="148"/>
      <c r="EZ84" s="148"/>
      <c r="FA84" s="148"/>
      <c r="FB84" s="148"/>
      <c r="FC84" s="148"/>
      <c r="FD84" s="148"/>
      <c r="FE84" s="148"/>
      <c r="FF84" s="148"/>
      <c r="FG84" s="148"/>
      <c r="FH84" s="148"/>
      <c r="FI84" s="148"/>
      <c r="FJ84" s="148"/>
      <c r="FK84" s="148"/>
      <c r="FL84" s="148"/>
      <c r="FM84" s="148"/>
      <c r="FN84" s="148"/>
      <c r="FO84" s="148"/>
      <c r="FP84" s="148"/>
      <c r="FQ84" s="148"/>
      <c r="FR84" s="148"/>
    </row>
    <row r="85" spans="1:174" s="15" customFormat="1" ht="13.5" customHeight="1" x14ac:dyDescent="0.2">
      <c r="A85" s="148"/>
      <c r="B85" s="307">
        <v>74</v>
      </c>
      <c r="C85" s="307" t="s">
        <v>38</v>
      </c>
      <c r="D85" s="307" t="s">
        <v>1579</v>
      </c>
      <c r="E85" s="321" t="s">
        <v>1580</v>
      </c>
      <c r="F85" s="533" t="s">
        <v>45</v>
      </c>
      <c r="G85" s="533" t="s">
        <v>1411</v>
      </c>
      <c r="H85" s="553" t="s">
        <v>1503</v>
      </c>
      <c r="I85" s="534" t="s">
        <v>43</v>
      </c>
      <c r="J85" s="535">
        <v>204810</v>
      </c>
      <c r="K85" s="535">
        <v>0</v>
      </c>
      <c r="L85" s="535">
        <v>0</v>
      </c>
      <c r="M85" s="454"/>
      <c r="N85" s="454">
        <v>200303</v>
      </c>
      <c r="O85" s="454"/>
      <c r="P85" s="547"/>
      <c r="Q85" s="538"/>
      <c r="R85" s="538"/>
      <c r="S85" s="535">
        <f t="shared" si="3"/>
        <v>200303</v>
      </c>
      <c r="T85" s="539">
        <v>202303</v>
      </c>
      <c r="U85" s="540">
        <v>3</v>
      </c>
      <c r="V85" s="542">
        <v>44202</v>
      </c>
      <c r="W85" s="542">
        <v>44231</v>
      </c>
      <c r="X85" s="539"/>
      <c r="Y85" s="544"/>
      <c r="Z85" s="542"/>
      <c r="AA85" s="542"/>
      <c r="AB85" s="539"/>
      <c r="AC85" s="544"/>
      <c r="AD85" s="540"/>
      <c r="AE85" s="542"/>
      <c r="AF85" s="554"/>
      <c r="AG85" s="542"/>
      <c r="AH85" s="542"/>
      <c r="AI85" s="542"/>
      <c r="AJ85" s="554"/>
      <c r="AK85" s="542"/>
      <c r="AL85" s="542"/>
      <c r="AM85" s="542"/>
      <c r="AN85" s="542"/>
      <c r="AO85" s="542"/>
      <c r="AP85" s="542"/>
      <c r="AQ85" s="542"/>
      <c r="AR85" s="22">
        <f t="shared" si="4"/>
        <v>202303</v>
      </c>
      <c r="AS85" s="546">
        <f t="shared" si="5"/>
        <v>2000</v>
      </c>
      <c r="AT85" s="148"/>
      <c r="AU85" s="148"/>
      <c r="AV85" s="148"/>
      <c r="AW85" s="148"/>
      <c r="AX85" s="148"/>
      <c r="AY85" s="148"/>
      <c r="AZ85" s="148"/>
      <c r="BA85" s="148"/>
      <c r="BB85" s="148"/>
      <c r="BC85" s="148"/>
      <c r="BD85" s="148"/>
      <c r="BE85" s="148"/>
      <c r="BF85" s="148"/>
      <c r="BG85" s="148"/>
      <c r="BH85" s="148"/>
      <c r="BI85" s="148"/>
      <c r="BJ85" s="148"/>
      <c r="BK85" s="148"/>
      <c r="BL85" s="148"/>
      <c r="BM85" s="148"/>
      <c r="BN85" s="148"/>
      <c r="BO85" s="148"/>
      <c r="BP85" s="148"/>
      <c r="BQ85" s="148"/>
      <c r="BR85" s="148"/>
      <c r="BS85" s="148"/>
      <c r="BT85" s="148"/>
      <c r="BU85" s="148"/>
      <c r="BV85" s="148"/>
      <c r="BW85" s="148"/>
      <c r="BX85" s="148"/>
      <c r="BY85" s="148"/>
      <c r="BZ85" s="148"/>
      <c r="CA85" s="148"/>
      <c r="CB85" s="148"/>
      <c r="CC85" s="148"/>
      <c r="CD85" s="148"/>
      <c r="CE85" s="148"/>
      <c r="CF85" s="148"/>
      <c r="CG85" s="148"/>
      <c r="CH85" s="148"/>
      <c r="CI85" s="148"/>
      <c r="CJ85" s="148"/>
      <c r="CK85" s="148"/>
      <c r="CL85" s="148"/>
      <c r="CM85" s="148"/>
      <c r="CN85" s="148"/>
      <c r="CO85" s="148"/>
      <c r="CP85" s="148"/>
      <c r="CQ85" s="148"/>
      <c r="CR85" s="148"/>
      <c r="CS85" s="148"/>
      <c r="CT85" s="148"/>
      <c r="CU85" s="148"/>
      <c r="CV85" s="148"/>
      <c r="CW85" s="148"/>
      <c r="CX85" s="148"/>
      <c r="CY85" s="148"/>
      <c r="CZ85" s="148"/>
      <c r="DA85" s="148"/>
      <c r="DB85" s="148"/>
      <c r="DC85" s="148"/>
      <c r="DD85" s="148"/>
      <c r="DE85" s="148"/>
      <c r="DF85" s="148"/>
      <c r="DG85" s="148"/>
      <c r="DH85" s="148"/>
      <c r="DI85" s="148"/>
      <c r="DJ85" s="148"/>
      <c r="DK85" s="148"/>
      <c r="DL85" s="148"/>
      <c r="DM85" s="148"/>
      <c r="DN85" s="148"/>
      <c r="DO85" s="148"/>
      <c r="DP85" s="148"/>
      <c r="DQ85" s="148"/>
      <c r="DR85" s="148"/>
      <c r="DS85" s="148"/>
      <c r="DT85" s="148"/>
      <c r="DU85" s="148"/>
      <c r="DV85" s="148"/>
      <c r="DW85" s="148"/>
      <c r="DX85" s="148"/>
      <c r="DY85" s="148"/>
      <c r="DZ85" s="148"/>
      <c r="EA85" s="148"/>
      <c r="EB85" s="148"/>
      <c r="EC85" s="148"/>
      <c r="ED85" s="148"/>
      <c r="EE85" s="148"/>
      <c r="EF85" s="148"/>
      <c r="EG85" s="148"/>
      <c r="EH85" s="148"/>
      <c r="EI85" s="148"/>
      <c r="EJ85" s="148"/>
      <c r="EK85" s="148"/>
      <c r="EL85" s="148"/>
      <c r="EM85" s="148"/>
      <c r="EN85" s="148"/>
      <c r="EO85" s="148"/>
      <c r="EP85" s="148"/>
      <c r="EQ85" s="148"/>
      <c r="ER85" s="148"/>
      <c r="ES85" s="148"/>
      <c r="ET85" s="148"/>
      <c r="EU85" s="148"/>
      <c r="EV85" s="148"/>
      <c r="EW85" s="148"/>
      <c r="EX85" s="148"/>
      <c r="EY85" s="148"/>
      <c r="EZ85" s="148"/>
      <c r="FA85" s="148"/>
      <c r="FB85" s="148"/>
      <c r="FC85" s="148"/>
      <c r="FD85" s="148"/>
      <c r="FE85" s="148"/>
      <c r="FF85" s="148"/>
      <c r="FG85" s="148"/>
      <c r="FH85" s="148"/>
      <c r="FI85" s="148"/>
      <c r="FJ85" s="148"/>
      <c r="FK85" s="148"/>
      <c r="FL85" s="148"/>
      <c r="FM85" s="148"/>
      <c r="FN85" s="148"/>
      <c r="FO85" s="148"/>
      <c r="FP85" s="148"/>
      <c r="FQ85" s="148"/>
      <c r="FR85" s="148"/>
    </row>
    <row r="86" spans="1:174" s="15" customFormat="1" ht="13.5" customHeight="1" x14ac:dyDescent="0.2">
      <c r="A86" s="148"/>
      <c r="B86" s="307">
        <v>75</v>
      </c>
      <c r="C86" s="307" t="s">
        <v>38</v>
      </c>
      <c r="D86" s="307" t="s">
        <v>1581</v>
      </c>
      <c r="E86" s="321" t="s">
        <v>1582</v>
      </c>
      <c r="F86" s="533" t="s">
        <v>45</v>
      </c>
      <c r="G86" s="533" t="s">
        <v>1411</v>
      </c>
      <c r="H86" s="553" t="s">
        <v>1530</v>
      </c>
      <c r="I86" s="534" t="s">
        <v>43</v>
      </c>
      <c r="J86" s="535">
        <v>435323</v>
      </c>
      <c r="K86" s="535">
        <v>0</v>
      </c>
      <c r="L86" s="535">
        <v>0</v>
      </c>
      <c r="M86" s="454"/>
      <c r="N86" s="454"/>
      <c r="O86" s="454"/>
      <c r="P86" s="547"/>
      <c r="Q86" s="538"/>
      <c r="R86" s="538"/>
      <c r="S86" s="535">
        <f t="shared" si="3"/>
        <v>0</v>
      </c>
      <c r="T86" s="539">
        <v>410108</v>
      </c>
      <c r="U86" s="540">
        <v>3</v>
      </c>
      <c r="V86" s="542">
        <v>44202</v>
      </c>
      <c r="W86" s="542">
        <v>44231</v>
      </c>
      <c r="X86" s="539"/>
      <c r="Y86" s="544"/>
      <c r="Z86" s="542"/>
      <c r="AA86" s="542"/>
      <c r="AB86" s="539"/>
      <c r="AC86" s="544"/>
      <c r="AD86" s="540"/>
      <c r="AE86" s="542"/>
      <c r="AF86" s="554"/>
      <c r="AG86" s="542"/>
      <c r="AH86" s="542"/>
      <c r="AI86" s="542"/>
      <c r="AJ86" s="554"/>
      <c r="AK86" s="542"/>
      <c r="AL86" s="542"/>
      <c r="AM86" s="542"/>
      <c r="AN86" s="542"/>
      <c r="AO86" s="542"/>
      <c r="AP86" s="542"/>
      <c r="AQ86" s="542"/>
      <c r="AR86" s="22">
        <f t="shared" si="4"/>
        <v>410108</v>
      </c>
      <c r="AS86" s="546">
        <f t="shared" si="5"/>
        <v>410108</v>
      </c>
      <c r="AT86" s="148"/>
      <c r="AU86" s="148"/>
      <c r="AV86" s="148"/>
      <c r="AW86" s="148"/>
      <c r="AX86" s="148"/>
      <c r="AY86" s="148"/>
      <c r="AZ86" s="148"/>
      <c r="BA86" s="148"/>
      <c r="BB86" s="148"/>
      <c r="BC86" s="148"/>
      <c r="BD86" s="148"/>
      <c r="BE86" s="148"/>
      <c r="BF86" s="148"/>
      <c r="BG86" s="148"/>
      <c r="BH86" s="148"/>
      <c r="BI86" s="148"/>
      <c r="BJ86" s="148"/>
      <c r="BK86" s="148"/>
      <c r="BL86" s="148"/>
      <c r="BM86" s="148"/>
      <c r="BN86" s="148"/>
      <c r="BO86" s="148"/>
      <c r="BP86" s="148"/>
      <c r="BQ86" s="148"/>
      <c r="BR86" s="148"/>
      <c r="BS86" s="148"/>
      <c r="BT86" s="148"/>
      <c r="BU86" s="148"/>
      <c r="BV86" s="148"/>
      <c r="BW86" s="148"/>
      <c r="BX86" s="148"/>
      <c r="BY86" s="148"/>
      <c r="BZ86" s="148"/>
      <c r="CA86" s="148"/>
      <c r="CB86" s="148"/>
      <c r="CC86" s="148"/>
      <c r="CD86" s="148"/>
      <c r="CE86" s="148"/>
      <c r="CF86" s="148"/>
      <c r="CG86" s="148"/>
      <c r="CH86" s="148"/>
      <c r="CI86" s="148"/>
      <c r="CJ86" s="148"/>
      <c r="CK86" s="148"/>
      <c r="CL86" s="148"/>
      <c r="CM86" s="148"/>
      <c r="CN86" s="148"/>
      <c r="CO86" s="148"/>
      <c r="CP86" s="148"/>
      <c r="CQ86" s="148"/>
      <c r="CR86" s="148"/>
      <c r="CS86" s="148"/>
      <c r="CT86" s="148"/>
      <c r="CU86" s="148"/>
      <c r="CV86" s="148"/>
      <c r="CW86" s="148"/>
      <c r="CX86" s="148"/>
      <c r="CY86" s="148"/>
      <c r="CZ86" s="148"/>
      <c r="DA86" s="148"/>
      <c r="DB86" s="148"/>
      <c r="DC86" s="148"/>
      <c r="DD86" s="148"/>
      <c r="DE86" s="148"/>
      <c r="DF86" s="148"/>
      <c r="DG86" s="148"/>
      <c r="DH86" s="148"/>
      <c r="DI86" s="148"/>
      <c r="DJ86" s="148"/>
      <c r="DK86" s="148"/>
      <c r="DL86" s="148"/>
      <c r="DM86" s="148"/>
      <c r="DN86" s="148"/>
      <c r="DO86" s="148"/>
      <c r="DP86" s="148"/>
      <c r="DQ86" s="148"/>
      <c r="DR86" s="148"/>
      <c r="DS86" s="148"/>
      <c r="DT86" s="148"/>
      <c r="DU86" s="148"/>
      <c r="DV86" s="148"/>
      <c r="DW86" s="148"/>
      <c r="DX86" s="148"/>
      <c r="DY86" s="148"/>
      <c r="DZ86" s="148"/>
      <c r="EA86" s="148"/>
      <c r="EB86" s="148"/>
      <c r="EC86" s="148"/>
      <c r="ED86" s="148"/>
      <c r="EE86" s="148"/>
      <c r="EF86" s="148"/>
      <c r="EG86" s="148"/>
      <c r="EH86" s="148"/>
      <c r="EI86" s="148"/>
      <c r="EJ86" s="148"/>
      <c r="EK86" s="148"/>
      <c r="EL86" s="148"/>
      <c r="EM86" s="148"/>
      <c r="EN86" s="148"/>
      <c r="EO86" s="148"/>
      <c r="EP86" s="148"/>
      <c r="EQ86" s="148"/>
      <c r="ER86" s="148"/>
      <c r="ES86" s="148"/>
      <c r="ET86" s="148"/>
      <c r="EU86" s="148"/>
      <c r="EV86" s="148"/>
      <c r="EW86" s="148"/>
      <c r="EX86" s="148"/>
      <c r="EY86" s="148"/>
      <c r="EZ86" s="148"/>
      <c r="FA86" s="148"/>
      <c r="FB86" s="148"/>
      <c r="FC86" s="148"/>
      <c r="FD86" s="148"/>
      <c r="FE86" s="148"/>
      <c r="FF86" s="148"/>
      <c r="FG86" s="148"/>
      <c r="FH86" s="148"/>
      <c r="FI86" s="148"/>
      <c r="FJ86" s="148"/>
      <c r="FK86" s="148"/>
      <c r="FL86" s="148"/>
      <c r="FM86" s="148"/>
      <c r="FN86" s="148"/>
      <c r="FO86" s="148"/>
      <c r="FP86" s="148"/>
      <c r="FQ86" s="148"/>
      <c r="FR86" s="148"/>
    </row>
    <row r="87" spans="1:174" s="15" customFormat="1" ht="13.5" customHeight="1" x14ac:dyDescent="0.2">
      <c r="A87" s="148"/>
      <c r="B87" s="307">
        <v>76</v>
      </c>
      <c r="C87" s="307" t="s">
        <v>38</v>
      </c>
      <c r="D87" s="307" t="s">
        <v>1583</v>
      </c>
      <c r="E87" s="321" t="s">
        <v>1584</v>
      </c>
      <c r="F87" s="533" t="s">
        <v>45</v>
      </c>
      <c r="G87" s="533" t="s">
        <v>1411</v>
      </c>
      <c r="H87" s="553" t="s">
        <v>1412</v>
      </c>
      <c r="I87" s="562" t="s">
        <v>42</v>
      </c>
      <c r="J87" s="535">
        <v>573690</v>
      </c>
      <c r="K87" s="535">
        <v>48548</v>
      </c>
      <c r="L87" s="535">
        <v>0</v>
      </c>
      <c r="M87" s="454"/>
      <c r="N87" s="454"/>
      <c r="O87" s="454"/>
      <c r="P87" s="547"/>
      <c r="Q87" s="538"/>
      <c r="R87" s="538"/>
      <c r="S87" s="535">
        <f t="shared" si="3"/>
        <v>0</v>
      </c>
      <c r="T87" s="539">
        <v>52000</v>
      </c>
      <c r="U87" s="540">
        <v>3</v>
      </c>
      <c r="V87" s="542">
        <v>44202</v>
      </c>
      <c r="W87" s="542">
        <v>44231</v>
      </c>
      <c r="X87" s="539">
        <v>82000</v>
      </c>
      <c r="Y87" s="544">
        <v>25</v>
      </c>
      <c r="Z87" s="542">
        <v>44263</v>
      </c>
      <c r="AA87" s="542">
        <v>44292</v>
      </c>
      <c r="AB87" s="539"/>
      <c r="AC87" s="544"/>
      <c r="AD87" s="540"/>
      <c r="AE87" s="542"/>
      <c r="AF87" s="554"/>
      <c r="AG87" s="542"/>
      <c r="AH87" s="542"/>
      <c r="AI87" s="542"/>
      <c r="AJ87" s="554"/>
      <c r="AK87" s="542"/>
      <c r="AL87" s="542"/>
      <c r="AM87" s="542"/>
      <c r="AN87" s="542"/>
      <c r="AO87" s="542"/>
      <c r="AP87" s="542"/>
      <c r="AQ87" s="542"/>
      <c r="AR87" s="22">
        <f t="shared" si="4"/>
        <v>134000</v>
      </c>
      <c r="AS87" s="546">
        <f t="shared" si="5"/>
        <v>134000</v>
      </c>
      <c r="AT87" s="148"/>
      <c r="AU87" s="148"/>
      <c r="AV87" s="148"/>
      <c r="AW87" s="148"/>
      <c r="AX87" s="148"/>
      <c r="AY87" s="148"/>
      <c r="AZ87" s="148"/>
      <c r="BA87" s="148"/>
      <c r="BB87" s="148"/>
      <c r="BC87" s="148"/>
      <c r="BD87" s="148"/>
      <c r="BE87" s="148"/>
      <c r="BF87" s="148"/>
      <c r="BG87" s="148"/>
      <c r="BH87" s="148"/>
      <c r="BI87" s="148"/>
      <c r="BJ87" s="148"/>
      <c r="BK87" s="148"/>
      <c r="BL87" s="148"/>
      <c r="BM87" s="148"/>
      <c r="BN87" s="148"/>
      <c r="BO87" s="148"/>
      <c r="BP87" s="148"/>
      <c r="BQ87" s="148"/>
      <c r="BR87" s="148"/>
      <c r="BS87" s="148"/>
      <c r="BT87" s="148"/>
      <c r="BU87" s="148"/>
      <c r="BV87" s="148"/>
      <c r="BW87" s="148"/>
      <c r="BX87" s="148"/>
      <c r="BY87" s="148"/>
      <c r="BZ87" s="148"/>
      <c r="CA87" s="148"/>
      <c r="CB87" s="148"/>
      <c r="CC87" s="148"/>
      <c r="CD87" s="148"/>
      <c r="CE87" s="148"/>
      <c r="CF87" s="148"/>
      <c r="CG87" s="148"/>
      <c r="CH87" s="148"/>
      <c r="CI87" s="148"/>
      <c r="CJ87" s="148"/>
      <c r="CK87" s="148"/>
      <c r="CL87" s="148"/>
      <c r="CM87" s="148"/>
      <c r="CN87" s="148"/>
      <c r="CO87" s="148"/>
      <c r="CP87" s="148"/>
      <c r="CQ87" s="148"/>
      <c r="CR87" s="148"/>
      <c r="CS87" s="148"/>
      <c r="CT87" s="148"/>
      <c r="CU87" s="148"/>
      <c r="CV87" s="148"/>
      <c r="CW87" s="148"/>
      <c r="CX87" s="148"/>
      <c r="CY87" s="148"/>
      <c r="CZ87" s="148"/>
      <c r="DA87" s="148"/>
      <c r="DB87" s="148"/>
      <c r="DC87" s="148"/>
      <c r="DD87" s="148"/>
      <c r="DE87" s="148"/>
      <c r="DF87" s="148"/>
      <c r="DG87" s="148"/>
      <c r="DH87" s="148"/>
      <c r="DI87" s="148"/>
      <c r="DJ87" s="148"/>
      <c r="DK87" s="148"/>
      <c r="DL87" s="148"/>
      <c r="DM87" s="148"/>
      <c r="DN87" s="148"/>
      <c r="DO87" s="148"/>
      <c r="DP87" s="148"/>
      <c r="DQ87" s="148"/>
      <c r="DR87" s="148"/>
      <c r="DS87" s="148"/>
      <c r="DT87" s="148"/>
      <c r="DU87" s="148"/>
      <c r="DV87" s="148"/>
      <c r="DW87" s="148"/>
      <c r="DX87" s="148"/>
      <c r="DY87" s="148"/>
      <c r="DZ87" s="148"/>
      <c r="EA87" s="148"/>
      <c r="EB87" s="148"/>
      <c r="EC87" s="148"/>
      <c r="ED87" s="148"/>
      <c r="EE87" s="148"/>
      <c r="EF87" s="148"/>
      <c r="EG87" s="148"/>
      <c r="EH87" s="148"/>
      <c r="EI87" s="148"/>
      <c r="EJ87" s="148"/>
      <c r="EK87" s="148"/>
      <c r="EL87" s="148"/>
      <c r="EM87" s="148"/>
      <c r="EN87" s="148"/>
      <c r="EO87" s="148"/>
      <c r="EP87" s="148"/>
      <c r="EQ87" s="148"/>
      <c r="ER87" s="148"/>
      <c r="ES87" s="148"/>
      <c r="ET87" s="148"/>
      <c r="EU87" s="148"/>
      <c r="EV87" s="148"/>
      <c r="EW87" s="148"/>
      <c r="EX87" s="148"/>
      <c r="EY87" s="148"/>
      <c r="EZ87" s="148"/>
      <c r="FA87" s="148"/>
      <c r="FB87" s="148"/>
      <c r="FC87" s="148"/>
      <c r="FD87" s="148"/>
      <c r="FE87" s="148"/>
      <c r="FF87" s="148"/>
      <c r="FG87" s="148"/>
      <c r="FH87" s="148"/>
      <c r="FI87" s="148"/>
      <c r="FJ87" s="148"/>
      <c r="FK87" s="148"/>
      <c r="FL87" s="148"/>
      <c r="FM87" s="148"/>
      <c r="FN87" s="148"/>
      <c r="FO87" s="148"/>
      <c r="FP87" s="148"/>
      <c r="FQ87" s="148"/>
      <c r="FR87" s="148"/>
    </row>
    <row r="88" spans="1:174" s="15" customFormat="1" ht="13.5" customHeight="1" x14ac:dyDescent="0.2">
      <c r="A88" s="148"/>
      <c r="B88" s="307">
        <v>77</v>
      </c>
      <c r="C88" s="307" t="s">
        <v>38</v>
      </c>
      <c r="D88" s="307" t="s">
        <v>1585</v>
      </c>
      <c r="E88" s="321" t="s">
        <v>1586</v>
      </c>
      <c r="F88" s="533" t="s">
        <v>45</v>
      </c>
      <c r="G88" s="533" t="s">
        <v>1411</v>
      </c>
      <c r="H88" s="553" t="s">
        <v>1412</v>
      </c>
      <c r="I88" s="534" t="s">
        <v>43</v>
      </c>
      <c r="J88" s="535">
        <v>650792</v>
      </c>
      <c r="K88" s="535">
        <v>0</v>
      </c>
      <c r="L88" s="535">
        <v>0</v>
      </c>
      <c r="M88" s="454"/>
      <c r="N88" s="454"/>
      <c r="O88" s="454"/>
      <c r="P88" s="547"/>
      <c r="Q88" s="538"/>
      <c r="R88" s="538"/>
      <c r="S88" s="535">
        <f t="shared" si="3"/>
        <v>0</v>
      </c>
      <c r="T88" s="539">
        <v>200000</v>
      </c>
      <c r="U88" s="540">
        <v>3</v>
      </c>
      <c r="V88" s="542">
        <v>44202</v>
      </c>
      <c r="W88" s="542">
        <v>44231</v>
      </c>
      <c r="X88" s="539"/>
      <c r="Y88" s="544"/>
      <c r="Z88" s="542"/>
      <c r="AA88" s="542"/>
      <c r="AB88" s="539"/>
      <c r="AC88" s="544"/>
      <c r="AD88" s="540"/>
      <c r="AE88" s="542"/>
      <c r="AF88" s="554"/>
      <c r="AG88" s="542"/>
      <c r="AH88" s="542"/>
      <c r="AI88" s="542"/>
      <c r="AJ88" s="554"/>
      <c r="AK88" s="542"/>
      <c r="AL88" s="542"/>
      <c r="AM88" s="542"/>
      <c r="AN88" s="542"/>
      <c r="AO88" s="542"/>
      <c r="AP88" s="542"/>
      <c r="AQ88" s="542"/>
      <c r="AR88" s="22">
        <f t="shared" si="4"/>
        <v>200000</v>
      </c>
      <c r="AS88" s="546">
        <f t="shared" si="5"/>
        <v>200000</v>
      </c>
      <c r="AT88" s="148"/>
      <c r="AU88" s="148"/>
      <c r="AV88" s="148"/>
      <c r="AW88" s="148"/>
      <c r="AX88" s="148"/>
      <c r="AY88" s="148"/>
      <c r="AZ88" s="148"/>
      <c r="BA88" s="148"/>
      <c r="BB88" s="148"/>
      <c r="BC88" s="148"/>
      <c r="BD88" s="148"/>
      <c r="BE88" s="148"/>
      <c r="BF88" s="148"/>
      <c r="BG88" s="148"/>
      <c r="BH88" s="148"/>
      <c r="BI88" s="148"/>
      <c r="BJ88" s="148"/>
      <c r="BK88" s="148"/>
      <c r="BL88" s="148"/>
      <c r="BM88" s="148"/>
      <c r="BN88" s="148"/>
      <c r="BO88" s="148"/>
      <c r="BP88" s="148"/>
      <c r="BQ88" s="148"/>
      <c r="BR88" s="148"/>
      <c r="BS88" s="148"/>
      <c r="BT88" s="148"/>
      <c r="BU88" s="148"/>
      <c r="BV88" s="148"/>
      <c r="BW88" s="148"/>
      <c r="BX88" s="148"/>
      <c r="BY88" s="148"/>
      <c r="BZ88" s="148"/>
      <c r="CA88" s="148"/>
      <c r="CB88" s="148"/>
      <c r="CC88" s="148"/>
      <c r="CD88" s="148"/>
      <c r="CE88" s="148"/>
      <c r="CF88" s="148"/>
      <c r="CG88" s="148"/>
      <c r="CH88" s="148"/>
      <c r="CI88" s="148"/>
      <c r="CJ88" s="148"/>
      <c r="CK88" s="148"/>
      <c r="CL88" s="148"/>
      <c r="CM88" s="148"/>
      <c r="CN88" s="148"/>
      <c r="CO88" s="148"/>
      <c r="CP88" s="148"/>
      <c r="CQ88" s="148"/>
      <c r="CR88" s="148"/>
      <c r="CS88" s="148"/>
      <c r="CT88" s="148"/>
      <c r="CU88" s="148"/>
      <c r="CV88" s="148"/>
      <c r="CW88" s="148"/>
      <c r="CX88" s="148"/>
      <c r="CY88" s="148"/>
      <c r="CZ88" s="148"/>
      <c r="DA88" s="148"/>
      <c r="DB88" s="148"/>
      <c r="DC88" s="148"/>
      <c r="DD88" s="148"/>
      <c r="DE88" s="148"/>
      <c r="DF88" s="148"/>
      <c r="DG88" s="148"/>
      <c r="DH88" s="148"/>
      <c r="DI88" s="148"/>
      <c r="DJ88" s="148"/>
      <c r="DK88" s="148"/>
      <c r="DL88" s="148"/>
      <c r="DM88" s="148"/>
      <c r="DN88" s="148"/>
      <c r="DO88" s="148"/>
      <c r="DP88" s="148"/>
      <c r="DQ88" s="148"/>
      <c r="DR88" s="148"/>
      <c r="DS88" s="148"/>
      <c r="DT88" s="148"/>
      <c r="DU88" s="148"/>
      <c r="DV88" s="148"/>
      <c r="DW88" s="148"/>
      <c r="DX88" s="148"/>
      <c r="DY88" s="148"/>
      <c r="DZ88" s="148"/>
      <c r="EA88" s="148"/>
      <c r="EB88" s="148"/>
      <c r="EC88" s="148"/>
      <c r="ED88" s="148"/>
      <c r="EE88" s="148"/>
      <c r="EF88" s="148"/>
      <c r="EG88" s="148"/>
      <c r="EH88" s="148"/>
      <c r="EI88" s="148"/>
      <c r="EJ88" s="148"/>
      <c r="EK88" s="148"/>
      <c r="EL88" s="148"/>
      <c r="EM88" s="148"/>
      <c r="EN88" s="148"/>
      <c r="EO88" s="148"/>
      <c r="EP88" s="148"/>
      <c r="EQ88" s="148"/>
      <c r="ER88" s="148"/>
      <c r="ES88" s="148"/>
      <c r="ET88" s="148"/>
      <c r="EU88" s="148"/>
      <c r="EV88" s="148"/>
      <c r="EW88" s="148"/>
      <c r="EX88" s="148"/>
      <c r="EY88" s="148"/>
      <c r="EZ88" s="148"/>
      <c r="FA88" s="148"/>
      <c r="FB88" s="148"/>
      <c r="FC88" s="148"/>
      <c r="FD88" s="148"/>
      <c r="FE88" s="148"/>
      <c r="FF88" s="148"/>
      <c r="FG88" s="148"/>
      <c r="FH88" s="148"/>
      <c r="FI88" s="148"/>
      <c r="FJ88" s="148"/>
      <c r="FK88" s="148"/>
      <c r="FL88" s="148"/>
      <c r="FM88" s="148"/>
      <c r="FN88" s="148"/>
      <c r="FO88" s="148"/>
      <c r="FP88" s="148"/>
      <c r="FQ88" s="148"/>
      <c r="FR88" s="148"/>
    </row>
    <row r="89" spans="1:174" s="15" customFormat="1" ht="13.5" customHeight="1" x14ac:dyDescent="0.2">
      <c r="A89" s="148"/>
      <c r="B89" s="307">
        <v>78</v>
      </c>
      <c r="C89" s="307" t="s">
        <v>38</v>
      </c>
      <c r="D89" s="307" t="s">
        <v>1587</v>
      </c>
      <c r="E89" s="321" t="s">
        <v>1588</v>
      </c>
      <c r="F89" s="533" t="s">
        <v>45</v>
      </c>
      <c r="G89" s="533" t="s">
        <v>1411</v>
      </c>
      <c r="H89" s="553" t="s">
        <v>1412</v>
      </c>
      <c r="I89" s="534" t="s">
        <v>43</v>
      </c>
      <c r="J89" s="535">
        <v>4237431</v>
      </c>
      <c r="K89" s="535">
        <v>0</v>
      </c>
      <c r="L89" s="535">
        <v>2117489</v>
      </c>
      <c r="M89" s="454"/>
      <c r="N89" s="454"/>
      <c r="O89" s="454">
        <v>27013</v>
      </c>
      <c r="P89" s="548">
        <v>64222.207999999999</v>
      </c>
      <c r="Q89" s="538">
        <v>55855.464</v>
      </c>
      <c r="R89" s="538">
        <v>372525.81400000001</v>
      </c>
      <c r="S89" s="535">
        <f t="shared" si="3"/>
        <v>519616.48600000003</v>
      </c>
      <c r="T89" s="539">
        <v>154000</v>
      </c>
      <c r="U89" s="540">
        <v>3</v>
      </c>
      <c r="V89" s="542">
        <v>44202</v>
      </c>
      <c r="W89" s="542">
        <v>44231</v>
      </c>
      <c r="X89" s="539">
        <v>600000</v>
      </c>
      <c r="Y89" s="544">
        <v>17</v>
      </c>
      <c r="Z89" s="545">
        <v>44242</v>
      </c>
      <c r="AA89" s="542">
        <v>44271</v>
      </c>
      <c r="AB89" s="539">
        <v>207344</v>
      </c>
      <c r="AC89" s="544">
        <v>25</v>
      </c>
      <c r="AD89" s="545">
        <v>44263</v>
      </c>
      <c r="AE89" s="542">
        <v>44292</v>
      </c>
      <c r="AF89" s="554">
        <v>2000</v>
      </c>
      <c r="AG89" s="544">
        <v>55</v>
      </c>
      <c r="AH89" s="545">
        <v>44323</v>
      </c>
      <c r="AI89" s="545">
        <v>44350</v>
      </c>
      <c r="AJ89" s="554"/>
      <c r="AK89" s="542"/>
      <c r="AL89" s="542"/>
      <c r="AM89" s="542"/>
      <c r="AN89" s="542"/>
      <c r="AO89" s="542"/>
      <c r="AP89" s="542"/>
      <c r="AQ89" s="542"/>
      <c r="AR89" s="22">
        <f t="shared" si="4"/>
        <v>963344</v>
      </c>
      <c r="AS89" s="546">
        <f t="shared" si="5"/>
        <v>443727.51399999997</v>
      </c>
      <c r="AT89" s="148"/>
      <c r="AU89" s="148"/>
      <c r="AV89" s="148"/>
      <c r="AW89" s="148"/>
      <c r="AX89" s="148"/>
      <c r="AY89" s="148"/>
      <c r="AZ89" s="148"/>
      <c r="BA89" s="148"/>
      <c r="BB89" s="148"/>
      <c r="BC89" s="148"/>
      <c r="BD89" s="148"/>
      <c r="BE89" s="148"/>
      <c r="BF89" s="148"/>
      <c r="BG89" s="148"/>
      <c r="BH89" s="148"/>
      <c r="BI89" s="148"/>
      <c r="BJ89" s="148"/>
      <c r="BK89" s="148"/>
      <c r="BL89" s="148"/>
      <c r="BM89" s="148"/>
      <c r="BN89" s="148"/>
      <c r="BO89" s="148"/>
      <c r="BP89" s="148"/>
      <c r="BQ89" s="148"/>
      <c r="BR89" s="148"/>
      <c r="BS89" s="148"/>
      <c r="BT89" s="148"/>
      <c r="BU89" s="148"/>
      <c r="BV89" s="148"/>
      <c r="BW89" s="148"/>
      <c r="BX89" s="148"/>
      <c r="BY89" s="148"/>
      <c r="BZ89" s="148"/>
      <c r="CA89" s="148"/>
      <c r="CB89" s="148"/>
      <c r="CC89" s="148"/>
      <c r="CD89" s="148"/>
      <c r="CE89" s="148"/>
      <c r="CF89" s="148"/>
      <c r="CG89" s="148"/>
      <c r="CH89" s="148"/>
      <c r="CI89" s="148"/>
      <c r="CJ89" s="148"/>
      <c r="CK89" s="148"/>
      <c r="CL89" s="148"/>
      <c r="CM89" s="148"/>
      <c r="CN89" s="148"/>
      <c r="CO89" s="148"/>
      <c r="CP89" s="148"/>
      <c r="CQ89" s="148"/>
      <c r="CR89" s="148"/>
      <c r="CS89" s="148"/>
      <c r="CT89" s="148"/>
      <c r="CU89" s="148"/>
      <c r="CV89" s="148"/>
      <c r="CW89" s="148"/>
      <c r="CX89" s="148"/>
      <c r="CY89" s="148"/>
      <c r="CZ89" s="148"/>
      <c r="DA89" s="148"/>
      <c r="DB89" s="148"/>
      <c r="DC89" s="148"/>
      <c r="DD89" s="148"/>
      <c r="DE89" s="148"/>
      <c r="DF89" s="148"/>
      <c r="DG89" s="148"/>
      <c r="DH89" s="148"/>
      <c r="DI89" s="148"/>
      <c r="DJ89" s="148"/>
      <c r="DK89" s="148"/>
      <c r="DL89" s="148"/>
      <c r="DM89" s="148"/>
      <c r="DN89" s="148"/>
      <c r="DO89" s="148"/>
      <c r="DP89" s="148"/>
      <c r="DQ89" s="148"/>
      <c r="DR89" s="148"/>
      <c r="DS89" s="148"/>
      <c r="DT89" s="148"/>
      <c r="DU89" s="148"/>
      <c r="DV89" s="148"/>
      <c r="DW89" s="148"/>
      <c r="DX89" s="148"/>
      <c r="DY89" s="148"/>
      <c r="DZ89" s="148"/>
      <c r="EA89" s="148"/>
      <c r="EB89" s="148"/>
      <c r="EC89" s="148"/>
      <c r="ED89" s="148"/>
      <c r="EE89" s="148"/>
      <c r="EF89" s="148"/>
      <c r="EG89" s="148"/>
      <c r="EH89" s="148"/>
      <c r="EI89" s="148"/>
      <c r="EJ89" s="148"/>
      <c r="EK89" s="148"/>
      <c r="EL89" s="148"/>
      <c r="EM89" s="148"/>
      <c r="EN89" s="148"/>
      <c r="EO89" s="148"/>
      <c r="EP89" s="148"/>
      <c r="EQ89" s="148"/>
      <c r="ER89" s="148"/>
      <c r="ES89" s="148"/>
      <c r="ET89" s="148"/>
      <c r="EU89" s="148"/>
      <c r="EV89" s="148"/>
      <c r="EW89" s="148"/>
      <c r="EX89" s="148"/>
      <c r="EY89" s="148"/>
      <c r="EZ89" s="148"/>
      <c r="FA89" s="148"/>
      <c r="FB89" s="148"/>
      <c r="FC89" s="148"/>
      <c r="FD89" s="148"/>
      <c r="FE89" s="148"/>
      <c r="FF89" s="148"/>
      <c r="FG89" s="148"/>
      <c r="FH89" s="148"/>
      <c r="FI89" s="148"/>
      <c r="FJ89" s="148"/>
      <c r="FK89" s="148"/>
      <c r="FL89" s="148"/>
      <c r="FM89" s="148"/>
      <c r="FN89" s="148"/>
      <c r="FO89" s="148"/>
      <c r="FP89" s="148"/>
      <c r="FQ89" s="148"/>
      <c r="FR89" s="148"/>
    </row>
    <row r="90" spans="1:174" s="15" customFormat="1" ht="13.5" customHeight="1" x14ac:dyDescent="0.2">
      <c r="A90" s="148"/>
      <c r="B90" s="307">
        <v>79</v>
      </c>
      <c r="C90" s="307" t="s">
        <v>38</v>
      </c>
      <c r="D90" s="307" t="s">
        <v>1589</v>
      </c>
      <c r="E90" s="321" t="s">
        <v>1590</v>
      </c>
      <c r="F90" s="533" t="s">
        <v>45</v>
      </c>
      <c r="G90" s="533" t="s">
        <v>1411</v>
      </c>
      <c r="H90" s="553" t="s">
        <v>1412</v>
      </c>
      <c r="I90" s="534" t="s">
        <v>43</v>
      </c>
      <c r="J90" s="535">
        <v>1815521</v>
      </c>
      <c r="K90" s="535">
        <v>0</v>
      </c>
      <c r="L90" s="535">
        <v>1210351</v>
      </c>
      <c r="M90" s="454"/>
      <c r="N90" s="454"/>
      <c r="O90" s="454"/>
      <c r="P90" s="547"/>
      <c r="Q90" s="538"/>
      <c r="R90" s="538"/>
      <c r="S90" s="535">
        <f t="shared" si="3"/>
        <v>0</v>
      </c>
      <c r="T90" s="539">
        <v>50000</v>
      </c>
      <c r="U90" s="540">
        <v>3</v>
      </c>
      <c r="V90" s="542">
        <v>44202</v>
      </c>
      <c r="W90" s="542">
        <v>44231</v>
      </c>
      <c r="X90" s="539">
        <v>50000</v>
      </c>
      <c r="Y90" s="544">
        <v>25</v>
      </c>
      <c r="Z90" s="545">
        <v>44263</v>
      </c>
      <c r="AA90" s="542">
        <v>44292</v>
      </c>
      <c r="AB90" s="539"/>
      <c r="AC90" s="544"/>
      <c r="AD90" s="540"/>
      <c r="AE90" s="542"/>
      <c r="AF90" s="554"/>
      <c r="AG90" s="542"/>
      <c r="AH90" s="542"/>
      <c r="AI90" s="542"/>
      <c r="AJ90" s="554"/>
      <c r="AK90" s="542"/>
      <c r="AL90" s="542"/>
      <c r="AM90" s="542"/>
      <c r="AN90" s="542"/>
      <c r="AO90" s="542"/>
      <c r="AP90" s="542"/>
      <c r="AQ90" s="542"/>
      <c r="AR90" s="22">
        <f t="shared" si="4"/>
        <v>100000</v>
      </c>
      <c r="AS90" s="546">
        <f t="shared" si="5"/>
        <v>100000</v>
      </c>
      <c r="AT90" s="148"/>
      <c r="AU90" s="148"/>
      <c r="AV90" s="148"/>
      <c r="AW90" s="148"/>
      <c r="AX90" s="148"/>
      <c r="AY90" s="148"/>
      <c r="AZ90" s="148"/>
      <c r="BA90" s="148"/>
      <c r="BB90" s="148"/>
      <c r="BC90" s="148"/>
      <c r="BD90" s="148"/>
      <c r="BE90" s="148"/>
      <c r="BF90" s="148"/>
      <c r="BG90" s="148"/>
      <c r="BH90" s="148"/>
      <c r="BI90" s="148"/>
      <c r="BJ90" s="148"/>
      <c r="BK90" s="148"/>
      <c r="BL90" s="148"/>
      <c r="BM90" s="148"/>
      <c r="BN90" s="148"/>
      <c r="BO90" s="148"/>
      <c r="BP90" s="148"/>
      <c r="BQ90" s="148"/>
      <c r="BR90" s="148"/>
      <c r="BS90" s="148"/>
      <c r="BT90" s="148"/>
      <c r="BU90" s="148"/>
      <c r="BV90" s="148"/>
      <c r="BW90" s="148"/>
      <c r="BX90" s="148"/>
      <c r="BY90" s="148"/>
      <c r="BZ90" s="148"/>
      <c r="CA90" s="148"/>
      <c r="CB90" s="148"/>
      <c r="CC90" s="148"/>
      <c r="CD90" s="148"/>
      <c r="CE90" s="148"/>
      <c r="CF90" s="148"/>
      <c r="CG90" s="148"/>
      <c r="CH90" s="148"/>
      <c r="CI90" s="148"/>
      <c r="CJ90" s="148"/>
      <c r="CK90" s="148"/>
      <c r="CL90" s="148"/>
      <c r="CM90" s="148"/>
      <c r="CN90" s="148"/>
      <c r="CO90" s="148"/>
      <c r="CP90" s="148"/>
      <c r="CQ90" s="148"/>
      <c r="CR90" s="148"/>
      <c r="CS90" s="148"/>
      <c r="CT90" s="148"/>
      <c r="CU90" s="148"/>
      <c r="CV90" s="148"/>
      <c r="CW90" s="148"/>
      <c r="CX90" s="148"/>
      <c r="CY90" s="148"/>
      <c r="CZ90" s="148"/>
      <c r="DA90" s="148"/>
      <c r="DB90" s="148"/>
      <c r="DC90" s="148"/>
      <c r="DD90" s="148"/>
      <c r="DE90" s="148"/>
      <c r="DF90" s="148"/>
      <c r="DG90" s="148"/>
      <c r="DH90" s="148"/>
      <c r="DI90" s="148"/>
      <c r="DJ90" s="148"/>
      <c r="DK90" s="148"/>
      <c r="DL90" s="148"/>
      <c r="DM90" s="148"/>
      <c r="DN90" s="148"/>
      <c r="DO90" s="148"/>
      <c r="DP90" s="148"/>
      <c r="DQ90" s="148"/>
      <c r="DR90" s="148"/>
      <c r="DS90" s="148"/>
      <c r="DT90" s="148"/>
      <c r="DU90" s="148"/>
      <c r="DV90" s="148"/>
      <c r="DW90" s="148"/>
      <c r="DX90" s="148"/>
      <c r="DY90" s="148"/>
      <c r="DZ90" s="148"/>
      <c r="EA90" s="148"/>
      <c r="EB90" s="148"/>
      <c r="EC90" s="148"/>
      <c r="ED90" s="148"/>
      <c r="EE90" s="148"/>
      <c r="EF90" s="148"/>
      <c r="EG90" s="148"/>
      <c r="EH90" s="148"/>
      <c r="EI90" s="148"/>
      <c r="EJ90" s="148"/>
      <c r="EK90" s="148"/>
      <c r="EL90" s="148"/>
      <c r="EM90" s="148"/>
      <c r="EN90" s="148"/>
      <c r="EO90" s="148"/>
      <c r="EP90" s="148"/>
      <c r="EQ90" s="148"/>
      <c r="ER90" s="148"/>
      <c r="ES90" s="148"/>
      <c r="ET90" s="148"/>
      <c r="EU90" s="148"/>
      <c r="EV90" s="148"/>
      <c r="EW90" s="148"/>
      <c r="EX90" s="148"/>
      <c r="EY90" s="148"/>
      <c r="EZ90" s="148"/>
      <c r="FA90" s="148"/>
      <c r="FB90" s="148"/>
      <c r="FC90" s="148"/>
      <c r="FD90" s="148"/>
      <c r="FE90" s="148"/>
      <c r="FF90" s="148"/>
      <c r="FG90" s="148"/>
      <c r="FH90" s="148"/>
      <c r="FI90" s="148"/>
      <c r="FJ90" s="148"/>
      <c r="FK90" s="148"/>
      <c r="FL90" s="148"/>
      <c r="FM90" s="148"/>
      <c r="FN90" s="148"/>
      <c r="FO90" s="148"/>
      <c r="FP90" s="148"/>
      <c r="FQ90" s="148"/>
      <c r="FR90" s="148"/>
    </row>
    <row r="91" spans="1:174" s="15" customFormat="1" ht="13.5" customHeight="1" x14ac:dyDescent="0.2">
      <c r="A91" s="148"/>
      <c r="B91" s="307">
        <v>80</v>
      </c>
      <c r="C91" s="307" t="s">
        <v>38</v>
      </c>
      <c r="D91" s="307" t="s">
        <v>1591</v>
      </c>
      <c r="E91" s="321" t="s">
        <v>1592</v>
      </c>
      <c r="F91" s="533" t="s">
        <v>45</v>
      </c>
      <c r="G91" s="533" t="s">
        <v>1411</v>
      </c>
      <c r="H91" s="553" t="s">
        <v>1412</v>
      </c>
      <c r="I91" s="534" t="s">
        <v>43</v>
      </c>
      <c r="J91" s="535">
        <v>77873</v>
      </c>
      <c r="K91" s="535">
        <v>0</v>
      </c>
      <c r="L91" s="535">
        <v>0</v>
      </c>
      <c r="M91" s="454"/>
      <c r="N91" s="454"/>
      <c r="O91" s="454"/>
      <c r="P91" s="547"/>
      <c r="Q91" s="538"/>
      <c r="R91" s="538">
        <v>7497</v>
      </c>
      <c r="S91" s="535">
        <f t="shared" si="3"/>
        <v>7497</v>
      </c>
      <c r="T91" s="539">
        <v>10000</v>
      </c>
      <c r="U91" s="540">
        <v>3</v>
      </c>
      <c r="V91" s="542">
        <v>44202</v>
      </c>
      <c r="W91" s="542">
        <v>44231</v>
      </c>
      <c r="X91" s="539"/>
      <c r="Y91" s="544"/>
      <c r="Z91" s="540"/>
      <c r="AA91" s="542"/>
      <c r="AB91" s="539"/>
      <c r="AC91" s="544"/>
      <c r="AD91" s="540"/>
      <c r="AE91" s="542"/>
      <c r="AF91" s="554"/>
      <c r="AG91" s="542"/>
      <c r="AH91" s="542"/>
      <c r="AI91" s="542"/>
      <c r="AJ91" s="554"/>
      <c r="AK91" s="542"/>
      <c r="AL91" s="542"/>
      <c r="AM91" s="542"/>
      <c r="AN91" s="542"/>
      <c r="AO91" s="542"/>
      <c r="AP91" s="542"/>
      <c r="AQ91" s="542"/>
      <c r="AR91" s="22">
        <f t="shared" si="4"/>
        <v>10000</v>
      </c>
      <c r="AS91" s="546">
        <f t="shared" si="5"/>
        <v>2503</v>
      </c>
      <c r="AT91" s="148"/>
      <c r="AU91" s="148"/>
      <c r="AV91" s="148"/>
      <c r="AW91" s="148"/>
      <c r="AX91" s="148"/>
      <c r="AY91" s="148"/>
      <c r="AZ91" s="148"/>
      <c r="BA91" s="148"/>
      <c r="BB91" s="148"/>
      <c r="BC91" s="148"/>
      <c r="BD91" s="148"/>
      <c r="BE91" s="148"/>
      <c r="BF91" s="148"/>
      <c r="BG91" s="148"/>
      <c r="BH91" s="148"/>
      <c r="BI91" s="148"/>
      <c r="BJ91" s="148"/>
      <c r="BK91" s="148"/>
      <c r="BL91" s="148"/>
      <c r="BM91" s="148"/>
      <c r="BN91" s="148"/>
      <c r="BO91" s="148"/>
      <c r="BP91" s="148"/>
      <c r="BQ91" s="148"/>
      <c r="BR91" s="148"/>
      <c r="BS91" s="148"/>
      <c r="BT91" s="148"/>
      <c r="BU91" s="148"/>
      <c r="BV91" s="148"/>
      <c r="BW91" s="148"/>
      <c r="BX91" s="148"/>
      <c r="BY91" s="148"/>
      <c r="BZ91" s="148"/>
      <c r="CA91" s="148"/>
      <c r="CB91" s="148"/>
      <c r="CC91" s="148"/>
      <c r="CD91" s="148"/>
      <c r="CE91" s="148"/>
      <c r="CF91" s="148"/>
      <c r="CG91" s="148"/>
      <c r="CH91" s="148"/>
      <c r="CI91" s="148"/>
      <c r="CJ91" s="148"/>
      <c r="CK91" s="148"/>
      <c r="CL91" s="148"/>
      <c r="CM91" s="148"/>
      <c r="CN91" s="148"/>
      <c r="CO91" s="148"/>
      <c r="CP91" s="148"/>
      <c r="CQ91" s="148"/>
      <c r="CR91" s="148"/>
      <c r="CS91" s="148"/>
      <c r="CT91" s="148"/>
      <c r="CU91" s="148"/>
      <c r="CV91" s="148"/>
      <c r="CW91" s="148"/>
      <c r="CX91" s="148"/>
      <c r="CY91" s="148"/>
      <c r="CZ91" s="148"/>
      <c r="DA91" s="148"/>
      <c r="DB91" s="148"/>
      <c r="DC91" s="148"/>
      <c r="DD91" s="148"/>
      <c r="DE91" s="148"/>
      <c r="DF91" s="148"/>
      <c r="DG91" s="148"/>
      <c r="DH91" s="148"/>
      <c r="DI91" s="148"/>
      <c r="DJ91" s="148"/>
      <c r="DK91" s="148"/>
      <c r="DL91" s="148"/>
      <c r="DM91" s="148"/>
      <c r="DN91" s="148"/>
      <c r="DO91" s="148"/>
      <c r="DP91" s="148"/>
      <c r="DQ91" s="148"/>
      <c r="DR91" s="148"/>
      <c r="DS91" s="148"/>
      <c r="DT91" s="148"/>
      <c r="DU91" s="148"/>
      <c r="DV91" s="148"/>
      <c r="DW91" s="148"/>
      <c r="DX91" s="148"/>
      <c r="DY91" s="148"/>
      <c r="DZ91" s="148"/>
      <c r="EA91" s="148"/>
      <c r="EB91" s="148"/>
      <c r="EC91" s="148"/>
      <c r="ED91" s="148"/>
      <c r="EE91" s="148"/>
      <c r="EF91" s="148"/>
      <c r="EG91" s="148"/>
      <c r="EH91" s="148"/>
      <c r="EI91" s="148"/>
      <c r="EJ91" s="148"/>
      <c r="EK91" s="148"/>
      <c r="EL91" s="148"/>
      <c r="EM91" s="148"/>
      <c r="EN91" s="148"/>
      <c r="EO91" s="148"/>
      <c r="EP91" s="148"/>
      <c r="EQ91" s="148"/>
      <c r="ER91" s="148"/>
      <c r="ES91" s="148"/>
      <c r="ET91" s="148"/>
      <c r="EU91" s="148"/>
      <c r="EV91" s="148"/>
      <c r="EW91" s="148"/>
      <c r="EX91" s="148"/>
      <c r="EY91" s="148"/>
      <c r="EZ91" s="148"/>
      <c r="FA91" s="148"/>
      <c r="FB91" s="148"/>
      <c r="FC91" s="148"/>
      <c r="FD91" s="148"/>
      <c r="FE91" s="148"/>
      <c r="FF91" s="148"/>
      <c r="FG91" s="148"/>
      <c r="FH91" s="148"/>
      <c r="FI91" s="148"/>
      <c r="FJ91" s="148"/>
      <c r="FK91" s="148"/>
      <c r="FL91" s="148"/>
      <c r="FM91" s="148"/>
      <c r="FN91" s="148"/>
      <c r="FO91" s="148"/>
      <c r="FP91" s="148"/>
      <c r="FQ91" s="148"/>
      <c r="FR91" s="148"/>
    </row>
    <row r="92" spans="1:174" s="15" customFormat="1" ht="13.5" customHeight="1" x14ac:dyDescent="0.2">
      <c r="A92" s="148"/>
      <c r="B92" s="307">
        <v>81</v>
      </c>
      <c r="C92" s="307" t="s">
        <v>38</v>
      </c>
      <c r="D92" s="307" t="s">
        <v>1593</v>
      </c>
      <c r="E92" s="321" t="s">
        <v>1594</v>
      </c>
      <c r="F92" s="533" t="s">
        <v>45</v>
      </c>
      <c r="G92" s="533" t="s">
        <v>1411</v>
      </c>
      <c r="H92" s="553" t="s">
        <v>1595</v>
      </c>
      <c r="I92" s="562" t="s">
        <v>42</v>
      </c>
      <c r="J92" s="535">
        <v>451945</v>
      </c>
      <c r="K92" s="535">
        <v>0</v>
      </c>
      <c r="L92" s="535">
        <v>63395</v>
      </c>
      <c r="M92" s="454"/>
      <c r="N92" s="454"/>
      <c r="O92" s="454"/>
      <c r="P92" s="547"/>
      <c r="Q92" s="538"/>
      <c r="R92" s="538"/>
      <c r="S92" s="535">
        <f t="shared" si="3"/>
        <v>0</v>
      </c>
      <c r="T92" s="539">
        <v>10871</v>
      </c>
      <c r="U92" s="540">
        <v>3</v>
      </c>
      <c r="V92" s="542">
        <v>44202</v>
      </c>
      <c r="W92" s="542">
        <v>44231</v>
      </c>
      <c r="X92" s="539"/>
      <c r="Y92" s="544"/>
      <c r="Z92" s="540"/>
      <c r="AA92" s="542"/>
      <c r="AB92" s="539"/>
      <c r="AC92" s="544"/>
      <c r="AD92" s="540"/>
      <c r="AE92" s="542"/>
      <c r="AF92" s="554"/>
      <c r="AG92" s="542"/>
      <c r="AH92" s="542"/>
      <c r="AI92" s="542"/>
      <c r="AJ92" s="554"/>
      <c r="AK92" s="542"/>
      <c r="AL92" s="542"/>
      <c r="AM92" s="542"/>
      <c r="AN92" s="542"/>
      <c r="AO92" s="542"/>
      <c r="AP92" s="542"/>
      <c r="AQ92" s="542"/>
      <c r="AR92" s="22">
        <f t="shared" si="4"/>
        <v>10871</v>
      </c>
      <c r="AS92" s="546">
        <f t="shared" si="5"/>
        <v>10871</v>
      </c>
      <c r="AT92" s="148"/>
      <c r="AU92" s="148"/>
      <c r="AV92" s="148"/>
      <c r="AW92" s="148"/>
      <c r="AX92" s="148"/>
      <c r="AY92" s="148"/>
      <c r="AZ92" s="148"/>
      <c r="BA92" s="148"/>
      <c r="BB92" s="148"/>
      <c r="BC92" s="148"/>
      <c r="BD92" s="148"/>
      <c r="BE92" s="148"/>
      <c r="BF92" s="148"/>
      <c r="BG92" s="148"/>
      <c r="BH92" s="148"/>
      <c r="BI92" s="148"/>
      <c r="BJ92" s="148"/>
      <c r="BK92" s="148"/>
      <c r="BL92" s="148"/>
      <c r="BM92" s="148"/>
      <c r="BN92" s="148"/>
      <c r="BO92" s="148"/>
      <c r="BP92" s="148"/>
      <c r="BQ92" s="148"/>
      <c r="BR92" s="148"/>
      <c r="BS92" s="148"/>
      <c r="BT92" s="148"/>
      <c r="BU92" s="148"/>
      <c r="BV92" s="148"/>
      <c r="BW92" s="148"/>
      <c r="BX92" s="148"/>
      <c r="BY92" s="148"/>
      <c r="BZ92" s="148"/>
      <c r="CA92" s="148"/>
      <c r="CB92" s="148"/>
      <c r="CC92" s="148"/>
      <c r="CD92" s="148"/>
      <c r="CE92" s="148"/>
      <c r="CF92" s="148"/>
      <c r="CG92" s="148"/>
      <c r="CH92" s="148"/>
      <c r="CI92" s="148"/>
      <c r="CJ92" s="148"/>
      <c r="CK92" s="148"/>
      <c r="CL92" s="148"/>
      <c r="CM92" s="148"/>
      <c r="CN92" s="148"/>
      <c r="CO92" s="148"/>
      <c r="CP92" s="148"/>
      <c r="CQ92" s="148"/>
      <c r="CR92" s="148"/>
      <c r="CS92" s="148"/>
      <c r="CT92" s="148"/>
      <c r="CU92" s="148"/>
      <c r="CV92" s="148"/>
      <c r="CW92" s="148"/>
      <c r="CX92" s="148"/>
      <c r="CY92" s="148"/>
      <c r="CZ92" s="148"/>
      <c r="DA92" s="148"/>
      <c r="DB92" s="148"/>
      <c r="DC92" s="148"/>
      <c r="DD92" s="148"/>
      <c r="DE92" s="148"/>
      <c r="DF92" s="148"/>
      <c r="DG92" s="148"/>
      <c r="DH92" s="148"/>
      <c r="DI92" s="148"/>
      <c r="DJ92" s="148"/>
      <c r="DK92" s="148"/>
      <c r="DL92" s="148"/>
      <c r="DM92" s="148"/>
      <c r="DN92" s="148"/>
      <c r="DO92" s="148"/>
      <c r="DP92" s="148"/>
      <c r="DQ92" s="148"/>
      <c r="DR92" s="148"/>
      <c r="DS92" s="148"/>
      <c r="DT92" s="148"/>
      <c r="DU92" s="148"/>
      <c r="DV92" s="148"/>
      <c r="DW92" s="148"/>
      <c r="DX92" s="148"/>
      <c r="DY92" s="148"/>
      <c r="DZ92" s="148"/>
      <c r="EA92" s="148"/>
      <c r="EB92" s="148"/>
      <c r="EC92" s="148"/>
      <c r="ED92" s="148"/>
      <c r="EE92" s="148"/>
      <c r="EF92" s="148"/>
      <c r="EG92" s="148"/>
      <c r="EH92" s="148"/>
      <c r="EI92" s="148"/>
      <c r="EJ92" s="148"/>
      <c r="EK92" s="148"/>
      <c r="EL92" s="148"/>
      <c r="EM92" s="148"/>
      <c r="EN92" s="148"/>
      <c r="EO92" s="148"/>
      <c r="EP92" s="148"/>
      <c r="EQ92" s="148"/>
      <c r="ER92" s="148"/>
      <c r="ES92" s="148"/>
      <c r="ET92" s="148"/>
      <c r="EU92" s="148"/>
      <c r="EV92" s="148"/>
      <c r="EW92" s="148"/>
      <c r="EX92" s="148"/>
      <c r="EY92" s="148"/>
      <c r="EZ92" s="148"/>
      <c r="FA92" s="148"/>
      <c r="FB92" s="148"/>
      <c r="FC92" s="148"/>
      <c r="FD92" s="148"/>
      <c r="FE92" s="148"/>
      <c r="FF92" s="148"/>
      <c r="FG92" s="148"/>
      <c r="FH92" s="148"/>
      <c r="FI92" s="148"/>
      <c r="FJ92" s="148"/>
      <c r="FK92" s="148"/>
      <c r="FL92" s="148"/>
      <c r="FM92" s="148"/>
      <c r="FN92" s="148"/>
      <c r="FO92" s="148"/>
      <c r="FP92" s="148"/>
      <c r="FQ92" s="148"/>
      <c r="FR92" s="148"/>
    </row>
    <row r="93" spans="1:174" s="15" customFormat="1" ht="13.5" customHeight="1" x14ac:dyDescent="0.2">
      <c r="A93" s="148"/>
      <c r="B93" s="307">
        <v>82</v>
      </c>
      <c r="C93" s="307" t="s">
        <v>38</v>
      </c>
      <c r="D93" s="307" t="s">
        <v>1596</v>
      </c>
      <c r="E93" s="321" t="s">
        <v>1597</v>
      </c>
      <c r="F93" s="533" t="s">
        <v>45</v>
      </c>
      <c r="G93" s="533" t="s">
        <v>1411</v>
      </c>
      <c r="H93" s="553" t="s">
        <v>1595</v>
      </c>
      <c r="I93" s="534" t="s">
        <v>43</v>
      </c>
      <c r="J93" s="535">
        <v>3582170</v>
      </c>
      <c r="K93" s="535">
        <v>0</v>
      </c>
      <c r="L93" s="535">
        <v>539023</v>
      </c>
      <c r="M93" s="454">
        <v>320554</v>
      </c>
      <c r="N93" s="454"/>
      <c r="O93" s="454">
        <v>280008</v>
      </c>
      <c r="P93" s="548">
        <v>530009.84499999997</v>
      </c>
      <c r="Q93" s="538">
        <v>234537.05100000001</v>
      </c>
      <c r="R93" s="538">
        <v>218004.16500000001</v>
      </c>
      <c r="S93" s="535">
        <f t="shared" si="3"/>
        <v>1583113.061</v>
      </c>
      <c r="T93" s="539">
        <v>885555</v>
      </c>
      <c r="U93" s="540">
        <v>3</v>
      </c>
      <c r="V93" s="542">
        <v>44202</v>
      </c>
      <c r="W93" s="542">
        <v>44231</v>
      </c>
      <c r="X93" s="539">
        <v>560000</v>
      </c>
      <c r="Y93" s="544">
        <v>17</v>
      </c>
      <c r="Z93" s="545">
        <v>44242</v>
      </c>
      <c r="AA93" s="542">
        <v>44271</v>
      </c>
      <c r="AB93" s="539">
        <v>2500</v>
      </c>
      <c r="AC93" s="544">
        <v>25</v>
      </c>
      <c r="AD93" s="545">
        <v>44263</v>
      </c>
      <c r="AE93" s="542">
        <v>44292</v>
      </c>
      <c r="AF93" s="554">
        <v>2000</v>
      </c>
      <c r="AG93" s="544">
        <v>55</v>
      </c>
      <c r="AH93" s="545">
        <v>44323</v>
      </c>
      <c r="AI93" s="545">
        <v>44350</v>
      </c>
      <c r="AJ93" s="554">
        <v>500000</v>
      </c>
      <c r="AK93" s="544">
        <v>62</v>
      </c>
      <c r="AL93" s="542">
        <v>44327</v>
      </c>
      <c r="AM93" s="542">
        <v>44355</v>
      </c>
      <c r="AN93" s="544">
        <v>2000</v>
      </c>
      <c r="AO93" s="544">
        <v>70</v>
      </c>
      <c r="AP93" s="542">
        <v>44354</v>
      </c>
      <c r="AQ93" s="542">
        <v>44372</v>
      </c>
      <c r="AR93" s="22">
        <f t="shared" si="4"/>
        <v>1952055</v>
      </c>
      <c r="AS93" s="546">
        <f t="shared" si="5"/>
        <v>368941.93900000001</v>
      </c>
      <c r="AT93" s="148"/>
      <c r="AU93" s="148"/>
      <c r="AV93" s="148"/>
      <c r="AW93" s="148"/>
      <c r="AX93" s="148"/>
      <c r="AY93" s="148"/>
      <c r="AZ93" s="148"/>
      <c r="BA93" s="148"/>
      <c r="BB93" s="148"/>
      <c r="BC93" s="148"/>
      <c r="BD93" s="148"/>
      <c r="BE93" s="148"/>
      <c r="BF93" s="148"/>
      <c r="BG93" s="148"/>
      <c r="BH93" s="148"/>
      <c r="BI93" s="148"/>
      <c r="BJ93" s="148"/>
      <c r="BK93" s="148"/>
      <c r="BL93" s="148"/>
      <c r="BM93" s="148"/>
      <c r="BN93" s="148"/>
      <c r="BO93" s="148"/>
      <c r="BP93" s="148"/>
      <c r="BQ93" s="148"/>
      <c r="BR93" s="148"/>
      <c r="BS93" s="148"/>
      <c r="BT93" s="148"/>
      <c r="BU93" s="148"/>
      <c r="BV93" s="148"/>
      <c r="BW93" s="148"/>
      <c r="BX93" s="148"/>
      <c r="BY93" s="148"/>
      <c r="BZ93" s="148"/>
      <c r="CA93" s="148"/>
      <c r="CB93" s="148"/>
      <c r="CC93" s="148"/>
      <c r="CD93" s="148"/>
      <c r="CE93" s="148"/>
      <c r="CF93" s="148"/>
      <c r="CG93" s="148"/>
      <c r="CH93" s="148"/>
      <c r="CI93" s="148"/>
      <c r="CJ93" s="148"/>
      <c r="CK93" s="148"/>
      <c r="CL93" s="148"/>
      <c r="CM93" s="148"/>
      <c r="CN93" s="148"/>
      <c r="CO93" s="148"/>
      <c r="CP93" s="148"/>
      <c r="CQ93" s="148"/>
      <c r="CR93" s="148"/>
      <c r="CS93" s="148"/>
      <c r="CT93" s="148"/>
      <c r="CU93" s="148"/>
      <c r="CV93" s="148"/>
      <c r="CW93" s="148"/>
      <c r="CX93" s="148"/>
      <c r="CY93" s="148"/>
      <c r="CZ93" s="148"/>
      <c r="DA93" s="148"/>
      <c r="DB93" s="148"/>
      <c r="DC93" s="148"/>
      <c r="DD93" s="148"/>
      <c r="DE93" s="148"/>
      <c r="DF93" s="148"/>
      <c r="DG93" s="148"/>
      <c r="DH93" s="148"/>
      <c r="DI93" s="148"/>
      <c r="DJ93" s="148"/>
      <c r="DK93" s="148"/>
      <c r="DL93" s="148"/>
      <c r="DM93" s="148"/>
      <c r="DN93" s="148"/>
      <c r="DO93" s="148"/>
      <c r="DP93" s="148"/>
      <c r="DQ93" s="148"/>
      <c r="DR93" s="148"/>
      <c r="DS93" s="148"/>
      <c r="DT93" s="148"/>
      <c r="DU93" s="148"/>
      <c r="DV93" s="148"/>
      <c r="DW93" s="148"/>
      <c r="DX93" s="148"/>
      <c r="DY93" s="148"/>
      <c r="DZ93" s="148"/>
      <c r="EA93" s="148"/>
      <c r="EB93" s="148"/>
      <c r="EC93" s="148"/>
      <c r="ED93" s="148"/>
      <c r="EE93" s="148"/>
      <c r="EF93" s="148"/>
      <c r="EG93" s="148"/>
      <c r="EH93" s="148"/>
      <c r="EI93" s="148"/>
      <c r="EJ93" s="148"/>
      <c r="EK93" s="148"/>
      <c r="EL93" s="148"/>
      <c r="EM93" s="148"/>
      <c r="EN93" s="148"/>
      <c r="EO93" s="148"/>
      <c r="EP93" s="148"/>
      <c r="EQ93" s="148"/>
      <c r="ER93" s="148"/>
      <c r="ES93" s="148"/>
      <c r="ET93" s="148"/>
      <c r="EU93" s="148"/>
      <c r="EV93" s="148"/>
      <c r="EW93" s="148"/>
      <c r="EX93" s="148"/>
      <c r="EY93" s="148"/>
      <c r="EZ93" s="148"/>
      <c r="FA93" s="148"/>
      <c r="FB93" s="148"/>
      <c r="FC93" s="148"/>
      <c r="FD93" s="148"/>
      <c r="FE93" s="148"/>
      <c r="FF93" s="148"/>
      <c r="FG93" s="148"/>
      <c r="FH93" s="148"/>
      <c r="FI93" s="148"/>
      <c r="FJ93" s="148"/>
      <c r="FK93" s="148"/>
      <c r="FL93" s="148"/>
      <c r="FM93" s="148"/>
      <c r="FN93" s="148"/>
      <c r="FO93" s="148"/>
      <c r="FP93" s="148"/>
      <c r="FQ93" s="148"/>
      <c r="FR93" s="148"/>
    </row>
    <row r="94" spans="1:174" s="15" customFormat="1" ht="13.5" customHeight="1" x14ac:dyDescent="0.2">
      <c r="A94" s="148"/>
      <c r="B94" s="307">
        <v>83</v>
      </c>
      <c r="C94" s="307" t="s">
        <v>38</v>
      </c>
      <c r="D94" s="307" t="s">
        <v>1598</v>
      </c>
      <c r="E94" s="321" t="s">
        <v>1599</v>
      </c>
      <c r="F94" s="533" t="s">
        <v>45</v>
      </c>
      <c r="G94" s="533" t="s">
        <v>1411</v>
      </c>
      <c r="H94" s="553" t="s">
        <v>1600</v>
      </c>
      <c r="I94" s="562" t="s">
        <v>42</v>
      </c>
      <c r="J94" s="535">
        <v>6037053</v>
      </c>
      <c r="K94" s="535">
        <v>191490</v>
      </c>
      <c r="L94" s="535">
        <v>0</v>
      </c>
      <c r="M94" s="454"/>
      <c r="N94" s="454"/>
      <c r="O94" s="454"/>
      <c r="P94" s="547"/>
      <c r="Q94" s="538"/>
      <c r="R94" s="538"/>
      <c r="S94" s="535">
        <f t="shared" si="3"/>
        <v>0</v>
      </c>
      <c r="T94" s="539">
        <v>50000</v>
      </c>
      <c r="U94" s="540">
        <v>3</v>
      </c>
      <c r="V94" s="542">
        <v>44202</v>
      </c>
      <c r="W94" s="542">
        <v>44231</v>
      </c>
      <c r="X94" s="539"/>
      <c r="Y94" s="544"/>
      <c r="Z94" s="540"/>
      <c r="AA94" s="542"/>
      <c r="AB94" s="539"/>
      <c r="AC94" s="544"/>
      <c r="AD94" s="540"/>
      <c r="AE94" s="542"/>
      <c r="AF94" s="554"/>
      <c r="AG94" s="542"/>
      <c r="AH94" s="542"/>
      <c r="AI94" s="542"/>
      <c r="AJ94" s="554"/>
      <c r="AK94" s="542"/>
      <c r="AL94" s="542"/>
      <c r="AM94" s="542"/>
      <c r="AN94" s="542"/>
      <c r="AO94" s="542"/>
      <c r="AP94" s="542"/>
      <c r="AQ94" s="542"/>
      <c r="AR94" s="22">
        <f t="shared" si="4"/>
        <v>50000</v>
      </c>
      <c r="AS94" s="546">
        <f t="shared" si="5"/>
        <v>50000</v>
      </c>
      <c r="AT94" s="148"/>
      <c r="AU94" s="148"/>
      <c r="AV94" s="148"/>
      <c r="AW94" s="148"/>
      <c r="AX94" s="148"/>
      <c r="AY94" s="148"/>
      <c r="AZ94" s="148"/>
      <c r="BA94" s="148"/>
      <c r="BB94" s="148"/>
      <c r="BC94" s="148"/>
      <c r="BD94" s="148"/>
      <c r="BE94" s="148"/>
      <c r="BF94" s="148"/>
      <c r="BG94" s="148"/>
      <c r="BH94" s="148"/>
      <c r="BI94" s="148"/>
      <c r="BJ94" s="148"/>
      <c r="BK94" s="148"/>
      <c r="BL94" s="148"/>
      <c r="BM94" s="148"/>
      <c r="BN94" s="148"/>
      <c r="BO94" s="148"/>
      <c r="BP94" s="148"/>
      <c r="BQ94" s="148"/>
      <c r="BR94" s="148"/>
      <c r="BS94" s="148"/>
      <c r="BT94" s="148"/>
      <c r="BU94" s="148"/>
      <c r="BV94" s="148"/>
      <c r="BW94" s="148"/>
      <c r="BX94" s="148"/>
      <c r="BY94" s="148"/>
      <c r="BZ94" s="148"/>
      <c r="CA94" s="148"/>
      <c r="CB94" s="148"/>
      <c r="CC94" s="148"/>
      <c r="CD94" s="148"/>
      <c r="CE94" s="148"/>
      <c r="CF94" s="148"/>
      <c r="CG94" s="148"/>
      <c r="CH94" s="148"/>
      <c r="CI94" s="148"/>
      <c r="CJ94" s="148"/>
      <c r="CK94" s="148"/>
      <c r="CL94" s="148"/>
      <c r="CM94" s="148"/>
      <c r="CN94" s="148"/>
      <c r="CO94" s="148"/>
      <c r="CP94" s="148"/>
      <c r="CQ94" s="148"/>
      <c r="CR94" s="148"/>
      <c r="CS94" s="148"/>
      <c r="CT94" s="148"/>
      <c r="CU94" s="148"/>
      <c r="CV94" s="148"/>
      <c r="CW94" s="148"/>
      <c r="CX94" s="148"/>
      <c r="CY94" s="148"/>
      <c r="CZ94" s="148"/>
      <c r="DA94" s="148"/>
      <c r="DB94" s="148"/>
      <c r="DC94" s="148"/>
      <c r="DD94" s="148"/>
      <c r="DE94" s="148"/>
      <c r="DF94" s="148"/>
      <c r="DG94" s="148"/>
      <c r="DH94" s="148"/>
      <c r="DI94" s="148"/>
      <c r="DJ94" s="148"/>
      <c r="DK94" s="148"/>
      <c r="DL94" s="148"/>
      <c r="DM94" s="148"/>
      <c r="DN94" s="148"/>
      <c r="DO94" s="148"/>
      <c r="DP94" s="148"/>
      <c r="DQ94" s="148"/>
      <c r="DR94" s="148"/>
      <c r="DS94" s="148"/>
      <c r="DT94" s="148"/>
      <c r="DU94" s="148"/>
      <c r="DV94" s="148"/>
      <c r="DW94" s="148"/>
      <c r="DX94" s="148"/>
      <c r="DY94" s="148"/>
      <c r="DZ94" s="148"/>
      <c r="EA94" s="148"/>
      <c r="EB94" s="148"/>
      <c r="EC94" s="148"/>
      <c r="ED94" s="148"/>
      <c r="EE94" s="148"/>
      <c r="EF94" s="148"/>
      <c r="EG94" s="148"/>
      <c r="EH94" s="148"/>
      <c r="EI94" s="148"/>
      <c r="EJ94" s="148"/>
      <c r="EK94" s="148"/>
      <c r="EL94" s="148"/>
      <c r="EM94" s="148"/>
      <c r="EN94" s="148"/>
      <c r="EO94" s="148"/>
      <c r="EP94" s="148"/>
      <c r="EQ94" s="148"/>
      <c r="ER94" s="148"/>
      <c r="ES94" s="148"/>
      <c r="ET94" s="148"/>
      <c r="EU94" s="148"/>
      <c r="EV94" s="148"/>
      <c r="EW94" s="148"/>
      <c r="EX94" s="148"/>
      <c r="EY94" s="148"/>
      <c r="EZ94" s="148"/>
      <c r="FA94" s="148"/>
      <c r="FB94" s="148"/>
      <c r="FC94" s="148"/>
      <c r="FD94" s="148"/>
      <c r="FE94" s="148"/>
      <c r="FF94" s="148"/>
      <c r="FG94" s="148"/>
      <c r="FH94" s="148"/>
      <c r="FI94" s="148"/>
      <c r="FJ94" s="148"/>
      <c r="FK94" s="148"/>
      <c r="FL94" s="148"/>
      <c r="FM94" s="148"/>
      <c r="FN94" s="148"/>
      <c r="FO94" s="148"/>
      <c r="FP94" s="148"/>
      <c r="FQ94" s="148"/>
      <c r="FR94" s="148"/>
    </row>
    <row r="95" spans="1:174" s="15" customFormat="1" ht="13.5" customHeight="1" x14ac:dyDescent="0.2">
      <c r="A95" s="148"/>
      <c r="B95" s="307">
        <v>84</v>
      </c>
      <c r="C95" s="307" t="s">
        <v>38</v>
      </c>
      <c r="D95" s="307" t="s">
        <v>1601</v>
      </c>
      <c r="E95" s="321" t="s">
        <v>1602</v>
      </c>
      <c r="F95" s="533" t="s">
        <v>45</v>
      </c>
      <c r="G95" s="533" t="s">
        <v>1411</v>
      </c>
      <c r="H95" s="553" t="s">
        <v>1603</v>
      </c>
      <c r="I95" s="562" t="s">
        <v>42</v>
      </c>
      <c r="J95" s="535">
        <v>545741</v>
      </c>
      <c r="K95" s="535">
        <v>499000</v>
      </c>
      <c r="L95" s="535">
        <v>0</v>
      </c>
      <c r="M95" s="454"/>
      <c r="N95" s="454"/>
      <c r="O95" s="454"/>
      <c r="P95" s="547"/>
      <c r="Q95" s="538"/>
      <c r="R95" s="538">
        <v>7512.2619999999997</v>
      </c>
      <c r="S95" s="535">
        <f t="shared" si="3"/>
        <v>7512.2619999999997</v>
      </c>
      <c r="T95" s="539">
        <v>40000</v>
      </c>
      <c r="U95" s="540">
        <v>3</v>
      </c>
      <c r="V95" s="542">
        <v>44202</v>
      </c>
      <c r="W95" s="542">
        <v>44231</v>
      </c>
      <c r="X95" s="539"/>
      <c r="Y95" s="544"/>
      <c r="Z95" s="540"/>
      <c r="AA95" s="542"/>
      <c r="AB95" s="539"/>
      <c r="AC95" s="544"/>
      <c r="AD95" s="540"/>
      <c r="AE95" s="542"/>
      <c r="AF95" s="554"/>
      <c r="AG95" s="542"/>
      <c r="AH95" s="542"/>
      <c r="AI95" s="542"/>
      <c r="AJ95" s="554"/>
      <c r="AK95" s="542"/>
      <c r="AL95" s="542"/>
      <c r="AM95" s="542"/>
      <c r="AN95" s="542"/>
      <c r="AO95" s="542"/>
      <c r="AP95" s="542"/>
      <c r="AQ95" s="542"/>
      <c r="AR95" s="22">
        <f t="shared" si="4"/>
        <v>40000</v>
      </c>
      <c r="AS95" s="546">
        <f t="shared" si="5"/>
        <v>32487.738000000001</v>
      </c>
      <c r="AT95" s="148"/>
      <c r="AU95" s="148"/>
      <c r="AV95" s="148"/>
      <c r="AW95" s="148"/>
      <c r="AX95" s="148"/>
      <c r="AY95" s="148"/>
      <c r="AZ95" s="148"/>
      <c r="BA95" s="148"/>
      <c r="BB95" s="148"/>
      <c r="BC95" s="148"/>
      <c r="BD95" s="148"/>
      <c r="BE95" s="148"/>
      <c r="BF95" s="148"/>
      <c r="BG95" s="148"/>
      <c r="BH95" s="148"/>
      <c r="BI95" s="148"/>
      <c r="BJ95" s="148"/>
      <c r="BK95" s="148"/>
      <c r="BL95" s="148"/>
      <c r="BM95" s="148"/>
      <c r="BN95" s="148"/>
      <c r="BO95" s="148"/>
      <c r="BP95" s="148"/>
      <c r="BQ95" s="148"/>
      <c r="BR95" s="148"/>
      <c r="BS95" s="148"/>
      <c r="BT95" s="148"/>
      <c r="BU95" s="148"/>
      <c r="BV95" s="148"/>
      <c r="BW95" s="148"/>
      <c r="BX95" s="148"/>
      <c r="BY95" s="148"/>
      <c r="BZ95" s="148"/>
      <c r="CA95" s="148"/>
      <c r="CB95" s="148"/>
      <c r="CC95" s="148"/>
      <c r="CD95" s="148"/>
      <c r="CE95" s="148"/>
      <c r="CF95" s="148"/>
      <c r="CG95" s="148"/>
      <c r="CH95" s="148"/>
      <c r="CI95" s="148"/>
      <c r="CJ95" s="148"/>
      <c r="CK95" s="148"/>
      <c r="CL95" s="148"/>
      <c r="CM95" s="148"/>
      <c r="CN95" s="148"/>
      <c r="CO95" s="148"/>
      <c r="CP95" s="148"/>
      <c r="CQ95" s="148"/>
      <c r="CR95" s="148"/>
      <c r="CS95" s="148"/>
      <c r="CT95" s="148"/>
      <c r="CU95" s="148"/>
      <c r="CV95" s="148"/>
      <c r="CW95" s="148"/>
      <c r="CX95" s="148"/>
      <c r="CY95" s="148"/>
      <c r="CZ95" s="148"/>
      <c r="DA95" s="148"/>
      <c r="DB95" s="148"/>
      <c r="DC95" s="148"/>
      <c r="DD95" s="148"/>
      <c r="DE95" s="148"/>
      <c r="DF95" s="148"/>
      <c r="DG95" s="148"/>
      <c r="DH95" s="148"/>
      <c r="DI95" s="148"/>
      <c r="DJ95" s="148"/>
      <c r="DK95" s="148"/>
      <c r="DL95" s="148"/>
      <c r="DM95" s="148"/>
      <c r="DN95" s="148"/>
      <c r="DO95" s="148"/>
      <c r="DP95" s="148"/>
      <c r="DQ95" s="148"/>
      <c r="DR95" s="148"/>
      <c r="DS95" s="148"/>
      <c r="DT95" s="148"/>
      <c r="DU95" s="148"/>
      <c r="DV95" s="148"/>
      <c r="DW95" s="148"/>
      <c r="DX95" s="148"/>
      <c r="DY95" s="148"/>
      <c r="DZ95" s="148"/>
      <c r="EA95" s="148"/>
      <c r="EB95" s="148"/>
      <c r="EC95" s="148"/>
      <c r="ED95" s="148"/>
      <c r="EE95" s="148"/>
      <c r="EF95" s="148"/>
      <c r="EG95" s="148"/>
      <c r="EH95" s="148"/>
      <c r="EI95" s="148"/>
      <c r="EJ95" s="148"/>
      <c r="EK95" s="148"/>
      <c r="EL95" s="148"/>
      <c r="EM95" s="148"/>
      <c r="EN95" s="148"/>
      <c r="EO95" s="148"/>
      <c r="EP95" s="148"/>
      <c r="EQ95" s="148"/>
      <c r="ER95" s="148"/>
      <c r="ES95" s="148"/>
      <c r="ET95" s="148"/>
      <c r="EU95" s="148"/>
      <c r="EV95" s="148"/>
      <c r="EW95" s="148"/>
      <c r="EX95" s="148"/>
      <c r="EY95" s="148"/>
      <c r="EZ95" s="148"/>
      <c r="FA95" s="148"/>
      <c r="FB95" s="148"/>
      <c r="FC95" s="148"/>
      <c r="FD95" s="148"/>
      <c r="FE95" s="148"/>
      <c r="FF95" s="148"/>
      <c r="FG95" s="148"/>
      <c r="FH95" s="148"/>
      <c r="FI95" s="148"/>
      <c r="FJ95" s="148"/>
      <c r="FK95" s="148"/>
      <c r="FL95" s="148"/>
      <c r="FM95" s="148"/>
      <c r="FN95" s="148"/>
      <c r="FO95" s="148"/>
      <c r="FP95" s="148"/>
      <c r="FQ95" s="148"/>
      <c r="FR95" s="148"/>
    </row>
    <row r="96" spans="1:174" s="15" customFormat="1" ht="13.5" customHeight="1" x14ac:dyDescent="0.2">
      <c r="A96" s="148"/>
      <c r="B96" s="307">
        <v>85</v>
      </c>
      <c r="C96" s="307" t="s">
        <v>38</v>
      </c>
      <c r="D96" s="307" t="s">
        <v>1604</v>
      </c>
      <c r="E96" s="321" t="s">
        <v>1605</v>
      </c>
      <c r="F96" s="533" t="s">
        <v>45</v>
      </c>
      <c r="G96" s="533" t="s">
        <v>1411</v>
      </c>
      <c r="H96" s="553" t="s">
        <v>1603</v>
      </c>
      <c r="I96" s="562" t="s">
        <v>42</v>
      </c>
      <c r="J96" s="535">
        <v>1066998</v>
      </c>
      <c r="K96" s="535">
        <v>945566</v>
      </c>
      <c r="L96" s="535">
        <v>0</v>
      </c>
      <c r="M96" s="454"/>
      <c r="N96" s="454"/>
      <c r="O96" s="454"/>
      <c r="P96" s="547"/>
      <c r="Q96" s="538"/>
      <c r="R96" s="538">
        <v>74552.614000000001</v>
      </c>
      <c r="S96" s="535">
        <f t="shared" si="3"/>
        <v>74552.614000000001</v>
      </c>
      <c r="T96" s="539">
        <v>88211</v>
      </c>
      <c r="U96" s="540">
        <v>3</v>
      </c>
      <c r="V96" s="542">
        <v>44202</v>
      </c>
      <c r="W96" s="542">
        <v>44231</v>
      </c>
      <c r="X96" s="539"/>
      <c r="Y96" s="544"/>
      <c r="Z96" s="540"/>
      <c r="AA96" s="542"/>
      <c r="AB96" s="539"/>
      <c r="AC96" s="544"/>
      <c r="AD96" s="540"/>
      <c r="AE96" s="542"/>
      <c r="AF96" s="554"/>
      <c r="AG96" s="542"/>
      <c r="AH96" s="542"/>
      <c r="AI96" s="542"/>
      <c r="AJ96" s="554"/>
      <c r="AK96" s="542"/>
      <c r="AL96" s="542"/>
      <c r="AM96" s="542"/>
      <c r="AN96" s="542"/>
      <c r="AO96" s="542"/>
      <c r="AP96" s="542"/>
      <c r="AQ96" s="542"/>
      <c r="AR96" s="22">
        <f t="shared" si="4"/>
        <v>88211</v>
      </c>
      <c r="AS96" s="546">
        <f t="shared" si="5"/>
        <v>13658.385999999999</v>
      </c>
      <c r="AT96" s="148"/>
      <c r="AU96" s="148"/>
      <c r="AV96" s="148"/>
      <c r="AW96" s="148"/>
      <c r="AX96" s="148"/>
      <c r="AY96" s="148"/>
      <c r="AZ96" s="148"/>
      <c r="BA96" s="148"/>
      <c r="BB96" s="148"/>
      <c r="BC96" s="148"/>
      <c r="BD96" s="148"/>
      <c r="BE96" s="148"/>
      <c r="BF96" s="148"/>
      <c r="BG96" s="148"/>
      <c r="BH96" s="148"/>
      <c r="BI96" s="148"/>
      <c r="BJ96" s="148"/>
      <c r="BK96" s="148"/>
      <c r="BL96" s="148"/>
      <c r="BM96" s="148"/>
      <c r="BN96" s="148"/>
      <c r="BO96" s="148"/>
      <c r="BP96" s="148"/>
      <c r="BQ96" s="148"/>
      <c r="BR96" s="148"/>
      <c r="BS96" s="148"/>
      <c r="BT96" s="148"/>
      <c r="BU96" s="148"/>
      <c r="BV96" s="148"/>
      <c r="BW96" s="148"/>
      <c r="BX96" s="148"/>
      <c r="BY96" s="148"/>
      <c r="BZ96" s="148"/>
      <c r="CA96" s="148"/>
      <c r="CB96" s="148"/>
      <c r="CC96" s="148"/>
      <c r="CD96" s="148"/>
      <c r="CE96" s="148"/>
      <c r="CF96" s="148"/>
      <c r="CG96" s="148"/>
      <c r="CH96" s="148"/>
      <c r="CI96" s="148"/>
      <c r="CJ96" s="148"/>
      <c r="CK96" s="148"/>
      <c r="CL96" s="148"/>
      <c r="CM96" s="148"/>
      <c r="CN96" s="148"/>
      <c r="CO96" s="148"/>
      <c r="CP96" s="148"/>
      <c r="CQ96" s="148"/>
      <c r="CR96" s="148"/>
      <c r="CS96" s="148"/>
      <c r="CT96" s="148"/>
      <c r="CU96" s="148"/>
      <c r="CV96" s="148"/>
      <c r="CW96" s="148"/>
      <c r="CX96" s="148"/>
      <c r="CY96" s="148"/>
      <c r="CZ96" s="148"/>
      <c r="DA96" s="148"/>
      <c r="DB96" s="148"/>
      <c r="DC96" s="148"/>
      <c r="DD96" s="148"/>
      <c r="DE96" s="148"/>
      <c r="DF96" s="148"/>
      <c r="DG96" s="148"/>
      <c r="DH96" s="148"/>
      <c r="DI96" s="148"/>
      <c r="DJ96" s="148"/>
      <c r="DK96" s="148"/>
      <c r="DL96" s="148"/>
      <c r="DM96" s="148"/>
      <c r="DN96" s="148"/>
      <c r="DO96" s="148"/>
      <c r="DP96" s="148"/>
      <c r="DQ96" s="148"/>
      <c r="DR96" s="148"/>
      <c r="DS96" s="148"/>
      <c r="DT96" s="148"/>
      <c r="DU96" s="148"/>
      <c r="DV96" s="148"/>
      <c r="DW96" s="148"/>
      <c r="DX96" s="148"/>
      <c r="DY96" s="148"/>
      <c r="DZ96" s="148"/>
      <c r="EA96" s="148"/>
      <c r="EB96" s="148"/>
      <c r="EC96" s="148"/>
      <c r="ED96" s="148"/>
      <c r="EE96" s="148"/>
      <c r="EF96" s="148"/>
      <c r="EG96" s="148"/>
      <c r="EH96" s="148"/>
      <c r="EI96" s="148"/>
      <c r="EJ96" s="148"/>
      <c r="EK96" s="148"/>
      <c r="EL96" s="148"/>
      <c r="EM96" s="148"/>
      <c r="EN96" s="148"/>
      <c r="EO96" s="148"/>
      <c r="EP96" s="148"/>
      <c r="EQ96" s="148"/>
      <c r="ER96" s="148"/>
      <c r="ES96" s="148"/>
      <c r="ET96" s="148"/>
      <c r="EU96" s="148"/>
      <c r="EV96" s="148"/>
      <c r="EW96" s="148"/>
      <c r="EX96" s="148"/>
      <c r="EY96" s="148"/>
      <c r="EZ96" s="148"/>
      <c r="FA96" s="148"/>
      <c r="FB96" s="148"/>
      <c r="FC96" s="148"/>
      <c r="FD96" s="148"/>
      <c r="FE96" s="148"/>
      <c r="FF96" s="148"/>
      <c r="FG96" s="148"/>
      <c r="FH96" s="148"/>
      <c r="FI96" s="148"/>
      <c r="FJ96" s="148"/>
      <c r="FK96" s="148"/>
      <c r="FL96" s="148"/>
      <c r="FM96" s="148"/>
      <c r="FN96" s="148"/>
      <c r="FO96" s="148"/>
      <c r="FP96" s="148"/>
      <c r="FQ96" s="148"/>
      <c r="FR96" s="148"/>
    </row>
    <row r="97" spans="1:174" s="15" customFormat="1" ht="13.5" customHeight="1" x14ac:dyDescent="0.2">
      <c r="A97" s="148"/>
      <c r="B97" s="307">
        <v>86</v>
      </c>
      <c r="C97" s="307" t="s">
        <v>38</v>
      </c>
      <c r="D97" s="307" t="s">
        <v>1606</v>
      </c>
      <c r="E97" s="321" t="s">
        <v>1607</v>
      </c>
      <c r="F97" s="533" t="s">
        <v>45</v>
      </c>
      <c r="G97" s="533" t="s">
        <v>1411</v>
      </c>
      <c r="H97" s="553" t="s">
        <v>1608</v>
      </c>
      <c r="I97" s="562" t="s">
        <v>42</v>
      </c>
      <c r="J97" s="535">
        <v>2795634</v>
      </c>
      <c r="K97" s="535">
        <v>27244</v>
      </c>
      <c r="L97" s="535">
        <v>0</v>
      </c>
      <c r="M97" s="454"/>
      <c r="N97" s="454"/>
      <c r="O97" s="454"/>
      <c r="P97" s="547"/>
      <c r="Q97" s="538"/>
      <c r="R97" s="538"/>
      <c r="S97" s="535">
        <f t="shared" si="3"/>
        <v>0</v>
      </c>
      <c r="T97" s="539">
        <v>75000</v>
      </c>
      <c r="U97" s="540">
        <v>3</v>
      </c>
      <c r="V97" s="542">
        <v>44202</v>
      </c>
      <c r="W97" s="542">
        <v>44231</v>
      </c>
      <c r="X97" s="539">
        <v>25000</v>
      </c>
      <c r="Y97" s="544">
        <v>25</v>
      </c>
      <c r="Z97" s="545">
        <v>44263</v>
      </c>
      <c r="AA97" s="542">
        <v>44292</v>
      </c>
      <c r="AB97" s="539">
        <v>13658</v>
      </c>
      <c r="AC97" s="544">
        <v>46</v>
      </c>
      <c r="AD97" s="545">
        <v>44295</v>
      </c>
      <c r="AE97" s="542">
        <v>44327</v>
      </c>
      <c r="AF97" s="554"/>
      <c r="AG97" s="542"/>
      <c r="AH97" s="542"/>
      <c r="AI97" s="542"/>
      <c r="AJ97" s="554"/>
      <c r="AK97" s="542"/>
      <c r="AL97" s="542"/>
      <c r="AM97" s="542"/>
      <c r="AN97" s="542"/>
      <c r="AO97" s="542"/>
      <c r="AP97" s="542"/>
      <c r="AQ97" s="542"/>
      <c r="AR97" s="22">
        <f t="shared" si="4"/>
        <v>113658</v>
      </c>
      <c r="AS97" s="546">
        <f t="shared" si="5"/>
        <v>113658</v>
      </c>
      <c r="AT97" s="148"/>
      <c r="AU97" s="148"/>
      <c r="AV97" s="148"/>
      <c r="AW97" s="148"/>
      <c r="AX97" s="148"/>
      <c r="AY97" s="148"/>
      <c r="AZ97" s="148"/>
      <c r="BA97" s="148"/>
      <c r="BB97" s="148"/>
      <c r="BC97" s="148"/>
      <c r="BD97" s="148"/>
      <c r="BE97" s="148"/>
      <c r="BF97" s="148"/>
      <c r="BG97" s="148"/>
      <c r="BH97" s="148"/>
      <c r="BI97" s="148"/>
      <c r="BJ97" s="148"/>
      <c r="BK97" s="148"/>
      <c r="BL97" s="148"/>
      <c r="BM97" s="148"/>
      <c r="BN97" s="148"/>
      <c r="BO97" s="148"/>
      <c r="BP97" s="148"/>
      <c r="BQ97" s="148"/>
      <c r="BR97" s="148"/>
      <c r="BS97" s="148"/>
      <c r="BT97" s="148"/>
      <c r="BU97" s="148"/>
      <c r="BV97" s="148"/>
      <c r="BW97" s="148"/>
      <c r="BX97" s="148"/>
      <c r="BY97" s="148"/>
      <c r="BZ97" s="148"/>
      <c r="CA97" s="148"/>
      <c r="CB97" s="148"/>
      <c r="CC97" s="148"/>
      <c r="CD97" s="148"/>
      <c r="CE97" s="148"/>
      <c r="CF97" s="148"/>
      <c r="CG97" s="148"/>
      <c r="CH97" s="148"/>
      <c r="CI97" s="148"/>
      <c r="CJ97" s="148"/>
      <c r="CK97" s="148"/>
      <c r="CL97" s="148"/>
      <c r="CM97" s="148"/>
      <c r="CN97" s="148"/>
      <c r="CO97" s="148"/>
      <c r="CP97" s="148"/>
      <c r="CQ97" s="148"/>
      <c r="CR97" s="148"/>
      <c r="CS97" s="148"/>
      <c r="CT97" s="148"/>
      <c r="CU97" s="148"/>
      <c r="CV97" s="148"/>
      <c r="CW97" s="148"/>
      <c r="CX97" s="148"/>
      <c r="CY97" s="148"/>
      <c r="CZ97" s="148"/>
      <c r="DA97" s="148"/>
      <c r="DB97" s="148"/>
      <c r="DC97" s="148"/>
      <c r="DD97" s="148"/>
      <c r="DE97" s="148"/>
      <c r="DF97" s="148"/>
      <c r="DG97" s="148"/>
      <c r="DH97" s="148"/>
      <c r="DI97" s="148"/>
      <c r="DJ97" s="148"/>
      <c r="DK97" s="148"/>
      <c r="DL97" s="148"/>
      <c r="DM97" s="148"/>
      <c r="DN97" s="148"/>
      <c r="DO97" s="148"/>
      <c r="DP97" s="148"/>
      <c r="DQ97" s="148"/>
      <c r="DR97" s="148"/>
      <c r="DS97" s="148"/>
      <c r="DT97" s="148"/>
      <c r="DU97" s="148"/>
      <c r="DV97" s="148"/>
      <c r="DW97" s="148"/>
      <c r="DX97" s="148"/>
      <c r="DY97" s="148"/>
      <c r="DZ97" s="148"/>
      <c r="EA97" s="148"/>
      <c r="EB97" s="148"/>
      <c r="EC97" s="148"/>
      <c r="ED97" s="148"/>
      <c r="EE97" s="148"/>
      <c r="EF97" s="148"/>
      <c r="EG97" s="148"/>
      <c r="EH97" s="148"/>
      <c r="EI97" s="148"/>
      <c r="EJ97" s="148"/>
      <c r="EK97" s="148"/>
      <c r="EL97" s="148"/>
      <c r="EM97" s="148"/>
      <c r="EN97" s="148"/>
      <c r="EO97" s="148"/>
      <c r="EP97" s="148"/>
      <c r="EQ97" s="148"/>
      <c r="ER97" s="148"/>
      <c r="ES97" s="148"/>
      <c r="ET97" s="148"/>
      <c r="EU97" s="148"/>
      <c r="EV97" s="148"/>
      <c r="EW97" s="148"/>
      <c r="EX97" s="148"/>
      <c r="EY97" s="148"/>
      <c r="EZ97" s="148"/>
      <c r="FA97" s="148"/>
      <c r="FB97" s="148"/>
      <c r="FC97" s="148"/>
      <c r="FD97" s="148"/>
      <c r="FE97" s="148"/>
      <c r="FF97" s="148"/>
      <c r="FG97" s="148"/>
      <c r="FH97" s="148"/>
      <c r="FI97" s="148"/>
      <c r="FJ97" s="148"/>
      <c r="FK97" s="148"/>
      <c r="FL97" s="148"/>
      <c r="FM97" s="148"/>
      <c r="FN97" s="148"/>
      <c r="FO97" s="148"/>
      <c r="FP97" s="148"/>
      <c r="FQ97" s="148"/>
      <c r="FR97" s="148"/>
    </row>
    <row r="98" spans="1:174" s="15" customFormat="1" ht="13.5" customHeight="1" x14ac:dyDescent="0.2">
      <c r="A98" s="148"/>
      <c r="B98" s="307">
        <v>87</v>
      </c>
      <c r="C98" s="307" t="s">
        <v>38</v>
      </c>
      <c r="D98" s="307" t="s">
        <v>1609</v>
      </c>
      <c r="E98" s="321" t="s">
        <v>1610</v>
      </c>
      <c r="F98" s="533" t="s">
        <v>45</v>
      </c>
      <c r="G98" s="533" t="s">
        <v>1411</v>
      </c>
      <c r="H98" s="553" t="s">
        <v>1611</v>
      </c>
      <c r="I98" s="562" t="s">
        <v>42</v>
      </c>
      <c r="J98" s="535">
        <v>1368250</v>
      </c>
      <c r="K98" s="535">
        <v>1009820</v>
      </c>
      <c r="L98" s="535">
        <v>0</v>
      </c>
      <c r="M98" s="454">
        <v>150000</v>
      </c>
      <c r="N98" s="454">
        <v>86446</v>
      </c>
      <c r="O98" s="454"/>
      <c r="P98" s="548">
        <v>20717.376</v>
      </c>
      <c r="Q98" s="538">
        <f>245257/1000</f>
        <v>245.25700000000001</v>
      </c>
      <c r="R98" s="538"/>
      <c r="S98" s="535">
        <f>SUM(M98:R98)</f>
        <v>257408.633</v>
      </c>
      <c r="T98" s="539">
        <v>338840</v>
      </c>
      <c r="U98" s="540">
        <v>3</v>
      </c>
      <c r="V98" s="542">
        <v>44202</v>
      </c>
      <c r="W98" s="542">
        <v>44231</v>
      </c>
      <c r="X98" s="539">
        <v>390</v>
      </c>
      <c r="Y98" s="544">
        <v>9</v>
      </c>
      <c r="Z98" s="545">
        <v>44214</v>
      </c>
      <c r="AA98" s="542">
        <v>44246</v>
      </c>
      <c r="AB98" s="539"/>
      <c r="AC98" s="544"/>
      <c r="AD98" s="545"/>
      <c r="AE98" s="542"/>
      <c r="AF98" s="554"/>
      <c r="AG98" s="542"/>
      <c r="AH98" s="542"/>
      <c r="AI98" s="542"/>
      <c r="AJ98" s="554"/>
      <c r="AK98" s="542"/>
      <c r="AL98" s="542"/>
      <c r="AM98" s="542"/>
      <c r="AN98" s="542"/>
      <c r="AO98" s="542"/>
      <c r="AP98" s="542"/>
      <c r="AQ98" s="542"/>
      <c r="AR98" s="22">
        <f t="shared" si="4"/>
        <v>339230</v>
      </c>
      <c r="AS98" s="546">
        <f t="shared" si="5"/>
        <v>81821.366999999998</v>
      </c>
      <c r="AT98" s="148"/>
      <c r="AU98" s="148"/>
      <c r="AV98" s="148"/>
      <c r="AW98" s="148"/>
      <c r="AX98" s="148"/>
      <c r="AY98" s="148"/>
      <c r="AZ98" s="148"/>
      <c r="BA98" s="148"/>
      <c r="BB98" s="148"/>
      <c r="BC98" s="148"/>
      <c r="BD98" s="148"/>
      <c r="BE98" s="148"/>
      <c r="BF98" s="148"/>
      <c r="BG98" s="148"/>
      <c r="BH98" s="148"/>
      <c r="BI98" s="148"/>
      <c r="BJ98" s="148"/>
      <c r="BK98" s="148"/>
      <c r="BL98" s="148"/>
      <c r="BM98" s="148"/>
      <c r="BN98" s="148"/>
      <c r="BO98" s="148"/>
      <c r="BP98" s="148"/>
      <c r="BQ98" s="148"/>
      <c r="BR98" s="148"/>
      <c r="BS98" s="148"/>
      <c r="BT98" s="148"/>
      <c r="BU98" s="148"/>
      <c r="BV98" s="148"/>
      <c r="BW98" s="148"/>
      <c r="BX98" s="148"/>
      <c r="BY98" s="148"/>
      <c r="BZ98" s="148"/>
      <c r="CA98" s="148"/>
      <c r="CB98" s="148"/>
      <c r="CC98" s="148"/>
      <c r="CD98" s="148"/>
      <c r="CE98" s="148"/>
      <c r="CF98" s="148"/>
      <c r="CG98" s="148"/>
      <c r="CH98" s="148"/>
      <c r="CI98" s="148"/>
      <c r="CJ98" s="148"/>
      <c r="CK98" s="148"/>
      <c r="CL98" s="148"/>
      <c r="CM98" s="148"/>
      <c r="CN98" s="148"/>
      <c r="CO98" s="148"/>
      <c r="CP98" s="148"/>
      <c r="CQ98" s="148"/>
      <c r="CR98" s="148"/>
      <c r="CS98" s="148"/>
      <c r="CT98" s="148"/>
      <c r="CU98" s="148"/>
      <c r="CV98" s="148"/>
      <c r="CW98" s="148"/>
      <c r="CX98" s="148"/>
      <c r="CY98" s="148"/>
      <c r="CZ98" s="148"/>
      <c r="DA98" s="148"/>
      <c r="DB98" s="148"/>
      <c r="DC98" s="148"/>
      <c r="DD98" s="148"/>
      <c r="DE98" s="148"/>
      <c r="DF98" s="148"/>
      <c r="DG98" s="148"/>
      <c r="DH98" s="148"/>
      <c r="DI98" s="148"/>
      <c r="DJ98" s="148"/>
      <c r="DK98" s="148"/>
      <c r="DL98" s="148"/>
      <c r="DM98" s="148"/>
      <c r="DN98" s="148"/>
      <c r="DO98" s="148"/>
      <c r="DP98" s="148"/>
      <c r="DQ98" s="148"/>
      <c r="DR98" s="148"/>
      <c r="DS98" s="148"/>
      <c r="DT98" s="148"/>
      <c r="DU98" s="148"/>
      <c r="DV98" s="148"/>
      <c r="DW98" s="148"/>
      <c r="DX98" s="148"/>
      <c r="DY98" s="148"/>
      <c r="DZ98" s="148"/>
      <c r="EA98" s="148"/>
      <c r="EB98" s="148"/>
      <c r="EC98" s="148"/>
      <c r="ED98" s="148"/>
      <c r="EE98" s="148"/>
      <c r="EF98" s="148"/>
      <c r="EG98" s="148"/>
      <c r="EH98" s="148"/>
      <c r="EI98" s="148"/>
      <c r="EJ98" s="148"/>
      <c r="EK98" s="148"/>
      <c r="EL98" s="148"/>
      <c r="EM98" s="148"/>
      <c r="EN98" s="148"/>
      <c r="EO98" s="148"/>
      <c r="EP98" s="148"/>
      <c r="EQ98" s="148"/>
      <c r="ER98" s="148"/>
      <c r="ES98" s="148"/>
      <c r="ET98" s="148"/>
      <c r="EU98" s="148"/>
      <c r="EV98" s="148"/>
      <c r="EW98" s="148"/>
      <c r="EX98" s="148"/>
      <c r="EY98" s="148"/>
      <c r="EZ98" s="148"/>
      <c r="FA98" s="148"/>
      <c r="FB98" s="148"/>
      <c r="FC98" s="148"/>
      <c r="FD98" s="148"/>
      <c r="FE98" s="148"/>
      <c r="FF98" s="148"/>
      <c r="FG98" s="148"/>
      <c r="FH98" s="148"/>
      <c r="FI98" s="148"/>
      <c r="FJ98" s="148"/>
      <c r="FK98" s="148"/>
      <c r="FL98" s="148"/>
      <c r="FM98" s="148"/>
      <c r="FN98" s="148"/>
      <c r="FO98" s="148"/>
      <c r="FP98" s="148"/>
      <c r="FQ98" s="148"/>
      <c r="FR98" s="148"/>
    </row>
    <row r="99" spans="1:174" s="15" customFormat="1" ht="13.5" customHeight="1" x14ac:dyDescent="0.2">
      <c r="A99" s="148"/>
      <c r="B99" s="307">
        <v>88</v>
      </c>
      <c r="C99" s="307" t="s">
        <v>38</v>
      </c>
      <c r="D99" s="307" t="s">
        <v>1612</v>
      </c>
      <c r="E99" s="321" t="s">
        <v>1613</v>
      </c>
      <c r="F99" s="533" t="s">
        <v>46</v>
      </c>
      <c r="G99" s="533" t="s">
        <v>1411</v>
      </c>
      <c r="H99" s="553" t="s">
        <v>1614</v>
      </c>
      <c r="I99" s="562" t="s">
        <v>42</v>
      </c>
      <c r="J99" s="535">
        <v>27830</v>
      </c>
      <c r="K99" s="535">
        <v>15859</v>
      </c>
      <c r="L99" s="535">
        <v>0</v>
      </c>
      <c r="M99" s="454"/>
      <c r="N99" s="454"/>
      <c r="O99" s="454"/>
      <c r="P99" s="547"/>
      <c r="Q99" s="538">
        <v>1441</v>
      </c>
      <c r="R99" s="538"/>
      <c r="S99" s="535">
        <f t="shared" si="3"/>
        <v>1441</v>
      </c>
      <c r="T99" s="539">
        <v>1441</v>
      </c>
      <c r="U99" s="540">
        <v>3</v>
      </c>
      <c r="V99" s="542">
        <v>44202</v>
      </c>
      <c r="W99" s="542">
        <v>44231</v>
      </c>
      <c r="X99" s="539"/>
      <c r="Y99" s="544"/>
      <c r="Z99" s="540"/>
      <c r="AA99" s="542"/>
      <c r="AB99" s="539"/>
      <c r="AC99" s="544"/>
      <c r="AD99" s="540"/>
      <c r="AE99" s="542"/>
      <c r="AF99" s="554"/>
      <c r="AG99" s="542"/>
      <c r="AH99" s="542"/>
      <c r="AI99" s="542"/>
      <c r="AJ99" s="554"/>
      <c r="AK99" s="542"/>
      <c r="AL99" s="542"/>
      <c r="AM99" s="542"/>
      <c r="AN99" s="542"/>
      <c r="AO99" s="542"/>
      <c r="AP99" s="542"/>
      <c r="AQ99" s="542"/>
      <c r="AR99" s="22">
        <f t="shared" si="4"/>
        <v>1441</v>
      </c>
      <c r="AS99" s="546">
        <f t="shared" si="5"/>
        <v>0</v>
      </c>
      <c r="AT99" s="148"/>
      <c r="AU99" s="148"/>
      <c r="AV99" s="148"/>
      <c r="AW99" s="148"/>
      <c r="AX99" s="148"/>
      <c r="AY99" s="148"/>
      <c r="AZ99" s="148"/>
      <c r="BA99" s="148"/>
      <c r="BB99" s="148"/>
      <c r="BC99" s="148"/>
      <c r="BD99" s="148"/>
      <c r="BE99" s="148"/>
      <c r="BF99" s="148"/>
      <c r="BG99" s="148"/>
      <c r="BH99" s="148"/>
      <c r="BI99" s="148"/>
      <c r="BJ99" s="148"/>
      <c r="BK99" s="148"/>
      <c r="BL99" s="148"/>
      <c r="BM99" s="148"/>
      <c r="BN99" s="148"/>
      <c r="BO99" s="148"/>
      <c r="BP99" s="148"/>
      <c r="BQ99" s="148"/>
      <c r="BR99" s="148"/>
      <c r="BS99" s="148"/>
      <c r="BT99" s="148"/>
      <c r="BU99" s="148"/>
      <c r="BV99" s="148"/>
      <c r="BW99" s="148"/>
      <c r="BX99" s="148"/>
      <c r="BY99" s="148"/>
      <c r="BZ99" s="148"/>
      <c r="CA99" s="148"/>
      <c r="CB99" s="148"/>
      <c r="CC99" s="148"/>
      <c r="CD99" s="148"/>
      <c r="CE99" s="148"/>
      <c r="CF99" s="148"/>
      <c r="CG99" s="148"/>
      <c r="CH99" s="148"/>
      <c r="CI99" s="148"/>
      <c r="CJ99" s="148"/>
      <c r="CK99" s="148"/>
      <c r="CL99" s="148"/>
      <c r="CM99" s="148"/>
      <c r="CN99" s="148"/>
      <c r="CO99" s="148"/>
      <c r="CP99" s="148"/>
      <c r="CQ99" s="148"/>
      <c r="CR99" s="148"/>
      <c r="CS99" s="148"/>
      <c r="CT99" s="148"/>
      <c r="CU99" s="148"/>
      <c r="CV99" s="148"/>
      <c r="CW99" s="148"/>
      <c r="CX99" s="148"/>
      <c r="CY99" s="148"/>
      <c r="CZ99" s="148"/>
      <c r="DA99" s="148"/>
      <c r="DB99" s="148"/>
      <c r="DC99" s="148"/>
      <c r="DD99" s="148"/>
      <c r="DE99" s="148"/>
      <c r="DF99" s="148"/>
      <c r="DG99" s="148"/>
      <c r="DH99" s="148"/>
      <c r="DI99" s="148"/>
      <c r="DJ99" s="148"/>
      <c r="DK99" s="148"/>
      <c r="DL99" s="148"/>
      <c r="DM99" s="148"/>
      <c r="DN99" s="148"/>
      <c r="DO99" s="148"/>
      <c r="DP99" s="148"/>
      <c r="DQ99" s="148"/>
      <c r="DR99" s="148"/>
      <c r="DS99" s="148"/>
      <c r="DT99" s="148"/>
      <c r="DU99" s="148"/>
      <c r="DV99" s="148"/>
      <c r="DW99" s="148"/>
      <c r="DX99" s="148"/>
      <c r="DY99" s="148"/>
      <c r="DZ99" s="148"/>
      <c r="EA99" s="148"/>
      <c r="EB99" s="148"/>
      <c r="EC99" s="148"/>
      <c r="ED99" s="148"/>
      <c r="EE99" s="148"/>
      <c r="EF99" s="148"/>
      <c r="EG99" s="148"/>
      <c r="EH99" s="148"/>
      <c r="EI99" s="148"/>
      <c r="EJ99" s="148"/>
      <c r="EK99" s="148"/>
      <c r="EL99" s="148"/>
      <c r="EM99" s="148"/>
      <c r="EN99" s="148"/>
      <c r="EO99" s="148"/>
      <c r="EP99" s="148"/>
      <c r="EQ99" s="148"/>
      <c r="ER99" s="148"/>
      <c r="ES99" s="148"/>
      <c r="ET99" s="148"/>
      <c r="EU99" s="148"/>
      <c r="EV99" s="148"/>
      <c r="EW99" s="148"/>
      <c r="EX99" s="148"/>
      <c r="EY99" s="148"/>
      <c r="EZ99" s="148"/>
      <c r="FA99" s="148"/>
      <c r="FB99" s="148"/>
      <c r="FC99" s="148"/>
      <c r="FD99" s="148"/>
      <c r="FE99" s="148"/>
      <c r="FF99" s="148"/>
      <c r="FG99" s="148"/>
      <c r="FH99" s="148"/>
      <c r="FI99" s="148"/>
      <c r="FJ99" s="148"/>
      <c r="FK99" s="148"/>
      <c r="FL99" s="148"/>
      <c r="FM99" s="148"/>
      <c r="FN99" s="148"/>
      <c r="FO99" s="148"/>
      <c r="FP99" s="148"/>
      <c r="FQ99" s="148"/>
      <c r="FR99" s="148"/>
    </row>
    <row r="100" spans="1:174" s="15" customFormat="1" ht="13.5" customHeight="1" x14ac:dyDescent="0.2">
      <c r="A100" s="148"/>
      <c r="B100" s="307">
        <v>89</v>
      </c>
      <c r="C100" s="307" t="s">
        <v>38</v>
      </c>
      <c r="D100" s="307" t="s">
        <v>1615</v>
      </c>
      <c r="E100" s="321" t="s">
        <v>1616</v>
      </c>
      <c r="F100" s="533" t="s">
        <v>45</v>
      </c>
      <c r="G100" s="533" t="s">
        <v>1411</v>
      </c>
      <c r="H100" s="553" t="s">
        <v>1600</v>
      </c>
      <c r="I100" s="562" t="s">
        <v>42</v>
      </c>
      <c r="J100" s="535">
        <v>701476</v>
      </c>
      <c r="K100" s="535">
        <v>683165</v>
      </c>
      <c r="L100" s="535">
        <v>0</v>
      </c>
      <c r="M100" s="454"/>
      <c r="N100" s="454"/>
      <c r="O100" s="454">
        <v>629</v>
      </c>
      <c r="P100" s="547"/>
      <c r="Q100" s="538"/>
      <c r="R100" s="538"/>
      <c r="S100" s="535">
        <f t="shared" si="3"/>
        <v>629</v>
      </c>
      <c r="T100" s="539">
        <v>18311</v>
      </c>
      <c r="U100" s="540">
        <v>3</v>
      </c>
      <c r="V100" s="542">
        <v>44202</v>
      </c>
      <c r="W100" s="542">
        <v>44231</v>
      </c>
      <c r="X100" s="539"/>
      <c r="Y100" s="544"/>
      <c r="Z100" s="540"/>
      <c r="AA100" s="542"/>
      <c r="AB100" s="539"/>
      <c r="AC100" s="544"/>
      <c r="AD100" s="540"/>
      <c r="AE100" s="542"/>
      <c r="AF100" s="554"/>
      <c r="AG100" s="542"/>
      <c r="AH100" s="542"/>
      <c r="AI100" s="542"/>
      <c r="AJ100" s="554"/>
      <c r="AK100" s="542"/>
      <c r="AL100" s="542"/>
      <c r="AM100" s="542"/>
      <c r="AN100" s="542"/>
      <c r="AO100" s="542"/>
      <c r="AP100" s="542"/>
      <c r="AQ100" s="542"/>
      <c r="AR100" s="22">
        <f t="shared" si="4"/>
        <v>18311</v>
      </c>
      <c r="AS100" s="546">
        <f t="shared" si="5"/>
        <v>17682</v>
      </c>
      <c r="AT100" s="148"/>
      <c r="AU100" s="148"/>
      <c r="AV100" s="148"/>
      <c r="AW100" s="148"/>
      <c r="AX100" s="148"/>
      <c r="AY100" s="148"/>
      <c r="AZ100" s="148"/>
      <c r="BA100" s="148"/>
      <c r="BB100" s="148"/>
      <c r="BC100" s="148"/>
      <c r="BD100" s="148"/>
      <c r="BE100" s="148"/>
      <c r="BF100" s="148"/>
      <c r="BG100" s="148"/>
      <c r="BH100" s="148"/>
      <c r="BI100" s="148"/>
      <c r="BJ100" s="148"/>
      <c r="BK100" s="148"/>
      <c r="BL100" s="148"/>
      <c r="BM100" s="148"/>
      <c r="BN100" s="148"/>
      <c r="BO100" s="148"/>
      <c r="BP100" s="148"/>
      <c r="BQ100" s="148"/>
      <c r="BR100" s="148"/>
      <c r="BS100" s="148"/>
      <c r="BT100" s="148"/>
      <c r="BU100" s="148"/>
      <c r="BV100" s="148"/>
      <c r="BW100" s="148"/>
      <c r="BX100" s="148"/>
      <c r="BY100" s="148"/>
      <c r="BZ100" s="148"/>
      <c r="CA100" s="148"/>
      <c r="CB100" s="148"/>
      <c r="CC100" s="148"/>
      <c r="CD100" s="148"/>
      <c r="CE100" s="148"/>
      <c r="CF100" s="148"/>
      <c r="CG100" s="148"/>
      <c r="CH100" s="148"/>
      <c r="CI100" s="148"/>
      <c r="CJ100" s="148"/>
      <c r="CK100" s="148"/>
      <c r="CL100" s="148"/>
      <c r="CM100" s="148"/>
      <c r="CN100" s="148"/>
      <c r="CO100" s="148"/>
      <c r="CP100" s="148"/>
      <c r="CQ100" s="148"/>
      <c r="CR100" s="148"/>
      <c r="CS100" s="148"/>
      <c r="CT100" s="148"/>
      <c r="CU100" s="148"/>
      <c r="CV100" s="148"/>
      <c r="CW100" s="148"/>
      <c r="CX100" s="148"/>
      <c r="CY100" s="148"/>
      <c r="CZ100" s="148"/>
      <c r="DA100" s="148"/>
      <c r="DB100" s="148"/>
      <c r="DC100" s="148"/>
      <c r="DD100" s="148"/>
      <c r="DE100" s="148"/>
      <c r="DF100" s="148"/>
      <c r="DG100" s="148"/>
      <c r="DH100" s="148"/>
      <c r="DI100" s="148"/>
      <c r="DJ100" s="148"/>
      <c r="DK100" s="148"/>
      <c r="DL100" s="148"/>
      <c r="DM100" s="148"/>
      <c r="DN100" s="148"/>
      <c r="DO100" s="148"/>
      <c r="DP100" s="148"/>
      <c r="DQ100" s="148"/>
      <c r="DR100" s="148"/>
      <c r="DS100" s="148"/>
      <c r="DT100" s="148"/>
      <c r="DU100" s="148"/>
      <c r="DV100" s="148"/>
      <c r="DW100" s="148"/>
      <c r="DX100" s="148"/>
      <c r="DY100" s="148"/>
      <c r="DZ100" s="148"/>
      <c r="EA100" s="148"/>
      <c r="EB100" s="148"/>
      <c r="EC100" s="148"/>
      <c r="ED100" s="148"/>
      <c r="EE100" s="148"/>
      <c r="EF100" s="148"/>
      <c r="EG100" s="148"/>
      <c r="EH100" s="148"/>
      <c r="EI100" s="148"/>
      <c r="EJ100" s="148"/>
      <c r="EK100" s="148"/>
      <c r="EL100" s="148"/>
      <c r="EM100" s="148"/>
      <c r="EN100" s="148"/>
      <c r="EO100" s="148"/>
      <c r="EP100" s="148"/>
      <c r="EQ100" s="148"/>
      <c r="ER100" s="148"/>
      <c r="ES100" s="148"/>
      <c r="ET100" s="148"/>
      <c r="EU100" s="148"/>
      <c r="EV100" s="148"/>
      <c r="EW100" s="148"/>
      <c r="EX100" s="148"/>
      <c r="EY100" s="148"/>
      <c r="EZ100" s="148"/>
      <c r="FA100" s="148"/>
      <c r="FB100" s="148"/>
      <c r="FC100" s="148"/>
      <c r="FD100" s="148"/>
      <c r="FE100" s="148"/>
      <c r="FF100" s="148"/>
      <c r="FG100" s="148"/>
      <c r="FH100" s="148"/>
      <c r="FI100" s="148"/>
      <c r="FJ100" s="148"/>
      <c r="FK100" s="148"/>
      <c r="FL100" s="148"/>
      <c r="FM100" s="148"/>
      <c r="FN100" s="148"/>
      <c r="FO100" s="148"/>
      <c r="FP100" s="148"/>
      <c r="FQ100" s="148"/>
      <c r="FR100" s="148"/>
    </row>
    <row r="101" spans="1:174" s="15" customFormat="1" ht="13.5" customHeight="1" x14ac:dyDescent="0.2">
      <c r="A101" s="148"/>
      <c r="B101" s="307">
        <v>90</v>
      </c>
      <c r="C101" s="307" t="s">
        <v>38</v>
      </c>
      <c r="D101" s="307" t="s">
        <v>1617</v>
      </c>
      <c r="E101" s="321" t="s">
        <v>1618</v>
      </c>
      <c r="F101" s="533" t="s">
        <v>45</v>
      </c>
      <c r="G101" s="533" t="s">
        <v>1411</v>
      </c>
      <c r="H101" s="553" t="s">
        <v>1600</v>
      </c>
      <c r="I101" s="534" t="s">
        <v>43</v>
      </c>
      <c r="J101" s="535">
        <v>29138</v>
      </c>
      <c r="K101" s="535">
        <v>0</v>
      </c>
      <c r="L101" s="535">
        <v>0</v>
      </c>
      <c r="M101" s="454">
        <v>0</v>
      </c>
      <c r="N101" s="454">
        <v>4774</v>
      </c>
      <c r="O101" s="454">
        <v>16709</v>
      </c>
      <c r="P101" s="547"/>
      <c r="Q101" s="538">
        <v>2387</v>
      </c>
      <c r="R101" s="538"/>
      <c r="S101" s="535">
        <f t="shared" si="3"/>
        <v>23870</v>
      </c>
      <c r="T101" s="539">
        <v>21483</v>
      </c>
      <c r="U101" s="540">
        <v>3</v>
      </c>
      <c r="V101" s="542">
        <v>44202</v>
      </c>
      <c r="W101" s="542">
        <v>44231</v>
      </c>
      <c r="X101" s="539">
        <v>2387</v>
      </c>
      <c r="Y101" s="544">
        <v>25</v>
      </c>
      <c r="Z101" s="545">
        <v>44263</v>
      </c>
      <c r="AA101" s="542">
        <v>44292</v>
      </c>
      <c r="AB101" s="539"/>
      <c r="AC101" s="544"/>
      <c r="AD101" s="540"/>
      <c r="AE101" s="542"/>
      <c r="AF101" s="554"/>
      <c r="AG101" s="542"/>
      <c r="AH101" s="542"/>
      <c r="AI101" s="542"/>
      <c r="AJ101" s="554"/>
      <c r="AK101" s="542"/>
      <c r="AL101" s="542"/>
      <c r="AM101" s="542"/>
      <c r="AN101" s="542"/>
      <c r="AO101" s="542"/>
      <c r="AP101" s="542"/>
      <c r="AQ101" s="542"/>
      <c r="AR101" s="22">
        <f t="shared" si="4"/>
        <v>23870</v>
      </c>
      <c r="AS101" s="546">
        <f>+AR101-S101</f>
        <v>0</v>
      </c>
      <c r="AT101" s="148"/>
      <c r="AU101" s="148"/>
      <c r="AV101" s="148"/>
      <c r="AW101" s="148"/>
      <c r="AX101" s="148"/>
      <c r="AY101" s="148"/>
      <c r="AZ101" s="148"/>
      <c r="BA101" s="148"/>
      <c r="BB101" s="148"/>
      <c r="BC101" s="148"/>
      <c r="BD101" s="148"/>
      <c r="BE101" s="148"/>
      <c r="BF101" s="148"/>
      <c r="BG101" s="148"/>
      <c r="BH101" s="148"/>
      <c r="BI101" s="148"/>
      <c r="BJ101" s="148"/>
      <c r="BK101" s="148"/>
      <c r="BL101" s="148"/>
      <c r="BM101" s="148"/>
      <c r="BN101" s="148"/>
      <c r="BO101" s="148"/>
      <c r="BP101" s="148"/>
      <c r="BQ101" s="148"/>
      <c r="BR101" s="148"/>
      <c r="BS101" s="148"/>
      <c r="BT101" s="148"/>
      <c r="BU101" s="148"/>
      <c r="BV101" s="148"/>
      <c r="BW101" s="148"/>
      <c r="BX101" s="148"/>
      <c r="BY101" s="148"/>
      <c r="BZ101" s="148"/>
      <c r="CA101" s="148"/>
      <c r="CB101" s="148"/>
      <c r="CC101" s="148"/>
      <c r="CD101" s="148"/>
      <c r="CE101" s="148"/>
      <c r="CF101" s="148"/>
      <c r="CG101" s="148"/>
      <c r="CH101" s="148"/>
      <c r="CI101" s="148"/>
      <c r="CJ101" s="148"/>
      <c r="CK101" s="148"/>
      <c r="CL101" s="148"/>
      <c r="CM101" s="148"/>
      <c r="CN101" s="148"/>
      <c r="CO101" s="148"/>
      <c r="CP101" s="148"/>
      <c r="CQ101" s="148"/>
      <c r="CR101" s="148"/>
      <c r="CS101" s="148"/>
      <c r="CT101" s="148"/>
      <c r="CU101" s="148"/>
      <c r="CV101" s="148"/>
      <c r="CW101" s="148"/>
      <c r="CX101" s="148"/>
      <c r="CY101" s="148"/>
      <c r="CZ101" s="148"/>
      <c r="DA101" s="148"/>
      <c r="DB101" s="148"/>
      <c r="DC101" s="148"/>
      <c r="DD101" s="148"/>
      <c r="DE101" s="148"/>
      <c r="DF101" s="148"/>
      <c r="DG101" s="148"/>
      <c r="DH101" s="148"/>
      <c r="DI101" s="148"/>
      <c r="DJ101" s="148"/>
      <c r="DK101" s="148"/>
      <c r="DL101" s="148"/>
      <c r="DM101" s="148"/>
      <c r="DN101" s="148"/>
      <c r="DO101" s="148"/>
      <c r="DP101" s="148"/>
      <c r="DQ101" s="148"/>
      <c r="DR101" s="148"/>
      <c r="DS101" s="148"/>
      <c r="DT101" s="148"/>
      <c r="DU101" s="148"/>
      <c r="DV101" s="148"/>
      <c r="DW101" s="148"/>
      <c r="DX101" s="148"/>
      <c r="DY101" s="148"/>
      <c r="DZ101" s="148"/>
      <c r="EA101" s="148"/>
      <c r="EB101" s="148"/>
      <c r="EC101" s="148"/>
      <c r="ED101" s="148"/>
      <c r="EE101" s="148"/>
      <c r="EF101" s="148"/>
      <c r="EG101" s="148"/>
      <c r="EH101" s="148"/>
      <c r="EI101" s="148"/>
      <c r="EJ101" s="148"/>
      <c r="EK101" s="148"/>
      <c r="EL101" s="148"/>
      <c r="EM101" s="148"/>
      <c r="EN101" s="148"/>
      <c r="EO101" s="148"/>
      <c r="EP101" s="148"/>
      <c r="EQ101" s="148"/>
      <c r="ER101" s="148"/>
      <c r="ES101" s="148"/>
      <c r="ET101" s="148"/>
      <c r="EU101" s="148"/>
      <c r="EV101" s="148"/>
      <c r="EW101" s="148"/>
      <c r="EX101" s="148"/>
      <c r="EY101" s="148"/>
      <c r="EZ101" s="148"/>
      <c r="FA101" s="148"/>
      <c r="FB101" s="148"/>
      <c r="FC101" s="148"/>
      <c r="FD101" s="148"/>
      <c r="FE101" s="148"/>
      <c r="FF101" s="148"/>
      <c r="FG101" s="148"/>
      <c r="FH101" s="148"/>
      <c r="FI101" s="148"/>
      <c r="FJ101" s="148"/>
      <c r="FK101" s="148"/>
      <c r="FL101" s="148"/>
      <c r="FM101" s="148"/>
      <c r="FN101" s="148"/>
      <c r="FO101" s="148"/>
      <c r="FP101" s="148"/>
      <c r="FQ101" s="148"/>
      <c r="FR101" s="148"/>
    </row>
    <row r="102" spans="1:174" s="15" customFormat="1" ht="13.5" customHeight="1" x14ac:dyDescent="0.2">
      <c r="A102" s="148"/>
      <c r="B102" s="307">
        <v>91</v>
      </c>
      <c r="C102" s="307" t="s">
        <v>38</v>
      </c>
      <c r="D102" s="307" t="s">
        <v>1619</v>
      </c>
      <c r="E102" s="321" t="s">
        <v>1620</v>
      </c>
      <c r="F102" s="533" t="s">
        <v>45</v>
      </c>
      <c r="G102" s="533" t="s">
        <v>1411</v>
      </c>
      <c r="H102" s="553" t="s">
        <v>1614</v>
      </c>
      <c r="I102" s="534" t="s">
        <v>43</v>
      </c>
      <c r="J102" s="535">
        <v>108073</v>
      </c>
      <c r="K102" s="535">
        <v>60569</v>
      </c>
      <c r="L102" s="535">
        <v>0</v>
      </c>
      <c r="M102" s="454">
        <v>20998</v>
      </c>
      <c r="N102" s="454"/>
      <c r="O102" s="454">
        <v>10418</v>
      </c>
      <c r="P102" s="547"/>
      <c r="Q102" s="538"/>
      <c r="R102" s="538"/>
      <c r="S102" s="535">
        <f t="shared" si="3"/>
        <v>31416</v>
      </c>
      <c r="T102" s="539">
        <v>31416</v>
      </c>
      <c r="U102" s="540">
        <v>3</v>
      </c>
      <c r="V102" s="542">
        <v>44202</v>
      </c>
      <c r="W102" s="542">
        <v>44231</v>
      </c>
      <c r="X102" s="539">
        <v>10419</v>
      </c>
      <c r="Y102" s="544">
        <v>17</v>
      </c>
      <c r="Z102" s="545">
        <v>44242</v>
      </c>
      <c r="AA102" s="542">
        <v>44271</v>
      </c>
      <c r="AB102" s="539"/>
      <c r="AC102" s="544"/>
      <c r="AD102" s="545"/>
      <c r="AE102" s="542"/>
      <c r="AF102" s="554"/>
      <c r="AG102" s="542"/>
      <c r="AH102" s="542"/>
      <c r="AI102" s="542"/>
      <c r="AJ102" s="554"/>
      <c r="AK102" s="542"/>
      <c r="AL102" s="542"/>
      <c r="AM102" s="542"/>
      <c r="AN102" s="542"/>
      <c r="AO102" s="542"/>
      <c r="AP102" s="542"/>
      <c r="AQ102" s="542"/>
      <c r="AR102" s="22">
        <f t="shared" si="4"/>
        <v>41835</v>
      </c>
      <c r="AS102" s="546">
        <f>+AR102-S102</f>
        <v>10419</v>
      </c>
      <c r="AT102" s="148"/>
      <c r="AU102" s="148"/>
      <c r="AV102" s="148"/>
      <c r="AW102" s="148"/>
      <c r="AX102" s="148"/>
      <c r="AY102" s="148"/>
      <c r="AZ102" s="148"/>
      <c r="BA102" s="148"/>
      <c r="BB102" s="148"/>
      <c r="BC102" s="148"/>
      <c r="BD102" s="148"/>
      <c r="BE102" s="148"/>
      <c r="BF102" s="148"/>
      <c r="BG102" s="148"/>
      <c r="BH102" s="148"/>
      <c r="BI102" s="148"/>
      <c r="BJ102" s="148"/>
      <c r="BK102" s="148"/>
      <c r="BL102" s="148"/>
      <c r="BM102" s="148"/>
      <c r="BN102" s="148"/>
      <c r="BO102" s="148"/>
      <c r="BP102" s="148"/>
      <c r="BQ102" s="148"/>
      <c r="BR102" s="148"/>
      <c r="BS102" s="148"/>
      <c r="BT102" s="148"/>
      <c r="BU102" s="148"/>
      <c r="BV102" s="148"/>
      <c r="BW102" s="148"/>
      <c r="BX102" s="148"/>
      <c r="BY102" s="148"/>
      <c r="BZ102" s="148"/>
      <c r="CA102" s="148"/>
      <c r="CB102" s="148"/>
      <c r="CC102" s="148"/>
      <c r="CD102" s="148"/>
      <c r="CE102" s="148"/>
      <c r="CF102" s="148"/>
      <c r="CG102" s="148"/>
      <c r="CH102" s="148"/>
      <c r="CI102" s="148"/>
      <c r="CJ102" s="148"/>
      <c r="CK102" s="148"/>
      <c r="CL102" s="148"/>
      <c r="CM102" s="148"/>
      <c r="CN102" s="148"/>
      <c r="CO102" s="148"/>
      <c r="CP102" s="148"/>
      <c r="CQ102" s="148"/>
      <c r="CR102" s="148"/>
      <c r="CS102" s="148"/>
      <c r="CT102" s="148"/>
      <c r="CU102" s="148"/>
      <c r="CV102" s="148"/>
      <c r="CW102" s="148"/>
      <c r="CX102" s="148"/>
      <c r="CY102" s="148"/>
      <c r="CZ102" s="148"/>
      <c r="DA102" s="148"/>
      <c r="DB102" s="148"/>
      <c r="DC102" s="148"/>
      <c r="DD102" s="148"/>
      <c r="DE102" s="148"/>
      <c r="DF102" s="148"/>
      <c r="DG102" s="148"/>
      <c r="DH102" s="148"/>
      <c r="DI102" s="148"/>
      <c r="DJ102" s="148"/>
      <c r="DK102" s="148"/>
      <c r="DL102" s="148"/>
      <c r="DM102" s="148"/>
      <c r="DN102" s="148"/>
      <c r="DO102" s="148"/>
      <c r="DP102" s="148"/>
      <c r="DQ102" s="148"/>
      <c r="DR102" s="148"/>
      <c r="DS102" s="148"/>
      <c r="DT102" s="148"/>
      <c r="DU102" s="148"/>
      <c r="DV102" s="148"/>
      <c r="DW102" s="148"/>
      <c r="DX102" s="148"/>
      <c r="DY102" s="148"/>
      <c r="DZ102" s="148"/>
      <c r="EA102" s="148"/>
      <c r="EB102" s="148"/>
      <c r="EC102" s="148"/>
      <c r="ED102" s="148"/>
      <c r="EE102" s="148"/>
      <c r="EF102" s="148"/>
      <c r="EG102" s="148"/>
      <c r="EH102" s="148"/>
      <c r="EI102" s="148"/>
      <c r="EJ102" s="148"/>
      <c r="EK102" s="148"/>
      <c r="EL102" s="148"/>
      <c r="EM102" s="148"/>
      <c r="EN102" s="148"/>
      <c r="EO102" s="148"/>
      <c r="EP102" s="148"/>
      <c r="EQ102" s="148"/>
      <c r="ER102" s="148"/>
      <c r="ES102" s="148"/>
      <c r="ET102" s="148"/>
      <c r="EU102" s="148"/>
      <c r="EV102" s="148"/>
      <c r="EW102" s="148"/>
      <c r="EX102" s="148"/>
      <c r="EY102" s="148"/>
      <c r="EZ102" s="148"/>
      <c r="FA102" s="148"/>
      <c r="FB102" s="148"/>
      <c r="FC102" s="148"/>
      <c r="FD102" s="148"/>
      <c r="FE102" s="148"/>
      <c r="FF102" s="148"/>
      <c r="FG102" s="148"/>
      <c r="FH102" s="148"/>
      <c r="FI102" s="148"/>
      <c r="FJ102" s="148"/>
      <c r="FK102" s="148"/>
      <c r="FL102" s="148"/>
      <c r="FM102" s="148"/>
      <c r="FN102" s="148"/>
      <c r="FO102" s="148"/>
      <c r="FP102" s="148"/>
      <c r="FQ102" s="148"/>
      <c r="FR102" s="148"/>
    </row>
    <row r="103" spans="1:174" s="15" customFormat="1" ht="13.5" customHeight="1" x14ac:dyDescent="0.2">
      <c r="A103" s="148"/>
      <c r="B103" s="307">
        <v>93</v>
      </c>
      <c r="C103" s="307" t="s">
        <v>38</v>
      </c>
      <c r="D103" s="307" t="s">
        <v>1621</v>
      </c>
      <c r="E103" s="321" t="s">
        <v>1622</v>
      </c>
      <c r="F103" s="533" t="s">
        <v>45</v>
      </c>
      <c r="G103" s="533" t="s">
        <v>1411</v>
      </c>
      <c r="H103" s="553" t="s">
        <v>1432</v>
      </c>
      <c r="I103" s="562" t="s">
        <v>42</v>
      </c>
      <c r="J103" s="535">
        <v>466469</v>
      </c>
      <c r="K103" s="535">
        <v>445755</v>
      </c>
      <c r="L103" s="535">
        <v>0</v>
      </c>
      <c r="M103" s="454"/>
      <c r="N103" s="454"/>
      <c r="O103" s="454"/>
      <c r="P103" s="547"/>
      <c r="Q103" s="538"/>
      <c r="R103" s="538"/>
      <c r="S103" s="535">
        <f t="shared" si="3"/>
        <v>0</v>
      </c>
      <c r="T103" s="539">
        <v>20714</v>
      </c>
      <c r="U103" s="540">
        <v>4</v>
      </c>
      <c r="V103" s="542">
        <v>44202</v>
      </c>
      <c r="W103" s="542">
        <v>44231</v>
      </c>
      <c r="X103" s="539"/>
      <c r="Y103" s="544"/>
      <c r="Z103" s="540"/>
      <c r="AA103" s="542"/>
      <c r="AB103" s="539"/>
      <c r="AC103" s="544"/>
      <c r="AD103" s="540"/>
      <c r="AE103" s="542"/>
      <c r="AF103" s="554"/>
      <c r="AG103" s="542"/>
      <c r="AH103" s="542"/>
      <c r="AI103" s="542"/>
      <c r="AJ103" s="554"/>
      <c r="AK103" s="542"/>
      <c r="AL103" s="542"/>
      <c r="AM103" s="542"/>
      <c r="AN103" s="542"/>
      <c r="AO103" s="542"/>
      <c r="AP103" s="542"/>
      <c r="AQ103" s="542"/>
      <c r="AR103" s="22">
        <f t="shared" si="4"/>
        <v>20714</v>
      </c>
      <c r="AS103" s="546">
        <f t="shared" si="5"/>
        <v>20714</v>
      </c>
      <c r="AT103" s="148"/>
      <c r="AU103" s="148"/>
      <c r="AV103" s="148"/>
      <c r="AW103" s="148"/>
      <c r="AX103" s="148"/>
      <c r="AY103" s="148"/>
      <c r="AZ103" s="148"/>
      <c r="BA103" s="148"/>
      <c r="BB103" s="148"/>
      <c r="BC103" s="148"/>
      <c r="BD103" s="148"/>
      <c r="BE103" s="148"/>
      <c r="BF103" s="148"/>
      <c r="BG103" s="148"/>
      <c r="BH103" s="148"/>
      <c r="BI103" s="148"/>
      <c r="BJ103" s="148"/>
      <c r="BK103" s="148"/>
      <c r="BL103" s="148"/>
      <c r="BM103" s="148"/>
      <c r="BN103" s="148"/>
      <c r="BO103" s="148"/>
      <c r="BP103" s="148"/>
      <c r="BQ103" s="148"/>
      <c r="BR103" s="148"/>
      <c r="BS103" s="148"/>
      <c r="BT103" s="148"/>
      <c r="BU103" s="148"/>
      <c r="BV103" s="148"/>
      <c r="BW103" s="148"/>
      <c r="BX103" s="148"/>
      <c r="BY103" s="148"/>
      <c r="BZ103" s="148"/>
      <c r="CA103" s="148"/>
      <c r="CB103" s="148"/>
      <c r="CC103" s="148"/>
      <c r="CD103" s="148"/>
      <c r="CE103" s="148"/>
      <c r="CF103" s="148"/>
      <c r="CG103" s="148"/>
      <c r="CH103" s="148"/>
      <c r="CI103" s="148"/>
      <c r="CJ103" s="148"/>
      <c r="CK103" s="148"/>
      <c r="CL103" s="148"/>
      <c r="CM103" s="148"/>
      <c r="CN103" s="148"/>
      <c r="CO103" s="148"/>
      <c r="CP103" s="148"/>
      <c r="CQ103" s="148"/>
      <c r="CR103" s="148"/>
      <c r="CS103" s="148"/>
      <c r="CT103" s="148"/>
      <c r="CU103" s="148"/>
      <c r="CV103" s="148"/>
      <c r="CW103" s="148"/>
      <c r="CX103" s="148"/>
      <c r="CY103" s="148"/>
      <c r="CZ103" s="148"/>
      <c r="DA103" s="148"/>
      <c r="DB103" s="148"/>
      <c r="DC103" s="148"/>
      <c r="DD103" s="148"/>
      <c r="DE103" s="148"/>
      <c r="DF103" s="148"/>
      <c r="DG103" s="148"/>
      <c r="DH103" s="148"/>
      <c r="DI103" s="148"/>
      <c r="DJ103" s="148"/>
      <c r="DK103" s="148"/>
      <c r="DL103" s="148"/>
      <c r="DM103" s="148"/>
      <c r="DN103" s="148"/>
      <c r="DO103" s="148"/>
      <c r="DP103" s="148"/>
      <c r="DQ103" s="148"/>
      <c r="DR103" s="148"/>
      <c r="DS103" s="148"/>
      <c r="DT103" s="148"/>
      <c r="DU103" s="148"/>
      <c r="DV103" s="148"/>
      <c r="DW103" s="148"/>
      <c r="DX103" s="148"/>
      <c r="DY103" s="148"/>
      <c r="DZ103" s="148"/>
      <c r="EA103" s="148"/>
      <c r="EB103" s="148"/>
      <c r="EC103" s="148"/>
      <c r="ED103" s="148"/>
      <c r="EE103" s="148"/>
      <c r="EF103" s="148"/>
      <c r="EG103" s="148"/>
      <c r="EH103" s="148"/>
      <c r="EI103" s="148"/>
      <c r="EJ103" s="148"/>
      <c r="EK103" s="148"/>
      <c r="EL103" s="148"/>
      <c r="EM103" s="148"/>
      <c r="EN103" s="148"/>
      <c r="EO103" s="148"/>
      <c r="EP103" s="148"/>
      <c r="EQ103" s="148"/>
      <c r="ER103" s="148"/>
      <c r="ES103" s="148"/>
      <c r="ET103" s="148"/>
      <c r="EU103" s="148"/>
      <c r="EV103" s="148"/>
      <c r="EW103" s="148"/>
      <c r="EX103" s="148"/>
      <c r="EY103" s="148"/>
      <c r="EZ103" s="148"/>
      <c r="FA103" s="148"/>
      <c r="FB103" s="148"/>
      <c r="FC103" s="148"/>
      <c r="FD103" s="148"/>
      <c r="FE103" s="148"/>
      <c r="FF103" s="148"/>
      <c r="FG103" s="148"/>
      <c r="FH103" s="148"/>
      <c r="FI103" s="148"/>
      <c r="FJ103" s="148"/>
      <c r="FK103" s="148"/>
      <c r="FL103" s="148"/>
      <c r="FM103" s="148"/>
      <c r="FN103" s="148"/>
      <c r="FO103" s="148"/>
      <c r="FP103" s="148"/>
      <c r="FQ103" s="148"/>
      <c r="FR103" s="148"/>
    </row>
    <row r="104" spans="1:174" s="15" customFormat="1" ht="13.5" customHeight="1" x14ac:dyDescent="0.2">
      <c r="A104" s="148"/>
      <c r="B104" s="307">
        <v>94</v>
      </c>
      <c r="C104" s="307" t="s">
        <v>38</v>
      </c>
      <c r="D104" s="307" t="s">
        <v>1623</v>
      </c>
      <c r="E104" s="321" t="s">
        <v>1624</v>
      </c>
      <c r="F104" s="533" t="s">
        <v>45</v>
      </c>
      <c r="G104" s="533" t="s">
        <v>1411</v>
      </c>
      <c r="H104" s="553" t="s">
        <v>1432</v>
      </c>
      <c r="I104" s="562" t="s">
        <v>42</v>
      </c>
      <c r="J104" s="535">
        <v>584686</v>
      </c>
      <c r="K104" s="535">
        <v>457299</v>
      </c>
      <c r="L104" s="535">
        <v>0</v>
      </c>
      <c r="M104" s="454">
        <v>29699</v>
      </c>
      <c r="N104" s="454"/>
      <c r="O104" s="454">
        <v>80416</v>
      </c>
      <c r="P104" s="547"/>
      <c r="Q104" s="538"/>
      <c r="R104" s="538"/>
      <c r="S104" s="535">
        <f t="shared" si="3"/>
        <v>110115</v>
      </c>
      <c r="T104" s="539">
        <v>122071</v>
      </c>
      <c r="U104" s="540">
        <v>4</v>
      </c>
      <c r="V104" s="542">
        <v>44202</v>
      </c>
      <c r="W104" s="542">
        <v>44231</v>
      </c>
      <c r="X104" s="539">
        <v>2000</v>
      </c>
      <c r="Y104" s="544">
        <v>47</v>
      </c>
      <c r="Z104" s="545">
        <v>44295</v>
      </c>
      <c r="AA104" s="542">
        <v>44315</v>
      </c>
      <c r="AB104" s="539">
        <v>1570</v>
      </c>
      <c r="AC104" s="544">
        <v>56</v>
      </c>
      <c r="AD104" s="545">
        <v>44323</v>
      </c>
      <c r="AE104" s="542">
        <v>44344</v>
      </c>
      <c r="AF104" s="554"/>
      <c r="AG104" s="542"/>
      <c r="AH104" s="542"/>
      <c r="AI104" s="542"/>
      <c r="AJ104" s="554"/>
      <c r="AK104" s="542"/>
      <c r="AL104" s="542"/>
      <c r="AM104" s="542"/>
      <c r="AN104" s="542"/>
      <c r="AO104" s="542"/>
      <c r="AP104" s="542"/>
      <c r="AQ104" s="542"/>
      <c r="AR104" s="22">
        <f t="shared" si="4"/>
        <v>125641</v>
      </c>
      <c r="AS104" s="546">
        <f t="shared" si="5"/>
        <v>15526</v>
      </c>
      <c r="AT104" s="148"/>
      <c r="AU104" s="148"/>
      <c r="AV104" s="148"/>
      <c r="AW104" s="148"/>
      <c r="AX104" s="148"/>
      <c r="AY104" s="148"/>
      <c r="AZ104" s="148"/>
      <c r="BA104" s="148"/>
      <c r="BB104" s="148"/>
      <c r="BC104" s="148"/>
      <c r="BD104" s="148"/>
      <c r="BE104" s="148"/>
      <c r="BF104" s="148"/>
      <c r="BG104" s="148"/>
      <c r="BH104" s="148"/>
      <c r="BI104" s="148"/>
      <c r="BJ104" s="148"/>
      <c r="BK104" s="148"/>
      <c r="BL104" s="148"/>
      <c r="BM104" s="148"/>
      <c r="BN104" s="148"/>
      <c r="BO104" s="148"/>
      <c r="BP104" s="148"/>
      <c r="BQ104" s="148"/>
      <c r="BR104" s="148"/>
      <c r="BS104" s="148"/>
      <c r="BT104" s="148"/>
      <c r="BU104" s="148"/>
      <c r="BV104" s="148"/>
      <c r="BW104" s="148"/>
      <c r="BX104" s="148"/>
      <c r="BY104" s="148"/>
      <c r="BZ104" s="148"/>
      <c r="CA104" s="148"/>
      <c r="CB104" s="148"/>
      <c r="CC104" s="148"/>
      <c r="CD104" s="148"/>
      <c r="CE104" s="148"/>
      <c r="CF104" s="148"/>
      <c r="CG104" s="148"/>
      <c r="CH104" s="148"/>
      <c r="CI104" s="148"/>
      <c r="CJ104" s="148"/>
      <c r="CK104" s="148"/>
      <c r="CL104" s="148"/>
      <c r="CM104" s="148"/>
      <c r="CN104" s="148"/>
      <c r="CO104" s="148"/>
      <c r="CP104" s="148"/>
      <c r="CQ104" s="148"/>
      <c r="CR104" s="148"/>
      <c r="CS104" s="148"/>
      <c r="CT104" s="148"/>
      <c r="CU104" s="148"/>
      <c r="CV104" s="148"/>
      <c r="CW104" s="148"/>
      <c r="CX104" s="148"/>
      <c r="CY104" s="148"/>
      <c r="CZ104" s="148"/>
      <c r="DA104" s="148"/>
      <c r="DB104" s="148"/>
      <c r="DC104" s="148"/>
      <c r="DD104" s="148"/>
      <c r="DE104" s="148"/>
      <c r="DF104" s="148"/>
      <c r="DG104" s="148"/>
      <c r="DH104" s="148"/>
      <c r="DI104" s="148"/>
      <c r="DJ104" s="148"/>
      <c r="DK104" s="148"/>
      <c r="DL104" s="148"/>
      <c r="DM104" s="148"/>
      <c r="DN104" s="148"/>
      <c r="DO104" s="148"/>
      <c r="DP104" s="148"/>
      <c r="DQ104" s="148"/>
      <c r="DR104" s="148"/>
      <c r="DS104" s="148"/>
      <c r="DT104" s="148"/>
      <c r="DU104" s="148"/>
      <c r="DV104" s="148"/>
      <c r="DW104" s="148"/>
      <c r="DX104" s="148"/>
      <c r="DY104" s="148"/>
      <c r="DZ104" s="148"/>
      <c r="EA104" s="148"/>
      <c r="EB104" s="148"/>
      <c r="EC104" s="148"/>
      <c r="ED104" s="148"/>
      <c r="EE104" s="148"/>
      <c r="EF104" s="148"/>
      <c r="EG104" s="148"/>
      <c r="EH104" s="148"/>
      <c r="EI104" s="148"/>
      <c r="EJ104" s="148"/>
      <c r="EK104" s="148"/>
      <c r="EL104" s="148"/>
      <c r="EM104" s="148"/>
      <c r="EN104" s="148"/>
      <c r="EO104" s="148"/>
      <c r="EP104" s="148"/>
      <c r="EQ104" s="148"/>
      <c r="ER104" s="148"/>
      <c r="ES104" s="148"/>
      <c r="ET104" s="148"/>
      <c r="EU104" s="148"/>
      <c r="EV104" s="148"/>
      <c r="EW104" s="148"/>
      <c r="EX104" s="148"/>
      <c r="EY104" s="148"/>
      <c r="EZ104" s="148"/>
      <c r="FA104" s="148"/>
      <c r="FB104" s="148"/>
      <c r="FC104" s="148"/>
      <c r="FD104" s="148"/>
      <c r="FE104" s="148"/>
      <c r="FF104" s="148"/>
      <c r="FG104" s="148"/>
      <c r="FH104" s="148"/>
      <c r="FI104" s="148"/>
      <c r="FJ104" s="148"/>
      <c r="FK104" s="148"/>
      <c r="FL104" s="148"/>
      <c r="FM104" s="148"/>
      <c r="FN104" s="148"/>
      <c r="FO104" s="148"/>
      <c r="FP104" s="148"/>
      <c r="FQ104" s="148"/>
      <c r="FR104" s="148"/>
    </row>
    <row r="105" spans="1:174" s="15" customFormat="1" ht="13.5" customHeight="1" x14ac:dyDescent="0.2">
      <c r="A105" s="148"/>
      <c r="B105" s="307">
        <v>95</v>
      </c>
      <c r="C105" s="307" t="s">
        <v>38</v>
      </c>
      <c r="D105" s="307" t="s">
        <v>1625</v>
      </c>
      <c r="E105" s="321" t="s">
        <v>1626</v>
      </c>
      <c r="F105" s="533" t="s">
        <v>45</v>
      </c>
      <c r="G105" s="533" t="s">
        <v>1411</v>
      </c>
      <c r="H105" s="553" t="s">
        <v>1627</v>
      </c>
      <c r="I105" s="562" t="s">
        <v>42</v>
      </c>
      <c r="J105" s="535">
        <v>375074</v>
      </c>
      <c r="K105" s="535">
        <v>325569</v>
      </c>
      <c r="L105" s="535">
        <v>0</v>
      </c>
      <c r="M105" s="454">
        <f>25982+10999</f>
        <v>36981</v>
      </c>
      <c r="N105" s="454"/>
      <c r="O105" s="454"/>
      <c r="P105" s="548">
        <v>10395.376</v>
      </c>
      <c r="Q105" s="538"/>
      <c r="R105" s="538"/>
      <c r="S105" s="535">
        <f t="shared" si="3"/>
        <v>47376.376000000004</v>
      </c>
      <c r="T105" s="539">
        <v>49505</v>
      </c>
      <c r="U105" s="540">
        <v>4</v>
      </c>
      <c r="V105" s="542">
        <v>44202</v>
      </c>
      <c r="W105" s="542">
        <v>44231</v>
      </c>
      <c r="X105" s="539"/>
      <c r="Y105" s="544"/>
      <c r="Z105" s="540"/>
      <c r="AA105" s="542"/>
      <c r="AB105" s="539"/>
      <c r="AC105" s="544"/>
      <c r="AD105" s="540"/>
      <c r="AE105" s="542"/>
      <c r="AF105" s="554"/>
      <c r="AG105" s="542"/>
      <c r="AH105" s="542"/>
      <c r="AI105" s="542"/>
      <c r="AJ105" s="554"/>
      <c r="AK105" s="542"/>
      <c r="AL105" s="542"/>
      <c r="AM105" s="542"/>
      <c r="AN105" s="542"/>
      <c r="AO105" s="542"/>
      <c r="AP105" s="542"/>
      <c r="AQ105" s="542"/>
      <c r="AR105" s="22">
        <f t="shared" si="4"/>
        <v>49505</v>
      </c>
      <c r="AS105" s="546">
        <f t="shared" si="5"/>
        <v>2128.6239999999962</v>
      </c>
      <c r="AT105" s="148"/>
      <c r="AU105" s="148"/>
      <c r="AV105" s="148"/>
      <c r="AW105" s="148"/>
      <c r="AX105" s="148"/>
      <c r="AY105" s="148"/>
      <c r="AZ105" s="148"/>
      <c r="BA105" s="148"/>
      <c r="BB105" s="148"/>
      <c r="BC105" s="148"/>
      <c r="BD105" s="148"/>
      <c r="BE105" s="148"/>
      <c r="BF105" s="148"/>
      <c r="BG105" s="148"/>
      <c r="BH105" s="148"/>
      <c r="BI105" s="148"/>
      <c r="BJ105" s="148"/>
      <c r="BK105" s="148"/>
      <c r="BL105" s="148"/>
      <c r="BM105" s="148"/>
      <c r="BN105" s="148"/>
      <c r="BO105" s="148"/>
      <c r="BP105" s="148"/>
      <c r="BQ105" s="148"/>
      <c r="BR105" s="148"/>
      <c r="BS105" s="148"/>
      <c r="BT105" s="148"/>
      <c r="BU105" s="148"/>
      <c r="BV105" s="148"/>
      <c r="BW105" s="148"/>
      <c r="BX105" s="148"/>
      <c r="BY105" s="148"/>
      <c r="BZ105" s="148"/>
      <c r="CA105" s="148"/>
      <c r="CB105" s="148"/>
      <c r="CC105" s="148"/>
      <c r="CD105" s="148"/>
      <c r="CE105" s="148"/>
      <c r="CF105" s="148"/>
      <c r="CG105" s="148"/>
      <c r="CH105" s="148"/>
      <c r="CI105" s="148"/>
      <c r="CJ105" s="148"/>
      <c r="CK105" s="148"/>
      <c r="CL105" s="148"/>
      <c r="CM105" s="148"/>
      <c r="CN105" s="148"/>
      <c r="CO105" s="148"/>
      <c r="CP105" s="148"/>
      <c r="CQ105" s="148"/>
      <c r="CR105" s="148"/>
      <c r="CS105" s="148"/>
      <c r="CT105" s="148"/>
      <c r="CU105" s="148"/>
      <c r="CV105" s="148"/>
      <c r="CW105" s="148"/>
      <c r="CX105" s="148"/>
      <c r="CY105" s="148"/>
      <c r="CZ105" s="148"/>
      <c r="DA105" s="148"/>
      <c r="DB105" s="148"/>
      <c r="DC105" s="148"/>
      <c r="DD105" s="148"/>
      <c r="DE105" s="148"/>
      <c r="DF105" s="148"/>
      <c r="DG105" s="148"/>
      <c r="DH105" s="148"/>
      <c r="DI105" s="148"/>
      <c r="DJ105" s="148"/>
      <c r="DK105" s="148"/>
      <c r="DL105" s="148"/>
      <c r="DM105" s="148"/>
      <c r="DN105" s="148"/>
      <c r="DO105" s="148"/>
      <c r="DP105" s="148"/>
      <c r="DQ105" s="148"/>
      <c r="DR105" s="148"/>
      <c r="DS105" s="148"/>
      <c r="DT105" s="148"/>
      <c r="DU105" s="148"/>
      <c r="DV105" s="148"/>
      <c r="DW105" s="148"/>
      <c r="DX105" s="148"/>
      <c r="DY105" s="148"/>
      <c r="DZ105" s="148"/>
      <c r="EA105" s="148"/>
      <c r="EB105" s="148"/>
      <c r="EC105" s="148"/>
      <c r="ED105" s="148"/>
      <c r="EE105" s="148"/>
      <c r="EF105" s="148"/>
      <c r="EG105" s="148"/>
      <c r="EH105" s="148"/>
      <c r="EI105" s="148"/>
      <c r="EJ105" s="148"/>
      <c r="EK105" s="148"/>
      <c r="EL105" s="148"/>
      <c r="EM105" s="148"/>
      <c r="EN105" s="148"/>
      <c r="EO105" s="148"/>
      <c r="EP105" s="148"/>
      <c r="EQ105" s="148"/>
      <c r="ER105" s="148"/>
      <c r="ES105" s="148"/>
      <c r="ET105" s="148"/>
      <c r="EU105" s="148"/>
      <c r="EV105" s="148"/>
      <c r="EW105" s="148"/>
      <c r="EX105" s="148"/>
      <c r="EY105" s="148"/>
      <c r="EZ105" s="148"/>
      <c r="FA105" s="148"/>
      <c r="FB105" s="148"/>
      <c r="FC105" s="148"/>
      <c r="FD105" s="148"/>
      <c r="FE105" s="148"/>
      <c r="FF105" s="148"/>
      <c r="FG105" s="148"/>
      <c r="FH105" s="148"/>
      <c r="FI105" s="148"/>
      <c r="FJ105" s="148"/>
      <c r="FK105" s="148"/>
      <c r="FL105" s="148"/>
      <c r="FM105" s="148"/>
      <c r="FN105" s="148"/>
      <c r="FO105" s="148"/>
      <c r="FP105" s="148"/>
      <c r="FQ105" s="148"/>
      <c r="FR105" s="148"/>
    </row>
    <row r="106" spans="1:174" s="15" customFormat="1" ht="13.5" customHeight="1" x14ac:dyDescent="0.2">
      <c r="A106" s="148"/>
      <c r="B106" s="307">
        <v>96</v>
      </c>
      <c r="C106" s="307" t="s">
        <v>38</v>
      </c>
      <c r="D106" s="307" t="s">
        <v>1628</v>
      </c>
      <c r="E106" s="321" t="s">
        <v>1629</v>
      </c>
      <c r="F106" s="533" t="s">
        <v>45</v>
      </c>
      <c r="G106" s="533" t="s">
        <v>1411</v>
      </c>
      <c r="H106" s="553" t="s">
        <v>1412</v>
      </c>
      <c r="I106" s="562" t="s">
        <v>42</v>
      </c>
      <c r="J106" s="535">
        <v>838087</v>
      </c>
      <c r="K106" s="535">
        <v>729498</v>
      </c>
      <c r="L106" s="535">
        <v>0</v>
      </c>
      <c r="M106" s="454"/>
      <c r="N106" s="454"/>
      <c r="O106" s="454">
        <v>266</v>
      </c>
      <c r="P106" s="548">
        <v>34658.142</v>
      </c>
      <c r="Q106" s="538">
        <v>3385.03</v>
      </c>
      <c r="R106" s="538"/>
      <c r="S106" s="535">
        <f t="shared" si="3"/>
        <v>38309.171999999999</v>
      </c>
      <c r="T106" s="539">
        <v>103322</v>
      </c>
      <c r="U106" s="540">
        <v>4</v>
      </c>
      <c r="V106" s="542">
        <v>44202</v>
      </c>
      <c r="W106" s="542">
        <v>44231</v>
      </c>
      <c r="X106" s="539">
        <v>5267</v>
      </c>
      <c r="Y106" s="544">
        <v>47</v>
      </c>
      <c r="Z106" s="545">
        <v>44295</v>
      </c>
      <c r="AA106" s="542">
        <v>44315</v>
      </c>
      <c r="AB106" s="539"/>
      <c r="AC106" s="544"/>
      <c r="AD106" s="540"/>
      <c r="AE106" s="542"/>
      <c r="AF106" s="554"/>
      <c r="AG106" s="542"/>
      <c r="AH106" s="542"/>
      <c r="AI106" s="542"/>
      <c r="AJ106" s="554"/>
      <c r="AK106" s="542"/>
      <c r="AL106" s="542"/>
      <c r="AM106" s="542"/>
      <c r="AN106" s="542"/>
      <c r="AO106" s="542"/>
      <c r="AP106" s="542"/>
      <c r="AQ106" s="542"/>
      <c r="AR106" s="22">
        <f t="shared" si="4"/>
        <v>108589</v>
      </c>
      <c r="AS106" s="546">
        <f t="shared" si="5"/>
        <v>70279.828000000009</v>
      </c>
      <c r="AT106" s="148"/>
      <c r="AU106" s="148"/>
      <c r="AV106" s="148"/>
      <c r="AW106" s="148"/>
      <c r="AX106" s="148"/>
      <c r="AY106" s="148"/>
      <c r="AZ106" s="148"/>
      <c r="BA106" s="148"/>
      <c r="BB106" s="148"/>
      <c r="BC106" s="148"/>
      <c r="BD106" s="148"/>
      <c r="BE106" s="148"/>
      <c r="BF106" s="148"/>
      <c r="BG106" s="148"/>
      <c r="BH106" s="148"/>
      <c r="BI106" s="148"/>
      <c r="BJ106" s="148"/>
      <c r="BK106" s="148"/>
      <c r="BL106" s="148"/>
      <c r="BM106" s="148"/>
      <c r="BN106" s="148"/>
      <c r="BO106" s="148"/>
      <c r="BP106" s="148"/>
      <c r="BQ106" s="148"/>
      <c r="BR106" s="148"/>
      <c r="BS106" s="148"/>
      <c r="BT106" s="148"/>
      <c r="BU106" s="148"/>
      <c r="BV106" s="148"/>
      <c r="BW106" s="148"/>
      <c r="BX106" s="148"/>
      <c r="BY106" s="148"/>
      <c r="BZ106" s="148"/>
      <c r="CA106" s="148"/>
      <c r="CB106" s="148"/>
      <c r="CC106" s="148"/>
      <c r="CD106" s="148"/>
      <c r="CE106" s="148"/>
      <c r="CF106" s="148"/>
      <c r="CG106" s="148"/>
      <c r="CH106" s="148"/>
      <c r="CI106" s="148"/>
      <c r="CJ106" s="148"/>
      <c r="CK106" s="148"/>
      <c r="CL106" s="148"/>
      <c r="CM106" s="148"/>
      <c r="CN106" s="148"/>
      <c r="CO106" s="148"/>
      <c r="CP106" s="148"/>
      <c r="CQ106" s="148"/>
      <c r="CR106" s="148"/>
      <c r="CS106" s="148"/>
      <c r="CT106" s="148"/>
      <c r="CU106" s="148"/>
      <c r="CV106" s="148"/>
      <c r="CW106" s="148"/>
      <c r="CX106" s="148"/>
      <c r="CY106" s="148"/>
      <c r="CZ106" s="148"/>
      <c r="DA106" s="148"/>
      <c r="DB106" s="148"/>
      <c r="DC106" s="148"/>
      <c r="DD106" s="148"/>
      <c r="DE106" s="148"/>
      <c r="DF106" s="148"/>
      <c r="DG106" s="148"/>
      <c r="DH106" s="148"/>
      <c r="DI106" s="148"/>
      <c r="DJ106" s="148"/>
      <c r="DK106" s="148"/>
      <c r="DL106" s="148"/>
      <c r="DM106" s="148"/>
      <c r="DN106" s="148"/>
      <c r="DO106" s="148"/>
      <c r="DP106" s="148"/>
      <c r="DQ106" s="148"/>
      <c r="DR106" s="148"/>
      <c r="DS106" s="148"/>
      <c r="DT106" s="148"/>
      <c r="DU106" s="148"/>
      <c r="DV106" s="148"/>
      <c r="DW106" s="148"/>
      <c r="DX106" s="148"/>
      <c r="DY106" s="148"/>
      <c r="DZ106" s="148"/>
      <c r="EA106" s="148"/>
      <c r="EB106" s="148"/>
      <c r="EC106" s="148"/>
      <c r="ED106" s="148"/>
      <c r="EE106" s="148"/>
      <c r="EF106" s="148"/>
      <c r="EG106" s="148"/>
      <c r="EH106" s="148"/>
      <c r="EI106" s="148"/>
      <c r="EJ106" s="148"/>
      <c r="EK106" s="148"/>
      <c r="EL106" s="148"/>
      <c r="EM106" s="148"/>
      <c r="EN106" s="148"/>
      <c r="EO106" s="148"/>
      <c r="EP106" s="148"/>
      <c r="EQ106" s="148"/>
      <c r="ER106" s="148"/>
      <c r="ES106" s="148"/>
      <c r="ET106" s="148"/>
      <c r="EU106" s="148"/>
      <c r="EV106" s="148"/>
      <c r="EW106" s="148"/>
      <c r="EX106" s="148"/>
      <c r="EY106" s="148"/>
      <c r="EZ106" s="148"/>
      <c r="FA106" s="148"/>
      <c r="FB106" s="148"/>
      <c r="FC106" s="148"/>
      <c r="FD106" s="148"/>
      <c r="FE106" s="148"/>
      <c r="FF106" s="148"/>
      <c r="FG106" s="148"/>
      <c r="FH106" s="148"/>
      <c r="FI106" s="148"/>
      <c r="FJ106" s="148"/>
      <c r="FK106" s="148"/>
      <c r="FL106" s="148"/>
      <c r="FM106" s="148"/>
      <c r="FN106" s="148"/>
      <c r="FO106" s="148"/>
      <c r="FP106" s="148"/>
      <c r="FQ106" s="148"/>
      <c r="FR106" s="148"/>
    </row>
    <row r="107" spans="1:174" s="15" customFormat="1" ht="13.5" customHeight="1" x14ac:dyDescent="0.2">
      <c r="A107" s="148"/>
      <c r="B107" s="307">
        <v>97</v>
      </c>
      <c r="C107" s="307" t="s">
        <v>38</v>
      </c>
      <c r="D107" s="307" t="s">
        <v>1630</v>
      </c>
      <c r="E107" s="321" t="s">
        <v>1631</v>
      </c>
      <c r="F107" s="533" t="s">
        <v>45</v>
      </c>
      <c r="G107" s="533" t="s">
        <v>1411</v>
      </c>
      <c r="H107" s="553" t="s">
        <v>1603</v>
      </c>
      <c r="I107" s="534" t="s">
        <v>43</v>
      </c>
      <c r="J107" s="535">
        <v>410657</v>
      </c>
      <c r="K107" s="535">
        <v>0</v>
      </c>
      <c r="L107" s="535">
        <v>0</v>
      </c>
      <c r="M107" s="454"/>
      <c r="N107" s="454"/>
      <c r="O107" s="454"/>
      <c r="P107" s="548">
        <v>47935.68</v>
      </c>
      <c r="Q107" s="538">
        <v>56038.497000000003</v>
      </c>
      <c r="R107" s="538">
        <v>78902.827000000005</v>
      </c>
      <c r="S107" s="535">
        <f t="shared" si="3"/>
        <v>182877.00400000002</v>
      </c>
      <c r="T107" s="539">
        <v>120000</v>
      </c>
      <c r="U107" s="540">
        <v>4</v>
      </c>
      <c r="V107" s="542">
        <v>44202</v>
      </c>
      <c r="W107" s="542">
        <v>44231</v>
      </c>
      <c r="X107" s="539">
        <v>80000</v>
      </c>
      <c r="Y107" s="544">
        <v>26</v>
      </c>
      <c r="Z107" s="545">
        <v>44263</v>
      </c>
      <c r="AA107" s="542">
        <v>44293</v>
      </c>
      <c r="AB107" s="539">
        <v>33975</v>
      </c>
      <c r="AC107" s="544">
        <v>71</v>
      </c>
      <c r="AD107" s="545">
        <v>44354</v>
      </c>
      <c r="AE107" s="542">
        <v>44376</v>
      </c>
      <c r="AF107" s="554"/>
      <c r="AG107" s="542"/>
      <c r="AH107" s="542"/>
      <c r="AI107" s="542"/>
      <c r="AJ107" s="554"/>
      <c r="AK107" s="542"/>
      <c r="AL107" s="542"/>
      <c r="AM107" s="542"/>
      <c r="AN107" s="542"/>
      <c r="AO107" s="542"/>
      <c r="AP107" s="542"/>
      <c r="AQ107" s="542"/>
      <c r="AR107" s="22">
        <f t="shared" si="4"/>
        <v>233975</v>
      </c>
      <c r="AS107" s="546">
        <f t="shared" si="5"/>
        <v>51097.995999999985</v>
      </c>
      <c r="AT107" s="148"/>
      <c r="AU107" s="148"/>
      <c r="AV107" s="148"/>
      <c r="AW107" s="148"/>
      <c r="AX107" s="148"/>
      <c r="AY107" s="148"/>
      <c r="AZ107" s="148"/>
      <c r="BA107" s="148"/>
      <c r="BB107" s="148"/>
      <c r="BC107" s="148"/>
      <c r="BD107" s="148"/>
      <c r="BE107" s="148"/>
      <c r="BF107" s="148"/>
      <c r="BG107" s="148"/>
      <c r="BH107" s="148"/>
      <c r="BI107" s="148"/>
      <c r="BJ107" s="148"/>
      <c r="BK107" s="148"/>
      <c r="BL107" s="148"/>
      <c r="BM107" s="148"/>
      <c r="BN107" s="148"/>
      <c r="BO107" s="148"/>
      <c r="BP107" s="148"/>
      <c r="BQ107" s="148"/>
      <c r="BR107" s="148"/>
      <c r="BS107" s="148"/>
      <c r="BT107" s="148"/>
      <c r="BU107" s="148"/>
      <c r="BV107" s="148"/>
      <c r="BW107" s="148"/>
      <c r="BX107" s="148"/>
      <c r="BY107" s="148"/>
      <c r="BZ107" s="148"/>
      <c r="CA107" s="148"/>
      <c r="CB107" s="148"/>
      <c r="CC107" s="148"/>
      <c r="CD107" s="148"/>
      <c r="CE107" s="148"/>
      <c r="CF107" s="148"/>
      <c r="CG107" s="148"/>
      <c r="CH107" s="148"/>
      <c r="CI107" s="148"/>
      <c r="CJ107" s="148"/>
      <c r="CK107" s="148"/>
      <c r="CL107" s="148"/>
      <c r="CM107" s="148"/>
      <c r="CN107" s="148"/>
      <c r="CO107" s="148"/>
      <c r="CP107" s="148"/>
      <c r="CQ107" s="148"/>
      <c r="CR107" s="148"/>
      <c r="CS107" s="148"/>
      <c r="CT107" s="148"/>
      <c r="CU107" s="148"/>
      <c r="CV107" s="148"/>
      <c r="CW107" s="148"/>
      <c r="CX107" s="148"/>
      <c r="CY107" s="148"/>
      <c r="CZ107" s="148"/>
      <c r="DA107" s="148"/>
      <c r="DB107" s="148"/>
      <c r="DC107" s="148"/>
      <c r="DD107" s="148"/>
      <c r="DE107" s="148"/>
      <c r="DF107" s="148"/>
      <c r="DG107" s="148"/>
      <c r="DH107" s="148"/>
      <c r="DI107" s="148"/>
      <c r="DJ107" s="148"/>
      <c r="DK107" s="148"/>
      <c r="DL107" s="148"/>
      <c r="DM107" s="148"/>
      <c r="DN107" s="148"/>
      <c r="DO107" s="148"/>
      <c r="DP107" s="148"/>
      <c r="DQ107" s="148"/>
      <c r="DR107" s="148"/>
      <c r="DS107" s="148"/>
      <c r="DT107" s="148"/>
      <c r="DU107" s="148"/>
      <c r="DV107" s="148"/>
      <c r="DW107" s="148"/>
      <c r="DX107" s="148"/>
      <c r="DY107" s="148"/>
      <c r="DZ107" s="148"/>
      <c r="EA107" s="148"/>
      <c r="EB107" s="148"/>
      <c r="EC107" s="148"/>
      <c r="ED107" s="148"/>
      <c r="EE107" s="148"/>
      <c r="EF107" s="148"/>
      <c r="EG107" s="148"/>
      <c r="EH107" s="148"/>
      <c r="EI107" s="148"/>
      <c r="EJ107" s="148"/>
      <c r="EK107" s="148"/>
      <c r="EL107" s="148"/>
      <c r="EM107" s="148"/>
      <c r="EN107" s="148"/>
      <c r="EO107" s="148"/>
      <c r="EP107" s="148"/>
      <c r="EQ107" s="148"/>
      <c r="ER107" s="148"/>
      <c r="ES107" s="148"/>
      <c r="ET107" s="148"/>
      <c r="EU107" s="148"/>
      <c r="EV107" s="148"/>
      <c r="EW107" s="148"/>
      <c r="EX107" s="148"/>
      <c r="EY107" s="148"/>
      <c r="EZ107" s="148"/>
      <c r="FA107" s="148"/>
      <c r="FB107" s="148"/>
      <c r="FC107" s="148"/>
      <c r="FD107" s="148"/>
      <c r="FE107" s="148"/>
      <c r="FF107" s="148"/>
      <c r="FG107" s="148"/>
      <c r="FH107" s="148"/>
      <c r="FI107" s="148"/>
      <c r="FJ107" s="148"/>
      <c r="FK107" s="148"/>
      <c r="FL107" s="148"/>
      <c r="FM107" s="148"/>
      <c r="FN107" s="148"/>
      <c r="FO107" s="148"/>
      <c r="FP107" s="148"/>
      <c r="FQ107" s="148"/>
      <c r="FR107" s="148"/>
    </row>
    <row r="108" spans="1:174" s="15" customFormat="1" ht="13.5" customHeight="1" x14ac:dyDescent="0.2">
      <c r="A108" s="148"/>
      <c r="B108" s="307">
        <v>98</v>
      </c>
      <c r="C108" s="307" t="s">
        <v>38</v>
      </c>
      <c r="D108" s="307" t="s">
        <v>1632</v>
      </c>
      <c r="E108" s="321" t="s">
        <v>1633</v>
      </c>
      <c r="F108" s="533" t="s">
        <v>45</v>
      </c>
      <c r="G108" s="533" t="s">
        <v>1411</v>
      </c>
      <c r="H108" s="553" t="s">
        <v>1611</v>
      </c>
      <c r="I108" s="534" t="s">
        <v>43</v>
      </c>
      <c r="J108" s="535">
        <v>540229</v>
      </c>
      <c r="K108" s="535">
        <v>79163</v>
      </c>
      <c r="L108" s="535">
        <v>0</v>
      </c>
      <c r="M108" s="454">
        <f>2000+112278</f>
        <v>114278</v>
      </c>
      <c r="N108" s="454">
        <f>2000+108475</f>
        <v>110475</v>
      </c>
      <c r="O108" s="454">
        <f>2000+96522</f>
        <v>98522</v>
      </c>
      <c r="P108" s="548">
        <v>22333.477999999999</v>
      </c>
      <c r="Q108" s="538">
        <v>14431.574000000001</v>
      </c>
      <c r="R108" s="538"/>
      <c r="S108" s="535">
        <f t="shared" si="3"/>
        <v>360040.05200000003</v>
      </c>
      <c r="T108" s="539">
        <v>331000</v>
      </c>
      <c r="U108" s="540">
        <v>4</v>
      </c>
      <c r="V108" s="542">
        <v>44202</v>
      </c>
      <c r="W108" s="542">
        <v>44231</v>
      </c>
      <c r="X108" s="539">
        <v>359</v>
      </c>
      <c r="Y108" s="544">
        <v>18</v>
      </c>
      <c r="Z108" s="545">
        <v>44242</v>
      </c>
      <c r="AA108" s="542">
        <v>44270</v>
      </c>
      <c r="AB108" s="539">
        <v>51060</v>
      </c>
      <c r="AC108" s="544">
        <v>26</v>
      </c>
      <c r="AD108" s="545">
        <v>44263</v>
      </c>
      <c r="AE108" s="542">
        <v>44293</v>
      </c>
      <c r="AF108" s="554"/>
      <c r="AG108" s="542"/>
      <c r="AH108" s="542"/>
      <c r="AI108" s="542"/>
      <c r="AJ108" s="554"/>
      <c r="AK108" s="542"/>
      <c r="AL108" s="542"/>
      <c r="AM108" s="542"/>
      <c r="AN108" s="542"/>
      <c r="AO108" s="542"/>
      <c r="AP108" s="542"/>
      <c r="AQ108" s="542"/>
      <c r="AR108" s="22">
        <f t="shared" si="4"/>
        <v>382419</v>
      </c>
      <c r="AS108" s="546">
        <f t="shared" si="5"/>
        <v>22378.947999999975</v>
      </c>
      <c r="AT108" s="148"/>
      <c r="AU108" s="148"/>
      <c r="AV108" s="148"/>
      <c r="AW108" s="148"/>
      <c r="AX108" s="148"/>
      <c r="AY108" s="148"/>
      <c r="AZ108" s="148"/>
      <c r="BA108" s="148"/>
      <c r="BB108" s="148"/>
      <c r="BC108" s="148"/>
      <c r="BD108" s="148"/>
      <c r="BE108" s="148"/>
      <c r="BF108" s="148"/>
      <c r="BG108" s="148"/>
      <c r="BH108" s="148"/>
      <c r="BI108" s="148"/>
      <c r="BJ108" s="148"/>
      <c r="BK108" s="148"/>
      <c r="BL108" s="148"/>
      <c r="BM108" s="148"/>
      <c r="BN108" s="148"/>
      <c r="BO108" s="148"/>
      <c r="BP108" s="148"/>
      <c r="BQ108" s="148"/>
      <c r="BR108" s="148"/>
      <c r="BS108" s="148"/>
      <c r="BT108" s="148"/>
      <c r="BU108" s="148"/>
      <c r="BV108" s="148"/>
      <c r="BW108" s="148"/>
      <c r="BX108" s="148"/>
      <c r="BY108" s="148"/>
      <c r="BZ108" s="148"/>
      <c r="CA108" s="148"/>
      <c r="CB108" s="148"/>
      <c r="CC108" s="148"/>
      <c r="CD108" s="148"/>
      <c r="CE108" s="148"/>
      <c r="CF108" s="148"/>
      <c r="CG108" s="148"/>
      <c r="CH108" s="148"/>
      <c r="CI108" s="148"/>
      <c r="CJ108" s="148"/>
      <c r="CK108" s="148"/>
      <c r="CL108" s="148"/>
      <c r="CM108" s="148"/>
      <c r="CN108" s="148"/>
      <c r="CO108" s="148"/>
      <c r="CP108" s="148"/>
      <c r="CQ108" s="148"/>
      <c r="CR108" s="148"/>
      <c r="CS108" s="148"/>
      <c r="CT108" s="148"/>
      <c r="CU108" s="148"/>
      <c r="CV108" s="148"/>
      <c r="CW108" s="148"/>
      <c r="CX108" s="148"/>
      <c r="CY108" s="148"/>
      <c r="CZ108" s="148"/>
      <c r="DA108" s="148"/>
      <c r="DB108" s="148"/>
      <c r="DC108" s="148"/>
      <c r="DD108" s="148"/>
      <c r="DE108" s="148"/>
      <c r="DF108" s="148"/>
      <c r="DG108" s="148"/>
      <c r="DH108" s="148"/>
      <c r="DI108" s="148"/>
      <c r="DJ108" s="148"/>
      <c r="DK108" s="148"/>
      <c r="DL108" s="148"/>
      <c r="DM108" s="148"/>
      <c r="DN108" s="148"/>
      <c r="DO108" s="148"/>
      <c r="DP108" s="148"/>
      <c r="DQ108" s="148"/>
      <c r="DR108" s="148"/>
      <c r="DS108" s="148"/>
      <c r="DT108" s="148"/>
      <c r="DU108" s="148"/>
      <c r="DV108" s="148"/>
      <c r="DW108" s="148"/>
      <c r="DX108" s="148"/>
      <c r="DY108" s="148"/>
      <c r="DZ108" s="148"/>
      <c r="EA108" s="148"/>
      <c r="EB108" s="148"/>
      <c r="EC108" s="148"/>
      <c r="ED108" s="148"/>
      <c r="EE108" s="148"/>
      <c r="EF108" s="148"/>
      <c r="EG108" s="148"/>
      <c r="EH108" s="148"/>
      <c r="EI108" s="148"/>
      <c r="EJ108" s="148"/>
      <c r="EK108" s="148"/>
      <c r="EL108" s="148"/>
      <c r="EM108" s="148"/>
      <c r="EN108" s="148"/>
      <c r="EO108" s="148"/>
      <c r="EP108" s="148"/>
      <c r="EQ108" s="148"/>
      <c r="ER108" s="148"/>
      <c r="ES108" s="148"/>
      <c r="ET108" s="148"/>
      <c r="EU108" s="148"/>
      <c r="EV108" s="148"/>
      <c r="EW108" s="148"/>
      <c r="EX108" s="148"/>
      <c r="EY108" s="148"/>
      <c r="EZ108" s="148"/>
      <c r="FA108" s="148"/>
      <c r="FB108" s="148"/>
      <c r="FC108" s="148"/>
      <c r="FD108" s="148"/>
      <c r="FE108" s="148"/>
      <c r="FF108" s="148"/>
      <c r="FG108" s="148"/>
      <c r="FH108" s="148"/>
      <c r="FI108" s="148"/>
      <c r="FJ108" s="148"/>
      <c r="FK108" s="148"/>
      <c r="FL108" s="148"/>
      <c r="FM108" s="148"/>
      <c r="FN108" s="148"/>
      <c r="FO108" s="148"/>
      <c r="FP108" s="148"/>
      <c r="FQ108" s="148"/>
      <c r="FR108" s="148"/>
    </row>
    <row r="109" spans="1:174" s="15" customFormat="1" ht="13.5" customHeight="1" x14ac:dyDescent="0.2">
      <c r="A109" s="148"/>
      <c r="B109" s="307">
        <v>99</v>
      </c>
      <c r="C109" s="307" t="s">
        <v>38</v>
      </c>
      <c r="D109" s="307" t="s">
        <v>1634</v>
      </c>
      <c r="E109" s="321" t="s">
        <v>1635</v>
      </c>
      <c r="F109" s="533" t="s">
        <v>45</v>
      </c>
      <c r="G109" s="533" t="s">
        <v>1411</v>
      </c>
      <c r="H109" s="553" t="s">
        <v>1412</v>
      </c>
      <c r="I109" s="534" t="s">
        <v>42</v>
      </c>
      <c r="J109" s="535">
        <v>415779</v>
      </c>
      <c r="K109" s="535">
        <v>407157</v>
      </c>
      <c r="L109" s="535">
        <v>0</v>
      </c>
      <c r="M109" s="454">
        <v>8622</v>
      </c>
      <c r="N109" s="454"/>
      <c r="O109" s="454"/>
      <c r="P109" s="547"/>
      <c r="Q109" s="538"/>
      <c r="R109" s="538"/>
      <c r="S109" s="535">
        <f t="shared" si="3"/>
        <v>8622</v>
      </c>
      <c r="T109" s="539">
        <v>8622</v>
      </c>
      <c r="U109" s="540">
        <v>4</v>
      </c>
      <c r="V109" s="542">
        <v>44202</v>
      </c>
      <c r="W109" s="542">
        <v>44231</v>
      </c>
      <c r="X109" s="539"/>
      <c r="Y109" s="544"/>
      <c r="Z109" s="540"/>
      <c r="AA109" s="542"/>
      <c r="AB109" s="539"/>
      <c r="AC109" s="544"/>
      <c r="AD109" s="540"/>
      <c r="AE109" s="542"/>
      <c r="AF109" s="554"/>
      <c r="AG109" s="542"/>
      <c r="AH109" s="542"/>
      <c r="AI109" s="542"/>
      <c r="AJ109" s="554"/>
      <c r="AK109" s="542"/>
      <c r="AL109" s="542"/>
      <c r="AM109" s="542"/>
      <c r="AN109" s="542"/>
      <c r="AO109" s="542"/>
      <c r="AP109" s="542"/>
      <c r="AQ109" s="542"/>
      <c r="AR109" s="22">
        <f t="shared" si="4"/>
        <v>8622</v>
      </c>
      <c r="AS109" s="546">
        <f t="shared" si="5"/>
        <v>0</v>
      </c>
      <c r="AT109" s="148"/>
      <c r="AU109" s="148"/>
      <c r="AV109" s="148"/>
      <c r="AW109" s="148"/>
      <c r="AX109" s="148"/>
      <c r="AY109" s="148"/>
      <c r="AZ109" s="148"/>
      <c r="BA109" s="148"/>
      <c r="BB109" s="148"/>
      <c r="BC109" s="148"/>
      <c r="BD109" s="148"/>
      <c r="BE109" s="148"/>
      <c r="BF109" s="148"/>
      <c r="BG109" s="148"/>
      <c r="BH109" s="148"/>
      <c r="BI109" s="148"/>
      <c r="BJ109" s="148"/>
      <c r="BK109" s="148"/>
      <c r="BL109" s="148"/>
      <c r="BM109" s="148"/>
      <c r="BN109" s="148"/>
      <c r="BO109" s="148"/>
      <c r="BP109" s="148"/>
      <c r="BQ109" s="148"/>
      <c r="BR109" s="148"/>
      <c r="BS109" s="148"/>
      <c r="BT109" s="148"/>
      <c r="BU109" s="148"/>
      <c r="BV109" s="148"/>
      <c r="BW109" s="148"/>
      <c r="BX109" s="148"/>
      <c r="BY109" s="148"/>
      <c r="BZ109" s="148"/>
      <c r="CA109" s="148"/>
      <c r="CB109" s="148"/>
      <c r="CC109" s="148"/>
      <c r="CD109" s="148"/>
      <c r="CE109" s="148"/>
      <c r="CF109" s="148"/>
      <c r="CG109" s="148"/>
      <c r="CH109" s="148"/>
      <c r="CI109" s="148"/>
      <c r="CJ109" s="148"/>
      <c r="CK109" s="148"/>
      <c r="CL109" s="148"/>
      <c r="CM109" s="148"/>
      <c r="CN109" s="148"/>
      <c r="CO109" s="148"/>
      <c r="CP109" s="148"/>
      <c r="CQ109" s="148"/>
      <c r="CR109" s="148"/>
      <c r="CS109" s="148"/>
      <c r="CT109" s="148"/>
      <c r="CU109" s="148"/>
      <c r="CV109" s="148"/>
      <c r="CW109" s="148"/>
      <c r="CX109" s="148"/>
      <c r="CY109" s="148"/>
      <c r="CZ109" s="148"/>
      <c r="DA109" s="148"/>
      <c r="DB109" s="148"/>
      <c r="DC109" s="148"/>
      <c r="DD109" s="148"/>
      <c r="DE109" s="148"/>
      <c r="DF109" s="148"/>
      <c r="DG109" s="148"/>
      <c r="DH109" s="148"/>
      <c r="DI109" s="148"/>
      <c r="DJ109" s="148"/>
      <c r="DK109" s="148"/>
      <c r="DL109" s="148"/>
      <c r="DM109" s="148"/>
      <c r="DN109" s="148"/>
      <c r="DO109" s="148"/>
      <c r="DP109" s="148"/>
      <c r="DQ109" s="148"/>
      <c r="DR109" s="148"/>
      <c r="DS109" s="148"/>
      <c r="DT109" s="148"/>
      <c r="DU109" s="148"/>
      <c r="DV109" s="148"/>
      <c r="DW109" s="148"/>
      <c r="DX109" s="148"/>
      <c r="DY109" s="148"/>
      <c r="DZ109" s="148"/>
      <c r="EA109" s="148"/>
      <c r="EB109" s="148"/>
      <c r="EC109" s="148"/>
      <c r="ED109" s="148"/>
      <c r="EE109" s="148"/>
      <c r="EF109" s="148"/>
      <c r="EG109" s="148"/>
      <c r="EH109" s="148"/>
      <c r="EI109" s="148"/>
      <c r="EJ109" s="148"/>
      <c r="EK109" s="148"/>
      <c r="EL109" s="148"/>
      <c r="EM109" s="148"/>
      <c r="EN109" s="148"/>
      <c r="EO109" s="148"/>
      <c r="EP109" s="148"/>
      <c r="EQ109" s="148"/>
      <c r="ER109" s="148"/>
      <c r="ES109" s="148"/>
      <c r="ET109" s="148"/>
      <c r="EU109" s="148"/>
      <c r="EV109" s="148"/>
      <c r="EW109" s="148"/>
      <c r="EX109" s="148"/>
      <c r="EY109" s="148"/>
      <c r="EZ109" s="148"/>
      <c r="FA109" s="148"/>
      <c r="FB109" s="148"/>
      <c r="FC109" s="148"/>
      <c r="FD109" s="148"/>
      <c r="FE109" s="148"/>
      <c r="FF109" s="148"/>
      <c r="FG109" s="148"/>
      <c r="FH109" s="148"/>
      <c r="FI109" s="148"/>
      <c r="FJ109" s="148"/>
      <c r="FK109" s="148"/>
      <c r="FL109" s="148"/>
      <c r="FM109" s="148"/>
      <c r="FN109" s="148"/>
      <c r="FO109" s="148"/>
      <c r="FP109" s="148"/>
      <c r="FQ109" s="148"/>
      <c r="FR109" s="148"/>
    </row>
    <row r="110" spans="1:174" s="15" customFormat="1" ht="13.5" customHeight="1" x14ac:dyDescent="0.2">
      <c r="A110" s="148"/>
      <c r="B110" s="307">
        <v>100</v>
      </c>
      <c r="C110" s="307" t="s">
        <v>38</v>
      </c>
      <c r="D110" s="307" t="s">
        <v>1636</v>
      </c>
      <c r="E110" s="321" t="s">
        <v>1637</v>
      </c>
      <c r="F110" s="533" t="s">
        <v>45</v>
      </c>
      <c r="G110" s="533" t="s">
        <v>1411</v>
      </c>
      <c r="H110" s="553" t="s">
        <v>1562</v>
      </c>
      <c r="I110" s="534" t="s">
        <v>42</v>
      </c>
      <c r="J110" s="535">
        <v>9994858</v>
      </c>
      <c r="K110" s="535">
        <v>8878159</v>
      </c>
      <c r="L110" s="535">
        <v>0</v>
      </c>
      <c r="M110" s="454">
        <v>330006</v>
      </c>
      <c r="N110" s="454"/>
      <c r="O110" s="454">
        <v>8055</v>
      </c>
      <c r="P110" s="547"/>
      <c r="Q110" s="538"/>
      <c r="R110" s="538"/>
      <c r="S110" s="535">
        <f t="shared" si="3"/>
        <v>338061</v>
      </c>
      <c r="T110" s="539">
        <v>450000</v>
      </c>
      <c r="U110" s="540">
        <v>4</v>
      </c>
      <c r="V110" s="542">
        <v>44202</v>
      </c>
      <c r="W110" s="542">
        <v>44231</v>
      </c>
      <c r="X110" s="539">
        <v>508056</v>
      </c>
      <c r="Y110" s="544">
        <v>18</v>
      </c>
      <c r="Z110" s="545">
        <v>44242</v>
      </c>
      <c r="AA110" s="542">
        <v>44270</v>
      </c>
      <c r="AB110" s="539"/>
      <c r="AC110" s="544"/>
      <c r="AD110" s="545"/>
      <c r="AE110" s="542"/>
      <c r="AF110" s="554"/>
      <c r="AG110" s="542"/>
      <c r="AH110" s="542"/>
      <c r="AI110" s="542"/>
      <c r="AJ110" s="554"/>
      <c r="AK110" s="542"/>
      <c r="AL110" s="542"/>
      <c r="AM110" s="542"/>
      <c r="AN110" s="542"/>
      <c r="AO110" s="542"/>
      <c r="AP110" s="542"/>
      <c r="AQ110" s="542"/>
      <c r="AR110" s="22">
        <f t="shared" si="4"/>
        <v>958056</v>
      </c>
      <c r="AS110" s="546">
        <f t="shared" si="5"/>
        <v>619995</v>
      </c>
      <c r="AT110" s="148"/>
      <c r="AU110" s="148"/>
      <c r="AV110" s="148"/>
      <c r="AW110" s="148"/>
      <c r="AX110" s="148"/>
      <c r="AY110" s="148"/>
      <c r="AZ110" s="148"/>
      <c r="BA110" s="148"/>
      <c r="BB110" s="148"/>
      <c r="BC110" s="148"/>
      <c r="BD110" s="148"/>
      <c r="BE110" s="148"/>
      <c r="BF110" s="148"/>
      <c r="BG110" s="148"/>
      <c r="BH110" s="148"/>
      <c r="BI110" s="148"/>
      <c r="BJ110" s="148"/>
      <c r="BK110" s="148"/>
      <c r="BL110" s="148"/>
      <c r="BM110" s="148"/>
      <c r="BN110" s="148"/>
      <c r="BO110" s="148"/>
      <c r="BP110" s="148"/>
      <c r="BQ110" s="148"/>
      <c r="BR110" s="148"/>
      <c r="BS110" s="148"/>
      <c r="BT110" s="148"/>
      <c r="BU110" s="148"/>
      <c r="BV110" s="148"/>
      <c r="BW110" s="148"/>
      <c r="BX110" s="148"/>
      <c r="BY110" s="148"/>
      <c r="BZ110" s="148"/>
      <c r="CA110" s="148"/>
      <c r="CB110" s="148"/>
      <c r="CC110" s="148"/>
      <c r="CD110" s="148"/>
      <c r="CE110" s="148"/>
      <c r="CF110" s="148"/>
      <c r="CG110" s="148"/>
      <c r="CH110" s="148"/>
      <c r="CI110" s="148"/>
      <c r="CJ110" s="148"/>
      <c r="CK110" s="148"/>
      <c r="CL110" s="148"/>
      <c r="CM110" s="148"/>
      <c r="CN110" s="148"/>
      <c r="CO110" s="148"/>
      <c r="CP110" s="148"/>
      <c r="CQ110" s="148"/>
      <c r="CR110" s="148"/>
      <c r="CS110" s="148"/>
      <c r="CT110" s="148"/>
      <c r="CU110" s="148"/>
      <c r="CV110" s="148"/>
      <c r="CW110" s="148"/>
      <c r="CX110" s="148"/>
      <c r="CY110" s="148"/>
      <c r="CZ110" s="148"/>
      <c r="DA110" s="148"/>
      <c r="DB110" s="148"/>
      <c r="DC110" s="148"/>
      <c r="DD110" s="148"/>
      <c r="DE110" s="148"/>
      <c r="DF110" s="148"/>
      <c r="DG110" s="148"/>
      <c r="DH110" s="148"/>
      <c r="DI110" s="148"/>
      <c r="DJ110" s="148"/>
      <c r="DK110" s="148"/>
      <c r="DL110" s="148"/>
      <c r="DM110" s="148"/>
      <c r="DN110" s="148"/>
      <c r="DO110" s="148"/>
      <c r="DP110" s="148"/>
      <c r="DQ110" s="148"/>
      <c r="DR110" s="148"/>
      <c r="DS110" s="148"/>
      <c r="DT110" s="148"/>
      <c r="DU110" s="148"/>
      <c r="DV110" s="148"/>
      <c r="DW110" s="148"/>
      <c r="DX110" s="148"/>
      <c r="DY110" s="148"/>
      <c r="DZ110" s="148"/>
      <c r="EA110" s="148"/>
      <c r="EB110" s="148"/>
      <c r="EC110" s="148"/>
      <c r="ED110" s="148"/>
      <c r="EE110" s="148"/>
      <c r="EF110" s="148"/>
      <c r="EG110" s="148"/>
      <c r="EH110" s="148"/>
      <c r="EI110" s="148"/>
      <c r="EJ110" s="148"/>
      <c r="EK110" s="148"/>
      <c r="EL110" s="148"/>
      <c r="EM110" s="148"/>
      <c r="EN110" s="148"/>
      <c r="EO110" s="148"/>
      <c r="EP110" s="148"/>
      <c r="EQ110" s="148"/>
      <c r="ER110" s="148"/>
      <c r="ES110" s="148"/>
      <c r="ET110" s="148"/>
      <c r="EU110" s="148"/>
      <c r="EV110" s="148"/>
      <c r="EW110" s="148"/>
      <c r="EX110" s="148"/>
      <c r="EY110" s="148"/>
      <c r="EZ110" s="148"/>
      <c r="FA110" s="148"/>
      <c r="FB110" s="148"/>
      <c r="FC110" s="148"/>
      <c r="FD110" s="148"/>
      <c r="FE110" s="148"/>
      <c r="FF110" s="148"/>
      <c r="FG110" s="148"/>
      <c r="FH110" s="148"/>
      <c r="FI110" s="148"/>
      <c r="FJ110" s="148"/>
      <c r="FK110" s="148"/>
      <c r="FL110" s="148"/>
      <c r="FM110" s="148"/>
      <c r="FN110" s="148"/>
      <c r="FO110" s="148"/>
      <c r="FP110" s="148"/>
      <c r="FQ110" s="148"/>
      <c r="FR110" s="148"/>
    </row>
    <row r="111" spans="1:174" s="15" customFormat="1" ht="13.5" customHeight="1" x14ac:dyDescent="0.2">
      <c r="A111" s="148"/>
      <c r="B111" s="307">
        <v>101</v>
      </c>
      <c r="C111" s="307" t="s">
        <v>38</v>
      </c>
      <c r="D111" s="307" t="s">
        <v>1638</v>
      </c>
      <c r="E111" s="321" t="s">
        <v>1639</v>
      </c>
      <c r="F111" s="533" t="s">
        <v>45</v>
      </c>
      <c r="G111" s="533" t="s">
        <v>1411</v>
      </c>
      <c r="H111" s="553" t="s">
        <v>1562</v>
      </c>
      <c r="I111" s="534" t="s">
        <v>43</v>
      </c>
      <c r="J111" s="535">
        <v>2073722</v>
      </c>
      <c r="K111" s="535">
        <v>1034259</v>
      </c>
      <c r="L111" s="535">
        <v>0</v>
      </c>
      <c r="M111" s="454"/>
      <c r="N111" s="454"/>
      <c r="O111" s="454"/>
      <c r="P111" s="547"/>
      <c r="Q111" s="538">
        <v>359048.64500000002</v>
      </c>
      <c r="R111" s="538">
        <v>236208.92</v>
      </c>
      <c r="S111" s="535">
        <f t="shared" si="3"/>
        <v>595257.56500000006</v>
      </c>
      <c r="T111" s="539">
        <v>750001</v>
      </c>
      <c r="U111" s="540">
        <v>4</v>
      </c>
      <c r="V111" s="542">
        <v>44202</v>
      </c>
      <c r="W111" s="542">
        <v>44231</v>
      </c>
      <c r="X111" s="539">
        <v>409049</v>
      </c>
      <c r="Y111" s="544">
        <v>71</v>
      </c>
      <c r="Z111" s="545">
        <v>44354</v>
      </c>
      <c r="AA111" s="542">
        <v>44376</v>
      </c>
      <c r="AB111" s="539"/>
      <c r="AC111" s="544"/>
      <c r="AD111" s="540"/>
      <c r="AE111" s="542"/>
      <c r="AF111" s="554"/>
      <c r="AG111" s="542"/>
      <c r="AH111" s="542"/>
      <c r="AI111" s="542"/>
      <c r="AJ111" s="554"/>
      <c r="AK111" s="542"/>
      <c r="AL111" s="542"/>
      <c r="AM111" s="542"/>
      <c r="AN111" s="542"/>
      <c r="AO111" s="542"/>
      <c r="AP111" s="542"/>
      <c r="AQ111" s="542"/>
      <c r="AR111" s="22">
        <f t="shared" si="4"/>
        <v>1159050</v>
      </c>
      <c r="AS111" s="546">
        <f t="shared" si="5"/>
        <v>563792.43499999994</v>
      </c>
      <c r="AT111" s="148"/>
      <c r="AU111" s="148"/>
      <c r="AV111" s="148"/>
      <c r="AW111" s="148"/>
      <c r="AX111" s="148"/>
      <c r="AY111" s="148"/>
      <c r="AZ111" s="148"/>
      <c r="BA111" s="148"/>
      <c r="BB111" s="148"/>
      <c r="BC111" s="148"/>
      <c r="BD111" s="148"/>
      <c r="BE111" s="148"/>
      <c r="BF111" s="148"/>
      <c r="BG111" s="148"/>
      <c r="BH111" s="148"/>
      <c r="BI111" s="148"/>
      <c r="BJ111" s="148"/>
      <c r="BK111" s="148"/>
      <c r="BL111" s="148"/>
      <c r="BM111" s="148"/>
      <c r="BN111" s="148"/>
      <c r="BO111" s="148"/>
      <c r="BP111" s="148"/>
      <c r="BQ111" s="148"/>
      <c r="BR111" s="148"/>
      <c r="BS111" s="148"/>
      <c r="BT111" s="148"/>
      <c r="BU111" s="148"/>
      <c r="BV111" s="148"/>
      <c r="BW111" s="148"/>
      <c r="BX111" s="148"/>
      <c r="BY111" s="148"/>
      <c r="BZ111" s="148"/>
      <c r="CA111" s="148"/>
      <c r="CB111" s="148"/>
      <c r="CC111" s="148"/>
      <c r="CD111" s="148"/>
      <c r="CE111" s="148"/>
      <c r="CF111" s="148"/>
      <c r="CG111" s="148"/>
      <c r="CH111" s="148"/>
      <c r="CI111" s="148"/>
      <c r="CJ111" s="148"/>
      <c r="CK111" s="148"/>
      <c r="CL111" s="148"/>
      <c r="CM111" s="148"/>
      <c r="CN111" s="148"/>
      <c r="CO111" s="148"/>
      <c r="CP111" s="148"/>
      <c r="CQ111" s="148"/>
      <c r="CR111" s="148"/>
      <c r="CS111" s="148"/>
      <c r="CT111" s="148"/>
      <c r="CU111" s="148"/>
      <c r="CV111" s="148"/>
      <c r="CW111" s="148"/>
      <c r="CX111" s="148"/>
      <c r="CY111" s="148"/>
      <c r="CZ111" s="148"/>
      <c r="DA111" s="148"/>
      <c r="DB111" s="148"/>
      <c r="DC111" s="148"/>
      <c r="DD111" s="148"/>
      <c r="DE111" s="148"/>
      <c r="DF111" s="148"/>
      <c r="DG111" s="148"/>
      <c r="DH111" s="148"/>
      <c r="DI111" s="148"/>
      <c r="DJ111" s="148"/>
      <c r="DK111" s="148"/>
      <c r="DL111" s="148"/>
      <c r="DM111" s="148"/>
      <c r="DN111" s="148"/>
      <c r="DO111" s="148"/>
      <c r="DP111" s="148"/>
      <c r="DQ111" s="148"/>
      <c r="DR111" s="148"/>
      <c r="DS111" s="148"/>
      <c r="DT111" s="148"/>
      <c r="DU111" s="148"/>
      <c r="DV111" s="148"/>
      <c r="DW111" s="148"/>
      <c r="DX111" s="148"/>
      <c r="DY111" s="148"/>
      <c r="DZ111" s="148"/>
      <c r="EA111" s="148"/>
      <c r="EB111" s="148"/>
      <c r="EC111" s="148"/>
      <c r="ED111" s="148"/>
      <c r="EE111" s="148"/>
      <c r="EF111" s="148"/>
      <c r="EG111" s="148"/>
      <c r="EH111" s="148"/>
      <c r="EI111" s="148"/>
      <c r="EJ111" s="148"/>
      <c r="EK111" s="148"/>
      <c r="EL111" s="148"/>
      <c r="EM111" s="148"/>
      <c r="EN111" s="148"/>
      <c r="EO111" s="148"/>
      <c r="EP111" s="148"/>
      <c r="EQ111" s="148"/>
      <c r="ER111" s="148"/>
      <c r="ES111" s="148"/>
      <c r="ET111" s="148"/>
      <c r="EU111" s="148"/>
      <c r="EV111" s="148"/>
      <c r="EW111" s="148"/>
      <c r="EX111" s="148"/>
      <c r="EY111" s="148"/>
      <c r="EZ111" s="148"/>
      <c r="FA111" s="148"/>
      <c r="FB111" s="148"/>
      <c r="FC111" s="148"/>
      <c r="FD111" s="148"/>
      <c r="FE111" s="148"/>
      <c r="FF111" s="148"/>
      <c r="FG111" s="148"/>
      <c r="FH111" s="148"/>
      <c r="FI111" s="148"/>
      <c r="FJ111" s="148"/>
      <c r="FK111" s="148"/>
      <c r="FL111" s="148"/>
      <c r="FM111" s="148"/>
      <c r="FN111" s="148"/>
      <c r="FO111" s="148"/>
      <c r="FP111" s="148"/>
      <c r="FQ111" s="148"/>
      <c r="FR111" s="148"/>
    </row>
    <row r="112" spans="1:174" s="15" customFormat="1" ht="13.5" customHeight="1" x14ac:dyDescent="0.2">
      <c r="A112" s="148"/>
      <c r="B112" s="307">
        <v>103</v>
      </c>
      <c r="C112" s="307" t="s">
        <v>38</v>
      </c>
      <c r="D112" s="307" t="s">
        <v>1640</v>
      </c>
      <c r="E112" s="321" t="s">
        <v>1641</v>
      </c>
      <c r="F112" s="533" t="s">
        <v>45</v>
      </c>
      <c r="G112" s="533" t="s">
        <v>1411</v>
      </c>
      <c r="H112" s="553" t="s">
        <v>1448</v>
      </c>
      <c r="I112" s="534" t="s">
        <v>42</v>
      </c>
      <c r="J112" s="535">
        <v>2194607</v>
      </c>
      <c r="K112" s="535">
        <v>9978</v>
      </c>
      <c r="L112" s="535">
        <v>216287</v>
      </c>
      <c r="M112" s="454"/>
      <c r="N112" s="454"/>
      <c r="O112" s="454"/>
      <c r="P112" s="547"/>
      <c r="Q112" s="538"/>
      <c r="R112" s="538"/>
      <c r="S112" s="535">
        <f t="shared" si="3"/>
        <v>0</v>
      </c>
      <c r="T112" s="539">
        <v>1946591</v>
      </c>
      <c r="U112" s="540">
        <v>9</v>
      </c>
      <c r="V112" s="542">
        <v>44214</v>
      </c>
      <c r="W112" s="542">
        <v>44246</v>
      </c>
      <c r="X112" s="539">
        <v>19839</v>
      </c>
      <c r="Y112" s="544">
        <v>55</v>
      </c>
      <c r="Z112" s="545">
        <v>44323</v>
      </c>
      <c r="AA112" s="545">
        <v>44350</v>
      </c>
      <c r="AB112" s="539"/>
      <c r="AC112" s="544"/>
      <c r="AD112" s="540"/>
      <c r="AE112" s="542"/>
      <c r="AF112" s="554"/>
      <c r="AG112" s="542"/>
      <c r="AH112" s="542"/>
      <c r="AI112" s="542"/>
      <c r="AJ112" s="554"/>
      <c r="AK112" s="542"/>
      <c r="AL112" s="542"/>
      <c r="AM112" s="542"/>
      <c r="AN112" s="542"/>
      <c r="AO112" s="542"/>
      <c r="AP112" s="542"/>
      <c r="AQ112" s="542"/>
      <c r="AR112" s="22">
        <f t="shared" si="4"/>
        <v>1966430</v>
      </c>
      <c r="AS112" s="546">
        <f t="shared" si="5"/>
        <v>1966430</v>
      </c>
      <c r="AT112" s="148"/>
      <c r="AU112" s="148"/>
      <c r="AV112" s="148"/>
      <c r="AW112" s="148"/>
      <c r="AX112" s="148"/>
      <c r="AY112" s="148"/>
      <c r="AZ112" s="148"/>
      <c r="BA112" s="148"/>
      <c r="BB112" s="148"/>
      <c r="BC112" s="148"/>
      <c r="BD112" s="148"/>
      <c r="BE112" s="148"/>
      <c r="BF112" s="148"/>
      <c r="BG112" s="148"/>
      <c r="BH112" s="148"/>
      <c r="BI112" s="148"/>
      <c r="BJ112" s="148"/>
      <c r="BK112" s="148"/>
      <c r="BL112" s="148"/>
      <c r="BM112" s="148"/>
      <c r="BN112" s="148"/>
      <c r="BO112" s="148"/>
      <c r="BP112" s="148"/>
      <c r="BQ112" s="148"/>
      <c r="BR112" s="148"/>
      <c r="BS112" s="148"/>
      <c r="BT112" s="148"/>
      <c r="BU112" s="148"/>
      <c r="BV112" s="148"/>
      <c r="BW112" s="148"/>
      <c r="BX112" s="148"/>
      <c r="BY112" s="148"/>
      <c r="BZ112" s="148"/>
      <c r="CA112" s="148"/>
      <c r="CB112" s="148"/>
      <c r="CC112" s="148"/>
      <c r="CD112" s="148"/>
      <c r="CE112" s="148"/>
      <c r="CF112" s="148"/>
      <c r="CG112" s="148"/>
      <c r="CH112" s="148"/>
      <c r="CI112" s="148"/>
      <c r="CJ112" s="148"/>
      <c r="CK112" s="148"/>
      <c r="CL112" s="148"/>
      <c r="CM112" s="148"/>
      <c r="CN112" s="148"/>
      <c r="CO112" s="148"/>
      <c r="CP112" s="148"/>
      <c r="CQ112" s="148"/>
      <c r="CR112" s="148"/>
      <c r="CS112" s="148"/>
      <c r="CT112" s="148"/>
      <c r="CU112" s="148"/>
      <c r="CV112" s="148"/>
      <c r="CW112" s="148"/>
      <c r="CX112" s="148"/>
      <c r="CY112" s="148"/>
      <c r="CZ112" s="148"/>
      <c r="DA112" s="148"/>
      <c r="DB112" s="148"/>
      <c r="DC112" s="148"/>
      <c r="DD112" s="148"/>
      <c r="DE112" s="148"/>
      <c r="DF112" s="148"/>
      <c r="DG112" s="148"/>
      <c r="DH112" s="148"/>
      <c r="DI112" s="148"/>
      <c r="DJ112" s="148"/>
      <c r="DK112" s="148"/>
      <c r="DL112" s="148"/>
      <c r="DM112" s="148"/>
      <c r="DN112" s="148"/>
      <c r="DO112" s="148"/>
      <c r="DP112" s="148"/>
      <c r="DQ112" s="148"/>
      <c r="DR112" s="148"/>
      <c r="DS112" s="148"/>
      <c r="DT112" s="148"/>
      <c r="DU112" s="148"/>
      <c r="DV112" s="148"/>
      <c r="DW112" s="148"/>
      <c r="DX112" s="148"/>
      <c r="DY112" s="148"/>
      <c r="DZ112" s="148"/>
      <c r="EA112" s="148"/>
      <c r="EB112" s="148"/>
      <c r="EC112" s="148"/>
      <c r="ED112" s="148"/>
      <c r="EE112" s="148"/>
      <c r="EF112" s="148"/>
      <c r="EG112" s="148"/>
      <c r="EH112" s="148"/>
      <c r="EI112" s="148"/>
      <c r="EJ112" s="148"/>
      <c r="EK112" s="148"/>
      <c r="EL112" s="148"/>
      <c r="EM112" s="148"/>
      <c r="EN112" s="148"/>
      <c r="EO112" s="148"/>
      <c r="EP112" s="148"/>
      <c r="EQ112" s="148"/>
      <c r="ER112" s="148"/>
      <c r="ES112" s="148"/>
      <c r="ET112" s="148"/>
      <c r="EU112" s="148"/>
      <c r="EV112" s="148"/>
      <c r="EW112" s="148"/>
      <c r="EX112" s="148"/>
      <c r="EY112" s="148"/>
      <c r="EZ112" s="148"/>
      <c r="FA112" s="148"/>
      <c r="FB112" s="148"/>
      <c r="FC112" s="148"/>
      <c r="FD112" s="148"/>
      <c r="FE112" s="148"/>
      <c r="FF112" s="148"/>
      <c r="FG112" s="148"/>
      <c r="FH112" s="148"/>
      <c r="FI112" s="148"/>
      <c r="FJ112" s="148"/>
      <c r="FK112" s="148"/>
      <c r="FL112" s="148"/>
      <c r="FM112" s="148"/>
      <c r="FN112" s="148"/>
      <c r="FO112" s="148"/>
      <c r="FP112" s="148"/>
      <c r="FQ112" s="148"/>
      <c r="FR112" s="148"/>
    </row>
    <row r="113" spans="1:174" s="15" customFormat="1" ht="13.5" customHeight="1" x14ac:dyDescent="0.2">
      <c r="A113" s="148"/>
      <c r="B113" s="307">
        <v>104</v>
      </c>
      <c r="C113" s="307" t="s">
        <v>38</v>
      </c>
      <c r="D113" s="307" t="s">
        <v>1642</v>
      </c>
      <c r="E113" s="321" t="s">
        <v>1643</v>
      </c>
      <c r="F113" s="533" t="s">
        <v>45</v>
      </c>
      <c r="G113" s="533" t="s">
        <v>1411</v>
      </c>
      <c r="H113" s="553" t="s">
        <v>1644</v>
      </c>
      <c r="I113" s="534" t="s">
        <v>43</v>
      </c>
      <c r="J113" s="535">
        <v>1729307</v>
      </c>
      <c r="K113" s="535">
        <v>778</v>
      </c>
      <c r="L113" s="535">
        <v>724229</v>
      </c>
      <c r="M113" s="454"/>
      <c r="N113" s="454"/>
      <c r="O113" s="454"/>
      <c r="P113" s="547"/>
      <c r="Q113" s="538"/>
      <c r="R113" s="538"/>
      <c r="S113" s="535">
        <f t="shared" si="3"/>
        <v>0</v>
      </c>
      <c r="T113" s="539">
        <v>983451</v>
      </c>
      <c r="U113" s="540">
        <v>9</v>
      </c>
      <c r="V113" s="542">
        <v>44214</v>
      </c>
      <c r="W113" s="542">
        <v>44246</v>
      </c>
      <c r="X113" s="539">
        <v>33520</v>
      </c>
      <c r="Y113" s="544">
        <v>55</v>
      </c>
      <c r="Z113" s="545">
        <v>44323</v>
      </c>
      <c r="AA113" s="545">
        <v>44350</v>
      </c>
      <c r="AB113" s="539"/>
      <c r="AC113" s="544"/>
      <c r="AD113" s="540"/>
      <c r="AE113" s="542"/>
      <c r="AF113" s="554"/>
      <c r="AG113" s="542"/>
      <c r="AH113" s="542"/>
      <c r="AI113" s="542"/>
      <c r="AJ113" s="554"/>
      <c r="AK113" s="542"/>
      <c r="AL113" s="542"/>
      <c r="AM113" s="542"/>
      <c r="AN113" s="542"/>
      <c r="AO113" s="542"/>
      <c r="AP113" s="542"/>
      <c r="AQ113" s="542"/>
      <c r="AR113" s="22">
        <f t="shared" si="4"/>
        <v>1016971</v>
      </c>
      <c r="AS113" s="546">
        <f t="shared" si="5"/>
        <v>1016971</v>
      </c>
      <c r="AT113" s="148"/>
      <c r="AU113" s="148"/>
      <c r="AV113" s="148"/>
      <c r="AW113" s="148"/>
      <c r="AX113" s="148"/>
      <c r="AY113" s="148"/>
      <c r="AZ113" s="148"/>
      <c r="BA113" s="148"/>
      <c r="BB113" s="148"/>
      <c r="BC113" s="148"/>
      <c r="BD113" s="148"/>
      <c r="BE113" s="148"/>
      <c r="BF113" s="148"/>
      <c r="BG113" s="148"/>
      <c r="BH113" s="148"/>
      <c r="BI113" s="148"/>
      <c r="BJ113" s="148"/>
      <c r="BK113" s="148"/>
      <c r="BL113" s="148"/>
      <c r="BM113" s="148"/>
      <c r="BN113" s="148"/>
      <c r="BO113" s="148"/>
      <c r="BP113" s="148"/>
      <c r="BQ113" s="148"/>
      <c r="BR113" s="148"/>
      <c r="BS113" s="148"/>
      <c r="BT113" s="148"/>
      <c r="BU113" s="148"/>
      <c r="BV113" s="148"/>
      <c r="BW113" s="148"/>
      <c r="BX113" s="148"/>
      <c r="BY113" s="148"/>
      <c r="BZ113" s="148"/>
      <c r="CA113" s="148"/>
      <c r="CB113" s="148"/>
      <c r="CC113" s="148"/>
      <c r="CD113" s="148"/>
      <c r="CE113" s="148"/>
      <c r="CF113" s="148"/>
      <c r="CG113" s="148"/>
      <c r="CH113" s="148"/>
      <c r="CI113" s="148"/>
      <c r="CJ113" s="148"/>
      <c r="CK113" s="148"/>
      <c r="CL113" s="148"/>
      <c r="CM113" s="148"/>
      <c r="CN113" s="148"/>
      <c r="CO113" s="148"/>
      <c r="CP113" s="148"/>
      <c r="CQ113" s="148"/>
      <c r="CR113" s="148"/>
      <c r="CS113" s="148"/>
      <c r="CT113" s="148"/>
      <c r="CU113" s="148"/>
      <c r="CV113" s="148"/>
      <c r="CW113" s="148"/>
      <c r="CX113" s="148"/>
      <c r="CY113" s="148"/>
      <c r="CZ113" s="148"/>
      <c r="DA113" s="148"/>
      <c r="DB113" s="148"/>
      <c r="DC113" s="148"/>
      <c r="DD113" s="148"/>
      <c r="DE113" s="148"/>
      <c r="DF113" s="148"/>
      <c r="DG113" s="148"/>
      <c r="DH113" s="148"/>
      <c r="DI113" s="148"/>
      <c r="DJ113" s="148"/>
      <c r="DK113" s="148"/>
      <c r="DL113" s="148"/>
      <c r="DM113" s="148"/>
      <c r="DN113" s="148"/>
      <c r="DO113" s="148"/>
      <c r="DP113" s="148"/>
      <c r="DQ113" s="148"/>
      <c r="DR113" s="148"/>
      <c r="DS113" s="148"/>
      <c r="DT113" s="148"/>
      <c r="DU113" s="148"/>
      <c r="DV113" s="148"/>
      <c r="DW113" s="148"/>
      <c r="DX113" s="148"/>
      <c r="DY113" s="148"/>
      <c r="DZ113" s="148"/>
      <c r="EA113" s="148"/>
      <c r="EB113" s="148"/>
      <c r="EC113" s="148"/>
      <c r="ED113" s="148"/>
      <c r="EE113" s="148"/>
      <c r="EF113" s="148"/>
      <c r="EG113" s="148"/>
      <c r="EH113" s="148"/>
      <c r="EI113" s="148"/>
      <c r="EJ113" s="148"/>
      <c r="EK113" s="148"/>
      <c r="EL113" s="148"/>
      <c r="EM113" s="148"/>
      <c r="EN113" s="148"/>
      <c r="EO113" s="148"/>
      <c r="EP113" s="148"/>
      <c r="EQ113" s="148"/>
      <c r="ER113" s="148"/>
      <c r="ES113" s="148"/>
      <c r="ET113" s="148"/>
      <c r="EU113" s="148"/>
      <c r="EV113" s="148"/>
      <c r="EW113" s="148"/>
      <c r="EX113" s="148"/>
      <c r="EY113" s="148"/>
      <c r="EZ113" s="148"/>
      <c r="FA113" s="148"/>
      <c r="FB113" s="148"/>
      <c r="FC113" s="148"/>
      <c r="FD113" s="148"/>
      <c r="FE113" s="148"/>
      <c r="FF113" s="148"/>
      <c r="FG113" s="148"/>
      <c r="FH113" s="148"/>
      <c r="FI113" s="148"/>
      <c r="FJ113" s="148"/>
      <c r="FK113" s="148"/>
      <c r="FL113" s="148"/>
      <c r="FM113" s="148"/>
      <c r="FN113" s="148"/>
      <c r="FO113" s="148"/>
      <c r="FP113" s="148"/>
      <c r="FQ113" s="148"/>
      <c r="FR113" s="148"/>
    </row>
    <row r="114" spans="1:174" s="15" customFormat="1" ht="13.5" customHeight="1" x14ac:dyDescent="0.2">
      <c r="A114" s="148"/>
      <c r="B114" s="307">
        <v>105</v>
      </c>
      <c r="C114" s="307" t="s">
        <v>38</v>
      </c>
      <c r="D114" s="307" t="s">
        <v>1645</v>
      </c>
      <c r="E114" s="321" t="s">
        <v>1646</v>
      </c>
      <c r="F114" s="533" t="s">
        <v>45</v>
      </c>
      <c r="G114" s="533" t="s">
        <v>1411</v>
      </c>
      <c r="H114" s="553" t="s">
        <v>1412</v>
      </c>
      <c r="I114" s="534" t="s">
        <v>43</v>
      </c>
      <c r="J114" s="535">
        <v>198165</v>
      </c>
      <c r="K114" s="535">
        <v>0</v>
      </c>
      <c r="L114" s="535">
        <v>198163</v>
      </c>
      <c r="M114" s="454"/>
      <c r="N114" s="454"/>
      <c r="O114" s="454"/>
      <c r="P114" s="547"/>
      <c r="Q114" s="538"/>
      <c r="R114" s="538"/>
      <c r="S114" s="535">
        <f t="shared" si="3"/>
        <v>0</v>
      </c>
      <c r="T114" s="539">
        <v>1</v>
      </c>
      <c r="U114" s="540">
        <v>9</v>
      </c>
      <c r="V114" s="542">
        <v>44214</v>
      </c>
      <c r="W114" s="542">
        <v>44246</v>
      </c>
      <c r="X114" s="539">
        <v>2225</v>
      </c>
      <c r="Y114" s="544">
        <v>62</v>
      </c>
      <c r="Z114" s="545">
        <v>44327</v>
      </c>
      <c r="AA114" s="542">
        <v>44355</v>
      </c>
      <c r="AB114" s="539"/>
      <c r="AC114" s="544"/>
      <c r="AD114" s="540"/>
      <c r="AE114" s="542"/>
      <c r="AF114" s="554"/>
      <c r="AG114" s="542"/>
      <c r="AH114" s="542"/>
      <c r="AI114" s="542"/>
      <c r="AJ114" s="554"/>
      <c r="AK114" s="542"/>
      <c r="AL114" s="542"/>
      <c r="AM114" s="542"/>
      <c r="AN114" s="542"/>
      <c r="AO114" s="542"/>
      <c r="AP114" s="542"/>
      <c r="AQ114" s="542"/>
      <c r="AR114" s="22">
        <f t="shared" si="4"/>
        <v>2226</v>
      </c>
      <c r="AS114" s="546">
        <f t="shared" si="5"/>
        <v>2226</v>
      </c>
      <c r="AT114" s="148"/>
      <c r="AU114" s="148"/>
      <c r="AV114" s="148"/>
      <c r="AW114" s="148"/>
      <c r="AX114" s="148"/>
      <c r="AY114" s="148"/>
      <c r="AZ114" s="148"/>
      <c r="BA114" s="148"/>
      <c r="BB114" s="148"/>
      <c r="BC114" s="148"/>
      <c r="BD114" s="148"/>
      <c r="BE114" s="148"/>
      <c r="BF114" s="148"/>
      <c r="BG114" s="148"/>
      <c r="BH114" s="148"/>
      <c r="BI114" s="148"/>
      <c r="BJ114" s="148"/>
      <c r="BK114" s="148"/>
      <c r="BL114" s="148"/>
      <c r="BM114" s="148"/>
      <c r="BN114" s="148"/>
      <c r="BO114" s="148"/>
      <c r="BP114" s="148"/>
      <c r="BQ114" s="148"/>
      <c r="BR114" s="148"/>
      <c r="BS114" s="148"/>
      <c r="BT114" s="148"/>
      <c r="BU114" s="148"/>
      <c r="BV114" s="148"/>
      <c r="BW114" s="148"/>
      <c r="BX114" s="148"/>
      <c r="BY114" s="148"/>
      <c r="BZ114" s="148"/>
      <c r="CA114" s="148"/>
      <c r="CB114" s="148"/>
      <c r="CC114" s="148"/>
      <c r="CD114" s="148"/>
      <c r="CE114" s="148"/>
      <c r="CF114" s="148"/>
      <c r="CG114" s="148"/>
      <c r="CH114" s="148"/>
      <c r="CI114" s="148"/>
      <c r="CJ114" s="148"/>
      <c r="CK114" s="148"/>
      <c r="CL114" s="148"/>
      <c r="CM114" s="148"/>
      <c r="CN114" s="148"/>
      <c r="CO114" s="148"/>
      <c r="CP114" s="148"/>
      <c r="CQ114" s="148"/>
      <c r="CR114" s="148"/>
      <c r="CS114" s="148"/>
      <c r="CT114" s="148"/>
      <c r="CU114" s="148"/>
      <c r="CV114" s="148"/>
      <c r="CW114" s="148"/>
      <c r="CX114" s="148"/>
      <c r="CY114" s="148"/>
      <c r="CZ114" s="148"/>
      <c r="DA114" s="148"/>
      <c r="DB114" s="148"/>
      <c r="DC114" s="148"/>
      <c r="DD114" s="148"/>
      <c r="DE114" s="148"/>
      <c r="DF114" s="148"/>
      <c r="DG114" s="148"/>
      <c r="DH114" s="148"/>
      <c r="DI114" s="148"/>
      <c r="DJ114" s="148"/>
      <c r="DK114" s="148"/>
      <c r="DL114" s="148"/>
      <c r="DM114" s="148"/>
      <c r="DN114" s="148"/>
      <c r="DO114" s="148"/>
      <c r="DP114" s="148"/>
      <c r="DQ114" s="148"/>
      <c r="DR114" s="148"/>
      <c r="DS114" s="148"/>
      <c r="DT114" s="148"/>
      <c r="DU114" s="148"/>
      <c r="DV114" s="148"/>
      <c r="DW114" s="148"/>
      <c r="DX114" s="148"/>
      <c r="DY114" s="148"/>
      <c r="DZ114" s="148"/>
      <c r="EA114" s="148"/>
      <c r="EB114" s="148"/>
      <c r="EC114" s="148"/>
      <c r="ED114" s="148"/>
      <c r="EE114" s="148"/>
      <c r="EF114" s="148"/>
      <c r="EG114" s="148"/>
      <c r="EH114" s="148"/>
      <c r="EI114" s="148"/>
      <c r="EJ114" s="148"/>
      <c r="EK114" s="148"/>
      <c r="EL114" s="148"/>
      <c r="EM114" s="148"/>
      <c r="EN114" s="148"/>
      <c r="EO114" s="148"/>
      <c r="EP114" s="148"/>
      <c r="EQ114" s="148"/>
      <c r="ER114" s="148"/>
      <c r="ES114" s="148"/>
      <c r="ET114" s="148"/>
      <c r="EU114" s="148"/>
      <c r="EV114" s="148"/>
      <c r="EW114" s="148"/>
      <c r="EX114" s="148"/>
      <c r="EY114" s="148"/>
      <c r="EZ114" s="148"/>
      <c r="FA114" s="148"/>
      <c r="FB114" s="148"/>
      <c r="FC114" s="148"/>
      <c r="FD114" s="148"/>
      <c r="FE114" s="148"/>
      <c r="FF114" s="148"/>
      <c r="FG114" s="148"/>
      <c r="FH114" s="148"/>
      <c r="FI114" s="148"/>
      <c r="FJ114" s="148"/>
      <c r="FK114" s="148"/>
      <c r="FL114" s="148"/>
      <c r="FM114" s="148"/>
      <c r="FN114" s="148"/>
      <c r="FO114" s="148"/>
      <c r="FP114" s="148"/>
      <c r="FQ114" s="148"/>
      <c r="FR114" s="148"/>
    </row>
    <row r="115" spans="1:174" s="15" customFormat="1" ht="13.5" customHeight="1" x14ac:dyDescent="0.2">
      <c r="A115" s="148"/>
      <c r="B115" s="307">
        <v>106</v>
      </c>
      <c r="C115" s="307" t="s">
        <v>38</v>
      </c>
      <c r="D115" s="307" t="s">
        <v>1647</v>
      </c>
      <c r="E115" s="321" t="s">
        <v>1648</v>
      </c>
      <c r="F115" s="533" t="s">
        <v>46</v>
      </c>
      <c r="G115" s="533" t="s">
        <v>1411</v>
      </c>
      <c r="H115" s="553" t="s">
        <v>1457</v>
      </c>
      <c r="I115" s="534" t="s">
        <v>43</v>
      </c>
      <c r="J115" s="535">
        <v>5619966</v>
      </c>
      <c r="K115" s="535">
        <v>0</v>
      </c>
      <c r="L115" s="535">
        <v>5611312</v>
      </c>
      <c r="M115" s="454"/>
      <c r="N115" s="454"/>
      <c r="O115" s="454"/>
      <c r="P115" s="547"/>
      <c r="Q115" s="538"/>
      <c r="R115" s="538"/>
      <c r="S115" s="535">
        <f t="shared" si="3"/>
        <v>0</v>
      </c>
      <c r="T115" s="539">
        <v>2</v>
      </c>
      <c r="U115" s="540">
        <v>9</v>
      </c>
      <c r="V115" s="542">
        <v>44214</v>
      </c>
      <c r="W115" s="542">
        <v>44246</v>
      </c>
      <c r="X115" s="539">
        <v>5000</v>
      </c>
      <c r="Y115" s="544">
        <v>62</v>
      </c>
      <c r="Z115" s="545">
        <v>44327</v>
      </c>
      <c r="AA115" s="542">
        <v>44355</v>
      </c>
      <c r="AB115" s="539"/>
      <c r="AC115" s="544"/>
      <c r="AD115" s="540"/>
      <c r="AE115" s="542"/>
      <c r="AF115" s="554"/>
      <c r="AG115" s="542"/>
      <c r="AH115" s="542"/>
      <c r="AI115" s="542"/>
      <c r="AJ115" s="554"/>
      <c r="AK115" s="542"/>
      <c r="AL115" s="542"/>
      <c r="AM115" s="542"/>
      <c r="AN115" s="542"/>
      <c r="AO115" s="542"/>
      <c r="AP115" s="542"/>
      <c r="AQ115" s="542"/>
      <c r="AR115" s="22">
        <f t="shared" si="4"/>
        <v>5002</v>
      </c>
      <c r="AS115" s="546">
        <f t="shared" si="5"/>
        <v>5002</v>
      </c>
      <c r="AT115" s="148"/>
      <c r="AU115" s="148"/>
      <c r="AV115" s="148"/>
      <c r="AW115" s="148"/>
      <c r="AX115" s="148"/>
      <c r="AY115" s="148"/>
      <c r="AZ115" s="148"/>
      <c r="BA115" s="148"/>
      <c r="BB115" s="148"/>
      <c r="BC115" s="148"/>
      <c r="BD115" s="148"/>
      <c r="BE115" s="148"/>
      <c r="BF115" s="148"/>
      <c r="BG115" s="148"/>
      <c r="BH115" s="148"/>
      <c r="BI115" s="148"/>
      <c r="BJ115" s="148"/>
      <c r="BK115" s="148"/>
      <c r="BL115" s="148"/>
      <c r="BM115" s="148"/>
      <c r="BN115" s="148"/>
      <c r="BO115" s="148"/>
      <c r="BP115" s="148"/>
      <c r="BQ115" s="148"/>
      <c r="BR115" s="148"/>
      <c r="BS115" s="148"/>
      <c r="BT115" s="148"/>
      <c r="BU115" s="148"/>
      <c r="BV115" s="148"/>
      <c r="BW115" s="148"/>
      <c r="BX115" s="148"/>
      <c r="BY115" s="148"/>
      <c r="BZ115" s="148"/>
      <c r="CA115" s="148"/>
      <c r="CB115" s="148"/>
      <c r="CC115" s="148"/>
      <c r="CD115" s="148"/>
      <c r="CE115" s="148"/>
      <c r="CF115" s="148"/>
      <c r="CG115" s="148"/>
      <c r="CH115" s="148"/>
      <c r="CI115" s="148"/>
      <c r="CJ115" s="148"/>
      <c r="CK115" s="148"/>
      <c r="CL115" s="148"/>
      <c r="CM115" s="148"/>
      <c r="CN115" s="148"/>
      <c r="CO115" s="148"/>
      <c r="CP115" s="148"/>
      <c r="CQ115" s="148"/>
      <c r="CR115" s="148"/>
      <c r="CS115" s="148"/>
      <c r="CT115" s="148"/>
      <c r="CU115" s="148"/>
      <c r="CV115" s="148"/>
      <c r="CW115" s="148"/>
      <c r="CX115" s="148"/>
      <c r="CY115" s="148"/>
      <c r="CZ115" s="148"/>
      <c r="DA115" s="148"/>
      <c r="DB115" s="148"/>
      <c r="DC115" s="148"/>
      <c r="DD115" s="148"/>
      <c r="DE115" s="148"/>
      <c r="DF115" s="148"/>
      <c r="DG115" s="148"/>
      <c r="DH115" s="148"/>
      <c r="DI115" s="148"/>
      <c r="DJ115" s="148"/>
      <c r="DK115" s="148"/>
      <c r="DL115" s="148"/>
      <c r="DM115" s="148"/>
      <c r="DN115" s="148"/>
      <c r="DO115" s="148"/>
      <c r="DP115" s="148"/>
      <c r="DQ115" s="148"/>
      <c r="DR115" s="148"/>
      <c r="DS115" s="148"/>
      <c r="DT115" s="148"/>
      <c r="DU115" s="148"/>
      <c r="DV115" s="148"/>
      <c r="DW115" s="148"/>
      <c r="DX115" s="148"/>
      <c r="DY115" s="148"/>
      <c r="DZ115" s="148"/>
      <c r="EA115" s="148"/>
      <c r="EB115" s="148"/>
      <c r="EC115" s="148"/>
      <c r="ED115" s="148"/>
      <c r="EE115" s="148"/>
      <c r="EF115" s="148"/>
      <c r="EG115" s="148"/>
      <c r="EH115" s="148"/>
      <c r="EI115" s="148"/>
      <c r="EJ115" s="148"/>
      <c r="EK115" s="148"/>
      <c r="EL115" s="148"/>
      <c r="EM115" s="148"/>
      <c r="EN115" s="148"/>
      <c r="EO115" s="148"/>
      <c r="EP115" s="148"/>
      <c r="EQ115" s="148"/>
      <c r="ER115" s="148"/>
      <c r="ES115" s="148"/>
      <c r="ET115" s="148"/>
      <c r="EU115" s="148"/>
      <c r="EV115" s="148"/>
      <c r="EW115" s="148"/>
      <c r="EX115" s="148"/>
      <c r="EY115" s="148"/>
      <c r="EZ115" s="148"/>
      <c r="FA115" s="148"/>
      <c r="FB115" s="148"/>
      <c r="FC115" s="148"/>
      <c r="FD115" s="148"/>
      <c r="FE115" s="148"/>
      <c r="FF115" s="148"/>
      <c r="FG115" s="148"/>
      <c r="FH115" s="148"/>
      <c r="FI115" s="148"/>
      <c r="FJ115" s="148"/>
      <c r="FK115" s="148"/>
      <c r="FL115" s="148"/>
      <c r="FM115" s="148"/>
      <c r="FN115" s="148"/>
      <c r="FO115" s="148"/>
      <c r="FP115" s="148"/>
      <c r="FQ115" s="148"/>
      <c r="FR115" s="148"/>
    </row>
    <row r="116" spans="1:174" s="15" customFormat="1" ht="13.5" customHeight="1" x14ac:dyDescent="0.2">
      <c r="A116" s="148"/>
      <c r="B116" s="307">
        <v>107</v>
      </c>
      <c r="C116" s="307" t="s">
        <v>38</v>
      </c>
      <c r="D116" s="307" t="s">
        <v>1649</v>
      </c>
      <c r="E116" s="321" t="s">
        <v>1650</v>
      </c>
      <c r="F116" s="533" t="s">
        <v>45</v>
      </c>
      <c r="G116" s="533" t="s">
        <v>1411</v>
      </c>
      <c r="H116" s="553" t="s">
        <v>1485</v>
      </c>
      <c r="I116" s="534" t="s">
        <v>42</v>
      </c>
      <c r="J116" s="535">
        <v>2309162</v>
      </c>
      <c r="K116" s="535">
        <v>1014299</v>
      </c>
      <c r="L116" s="535">
        <v>0</v>
      </c>
      <c r="M116" s="454"/>
      <c r="N116" s="454"/>
      <c r="O116" s="454"/>
      <c r="P116" s="548">
        <v>1279460.7930000001</v>
      </c>
      <c r="Q116" s="538"/>
      <c r="R116" s="538"/>
      <c r="S116" s="535">
        <f t="shared" si="3"/>
        <v>1279460.7930000001</v>
      </c>
      <c r="T116" s="539">
        <v>1303483</v>
      </c>
      <c r="U116" s="540">
        <v>9</v>
      </c>
      <c r="V116" s="542">
        <v>44214</v>
      </c>
      <c r="W116" s="542">
        <v>44246</v>
      </c>
      <c r="X116" s="539"/>
      <c r="Y116" s="544"/>
      <c r="Z116" s="540"/>
      <c r="AA116" s="542"/>
      <c r="AB116" s="539"/>
      <c r="AC116" s="544"/>
      <c r="AD116" s="540"/>
      <c r="AE116" s="542"/>
      <c r="AF116" s="554"/>
      <c r="AG116" s="542"/>
      <c r="AH116" s="542"/>
      <c r="AI116" s="542"/>
      <c r="AJ116" s="554"/>
      <c r="AK116" s="542"/>
      <c r="AL116" s="542"/>
      <c r="AM116" s="542"/>
      <c r="AN116" s="542"/>
      <c r="AO116" s="542"/>
      <c r="AP116" s="542"/>
      <c r="AQ116" s="542"/>
      <c r="AR116" s="22">
        <f t="shared" si="4"/>
        <v>1303483</v>
      </c>
      <c r="AS116" s="546">
        <f t="shared" si="5"/>
        <v>24022.206999999937</v>
      </c>
      <c r="AT116" s="148"/>
      <c r="AU116" s="148"/>
      <c r="AV116" s="148"/>
      <c r="AW116" s="148"/>
      <c r="AX116" s="148"/>
      <c r="AY116" s="148"/>
      <c r="AZ116" s="148"/>
      <c r="BA116" s="148"/>
      <c r="BB116" s="148"/>
      <c r="BC116" s="148"/>
      <c r="BD116" s="148"/>
      <c r="BE116" s="148"/>
      <c r="BF116" s="148"/>
      <c r="BG116" s="148"/>
      <c r="BH116" s="148"/>
      <c r="BI116" s="148"/>
      <c r="BJ116" s="148"/>
      <c r="BK116" s="148"/>
      <c r="BL116" s="148"/>
      <c r="BM116" s="148"/>
      <c r="BN116" s="148"/>
      <c r="BO116" s="148"/>
      <c r="BP116" s="148"/>
      <c r="BQ116" s="148"/>
      <c r="BR116" s="148"/>
      <c r="BS116" s="148"/>
      <c r="BT116" s="148"/>
      <c r="BU116" s="148"/>
      <c r="BV116" s="148"/>
      <c r="BW116" s="148"/>
      <c r="BX116" s="148"/>
      <c r="BY116" s="148"/>
      <c r="BZ116" s="148"/>
      <c r="CA116" s="148"/>
      <c r="CB116" s="148"/>
      <c r="CC116" s="148"/>
      <c r="CD116" s="148"/>
      <c r="CE116" s="148"/>
      <c r="CF116" s="148"/>
      <c r="CG116" s="148"/>
      <c r="CH116" s="148"/>
      <c r="CI116" s="148"/>
      <c r="CJ116" s="148"/>
      <c r="CK116" s="148"/>
      <c r="CL116" s="148"/>
      <c r="CM116" s="148"/>
      <c r="CN116" s="148"/>
      <c r="CO116" s="148"/>
      <c r="CP116" s="148"/>
      <c r="CQ116" s="148"/>
      <c r="CR116" s="148"/>
      <c r="CS116" s="148"/>
      <c r="CT116" s="148"/>
      <c r="CU116" s="148"/>
      <c r="CV116" s="148"/>
      <c r="CW116" s="148"/>
      <c r="CX116" s="148"/>
      <c r="CY116" s="148"/>
      <c r="CZ116" s="148"/>
      <c r="DA116" s="148"/>
      <c r="DB116" s="148"/>
      <c r="DC116" s="148"/>
      <c r="DD116" s="148"/>
      <c r="DE116" s="148"/>
      <c r="DF116" s="148"/>
      <c r="DG116" s="148"/>
      <c r="DH116" s="148"/>
      <c r="DI116" s="148"/>
      <c r="DJ116" s="148"/>
      <c r="DK116" s="148"/>
      <c r="DL116" s="148"/>
      <c r="DM116" s="148"/>
      <c r="DN116" s="148"/>
      <c r="DO116" s="148"/>
      <c r="DP116" s="148"/>
      <c r="DQ116" s="148"/>
      <c r="DR116" s="148"/>
      <c r="DS116" s="148"/>
      <c r="DT116" s="148"/>
      <c r="DU116" s="148"/>
      <c r="DV116" s="148"/>
      <c r="DW116" s="148"/>
      <c r="DX116" s="148"/>
      <c r="DY116" s="148"/>
      <c r="DZ116" s="148"/>
      <c r="EA116" s="148"/>
      <c r="EB116" s="148"/>
      <c r="EC116" s="148"/>
      <c r="ED116" s="148"/>
      <c r="EE116" s="148"/>
      <c r="EF116" s="148"/>
      <c r="EG116" s="148"/>
      <c r="EH116" s="148"/>
      <c r="EI116" s="148"/>
      <c r="EJ116" s="148"/>
      <c r="EK116" s="148"/>
      <c r="EL116" s="148"/>
      <c r="EM116" s="148"/>
      <c r="EN116" s="148"/>
      <c r="EO116" s="148"/>
      <c r="EP116" s="148"/>
      <c r="EQ116" s="148"/>
      <c r="ER116" s="148"/>
      <c r="ES116" s="148"/>
      <c r="ET116" s="148"/>
      <c r="EU116" s="148"/>
      <c r="EV116" s="148"/>
      <c r="EW116" s="148"/>
      <c r="EX116" s="148"/>
      <c r="EY116" s="148"/>
      <c r="EZ116" s="148"/>
      <c r="FA116" s="148"/>
      <c r="FB116" s="148"/>
      <c r="FC116" s="148"/>
      <c r="FD116" s="148"/>
      <c r="FE116" s="148"/>
      <c r="FF116" s="148"/>
      <c r="FG116" s="148"/>
      <c r="FH116" s="148"/>
      <c r="FI116" s="148"/>
      <c r="FJ116" s="148"/>
      <c r="FK116" s="148"/>
      <c r="FL116" s="148"/>
      <c r="FM116" s="148"/>
      <c r="FN116" s="148"/>
      <c r="FO116" s="148"/>
      <c r="FP116" s="148"/>
      <c r="FQ116" s="148"/>
      <c r="FR116" s="148"/>
    </row>
    <row r="117" spans="1:174" s="15" customFormat="1" ht="13.5" customHeight="1" x14ac:dyDescent="0.2">
      <c r="A117" s="148"/>
      <c r="B117" s="307">
        <v>108</v>
      </c>
      <c r="C117" s="307" t="s">
        <v>38</v>
      </c>
      <c r="D117" s="307" t="s">
        <v>1651</v>
      </c>
      <c r="E117" s="321" t="s">
        <v>1652</v>
      </c>
      <c r="F117" s="533" t="s">
        <v>45</v>
      </c>
      <c r="G117" s="533" t="s">
        <v>1411</v>
      </c>
      <c r="H117" s="553" t="s">
        <v>1539</v>
      </c>
      <c r="I117" s="534" t="s">
        <v>42</v>
      </c>
      <c r="J117" s="535">
        <v>280668</v>
      </c>
      <c r="K117" s="535">
        <v>264860</v>
      </c>
      <c r="L117" s="535">
        <v>0</v>
      </c>
      <c r="M117" s="454"/>
      <c r="N117" s="454"/>
      <c r="O117" s="454"/>
      <c r="P117" s="547"/>
      <c r="Q117" s="538"/>
      <c r="R117" s="538">
        <v>9484.7759999999998</v>
      </c>
      <c r="S117" s="535">
        <f t="shared" si="3"/>
        <v>9484.7759999999998</v>
      </c>
      <c r="T117" s="539">
        <v>15018</v>
      </c>
      <c r="U117" s="540">
        <v>9</v>
      </c>
      <c r="V117" s="542">
        <v>44214</v>
      </c>
      <c r="W117" s="542">
        <v>44246</v>
      </c>
      <c r="X117" s="539">
        <v>790</v>
      </c>
      <c r="Y117" s="544">
        <v>46</v>
      </c>
      <c r="Z117" s="545">
        <v>44295</v>
      </c>
      <c r="AA117" s="542">
        <v>44327</v>
      </c>
      <c r="AB117" s="539"/>
      <c r="AC117" s="544"/>
      <c r="AD117" s="540"/>
      <c r="AE117" s="542"/>
      <c r="AF117" s="554"/>
      <c r="AG117" s="542"/>
      <c r="AH117" s="542"/>
      <c r="AI117" s="542"/>
      <c r="AJ117" s="554"/>
      <c r="AK117" s="542"/>
      <c r="AL117" s="542"/>
      <c r="AM117" s="542"/>
      <c r="AN117" s="542"/>
      <c r="AO117" s="542"/>
      <c r="AP117" s="542"/>
      <c r="AQ117" s="542"/>
      <c r="AR117" s="22">
        <f t="shared" si="4"/>
        <v>15808</v>
      </c>
      <c r="AS117" s="546">
        <f t="shared" si="5"/>
        <v>6323.2240000000002</v>
      </c>
      <c r="AT117" s="148"/>
      <c r="AU117" s="148"/>
      <c r="AV117" s="148"/>
      <c r="AW117" s="148"/>
      <c r="AX117" s="148"/>
      <c r="AY117" s="148"/>
      <c r="AZ117" s="148"/>
      <c r="BA117" s="148"/>
      <c r="BB117" s="148"/>
      <c r="BC117" s="148"/>
      <c r="BD117" s="148"/>
      <c r="BE117" s="148"/>
      <c r="BF117" s="148"/>
      <c r="BG117" s="148"/>
      <c r="BH117" s="148"/>
      <c r="BI117" s="148"/>
      <c r="BJ117" s="148"/>
      <c r="BK117" s="148"/>
      <c r="BL117" s="148"/>
      <c r="BM117" s="148"/>
      <c r="BN117" s="148"/>
      <c r="BO117" s="148"/>
      <c r="BP117" s="148"/>
      <c r="BQ117" s="148"/>
      <c r="BR117" s="148"/>
      <c r="BS117" s="148"/>
      <c r="BT117" s="148"/>
      <c r="BU117" s="148"/>
      <c r="BV117" s="148"/>
      <c r="BW117" s="148"/>
      <c r="BX117" s="148"/>
      <c r="BY117" s="148"/>
      <c r="BZ117" s="148"/>
      <c r="CA117" s="148"/>
      <c r="CB117" s="148"/>
      <c r="CC117" s="148"/>
      <c r="CD117" s="148"/>
      <c r="CE117" s="148"/>
      <c r="CF117" s="148"/>
      <c r="CG117" s="148"/>
      <c r="CH117" s="148"/>
      <c r="CI117" s="148"/>
      <c r="CJ117" s="148"/>
      <c r="CK117" s="148"/>
      <c r="CL117" s="148"/>
      <c r="CM117" s="148"/>
      <c r="CN117" s="148"/>
      <c r="CO117" s="148"/>
      <c r="CP117" s="148"/>
      <c r="CQ117" s="148"/>
      <c r="CR117" s="148"/>
      <c r="CS117" s="148"/>
      <c r="CT117" s="148"/>
      <c r="CU117" s="148"/>
      <c r="CV117" s="148"/>
      <c r="CW117" s="148"/>
      <c r="CX117" s="148"/>
      <c r="CY117" s="148"/>
      <c r="CZ117" s="148"/>
      <c r="DA117" s="148"/>
      <c r="DB117" s="148"/>
      <c r="DC117" s="148"/>
      <c r="DD117" s="148"/>
      <c r="DE117" s="148"/>
      <c r="DF117" s="148"/>
      <c r="DG117" s="148"/>
      <c r="DH117" s="148"/>
      <c r="DI117" s="148"/>
      <c r="DJ117" s="148"/>
      <c r="DK117" s="148"/>
      <c r="DL117" s="148"/>
      <c r="DM117" s="148"/>
      <c r="DN117" s="148"/>
      <c r="DO117" s="148"/>
      <c r="DP117" s="148"/>
      <c r="DQ117" s="148"/>
      <c r="DR117" s="148"/>
      <c r="DS117" s="148"/>
      <c r="DT117" s="148"/>
      <c r="DU117" s="148"/>
      <c r="DV117" s="148"/>
      <c r="DW117" s="148"/>
      <c r="DX117" s="148"/>
      <c r="DY117" s="148"/>
      <c r="DZ117" s="148"/>
      <c r="EA117" s="148"/>
      <c r="EB117" s="148"/>
      <c r="EC117" s="148"/>
      <c r="ED117" s="148"/>
      <c r="EE117" s="148"/>
      <c r="EF117" s="148"/>
      <c r="EG117" s="148"/>
      <c r="EH117" s="148"/>
      <c r="EI117" s="148"/>
      <c r="EJ117" s="148"/>
      <c r="EK117" s="148"/>
      <c r="EL117" s="148"/>
      <c r="EM117" s="148"/>
      <c r="EN117" s="148"/>
      <c r="EO117" s="148"/>
      <c r="EP117" s="148"/>
      <c r="EQ117" s="148"/>
      <c r="ER117" s="148"/>
      <c r="ES117" s="148"/>
      <c r="ET117" s="148"/>
      <c r="EU117" s="148"/>
      <c r="EV117" s="148"/>
      <c r="EW117" s="148"/>
      <c r="EX117" s="148"/>
      <c r="EY117" s="148"/>
      <c r="EZ117" s="148"/>
      <c r="FA117" s="148"/>
      <c r="FB117" s="148"/>
      <c r="FC117" s="148"/>
      <c r="FD117" s="148"/>
      <c r="FE117" s="148"/>
      <c r="FF117" s="148"/>
      <c r="FG117" s="148"/>
      <c r="FH117" s="148"/>
      <c r="FI117" s="148"/>
      <c r="FJ117" s="148"/>
      <c r="FK117" s="148"/>
      <c r="FL117" s="148"/>
      <c r="FM117" s="148"/>
      <c r="FN117" s="148"/>
      <c r="FO117" s="148"/>
      <c r="FP117" s="148"/>
      <c r="FQ117" s="148"/>
      <c r="FR117" s="148"/>
    </row>
    <row r="118" spans="1:174" s="15" customFormat="1" ht="13.5" customHeight="1" x14ac:dyDescent="0.2">
      <c r="A118" s="148"/>
      <c r="B118" s="307">
        <v>109</v>
      </c>
      <c r="C118" s="307" t="s">
        <v>38</v>
      </c>
      <c r="D118" s="307" t="s">
        <v>1653</v>
      </c>
      <c r="E118" s="321" t="s">
        <v>1654</v>
      </c>
      <c r="F118" s="533" t="s">
        <v>45</v>
      </c>
      <c r="G118" s="533" t="s">
        <v>1411</v>
      </c>
      <c r="H118" s="553" t="s">
        <v>1476</v>
      </c>
      <c r="I118" s="534" t="s">
        <v>42</v>
      </c>
      <c r="J118" s="535">
        <v>1976346</v>
      </c>
      <c r="K118" s="535">
        <v>181052</v>
      </c>
      <c r="L118" s="535">
        <v>0</v>
      </c>
      <c r="M118" s="454"/>
      <c r="N118" s="454"/>
      <c r="O118" s="454"/>
      <c r="P118" s="547"/>
      <c r="Q118" s="538"/>
      <c r="R118" s="538"/>
      <c r="S118" s="535">
        <f t="shared" si="3"/>
        <v>0</v>
      </c>
      <c r="T118" s="539">
        <v>137635</v>
      </c>
      <c r="U118" s="540">
        <v>9</v>
      </c>
      <c r="V118" s="542">
        <v>44214</v>
      </c>
      <c r="W118" s="542">
        <v>44246</v>
      </c>
      <c r="X118" s="539"/>
      <c r="Y118" s="544"/>
      <c r="Z118" s="540"/>
      <c r="AA118" s="542"/>
      <c r="AB118" s="539"/>
      <c r="AC118" s="544"/>
      <c r="AD118" s="540"/>
      <c r="AE118" s="542"/>
      <c r="AF118" s="554"/>
      <c r="AG118" s="542"/>
      <c r="AH118" s="542"/>
      <c r="AI118" s="542"/>
      <c r="AJ118" s="554"/>
      <c r="AK118" s="542"/>
      <c r="AL118" s="542"/>
      <c r="AM118" s="542"/>
      <c r="AN118" s="542"/>
      <c r="AO118" s="542"/>
      <c r="AP118" s="542"/>
      <c r="AQ118" s="542"/>
      <c r="AR118" s="22">
        <f t="shared" si="4"/>
        <v>137635</v>
      </c>
      <c r="AS118" s="546">
        <f t="shared" si="5"/>
        <v>137635</v>
      </c>
      <c r="AT118" s="148"/>
      <c r="AU118" s="148"/>
      <c r="AV118" s="148"/>
      <c r="AW118" s="148"/>
      <c r="AX118" s="148"/>
      <c r="AY118" s="148"/>
      <c r="AZ118" s="148"/>
      <c r="BA118" s="148"/>
      <c r="BB118" s="148"/>
      <c r="BC118" s="148"/>
      <c r="BD118" s="148"/>
      <c r="BE118" s="148"/>
      <c r="BF118" s="148"/>
      <c r="BG118" s="148"/>
      <c r="BH118" s="148"/>
      <c r="BI118" s="148"/>
      <c r="BJ118" s="148"/>
      <c r="BK118" s="148"/>
      <c r="BL118" s="148"/>
      <c r="BM118" s="148"/>
      <c r="BN118" s="148"/>
      <c r="BO118" s="148"/>
      <c r="BP118" s="148"/>
      <c r="BQ118" s="148"/>
      <c r="BR118" s="148"/>
      <c r="BS118" s="148"/>
      <c r="BT118" s="148"/>
      <c r="BU118" s="148"/>
      <c r="BV118" s="148"/>
      <c r="BW118" s="148"/>
      <c r="BX118" s="148"/>
      <c r="BY118" s="148"/>
      <c r="BZ118" s="148"/>
      <c r="CA118" s="148"/>
      <c r="CB118" s="148"/>
      <c r="CC118" s="148"/>
      <c r="CD118" s="148"/>
      <c r="CE118" s="148"/>
      <c r="CF118" s="148"/>
      <c r="CG118" s="148"/>
      <c r="CH118" s="148"/>
      <c r="CI118" s="148"/>
      <c r="CJ118" s="148"/>
      <c r="CK118" s="148"/>
      <c r="CL118" s="148"/>
      <c r="CM118" s="148"/>
      <c r="CN118" s="148"/>
      <c r="CO118" s="148"/>
      <c r="CP118" s="148"/>
      <c r="CQ118" s="148"/>
      <c r="CR118" s="148"/>
      <c r="CS118" s="148"/>
      <c r="CT118" s="148"/>
      <c r="CU118" s="148"/>
      <c r="CV118" s="148"/>
      <c r="CW118" s="148"/>
      <c r="CX118" s="148"/>
      <c r="CY118" s="148"/>
      <c r="CZ118" s="148"/>
      <c r="DA118" s="148"/>
      <c r="DB118" s="148"/>
      <c r="DC118" s="148"/>
      <c r="DD118" s="148"/>
      <c r="DE118" s="148"/>
      <c r="DF118" s="148"/>
      <c r="DG118" s="148"/>
      <c r="DH118" s="148"/>
      <c r="DI118" s="148"/>
      <c r="DJ118" s="148"/>
      <c r="DK118" s="148"/>
      <c r="DL118" s="148"/>
      <c r="DM118" s="148"/>
      <c r="DN118" s="148"/>
      <c r="DO118" s="148"/>
      <c r="DP118" s="148"/>
      <c r="DQ118" s="148"/>
      <c r="DR118" s="148"/>
      <c r="DS118" s="148"/>
      <c r="DT118" s="148"/>
      <c r="DU118" s="148"/>
      <c r="DV118" s="148"/>
      <c r="DW118" s="148"/>
      <c r="DX118" s="148"/>
      <c r="DY118" s="148"/>
      <c r="DZ118" s="148"/>
      <c r="EA118" s="148"/>
      <c r="EB118" s="148"/>
      <c r="EC118" s="148"/>
      <c r="ED118" s="148"/>
      <c r="EE118" s="148"/>
      <c r="EF118" s="148"/>
      <c r="EG118" s="148"/>
      <c r="EH118" s="148"/>
      <c r="EI118" s="148"/>
      <c r="EJ118" s="148"/>
      <c r="EK118" s="148"/>
      <c r="EL118" s="148"/>
      <c r="EM118" s="148"/>
      <c r="EN118" s="148"/>
      <c r="EO118" s="148"/>
      <c r="EP118" s="148"/>
      <c r="EQ118" s="148"/>
      <c r="ER118" s="148"/>
      <c r="ES118" s="148"/>
      <c r="ET118" s="148"/>
      <c r="EU118" s="148"/>
      <c r="EV118" s="148"/>
      <c r="EW118" s="148"/>
      <c r="EX118" s="148"/>
      <c r="EY118" s="148"/>
      <c r="EZ118" s="148"/>
      <c r="FA118" s="148"/>
      <c r="FB118" s="148"/>
      <c r="FC118" s="148"/>
      <c r="FD118" s="148"/>
      <c r="FE118" s="148"/>
      <c r="FF118" s="148"/>
      <c r="FG118" s="148"/>
      <c r="FH118" s="148"/>
      <c r="FI118" s="148"/>
      <c r="FJ118" s="148"/>
      <c r="FK118" s="148"/>
      <c r="FL118" s="148"/>
      <c r="FM118" s="148"/>
      <c r="FN118" s="148"/>
      <c r="FO118" s="148"/>
      <c r="FP118" s="148"/>
      <c r="FQ118" s="148"/>
      <c r="FR118" s="148"/>
    </row>
    <row r="119" spans="1:174" s="15" customFormat="1" ht="13.5" customHeight="1" x14ac:dyDescent="0.2">
      <c r="A119" s="148"/>
      <c r="B119" s="307">
        <v>110</v>
      </c>
      <c r="C119" s="307" t="s">
        <v>38</v>
      </c>
      <c r="D119" s="307" t="s">
        <v>1655</v>
      </c>
      <c r="E119" s="321" t="s">
        <v>1656</v>
      </c>
      <c r="F119" s="533" t="s">
        <v>45</v>
      </c>
      <c r="G119" s="533" t="s">
        <v>1411</v>
      </c>
      <c r="H119" s="553" t="s">
        <v>1464</v>
      </c>
      <c r="I119" s="534" t="s">
        <v>42</v>
      </c>
      <c r="J119" s="535">
        <v>1106026</v>
      </c>
      <c r="K119" s="535">
        <v>1049690</v>
      </c>
      <c r="L119" s="535">
        <v>0</v>
      </c>
      <c r="M119" s="454">
        <v>9360</v>
      </c>
      <c r="N119" s="454"/>
      <c r="O119" s="454"/>
      <c r="P119" s="547"/>
      <c r="Q119" s="538"/>
      <c r="R119" s="538"/>
      <c r="S119" s="535">
        <f t="shared" si="3"/>
        <v>9360</v>
      </c>
      <c r="T119" s="539">
        <v>56336</v>
      </c>
      <c r="U119" s="540">
        <v>9</v>
      </c>
      <c r="V119" s="542">
        <v>44214</v>
      </c>
      <c r="W119" s="542">
        <v>44246</v>
      </c>
      <c r="X119" s="539"/>
      <c r="Y119" s="544"/>
      <c r="Z119" s="540"/>
      <c r="AA119" s="542"/>
      <c r="AB119" s="539"/>
      <c r="AC119" s="544"/>
      <c r="AD119" s="540"/>
      <c r="AE119" s="542"/>
      <c r="AF119" s="554"/>
      <c r="AG119" s="542"/>
      <c r="AH119" s="542"/>
      <c r="AI119" s="542"/>
      <c r="AJ119" s="554"/>
      <c r="AK119" s="542"/>
      <c r="AL119" s="542"/>
      <c r="AM119" s="542"/>
      <c r="AN119" s="542"/>
      <c r="AO119" s="542"/>
      <c r="AP119" s="542"/>
      <c r="AQ119" s="542"/>
      <c r="AR119" s="22">
        <f t="shared" si="4"/>
        <v>56336</v>
      </c>
      <c r="AS119" s="546">
        <f t="shared" si="5"/>
        <v>46976</v>
      </c>
      <c r="AT119" s="148"/>
      <c r="AU119" s="148"/>
      <c r="AV119" s="148"/>
      <c r="AW119" s="148"/>
      <c r="AX119" s="148"/>
      <c r="AY119" s="148"/>
      <c r="AZ119" s="148"/>
      <c r="BA119" s="148"/>
      <c r="BB119" s="148"/>
      <c r="BC119" s="148"/>
      <c r="BD119" s="148"/>
      <c r="BE119" s="148"/>
      <c r="BF119" s="148"/>
      <c r="BG119" s="148"/>
      <c r="BH119" s="148"/>
      <c r="BI119" s="148"/>
      <c r="BJ119" s="148"/>
      <c r="BK119" s="148"/>
      <c r="BL119" s="148"/>
      <c r="BM119" s="148"/>
      <c r="BN119" s="148"/>
      <c r="BO119" s="148"/>
      <c r="BP119" s="148"/>
      <c r="BQ119" s="148"/>
      <c r="BR119" s="148"/>
      <c r="BS119" s="148"/>
      <c r="BT119" s="148"/>
      <c r="BU119" s="148"/>
      <c r="BV119" s="148"/>
      <c r="BW119" s="148"/>
      <c r="BX119" s="148"/>
      <c r="BY119" s="148"/>
      <c r="BZ119" s="148"/>
      <c r="CA119" s="148"/>
      <c r="CB119" s="148"/>
      <c r="CC119" s="148"/>
      <c r="CD119" s="148"/>
      <c r="CE119" s="148"/>
      <c r="CF119" s="148"/>
      <c r="CG119" s="148"/>
      <c r="CH119" s="148"/>
      <c r="CI119" s="148"/>
      <c r="CJ119" s="148"/>
      <c r="CK119" s="148"/>
      <c r="CL119" s="148"/>
      <c r="CM119" s="148"/>
      <c r="CN119" s="148"/>
      <c r="CO119" s="148"/>
      <c r="CP119" s="148"/>
      <c r="CQ119" s="148"/>
      <c r="CR119" s="148"/>
      <c r="CS119" s="148"/>
      <c r="CT119" s="148"/>
      <c r="CU119" s="148"/>
      <c r="CV119" s="148"/>
      <c r="CW119" s="148"/>
      <c r="CX119" s="148"/>
      <c r="CY119" s="148"/>
      <c r="CZ119" s="148"/>
      <c r="DA119" s="148"/>
      <c r="DB119" s="148"/>
      <c r="DC119" s="148"/>
      <c r="DD119" s="148"/>
      <c r="DE119" s="148"/>
      <c r="DF119" s="148"/>
      <c r="DG119" s="148"/>
      <c r="DH119" s="148"/>
      <c r="DI119" s="148"/>
      <c r="DJ119" s="148"/>
      <c r="DK119" s="148"/>
      <c r="DL119" s="148"/>
      <c r="DM119" s="148"/>
      <c r="DN119" s="148"/>
      <c r="DO119" s="148"/>
      <c r="DP119" s="148"/>
      <c r="DQ119" s="148"/>
      <c r="DR119" s="148"/>
      <c r="DS119" s="148"/>
      <c r="DT119" s="148"/>
      <c r="DU119" s="148"/>
      <c r="DV119" s="148"/>
      <c r="DW119" s="148"/>
      <c r="DX119" s="148"/>
      <c r="DY119" s="148"/>
      <c r="DZ119" s="148"/>
      <c r="EA119" s="148"/>
      <c r="EB119" s="148"/>
      <c r="EC119" s="148"/>
      <c r="ED119" s="148"/>
      <c r="EE119" s="148"/>
      <c r="EF119" s="148"/>
      <c r="EG119" s="148"/>
      <c r="EH119" s="148"/>
      <c r="EI119" s="148"/>
      <c r="EJ119" s="148"/>
      <c r="EK119" s="148"/>
      <c r="EL119" s="148"/>
      <c r="EM119" s="148"/>
      <c r="EN119" s="148"/>
      <c r="EO119" s="148"/>
      <c r="EP119" s="148"/>
      <c r="EQ119" s="148"/>
      <c r="ER119" s="148"/>
      <c r="ES119" s="148"/>
      <c r="ET119" s="148"/>
      <c r="EU119" s="148"/>
      <c r="EV119" s="148"/>
      <c r="EW119" s="148"/>
      <c r="EX119" s="148"/>
      <c r="EY119" s="148"/>
      <c r="EZ119" s="148"/>
      <c r="FA119" s="148"/>
      <c r="FB119" s="148"/>
      <c r="FC119" s="148"/>
      <c r="FD119" s="148"/>
      <c r="FE119" s="148"/>
      <c r="FF119" s="148"/>
      <c r="FG119" s="148"/>
      <c r="FH119" s="148"/>
      <c r="FI119" s="148"/>
      <c r="FJ119" s="148"/>
      <c r="FK119" s="148"/>
      <c r="FL119" s="148"/>
      <c r="FM119" s="148"/>
      <c r="FN119" s="148"/>
      <c r="FO119" s="148"/>
      <c r="FP119" s="148"/>
      <c r="FQ119" s="148"/>
      <c r="FR119" s="148"/>
    </row>
    <row r="120" spans="1:174" s="15" customFormat="1" ht="13.5" customHeight="1" x14ac:dyDescent="0.2">
      <c r="A120" s="148"/>
      <c r="B120" s="307">
        <v>111</v>
      </c>
      <c r="C120" s="307" t="s">
        <v>38</v>
      </c>
      <c r="D120" s="307" t="s">
        <v>1657</v>
      </c>
      <c r="E120" s="321" t="s">
        <v>1658</v>
      </c>
      <c r="F120" s="533" t="s">
        <v>45</v>
      </c>
      <c r="G120" s="533" t="s">
        <v>1411</v>
      </c>
      <c r="H120" s="553" t="s">
        <v>1482</v>
      </c>
      <c r="I120" s="534" t="s">
        <v>42</v>
      </c>
      <c r="J120" s="535">
        <v>3595094</v>
      </c>
      <c r="K120" s="535">
        <v>3548845</v>
      </c>
      <c r="L120" s="535">
        <v>0</v>
      </c>
      <c r="M120" s="454">
        <v>6329</v>
      </c>
      <c r="N120" s="454"/>
      <c r="O120" s="454"/>
      <c r="P120" s="547"/>
      <c r="Q120" s="538"/>
      <c r="R120" s="538"/>
      <c r="S120" s="535">
        <f t="shared" si="3"/>
        <v>6329</v>
      </c>
      <c r="T120" s="539">
        <v>46249</v>
      </c>
      <c r="U120" s="540">
        <v>9</v>
      </c>
      <c r="V120" s="542">
        <v>44214</v>
      </c>
      <c r="W120" s="542">
        <v>44246</v>
      </c>
      <c r="X120" s="539">
        <v>19272</v>
      </c>
      <c r="Y120" s="544">
        <v>55</v>
      </c>
      <c r="Z120" s="545">
        <v>44323</v>
      </c>
      <c r="AA120" s="545">
        <v>44350</v>
      </c>
      <c r="AB120" s="539"/>
      <c r="AC120" s="544"/>
      <c r="AD120" s="540"/>
      <c r="AE120" s="542"/>
      <c r="AF120" s="554"/>
      <c r="AG120" s="542"/>
      <c r="AH120" s="542"/>
      <c r="AI120" s="542"/>
      <c r="AJ120" s="554"/>
      <c r="AK120" s="542"/>
      <c r="AL120" s="542"/>
      <c r="AM120" s="542"/>
      <c r="AN120" s="542"/>
      <c r="AO120" s="542"/>
      <c r="AP120" s="542"/>
      <c r="AQ120" s="542"/>
      <c r="AR120" s="22">
        <f t="shared" si="4"/>
        <v>65521</v>
      </c>
      <c r="AS120" s="546">
        <f t="shared" si="5"/>
        <v>59192</v>
      </c>
      <c r="AT120" s="148"/>
      <c r="AU120" s="148"/>
      <c r="AV120" s="148"/>
      <c r="AW120" s="148"/>
      <c r="AX120" s="148"/>
      <c r="AY120" s="148"/>
      <c r="AZ120" s="148"/>
      <c r="BA120" s="148"/>
      <c r="BB120" s="148"/>
      <c r="BC120" s="148"/>
      <c r="BD120" s="148"/>
      <c r="BE120" s="148"/>
      <c r="BF120" s="148"/>
      <c r="BG120" s="148"/>
      <c r="BH120" s="148"/>
      <c r="BI120" s="148"/>
      <c r="BJ120" s="148"/>
      <c r="BK120" s="148"/>
      <c r="BL120" s="148"/>
      <c r="BM120" s="148"/>
      <c r="BN120" s="148"/>
      <c r="BO120" s="148"/>
      <c r="BP120" s="148"/>
      <c r="BQ120" s="148"/>
      <c r="BR120" s="148"/>
      <c r="BS120" s="148"/>
      <c r="BT120" s="148"/>
      <c r="BU120" s="148"/>
      <c r="BV120" s="148"/>
      <c r="BW120" s="148"/>
      <c r="BX120" s="148"/>
      <c r="BY120" s="148"/>
      <c r="BZ120" s="148"/>
      <c r="CA120" s="148"/>
      <c r="CB120" s="148"/>
      <c r="CC120" s="148"/>
      <c r="CD120" s="148"/>
      <c r="CE120" s="148"/>
      <c r="CF120" s="148"/>
      <c r="CG120" s="148"/>
      <c r="CH120" s="148"/>
      <c r="CI120" s="148"/>
      <c r="CJ120" s="148"/>
      <c r="CK120" s="148"/>
      <c r="CL120" s="148"/>
      <c r="CM120" s="148"/>
      <c r="CN120" s="148"/>
      <c r="CO120" s="148"/>
      <c r="CP120" s="148"/>
      <c r="CQ120" s="148"/>
      <c r="CR120" s="148"/>
      <c r="CS120" s="148"/>
      <c r="CT120" s="148"/>
      <c r="CU120" s="148"/>
      <c r="CV120" s="148"/>
      <c r="CW120" s="148"/>
      <c r="CX120" s="148"/>
      <c r="CY120" s="148"/>
      <c r="CZ120" s="148"/>
      <c r="DA120" s="148"/>
      <c r="DB120" s="148"/>
      <c r="DC120" s="148"/>
      <c r="DD120" s="148"/>
      <c r="DE120" s="148"/>
      <c r="DF120" s="148"/>
      <c r="DG120" s="148"/>
      <c r="DH120" s="148"/>
      <c r="DI120" s="148"/>
      <c r="DJ120" s="148"/>
      <c r="DK120" s="148"/>
      <c r="DL120" s="148"/>
      <c r="DM120" s="148"/>
      <c r="DN120" s="148"/>
      <c r="DO120" s="148"/>
      <c r="DP120" s="148"/>
      <c r="DQ120" s="148"/>
      <c r="DR120" s="148"/>
      <c r="DS120" s="148"/>
      <c r="DT120" s="148"/>
      <c r="DU120" s="148"/>
      <c r="DV120" s="148"/>
      <c r="DW120" s="148"/>
      <c r="DX120" s="148"/>
      <c r="DY120" s="148"/>
      <c r="DZ120" s="148"/>
      <c r="EA120" s="148"/>
      <c r="EB120" s="148"/>
      <c r="EC120" s="148"/>
      <c r="ED120" s="148"/>
      <c r="EE120" s="148"/>
      <c r="EF120" s="148"/>
      <c r="EG120" s="148"/>
      <c r="EH120" s="148"/>
      <c r="EI120" s="148"/>
      <c r="EJ120" s="148"/>
      <c r="EK120" s="148"/>
      <c r="EL120" s="148"/>
      <c r="EM120" s="148"/>
      <c r="EN120" s="148"/>
      <c r="EO120" s="148"/>
      <c r="EP120" s="148"/>
      <c r="EQ120" s="148"/>
      <c r="ER120" s="148"/>
      <c r="ES120" s="148"/>
      <c r="ET120" s="148"/>
      <c r="EU120" s="148"/>
      <c r="EV120" s="148"/>
      <c r="EW120" s="148"/>
      <c r="EX120" s="148"/>
      <c r="EY120" s="148"/>
      <c r="EZ120" s="148"/>
      <c r="FA120" s="148"/>
      <c r="FB120" s="148"/>
      <c r="FC120" s="148"/>
      <c r="FD120" s="148"/>
      <c r="FE120" s="148"/>
      <c r="FF120" s="148"/>
      <c r="FG120" s="148"/>
      <c r="FH120" s="148"/>
      <c r="FI120" s="148"/>
      <c r="FJ120" s="148"/>
      <c r="FK120" s="148"/>
      <c r="FL120" s="148"/>
      <c r="FM120" s="148"/>
      <c r="FN120" s="148"/>
      <c r="FO120" s="148"/>
      <c r="FP120" s="148"/>
      <c r="FQ120" s="148"/>
      <c r="FR120" s="148"/>
    </row>
    <row r="121" spans="1:174" s="15" customFormat="1" ht="13.5" customHeight="1" x14ac:dyDescent="0.2">
      <c r="A121" s="148"/>
      <c r="B121" s="307">
        <v>112</v>
      </c>
      <c r="C121" s="307" t="s">
        <v>38</v>
      </c>
      <c r="D121" s="307" t="s">
        <v>1659</v>
      </c>
      <c r="E121" s="321" t="s">
        <v>1660</v>
      </c>
      <c r="F121" s="533" t="s">
        <v>45</v>
      </c>
      <c r="G121" s="533" t="s">
        <v>1411</v>
      </c>
      <c r="H121" s="553" t="s">
        <v>1412</v>
      </c>
      <c r="I121" s="534" t="s">
        <v>42</v>
      </c>
      <c r="J121" s="535">
        <v>7037908</v>
      </c>
      <c r="K121" s="535">
        <v>5638060</v>
      </c>
      <c r="L121" s="535">
        <v>34848</v>
      </c>
      <c r="M121" s="454">
        <v>973057</v>
      </c>
      <c r="N121" s="454"/>
      <c r="O121" s="454"/>
      <c r="P121" s="548">
        <v>28952.330999999998</v>
      </c>
      <c r="Q121" s="538">
        <v>16384.196</v>
      </c>
      <c r="R121" s="538"/>
      <c r="S121" s="535">
        <f t="shared" si="3"/>
        <v>1018393.527</v>
      </c>
      <c r="T121" s="539">
        <v>1311400</v>
      </c>
      <c r="U121" s="540">
        <v>9</v>
      </c>
      <c r="V121" s="542">
        <v>44214</v>
      </c>
      <c r="W121" s="542">
        <v>44246</v>
      </c>
      <c r="X121" s="539">
        <v>-326942</v>
      </c>
      <c r="Y121" s="544">
        <v>22</v>
      </c>
      <c r="Z121" s="545">
        <v>44256</v>
      </c>
      <c r="AA121" s="542">
        <v>44277</v>
      </c>
      <c r="AB121" s="455">
        <v>33937</v>
      </c>
      <c r="AC121" s="544">
        <v>25</v>
      </c>
      <c r="AD121" s="545">
        <v>44263</v>
      </c>
      <c r="AE121" s="542">
        <v>44292</v>
      </c>
      <c r="AF121" s="554">
        <v>17023</v>
      </c>
      <c r="AG121" s="554">
        <v>40</v>
      </c>
      <c r="AH121" s="555">
        <v>44294</v>
      </c>
      <c r="AI121" s="555">
        <v>44312</v>
      </c>
      <c r="AJ121" s="554"/>
      <c r="AK121" s="555"/>
      <c r="AL121" s="555"/>
      <c r="AM121" s="555"/>
      <c r="AN121" s="555"/>
      <c r="AO121" s="555"/>
      <c r="AP121" s="555"/>
      <c r="AQ121" s="555"/>
      <c r="AR121" s="22">
        <f t="shared" si="4"/>
        <v>1035418</v>
      </c>
      <c r="AS121" s="546">
        <f>+AR121-S121</f>
        <v>17024.472999999998</v>
      </c>
      <c r="AT121" s="148"/>
      <c r="AU121" s="148"/>
      <c r="AV121" s="148"/>
      <c r="AW121" s="148"/>
      <c r="AX121" s="148"/>
      <c r="AY121" s="148"/>
      <c r="AZ121" s="148"/>
      <c r="BA121" s="148"/>
      <c r="BB121" s="148"/>
      <c r="BC121" s="148"/>
      <c r="BD121" s="148"/>
      <c r="BE121" s="148"/>
      <c r="BF121" s="148"/>
      <c r="BG121" s="148"/>
      <c r="BH121" s="148"/>
      <c r="BI121" s="148"/>
      <c r="BJ121" s="148"/>
      <c r="BK121" s="148"/>
      <c r="BL121" s="148"/>
      <c r="BM121" s="148"/>
      <c r="BN121" s="148"/>
      <c r="BO121" s="148"/>
      <c r="BP121" s="148"/>
      <c r="BQ121" s="148"/>
      <c r="BR121" s="148"/>
      <c r="BS121" s="148"/>
      <c r="BT121" s="148"/>
      <c r="BU121" s="148"/>
      <c r="BV121" s="148"/>
      <c r="BW121" s="148"/>
      <c r="BX121" s="148"/>
      <c r="BY121" s="148"/>
      <c r="BZ121" s="148"/>
      <c r="CA121" s="148"/>
      <c r="CB121" s="148"/>
      <c r="CC121" s="148"/>
      <c r="CD121" s="148"/>
      <c r="CE121" s="148"/>
      <c r="CF121" s="148"/>
      <c r="CG121" s="148"/>
      <c r="CH121" s="148"/>
      <c r="CI121" s="148"/>
      <c r="CJ121" s="148"/>
      <c r="CK121" s="148"/>
      <c r="CL121" s="148"/>
      <c r="CM121" s="148"/>
      <c r="CN121" s="148"/>
      <c r="CO121" s="148"/>
      <c r="CP121" s="148"/>
      <c r="CQ121" s="148"/>
      <c r="CR121" s="148"/>
      <c r="CS121" s="148"/>
      <c r="CT121" s="148"/>
      <c r="CU121" s="148"/>
      <c r="CV121" s="148"/>
      <c r="CW121" s="148"/>
      <c r="CX121" s="148"/>
      <c r="CY121" s="148"/>
      <c r="CZ121" s="148"/>
      <c r="DA121" s="148"/>
      <c r="DB121" s="148"/>
      <c r="DC121" s="148"/>
      <c r="DD121" s="148"/>
      <c r="DE121" s="148"/>
      <c r="DF121" s="148"/>
      <c r="DG121" s="148"/>
      <c r="DH121" s="148"/>
      <c r="DI121" s="148"/>
      <c r="DJ121" s="148"/>
      <c r="DK121" s="148"/>
      <c r="DL121" s="148"/>
      <c r="DM121" s="148"/>
      <c r="DN121" s="148"/>
      <c r="DO121" s="148"/>
      <c r="DP121" s="148"/>
      <c r="DQ121" s="148"/>
      <c r="DR121" s="148"/>
      <c r="DS121" s="148"/>
      <c r="DT121" s="148"/>
      <c r="DU121" s="148"/>
      <c r="DV121" s="148"/>
      <c r="DW121" s="148"/>
      <c r="DX121" s="148"/>
      <c r="DY121" s="148"/>
      <c r="DZ121" s="148"/>
      <c r="EA121" s="148"/>
      <c r="EB121" s="148"/>
      <c r="EC121" s="148"/>
      <c r="ED121" s="148"/>
      <c r="EE121" s="148"/>
      <c r="EF121" s="148"/>
      <c r="EG121" s="148"/>
      <c r="EH121" s="148"/>
      <c r="EI121" s="148"/>
      <c r="EJ121" s="148"/>
      <c r="EK121" s="148"/>
      <c r="EL121" s="148"/>
      <c r="EM121" s="148"/>
      <c r="EN121" s="148"/>
      <c r="EO121" s="148"/>
      <c r="EP121" s="148"/>
      <c r="EQ121" s="148"/>
      <c r="ER121" s="148"/>
      <c r="ES121" s="148"/>
      <c r="ET121" s="148"/>
      <c r="EU121" s="148"/>
      <c r="EV121" s="148"/>
      <c r="EW121" s="148"/>
      <c r="EX121" s="148"/>
      <c r="EY121" s="148"/>
      <c r="EZ121" s="148"/>
      <c r="FA121" s="148"/>
      <c r="FB121" s="148"/>
      <c r="FC121" s="148"/>
      <c r="FD121" s="148"/>
      <c r="FE121" s="148"/>
      <c r="FF121" s="148"/>
      <c r="FG121" s="148"/>
      <c r="FH121" s="148"/>
      <c r="FI121" s="148"/>
      <c r="FJ121" s="148"/>
      <c r="FK121" s="148"/>
      <c r="FL121" s="148"/>
      <c r="FM121" s="148"/>
      <c r="FN121" s="148"/>
      <c r="FO121" s="148"/>
      <c r="FP121" s="148"/>
      <c r="FQ121" s="148"/>
      <c r="FR121" s="148"/>
    </row>
    <row r="122" spans="1:174" s="15" customFormat="1" ht="13.5" customHeight="1" x14ac:dyDescent="0.2">
      <c r="A122" s="148"/>
      <c r="B122" s="307">
        <v>113</v>
      </c>
      <c r="C122" s="307" t="s">
        <v>38</v>
      </c>
      <c r="D122" s="307" t="s">
        <v>1661</v>
      </c>
      <c r="E122" s="321" t="s">
        <v>1662</v>
      </c>
      <c r="F122" s="533" t="s">
        <v>45</v>
      </c>
      <c r="G122" s="533" t="s">
        <v>1411</v>
      </c>
      <c r="H122" s="553" t="s">
        <v>1495</v>
      </c>
      <c r="I122" s="534" t="s">
        <v>43</v>
      </c>
      <c r="J122" s="535">
        <v>485455</v>
      </c>
      <c r="K122" s="535">
        <v>0</v>
      </c>
      <c r="L122" s="535">
        <v>0</v>
      </c>
      <c r="M122" s="454"/>
      <c r="N122" s="454"/>
      <c r="O122" s="454"/>
      <c r="P122" s="547"/>
      <c r="Q122" s="538"/>
      <c r="R122" s="538"/>
      <c r="S122" s="535">
        <f t="shared" si="3"/>
        <v>0</v>
      </c>
      <c r="T122" s="539">
        <v>67270</v>
      </c>
      <c r="U122" s="540">
        <v>9</v>
      </c>
      <c r="V122" s="542">
        <v>44214</v>
      </c>
      <c r="W122" s="542">
        <v>44246</v>
      </c>
      <c r="X122" s="539"/>
      <c r="Y122" s="544"/>
      <c r="Z122" s="542"/>
      <c r="AA122" s="542"/>
      <c r="AB122" s="539"/>
      <c r="AC122" s="544"/>
      <c r="AD122" s="540"/>
      <c r="AE122" s="542"/>
      <c r="AF122" s="554"/>
      <c r="AG122" s="554"/>
      <c r="AH122" s="554"/>
      <c r="AI122" s="554"/>
      <c r="AJ122" s="554"/>
      <c r="AK122" s="554"/>
      <c r="AL122" s="554"/>
      <c r="AM122" s="554"/>
      <c r="AN122" s="554"/>
      <c r="AO122" s="554"/>
      <c r="AP122" s="554"/>
      <c r="AQ122" s="554"/>
      <c r="AR122" s="22">
        <f t="shared" si="4"/>
        <v>67270</v>
      </c>
      <c r="AS122" s="546">
        <f t="shared" si="5"/>
        <v>67270</v>
      </c>
      <c r="AT122" s="148"/>
      <c r="AU122" s="148"/>
      <c r="AV122" s="148"/>
      <c r="AW122" s="148"/>
      <c r="AX122" s="148"/>
      <c r="AY122" s="148"/>
      <c r="AZ122" s="148"/>
      <c r="BA122" s="148"/>
      <c r="BB122" s="148"/>
      <c r="BC122" s="148"/>
      <c r="BD122" s="148"/>
      <c r="BE122" s="148"/>
      <c r="BF122" s="148"/>
      <c r="BG122" s="148"/>
      <c r="BH122" s="148"/>
      <c r="BI122" s="148"/>
      <c r="BJ122" s="148"/>
      <c r="BK122" s="148"/>
      <c r="BL122" s="148"/>
      <c r="BM122" s="148"/>
      <c r="BN122" s="148"/>
      <c r="BO122" s="148"/>
      <c r="BP122" s="148"/>
      <c r="BQ122" s="148"/>
      <c r="BR122" s="148"/>
      <c r="BS122" s="148"/>
      <c r="BT122" s="148"/>
      <c r="BU122" s="148"/>
      <c r="BV122" s="148"/>
      <c r="BW122" s="148"/>
      <c r="BX122" s="148"/>
      <c r="BY122" s="148"/>
      <c r="BZ122" s="148"/>
      <c r="CA122" s="148"/>
      <c r="CB122" s="148"/>
      <c r="CC122" s="148"/>
      <c r="CD122" s="148"/>
      <c r="CE122" s="148"/>
      <c r="CF122" s="148"/>
      <c r="CG122" s="148"/>
      <c r="CH122" s="148"/>
      <c r="CI122" s="148"/>
      <c r="CJ122" s="148"/>
      <c r="CK122" s="148"/>
      <c r="CL122" s="148"/>
      <c r="CM122" s="148"/>
      <c r="CN122" s="148"/>
      <c r="CO122" s="148"/>
      <c r="CP122" s="148"/>
      <c r="CQ122" s="148"/>
      <c r="CR122" s="148"/>
      <c r="CS122" s="148"/>
      <c r="CT122" s="148"/>
      <c r="CU122" s="148"/>
      <c r="CV122" s="148"/>
      <c r="CW122" s="148"/>
      <c r="CX122" s="148"/>
      <c r="CY122" s="148"/>
      <c r="CZ122" s="148"/>
      <c r="DA122" s="148"/>
      <c r="DB122" s="148"/>
      <c r="DC122" s="148"/>
      <c r="DD122" s="148"/>
      <c r="DE122" s="148"/>
      <c r="DF122" s="148"/>
      <c r="DG122" s="148"/>
      <c r="DH122" s="148"/>
      <c r="DI122" s="148"/>
      <c r="DJ122" s="148"/>
      <c r="DK122" s="148"/>
      <c r="DL122" s="148"/>
      <c r="DM122" s="148"/>
      <c r="DN122" s="148"/>
      <c r="DO122" s="148"/>
      <c r="DP122" s="148"/>
      <c r="DQ122" s="148"/>
      <c r="DR122" s="148"/>
      <c r="DS122" s="148"/>
      <c r="DT122" s="148"/>
      <c r="DU122" s="148"/>
      <c r="DV122" s="148"/>
      <c r="DW122" s="148"/>
      <c r="DX122" s="148"/>
      <c r="DY122" s="148"/>
      <c r="DZ122" s="148"/>
      <c r="EA122" s="148"/>
      <c r="EB122" s="148"/>
      <c r="EC122" s="148"/>
      <c r="ED122" s="148"/>
      <c r="EE122" s="148"/>
      <c r="EF122" s="148"/>
      <c r="EG122" s="148"/>
      <c r="EH122" s="148"/>
      <c r="EI122" s="148"/>
      <c r="EJ122" s="148"/>
      <c r="EK122" s="148"/>
      <c r="EL122" s="148"/>
      <c r="EM122" s="148"/>
      <c r="EN122" s="148"/>
      <c r="EO122" s="148"/>
      <c r="EP122" s="148"/>
      <c r="EQ122" s="148"/>
      <c r="ER122" s="148"/>
      <c r="ES122" s="148"/>
      <c r="ET122" s="148"/>
      <c r="EU122" s="148"/>
      <c r="EV122" s="148"/>
      <c r="EW122" s="148"/>
      <c r="EX122" s="148"/>
      <c r="EY122" s="148"/>
      <c r="EZ122" s="148"/>
      <c r="FA122" s="148"/>
      <c r="FB122" s="148"/>
      <c r="FC122" s="148"/>
      <c r="FD122" s="148"/>
      <c r="FE122" s="148"/>
      <c r="FF122" s="148"/>
      <c r="FG122" s="148"/>
      <c r="FH122" s="148"/>
      <c r="FI122" s="148"/>
      <c r="FJ122" s="148"/>
      <c r="FK122" s="148"/>
      <c r="FL122" s="148"/>
      <c r="FM122" s="148"/>
      <c r="FN122" s="148"/>
      <c r="FO122" s="148"/>
      <c r="FP122" s="148"/>
      <c r="FQ122" s="148"/>
      <c r="FR122" s="148"/>
    </row>
    <row r="123" spans="1:174" s="15" customFormat="1" ht="13.5" customHeight="1" x14ac:dyDescent="0.2">
      <c r="A123" s="148"/>
      <c r="B123" s="307">
        <v>114</v>
      </c>
      <c r="C123" s="307" t="s">
        <v>38</v>
      </c>
      <c r="D123" s="307" t="s">
        <v>1663</v>
      </c>
      <c r="E123" s="321" t="s">
        <v>1664</v>
      </c>
      <c r="F123" s="533" t="s">
        <v>45</v>
      </c>
      <c r="G123" s="533" t="s">
        <v>1411</v>
      </c>
      <c r="H123" s="553" t="s">
        <v>1473</v>
      </c>
      <c r="I123" s="534" t="s">
        <v>43</v>
      </c>
      <c r="J123" s="535">
        <v>786405</v>
      </c>
      <c r="K123" s="535">
        <v>262135</v>
      </c>
      <c r="L123" s="535">
        <v>0</v>
      </c>
      <c r="M123" s="454"/>
      <c r="N123" s="454"/>
      <c r="O123" s="454"/>
      <c r="P123" s="547"/>
      <c r="Q123" s="538"/>
      <c r="R123" s="538"/>
      <c r="S123" s="535">
        <f t="shared" si="3"/>
        <v>0</v>
      </c>
      <c r="T123" s="539">
        <v>105000</v>
      </c>
      <c r="U123" s="540">
        <v>9</v>
      </c>
      <c r="V123" s="542">
        <v>44214</v>
      </c>
      <c r="W123" s="542">
        <v>44246</v>
      </c>
      <c r="X123" s="539"/>
      <c r="Y123" s="544"/>
      <c r="Z123" s="542"/>
      <c r="AA123" s="542"/>
      <c r="AB123" s="539"/>
      <c r="AC123" s="544"/>
      <c r="AD123" s="540"/>
      <c r="AE123" s="542"/>
      <c r="AF123" s="554"/>
      <c r="AG123" s="554"/>
      <c r="AH123" s="554"/>
      <c r="AI123" s="554"/>
      <c r="AJ123" s="554"/>
      <c r="AK123" s="554"/>
      <c r="AL123" s="554"/>
      <c r="AM123" s="554"/>
      <c r="AN123" s="554"/>
      <c r="AO123" s="554"/>
      <c r="AP123" s="554"/>
      <c r="AQ123" s="554"/>
      <c r="AR123" s="22">
        <f t="shared" si="4"/>
        <v>105000</v>
      </c>
      <c r="AS123" s="546">
        <f t="shared" si="5"/>
        <v>105000</v>
      </c>
      <c r="AT123" s="148"/>
      <c r="AU123" s="148"/>
      <c r="AV123" s="148"/>
      <c r="AW123" s="148"/>
      <c r="AX123" s="148"/>
      <c r="AY123" s="148"/>
      <c r="AZ123" s="148"/>
      <c r="BA123" s="148"/>
      <c r="BB123" s="148"/>
      <c r="BC123" s="148"/>
      <c r="BD123" s="148"/>
      <c r="BE123" s="148"/>
      <c r="BF123" s="148"/>
      <c r="BG123" s="148"/>
      <c r="BH123" s="148"/>
      <c r="BI123" s="148"/>
      <c r="BJ123" s="148"/>
      <c r="BK123" s="148"/>
      <c r="BL123" s="148"/>
      <c r="BM123" s="148"/>
      <c r="BN123" s="148"/>
      <c r="BO123" s="148"/>
      <c r="BP123" s="148"/>
      <c r="BQ123" s="148"/>
      <c r="BR123" s="148"/>
      <c r="BS123" s="148"/>
      <c r="BT123" s="148"/>
      <c r="BU123" s="148"/>
      <c r="BV123" s="148"/>
      <c r="BW123" s="148"/>
      <c r="BX123" s="148"/>
      <c r="BY123" s="148"/>
      <c r="BZ123" s="148"/>
      <c r="CA123" s="148"/>
      <c r="CB123" s="148"/>
      <c r="CC123" s="148"/>
      <c r="CD123" s="148"/>
      <c r="CE123" s="148"/>
      <c r="CF123" s="148"/>
      <c r="CG123" s="148"/>
      <c r="CH123" s="148"/>
      <c r="CI123" s="148"/>
      <c r="CJ123" s="148"/>
      <c r="CK123" s="148"/>
      <c r="CL123" s="148"/>
      <c r="CM123" s="148"/>
      <c r="CN123" s="148"/>
      <c r="CO123" s="148"/>
      <c r="CP123" s="148"/>
      <c r="CQ123" s="148"/>
      <c r="CR123" s="148"/>
      <c r="CS123" s="148"/>
      <c r="CT123" s="148"/>
      <c r="CU123" s="148"/>
      <c r="CV123" s="148"/>
      <c r="CW123" s="148"/>
      <c r="CX123" s="148"/>
      <c r="CY123" s="148"/>
      <c r="CZ123" s="148"/>
      <c r="DA123" s="148"/>
      <c r="DB123" s="148"/>
      <c r="DC123" s="148"/>
      <c r="DD123" s="148"/>
      <c r="DE123" s="148"/>
      <c r="DF123" s="148"/>
      <c r="DG123" s="148"/>
      <c r="DH123" s="148"/>
      <c r="DI123" s="148"/>
      <c r="DJ123" s="148"/>
      <c r="DK123" s="148"/>
      <c r="DL123" s="148"/>
      <c r="DM123" s="148"/>
      <c r="DN123" s="148"/>
      <c r="DO123" s="148"/>
      <c r="DP123" s="148"/>
      <c r="DQ123" s="148"/>
      <c r="DR123" s="148"/>
      <c r="DS123" s="148"/>
      <c r="DT123" s="148"/>
      <c r="DU123" s="148"/>
      <c r="DV123" s="148"/>
      <c r="DW123" s="148"/>
      <c r="DX123" s="148"/>
      <c r="DY123" s="148"/>
      <c r="DZ123" s="148"/>
      <c r="EA123" s="148"/>
      <c r="EB123" s="148"/>
      <c r="EC123" s="148"/>
      <c r="ED123" s="148"/>
      <c r="EE123" s="148"/>
      <c r="EF123" s="148"/>
      <c r="EG123" s="148"/>
      <c r="EH123" s="148"/>
      <c r="EI123" s="148"/>
      <c r="EJ123" s="148"/>
      <c r="EK123" s="148"/>
      <c r="EL123" s="148"/>
      <c r="EM123" s="148"/>
      <c r="EN123" s="148"/>
      <c r="EO123" s="148"/>
      <c r="EP123" s="148"/>
      <c r="EQ123" s="148"/>
      <c r="ER123" s="148"/>
      <c r="ES123" s="148"/>
      <c r="ET123" s="148"/>
      <c r="EU123" s="148"/>
      <c r="EV123" s="148"/>
      <c r="EW123" s="148"/>
      <c r="EX123" s="148"/>
      <c r="EY123" s="148"/>
      <c r="EZ123" s="148"/>
      <c r="FA123" s="148"/>
      <c r="FB123" s="148"/>
      <c r="FC123" s="148"/>
      <c r="FD123" s="148"/>
      <c r="FE123" s="148"/>
      <c r="FF123" s="148"/>
      <c r="FG123" s="148"/>
      <c r="FH123" s="148"/>
      <c r="FI123" s="148"/>
      <c r="FJ123" s="148"/>
      <c r="FK123" s="148"/>
      <c r="FL123" s="148"/>
      <c r="FM123" s="148"/>
      <c r="FN123" s="148"/>
      <c r="FO123" s="148"/>
      <c r="FP123" s="148"/>
      <c r="FQ123" s="148"/>
      <c r="FR123" s="148"/>
    </row>
    <row r="124" spans="1:174" s="15" customFormat="1" ht="13.5" customHeight="1" x14ac:dyDescent="0.2">
      <c r="A124" s="148"/>
      <c r="B124" s="307">
        <v>116</v>
      </c>
      <c r="C124" s="307" t="s">
        <v>38</v>
      </c>
      <c r="D124" s="307" t="s">
        <v>1665</v>
      </c>
      <c r="E124" s="321" t="s">
        <v>1666</v>
      </c>
      <c r="F124" s="533" t="s">
        <v>45</v>
      </c>
      <c r="G124" s="533" t="s">
        <v>1411</v>
      </c>
      <c r="H124" s="553" t="s">
        <v>1435</v>
      </c>
      <c r="I124" s="534" t="s">
        <v>42</v>
      </c>
      <c r="J124" s="535">
        <v>837754</v>
      </c>
      <c r="K124" s="535">
        <v>18959</v>
      </c>
      <c r="L124" s="535">
        <v>51289</v>
      </c>
      <c r="M124" s="454">
        <v>37000</v>
      </c>
      <c r="N124" s="454">
        <v>46845</v>
      </c>
      <c r="O124" s="454"/>
      <c r="P124" s="548">
        <v>86623.434999999998</v>
      </c>
      <c r="Q124" s="538"/>
      <c r="R124" s="538">
        <v>45322.044000000002</v>
      </c>
      <c r="S124" s="535">
        <f t="shared" si="3"/>
        <v>215790.47899999999</v>
      </c>
      <c r="T124" s="539">
        <v>413839</v>
      </c>
      <c r="U124" s="540">
        <v>11</v>
      </c>
      <c r="V124" s="542">
        <v>44221</v>
      </c>
      <c r="W124" s="542">
        <v>44246</v>
      </c>
      <c r="X124" s="539">
        <v>119161</v>
      </c>
      <c r="Y124" s="544">
        <v>25</v>
      </c>
      <c r="Z124" s="542">
        <v>44263</v>
      </c>
      <c r="AA124" s="542">
        <v>44292</v>
      </c>
      <c r="AB124" s="539">
        <v>4500</v>
      </c>
      <c r="AC124" s="544">
        <v>62</v>
      </c>
      <c r="AD124" s="545">
        <v>44327</v>
      </c>
      <c r="AE124" s="542">
        <v>44355</v>
      </c>
      <c r="AF124" s="554"/>
      <c r="AG124" s="554"/>
      <c r="AH124" s="554"/>
      <c r="AI124" s="554"/>
      <c r="AJ124" s="554"/>
      <c r="AK124" s="554"/>
      <c r="AL124" s="554"/>
      <c r="AM124" s="554"/>
      <c r="AN124" s="554"/>
      <c r="AO124" s="554"/>
      <c r="AP124" s="554"/>
      <c r="AQ124" s="554"/>
      <c r="AR124" s="22">
        <f t="shared" si="4"/>
        <v>537500</v>
      </c>
      <c r="AS124" s="546">
        <f t="shared" si="5"/>
        <v>321709.52100000001</v>
      </c>
      <c r="AT124" s="148"/>
      <c r="AU124" s="148"/>
      <c r="AV124" s="148"/>
      <c r="AW124" s="148"/>
      <c r="AX124" s="148"/>
      <c r="AY124" s="148"/>
      <c r="AZ124" s="148"/>
      <c r="BA124" s="148"/>
      <c r="BB124" s="148"/>
      <c r="BC124" s="148"/>
      <c r="BD124" s="148"/>
      <c r="BE124" s="148"/>
      <c r="BF124" s="148"/>
      <c r="BG124" s="148"/>
      <c r="BH124" s="148"/>
      <c r="BI124" s="148"/>
      <c r="BJ124" s="148"/>
      <c r="BK124" s="148"/>
      <c r="BL124" s="148"/>
      <c r="BM124" s="148"/>
      <c r="BN124" s="148"/>
      <c r="BO124" s="148"/>
      <c r="BP124" s="148"/>
      <c r="BQ124" s="148"/>
      <c r="BR124" s="148"/>
      <c r="BS124" s="148"/>
      <c r="BT124" s="148"/>
      <c r="BU124" s="148"/>
      <c r="BV124" s="148"/>
      <c r="BW124" s="148"/>
      <c r="BX124" s="148"/>
      <c r="BY124" s="148"/>
      <c r="BZ124" s="148"/>
      <c r="CA124" s="148"/>
      <c r="CB124" s="148"/>
      <c r="CC124" s="148"/>
      <c r="CD124" s="148"/>
      <c r="CE124" s="148"/>
      <c r="CF124" s="148"/>
      <c r="CG124" s="148"/>
      <c r="CH124" s="148"/>
      <c r="CI124" s="148"/>
      <c r="CJ124" s="148"/>
      <c r="CK124" s="148"/>
      <c r="CL124" s="148"/>
      <c r="CM124" s="148"/>
      <c r="CN124" s="148"/>
      <c r="CO124" s="148"/>
      <c r="CP124" s="148"/>
      <c r="CQ124" s="148"/>
      <c r="CR124" s="148"/>
      <c r="CS124" s="148"/>
      <c r="CT124" s="148"/>
      <c r="CU124" s="148"/>
      <c r="CV124" s="148"/>
      <c r="CW124" s="148"/>
      <c r="CX124" s="148"/>
      <c r="CY124" s="148"/>
      <c r="CZ124" s="148"/>
      <c r="DA124" s="148"/>
      <c r="DB124" s="148"/>
      <c r="DC124" s="148"/>
      <c r="DD124" s="148"/>
      <c r="DE124" s="148"/>
      <c r="DF124" s="148"/>
      <c r="DG124" s="148"/>
      <c r="DH124" s="148"/>
      <c r="DI124" s="148"/>
      <c r="DJ124" s="148"/>
      <c r="DK124" s="148"/>
      <c r="DL124" s="148"/>
      <c r="DM124" s="148"/>
      <c r="DN124" s="148"/>
      <c r="DO124" s="148"/>
      <c r="DP124" s="148"/>
      <c r="DQ124" s="148"/>
      <c r="DR124" s="148"/>
      <c r="DS124" s="148"/>
      <c r="DT124" s="148"/>
      <c r="DU124" s="148"/>
      <c r="DV124" s="148"/>
      <c r="DW124" s="148"/>
      <c r="DX124" s="148"/>
      <c r="DY124" s="148"/>
      <c r="DZ124" s="148"/>
      <c r="EA124" s="148"/>
      <c r="EB124" s="148"/>
      <c r="EC124" s="148"/>
      <c r="ED124" s="148"/>
      <c r="EE124" s="148"/>
      <c r="EF124" s="148"/>
      <c r="EG124" s="148"/>
      <c r="EH124" s="148"/>
      <c r="EI124" s="148"/>
      <c r="EJ124" s="148"/>
      <c r="EK124" s="148"/>
      <c r="EL124" s="148"/>
      <c r="EM124" s="148"/>
      <c r="EN124" s="148"/>
      <c r="EO124" s="148"/>
      <c r="EP124" s="148"/>
      <c r="EQ124" s="148"/>
      <c r="ER124" s="148"/>
      <c r="ES124" s="148"/>
      <c r="ET124" s="148"/>
      <c r="EU124" s="148"/>
      <c r="EV124" s="148"/>
      <c r="EW124" s="148"/>
      <c r="EX124" s="148"/>
      <c r="EY124" s="148"/>
      <c r="EZ124" s="148"/>
      <c r="FA124" s="148"/>
      <c r="FB124" s="148"/>
      <c r="FC124" s="148"/>
      <c r="FD124" s="148"/>
      <c r="FE124" s="148"/>
      <c r="FF124" s="148"/>
      <c r="FG124" s="148"/>
      <c r="FH124" s="148"/>
      <c r="FI124" s="148"/>
      <c r="FJ124" s="148"/>
      <c r="FK124" s="148"/>
      <c r="FL124" s="148"/>
      <c r="FM124" s="148"/>
      <c r="FN124" s="148"/>
      <c r="FO124" s="148"/>
      <c r="FP124" s="148"/>
      <c r="FQ124" s="148"/>
      <c r="FR124" s="148"/>
    </row>
    <row r="125" spans="1:174" s="15" customFormat="1" ht="13.5" customHeight="1" x14ac:dyDescent="0.2">
      <c r="A125" s="148"/>
      <c r="B125" s="307">
        <v>117</v>
      </c>
      <c r="C125" s="307" t="s">
        <v>38</v>
      </c>
      <c r="D125" s="307" t="s">
        <v>1667</v>
      </c>
      <c r="E125" s="321" t="s">
        <v>1668</v>
      </c>
      <c r="F125" s="533" t="s">
        <v>45</v>
      </c>
      <c r="G125" s="533" t="s">
        <v>1411</v>
      </c>
      <c r="H125" s="553" t="s">
        <v>1485</v>
      </c>
      <c r="I125" s="534" t="s">
        <v>43</v>
      </c>
      <c r="J125" s="535">
        <v>16667069</v>
      </c>
      <c r="K125" s="535">
        <v>2118000</v>
      </c>
      <c r="L125" s="535">
        <v>14549069</v>
      </c>
      <c r="M125" s="454"/>
      <c r="N125" s="454"/>
      <c r="O125" s="454"/>
      <c r="P125" s="547"/>
      <c r="Q125" s="538"/>
      <c r="R125" s="538"/>
      <c r="S125" s="535">
        <f t="shared" si="3"/>
        <v>0</v>
      </c>
      <c r="T125" s="539">
        <v>365171</v>
      </c>
      <c r="U125" s="540">
        <v>11</v>
      </c>
      <c r="V125" s="542">
        <v>44221</v>
      </c>
      <c r="W125" s="542">
        <v>44246</v>
      </c>
      <c r="X125" s="539">
        <v>200000</v>
      </c>
      <c r="Y125" s="544">
        <v>25</v>
      </c>
      <c r="Z125" s="542">
        <v>44263</v>
      </c>
      <c r="AA125" s="542">
        <v>44292</v>
      </c>
      <c r="AB125" s="539">
        <v>250000</v>
      </c>
      <c r="AC125" s="544">
        <v>55</v>
      </c>
      <c r="AD125" s="545">
        <v>44323</v>
      </c>
      <c r="AE125" s="542">
        <v>44350</v>
      </c>
      <c r="AF125" s="554"/>
      <c r="AG125" s="554"/>
      <c r="AH125" s="554"/>
      <c r="AI125" s="554"/>
      <c r="AJ125" s="554"/>
      <c r="AK125" s="554"/>
      <c r="AL125" s="554"/>
      <c r="AM125" s="554"/>
      <c r="AN125" s="554"/>
      <c r="AO125" s="554"/>
      <c r="AP125" s="554"/>
      <c r="AQ125" s="554"/>
      <c r="AR125" s="22">
        <f t="shared" si="4"/>
        <v>815171</v>
      </c>
      <c r="AS125" s="546">
        <f t="shared" si="5"/>
        <v>815171</v>
      </c>
      <c r="AT125" s="148"/>
      <c r="AU125" s="148"/>
      <c r="AV125" s="148"/>
      <c r="AW125" s="148"/>
      <c r="AX125" s="148"/>
      <c r="AY125" s="148"/>
      <c r="AZ125" s="148"/>
      <c r="BA125" s="148"/>
      <c r="BB125" s="148"/>
      <c r="BC125" s="148"/>
      <c r="BD125" s="148"/>
      <c r="BE125" s="148"/>
      <c r="BF125" s="148"/>
      <c r="BG125" s="148"/>
      <c r="BH125" s="148"/>
      <c r="BI125" s="148"/>
      <c r="BJ125" s="148"/>
      <c r="BK125" s="148"/>
      <c r="BL125" s="148"/>
      <c r="BM125" s="148"/>
      <c r="BN125" s="148"/>
      <c r="BO125" s="148"/>
      <c r="BP125" s="148"/>
      <c r="BQ125" s="148"/>
      <c r="BR125" s="148"/>
      <c r="BS125" s="148"/>
      <c r="BT125" s="148"/>
      <c r="BU125" s="148"/>
      <c r="BV125" s="148"/>
      <c r="BW125" s="148"/>
      <c r="BX125" s="148"/>
      <c r="BY125" s="148"/>
      <c r="BZ125" s="148"/>
      <c r="CA125" s="148"/>
      <c r="CB125" s="148"/>
      <c r="CC125" s="148"/>
      <c r="CD125" s="148"/>
      <c r="CE125" s="148"/>
      <c r="CF125" s="148"/>
      <c r="CG125" s="148"/>
      <c r="CH125" s="148"/>
      <c r="CI125" s="148"/>
      <c r="CJ125" s="148"/>
      <c r="CK125" s="148"/>
      <c r="CL125" s="148"/>
      <c r="CM125" s="148"/>
      <c r="CN125" s="148"/>
      <c r="CO125" s="148"/>
      <c r="CP125" s="148"/>
      <c r="CQ125" s="148"/>
      <c r="CR125" s="148"/>
      <c r="CS125" s="148"/>
      <c r="CT125" s="148"/>
      <c r="CU125" s="148"/>
      <c r="CV125" s="148"/>
      <c r="CW125" s="148"/>
      <c r="CX125" s="148"/>
      <c r="CY125" s="148"/>
      <c r="CZ125" s="148"/>
      <c r="DA125" s="148"/>
      <c r="DB125" s="148"/>
      <c r="DC125" s="148"/>
      <c r="DD125" s="148"/>
      <c r="DE125" s="148"/>
      <c r="DF125" s="148"/>
      <c r="DG125" s="148"/>
      <c r="DH125" s="148"/>
      <c r="DI125" s="148"/>
      <c r="DJ125" s="148"/>
      <c r="DK125" s="148"/>
      <c r="DL125" s="148"/>
      <c r="DM125" s="148"/>
      <c r="DN125" s="148"/>
      <c r="DO125" s="148"/>
      <c r="DP125" s="148"/>
      <c r="DQ125" s="148"/>
      <c r="DR125" s="148"/>
      <c r="DS125" s="148"/>
      <c r="DT125" s="148"/>
      <c r="DU125" s="148"/>
      <c r="DV125" s="148"/>
      <c r="DW125" s="148"/>
      <c r="DX125" s="148"/>
      <c r="DY125" s="148"/>
      <c r="DZ125" s="148"/>
      <c r="EA125" s="148"/>
      <c r="EB125" s="148"/>
      <c r="EC125" s="148"/>
      <c r="ED125" s="148"/>
      <c r="EE125" s="148"/>
      <c r="EF125" s="148"/>
      <c r="EG125" s="148"/>
      <c r="EH125" s="148"/>
      <c r="EI125" s="148"/>
      <c r="EJ125" s="148"/>
      <c r="EK125" s="148"/>
      <c r="EL125" s="148"/>
      <c r="EM125" s="148"/>
      <c r="EN125" s="148"/>
      <c r="EO125" s="148"/>
      <c r="EP125" s="148"/>
      <c r="EQ125" s="148"/>
      <c r="ER125" s="148"/>
      <c r="ES125" s="148"/>
      <c r="ET125" s="148"/>
      <c r="EU125" s="148"/>
      <c r="EV125" s="148"/>
      <c r="EW125" s="148"/>
      <c r="EX125" s="148"/>
      <c r="EY125" s="148"/>
      <c r="EZ125" s="148"/>
      <c r="FA125" s="148"/>
      <c r="FB125" s="148"/>
      <c r="FC125" s="148"/>
      <c r="FD125" s="148"/>
      <c r="FE125" s="148"/>
      <c r="FF125" s="148"/>
      <c r="FG125" s="148"/>
      <c r="FH125" s="148"/>
      <c r="FI125" s="148"/>
      <c r="FJ125" s="148"/>
      <c r="FK125" s="148"/>
      <c r="FL125" s="148"/>
      <c r="FM125" s="148"/>
      <c r="FN125" s="148"/>
      <c r="FO125" s="148"/>
      <c r="FP125" s="148"/>
      <c r="FQ125" s="148"/>
      <c r="FR125" s="148"/>
    </row>
    <row r="126" spans="1:174" s="15" customFormat="1" ht="13.5" customHeight="1" x14ac:dyDescent="0.2">
      <c r="A126" s="148"/>
      <c r="B126" s="307">
        <v>118</v>
      </c>
      <c r="C126" s="307" t="s">
        <v>38</v>
      </c>
      <c r="D126" s="307" t="s">
        <v>1669</v>
      </c>
      <c r="E126" s="321" t="s">
        <v>1670</v>
      </c>
      <c r="F126" s="533" t="s">
        <v>45</v>
      </c>
      <c r="G126" s="533" t="s">
        <v>1411</v>
      </c>
      <c r="H126" s="553" t="s">
        <v>1443</v>
      </c>
      <c r="I126" s="534" t="s">
        <v>42</v>
      </c>
      <c r="J126" s="535">
        <v>518233</v>
      </c>
      <c r="K126" s="535">
        <v>416883</v>
      </c>
      <c r="L126" s="535">
        <v>0</v>
      </c>
      <c r="M126" s="454"/>
      <c r="N126" s="454"/>
      <c r="O126" s="454"/>
      <c r="P126" s="547"/>
      <c r="Q126" s="538">
        <v>40925.311999999998</v>
      </c>
      <c r="R126" s="538"/>
      <c r="S126" s="535">
        <f t="shared" si="3"/>
        <v>40925.311999999998</v>
      </c>
      <c r="T126" s="539">
        <v>30000</v>
      </c>
      <c r="U126" s="540">
        <v>11</v>
      </c>
      <c r="V126" s="542">
        <v>44221</v>
      </c>
      <c r="W126" s="542">
        <v>44246</v>
      </c>
      <c r="X126" s="539">
        <v>20000</v>
      </c>
      <c r="Y126" s="544">
        <v>25</v>
      </c>
      <c r="Z126" s="542">
        <v>44263</v>
      </c>
      <c r="AA126" s="542">
        <v>44292</v>
      </c>
      <c r="AB126" s="539">
        <v>40000</v>
      </c>
      <c r="AC126" s="544">
        <v>46</v>
      </c>
      <c r="AD126" s="545">
        <v>44295</v>
      </c>
      <c r="AE126" s="542">
        <v>44327</v>
      </c>
      <c r="AF126" s="554"/>
      <c r="AG126" s="554"/>
      <c r="AH126" s="554"/>
      <c r="AI126" s="554"/>
      <c r="AJ126" s="554"/>
      <c r="AK126" s="554"/>
      <c r="AL126" s="554"/>
      <c r="AM126" s="554"/>
      <c r="AN126" s="554"/>
      <c r="AO126" s="554"/>
      <c r="AP126" s="554"/>
      <c r="AQ126" s="554"/>
      <c r="AR126" s="22">
        <f t="shared" si="4"/>
        <v>90000</v>
      </c>
      <c r="AS126" s="546">
        <f t="shared" si="5"/>
        <v>49074.688000000002</v>
      </c>
      <c r="AT126" s="148"/>
      <c r="AU126" s="148"/>
      <c r="AV126" s="148"/>
      <c r="AW126" s="148"/>
      <c r="AX126" s="148"/>
      <c r="AY126" s="148"/>
      <c r="AZ126" s="148"/>
      <c r="BA126" s="148"/>
      <c r="BB126" s="148"/>
      <c r="BC126" s="148"/>
      <c r="BD126" s="148"/>
      <c r="BE126" s="148"/>
      <c r="BF126" s="148"/>
      <c r="BG126" s="148"/>
      <c r="BH126" s="148"/>
      <c r="BI126" s="148"/>
      <c r="BJ126" s="148"/>
      <c r="BK126" s="148"/>
      <c r="BL126" s="148"/>
      <c r="BM126" s="148"/>
      <c r="BN126" s="148"/>
      <c r="BO126" s="148"/>
      <c r="BP126" s="148"/>
      <c r="BQ126" s="148"/>
      <c r="BR126" s="148"/>
      <c r="BS126" s="148"/>
      <c r="BT126" s="148"/>
      <c r="BU126" s="148"/>
      <c r="BV126" s="148"/>
      <c r="BW126" s="148"/>
      <c r="BX126" s="148"/>
      <c r="BY126" s="148"/>
      <c r="BZ126" s="148"/>
      <c r="CA126" s="148"/>
      <c r="CB126" s="148"/>
      <c r="CC126" s="148"/>
      <c r="CD126" s="148"/>
      <c r="CE126" s="148"/>
      <c r="CF126" s="148"/>
      <c r="CG126" s="148"/>
      <c r="CH126" s="148"/>
      <c r="CI126" s="148"/>
      <c r="CJ126" s="148"/>
      <c r="CK126" s="148"/>
      <c r="CL126" s="148"/>
      <c r="CM126" s="148"/>
      <c r="CN126" s="148"/>
      <c r="CO126" s="148"/>
      <c r="CP126" s="148"/>
      <c r="CQ126" s="148"/>
      <c r="CR126" s="148"/>
      <c r="CS126" s="148"/>
      <c r="CT126" s="148"/>
      <c r="CU126" s="148"/>
      <c r="CV126" s="148"/>
      <c r="CW126" s="148"/>
      <c r="CX126" s="148"/>
      <c r="CY126" s="148"/>
      <c r="CZ126" s="148"/>
      <c r="DA126" s="148"/>
      <c r="DB126" s="148"/>
      <c r="DC126" s="148"/>
      <c r="DD126" s="148"/>
      <c r="DE126" s="148"/>
      <c r="DF126" s="148"/>
      <c r="DG126" s="148"/>
      <c r="DH126" s="148"/>
      <c r="DI126" s="148"/>
      <c r="DJ126" s="148"/>
      <c r="DK126" s="148"/>
      <c r="DL126" s="148"/>
      <c r="DM126" s="148"/>
      <c r="DN126" s="148"/>
      <c r="DO126" s="148"/>
      <c r="DP126" s="148"/>
      <c r="DQ126" s="148"/>
      <c r="DR126" s="148"/>
      <c r="DS126" s="148"/>
      <c r="DT126" s="148"/>
      <c r="DU126" s="148"/>
      <c r="DV126" s="148"/>
      <c r="DW126" s="148"/>
      <c r="DX126" s="148"/>
      <c r="DY126" s="148"/>
      <c r="DZ126" s="148"/>
      <c r="EA126" s="148"/>
      <c r="EB126" s="148"/>
      <c r="EC126" s="148"/>
      <c r="ED126" s="148"/>
      <c r="EE126" s="148"/>
      <c r="EF126" s="148"/>
      <c r="EG126" s="148"/>
      <c r="EH126" s="148"/>
      <c r="EI126" s="148"/>
      <c r="EJ126" s="148"/>
      <c r="EK126" s="148"/>
      <c r="EL126" s="148"/>
      <c r="EM126" s="148"/>
      <c r="EN126" s="148"/>
      <c r="EO126" s="148"/>
      <c r="EP126" s="148"/>
      <c r="EQ126" s="148"/>
      <c r="ER126" s="148"/>
      <c r="ES126" s="148"/>
      <c r="ET126" s="148"/>
      <c r="EU126" s="148"/>
      <c r="EV126" s="148"/>
      <c r="EW126" s="148"/>
      <c r="EX126" s="148"/>
      <c r="EY126" s="148"/>
      <c r="EZ126" s="148"/>
      <c r="FA126" s="148"/>
      <c r="FB126" s="148"/>
      <c r="FC126" s="148"/>
      <c r="FD126" s="148"/>
      <c r="FE126" s="148"/>
      <c r="FF126" s="148"/>
      <c r="FG126" s="148"/>
      <c r="FH126" s="148"/>
      <c r="FI126" s="148"/>
      <c r="FJ126" s="148"/>
      <c r="FK126" s="148"/>
      <c r="FL126" s="148"/>
      <c r="FM126" s="148"/>
      <c r="FN126" s="148"/>
      <c r="FO126" s="148"/>
      <c r="FP126" s="148"/>
      <c r="FQ126" s="148"/>
      <c r="FR126" s="148"/>
    </row>
    <row r="127" spans="1:174" s="15" customFormat="1" ht="13.5" customHeight="1" x14ac:dyDescent="0.2">
      <c r="A127" s="148"/>
      <c r="B127" s="307">
        <v>119</v>
      </c>
      <c r="C127" s="307" t="s">
        <v>38</v>
      </c>
      <c r="D127" s="307" t="s">
        <v>1671</v>
      </c>
      <c r="E127" s="321" t="s">
        <v>1672</v>
      </c>
      <c r="F127" s="533" t="s">
        <v>46</v>
      </c>
      <c r="G127" s="533" t="s">
        <v>1411</v>
      </c>
      <c r="H127" s="553" t="s">
        <v>1443</v>
      </c>
      <c r="I127" s="534" t="s">
        <v>42</v>
      </c>
      <c r="J127" s="535">
        <v>56679</v>
      </c>
      <c r="K127" s="535">
        <v>31288</v>
      </c>
      <c r="L127" s="535">
        <v>0</v>
      </c>
      <c r="M127" s="454"/>
      <c r="N127" s="454"/>
      <c r="O127" s="454"/>
      <c r="P127" s="548">
        <v>1399.279</v>
      </c>
      <c r="Q127" s="538">
        <v>20400</v>
      </c>
      <c r="R127" s="538"/>
      <c r="S127" s="535">
        <f t="shared" si="3"/>
        <v>21799.278999999999</v>
      </c>
      <c r="T127" s="539">
        <v>1387</v>
      </c>
      <c r="U127" s="540">
        <v>11</v>
      </c>
      <c r="V127" s="542">
        <v>44221</v>
      </c>
      <c r="W127" s="542">
        <v>44246</v>
      </c>
      <c r="X127" s="539">
        <v>20413</v>
      </c>
      <c r="Y127" s="544">
        <v>25</v>
      </c>
      <c r="Z127" s="542">
        <v>44263</v>
      </c>
      <c r="AA127" s="542">
        <v>44292</v>
      </c>
      <c r="AB127" s="539"/>
      <c r="AC127" s="544"/>
      <c r="AD127" s="540"/>
      <c r="AE127" s="542"/>
      <c r="AF127" s="554"/>
      <c r="AG127" s="554"/>
      <c r="AH127" s="554"/>
      <c r="AI127" s="554"/>
      <c r="AJ127" s="554"/>
      <c r="AK127" s="554"/>
      <c r="AL127" s="554"/>
      <c r="AM127" s="554"/>
      <c r="AN127" s="554"/>
      <c r="AO127" s="554"/>
      <c r="AP127" s="554"/>
      <c r="AQ127" s="554"/>
      <c r="AR127" s="22">
        <f t="shared" si="4"/>
        <v>21800</v>
      </c>
      <c r="AS127" s="546">
        <f t="shared" si="5"/>
        <v>0.72100000000136788</v>
      </c>
      <c r="AT127" s="148"/>
      <c r="AU127" s="148"/>
      <c r="AV127" s="148"/>
      <c r="AW127" s="148"/>
      <c r="AX127" s="148"/>
      <c r="AY127" s="148"/>
      <c r="AZ127" s="148"/>
      <c r="BA127" s="148"/>
      <c r="BB127" s="148"/>
      <c r="BC127" s="148"/>
      <c r="BD127" s="148"/>
      <c r="BE127" s="148"/>
      <c r="BF127" s="148"/>
      <c r="BG127" s="148"/>
      <c r="BH127" s="148"/>
      <c r="BI127" s="148"/>
      <c r="BJ127" s="148"/>
      <c r="BK127" s="148"/>
      <c r="BL127" s="148"/>
      <c r="BM127" s="148"/>
      <c r="BN127" s="148"/>
      <c r="BO127" s="148"/>
      <c r="BP127" s="148"/>
      <c r="BQ127" s="148"/>
      <c r="BR127" s="148"/>
      <c r="BS127" s="148"/>
      <c r="BT127" s="148"/>
      <c r="BU127" s="148"/>
      <c r="BV127" s="148"/>
      <c r="BW127" s="148"/>
      <c r="BX127" s="148"/>
      <c r="BY127" s="148"/>
      <c r="BZ127" s="148"/>
      <c r="CA127" s="148"/>
      <c r="CB127" s="148"/>
      <c r="CC127" s="148"/>
      <c r="CD127" s="148"/>
      <c r="CE127" s="148"/>
      <c r="CF127" s="148"/>
      <c r="CG127" s="148"/>
      <c r="CH127" s="148"/>
      <c r="CI127" s="148"/>
      <c r="CJ127" s="148"/>
      <c r="CK127" s="148"/>
      <c r="CL127" s="148"/>
      <c r="CM127" s="148"/>
      <c r="CN127" s="148"/>
      <c r="CO127" s="148"/>
      <c r="CP127" s="148"/>
      <c r="CQ127" s="148"/>
      <c r="CR127" s="148"/>
      <c r="CS127" s="148"/>
      <c r="CT127" s="148"/>
      <c r="CU127" s="148"/>
      <c r="CV127" s="148"/>
      <c r="CW127" s="148"/>
      <c r="CX127" s="148"/>
      <c r="CY127" s="148"/>
      <c r="CZ127" s="148"/>
      <c r="DA127" s="148"/>
      <c r="DB127" s="148"/>
      <c r="DC127" s="148"/>
      <c r="DD127" s="148"/>
      <c r="DE127" s="148"/>
      <c r="DF127" s="148"/>
      <c r="DG127" s="148"/>
      <c r="DH127" s="148"/>
      <c r="DI127" s="148"/>
      <c r="DJ127" s="148"/>
      <c r="DK127" s="148"/>
      <c r="DL127" s="148"/>
      <c r="DM127" s="148"/>
      <c r="DN127" s="148"/>
      <c r="DO127" s="148"/>
      <c r="DP127" s="148"/>
      <c r="DQ127" s="148"/>
      <c r="DR127" s="148"/>
      <c r="DS127" s="148"/>
      <c r="DT127" s="148"/>
      <c r="DU127" s="148"/>
      <c r="DV127" s="148"/>
      <c r="DW127" s="148"/>
      <c r="DX127" s="148"/>
      <c r="DY127" s="148"/>
      <c r="DZ127" s="148"/>
      <c r="EA127" s="148"/>
      <c r="EB127" s="148"/>
      <c r="EC127" s="148"/>
      <c r="ED127" s="148"/>
      <c r="EE127" s="148"/>
      <c r="EF127" s="148"/>
      <c r="EG127" s="148"/>
      <c r="EH127" s="148"/>
      <c r="EI127" s="148"/>
      <c r="EJ127" s="148"/>
      <c r="EK127" s="148"/>
      <c r="EL127" s="148"/>
      <c r="EM127" s="148"/>
      <c r="EN127" s="148"/>
      <c r="EO127" s="148"/>
      <c r="EP127" s="148"/>
      <c r="EQ127" s="148"/>
      <c r="ER127" s="148"/>
      <c r="ES127" s="148"/>
      <c r="ET127" s="148"/>
      <c r="EU127" s="148"/>
      <c r="EV127" s="148"/>
      <c r="EW127" s="148"/>
      <c r="EX127" s="148"/>
      <c r="EY127" s="148"/>
      <c r="EZ127" s="148"/>
      <c r="FA127" s="148"/>
      <c r="FB127" s="148"/>
      <c r="FC127" s="148"/>
      <c r="FD127" s="148"/>
      <c r="FE127" s="148"/>
      <c r="FF127" s="148"/>
      <c r="FG127" s="148"/>
      <c r="FH127" s="148"/>
      <c r="FI127" s="148"/>
      <c r="FJ127" s="148"/>
      <c r="FK127" s="148"/>
      <c r="FL127" s="148"/>
      <c r="FM127" s="148"/>
      <c r="FN127" s="148"/>
      <c r="FO127" s="148"/>
      <c r="FP127" s="148"/>
      <c r="FQ127" s="148"/>
      <c r="FR127" s="148"/>
    </row>
    <row r="128" spans="1:174" s="15" customFormat="1" ht="13.5" customHeight="1" x14ac:dyDescent="0.2">
      <c r="A128" s="148"/>
      <c r="B128" s="307">
        <v>120</v>
      </c>
      <c r="C128" s="307" t="s">
        <v>38</v>
      </c>
      <c r="D128" s="307" t="s">
        <v>1673</v>
      </c>
      <c r="E128" s="321" t="s">
        <v>1674</v>
      </c>
      <c r="F128" s="533" t="s">
        <v>45</v>
      </c>
      <c r="G128" s="533" t="s">
        <v>1411</v>
      </c>
      <c r="H128" s="553" t="s">
        <v>1443</v>
      </c>
      <c r="I128" s="534" t="s">
        <v>42</v>
      </c>
      <c r="J128" s="535">
        <v>61220</v>
      </c>
      <c r="K128" s="535">
        <v>36368</v>
      </c>
      <c r="L128" s="535">
        <v>0</v>
      </c>
      <c r="M128" s="454"/>
      <c r="N128" s="454"/>
      <c r="O128" s="454"/>
      <c r="P128" s="548">
        <v>745.68200000000002</v>
      </c>
      <c r="Q128" s="538"/>
      <c r="R128" s="538"/>
      <c r="S128" s="535">
        <f t="shared" si="3"/>
        <v>745.68200000000002</v>
      </c>
      <c r="T128" s="539">
        <v>740</v>
      </c>
      <c r="U128" s="540">
        <v>11</v>
      </c>
      <c r="V128" s="542">
        <v>44221</v>
      </c>
      <c r="W128" s="542">
        <v>44246</v>
      </c>
      <c r="X128" s="539">
        <v>6</v>
      </c>
      <c r="Y128" s="544">
        <v>33</v>
      </c>
      <c r="Z128" s="542">
        <v>44266</v>
      </c>
      <c r="AA128" s="542">
        <v>44298</v>
      </c>
      <c r="AB128" s="539">
        <v>23712</v>
      </c>
      <c r="AC128" s="544">
        <v>46</v>
      </c>
      <c r="AD128" s="545">
        <v>44295</v>
      </c>
      <c r="AE128" s="542">
        <v>44327</v>
      </c>
      <c r="AF128" s="554"/>
      <c r="AG128" s="554"/>
      <c r="AH128" s="554"/>
      <c r="AI128" s="554"/>
      <c r="AJ128" s="554"/>
      <c r="AK128" s="554"/>
      <c r="AL128" s="554"/>
      <c r="AM128" s="554"/>
      <c r="AN128" s="554"/>
      <c r="AO128" s="554"/>
      <c r="AP128" s="554"/>
      <c r="AQ128" s="554"/>
      <c r="AR128" s="22">
        <f t="shared" si="4"/>
        <v>24458</v>
      </c>
      <c r="AS128" s="546">
        <f t="shared" si="5"/>
        <v>23712.317999999999</v>
      </c>
      <c r="AT128" s="148"/>
      <c r="AU128" s="148"/>
      <c r="AV128" s="148"/>
      <c r="AW128" s="148"/>
      <c r="AX128" s="148"/>
      <c r="AY128" s="148"/>
      <c r="AZ128" s="148"/>
      <c r="BA128" s="148"/>
      <c r="BB128" s="148"/>
      <c r="BC128" s="148"/>
      <c r="BD128" s="148"/>
      <c r="BE128" s="148"/>
      <c r="BF128" s="148"/>
      <c r="BG128" s="148"/>
      <c r="BH128" s="148"/>
      <c r="BI128" s="148"/>
      <c r="BJ128" s="148"/>
      <c r="BK128" s="148"/>
      <c r="BL128" s="148"/>
      <c r="BM128" s="148"/>
      <c r="BN128" s="148"/>
      <c r="BO128" s="148"/>
      <c r="BP128" s="148"/>
      <c r="BQ128" s="148"/>
      <c r="BR128" s="148"/>
      <c r="BS128" s="148"/>
      <c r="BT128" s="148"/>
      <c r="BU128" s="148"/>
      <c r="BV128" s="148"/>
      <c r="BW128" s="148"/>
      <c r="BX128" s="148"/>
      <c r="BY128" s="148"/>
      <c r="BZ128" s="148"/>
      <c r="CA128" s="148"/>
      <c r="CB128" s="148"/>
      <c r="CC128" s="148"/>
      <c r="CD128" s="148"/>
      <c r="CE128" s="148"/>
      <c r="CF128" s="148"/>
      <c r="CG128" s="148"/>
      <c r="CH128" s="148"/>
      <c r="CI128" s="148"/>
      <c r="CJ128" s="148"/>
      <c r="CK128" s="148"/>
      <c r="CL128" s="148"/>
      <c r="CM128" s="148"/>
      <c r="CN128" s="148"/>
      <c r="CO128" s="148"/>
      <c r="CP128" s="148"/>
      <c r="CQ128" s="148"/>
      <c r="CR128" s="148"/>
      <c r="CS128" s="148"/>
      <c r="CT128" s="148"/>
      <c r="CU128" s="148"/>
      <c r="CV128" s="148"/>
      <c r="CW128" s="148"/>
      <c r="CX128" s="148"/>
      <c r="CY128" s="148"/>
      <c r="CZ128" s="148"/>
      <c r="DA128" s="148"/>
      <c r="DB128" s="148"/>
      <c r="DC128" s="148"/>
      <c r="DD128" s="148"/>
      <c r="DE128" s="148"/>
      <c r="DF128" s="148"/>
      <c r="DG128" s="148"/>
      <c r="DH128" s="148"/>
      <c r="DI128" s="148"/>
      <c r="DJ128" s="148"/>
      <c r="DK128" s="148"/>
      <c r="DL128" s="148"/>
      <c r="DM128" s="148"/>
      <c r="DN128" s="148"/>
      <c r="DO128" s="148"/>
      <c r="DP128" s="148"/>
      <c r="DQ128" s="148"/>
      <c r="DR128" s="148"/>
      <c r="DS128" s="148"/>
      <c r="DT128" s="148"/>
      <c r="DU128" s="148"/>
      <c r="DV128" s="148"/>
      <c r="DW128" s="148"/>
      <c r="DX128" s="148"/>
      <c r="DY128" s="148"/>
      <c r="DZ128" s="148"/>
      <c r="EA128" s="148"/>
      <c r="EB128" s="148"/>
      <c r="EC128" s="148"/>
      <c r="ED128" s="148"/>
      <c r="EE128" s="148"/>
      <c r="EF128" s="148"/>
      <c r="EG128" s="148"/>
      <c r="EH128" s="148"/>
      <c r="EI128" s="148"/>
      <c r="EJ128" s="148"/>
      <c r="EK128" s="148"/>
      <c r="EL128" s="148"/>
      <c r="EM128" s="148"/>
      <c r="EN128" s="148"/>
      <c r="EO128" s="148"/>
      <c r="EP128" s="148"/>
      <c r="EQ128" s="148"/>
      <c r="ER128" s="148"/>
      <c r="ES128" s="148"/>
      <c r="ET128" s="148"/>
      <c r="EU128" s="148"/>
      <c r="EV128" s="148"/>
      <c r="EW128" s="148"/>
      <c r="EX128" s="148"/>
      <c r="EY128" s="148"/>
      <c r="EZ128" s="148"/>
      <c r="FA128" s="148"/>
      <c r="FB128" s="148"/>
      <c r="FC128" s="148"/>
      <c r="FD128" s="148"/>
      <c r="FE128" s="148"/>
      <c r="FF128" s="148"/>
      <c r="FG128" s="148"/>
      <c r="FH128" s="148"/>
      <c r="FI128" s="148"/>
      <c r="FJ128" s="148"/>
      <c r="FK128" s="148"/>
      <c r="FL128" s="148"/>
      <c r="FM128" s="148"/>
      <c r="FN128" s="148"/>
      <c r="FO128" s="148"/>
      <c r="FP128" s="148"/>
      <c r="FQ128" s="148"/>
      <c r="FR128" s="148"/>
    </row>
    <row r="129" spans="1:174" s="15" customFormat="1" ht="13.5" customHeight="1" x14ac:dyDescent="0.2">
      <c r="A129" s="148"/>
      <c r="B129" s="307">
        <v>122</v>
      </c>
      <c r="C129" s="307" t="s">
        <v>38</v>
      </c>
      <c r="D129" s="307" t="s">
        <v>1675</v>
      </c>
      <c r="E129" s="321" t="s">
        <v>1676</v>
      </c>
      <c r="F129" s="533" t="s">
        <v>45</v>
      </c>
      <c r="G129" s="533" t="s">
        <v>1411</v>
      </c>
      <c r="H129" s="553" t="s">
        <v>1457</v>
      </c>
      <c r="I129" s="534" t="s">
        <v>43</v>
      </c>
      <c r="J129" s="535">
        <v>1019076</v>
      </c>
      <c r="K129" s="535">
        <v>0</v>
      </c>
      <c r="L129" s="535">
        <v>962839</v>
      </c>
      <c r="M129" s="454"/>
      <c r="N129" s="454"/>
      <c r="O129" s="454"/>
      <c r="P129" s="547"/>
      <c r="Q129" s="538"/>
      <c r="R129" s="538"/>
      <c r="S129" s="535">
        <f t="shared" si="3"/>
        <v>0</v>
      </c>
      <c r="T129" s="539">
        <v>2</v>
      </c>
      <c r="U129" s="540">
        <v>11</v>
      </c>
      <c r="V129" s="542">
        <v>44221</v>
      </c>
      <c r="W129" s="542">
        <v>44246</v>
      </c>
      <c r="X129" s="539"/>
      <c r="Y129" s="544"/>
      <c r="Z129" s="542"/>
      <c r="AA129" s="542"/>
      <c r="AB129" s="539"/>
      <c r="AC129" s="544"/>
      <c r="AD129" s="540"/>
      <c r="AE129" s="542"/>
      <c r="AF129" s="554"/>
      <c r="AG129" s="554"/>
      <c r="AH129" s="554"/>
      <c r="AI129" s="554"/>
      <c r="AJ129" s="554"/>
      <c r="AK129" s="554"/>
      <c r="AL129" s="554"/>
      <c r="AM129" s="554"/>
      <c r="AN129" s="554"/>
      <c r="AO129" s="554"/>
      <c r="AP129" s="554"/>
      <c r="AQ129" s="554"/>
      <c r="AR129" s="22">
        <f t="shared" si="4"/>
        <v>2</v>
      </c>
      <c r="AS129" s="546">
        <f t="shared" si="5"/>
        <v>2</v>
      </c>
      <c r="AT129" s="148"/>
      <c r="AU129" s="148"/>
      <c r="AV129" s="148"/>
      <c r="AW129" s="148"/>
      <c r="AX129" s="148"/>
      <c r="AY129" s="148"/>
      <c r="AZ129" s="148"/>
      <c r="BA129" s="148"/>
      <c r="BB129" s="148"/>
      <c r="BC129" s="148"/>
      <c r="BD129" s="148"/>
      <c r="BE129" s="148"/>
      <c r="BF129" s="148"/>
      <c r="BG129" s="148"/>
      <c r="BH129" s="148"/>
      <c r="BI129" s="148"/>
      <c r="BJ129" s="148"/>
      <c r="BK129" s="148"/>
      <c r="BL129" s="148"/>
      <c r="BM129" s="148"/>
      <c r="BN129" s="148"/>
      <c r="BO129" s="148"/>
      <c r="BP129" s="148"/>
      <c r="BQ129" s="148"/>
      <c r="BR129" s="148"/>
      <c r="BS129" s="148"/>
      <c r="BT129" s="148"/>
      <c r="BU129" s="148"/>
      <c r="BV129" s="148"/>
      <c r="BW129" s="148"/>
      <c r="BX129" s="148"/>
      <c r="BY129" s="148"/>
      <c r="BZ129" s="148"/>
      <c r="CA129" s="148"/>
      <c r="CB129" s="148"/>
      <c r="CC129" s="148"/>
      <c r="CD129" s="148"/>
      <c r="CE129" s="148"/>
      <c r="CF129" s="148"/>
      <c r="CG129" s="148"/>
      <c r="CH129" s="148"/>
      <c r="CI129" s="148"/>
      <c r="CJ129" s="148"/>
      <c r="CK129" s="148"/>
      <c r="CL129" s="148"/>
      <c r="CM129" s="148"/>
      <c r="CN129" s="148"/>
      <c r="CO129" s="148"/>
      <c r="CP129" s="148"/>
      <c r="CQ129" s="148"/>
      <c r="CR129" s="148"/>
      <c r="CS129" s="148"/>
      <c r="CT129" s="148"/>
      <c r="CU129" s="148"/>
      <c r="CV129" s="148"/>
      <c r="CW129" s="148"/>
      <c r="CX129" s="148"/>
      <c r="CY129" s="148"/>
      <c r="CZ129" s="148"/>
      <c r="DA129" s="148"/>
      <c r="DB129" s="148"/>
      <c r="DC129" s="148"/>
      <c r="DD129" s="148"/>
      <c r="DE129" s="148"/>
      <c r="DF129" s="148"/>
      <c r="DG129" s="148"/>
      <c r="DH129" s="148"/>
      <c r="DI129" s="148"/>
      <c r="DJ129" s="148"/>
      <c r="DK129" s="148"/>
      <c r="DL129" s="148"/>
      <c r="DM129" s="148"/>
      <c r="DN129" s="148"/>
      <c r="DO129" s="148"/>
      <c r="DP129" s="148"/>
      <c r="DQ129" s="148"/>
      <c r="DR129" s="148"/>
      <c r="DS129" s="148"/>
      <c r="DT129" s="148"/>
      <c r="DU129" s="148"/>
      <c r="DV129" s="148"/>
      <c r="DW129" s="148"/>
      <c r="DX129" s="148"/>
      <c r="DY129" s="148"/>
      <c r="DZ129" s="148"/>
      <c r="EA129" s="148"/>
      <c r="EB129" s="148"/>
      <c r="EC129" s="148"/>
      <c r="ED129" s="148"/>
      <c r="EE129" s="148"/>
      <c r="EF129" s="148"/>
      <c r="EG129" s="148"/>
      <c r="EH129" s="148"/>
      <c r="EI129" s="148"/>
      <c r="EJ129" s="148"/>
      <c r="EK129" s="148"/>
      <c r="EL129" s="148"/>
      <c r="EM129" s="148"/>
      <c r="EN129" s="148"/>
      <c r="EO129" s="148"/>
      <c r="EP129" s="148"/>
      <c r="EQ129" s="148"/>
      <c r="ER129" s="148"/>
      <c r="ES129" s="148"/>
      <c r="ET129" s="148"/>
      <c r="EU129" s="148"/>
      <c r="EV129" s="148"/>
      <c r="EW129" s="148"/>
      <c r="EX129" s="148"/>
      <c r="EY129" s="148"/>
      <c r="EZ129" s="148"/>
      <c r="FA129" s="148"/>
      <c r="FB129" s="148"/>
      <c r="FC129" s="148"/>
      <c r="FD129" s="148"/>
      <c r="FE129" s="148"/>
      <c r="FF129" s="148"/>
      <c r="FG129" s="148"/>
      <c r="FH129" s="148"/>
      <c r="FI129" s="148"/>
      <c r="FJ129" s="148"/>
      <c r="FK129" s="148"/>
      <c r="FL129" s="148"/>
      <c r="FM129" s="148"/>
      <c r="FN129" s="148"/>
      <c r="FO129" s="148"/>
      <c r="FP129" s="148"/>
      <c r="FQ129" s="148"/>
      <c r="FR129" s="148"/>
    </row>
    <row r="130" spans="1:174" s="15" customFormat="1" ht="13.5" customHeight="1" x14ac:dyDescent="0.2">
      <c r="A130" s="148"/>
      <c r="B130" s="307">
        <v>125</v>
      </c>
      <c r="C130" s="307" t="s">
        <v>38</v>
      </c>
      <c r="D130" s="307" t="s">
        <v>1677</v>
      </c>
      <c r="E130" s="321" t="s">
        <v>1678</v>
      </c>
      <c r="F130" s="533" t="s">
        <v>45</v>
      </c>
      <c r="G130" s="533" t="s">
        <v>1411</v>
      </c>
      <c r="H130" s="553" t="s">
        <v>1432</v>
      </c>
      <c r="I130" s="534" t="s">
        <v>42</v>
      </c>
      <c r="J130" s="535">
        <v>3981273</v>
      </c>
      <c r="K130" s="535">
        <v>224705</v>
      </c>
      <c r="L130" s="535">
        <v>1010000</v>
      </c>
      <c r="M130" s="454"/>
      <c r="N130" s="454">
        <v>483379</v>
      </c>
      <c r="O130" s="454">
        <f>9234+662063</f>
        <v>671297</v>
      </c>
      <c r="P130" s="547"/>
      <c r="Q130" s="538">
        <f>5110430/1000+255167</f>
        <v>260277.43</v>
      </c>
      <c r="R130" s="538">
        <v>513367.15700000001</v>
      </c>
      <c r="S130" s="535">
        <f t="shared" si="3"/>
        <v>1928320.5869999998</v>
      </c>
      <c r="T130" s="539">
        <v>812000</v>
      </c>
      <c r="U130" s="540">
        <v>13</v>
      </c>
      <c r="V130" s="542">
        <v>44221</v>
      </c>
      <c r="W130" s="542">
        <v>44249</v>
      </c>
      <c r="X130" s="539">
        <v>1018000</v>
      </c>
      <c r="Y130" s="544">
        <v>22</v>
      </c>
      <c r="Z130" s="545">
        <v>44256</v>
      </c>
      <c r="AA130" s="542">
        <v>44277</v>
      </c>
      <c r="AB130" s="539">
        <v>645442</v>
      </c>
      <c r="AC130" s="544">
        <v>46</v>
      </c>
      <c r="AD130" s="545">
        <v>44295</v>
      </c>
      <c r="AE130" s="542">
        <v>44327</v>
      </c>
      <c r="AF130" s="554"/>
      <c r="AG130" s="554"/>
      <c r="AH130" s="554"/>
      <c r="AI130" s="554"/>
      <c r="AJ130" s="554"/>
      <c r="AK130" s="554"/>
      <c r="AL130" s="554"/>
      <c r="AM130" s="554"/>
      <c r="AN130" s="554"/>
      <c r="AO130" s="554"/>
      <c r="AP130" s="554"/>
      <c r="AQ130" s="554"/>
      <c r="AR130" s="22">
        <f t="shared" si="4"/>
        <v>2475442</v>
      </c>
      <c r="AS130" s="546">
        <f>+AR130-S130</f>
        <v>547121.41300000018</v>
      </c>
      <c r="AT130" s="148"/>
      <c r="AU130" s="148"/>
      <c r="AV130" s="148"/>
      <c r="AW130" s="148"/>
      <c r="AX130" s="148"/>
      <c r="AY130" s="148"/>
      <c r="AZ130" s="148"/>
      <c r="BA130" s="148"/>
      <c r="BB130" s="148"/>
      <c r="BC130" s="148"/>
      <c r="BD130" s="148"/>
      <c r="BE130" s="148"/>
      <c r="BF130" s="148"/>
      <c r="BG130" s="148"/>
      <c r="BH130" s="148"/>
      <c r="BI130" s="148"/>
      <c r="BJ130" s="148"/>
      <c r="BK130" s="148"/>
      <c r="BL130" s="148"/>
      <c r="BM130" s="148"/>
      <c r="BN130" s="148"/>
      <c r="BO130" s="148"/>
      <c r="BP130" s="148"/>
      <c r="BQ130" s="148"/>
      <c r="BR130" s="148"/>
      <c r="BS130" s="148"/>
      <c r="BT130" s="148"/>
      <c r="BU130" s="148"/>
      <c r="BV130" s="148"/>
      <c r="BW130" s="148"/>
      <c r="BX130" s="148"/>
      <c r="BY130" s="148"/>
      <c r="BZ130" s="148"/>
      <c r="CA130" s="148"/>
      <c r="CB130" s="148"/>
      <c r="CC130" s="148"/>
      <c r="CD130" s="148"/>
      <c r="CE130" s="148"/>
      <c r="CF130" s="148"/>
      <c r="CG130" s="148"/>
      <c r="CH130" s="148"/>
      <c r="CI130" s="148"/>
      <c r="CJ130" s="148"/>
      <c r="CK130" s="148"/>
      <c r="CL130" s="148"/>
      <c r="CM130" s="148"/>
      <c r="CN130" s="148"/>
      <c r="CO130" s="148"/>
      <c r="CP130" s="148"/>
      <c r="CQ130" s="148"/>
      <c r="CR130" s="148"/>
      <c r="CS130" s="148"/>
      <c r="CT130" s="148"/>
      <c r="CU130" s="148"/>
      <c r="CV130" s="148"/>
      <c r="CW130" s="148"/>
      <c r="CX130" s="148"/>
      <c r="CY130" s="148"/>
      <c r="CZ130" s="148"/>
      <c r="DA130" s="148"/>
      <c r="DB130" s="148"/>
      <c r="DC130" s="148"/>
      <c r="DD130" s="148"/>
      <c r="DE130" s="148"/>
      <c r="DF130" s="148"/>
      <c r="DG130" s="148"/>
      <c r="DH130" s="148"/>
      <c r="DI130" s="148"/>
      <c r="DJ130" s="148"/>
      <c r="DK130" s="148"/>
      <c r="DL130" s="148"/>
      <c r="DM130" s="148"/>
      <c r="DN130" s="148"/>
      <c r="DO130" s="148"/>
      <c r="DP130" s="148"/>
      <c r="DQ130" s="148"/>
      <c r="DR130" s="148"/>
      <c r="DS130" s="148"/>
      <c r="DT130" s="148"/>
      <c r="DU130" s="148"/>
      <c r="DV130" s="148"/>
      <c r="DW130" s="148"/>
      <c r="DX130" s="148"/>
      <c r="DY130" s="148"/>
      <c r="DZ130" s="148"/>
      <c r="EA130" s="148"/>
      <c r="EB130" s="148"/>
      <c r="EC130" s="148"/>
      <c r="ED130" s="148"/>
      <c r="EE130" s="148"/>
      <c r="EF130" s="148"/>
      <c r="EG130" s="148"/>
      <c r="EH130" s="148"/>
      <c r="EI130" s="148"/>
      <c r="EJ130" s="148"/>
      <c r="EK130" s="148"/>
      <c r="EL130" s="148"/>
      <c r="EM130" s="148"/>
      <c r="EN130" s="148"/>
      <c r="EO130" s="148"/>
      <c r="EP130" s="148"/>
      <c r="EQ130" s="148"/>
      <c r="ER130" s="148"/>
      <c r="ES130" s="148"/>
      <c r="ET130" s="148"/>
      <c r="EU130" s="148"/>
      <c r="EV130" s="148"/>
      <c r="EW130" s="148"/>
      <c r="EX130" s="148"/>
      <c r="EY130" s="148"/>
      <c r="EZ130" s="148"/>
      <c r="FA130" s="148"/>
      <c r="FB130" s="148"/>
      <c r="FC130" s="148"/>
      <c r="FD130" s="148"/>
      <c r="FE130" s="148"/>
      <c r="FF130" s="148"/>
      <c r="FG130" s="148"/>
      <c r="FH130" s="148"/>
      <c r="FI130" s="148"/>
      <c r="FJ130" s="148"/>
      <c r="FK130" s="148"/>
      <c r="FL130" s="148"/>
      <c r="FM130" s="148"/>
      <c r="FN130" s="148"/>
      <c r="FO130" s="148"/>
      <c r="FP130" s="148"/>
      <c r="FQ130" s="148"/>
      <c r="FR130" s="148"/>
    </row>
    <row r="131" spans="1:174" s="15" customFormat="1" ht="13.5" customHeight="1" x14ac:dyDescent="0.2">
      <c r="A131" s="148"/>
      <c r="B131" s="307">
        <v>130</v>
      </c>
      <c r="C131" s="307" t="s">
        <v>38</v>
      </c>
      <c r="D131" s="563" t="s">
        <v>1679</v>
      </c>
      <c r="E131" s="564" t="s">
        <v>1680</v>
      </c>
      <c r="F131" s="533" t="s">
        <v>200</v>
      </c>
      <c r="G131" s="533" t="s">
        <v>1411</v>
      </c>
      <c r="H131" s="553" t="s">
        <v>1412</v>
      </c>
      <c r="I131" s="534" t="s">
        <v>43</v>
      </c>
      <c r="J131" s="535">
        <v>1010950</v>
      </c>
      <c r="K131" s="535">
        <v>0</v>
      </c>
      <c r="L131" s="535">
        <v>0</v>
      </c>
      <c r="M131" s="454"/>
      <c r="N131" s="454"/>
      <c r="O131" s="454"/>
      <c r="P131" s="547"/>
      <c r="Q131" s="538"/>
      <c r="R131" s="538"/>
      <c r="S131" s="535">
        <f t="shared" si="3"/>
        <v>0</v>
      </c>
      <c r="T131" s="539">
        <v>2</v>
      </c>
      <c r="U131" s="558">
        <v>15</v>
      </c>
      <c r="V131" s="542">
        <v>44228</v>
      </c>
      <c r="W131" s="542">
        <v>44260</v>
      </c>
      <c r="X131" s="539"/>
      <c r="Y131" s="544"/>
      <c r="Z131" s="545"/>
      <c r="AA131" s="542"/>
      <c r="AB131" s="539"/>
      <c r="AC131" s="544"/>
      <c r="AD131" s="540"/>
      <c r="AE131" s="542"/>
      <c r="AF131" s="554"/>
      <c r="AG131" s="542"/>
      <c r="AH131" s="542"/>
      <c r="AI131" s="542"/>
      <c r="AJ131" s="554"/>
      <c r="AK131" s="542"/>
      <c r="AL131" s="542"/>
      <c r="AM131" s="542"/>
      <c r="AN131" s="542"/>
      <c r="AO131" s="542"/>
      <c r="AP131" s="542"/>
      <c r="AQ131" s="542"/>
      <c r="AR131" s="22">
        <f t="shared" si="4"/>
        <v>2</v>
      </c>
      <c r="AS131" s="546">
        <f t="shared" si="5"/>
        <v>2</v>
      </c>
      <c r="AT131" s="148"/>
      <c r="AU131" s="148"/>
      <c r="AV131" s="148"/>
      <c r="AW131" s="148"/>
      <c r="AX131" s="148"/>
      <c r="AY131" s="148"/>
      <c r="AZ131" s="148"/>
      <c r="BA131" s="148"/>
      <c r="BB131" s="148"/>
      <c r="BC131" s="148"/>
      <c r="BD131" s="148"/>
      <c r="BE131" s="148"/>
      <c r="BF131" s="148"/>
      <c r="BG131" s="148"/>
      <c r="BH131" s="148"/>
      <c r="BI131" s="148"/>
      <c r="BJ131" s="148"/>
      <c r="BK131" s="148"/>
      <c r="BL131" s="148"/>
      <c r="BM131" s="148"/>
      <c r="BN131" s="148"/>
      <c r="BO131" s="148"/>
      <c r="BP131" s="148"/>
      <c r="BQ131" s="148"/>
      <c r="BR131" s="148"/>
      <c r="BS131" s="148"/>
      <c r="BT131" s="148"/>
      <c r="BU131" s="148"/>
      <c r="BV131" s="148"/>
      <c r="BW131" s="148"/>
      <c r="BX131" s="148"/>
      <c r="BY131" s="148"/>
      <c r="BZ131" s="148"/>
      <c r="CA131" s="148"/>
      <c r="CB131" s="148"/>
      <c r="CC131" s="148"/>
      <c r="CD131" s="148"/>
      <c r="CE131" s="148"/>
      <c r="CF131" s="148"/>
      <c r="CG131" s="148"/>
      <c r="CH131" s="148"/>
      <c r="CI131" s="148"/>
      <c r="CJ131" s="148"/>
      <c r="CK131" s="148"/>
      <c r="CL131" s="148"/>
      <c r="CM131" s="148"/>
      <c r="CN131" s="148"/>
      <c r="CO131" s="148"/>
      <c r="CP131" s="148"/>
      <c r="CQ131" s="148"/>
      <c r="CR131" s="148"/>
      <c r="CS131" s="148"/>
      <c r="CT131" s="148"/>
      <c r="CU131" s="148"/>
      <c r="CV131" s="148"/>
      <c r="CW131" s="148"/>
      <c r="CX131" s="148"/>
      <c r="CY131" s="148"/>
      <c r="CZ131" s="148"/>
      <c r="DA131" s="148"/>
      <c r="DB131" s="148"/>
      <c r="DC131" s="148"/>
      <c r="DD131" s="148"/>
      <c r="DE131" s="148"/>
      <c r="DF131" s="148"/>
      <c r="DG131" s="148"/>
      <c r="DH131" s="148"/>
      <c r="DI131" s="148"/>
      <c r="DJ131" s="148"/>
      <c r="DK131" s="148"/>
      <c r="DL131" s="148"/>
      <c r="DM131" s="148"/>
      <c r="DN131" s="148"/>
      <c r="DO131" s="148"/>
      <c r="DP131" s="148"/>
      <c r="DQ131" s="148"/>
      <c r="DR131" s="148"/>
      <c r="DS131" s="148"/>
      <c r="DT131" s="148"/>
      <c r="DU131" s="148"/>
      <c r="DV131" s="148"/>
      <c r="DW131" s="148"/>
      <c r="DX131" s="148"/>
      <c r="DY131" s="148"/>
      <c r="DZ131" s="148"/>
      <c r="EA131" s="148"/>
      <c r="EB131" s="148"/>
      <c r="EC131" s="148"/>
      <c r="ED131" s="148"/>
      <c r="EE131" s="148"/>
      <c r="EF131" s="148"/>
      <c r="EG131" s="148"/>
      <c r="EH131" s="148"/>
      <c r="EI131" s="148"/>
      <c r="EJ131" s="148"/>
      <c r="EK131" s="148"/>
      <c r="EL131" s="148"/>
      <c r="EM131" s="148"/>
      <c r="EN131" s="148"/>
      <c r="EO131" s="148"/>
      <c r="EP131" s="148"/>
      <c r="EQ131" s="148"/>
      <c r="ER131" s="148"/>
      <c r="ES131" s="148"/>
      <c r="ET131" s="148"/>
      <c r="EU131" s="148"/>
      <c r="EV131" s="148"/>
      <c r="EW131" s="148"/>
      <c r="EX131" s="148"/>
      <c r="EY131" s="148"/>
      <c r="EZ131" s="148"/>
      <c r="FA131" s="148"/>
      <c r="FB131" s="148"/>
      <c r="FC131" s="148"/>
      <c r="FD131" s="148"/>
      <c r="FE131" s="148"/>
      <c r="FF131" s="148"/>
      <c r="FG131" s="148"/>
      <c r="FH131" s="148"/>
      <c r="FI131" s="148"/>
      <c r="FJ131" s="148"/>
      <c r="FK131" s="148"/>
      <c r="FL131" s="148"/>
      <c r="FM131" s="148"/>
      <c r="FN131" s="148"/>
      <c r="FO131" s="148"/>
      <c r="FP131" s="148"/>
      <c r="FQ131" s="148"/>
      <c r="FR131" s="148"/>
    </row>
    <row r="132" spans="1:174" s="15" customFormat="1" ht="13.5" customHeight="1" x14ac:dyDescent="0.2">
      <c r="A132" s="148"/>
      <c r="B132" s="307">
        <v>131</v>
      </c>
      <c r="C132" s="307" t="s">
        <v>38</v>
      </c>
      <c r="D132" s="563" t="s">
        <v>1681</v>
      </c>
      <c r="E132" s="564" t="s">
        <v>1682</v>
      </c>
      <c r="F132" s="533" t="s">
        <v>200</v>
      </c>
      <c r="G132" s="533" t="s">
        <v>1411</v>
      </c>
      <c r="H132" s="553" t="s">
        <v>1603</v>
      </c>
      <c r="I132" s="534" t="s">
        <v>43</v>
      </c>
      <c r="J132" s="535">
        <v>4210440</v>
      </c>
      <c r="K132" s="535">
        <v>0</v>
      </c>
      <c r="L132" s="535">
        <v>1189440</v>
      </c>
      <c r="M132" s="454"/>
      <c r="N132" s="454"/>
      <c r="O132" s="454"/>
      <c r="P132" s="547"/>
      <c r="Q132" s="538"/>
      <c r="R132" s="538"/>
      <c r="S132" s="535">
        <f t="shared" si="3"/>
        <v>0</v>
      </c>
      <c r="T132" s="539">
        <v>2</v>
      </c>
      <c r="U132" s="558">
        <v>15</v>
      </c>
      <c r="V132" s="542">
        <v>44228</v>
      </c>
      <c r="W132" s="542">
        <v>44260</v>
      </c>
      <c r="X132" s="539"/>
      <c r="Y132" s="544"/>
      <c r="Z132" s="545"/>
      <c r="AA132" s="542"/>
      <c r="AB132" s="539"/>
      <c r="AC132" s="544"/>
      <c r="AD132" s="540"/>
      <c r="AE132" s="542"/>
      <c r="AF132" s="554"/>
      <c r="AG132" s="542"/>
      <c r="AH132" s="542"/>
      <c r="AI132" s="542"/>
      <c r="AJ132" s="554"/>
      <c r="AK132" s="542"/>
      <c r="AL132" s="542"/>
      <c r="AM132" s="542"/>
      <c r="AN132" s="542"/>
      <c r="AO132" s="542"/>
      <c r="AP132" s="542"/>
      <c r="AQ132" s="542"/>
      <c r="AR132" s="22">
        <f t="shared" si="4"/>
        <v>2</v>
      </c>
      <c r="AS132" s="546">
        <f t="shared" si="5"/>
        <v>2</v>
      </c>
      <c r="AT132" s="148"/>
      <c r="AU132" s="148"/>
      <c r="AV132" s="148"/>
      <c r="AW132" s="148"/>
      <c r="AX132" s="148"/>
      <c r="AY132" s="148"/>
      <c r="AZ132" s="148"/>
      <c r="BA132" s="148"/>
      <c r="BB132" s="148"/>
      <c r="BC132" s="148"/>
      <c r="BD132" s="148"/>
      <c r="BE132" s="148"/>
      <c r="BF132" s="148"/>
      <c r="BG132" s="148"/>
      <c r="BH132" s="148"/>
      <c r="BI132" s="148"/>
      <c r="BJ132" s="148"/>
      <c r="BK132" s="148"/>
      <c r="BL132" s="148"/>
      <c r="BM132" s="148"/>
      <c r="BN132" s="148"/>
      <c r="BO132" s="148"/>
      <c r="BP132" s="148"/>
      <c r="BQ132" s="148"/>
      <c r="BR132" s="148"/>
      <c r="BS132" s="148"/>
      <c r="BT132" s="148"/>
      <c r="BU132" s="148"/>
      <c r="BV132" s="148"/>
      <c r="BW132" s="148"/>
      <c r="BX132" s="148"/>
      <c r="BY132" s="148"/>
      <c r="BZ132" s="148"/>
      <c r="CA132" s="148"/>
      <c r="CB132" s="148"/>
      <c r="CC132" s="148"/>
      <c r="CD132" s="148"/>
      <c r="CE132" s="148"/>
      <c r="CF132" s="148"/>
      <c r="CG132" s="148"/>
      <c r="CH132" s="148"/>
      <c r="CI132" s="148"/>
      <c r="CJ132" s="148"/>
      <c r="CK132" s="148"/>
      <c r="CL132" s="148"/>
      <c r="CM132" s="148"/>
      <c r="CN132" s="148"/>
      <c r="CO132" s="148"/>
      <c r="CP132" s="148"/>
      <c r="CQ132" s="148"/>
      <c r="CR132" s="148"/>
      <c r="CS132" s="148"/>
      <c r="CT132" s="148"/>
      <c r="CU132" s="148"/>
      <c r="CV132" s="148"/>
      <c r="CW132" s="148"/>
      <c r="CX132" s="148"/>
      <c r="CY132" s="148"/>
      <c r="CZ132" s="148"/>
      <c r="DA132" s="148"/>
      <c r="DB132" s="148"/>
      <c r="DC132" s="148"/>
      <c r="DD132" s="148"/>
      <c r="DE132" s="148"/>
      <c r="DF132" s="148"/>
      <c r="DG132" s="148"/>
      <c r="DH132" s="148"/>
      <c r="DI132" s="148"/>
      <c r="DJ132" s="148"/>
      <c r="DK132" s="148"/>
      <c r="DL132" s="148"/>
      <c r="DM132" s="148"/>
      <c r="DN132" s="148"/>
      <c r="DO132" s="148"/>
      <c r="DP132" s="148"/>
      <c r="DQ132" s="148"/>
      <c r="DR132" s="148"/>
      <c r="DS132" s="148"/>
      <c r="DT132" s="148"/>
      <c r="DU132" s="148"/>
      <c r="DV132" s="148"/>
      <c r="DW132" s="148"/>
      <c r="DX132" s="148"/>
      <c r="DY132" s="148"/>
      <c r="DZ132" s="148"/>
      <c r="EA132" s="148"/>
      <c r="EB132" s="148"/>
      <c r="EC132" s="148"/>
      <c r="ED132" s="148"/>
      <c r="EE132" s="148"/>
      <c r="EF132" s="148"/>
      <c r="EG132" s="148"/>
      <c r="EH132" s="148"/>
      <c r="EI132" s="148"/>
      <c r="EJ132" s="148"/>
      <c r="EK132" s="148"/>
      <c r="EL132" s="148"/>
      <c r="EM132" s="148"/>
      <c r="EN132" s="148"/>
      <c r="EO132" s="148"/>
      <c r="EP132" s="148"/>
      <c r="EQ132" s="148"/>
      <c r="ER132" s="148"/>
      <c r="ES132" s="148"/>
      <c r="ET132" s="148"/>
      <c r="EU132" s="148"/>
      <c r="EV132" s="148"/>
      <c r="EW132" s="148"/>
      <c r="EX132" s="148"/>
      <c r="EY132" s="148"/>
      <c r="EZ132" s="148"/>
      <c r="FA132" s="148"/>
      <c r="FB132" s="148"/>
      <c r="FC132" s="148"/>
      <c r="FD132" s="148"/>
      <c r="FE132" s="148"/>
      <c r="FF132" s="148"/>
      <c r="FG132" s="148"/>
      <c r="FH132" s="148"/>
      <c r="FI132" s="148"/>
      <c r="FJ132" s="148"/>
      <c r="FK132" s="148"/>
      <c r="FL132" s="148"/>
      <c r="FM132" s="148"/>
      <c r="FN132" s="148"/>
      <c r="FO132" s="148"/>
      <c r="FP132" s="148"/>
      <c r="FQ132" s="148"/>
      <c r="FR132" s="148"/>
    </row>
    <row r="133" spans="1:174" s="15" customFormat="1" ht="13.5" customHeight="1" x14ac:dyDescent="0.2">
      <c r="A133" s="148"/>
      <c r="B133" s="307">
        <v>132</v>
      </c>
      <c r="C133" s="307" t="s">
        <v>38</v>
      </c>
      <c r="D133" s="563" t="s">
        <v>1683</v>
      </c>
      <c r="E133" s="564" t="s">
        <v>1684</v>
      </c>
      <c r="F133" s="533" t="s">
        <v>200</v>
      </c>
      <c r="G133" s="533" t="s">
        <v>1411</v>
      </c>
      <c r="H133" s="553" t="s">
        <v>1614</v>
      </c>
      <c r="I133" s="534" t="s">
        <v>43</v>
      </c>
      <c r="J133" s="535">
        <v>374156</v>
      </c>
      <c r="K133" s="535">
        <v>0</v>
      </c>
      <c r="L133" s="535">
        <v>372605</v>
      </c>
      <c r="M133" s="454"/>
      <c r="N133" s="454"/>
      <c r="O133" s="454"/>
      <c r="P133" s="547"/>
      <c r="Q133" s="538"/>
      <c r="R133" s="538"/>
      <c r="S133" s="535">
        <f t="shared" si="3"/>
        <v>0</v>
      </c>
      <c r="T133" s="539">
        <v>2</v>
      </c>
      <c r="U133" s="558">
        <v>15</v>
      </c>
      <c r="V133" s="542">
        <v>44228</v>
      </c>
      <c r="W133" s="542">
        <v>44260</v>
      </c>
      <c r="X133" s="539"/>
      <c r="Y133" s="544"/>
      <c r="Z133" s="545"/>
      <c r="AA133" s="542"/>
      <c r="AB133" s="539"/>
      <c r="AC133" s="544"/>
      <c r="AD133" s="540"/>
      <c r="AE133" s="542"/>
      <c r="AF133" s="554"/>
      <c r="AG133" s="542"/>
      <c r="AH133" s="542"/>
      <c r="AI133" s="542"/>
      <c r="AJ133" s="554"/>
      <c r="AK133" s="542"/>
      <c r="AL133" s="542"/>
      <c r="AM133" s="542"/>
      <c r="AN133" s="542"/>
      <c r="AO133" s="542"/>
      <c r="AP133" s="542"/>
      <c r="AQ133" s="542"/>
      <c r="AR133" s="22">
        <f t="shared" si="4"/>
        <v>2</v>
      </c>
      <c r="AS133" s="546">
        <f t="shared" si="5"/>
        <v>2</v>
      </c>
      <c r="AT133" s="148"/>
      <c r="AU133" s="148"/>
      <c r="AV133" s="148"/>
      <c r="AW133" s="148"/>
      <c r="AX133" s="148"/>
      <c r="AY133" s="148"/>
      <c r="AZ133" s="148"/>
      <c r="BA133" s="148"/>
      <c r="BB133" s="148"/>
      <c r="BC133" s="148"/>
      <c r="BD133" s="148"/>
      <c r="BE133" s="148"/>
      <c r="BF133" s="148"/>
      <c r="BG133" s="148"/>
      <c r="BH133" s="148"/>
      <c r="BI133" s="148"/>
      <c r="BJ133" s="148"/>
      <c r="BK133" s="148"/>
      <c r="BL133" s="148"/>
      <c r="BM133" s="148"/>
      <c r="BN133" s="148"/>
      <c r="BO133" s="148"/>
      <c r="BP133" s="148"/>
      <c r="BQ133" s="148"/>
      <c r="BR133" s="148"/>
      <c r="BS133" s="148"/>
      <c r="BT133" s="148"/>
      <c r="BU133" s="148"/>
      <c r="BV133" s="148"/>
      <c r="BW133" s="148"/>
      <c r="BX133" s="148"/>
      <c r="BY133" s="148"/>
      <c r="BZ133" s="148"/>
      <c r="CA133" s="148"/>
      <c r="CB133" s="148"/>
      <c r="CC133" s="148"/>
      <c r="CD133" s="148"/>
      <c r="CE133" s="148"/>
      <c r="CF133" s="148"/>
      <c r="CG133" s="148"/>
      <c r="CH133" s="148"/>
      <c r="CI133" s="148"/>
      <c r="CJ133" s="148"/>
      <c r="CK133" s="148"/>
      <c r="CL133" s="148"/>
      <c r="CM133" s="148"/>
      <c r="CN133" s="148"/>
      <c r="CO133" s="148"/>
      <c r="CP133" s="148"/>
      <c r="CQ133" s="148"/>
      <c r="CR133" s="148"/>
      <c r="CS133" s="148"/>
      <c r="CT133" s="148"/>
      <c r="CU133" s="148"/>
      <c r="CV133" s="148"/>
      <c r="CW133" s="148"/>
      <c r="CX133" s="148"/>
      <c r="CY133" s="148"/>
      <c r="CZ133" s="148"/>
      <c r="DA133" s="148"/>
      <c r="DB133" s="148"/>
      <c r="DC133" s="148"/>
      <c r="DD133" s="148"/>
      <c r="DE133" s="148"/>
      <c r="DF133" s="148"/>
      <c r="DG133" s="148"/>
      <c r="DH133" s="148"/>
      <c r="DI133" s="148"/>
      <c r="DJ133" s="148"/>
      <c r="DK133" s="148"/>
      <c r="DL133" s="148"/>
      <c r="DM133" s="148"/>
      <c r="DN133" s="148"/>
      <c r="DO133" s="148"/>
      <c r="DP133" s="148"/>
      <c r="DQ133" s="148"/>
      <c r="DR133" s="148"/>
      <c r="DS133" s="148"/>
      <c r="DT133" s="148"/>
      <c r="DU133" s="148"/>
      <c r="DV133" s="148"/>
      <c r="DW133" s="148"/>
      <c r="DX133" s="148"/>
      <c r="DY133" s="148"/>
      <c r="DZ133" s="148"/>
      <c r="EA133" s="148"/>
      <c r="EB133" s="148"/>
      <c r="EC133" s="148"/>
      <c r="ED133" s="148"/>
      <c r="EE133" s="148"/>
      <c r="EF133" s="148"/>
      <c r="EG133" s="148"/>
      <c r="EH133" s="148"/>
      <c r="EI133" s="148"/>
      <c r="EJ133" s="148"/>
      <c r="EK133" s="148"/>
      <c r="EL133" s="148"/>
      <c r="EM133" s="148"/>
      <c r="EN133" s="148"/>
      <c r="EO133" s="148"/>
      <c r="EP133" s="148"/>
      <c r="EQ133" s="148"/>
      <c r="ER133" s="148"/>
      <c r="ES133" s="148"/>
      <c r="ET133" s="148"/>
      <c r="EU133" s="148"/>
      <c r="EV133" s="148"/>
      <c r="EW133" s="148"/>
      <c r="EX133" s="148"/>
      <c r="EY133" s="148"/>
      <c r="EZ133" s="148"/>
      <c r="FA133" s="148"/>
      <c r="FB133" s="148"/>
      <c r="FC133" s="148"/>
      <c r="FD133" s="148"/>
      <c r="FE133" s="148"/>
      <c r="FF133" s="148"/>
      <c r="FG133" s="148"/>
      <c r="FH133" s="148"/>
      <c r="FI133" s="148"/>
      <c r="FJ133" s="148"/>
      <c r="FK133" s="148"/>
      <c r="FL133" s="148"/>
      <c r="FM133" s="148"/>
      <c r="FN133" s="148"/>
      <c r="FO133" s="148"/>
      <c r="FP133" s="148"/>
      <c r="FQ133" s="148"/>
      <c r="FR133" s="148"/>
    </row>
    <row r="134" spans="1:174" s="15" customFormat="1" ht="13.5" customHeight="1" x14ac:dyDescent="0.2">
      <c r="A134" s="148"/>
      <c r="B134" s="307">
        <v>133</v>
      </c>
      <c r="C134" s="307" t="s">
        <v>38</v>
      </c>
      <c r="D134" s="563" t="s">
        <v>1685</v>
      </c>
      <c r="E134" s="564" t="s">
        <v>1686</v>
      </c>
      <c r="F134" s="533" t="s">
        <v>200</v>
      </c>
      <c r="G134" s="533" t="s">
        <v>1411</v>
      </c>
      <c r="H134" s="553" t="s">
        <v>1600</v>
      </c>
      <c r="I134" s="534" t="s">
        <v>43</v>
      </c>
      <c r="J134" s="535">
        <v>581883</v>
      </c>
      <c r="K134" s="535">
        <v>0</v>
      </c>
      <c r="L134" s="535">
        <v>54922</v>
      </c>
      <c r="M134" s="454"/>
      <c r="N134" s="454"/>
      <c r="O134" s="454"/>
      <c r="P134" s="547"/>
      <c r="Q134" s="538"/>
      <c r="R134" s="538"/>
      <c r="S134" s="535">
        <f t="shared" si="3"/>
        <v>0</v>
      </c>
      <c r="T134" s="539">
        <v>2</v>
      </c>
      <c r="U134" s="558">
        <v>15</v>
      </c>
      <c r="V134" s="542">
        <v>44228</v>
      </c>
      <c r="W134" s="542">
        <v>44260</v>
      </c>
      <c r="X134" s="539"/>
      <c r="Y134" s="544"/>
      <c r="Z134" s="545"/>
      <c r="AA134" s="542"/>
      <c r="AB134" s="539"/>
      <c r="AC134" s="544"/>
      <c r="AD134" s="540"/>
      <c r="AE134" s="542"/>
      <c r="AF134" s="554"/>
      <c r="AG134" s="542"/>
      <c r="AH134" s="542"/>
      <c r="AI134" s="542"/>
      <c r="AJ134" s="554"/>
      <c r="AK134" s="542"/>
      <c r="AL134" s="542"/>
      <c r="AM134" s="542"/>
      <c r="AN134" s="542"/>
      <c r="AO134" s="542"/>
      <c r="AP134" s="542"/>
      <c r="AQ134" s="542"/>
      <c r="AR134" s="22">
        <f t="shared" si="4"/>
        <v>2</v>
      </c>
      <c r="AS134" s="546">
        <f t="shared" si="5"/>
        <v>2</v>
      </c>
      <c r="AT134" s="148"/>
      <c r="AU134" s="148"/>
      <c r="AV134" s="148"/>
      <c r="AW134" s="148"/>
      <c r="AX134" s="148"/>
      <c r="AY134" s="148"/>
      <c r="AZ134" s="148"/>
      <c r="BA134" s="148"/>
      <c r="BB134" s="148"/>
      <c r="BC134" s="148"/>
      <c r="BD134" s="148"/>
      <c r="BE134" s="148"/>
      <c r="BF134" s="148"/>
      <c r="BG134" s="148"/>
      <c r="BH134" s="148"/>
      <c r="BI134" s="148"/>
      <c r="BJ134" s="148"/>
      <c r="BK134" s="148"/>
      <c r="BL134" s="148"/>
      <c r="BM134" s="148"/>
      <c r="BN134" s="148"/>
      <c r="BO134" s="148"/>
      <c r="BP134" s="148"/>
      <c r="BQ134" s="148"/>
      <c r="BR134" s="148"/>
      <c r="BS134" s="148"/>
      <c r="BT134" s="148"/>
      <c r="BU134" s="148"/>
      <c r="BV134" s="148"/>
      <c r="BW134" s="148"/>
      <c r="BX134" s="148"/>
      <c r="BY134" s="148"/>
      <c r="BZ134" s="148"/>
      <c r="CA134" s="148"/>
      <c r="CB134" s="148"/>
      <c r="CC134" s="148"/>
      <c r="CD134" s="148"/>
      <c r="CE134" s="148"/>
      <c r="CF134" s="148"/>
      <c r="CG134" s="148"/>
      <c r="CH134" s="148"/>
      <c r="CI134" s="148"/>
      <c r="CJ134" s="148"/>
      <c r="CK134" s="148"/>
      <c r="CL134" s="148"/>
      <c r="CM134" s="148"/>
      <c r="CN134" s="148"/>
      <c r="CO134" s="148"/>
      <c r="CP134" s="148"/>
      <c r="CQ134" s="148"/>
      <c r="CR134" s="148"/>
      <c r="CS134" s="148"/>
      <c r="CT134" s="148"/>
      <c r="CU134" s="148"/>
      <c r="CV134" s="148"/>
      <c r="CW134" s="148"/>
      <c r="CX134" s="148"/>
      <c r="CY134" s="148"/>
      <c r="CZ134" s="148"/>
      <c r="DA134" s="148"/>
      <c r="DB134" s="148"/>
      <c r="DC134" s="148"/>
      <c r="DD134" s="148"/>
      <c r="DE134" s="148"/>
      <c r="DF134" s="148"/>
      <c r="DG134" s="148"/>
      <c r="DH134" s="148"/>
      <c r="DI134" s="148"/>
      <c r="DJ134" s="148"/>
      <c r="DK134" s="148"/>
      <c r="DL134" s="148"/>
      <c r="DM134" s="148"/>
      <c r="DN134" s="148"/>
      <c r="DO134" s="148"/>
      <c r="DP134" s="148"/>
      <c r="DQ134" s="148"/>
      <c r="DR134" s="148"/>
      <c r="DS134" s="148"/>
      <c r="DT134" s="148"/>
      <c r="DU134" s="148"/>
      <c r="DV134" s="148"/>
      <c r="DW134" s="148"/>
      <c r="DX134" s="148"/>
      <c r="DY134" s="148"/>
      <c r="DZ134" s="148"/>
      <c r="EA134" s="148"/>
      <c r="EB134" s="148"/>
      <c r="EC134" s="148"/>
      <c r="ED134" s="148"/>
      <c r="EE134" s="148"/>
      <c r="EF134" s="148"/>
      <c r="EG134" s="148"/>
      <c r="EH134" s="148"/>
      <c r="EI134" s="148"/>
      <c r="EJ134" s="148"/>
      <c r="EK134" s="148"/>
      <c r="EL134" s="148"/>
      <c r="EM134" s="148"/>
      <c r="EN134" s="148"/>
      <c r="EO134" s="148"/>
      <c r="EP134" s="148"/>
      <c r="EQ134" s="148"/>
      <c r="ER134" s="148"/>
      <c r="ES134" s="148"/>
      <c r="ET134" s="148"/>
      <c r="EU134" s="148"/>
      <c r="EV134" s="148"/>
      <c r="EW134" s="148"/>
      <c r="EX134" s="148"/>
      <c r="EY134" s="148"/>
      <c r="EZ134" s="148"/>
      <c r="FA134" s="148"/>
      <c r="FB134" s="148"/>
      <c r="FC134" s="148"/>
      <c r="FD134" s="148"/>
      <c r="FE134" s="148"/>
      <c r="FF134" s="148"/>
      <c r="FG134" s="148"/>
      <c r="FH134" s="148"/>
      <c r="FI134" s="148"/>
      <c r="FJ134" s="148"/>
      <c r="FK134" s="148"/>
      <c r="FL134" s="148"/>
      <c r="FM134" s="148"/>
      <c r="FN134" s="148"/>
      <c r="FO134" s="148"/>
      <c r="FP134" s="148"/>
      <c r="FQ134" s="148"/>
      <c r="FR134" s="148"/>
    </row>
    <row r="135" spans="1:174" s="15" customFormat="1" ht="13.5" customHeight="1" x14ac:dyDescent="0.2">
      <c r="A135" s="148"/>
      <c r="B135" s="307">
        <v>134</v>
      </c>
      <c r="C135" s="307" t="s">
        <v>38</v>
      </c>
      <c r="D135" s="563" t="s">
        <v>1687</v>
      </c>
      <c r="E135" s="564" t="s">
        <v>1688</v>
      </c>
      <c r="F135" s="533" t="s">
        <v>200</v>
      </c>
      <c r="G135" s="533" t="s">
        <v>1411</v>
      </c>
      <c r="H135" s="553" t="s">
        <v>1424</v>
      </c>
      <c r="I135" s="534" t="s">
        <v>43</v>
      </c>
      <c r="J135" s="535">
        <v>601714</v>
      </c>
      <c r="K135" s="535">
        <v>0</v>
      </c>
      <c r="L135" s="535">
        <v>0</v>
      </c>
      <c r="M135" s="454"/>
      <c r="N135" s="454"/>
      <c r="O135" s="454"/>
      <c r="P135" s="547"/>
      <c r="Q135" s="538"/>
      <c r="R135" s="538"/>
      <c r="S135" s="535">
        <f t="shared" si="3"/>
        <v>0</v>
      </c>
      <c r="T135" s="539">
        <v>2</v>
      </c>
      <c r="U135" s="558">
        <v>15</v>
      </c>
      <c r="V135" s="542">
        <v>44228</v>
      </c>
      <c r="W135" s="542">
        <v>44260</v>
      </c>
      <c r="X135" s="539"/>
      <c r="Y135" s="544"/>
      <c r="Z135" s="545"/>
      <c r="AA135" s="542"/>
      <c r="AB135" s="539"/>
      <c r="AC135" s="544"/>
      <c r="AD135" s="540"/>
      <c r="AE135" s="542"/>
      <c r="AF135" s="554"/>
      <c r="AG135" s="542"/>
      <c r="AH135" s="542"/>
      <c r="AI135" s="542"/>
      <c r="AJ135" s="554"/>
      <c r="AK135" s="542"/>
      <c r="AL135" s="542"/>
      <c r="AM135" s="542"/>
      <c r="AN135" s="542"/>
      <c r="AO135" s="542"/>
      <c r="AP135" s="542"/>
      <c r="AQ135" s="542"/>
      <c r="AR135" s="22">
        <f t="shared" si="4"/>
        <v>2</v>
      </c>
      <c r="AS135" s="546">
        <f t="shared" si="5"/>
        <v>2</v>
      </c>
      <c r="AT135" s="148"/>
      <c r="AU135" s="148"/>
      <c r="AV135" s="148"/>
      <c r="AW135" s="148"/>
      <c r="AX135" s="148"/>
      <c r="AY135" s="148"/>
      <c r="AZ135" s="148"/>
      <c r="BA135" s="148"/>
      <c r="BB135" s="148"/>
      <c r="BC135" s="148"/>
      <c r="BD135" s="148"/>
      <c r="BE135" s="148"/>
      <c r="BF135" s="148"/>
      <c r="BG135" s="148"/>
      <c r="BH135" s="148"/>
      <c r="BI135" s="148"/>
      <c r="BJ135" s="148"/>
      <c r="BK135" s="148"/>
      <c r="BL135" s="148"/>
      <c r="BM135" s="148"/>
      <c r="BN135" s="148"/>
      <c r="BO135" s="148"/>
      <c r="BP135" s="148"/>
      <c r="BQ135" s="148"/>
      <c r="BR135" s="148"/>
      <c r="BS135" s="148"/>
      <c r="BT135" s="148"/>
      <c r="BU135" s="148"/>
      <c r="BV135" s="148"/>
      <c r="BW135" s="148"/>
      <c r="BX135" s="148"/>
      <c r="BY135" s="148"/>
      <c r="BZ135" s="148"/>
      <c r="CA135" s="148"/>
      <c r="CB135" s="148"/>
      <c r="CC135" s="148"/>
      <c r="CD135" s="148"/>
      <c r="CE135" s="148"/>
      <c r="CF135" s="148"/>
      <c r="CG135" s="148"/>
      <c r="CH135" s="148"/>
      <c r="CI135" s="148"/>
      <c r="CJ135" s="148"/>
      <c r="CK135" s="148"/>
      <c r="CL135" s="148"/>
      <c r="CM135" s="148"/>
      <c r="CN135" s="148"/>
      <c r="CO135" s="148"/>
      <c r="CP135" s="148"/>
      <c r="CQ135" s="148"/>
      <c r="CR135" s="148"/>
      <c r="CS135" s="148"/>
      <c r="CT135" s="148"/>
      <c r="CU135" s="148"/>
      <c r="CV135" s="148"/>
      <c r="CW135" s="148"/>
      <c r="CX135" s="148"/>
      <c r="CY135" s="148"/>
      <c r="CZ135" s="148"/>
      <c r="DA135" s="148"/>
      <c r="DB135" s="148"/>
      <c r="DC135" s="148"/>
      <c r="DD135" s="148"/>
      <c r="DE135" s="148"/>
      <c r="DF135" s="148"/>
      <c r="DG135" s="148"/>
      <c r="DH135" s="148"/>
      <c r="DI135" s="148"/>
      <c r="DJ135" s="148"/>
      <c r="DK135" s="148"/>
      <c r="DL135" s="148"/>
      <c r="DM135" s="148"/>
      <c r="DN135" s="148"/>
      <c r="DO135" s="148"/>
      <c r="DP135" s="148"/>
      <c r="DQ135" s="148"/>
      <c r="DR135" s="148"/>
      <c r="DS135" s="148"/>
      <c r="DT135" s="148"/>
      <c r="DU135" s="148"/>
      <c r="DV135" s="148"/>
      <c r="DW135" s="148"/>
      <c r="DX135" s="148"/>
      <c r="DY135" s="148"/>
      <c r="DZ135" s="148"/>
      <c r="EA135" s="148"/>
      <c r="EB135" s="148"/>
      <c r="EC135" s="148"/>
      <c r="ED135" s="148"/>
      <c r="EE135" s="148"/>
      <c r="EF135" s="148"/>
      <c r="EG135" s="148"/>
      <c r="EH135" s="148"/>
      <c r="EI135" s="148"/>
      <c r="EJ135" s="148"/>
      <c r="EK135" s="148"/>
      <c r="EL135" s="148"/>
      <c r="EM135" s="148"/>
      <c r="EN135" s="148"/>
      <c r="EO135" s="148"/>
      <c r="EP135" s="148"/>
      <c r="EQ135" s="148"/>
      <c r="ER135" s="148"/>
      <c r="ES135" s="148"/>
      <c r="ET135" s="148"/>
      <c r="EU135" s="148"/>
      <c r="EV135" s="148"/>
      <c r="EW135" s="148"/>
      <c r="EX135" s="148"/>
      <c r="EY135" s="148"/>
      <c r="EZ135" s="148"/>
      <c r="FA135" s="148"/>
      <c r="FB135" s="148"/>
      <c r="FC135" s="148"/>
      <c r="FD135" s="148"/>
      <c r="FE135" s="148"/>
      <c r="FF135" s="148"/>
      <c r="FG135" s="148"/>
      <c r="FH135" s="148"/>
      <c r="FI135" s="148"/>
      <c r="FJ135" s="148"/>
      <c r="FK135" s="148"/>
      <c r="FL135" s="148"/>
      <c r="FM135" s="148"/>
      <c r="FN135" s="148"/>
      <c r="FO135" s="148"/>
      <c r="FP135" s="148"/>
      <c r="FQ135" s="148"/>
      <c r="FR135" s="148"/>
    </row>
    <row r="136" spans="1:174" s="15" customFormat="1" ht="13.5" customHeight="1" x14ac:dyDescent="0.2">
      <c r="A136" s="148"/>
      <c r="B136" s="307">
        <v>135</v>
      </c>
      <c r="C136" s="307" t="s">
        <v>38</v>
      </c>
      <c r="D136" s="563" t="s">
        <v>1689</v>
      </c>
      <c r="E136" s="564" t="s">
        <v>1690</v>
      </c>
      <c r="F136" s="533" t="s">
        <v>200</v>
      </c>
      <c r="G136" s="533" t="s">
        <v>1411</v>
      </c>
      <c r="H136" s="553" t="s">
        <v>1476</v>
      </c>
      <c r="I136" s="534" t="s">
        <v>43</v>
      </c>
      <c r="J136" s="535">
        <v>373536</v>
      </c>
      <c r="K136" s="535">
        <v>0</v>
      </c>
      <c r="L136" s="535">
        <v>129672</v>
      </c>
      <c r="M136" s="454"/>
      <c r="N136" s="454"/>
      <c r="O136" s="454"/>
      <c r="P136" s="547"/>
      <c r="Q136" s="538"/>
      <c r="R136" s="538"/>
      <c r="S136" s="535">
        <f t="shared" si="3"/>
        <v>0</v>
      </c>
      <c r="T136" s="539">
        <v>2</v>
      </c>
      <c r="U136" s="558">
        <v>15</v>
      </c>
      <c r="V136" s="542">
        <v>44228</v>
      </c>
      <c r="W136" s="542">
        <v>44260</v>
      </c>
      <c r="X136" s="539">
        <v>51498</v>
      </c>
      <c r="Y136" s="544">
        <v>55</v>
      </c>
      <c r="Z136" s="542">
        <v>44323</v>
      </c>
      <c r="AA136" s="542">
        <v>44350</v>
      </c>
      <c r="AB136" s="539">
        <v>15400</v>
      </c>
      <c r="AC136" s="544">
        <v>70</v>
      </c>
      <c r="AD136" s="545">
        <v>44354</v>
      </c>
      <c r="AE136" s="542">
        <v>44372</v>
      </c>
      <c r="AF136" s="554"/>
      <c r="AG136" s="542"/>
      <c r="AH136" s="542"/>
      <c r="AI136" s="542"/>
      <c r="AJ136" s="554"/>
      <c r="AK136" s="542"/>
      <c r="AL136" s="542"/>
      <c r="AM136" s="542"/>
      <c r="AN136" s="542"/>
      <c r="AO136" s="542"/>
      <c r="AP136" s="542"/>
      <c r="AQ136" s="542"/>
      <c r="AR136" s="22">
        <f t="shared" si="4"/>
        <v>66900</v>
      </c>
      <c r="AS136" s="546">
        <f t="shared" si="5"/>
        <v>66900</v>
      </c>
      <c r="AT136" s="148"/>
      <c r="AU136" s="148"/>
      <c r="AV136" s="148"/>
      <c r="AW136" s="148"/>
      <c r="AX136" s="148"/>
      <c r="AY136" s="148"/>
      <c r="AZ136" s="148"/>
      <c r="BA136" s="148"/>
      <c r="BB136" s="148"/>
      <c r="BC136" s="148"/>
      <c r="BD136" s="148"/>
      <c r="BE136" s="148"/>
      <c r="BF136" s="148"/>
      <c r="BG136" s="148"/>
      <c r="BH136" s="148"/>
      <c r="BI136" s="148"/>
      <c r="BJ136" s="148"/>
      <c r="BK136" s="148"/>
      <c r="BL136" s="148"/>
      <c r="BM136" s="148"/>
      <c r="BN136" s="148"/>
      <c r="BO136" s="148"/>
      <c r="BP136" s="148"/>
      <c r="BQ136" s="148"/>
      <c r="BR136" s="148"/>
      <c r="BS136" s="148"/>
      <c r="BT136" s="148"/>
      <c r="BU136" s="148"/>
      <c r="BV136" s="148"/>
      <c r="BW136" s="148"/>
      <c r="BX136" s="148"/>
      <c r="BY136" s="148"/>
      <c r="BZ136" s="148"/>
      <c r="CA136" s="148"/>
      <c r="CB136" s="148"/>
      <c r="CC136" s="148"/>
      <c r="CD136" s="148"/>
      <c r="CE136" s="148"/>
      <c r="CF136" s="148"/>
      <c r="CG136" s="148"/>
      <c r="CH136" s="148"/>
      <c r="CI136" s="148"/>
      <c r="CJ136" s="148"/>
      <c r="CK136" s="148"/>
      <c r="CL136" s="148"/>
      <c r="CM136" s="148"/>
      <c r="CN136" s="148"/>
      <c r="CO136" s="148"/>
      <c r="CP136" s="148"/>
      <c r="CQ136" s="148"/>
      <c r="CR136" s="148"/>
      <c r="CS136" s="148"/>
      <c r="CT136" s="148"/>
      <c r="CU136" s="148"/>
      <c r="CV136" s="148"/>
      <c r="CW136" s="148"/>
      <c r="CX136" s="148"/>
      <c r="CY136" s="148"/>
      <c r="CZ136" s="148"/>
      <c r="DA136" s="148"/>
      <c r="DB136" s="148"/>
      <c r="DC136" s="148"/>
      <c r="DD136" s="148"/>
      <c r="DE136" s="148"/>
      <c r="DF136" s="148"/>
      <c r="DG136" s="148"/>
      <c r="DH136" s="148"/>
      <c r="DI136" s="148"/>
      <c r="DJ136" s="148"/>
      <c r="DK136" s="148"/>
      <c r="DL136" s="148"/>
      <c r="DM136" s="148"/>
      <c r="DN136" s="148"/>
      <c r="DO136" s="148"/>
      <c r="DP136" s="148"/>
      <c r="DQ136" s="148"/>
      <c r="DR136" s="148"/>
      <c r="DS136" s="148"/>
      <c r="DT136" s="148"/>
      <c r="DU136" s="148"/>
      <c r="DV136" s="148"/>
      <c r="DW136" s="148"/>
      <c r="DX136" s="148"/>
      <c r="DY136" s="148"/>
      <c r="DZ136" s="148"/>
      <c r="EA136" s="148"/>
      <c r="EB136" s="148"/>
      <c r="EC136" s="148"/>
      <c r="ED136" s="148"/>
      <c r="EE136" s="148"/>
      <c r="EF136" s="148"/>
      <c r="EG136" s="148"/>
      <c r="EH136" s="148"/>
      <c r="EI136" s="148"/>
      <c r="EJ136" s="148"/>
      <c r="EK136" s="148"/>
      <c r="EL136" s="148"/>
      <c r="EM136" s="148"/>
      <c r="EN136" s="148"/>
      <c r="EO136" s="148"/>
      <c r="EP136" s="148"/>
      <c r="EQ136" s="148"/>
      <c r="ER136" s="148"/>
      <c r="ES136" s="148"/>
      <c r="ET136" s="148"/>
      <c r="EU136" s="148"/>
      <c r="EV136" s="148"/>
      <c r="EW136" s="148"/>
      <c r="EX136" s="148"/>
      <c r="EY136" s="148"/>
      <c r="EZ136" s="148"/>
      <c r="FA136" s="148"/>
      <c r="FB136" s="148"/>
      <c r="FC136" s="148"/>
      <c r="FD136" s="148"/>
      <c r="FE136" s="148"/>
      <c r="FF136" s="148"/>
      <c r="FG136" s="148"/>
      <c r="FH136" s="148"/>
      <c r="FI136" s="148"/>
      <c r="FJ136" s="148"/>
      <c r="FK136" s="148"/>
      <c r="FL136" s="148"/>
      <c r="FM136" s="148"/>
      <c r="FN136" s="148"/>
      <c r="FO136" s="148"/>
      <c r="FP136" s="148"/>
      <c r="FQ136" s="148"/>
      <c r="FR136" s="148"/>
    </row>
    <row r="137" spans="1:174" s="15" customFormat="1" ht="13.5" customHeight="1" x14ac:dyDescent="0.2">
      <c r="A137" s="148"/>
      <c r="B137" s="307">
        <v>136</v>
      </c>
      <c r="C137" s="307" t="s">
        <v>38</v>
      </c>
      <c r="D137" s="563" t="s">
        <v>1691</v>
      </c>
      <c r="E137" s="564" t="s">
        <v>1692</v>
      </c>
      <c r="F137" s="533" t="s">
        <v>200</v>
      </c>
      <c r="G137" s="533" t="s">
        <v>1411</v>
      </c>
      <c r="H137" s="553" t="s">
        <v>1476</v>
      </c>
      <c r="I137" s="534" t="s">
        <v>43</v>
      </c>
      <c r="J137" s="535">
        <v>447388</v>
      </c>
      <c r="K137" s="535">
        <v>0</v>
      </c>
      <c r="L137" s="535">
        <v>104341</v>
      </c>
      <c r="M137" s="454"/>
      <c r="N137" s="454"/>
      <c r="O137" s="454"/>
      <c r="P137" s="547"/>
      <c r="Q137" s="538"/>
      <c r="R137" s="538"/>
      <c r="S137" s="535">
        <f t="shared" si="3"/>
        <v>0</v>
      </c>
      <c r="T137" s="539">
        <v>2</v>
      </c>
      <c r="U137" s="558">
        <v>15</v>
      </c>
      <c r="V137" s="542">
        <v>44228</v>
      </c>
      <c r="W137" s="542">
        <v>44260</v>
      </c>
      <c r="X137" s="539">
        <v>136998</v>
      </c>
      <c r="Y137" s="544">
        <v>25</v>
      </c>
      <c r="Z137" s="542">
        <v>44263</v>
      </c>
      <c r="AA137" s="542">
        <v>44292</v>
      </c>
      <c r="AB137" s="539"/>
      <c r="AC137" s="544"/>
      <c r="AD137" s="540"/>
      <c r="AE137" s="542"/>
      <c r="AF137" s="554"/>
      <c r="AG137" s="542"/>
      <c r="AH137" s="542"/>
      <c r="AI137" s="542"/>
      <c r="AJ137" s="554"/>
      <c r="AK137" s="542"/>
      <c r="AL137" s="542"/>
      <c r="AM137" s="542"/>
      <c r="AN137" s="542"/>
      <c r="AO137" s="542"/>
      <c r="AP137" s="542"/>
      <c r="AQ137" s="542"/>
      <c r="AR137" s="22">
        <f t="shared" si="4"/>
        <v>137000</v>
      </c>
      <c r="AS137" s="546">
        <f t="shared" si="5"/>
        <v>137000</v>
      </c>
      <c r="AT137" s="148"/>
      <c r="AU137" s="148"/>
      <c r="AV137" s="148"/>
      <c r="AW137" s="148"/>
      <c r="AX137" s="148"/>
      <c r="AY137" s="148"/>
      <c r="AZ137" s="148"/>
      <c r="BA137" s="148"/>
      <c r="BB137" s="148"/>
      <c r="BC137" s="148"/>
      <c r="BD137" s="148"/>
      <c r="BE137" s="148"/>
      <c r="BF137" s="148"/>
      <c r="BG137" s="148"/>
      <c r="BH137" s="148"/>
      <c r="BI137" s="148"/>
      <c r="BJ137" s="148"/>
      <c r="BK137" s="148"/>
      <c r="BL137" s="148"/>
      <c r="BM137" s="148"/>
      <c r="BN137" s="148"/>
      <c r="BO137" s="148"/>
      <c r="BP137" s="148"/>
      <c r="BQ137" s="148"/>
      <c r="BR137" s="148"/>
      <c r="BS137" s="148"/>
      <c r="BT137" s="148"/>
      <c r="BU137" s="148"/>
      <c r="BV137" s="148"/>
      <c r="BW137" s="148"/>
      <c r="BX137" s="148"/>
      <c r="BY137" s="148"/>
      <c r="BZ137" s="148"/>
      <c r="CA137" s="148"/>
      <c r="CB137" s="148"/>
      <c r="CC137" s="148"/>
      <c r="CD137" s="148"/>
      <c r="CE137" s="148"/>
      <c r="CF137" s="148"/>
      <c r="CG137" s="148"/>
      <c r="CH137" s="148"/>
      <c r="CI137" s="148"/>
      <c r="CJ137" s="148"/>
      <c r="CK137" s="148"/>
      <c r="CL137" s="148"/>
      <c r="CM137" s="148"/>
      <c r="CN137" s="148"/>
      <c r="CO137" s="148"/>
      <c r="CP137" s="148"/>
      <c r="CQ137" s="148"/>
      <c r="CR137" s="148"/>
      <c r="CS137" s="148"/>
      <c r="CT137" s="148"/>
      <c r="CU137" s="148"/>
      <c r="CV137" s="148"/>
      <c r="CW137" s="148"/>
      <c r="CX137" s="148"/>
      <c r="CY137" s="148"/>
      <c r="CZ137" s="148"/>
      <c r="DA137" s="148"/>
      <c r="DB137" s="148"/>
      <c r="DC137" s="148"/>
      <c r="DD137" s="148"/>
      <c r="DE137" s="148"/>
      <c r="DF137" s="148"/>
      <c r="DG137" s="148"/>
      <c r="DH137" s="148"/>
      <c r="DI137" s="148"/>
      <c r="DJ137" s="148"/>
      <c r="DK137" s="148"/>
      <c r="DL137" s="148"/>
      <c r="DM137" s="148"/>
      <c r="DN137" s="148"/>
      <c r="DO137" s="148"/>
      <c r="DP137" s="148"/>
      <c r="DQ137" s="148"/>
      <c r="DR137" s="148"/>
      <c r="DS137" s="148"/>
      <c r="DT137" s="148"/>
      <c r="DU137" s="148"/>
      <c r="DV137" s="148"/>
      <c r="DW137" s="148"/>
      <c r="DX137" s="148"/>
      <c r="DY137" s="148"/>
      <c r="DZ137" s="148"/>
      <c r="EA137" s="148"/>
      <c r="EB137" s="148"/>
      <c r="EC137" s="148"/>
      <c r="ED137" s="148"/>
      <c r="EE137" s="148"/>
      <c r="EF137" s="148"/>
      <c r="EG137" s="148"/>
      <c r="EH137" s="148"/>
      <c r="EI137" s="148"/>
      <c r="EJ137" s="148"/>
      <c r="EK137" s="148"/>
      <c r="EL137" s="148"/>
      <c r="EM137" s="148"/>
      <c r="EN137" s="148"/>
      <c r="EO137" s="148"/>
      <c r="EP137" s="148"/>
      <c r="EQ137" s="148"/>
      <c r="ER137" s="148"/>
      <c r="ES137" s="148"/>
      <c r="ET137" s="148"/>
      <c r="EU137" s="148"/>
      <c r="EV137" s="148"/>
      <c r="EW137" s="148"/>
      <c r="EX137" s="148"/>
      <c r="EY137" s="148"/>
      <c r="EZ137" s="148"/>
      <c r="FA137" s="148"/>
      <c r="FB137" s="148"/>
      <c r="FC137" s="148"/>
      <c r="FD137" s="148"/>
      <c r="FE137" s="148"/>
      <c r="FF137" s="148"/>
      <c r="FG137" s="148"/>
      <c r="FH137" s="148"/>
      <c r="FI137" s="148"/>
      <c r="FJ137" s="148"/>
      <c r="FK137" s="148"/>
      <c r="FL137" s="148"/>
      <c r="FM137" s="148"/>
      <c r="FN137" s="148"/>
      <c r="FO137" s="148"/>
      <c r="FP137" s="148"/>
      <c r="FQ137" s="148"/>
      <c r="FR137" s="148"/>
    </row>
    <row r="138" spans="1:174" s="15" customFormat="1" ht="13.5" customHeight="1" x14ac:dyDescent="0.2">
      <c r="A138" s="148"/>
      <c r="B138" s="307">
        <v>137</v>
      </c>
      <c r="C138" s="307" t="s">
        <v>38</v>
      </c>
      <c r="D138" s="563" t="s">
        <v>1693</v>
      </c>
      <c r="E138" s="564" t="s">
        <v>1694</v>
      </c>
      <c r="F138" s="533" t="s">
        <v>200</v>
      </c>
      <c r="G138" s="533" t="s">
        <v>1411</v>
      </c>
      <c r="H138" s="553" t="s">
        <v>1476</v>
      </c>
      <c r="I138" s="534" t="s">
        <v>43</v>
      </c>
      <c r="J138" s="535">
        <v>349394</v>
      </c>
      <c r="K138" s="535">
        <v>0</v>
      </c>
      <c r="L138" s="535">
        <v>115243</v>
      </c>
      <c r="M138" s="454"/>
      <c r="N138" s="454"/>
      <c r="O138" s="454"/>
      <c r="P138" s="547"/>
      <c r="Q138" s="538"/>
      <c r="R138" s="538"/>
      <c r="S138" s="535">
        <f t="shared" si="3"/>
        <v>0</v>
      </c>
      <c r="T138" s="539">
        <v>2</v>
      </c>
      <c r="U138" s="558">
        <v>15</v>
      </c>
      <c r="V138" s="542">
        <v>44228</v>
      </c>
      <c r="W138" s="542">
        <v>44260</v>
      </c>
      <c r="X138" s="539"/>
      <c r="Y138" s="544"/>
      <c r="Z138" s="545"/>
      <c r="AA138" s="542"/>
      <c r="AB138" s="539"/>
      <c r="AC138" s="544"/>
      <c r="AD138" s="540"/>
      <c r="AE138" s="542"/>
      <c r="AF138" s="554"/>
      <c r="AG138" s="542"/>
      <c r="AH138" s="542"/>
      <c r="AI138" s="542"/>
      <c r="AJ138" s="554"/>
      <c r="AK138" s="542"/>
      <c r="AL138" s="542"/>
      <c r="AM138" s="542"/>
      <c r="AN138" s="542"/>
      <c r="AO138" s="542"/>
      <c r="AP138" s="542"/>
      <c r="AQ138" s="542"/>
      <c r="AR138" s="22">
        <f t="shared" si="4"/>
        <v>2</v>
      </c>
      <c r="AS138" s="546">
        <f t="shared" si="5"/>
        <v>2</v>
      </c>
      <c r="AT138" s="148"/>
      <c r="AU138" s="148"/>
      <c r="AV138" s="148"/>
      <c r="AW138" s="148"/>
      <c r="AX138" s="148"/>
      <c r="AY138" s="148"/>
      <c r="AZ138" s="148"/>
      <c r="BA138" s="148"/>
      <c r="BB138" s="148"/>
      <c r="BC138" s="148"/>
      <c r="BD138" s="148"/>
      <c r="BE138" s="148"/>
      <c r="BF138" s="148"/>
      <c r="BG138" s="148"/>
      <c r="BH138" s="148"/>
      <c r="BI138" s="148"/>
      <c r="BJ138" s="148"/>
      <c r="BK138" s="148"/>
      <c r="BL138" s="148"/>
      <c r="BM138" s="148"/>
      <c r="BN138" s="148"/>
      <c r="BO138" s="148"/>
      <c r="BP138" s="148"/>
      <c r="BQ138" s="148"/>
      <c r="BR138" s="148"/>
      <c r="BS138" s="148"/>
      <c r="BT138" s="148"/>
      <c r="BU138" s="148"/>
      <c r="BV138" s="148"/>
      <c r="BW138" s="148"/>
      <c r="BX138" s="148"/>
      <c r="BY138" s="148"/>
      <c r="BZ138" s="148"/>
      <c r="CA138" s="148"/>
      <c r="CB138" s="148"/>
      <c r="CC138" s="148"/>
      <c r="CD138" s="148"/>
      <c r="CE138" s="148"/>
      <c r="CF138" s="148"/>
      <c r="CG138" s="148"/>
      <c r="CH138" s="148"/>
      <c r="CI138" s="148"/>
      <c r="CJ138" s="148"/>
      <c r="CK138" s="148"/>
      <c r="CL138" s="148"/>
      <c r="CM138" s="148"/>
      <c r="CN138" s="148"/>
      <c r="CO138" s="148"/>
      <c r="CP138" s="148"/>
      <c r="CQ138" s="148"/>
      <c r="CR138" s="148"/>
      <c r="CS138" s="148"/>
      <c r="CT138" s="148"/>
      <c r="CU138" s="148"/>
      <c r="CV138" s="148"/>
      <c r="CW138" s="148"/>
      <c r="CX138" s="148"/>
      <c r="CY138" s="148"/>
      <c r="CZ138" s="148"/>
      <c r="DA138" s="148"/>
      <c r="DB138" s="148"/>
      <c r="DC138" s="148"/>
      <c r="DD138" s="148"/>
      <c r="DE138" s="148"/>
      <c r="DF138" s="148"/>
      <c r="DG138" s="148"/>
      <c r="DH138" s="148"/>
      <c r="DI138" s="148"/>
      <c r="DJ138" s="148"/>
      <c r="DK138" s="148"/>
      <c r="DL138" s="148"/>
      <c r="DM138" s="148"/>
      <c r="DN138" s="148"/>
      <c r="DO138" s="148"/>
      <c r="DP138" s="148"/>
      <c r="DQ138" s="148"/>
      <c r="DR138" s="148"/>
      <c r="DS138" s="148"/>
      <c r="DT138" s="148"/>
      <c r="DU138" s="148"/>
      <c r="DV138" s="148"/>
      <c r="DW138" s="148"/>
      <c r="DX138" s="148"/>
      <c r="DY138" s="148"/>
      <c r="DZ138" s="148"/>
      <c r="EA138" s="148"/>
      <c r="EB138" s="148"/>
      <c r="EC138" s="148"/>
      <c r="ED138" s="148"/>
      <c r="EE138" s="148"/>
      <c r="EF138" s="148"/>
      <c r="EG138" s="148"/>
      <c r="EH138" s="148"/>
      <c r="EI138" s="148"/>
      <c r="EJ138" s="148"/>
      <c r="EK138" s="148"/>
      <c r="EL138" s="148"/>
      <c r="EM138" s="148"/>
      <c r="EN138" s="148"/>
      <c r="EO138" s="148"/>
      <c r="EP138" s="148"/>
      <c r="EQ138" s="148"/>
      <c r="ER138" s="148"/>
      <c r="ES138" s="148"/>
      <c r="ET138" s="148"/>
      <c r="EU138" s="148"/>
      <c r="EV138" s="148"/>
      <c r="EW138" s="148"/>
      <c r="EX138" s="148"/>
      <c r="EY138" s="148"/>
      <c r="EZ138" s="148"/>
      <c r="FA138" s="148"/>
      <c r="FB138" s="148"/>
      <c r="FC138" s="148"/>
      <c r="FD138" s="148"/>
      <c r="FE138" s="148"/>
      <c r="FF138" s="148"/>
      <c r="FG138" s="148"/>
      <c r="FH138" s="148"/>
      <c r="FI138" s="148"/>
      <c r="FJ138" s="148"/>
      <c r="FK138" s="148"/>
      <c r="FL138" s="148"/>
      <c r="FM138" s="148"/>
      <c r="FN138" s="148"/>
      <c r="FO138" s="148"/>
      <c r="FP138" s="148"/>
      <c r="FQ138" s="148"/>
      <c r="FR138" s="148"/>
    </row>
    <row r="139" spans="1:174" s="15" customFormat="1" ht="13.5" customHeight="1" x14ac:dyDescent="0.2">
      <c r="A139" s="148"/>
      <c r="B139" s="307">
        <v>138</v>
      </c>
      <c r="C139" s="307" t="s">
        <v>38</v>
      </c>
      <c r="D139" s="563" t="s">
        <v>1695</v>
      </c>
      <c r="E139" s="564" t="s">
        <v>1696</v>
      </c>
      <c r="F139" s="533" t="s">
        <v>200</v>
      </c>
      <c r="G139" s="533" t="s">
        <v>1411</v>
      </c>
      <c r="H139" s="553" t="s">
        <v>1476</v>
      </c>
      <c r="I139" s="534" t="s">
        <v>43</v>
      </c>
      <c r="J139" s="535">
        <v>969131</v>
      </c>
      <c r="K139" s="535">
        <v>0</v>
      </c>
      <c r="L139" s="535">
        <v>384684</v>
      </c>
      <c r="M139" s="454"/>
      <c r="N139" s="454"/>
      <c r="O139" s="454"/>
      <c r="P139" s="547"/>
      <c r="Q139" s="538">
        <f>5000000/1000+125968</f>
        <v>130968</v>
      </c>
      <c r="R139" s="538">
        <v>130470.41</v>
      </c>
      <c r="S139" s="535">
        <f t="shared" si="3"/>
        <v>261438.41</v>
      </c>
      <c r="T139" s="539">
        <v>2</v>
      </c>
      <c r="U139" s="558">
        <v>15</v>
      </c>
      <c r="V139" s="542">
        <v>44228</v>
      </c>
      <c r="W139" s="542">
        <v>44260</v>
      </c>
      <c r="X139" s="539">
        <v>127285</v>
      </c>
      <c r="Y139" s="544">
        <v>25</v>
      </c>
      <c r="Z139" s="542">
        <v>44263</v>
      </c>
      <c r="AA139" s="542">
        <v>44292</v>
      </c>
      <c r="AB139" s="539">
        <v>194528</v>
      </c>
      <c r="AC139" s="459">
        <v>46</v>
      </c>
      <c r="AD139" s="545">
        <v>44295</v>
      </c>
      <c r="AE139" s="545">
        <v>44327</v>
      </c>
      <c r="AF139" s="554">
        <v>145216</v>
      </c>
      <c r="AG139" s="544">
        <v>55</v>
      </c>
      <c r="AH139" s="545">
        <v>44323</v>
      </c>
      <c r="AI139" s="542">
        <v>44350</v>
      </c>
      <c r="AJ139" s="554">
        <v>2500</v>
      </c>
      <c r="AK139" s="542">
        <v>44354</v>
      </c>
      <c r="AL139" s="542">
        <v>44372</v>
      </c>
      <c r="AM139" s="542"/>
      <c r="AN139" s="542"/>
      <c r="AO139" s="542"/>
      <c r="AP139" s="542"/>
      <c r="AQ139" s="542"/>
      <c r="AR139" s="22">
        <f t="shared" si="4"/>
        <v>469531</v>
      </c>
      <c r="AS139" s="546">
        <f t="shared" si="5"/>
        <v>208092.59</v>
      </c>
      <c r="AT139" s="148"/>
      <c r="AU139" s="148"/>
      <c r="AV139" s="148"/>
      <c r="AW139" s="148"/>
      <c r="AX139" s="148"/>
      <c r="AY139" s="148"/>
      <c r="AZ139" s="148"/>
      <c r="BA139" s="148"/>
      <c r="BB139" s="148"/>
      <c r="BC139" s="148"/>
      <c r="BD139" s="148"/>
      <c r="BE139" s="148"/>
      <c r="BF139" s="148"/>
      <c r="BG139" s="148"/>
      <c r="BH139" s="148"/>
      <c r="BI139" s="148"/>
      <c r="BJ139" s="148"/>
      <c r="BK139" s="148"/>
      <c r="BL139" s="148"/>
      <c r="BM139" s="148"/>
      <c r="BN139" s="148"/>
      <c r="BO139" s="148"/>
      <c r="BP139" s="148"/>
      <c r="BQ139" s="148"/>
      <c r="BR139" s="148"/>
      <c r="BS139" s="148"/>
      <c r="BT139" s="148"/>
      <c r="BU139" s="148"/>
      <c r="BV139" s="148"/>
      <c r="BW139" s="148"/>
      <c r="BX139" s="148"/>
      <c r="BY139" s="148"/>
      <c r="BZ139" s="148"/>
      <c r="CA139" s="148"/>
      <c r="CB139" s="148"/>
      <c r="CC139" s="148"/>
      <c r="CD139" s="148"/>
      <c r="CE139" s="148"/>
      <c r="CF139" s="148"/>
      <c r="CG139" s="148"/>
      <c r="CH139" s="148"/>
      <c r="CI139" s="148"/>
      <c r="CJ139" s="148"/>
      <c r="CK139" s="148"/>
      <c r="CL139" s="148"/>
      <c r="CM139" s="148"/>
      <c r="CN139" s="148"/>
      <c r="CO139" s="148"/>
      <c r="CP139" s="148"/>
      <c r="CQ139" s="148"/>
      <c r="CR139" s="148"/>
      <c r="CS139" s="148"/>
      <c r="CT139" s="148"/>
      <c r="CU139" s="148"/>
      <c r="CV139" s="148"/>
      <c r="CW139" s="148"/>
      <c r="CX139" s="148"/>
      <c r="CY139" s="148"/>
      <c r="CZ139" s="148"/>
      <c r="DA139" s="148"/>
      <c r="DB139" s="148"/>
      <c r="DC139" s="148"/>
      <c r="DD139" s="148"/>
      <c r="DE139" s="148"/>
      <c r="DF139" s="148"/>
      <c r="DG139" s="148"/>
      <c r="DH139" s="148"/>
      <c r="DI139" s="148"/>
      <c r="DJ139" s="148"/>
      <c r="DK139" s="148"/>
      <c r="DL139" s="148"/>
      <c r="DM139" s="148"/>
      <c r="DN139" s="148"/>
      <c r="DO139" s="148"/>
      <c r="DP139" s="148"/>
      <c r="DQ139" s="148"/>
      <c r="DR139" s="148"/>
      <c r="DS139" s="148"/>
      <c r="DT139" s="148"/>
      <c r="DU139" s="148"/>
      <c r="DV139" s="148"/>
      <c r="DW139" s="148"/>
      <c r="DX139" s="148"/>
      <c r="DY139" s="148"/>
      <c r="DZ139" s="148"/>
      <c r="EA139" s="148"/>
      <c r="EB139" s="148"/>
      <c r="EC139" s="148"/>
      <c r="ED139" s="148"/>
      <c r="EE139" s="148"/>
      <c r="EF139" s="148"/>
      <c r="EG139" s="148"/>
      <c r="EH139" s="148"/>
      <c r="EI139" s="148"/>
      <c r="EJ139" s="148"/>
      <c r="EK139" s="148"/>
      <c r="EL139" s="148"/>
      <c r="EM139" s="148"/>
      <c r="EN139" s="148"/>
      <c r="EO139" s="148"/>
      <c r="EP139" s="148"/>
      <c r="EQ139" s="148"/>
      <c r="ER139" s="148"/>
      <c r="ES139" s="148"/>
      <c r="ET139" s="148"/>
      <c r="EU139" s="148"/>
      <c r="EV139" s="148"/>
      <c r="EW139" s="148"/>
      <c r="EX139" s="148"/>
      <c r="EY139" s="148"/>
      <c r="EZ139" s="148"/>
      <c r="FA139" s="148"/>
      <c r="FB139" s="148"/>
      <c r="FC139" s="148"/>
      <c r="FD139" s="148"/>
      <c r="FE139" s="148"/>
      <c r="FF139" s="148"/>
      <c r="FG139" s="148"/>
      <c r="FH139" s="148"/>
      <c r="FI139" s="148"/>
      <c r="FJ139" s="148"/>
      <c r="FK139" s="148"/>
      <c r="FL139" s="148"/>
      <c r="FM139" s="148"/>
      <c r="FN139" s="148"/>
      <c r="FO139" s="148"/>
      <c r="FP139" s="148"/>
      <c r="FQ139" s="148"/>
      <c r="FR139" s="148"/>
    </row>
    <row r="140" spans="1:174" s="15" customFormat="1" ht="13.5" customHeight="1" x14ac:dyDescent="0.2">
      <c r="A140" s="148"/>
      <c r="B140" s="307">
        <v>139</v>
      </c>
      <c r="C140" s="307" t="s">
        <v>38</v>
      </c>
      <c r="D140" s="563" t="s">
        <v>1697</v>
      </c>
      <c r="E140" s="564" t="s">
        <v>1698</v>
      </c>
      <c r="F140" s="533" t="s">
        <v>204</v>
      </c>
      <c r="G140" s="533" t="s">
        <v>1411</v>
      </c>
      <c r="H140" s="553" t="s">
        <v>1473</v>
      </c>
      <c r="I140" s="534" t="s">
        <v>43</v>
      </c>
      <c r="J140" s="535">
        <v>25562</v>
      </c>
      <c r="K140" s="535">
        <v>0</v>
      </c>
      <c r="L140" s="535">
        <v>12014</v>
      </c>
      <c r="M140" s="454"/>
      <c r="N140" s="454"/>
      <c r="O140" s="454"/>
      <c r="P140" s="547"/>
      <c r="Q140" s="538"/>
      <c r="R140" s="538"/>
      <c r="S140" s="535">
        <f t="shared" si="3"/>
        <v>0</v>
      </c>
      <c r="T140" s="539">
        <v>1</v>
      </c>
      <c r="U140" s="558">
        <v>15</v>
      </c>
      <c r="V140" s="542">
        <v>44228</v>
      </c>
      <c r="W140" s="542">
        <v>44260</v>
      </c>
      <c r="X140" s="539">
        <v>7039</v>
      </c>
      <c r="Y140" s="544">
        <v>70</v>
      </c>
      <c r="Z140" s="542">
        <v>44354</v>
      </c>
      <c r="AA140" s="542">
        <v>44372</v>
      </c>
      <c r="AB140" s="539"/>
      <c r="AC140" s="544"/>
      <c r="AD140" s="540"/>
      <c r="AE140" s="542"/>
      <c r="AF140" s="554"/>
      <c r="AG140" s="542"/>
      <c r="AH140" s="542"/>
      <c r="AI140" s="542"/>
      <c r="AJ140" s="554"/>
      <c r="AK140" s="542"/>
      <c r="AL140" s="542"/>
      <c r="AM140" s="542"/>
      <c r="AN140" s="542"/>
      <c r="AO140" s="542"/>
      <c r="AP140" s="542"/>
      <c r="AQ140" s="542"/>
      <c r="AR140" s="22">
        <f t="shared" si="4"/>
        <v>7040</v>
      </c>
      <c r="AS140" s="546">
        <f t="shared" si="5"/>
        <v>7040</v>
      </c>
      <c r="AT140" s="148"/>
      <c r="AU140" s="148"/>
      <c r="AV140" s="148"/>
      <c r="AW140" s="148"/>
      <c r="AX140" s="148"/>
      <c r="AY140" s="148"/>
      <c r="AZ140" s="148"/>
      <c r="BA140" s="148"/>
      <c r="BB140" s="148"/>
      <c r="BC140" s="148"/>
      <c r="BD140" s="148"/>
      <c r="BE140" s="148"/>
      <c r="BF140" s="148"/>
      <c r="BG140" s="148"/>
      <c r="BH140" s="148"/>
      <c r="BI140" s="148"/>
      <c r="BJ140" s="148"/>
      <c r="BK140" s="148"/>
      <c r="BL140" s="148"/>
      <c r="BM140" s="148"/>
      <c r="BN140" s="148"/>
      <c r="BO140" s="148"/>
      <c r="BP140" s="148"/>
      <c r="BQ140" s="148"/>
      <c r="BR140" s="148"/>
      <c r="BS140" s="148"/>
      <c r="BT140" s="148"/>
      <c r="BU140" s="148"/>
      <c r="BV140" s="148"/>
      <c r="BW140" s="148"/>
      <c r="BX140" s="148"/>
      <c r="BY140" s="148"/>
      <c r="BZ140" s="148"/>
      <c r="CA140" s="148"/>
      <c r="CB140" s="148"/>
      <c r="CC140" s="148"/>
      <c r="CD140" s="148"/>
      <c r="CE140" s="148"/>
      <c r="CF140" s="148"/>
      <c r="CG140" s="148"/>
      <c r="CH140" s="148"/>
      <c r="CI140" s="148"/>
      <c r="CJ140" s="148"/>
      <c r="CK140" s="148"/>
      <c r="CL140" s="148"/>
      <c r="CM140" s="148"/>
      <c r="CN140" s="148"/>
      <c r="CO140" s="148"/>
      <c r="CP140" s="148"/>
      <c r="CQ140" s="148"/>
      <c r="CR140" s="148"/>
      <c r="CS140" s="148"/>
      <c r="CT140" s="148"/>
      <c r="CU140" s="148"/>
      <c r="CV140" s="148"/>
      <c r="CW140" s="148"/>
      <c r="CX140" s="148"/>
      <c r="CY140" s="148"/>
      <c r="CZ140" s="148"/>
      <c r="DA140" s="148"/>
      <c r="DB140" s="148"/>
      <c r="DC140" s="148"/>
      <c r="DD140" s="148"/>
      <c r="DE140" s="148"/>
      <c r="DF140" s="148"/>
      <c r="DG140" s="148"/>
      <c r="DH140" s="148"/>
      <c r="DI140" s="148"/>
      <c r="DJ140" s="148"/>
      <c r="DK140" s="148"/>
      <c r="DL140" s="148"/>
      <c r="DM140" s="148"/>
      <c r="DN140" s="148"/>
      <c r="DO140" s="148"/>
      <c r="DP140" s="148"/>
      <c r="DQ140" s="148"/>
      <c r="DR140" s="148"/>
      <c r="DS140" s="148"/>
      <c r="DT140" s="148"/>
      <c r="DU140" s="148"/>
      <c r="DV140" s="148"/>
      <c r="DW140" s="148"/>
      <c r="DX140" s="148"/>
      <c r="DY140" s="148"/>
      <c r="DZ140" s="148"/>
      <c r="EA140" s="148"/>
      <c r="EB140" s="148"/>
      <c r="EC140" s="148"/>
      <c r="ED140" s="148"/>
      <c r="EE140" s="148"/>
      <c r="EF140" s="148"/>
      <c r="EG140" s="148"/>
      <c r="EH140" s="148"/>
      <c r="EI140" s="148"/>
      <c r="EJ140" s="148"/>
      <c r="EK140" s="148"/>
      <c r="EL140" s="148"/>
      <c r="EM140" s="148"/>
      <c r="EN140" s="148"/>
      <c r="EO140" s="148"/>
      <c r="EP140" s="148"/>
      <c r="EQ140" s="148"/>
      <c r="ER140" s="148"/>
      <c r="ES140" s="148"/>
      <c r="ET140" s="148"/>
      <c r="EU140" s="148"/>
      <c r="EV140" s="148"/>
      <c r="EW140" s="148"/>
      <c r="EX140" s="148"/>
      <c r="EY140" s="148"/>
      <c r="EZ140" s="148"/>
      <c r="FA140" s="148"/>
      <c r="FB140" s="148"/>
      <c r="FC140" s="148"/>
      <c r="FD140" s="148"/>
      <c r="FE140" s="148"/>
      <c r="FF140" s="148"/>
      <c r="FG140" s="148"/>
      <c r="FH140" s="148"/>
      <c r="FI140" s="148"/>
      <c r="FJ140" s="148"/>
      <c r="FK140" s="148"/>
      <c r="FL140" s="148"/>
      <c r="FM140" s="148"/>
      <c r="FN140" s="148"/>
      <c r="FO140" s="148"/>
      <c r="FP140" s="148"/>
      <c r="FQ140" s="148"/>
      <c r="FR140" s="148"/>
    </row>
    <row r="141" spans="1:174" s="15" customFormat="1" ht="13.5" customHeight="1" x14ac:dyDescent="0.2">
      <c r="A141" s="148"/>
      <c r="B141" s="307">
        <v>140</v>
      </c>
      <c r="C141" s="307" t="s">
        <v>38</v>
      </c>
      <c r="D141" s="563" t="s">
        <v>1699</v>
      </c>
      <c r="E141" s="564" t="s">
        <v>1700</v>
      </c>
      <c r="F141" s="533" t="s">
        <v>204</v>
      </c>
      <c r="G141" s="533" t="s">
        <v>1411</v>
      </c>
      <c r="H141" s="553" t="s">
        <v>1473</v>
      </c>
      <c r="I141" s="534" t="s">
        <v>43</v>
      </c>
      <c r="J141" s="535">
        <v>43456</v>
      </c>
      <c r="K141" s="535">
        <v>0</v>
      </c>
      <c r="L141" s="535">
        <v>0</v>
      </c>
      <c r="M141" s="454"/>
      <c r="N141" s="454"/>
      <c r="O141" s="454"/>
      <c r="P141" s="547"/>
      <c r="Q141" s="538"/>
      <c r="R141" s="538"/>
      <c r="S141" s="535">
        <f t="shared" ref="S141:S204" si="6">SUM(M141:R141)</f>
        <v>0</v>
      </c>
      <c r="T141" s="539">
        <v>1</v>
      </c>
      <c r="U141" s="558">
        <v>15</v>
      </c>
      <c r="V141" s="542">
        <v>44228</v>
      </c>
      <c r="W141" s="542">
        <v>44260</v>
      </c>
      <c r="X141" s="539">
        <v>12301</v>
      </c>
      <c r="Y141" s="544">
        <v>70</v>
      </c>
      <c r="Z141" s="542">
        <v>44354</v>
      </c>
      <c r="AA141" s="542">
        <v>44372</v>
      </c>
      <c r="AB141" s="539"/>
      <c r="AC141" s="544"/>
      <c r="AD141" s="540"/>
      <c r="AE141" s="542"/>
      <c r="AF141" s="554"/>
      <c r="AG141" s="542"/>
      <c r="AH141" s="542"/>
      <c r="AI141" s="542"/>
      <c r="AJ141" s="554"/>
      <c r="AK141" s="542"/>
      <c r="AL141" s="542"/>
      <c r="AM141" s="542"/>
      <c r="AN141" s="542"/>
      <c r="AO141" s="542"/>
      <c r="AP141" s="542"/>
      <c r="AQ141" s="542"/>
      <c r="AR141" s="22">
        <f t="shared" ref="AR141:AR204" si="7">+T141+X141+AB141+AF141+AJ141+AN141</f>
        <v>12302</v>
      </c>
      <c r="AS141" s="546">
        <f t="shared" ref="AS141:AS188" si="8">+AR141-S141</f>
        <v>12302</v>
      </c>
      <c r="AT141" s="148"/>
      <c r="AU141" s="148"/>
      <c r="AV141" s="148"/>
      <c r="AW141" s="148"/>
      <c r="AX141" s="148"/>
      <c r="AY141" s="148"/>
      <c r="AZ141" s="148"/>
      <c r="BA141" s="148"/>
      <c r="BB141" s="148"/>
      <c r="BC141" s="148"/>
      <c r="BD141" s="148"/>
      <c r="BE141" s="148"/>
      <c r="BF141" s="148"/>
      <c r="BG141" s="148"/>
      <c r="BH141" s="148"/>
      <c r="BI141" s="148"/>
      <c r="BJ141" s="148"/>
      <c r="BK141" s="148"/>
      <c r="BL141" s="148"/>
      <c r="BM141" s="148"/>
      <c r="BN141" s="148"/>
      <c r="BO141" s="148"/>
      <c r="BP141" s="148"/>
      <c r="BQ141" s="148"/>
      <c r="BR141" s="148"/>
      <c r="BS141" s="148"/>
      <c r="BT141" s="148"/>
      <c r="BU141" s="148"/>
      <c r="BV141" s="148"/>
      <c r="BW141" s="148"/>
      <c r="BX141" s="148"/>
      <c r="BY141" s="148"/>
      <c r="BZ141" s="148"/>
      <c r="CA141" s="148"/>
      <c r="CB141" s="148"/>
      <c r="CC141" s="148"/>
      <c r="CD141" s="148"/>
      <c r="CE141" s="148"/>
      <c r="CF141" s="148"/>
      <c r="CG141" s="148"/>
      <c r="CH141" s="148"/>
      <c r="CI141" s="148"/>
      <c r="CJ141" s="148"/>
      <c r="CK141" s="148"/>
      <c r="CL141" s="148"/>
      <c r="CM141" s="148"/>
      <c r="CN141" s="148"/>
      <c r="CO141" s="148"/>
      <c r="CP141" s="148"/>
      <c r="CQ141" s="148"/>
      <c r="CR141" s="148"/>
      <c r="CS141" s="148"/>
      <c r="CT141" s="148"/>
      <c r="CU141" s="148"/>
      <c r="CV141" s="148"/>
      <c r="CW141" s="148"/>
      <c r="CX141" s="148"/>
      <c r="CY141" s="148"/>
      <c r="CZ141" s="148"/>
      <c r="DA141" s="148"/>
      <c r="DB141" s="148"/>
      <c r="DC141" s="148"/>
      <c r="DD141" s="148"/>
      <c r="DE141" s="148"/>
      <c r="DF141" s="148"/>
      <c r="DG141" s="148"/>
      <c r="DH141" s="148"/>
      <c r="DI141" s="148"/>
      <c r="DJ141" s="148"/>
      <c r="DK141" s="148"/>
      <c r="DL141" s="148"/>
      <c r="DM141" s="148"/>
      <c r="DN141" s="148"/>
      <c r="DO141" s="148"/>
      <c r="DP141" s="148"/>
      <c r="DQ141" s="148"/>
      <c r="DR141" s="148"/>
      <c r="DS141" s="148"/>
      <c r="DT141" s="148"/>
      <c r="DU141" s="148"/>
      <c r="DV141" s="148"/>
      <c r="DW141" s="148"/>
      <c r="DX141" s="148"/>
      <c r="DY141" s="148"/>
      <c r="DZ141" s="148"/>
      <c r="EA141" s="148"/>
      <c r="EB141" s="148"/>
      <c r="EC141" s="148"/>
      <c r="ED141" s="148"/>
      <c r="EE141" s="148"/>
      <c r="EF141" s="148"/>
      <c r="EG141" s="148"/>
      <c r="EH141" s="148"/>
      <c r="EI141" s="148"/>
      <c r="EJ141" s="148"/>
      <c r="EK141" s="148"/>
      <c r="EL141" s="148"/>
      <c r="EM141" s="148"/>
      <c r="EN141" s="148"/>
      <c r="EO141" s="148"/>
      <c r="EP141" s="148"/>
      <c r="EQ141" s="148"/>
      <c r="ER141" s="148"/>
      <c r="ES141" s="148"/>
      <c r="ET141" s="148"/>
      <c r="EU141" s="148"/>
      <c r="EV141" s="148"/>
      <c r="EW141" s="148"/>
      <c r="EX141" s="148"/>
      <c r="EY141" s="148"/>
      <c r="EZ141" s="148"/>
      <c r="FA141" s="148"/>
      <c r="FB141" s="148"/>
      <c r="FC141" s="148"/>
      <c r="FD141" s="148"/>
      <c r="FE141" s="148"/>
      <c r="FF141" s="148"/>
      <c r="FG141" s="148"/>
      <c r="FH141" s="148"/>
      <c r="FI141" s="148"/>
      <c r="FJ141" s="148"/>
      <c r="FK141" s="148"/>
      <c r="FL141" s="148"/>
      <c r="FM141" s="148"/>
      <c r="FN141" s="148"/>
      <c r="FO141" s="148"/>
      <c r="FP141" s="148"/>
      <c r="FQ141" s="148"/>
      <c r="FR141" s="148"/>
    </row>
    <row r="142" spans="1:174" s="15" customFormat="1" ht="13.5" customHeight="1" x14ac:dyDescent="0.2">
      <c r="A142" s="148"/>
      <c r="B142" s="307">
        <v>141</v>
      </c>
      <c r="C142" s="307" t="s">
        <v>38</v>
      </c>
      <c r="D142" s="563" t="s">
        <v>1701</v>
      </c>
      <c r="E142" s="564" t="s">
        <v>1702</v>
      </c>
      <c r="F142" s="533" t="s">
        <v>200</v>
      </c>
      <c r="G142" s="533" t="s">
        <v>1411</v>
      </c>
      <c r="H142" s="553" t="s">
        <v>1479</v>
      </c>
      <c r="I142" s="534" t="s">
        <v>43</v>
      </c>
      <c r="J142" s="535">
        <v>244565</v>
      </c>
      <c r="K142" s="535">
        <v>0</v>
      </c>
      <c r="L142" s="535">
        <v>0</v>
      </c>
      <c r="M142" s="454"/>
      <c r="N142" s="454"/>
      <c r="O142" s="454"/>
      <c r="P142" s="547"/>
      <c r="Q142" s="538"/>
      <c r="R142" s="538">
        <v>66996.61</v>
      </c>
      <c r="S142" s="535">
        <f t="shared" si="6"/>
        <v>66996.61</v>
      </c>
      <c r="T142" s="539">
        <v>2</v>
      </c>
      <c r="U142" s="558">
        <v>15</v>
      </c>
      <c r="V142" s="542">
        <v>44228</v>
      </c>
      <c r="W142" s="542">
        <v>44260</v>
      </c>
      <c r="X142" s="539">
        <v>84999</v>
      </c>
      <c r="Y142" s="544">
        <v>55</v>
      </c>
      <c r="Z142" s="542">
        <v>44323</v>
      </c>
      <c r="AA142" s="542">
        <v>44350</v>
      </c>
      <c r="AB142" s="539">
        <v>13599</v>
      </c>
      <c r="AC142" s="544">
        <v>70</v>
      </c>
      <c r="AD142" s="545">
        <v>44354</v>
      </c>
      <c r="AE142" s="542">
        <v>44372</v>
      </c>
      <c r="AF142" s="554"/>
      <c r="AG142" s="542"/>
      <c r="AH142" s="542"/>
      <c r="AI142" s="542"/>
      <c r="AJ142" s="554"/>
      <c r="AK142" s="542"/>
      <c r="AL142" s="542"/>
      <c r="AM142" s="542"/>
      <c r="AN142" s="542"/>
      <c r="AO142" s="542"/>
      <c r="AP142" s="542"/>
      <c r="AQ142" s="542"/>
      <c r="AR142" s="22">
        <f t="shared" si="7"/>
        <v>98600</v>
      </c>
      <c r="AS142" s="546">
        <f t="shared" si="8"/>
        <v>31603.39</v>
      </c>
      <c r="AT142" s="148"/>
      <c r="AU142" s="148"/>
      <c r="AV142" s="148"/>
      <c r="AW142" s="148"/>
      <c r="AX142" s="148"/>
      <c r="AY142" s="148"/>
      <c r="AZ142" s="148"/>
      <c r="BA142" s="148"/>
      <c r="BB142" s="148"/>
      <c r="BC142" s="148"/>
      <c r="BD142" s="148"/>
      <c r="BE142" s="148"/>
      <c r="BF142" s="148"/>
      <c r="BG142" s="148"/>
      <c r="BH142" s="148"/>
      <c r="BI142" s="148"/>
      <c r="BJ142" s="148"/>
      <c r="BK142" s="148"/>
      <c r="BL142" s="148"/>
      <c r="BM142" s="148"/>
      <c r="BN142" s="148"/>
      <c r="BO142" s="148"/>
      <c r="BP142" s="148"/>
      <c r="BQ142" s="148"/>
      <c r="BR142" s="148"/>
      <c r="BS142" s="148"/>
      <c r="BT142" s="148"/>
      <c r="BU142" s="148"/>
      <c r="BV142" s="148"/>
      <c r="BW142" s="148"/>
      <c r="BX142" s="148"/>
      <c r="BY142" s="148"/>
      <c r="BZ142" s="148"/>
      <c r="CA142" s="148"/>
      <c r="CB142" s="148"/>
      <c r="CC142" s="148"/>
      <c r="CD142" s="148"/>
      <c r="CE142" s="148"/>
      <c r="CF142" s="148"/>
      <c r="CG142" s="148"/>
      <c r="CH142" s="148"/>
      <c r="CI142" s="148"/>
      <c r="CJ142" s="148"/>
      <c r="CK142" s="148"/>
      <c r="CL142" s="148"/>
      <c r="CM142" s="148"/>
      <c r="CN142" s="148"/>
      <c r="CO142" s="148"/>
      <c r="CP142" s="148"/>
      <c r="CQ142" s="148"/>
      <c r="CR142" s="148"/>
      <c r="CS142" s="148"/>
      <c r="CT142" s="148"/>
      <c r="CU142" s="148"/>
      <c r="CV142" s="148"/>
      <c r="CW142" s="148"/>
      <c r="CX142" s="148"/>
      <c r="CY142" s="148"/>
      <c r="CZ142" s="148"/>
      <c r="DA142" s="148"/>
      <c r="DB142" s="148"/>
      <c r="DC142" s="148"/>
      <c r="DD142" s="148"/>
      <c r="DE142" s="148"/>
      <c r="DF142" s="148"/>
      <c r="DG142" s="148"/>
      <c r="DH142" s="148"/>
      <c r="DI142" s="148"/>
      <c r="DJ142" s="148"/>
      <c r="DK142" s="148"/>
      <c r="DL142" s="148"/>
      <c r="DM142" s="148"/>
      <c r="DN142" s="148"/>
      <c r="DO142" s="148"/>
      <c r="DP142" s="148"/>
      <c r="DQ142" s="148"/>
      <c r="DR142" s="148"/>
      <c r="DS142" s="148"/>
      <c r="DT142" s="148"/>
      <c r="DU142" s="148"/>
      <c r="DV142" s="148"/>
      <c r="DW142" s="148"/>
      <c r="DX142" s="148"/>
      <c r="DY142" s="148"/>
      <c r="DZ142" s="148"/>
      <c r="EA142" s="148"/>
      <c r="EB142" s="148"/>
      <c r="EC142" s="148"/>
      <c r="ED142" s="148"/>
      <c r="EE142" s="148"/>
      <c r="EF142" s="148"/>
      <c r="EG142" s="148"/>
      <c r="EH142" s="148"/>
      <c r="EI142" s="148"/>
      <c r="EJ142" s="148"/>
      <c r="EK142" s="148"/>
      <c r="EL142" s="148"/>
      <c r="EM142" s="148"/>
      <c r="EN142" s="148"/>
      <c r="EO142" s="148"/>
      <c r="EP142" s="148"/>
      <c r="EQ142" s="148"/>
      <c r="ER142" s="148"/>
      <c r="ES142" s="148"/>
      <c r="ET142" s="148"/>
      <c r="EU142" s="148"/>
      <c r="EV142" s="148"/>
      <c r="EW142" s="148"/>
      <c r="EX142" s="148"/>
      <c r="EY142" s="148"/>
      <c r="EZ142" s="148"/>
      <c r="FA142" s="148"/>
      <c r="FB142" s="148"/>
      <c r="FC142" s="148"/>
      <c r="FD142" s="148"/>
      <c r="FE142" s="148"/>
      <c r="FF142" s="148"/>
      <c r="FG142" s="148"/>
      <c r="FH142" s="148"/>
      <c r="FI142" s="148"/>
      <c r="FJ142" s="148"/>
      <c r="FK142" s="148"/>
      <c r="FL142" s="148"/>
      <c r="FM142" s="148"/>
      <c r="FN142" s="148"/>
      <c r="FO142" s="148"/>
      <c r="FP142" s="148"/>
      <c r="FQ142" s="148"/>
      <c r="FR142" s="148"/>
    </row>
    <row r="143" spans="1:174" s="15" customFormat="1" ht="13.5" customHeight="1" x14ac:dyDescent="0.2">
      <c r="A143" s="148"/>
      <c r="B143" s="307">
        <v>142</v>
      </c>
      <c r="C143" s="307" t="s">
        <v>38</v>
      </c>
      <c r="D143" s="563" t="s">
        <v>1703</v>
      </c>
      <c r="E143" s="564" t="s">
        <v>1704</v>
      </c>
      <c r="F143" s="533" t="s">
        <v>200</v>
      </c>
      <c r="G143" s="533" t="s">
        <v>1411</v>
      </c>
      <c r="H143" s="553" t="s">
        <v>1530</v>
      </c>
      <c r="I143" s="534" t="s">
        <v>43</v>
      </c>
      <c r="J143" s="535">
        <v>329571</v>
      </c>
      <c r="K143" s="535">
        <v>0</v>
      </c>
      <c r="L143" s="535">
        <v>327524</v>
      </c>
      <c r="M143" s="454"/>
      <c r="N143" s="454"/>
      <c r="O143" s="454"/>
      <c r="P143" s="547"/>
      <c r="Q143" s="538"/>
      <c r="R143" s="538"/>
      <c r="S143" s="535">
        <f t="shared" si="6"/>
        <v>0</v>
      </c>
      <c r="T143" s="539">
        <v>2</v>
      </c>
      <c r="U143" s="558">
        <v>15</v>
      </c>
      <c r="V143" s="542">
        <v>44228</v>
      </c>
      <c r="W143" s="542">
        <v>44260</v>
      </c>
      <c r="X143" s="539"/>
      <c r="Y143" s="544"/>
      <c r="Z143" s="545"/>
      <c r="AA143" s="542"/>
      <c r="AB143" s="539"/>
      <c r="AC143" s="544"/>
      <c r="AD143" s="540"/>
      <c r="AE143" s="542"/>
      <c r="AF143" s="554"/>
      <c r="AG143" s="542"/>
      <c r="AH143" s="542"/>
      <c r="AI143" s="542"/>
      <c r="AJ143" s="554"/>
      <c r="AK143" s="542"/>
      <c r="AL143" s="542"/>
      <c r="AM143" s="542"/>
      <c r="AN143" s="542"/>
      <c r="AO143" s="542"/>
      <c r="AP143" s="542"/>
      <c r="AQ143" s="542"/>
      <c r="AR143" s="22">
        <f t="shared" si="7"/>
        <v>2</v>
      </c>
      <c r="AS143" s="546">
        <f t="shared" si="8"/>
        <v>2</v>
      </c>
      <c r="AT143" s="148"/>
      <c r="AU143" s="148"/>
      <c r="AV143" s="148"/>
      <c r="AW143" s="148"/>
      <c r="AX143" s="148"/>
      <c r="AY143" s="148"/>
      <c r="AZ143" s="148"/>
      <c r="BA143" s="148"/>
      <c r="BB143" s="148"/>
      <c r="BC143" s="148"/>
      <c r="BD143" s="148"/>
      <c r="BE143" s="148"/>
      <c r="BF143" s="148"/>
      <c r="BG143" s="148"/>
      <c r="BH143" s="148"/>
      <c r="BI143" s="148"/>
      <c r="BJ143" s="148"/>
      <c r="BK143" s="148"/>
      <c r="BL143" s="148"/>
      <c r="BM143" s="148"/>
      <c r="BN143" s="148"/>
      <c r="BO143" s="148"/>
      <c r="BP143" s="148"/>
      <c r="BQ143" s="148"/>
      <c r="BR143" s="148"/>
      <c r="BS143" s="148"/>
      <c r="BT143" s="148"/>
      <c r="BU143" s="148"/>
      <c r="BV143" s="148"/>
      <c r="BW143" s="148"/>
      <c r="BX143" s="148"/>
      <c r="BY143" s="148"/>
      <c r="BZ143" s="148"/>
      <c r="CA143" s="148"/>
      <c r="CB143" s="148"/>
      <c r="CC143" s="148"/>
      <c r="CD143" s="148"/>
      <c r="CE143" s="148"/>
      <c r="CF143" s="148"/>
      <c r="CG143" s="148"/>
      <c r="CH143" s="148"/>
      <c r="CI143" s="148"/>
      <c r="CJ143" s="148"/>
      <c r="CK143" s="148"/>
      <c r="CL143" s="148"/>
      <c r="CM143" s="148"/>
      <c r="CN143" s="148"/>
      <c r="CO143" s="148"/>
      <c r="CP143" s="148"/>
      <c r="CQ143" s="148"/>
      <c r="CR143" s="148"/>
      <c r="CS143" s="148"/>
      <c r="CT143" s="148"/>
      <c r="CU143" s="148"/>
      <c r="CV143" s="148"/>
      <c r="CW143" s="148"/>
      <c r="CX143" s="148"/>
      <c r="CY143" s="148"/>
      <c r="CZ143" s="148"/>
      <c r="DA143" s="148"/>
      <c r="DB143" s="148"/>
      <c r="DC143" s="148"/>
      <c r="DD143" s="148"/>
      <c r="DE143" s="148"/>
      <c r="DF143" s="148"/>
      <c r="DG143" s="148"/>
      <c r="DH143" s="148"/>
      <c r="DI143" s="148"/>
      <c r="DJ143" s="148"/>
      <c r="DK143" s="148"/>
      <c r="DL143" s="148"/>
      <c r="DM143" s="148"/>
      <c r="DN143" s="148"/>
      <c r="DO143" s="148"/>
      <c r="DP143" s="148"/>
      <c r="DQ143" s="148"/>
      <c r="DR143" s="148"/>
      <c r="DS143" s="148"/>
      <c r="DT143" s="148"/>
      <c r="DU143" s="148"/>
      <c r="DV143" s="148"/>
      <c r="DW143" s="148"/>
      <c r="DX143" s="148"/>
      <c r="DY143" s="148"/>
      <c r="DZ143" s="148"/>
      <c r="EA143" s="148"/>
      <c r="EB143" s="148"/>
      <c r="EC143" s="148"/>
      <c r="ED143" s="148"/>
      <c r="EE143" s="148"/>
      <c r="EF143" s="148"/>
      <c r="EG143" s="148"/>
      <c r="EH143" s="148"/>
      <c r="EI143" s="148"/>
      <c r="EJ143" s="148"/>
      <c r="EK143" s="148"/>
      <c r="EL143" s="148"/>
      <c r="EM143" s="148"/>
      <c r="EN143" s="148"/>
      <c r="EO143" s="148"/>
      <c r="EP143" s="148"/>
      <c r="EQ143" s="148"/>
      <c r="ER143" s="148"/>
      <c r="ES143" s="148"/>
      <c r="ET143" s="148"/>
      <c r="EU143" s="148"/>
      <c r="EV143" s="148"/>
      <c r="EW143" s="148"/>
      <c r="EX143" s="148"/>
      <c r="EY143" s="148"/>
      <c r="EZ143" s="148"/>
      <c r="FA143" s="148"/>
      <c r="FB143" s="148"/>
      <c r="FC143" s="148"/>
      <c r="FD143" s="148"/>
      <c r="FE143" s="148"/>
      <c r="FF143" s="148"/>
      <c r="FG143" s="148"/>
      <c r="FH143" s="148"/>
      <c r="FI143" s="148"/>
      <c r="FJ143" s="148"/>
      <c r="FK143" s="148"/>
      <c r="FL143" s="148"/>
      <c r="FM143" s="148"/>
      <c r="FN143" s="148"/>
      <c r="FO143" s="148"/>
      <c r="FP143" s="148"/>
      <c r="FQ143" s="148"/>
      <c r="FR143" s="148"/>
    </row>
    <row r="144" spans="1:174" s="15" customFormat="1" ht="13.5" customHeight="1" x14ac:dyDescent="0.2">
      <c r="A144" s="148"/>
      <c r="B144" s="307">
        <v>143</v>
      </c>
      <c r="C144" s="307" t="s">
        <v>38</v>
      </c>
      <c r="D144" s="563" t="s">
        <v>1705</v>
      </c>
      <c r="E144" s="564" t="s">
        <v>1706</v>
      </c>
      <c r="F144" s="533" t="s">
        <v>200</v>
      </c>
      <c r="G144" s="533" t="s">
        <v>1411</v>
      </c>
      <c r="H144" s="553" t="s">
        <v>1464</v>
      </c>
      <c r="I144" s="534" t="s">
        <v>43</v>
      </c>
      <c r="J144" s="535">
        <v>910812</v>
      </c>
      <c r="K144" s="535">
        <v>0</v>
      </c>
      <c r="L144" s="535">
        <v>0</v>
      </c>
      <c r="M144" s="454"/>
      <c r="N144" s="454"/>
      <c r="O144" s="454"/>
      <c r="P144" s="547"/>
      <c r="Q144" s="538"/>
      <c r="R144" s="538">
        <v>2536</v>
      </c>
      <c r="S144" s="535">
        <f t="shared" si="6"/>
        <v>2536</v>
      </c>
      <c r="T144" s="539">
        <v>2</v>
      </c>
      <c r="U144" s="558">
        <v>15</v>
      </c>
      <c r="V144" s="542">
        <v>44228</v>
      </c>
      <c r="W144" s="542">
        <v>44260</v>
      </c>
      <c r="X144" s="539">
        <v>2536</v>
      </c>
      <c r="Y144" s="544">
        <v>55</v>
      </c>
      <c r="Z144" s="542">
        <v>44323</v>
      </c>
      <c r="AA144" s="542">
        <v>44350</v>
      </c>
      <c r="AB144" s="539"/>
      <c r="AC144" s="544"/>
      <c r="AD144" s="540"/>
      <c r="AE144" s="542"/>
      <c r="AF144" s="554"/>
      <c r="AG144" s="542"/>
      <c r="AH144" s="542"/>
      <c r="AI144" s="542"/>
      <c r="AJ144" s="554"/>
      <c r="AK144" s="542"/>
      <c r="AL144" s="542"/>
      <c r="AM144" s="542"/>
      <c r="AN144" s="542"/>
      <c r="AO144" s="542"/>
      <c r="AP144" s="542"/>
      <c r="AQ144" s="542"/>
      <c r="AR144" s="22">
        <f t="shared" si="7"/>
        <v>2538</v>
      </c>
      <c r="AS144" s="546">
        <f t="shared" si="8"/>
        <v>2</v>
      </c>
      <c r="AT144" s="148"/>
      <c r="AU144" s="148"/>
      <c r="AV144" s="148"/>
      <c r="AW144" s="148"/>
      <c r="AX144" s="148"/>
      <c r="AY144" s="148"/>
      <c r="AZ144" s="148"/>
      <c r="BA144" s="148"/>
      <c r="BB144" s="148"/>
      <c r="BC144" s="148"/>
      <c r="BD144" s="148"/>
      <c r="BE144" s="148"/>
      <c r="BF144" s="148"/>
      <c r="BG144" s="148"/>
      <c r="BH144" s="148"/>
      <c r="BI144" s="148"/>
      <c r="BJ144" s="148"/>
      <c r="BK144" s="148"/>
      <c r="BL144" s="148"/>
      <c r="BM144" s="148"/>
      <c r="BN144" s="148"/>
      <c r="BO144" s="148"/>
      <c r="BP144" s="148"/>
      <c r="BQ144" s="148"/>
      <c r="BR144" s="148"/>
      <c r="BS144" s="148"/>
      <c r="BT144" s="148"/>
      <c r="BU144" s="148"/>
      <c r="BV144" s="148"/>
      <c r="BW144" s="148"/>
      <c r="BX144" s="148"/>
      <c r="BY144" s="148"/>
      <c r="BZ144" s="148"/>
      <c r="CA144" s="148"/>
      <c r="CB144" s="148"/>
      <c r="CC144" s="148"/>
      <c r="CD144" s="148"/>
      <c r="CE144" s="148"/>
      <c r="CF144" s="148"/>
      <c r="CG144" s="148"/>
      <c r="CH144" s="148"/>
      <c r="CI144" s="148"/>
      <c r="CJ144" s="148"/>
      <c r="CK144" s="148"/>
      <c r="CL144" s="148"/>
      <c r="CM144" s="148"/>
      <c r="CN144" s="148"/>
      <c r="CO144" s="148"/>
      <c r="CP144" s="148"/>
      <c r="CQ144" s="148"/>
      <c r="CR144" s="148"/>
      <c r="CS144" s="148"/>
      <c r="CT144" s="148"/>
      <c r="CU144" s="148"/>
      <c r="CV144" s="148"/>
      <c r="CW144" s="148"/>
      <c r="CX144" s="148"/>
      <c r="CY144" s="148"/>
      <c r="CZ144" s="148"/>
      <c r="DA144" s="148"/>
      <c r="DB144" s="148"/>
      <c r="DC144" s="148"/>
      <c r="DD144" s="148"/>
      <c r="DE144" s="148"/>
      <c r="DF144" s="148"/>
      <c r="DG144" s="148"/>
      <c r="DH144" s="148"/>
      <c r="DI144" s="148"/>
      <c r="DJ144" s="148"/>
      <c r="DK144" s="148"/>
      <c r="DL144" s="148"/>
      <c r="DM144" s="148"/>
      <c r="DN144" s="148"/>
      <c r="DO144" s="148"/>
      <c r="DP144" s="148"/>
      <c r="DQ144" s="148"/>
      <c r="DR144" s="148"/>
      <c r="DS144" s="148"/>
      <c r="DT144" s="148"/>
      <c r="DU144" s="148"/>
      <c r="DV144" s="148"/>
      <c r="DW144" s="148"/>
      <c r="DX144" s="148"/>
      <c r="DY144" s="148"/>
      <c r="DZ144" s="148"/>
      <c r="EA144" s="148"/>
      <c r="EB144" s="148"/>
      <c r="EC144" s="148"/>
      <c r="ED144" s="148"/>
      <c r="EE144" s="148"/>
      <c r="EF144" s="148"/>
      <c r="EG144" s="148"/>
      <c r="EH144" s="148"/>
      <c r="EI144" s="148"/>
      <c r="EJ144" s="148"/>
      <c r="EK144" s="148"/>
      <c r="EL144" s="148"/>
      <c r="EM144" s="148"/>
      <c r="EN144" s="148"/>
      <c r="EO144" s="148"/>
      <c r="EP144" s="148"/>
      <c r="EQ144" s="148"/>
      <c r="ER144" s="148"/>
      <c r="ES144" s="148"/>
      <c r="ET144" s="148"/>
      <c r="EU144" s="148"/>
      <c r="EV144" s="148"/>
      <c r="EW144" s="148"/>
      <c r="EX144" s="148"/>
      <c r="EY144" s="148"/>
      <c r="EZ144" s="148"/>
      <c r="FA144" s="148"/>
      <c r="FB144" s="148"/>
      <c r="FC144" s="148"/>
      <c r="FD144" s="148"/>
      <c r="FE144" s="148"/>
      <c r="FF144" s="148"/>
      <c r="FG144" s="148"/>
      <c r="FH144" s="148"/>
      <c r="FI144" s="148"/>
      <c r="FJ144" s="148"/>
      <c r="FK144" s="148"/>
      <c r="FL144" s="148"/>
      <c r="FM144" s="148"/>
      <c r="FN144" s="148"/>
      <c r="FO144" s="148"/>
      <c r="FP144" s="148"/>
      <c r="FQ144" s="148"/>
      <c r="FR144" s="148"/>
    </row>
    <row r="145" spans="1:174" s="15" customFormat="1" ht="13.5" customHeight="1" x14ac:dyDescent="0.2">
      <c r="A145" s="148"/>
      <c r="B145" s="307">
        <v>144</v>
      </c>
      <c r="C145" s="307" t="s">
        <v>38</v>
      </c>
      <c r="D145" s="563" t="s">
        <v>1707</v>
      </c>
      <c r="E145" s="564" t="s">
        <v>1708</v>
      </c>
      <c r="F145" s="533" t="s">
        <v>204</v>
      </c>
      <c r="G145" s="533" t="s">
        <v>1411</v>
      </c>
      <c r="H145" s="553" t="s">
        <v>1539</v>
      </c>
      <c r="I145" s="534" t="s">
        <v>43</v>
      </c>
      <c r="J145" s="535">
        <v>140714</v>
      </c>
      <c r="K145" s="535">
        <v>0</v>
      </c>
      <c r="L145" s="535">
        <v>96748</v>
      </c>
      <c r="M145" s="454"/>
      <c r="N145" s="454"/>
      <c r="O145" s="454"/>
      <c r="P145" s="547"/>
      <c r="Q145" s="538"/>
      <c r="R145" s="538"/>
      <c r="S145" s="535">
        <f t="shared" si="6"/>
        <v>0</v>
      </c>
      <c r="T145" s="539">
        <v>1</v>
      </c>
      <c r="U145" s="558">
        <v>15</v>
      </c>
      <c r="V145" s="542">
        <v>44228</v>
      </c>
      <c r="W145" s="542">
        <v>44260</v>
      </c>
      <c r="X145" s="539"/>
      <c r="Y145" s="544"/>
      <c r="Z145" s="545"/>
      <c r="AA145" s="542"/>
      <c r="AB145" s="539"/>
      <c r="AC145" s="459"/>
      <c r="AD145" s="540"/>
      <c r="AE145" s="542"/>
      <c r="AF145" s="554"/>
      <c r="AG145" s="542"/>
      <c r="AH145" s="542"/>
      <c r="AI145" s="542"/>
      <c r="AJ145" s="554"/>
      <c r="AK145" s="542"/>
      <c r="AL145" s="542"/>
      <c r="AM145" s="542"/>
      <c r="AN145" s="542"/>
      <c r="AO145" s="542"/>
      <c r="AP145" s="542"/>
      <c r="AQ145" s="542"/>
      <c r="AR145" s="22">
        <f t="shared" si="7"/>
        <v>1</v>
      </c>
      <c r="AS145" s="546">
        <f t="shared" si="8"/>
        <v>1</v>
      </c>
      <c r="AT145" s="148"/>
      <c r="AU145" s="148"/>
      <c r="AV145" s="148"/>
      <c r="AW145" s="148"/>
      <c r="AX145" s="148"/>
      <c r="AY145" s="148"/>
      <c r="AZ145" s="148"/>
      <c r="BA145" s="148"/>
      <c r="BB145" s="148"/>
      <c r="BC145" s="148"/>
      <c r="BD145" s="148"/>
      <c r="BE145" s="148"/>
      <c r="BF145" s="148"/>
      <c r="BG145" s="148"/>
      <c r="BH145" s="148"/>
      <c r="BI145" s="148"/>
      <c r="BJ145" s="148"/>
      <c r="BK145" s="148"/>
      <c r="BL145" s="148"/>
      <c r="BM145" s="148"/>
      <c r="BN145" s="148"/>
      <c r="BO145" s="148"/>
      <c r="BP145" s="148"/>
      <c r="BQ145" s="148"/>
      <c r="BR145" s="148"/>
      <c r="BS145" s="148"/>
      <c r="BT145" s="148"/>
      <c r="BU145" s="148"/>
      <c r="BV145" s="148"/>
      <c r="BW145" s="148"/>
      <c r="BX145" s="148"/>
      <c r="BY145" s="148"/>
      <c r="BZ145" s="148"/>
      <c r="CA145" s="148"/>
      <c r="CB145" s="148"/>
      <c r="CC145" s="148"/>
      <c r="CD145" s="148"/>
      <c r="CE145" s="148"/>
      <c r="CF145" s="148"/>
      <c r="CG145" s="148"/>
      <c r="CH145" s="148"/>
      <c r="CI145" s="148"/>
      <c r="CJ145" s="148"/>
      <c r="CK145" s="148"/>
      <c r="CL145" s="148"/>
      <c r="CM145" s="148"/>
      <c r="CN145" s="148"/>
      <c r="CO145" s="148"/>
      <c r="CP145" s="148"/>
      <c r="CQ145" s="148"/>
      <c r="CR145" s="148"/>
      <c r="CS145" s="148"/>
      <c r="CT145" s="148"/>
      <c r="CU145" s="148"/>
      <c r="CV145" s="148"/>
      <c r="CW145" s="148"/>
      <c r="CX145" s="148"/>
      <c r="CY145" s="148"/>
      <c r="CZ145" s="148"/>
      <c r="DA145" s="148"/>
      <c r="DB145" s="148"/>
      <c r="DC145" s="148"/>
      <c r="DD145" s="148"/>
      <c r="DE145" s="148"/>
      <c r="DF145" s="148"/>
      <c r="DG145" s="148"/>
      <c r="DH145" s="148"/>
      <c r="DI145" s="148"/>
      <c r="DJ145" s="148"/>
      <c r="DK145" s="148"/>
      <c r="DL145" s="148"/>
      <c r="DM145" s="148"/>
      <c r="DN145" s="148"/>
      <c r="DO145" s="148"/>
      <c r="DP145" s="148"/>
      <c r="DQ145" s="148"/>
      <c r="DR145" s="148"/>
      <c r="DS145" s="148"/>
      <c r="DT145" s="148"/>
      <c r="DU145" s="148"/>
      <c r="DV145" s="148"/>
      <c r="DW145" s="148"/>
      <c r="DX145" s="148"/>
      <c r="DY145" s="148"/>
      <c r="DZ145" s="148"/>
      <c r="EA145" s="148"/>
      <c r="EB145" s="148"/>
      <c r="EC145" s="148"/>
      <c r="ED145" s="148"/>
      <c r="EE145" s="148"/>
      <c r="EF145" s="148"/>
      <c r="EG145" s="148"/>
      <c r="EH145" s="148"/>
      <c r="EI145" s="148"/>
      <c r="EJ145" s="148"/>
      <c r="EK145" s="148"/>
      <c r="EL145" s="148"/>
      <c r="EM145" s="148"/>
      <c r="EN145" s="148"/>
      <c r="EO145" s="148"/>
      <c r="EP145" s="148"/>
      <c r="EQ145" s="148"/>
      <c r="ER145" s="148"/>
      <c r="ES145" s="148"/>
      <c r="ET145" s="148"/>
      <c r="EU145" s="148"/>
      <c r="EV145" s="148"/>
      <c r="EW145" s="148"/>
      <c r="EX145" s="148"/>
      <c r="EY145" s="148"/>
      <c r="EZ145" s="148"/>
      <c r="FA145" s="148"/>
      <c r="FB145" s="148"/>
      <c r="FC145" s="148"/>
      <c r="FD145" s="148"/>
      <c r="FE145" s="148"/>
      <c r="FF145" s="148"/>
      <c r="FG145" s="148"/>
      <c r="FH145" s="148"/>
      <c r="FI145" s="148"/>
      <c r="FJ145" s="148"/>
      <c r="FK145" s="148"/>
      <c r="FL145" s="148"/>
      <c r="FM145" s="148"/>
      <c r="FN145" s="148"/>
      <c r="FO145" s="148"/>
      <c r="FP145" s="148"/>
      <c r="FQ145" s="148"/>
      <c r="FR145" s="148"/>
    </row>
    <row r="146" spans="1:174" s="15" customFormat="1" ht="13.5" customHeight="1" x14ac:dyDescent="0.2">
      <c r="A146" s="148"/>
      <c r="B146" s="307">
        <v>145</v>
      </c>
      <c r="C146" s="307" t="s">
        <v>38</v>
      </c>
      <c r="D146" s="563" t="s">
        <v>1709</v>
      </c>
      <c r="E146" s="564" t="s">
        <v>1710</v>
      </c>
      <c r="F146" s="533" t="s">
        <v>200</v>
      </c>
      <c r="G146" s="533" t="s">
        <v>1411</v>
      </c>
      <c r="H146" s="553" t="s">
        <v>1539</v>
      </c>
      <c r="I146" s="534" t="s">
        <v>43</v>
      </c>
      <c r="J146" s="535">
        <v>461362</v>
      </c>
      <c r="K146" s="535">
        <v>0</v>
      </c>
      <c r="L146" s="535">
        <v>358601</v>
      </c>
      <c r="M146" s="454"/>
      <c r="N146" s="454"/>
      <c r="O146" s="454"/>
      <c r="P146" s="547"/>
      <c r="Q146" s="538"/>
      <c r="R146" s="538"/>
      <c r="S146" s="535">
        <f t="shared" si="6"/>
        <v>0</v>
      </c>
      <c r="T146" s="539">
        <v>2</v>
      </c>
      <c r="U146" s="558">
        <v>15</v>
      </c>
      <c r="V146" s="542">
        <v>44228</v>
      </c>
      <c r="W146" s="542">
        <v>44260</v>
      </c>
      <c r="X146" s="539"/>
      <c r="Y146" s="544"/>
      <c r="Z146" s="545"/>
      <c r="AA146" s="542"/>
      <c r="AB146" s="539"/>
      <c r="AC146" s="544"/>
      <c r="AD146" s="540"/>
      <c r="AE146" s="542"/>
      <c r="AF146" s="554"/>
      <c r="AG146" s="542"/>
      <c r="AH146" s="542"/>
      <c r="AI146" s="542"/>
      <c r="AJ146" s="554"/>
      <c r="AK146" s="542"/>
      <c r="AL146" s="542"/>
      <c r="AM146" s="542"/>
      <c r="AN146" s="542"/>
      <c r="AO146" s="542"/>
      <c r="AP146" s="542"/>
      <c r="AQ146" s="542"/>
      <c r="AR146" s="22">
        <f t="shared" si="7"/>
        <v>2</v>
      </c>
      <c r="AS146" s="546">
        <f t="shared" si="8"/>
        <v>2</v>
      </c>
      <c r="AT146" s="148"/>
      <c r="AU146" s="148"/>
      <c r="AV146" s="148"/>
      <c r="AW146" s="148"/>
      <c r="AX146" s="148"/>
      <c r="AY146" s="148"/>
      <c r="AZ146" s="148"/>
      <c r="BA146" s="148"/>
      <c r="BB146" s="148"/>
      <c r="BC146" s="148"/>
      <c r="BD146" s="148"/>
      <c r="BE146" s="148"/>
      <c r="BF146" s="148"/>
      <c r="BG146" s="148"/>
      <c r="BH146" s="148"/>
      <c r="BI146" s="148"/>
      <c r="BJ146" s="148"/>
      <c r="BK146" s="148"/>
      <c r="BL146" s="148"/>
      <c r="BM146" s="148"/>
      <c r="BN146" s="148"/>
      <c r="BO146" s="148"/>
      <c r="BP146" s="148"/>
      <c r="BQ146" s="148"/>
      <c r="BR146" s="148"/>
      <c r="BS146" s="148"/>
      <c r="BT146" s="148"/>
      <c r="BU146" s="148"/>
      <c r="BV146" s="148"/>
      <c r="BW146" s="148"/>
      <c r="BX146" s="148"/>
      <c r="BY146" s="148"/>
      <c r="BZ146" s="148"/>
      <c r="CA146" s="148"/>
      <c r="CB146" s="148"/>
      <c r="CC146" s="148"/>
      <c r="CD146" s="148"/>
      <c r="CE146" s="148"/>
      <c r="CF146" s="148"/>
      <c r="CG146" s="148"/>
      <c r="CH146" s="148"/>
      <c r="CI146" s="148"/>
      <c r="CJ146" s="148"/>
      <c r="CK146" s="148"/>
      <c r="CL146" s="148"/>
      <c r="CM146" s="148"/>
      <c r="CN146" s="148"/>
      <c r="CO146" s="148"/>
      <c r="CP146" s="148"/>
      <c r="CQ146" s="148"/>
      <c r="CR146" s="148"/>
      <c r="CS146" s="148"/>
      <c r="CT146" s="148"/>
      <c r="CU146" s="148"/>
      <c r="CV146" s="148"/>
      <c r="CW146" s="148"/>
      <c r="CX146" s="148"/>
      <c r="CY146" s="148"/>
      <c r="CZ146" s="148"/>
      <c r="DA146" s="148"/>
      <c r="DB146" s="148"/>
      <c r="DC146" s="148"/>
      <c r="DD146" s="148"/>
      <c r="DE146" s="148"/>
      <c r="DF146" s="148"/>
      <c r="DG146" s="148"/>
      <c r="DH146" s="148"/>
      <c r="DI146" s="148"/>
      <c r="DJ146" s="148"/>
      <c r="DK146" s="148"/>
      <c r="DL146" s="148"/>
      <c r="DM146" s="148"/>
      <c r="DN146" s="148"/>
      <c r="DO146" s="148"/>
      <c r="DP146" s="148"/>
      <c r="DQ146" s="148"/>
      <c r="DR146" s="148"/>
      <c r="DS146" s="148"/>
      <c r="DT146" s="148"/>
      <c r="DU146" s="148"/>
      <c r="DV146" s="148"/>
      <c r="DW146" s="148"/>
      <c r="DX146" s="148"/>
      <c r="DY146" s="148"/>
      <c r="DZ146" s="148"/>
      <c r="EA146" s="148"/>
      <c r="EB146" s="148"/>
      <c r="EC146" s="148"/>
      <c r="ED146" s="148"/>
      <c r="EE146" s="148"/>
      <c r="EF146" s="148"/>
      <c r="EG146" s="148"/>
      <c r="EH146" s="148"/>
      <c r="EI146" s="148"/>
      <c r="EJ146" s="148"/>
      <c r="EK146" s="148"/>
      <c r="EL146" s="148"/>
      <c r="EM146" s="148"/>
      <c r="EN146" s="148"/>
      <c r="EO146" s="148"/>
      <c r="EP146" s="148"/>
      <c r="EQ146" s="148"/>
      <c r="ER146" s="148"/>
      <c r="ES146" s="148"/>
      <c r="ET146" s="148"/>
      <c r="EU146" s="148"/>
      <c r="EV146" s="148"/>
      <c r="EW146" s="148"/>
      <c r="EX146" s="148"/>
      <c r="EY146" s="148"/>
      <c r="EZ146" s="148"/>
      <c r="FA146" s="148"/>
      <c r="FB146" s="148"/>
      <c r="FC146" s="148"/>
      <c r="FD146" s="148"/>
      <c r="FE146" s="148"/>
      <c r="FF146" s="148"/>
      <c r="FG146" s="148"/>
      <c r="FH146" s="148"/>
      <c r="FI146" s="148"/>
      <c r="FJ146" s="148"/>
      <c r="FK146" s="148"/>
      <c r="FL146" s="148"/>
      <c r="FM146" s="148"/>
      <c r="FN146" s="148"/>
      <c r="FO146" s="148"/>
      <c r="FP146" s="148"/>
      <c r="FQ146" s="148"/>
      <c r="FR146" s="148"/>
    </row>
    <row r="147" spans="1:174" s="15" customFormat="1" ht="13.5" customHeight="1" x14ac:dyDescent="0.2">
      <c r="A147" s="148"/>
      <c r="B147" s="307">
        <v>146</v>
      </c>
      <c r="C147" s="307" t="s">
        <v>38</v>
      </c>
      <c r="D147" s="563" t="s">
        <v>1711</v>
      </c>
      <c r="E147" s="564" t="s">
        <v>1712</v>
      </c>
      <c r="F147" s="533" t="s">
        <v>200</v>
      </c>
      <c r="G147" s="533" t="s">
        <v>1411</v>
      </c>
      <c r="H147" s="553" t="s">
        <v>1448</v>
      </c>
      <c r="I147" s="534" t="s">
        <v>43</v>
      </c>
      <c r="J147" s="535">
        <v>722145</v>
      </c>
      <c r="K147" s="535">
        <v>0</v>
      </c>
      <c r="L147" s="535">
        <v>10215</v>
      </c>
      <c r="M147" s="454"/>
      <c r="N147" s="454"/>
      <c r="O147" s="454"/>
      <c r="P147" s="547"/>
      <c r="Q147" s="538"/>
      <c r="R147" s="538"/>
      <c r="S147" s="535">
        <f t="shared" si="6"/>
        <v>0</v>
      </c>
      <c r="T147" s="539">
        <v>2</v>
      </c>
      <c r="U147" s="558">
        <v>15</v>
      </c>
      <c r="V147" s="542">
        <v>44228</v>
      </c>
      <c r="W147" s="542">
        <v>44260</v>
      </c>
      <c r="X147" s="539"/>
      <c r="Y147" s="544"/>
      <c r="Z147" s="545"/>
      <c r="AA147" s="542"/>
      <c r="AB147" s="539"/>
      <c r="AC147" s="544"/>
      <c r="AD147" s="540"/>
      <c r="AE147" s="542"/>
      <c r="AF147" s="554"/>
      <c r="AG147" s="542"/>
      <c r="AH147" s="542"/>
      <c r="AI147" s="542"/>
      <c r="AJ147" s="554"/>
      <c r="AK147" s="542"/>
      <c r="AL147" s="542"/>
      <c r="AM147" s="542"/>
      <c r="AN147" s="542"/>
      <c r="AO147" s="542"/>
      <c r="AP147" s="542"/>
      <c r="AQ147" s="542"/>
      <c r="AR147" s="22">
        <f t="shared" si="7"/>
        <v>2</v>
      </c>
      <c r="AS147" s="546">
        <f t="shared" si="8"/>
        <v>2</v>
      </c>
      <c r="AT147" s="148"/>
      <c r="AU147" s="148"/>
      <c r="AV147" s="148"/>
      <c r="AW147" s="148"/>
      <c r="AX147" s="148"/>
      <c r="AY147" s="148"/>
      <c r="AZ147" s="148"/>
      <c r="BA147" s="148"/>
      <c r="BB147" s="148"/>
      <c r="BC147" s="148"/>
      <c r="BD147" s="148"/>
      <c r="BE147" s="148"/>
      <c r="BF147" s="148"/>
      <c r="BG147" s="148"/>
      <c r="BH147" s="148"/>
      <c r="BI147" s="148"/>
      <c r="BJ147" s="148"/>
      <c r="BK147" s="148"/>
      <c r="BL147" s="148"/>
      <c r="BM147" s="148"/>
      <c r="BN147" s="148"/>
      <c r="BO147" s="148"/>
      <c r="BP147" s="148"/>
      <c r="BQ147" s="148"/>
      <c r="BR147" s="148"/>
      <c r="BS147" s="148"/>
      <c r="BT147" s="148"/>
      <c r="BU147" s="148"/>
      <c r="BV147" s="148"/>
      <c r="BW147" s="148"/>
      <c r="BX147" s="148"/>
      <c r="BY147" s="148"/>
      <c r="BZ147" s="148"/>
      <c r="CA147" s="148"/>
      <c r="CB147" s="148"/>
      <c r="CC147" s="148"/>
      <c r="CD147" s="148"/>
      <c r="CE147" s="148"/>
      <c r="CF147" s="148"/>
      <c r="CG147" s="148"/>
      <c r="CH147" s="148"/>
      <c r="CI147" s="148"/>
      <c r="CJ147" s="148"/>
      <c r="CK147" s="148"/>
      <c r="CL147" s="148"/>
      <c r="CM147" s="148"/>
      <c r="CN147" s="148"/>
      <c r="CO147" s="148"/>
      <c r="CP147" s="148"/>
      <c r="CQ147" s="148"/>
      <c r="CR147" s="148"/>
      <c r="CS147" s="148"/>
      <c r="CT147" s="148"/>
      <c r="CU147" s="148"/>
      <c r="CV147" s="148"/>
      <c r="CW147" s="148"/>
      <c r="CX147" s="148"/>
      <c r="CY147" s="148"/>
      <c r="CZ147" s="148"/>
      <c r="DA147" s="148"/>
      <c r="DB147" s="148"/>
      <c r="DC147" s="148"/>
      <c r="DD147" s="148"/>
      <c r="DE147" s="148"/>
      <c r="DF147" s="148"/>
      <c r="DG147" s="148"/>
      <c r="DH147" s="148"/>
      <c r="DI147" s="148"/>
      <c r="DJ147" s="148"/>
      <c r="DK147" s="148"/>
      <c r="DL147" s="148"/>
      <c r="DM147" s="148"/>
      <c r="DN147" s="148"/>
      <c r="DO147" s="148"/>
      <c r="DP147" s="148"/>
      <c r="DQ147" s="148"/>
      <c r="DR147" s="148"/>
      <c r="DS147" s="148"/>
      <c r="DT147" s="148"/>
      <c r="DU147" s="148"/>
      <c r="DV147" s="148"/>
      <c r="DW147" s="148"/>
      <c r="DX147" s="148"/>
      <c r="DY147" s="148"/>
      <c r="DZ147" s="148"/>
      <c r="EA147" s="148"/>
      <c r="EB147" s="148"/>
      <c r="EC147" s="148"/>
      <c r="ED147" s="148"/>
      <c r="EE147" s="148"/>
      <c r="EF147" s="148"/>
      <c r="EG147" s="148"/>
      <c r="EH147" s="148"/>
      <c r="EI147" s="148"/>
      <c r="EJ147" s="148"/>
      <c r="EK147" s="148"/>
      <c r="EL147" s="148"/>
      <c r="EM147" s="148"/>
      <c r="EN147" s="148"/>
      <c r="EO147" s="148"/>
      <c r="EP147" s="148"/>
      <c r="EQ147" s="148"/>
      <c r="ER147" s="148"/>
      <c r="ES147" s="148"/>
      <c r="ET147" s="148"/>
      <c r="EU147" s="148"/>
      <c r="EV147" s="148"/>
      <c r="EW147" s="148"/>
      <c r="EX147" s="148"/>
      <c r="EY147" s="148"/>
      <c r="EZ147" s="148"/>
      <c r="FA147" s="148"/>
      <c r="FB147" s="148"/>
      <c r="FC147" s="148"/>
      <c r="FD147" s="148"/>
      <c r="FE147" s="148"/>
      <c r="FF147" s="148"/>
      <c r="FG147" s="148"/>
      <c r="FH147" s="148"/>
      <c r="FI147" s="148"/>
      <c r="FJ147" s="148"/>
      <c r="FK147" s="148"/>
      <c r="FL147" s="148"/>
      <c r="FM147" s="148"/>
      <c r="FN147" s="148"/>
      <c r="FO147" s="148"/>
      <c r="FP147" s="148"/>
      <c r="FQ147" s="148"/>
      <c r="FR147" s="148"/>
    </row>
    <row r="148" spans="1:174" s="15" customFormat="1" ht="13.5" customHeight="1" x14ac:dyDescent="0.2">
      <c r="A148" s="148"/>
      <c r="B148" s="307">
        <v>147</v>
      </c>
      <c r="C148" s="307" t="s">
        <v>38</v>
      </c>
      <c r="D148" s="563" t="s">
        <v>1713</v>
      </c>
      <c r="E148" s="564" t="s">
        <v>1714</v>
      </c>
      <c r="F148" s="533" t="s">
        <v>204</v>
      </c>
      <c r="G148" s="533" t="s">
        <v>1411</v>
      </c>
      <c r="H148" s="553" t="s">
        <v>1432</v>
      </c>
      <c r="I148" s="534" t="s">
        <v>43</v>
      </c>
      <c r="J148" s="535">
        <v>142767</v>
      </c>
      <c r="K148" s="535">
        <v>0</v>
      </c>
      <c r="L148" s="535">
        <v>142737</v>
      </c>
      <c r="M148" s="454"/>
      <c r="N148" s="454"/>
      <c r="O148" s="454"/>
      <c r="P148" s="547"/>
      <c r="Q148" s="538"/>
      <c r="R148" s="538"/>
      <c r="S148" s="535">
        <f t="shared" si="6"/>
        <v>0</v>
      </c>
      <c r="T148" s="539">
        <v>1</v>
      </c>
      <c r="U148" s="558">
        <v>15</v>
      </c>
      <c r="V148" s="542">
        <v>44228</v>
      </c>
      <c r="W148" s="542">
        <v>44260</v>
      </c>
      <c r="X148" s="539"/>
      <c r="Y148" s="544"/>
      <c r="Z148" s="545"/>
      <c r="AA148" s="542"/>
      <c r="AB148" s="539"/>
      <c r="AC148" s="544"/>
      <c r="AD148" s="540"/>
      <c r="AE148" s="542"/>
      <c r="AF148" s="554"/>
      <c r="AG148" s="542"/>
      <c r="AH148" s="542"/>
      <c r="AI148" s="542"/>
      <c r="AJ148" s="554"/>
      <c r="AK148" s="542"/>
      <c r="AL148" s="542"/>
      <c r="AM148" s="542"/>
      <c r="AN148" s="542"/>
      <c r="AO148" s="542"/>
      <c r="AP148" s="542"/>
      <c r="AQ148" s="542"/>
      <c r="AR148" s="22">
        <f t="shared" si="7"/>
        <v>1</v>
      </c>
      <c r="AS148" s="546">
        <f t="shared" si="8"/>
        <v>1</v>
      </c>
      <c r="AT148" s="148"/>
      <c r="AU148" s="148"/>
      <c r="AV148" s="148"/>
      <c r="AW148" s="148"/>
      <c r="AX148" s="148"/>
      <c r="AY148" s="148"/>
      <c r="AZ148" s="148"/>
      <c r="BA148" s="148"/>
      <c r="BB148" s="148"/>
      <c r="BC148" s="148"/>
      <c r="BD148" s="148"/>
      <c r="BE148" s="148"/>
      <c r="BF148" s="148"/>
      <c r="BG148" s="148"/>
      <c r="BH148" s="148"/>
      <c r="BI148" s="148"/>
      <c r="BJ148" s="148"/>
      <c r="BK148" s="148"/>
      <c r="BL148" s="148"/>
      <c r="BM148" s="148"/>
      <c r="BN148" s="148"/>
      <c r="BO148" s="148"/>
      <c r="BP148" s="148"/>
      <c r="BQ148" s="148"/>
      <c r="BR148" s="148"/>
      <c r="BS148" s="148"/>
      <c r="BT148" s="148"/>
      <c r="BU148" s="148"/>
      <c r="BV148" s="148"/>
      <c r="BW148" s="148"/>
      <c r="BX148" s="148"/>
      <c r="BY148" s="148"/>
      <c r="BZ148" s="148"/>
      <c r="CA148" s="148"/>
      <c r="CB148" s="148"/>
      <c r="CC148" s="148"/>
      <c r="CD148" s="148"/>
      <c r="CE148" s="148"/>
      <c r="CF148" s="148"/>
      <c r="CG148" s="148"/>
      <c r="CH148" s="148"/>
      <c r="CI148" s="148"/>
      <c r="CJ148" s="148"/>
      <c r="CK148" s="148"/>
      <c r="CL148" s="148"/>
      <c r="CM148" s="148"/>
      <c r="CN148" s="148"/>
      <c r="CO148" s="148"/>
      <c r="CP148" s="148"/>
      <c r="CQ148" s="148"/>
      <c r="CR148" s="148"/>
      <c r="CS148" s="148"/>
      <c r="CT148" s="148"/>
      <c r="CU148" s="148"/>
      <c r="CV148" s="148"/>
      <c r="CW148" s="148"/>
      <c r="CX148" s="148"/>
      <c r="CY148" s="148"/>
      <c r="CZ148" s="148"/>
      <c r="DA148" s="148"/>
      <c r="DB148" s="148"/>
      <c r="DC148" s="148"/>
      <c r="DD148" s="148"/>
      <c r="DE148" s="148"/>
      <c r="DF148" s="148"/>
      <c r="DG148" s="148"/>
      <c r="DH148" s="148"/>
      <c r="DI148" s="148"/>
      <c r="DJ148" s="148"/>
      <c r="DK148" s="148"/>
      <c r="DL148" s="148"/>
      <c r="DM148" s="148"/>
      <c r="DN148" s="148"/>
      <c r="DO148" s="148"/>
      <c r="DP148" s="148"/>
      <c r="DQ148" s="148"/>
      <c r="DR148" s="148"/>
      <c r="DS148" s="148"/>
      <c r="DT148" s="148"/>
      <c r="DU148" s="148"/>
      <c r="DV148" s="148"/>
      <c r="DW148" s="148"/>
      <c r="DX148" s="148"/>
      <c r="DY148" s="148"/>
      <c r="DZ148" s="148"/>
      <c r="EA148" s="148"/>
      <c r="EB148" s="148"/>
      <c r="EC148" s="148"/>
      <c r="ED148" s="148"/>
      <c r="EE148" s="148"/>
      <c r="EF148" s="148"/>
      <c r="EG148" s="148"/>
      <c r="EH148" s="148"/>
      <c r="EI148" s="148"/>
      <c r="EJ148" s="148"/>
      <c r="EK148" s="148"/>
      <c r="EL148" s="148"/>
      <c r="EM148" s="148"/>
      <c r="EN148" s="148"/>
      <c r="EO148" s="148"/>
      <c r="EP148" s="148"/>
      <c r="EQ148" s="148"/>
      <c r="ER148" s="148"/>
      <c r="ES148" s="148"/>
      <c r="ET148" s="148"/>
      <c r="EU148" s="148"/>
      <c r="EV148" s="148"/>
      <c r="EW148" s="148"/>
      <c r="EX148" s="148"/>
      <c r="EY148" s="148"/>
      <c r="EZ148" s="148"/>
      <c r="FA148" s="148"/>
      <c r="FB148" s="148"/>
      <c r="FC148" s="148"/>
      <c r="FD148" s="148"/>
      <c r="FE148" s="148"/>
      <c r="FF148" s="148"/>
      <c r="FG148" s="148"/>
      <c r="FH148" s="148"/>
      <c r="FI148" s="148"/>
      <c r="FJ148" s="148"/>
      <c r="FK148" s="148"/>
      <c r="FL148" s="148"/>
      <c r="FM148" s="148"/>
      <c r="FN148" s="148"/>
      <c r="FO148" s="148"/>
      <c r="FP148" s="148"/>
      <c r="FQ148" s="148"/>
      <c r="FR148" s="148"/>
    </row>
    <row r="149" spans="1:174" s="15" customFormat="1" ht="13.5" customHeight="1" x14ac:dyDescent="0.2">
      <c r="A149" s="148"/>
      <c r="B149" s="307">
        <v>148</v>
      </c>
      <c r="C149" s="307" t="s">
        <v>38</v>
      </c>
      <c r="D149" s="563" t="s">
        <v>1715</v>
      </c>
      <c r="E149" s="564" t="s">
        <v>1716</v>
      </c>
      <c r="F149" s="533" t="s">
        <v>200</v>
      </c>
      <c r="G149" s="533" t="s">
        <v>1411</v>
      </c>
      <c r="H149" s="553" t="s">
        <v>1443</v>
      </c>
      <c r="I149" s="534" t="s">
        <v>43</v>
      </c>
      <c r="J149" s="535">
        <v>204499</v>
      </c>
      <c r="K149" s="535">
        <v>0</v>
      </c>
      <c r="L149" s="535">
        <v>171779</v>
      </c>
      <c r="M149" s="454"/>
      <c r="N149" s="454"/>
      <c r="O149" s="454"/>
      <c r="P149" s="547"/>
      <c r="Q149" s="538"/>
      <c r="R149" s="538"/>
      <c r="S149" s="535">
        <f t="shared" si="6"/>
        <v>0</v>
      </c>
      <c r="T149" s="539">
        <v>2</v>
      </c>
      <c r="U149" s="558">
        <v>15</v>
      </c>
      <c r="V149" s="542">
        <v>44228</v>
      </c>
      <c r="W149" s="542">
        <v>44260</v>
      </c>
      <c r="X149" s="539"/>
      <c r="Y149" s="544"/>
      <c r="Z149" s="545"/>
      <c r="AA149" s="542"/>
      <c r="AB149" s="539"/>
      <c r="AC149" s="544"/>
      <c r="AD149" s="540"/>
      <c r="AE149" s="542"/>
      <c r="AF149" s="554"/>
      <c r="AG149" s="542"/>
      <c r="AH149" s="542"/>
      <c r="AI149" s="542"/>
      <c r="AJ149" s="554"/>
      <c r="AK149" s="542"/>
      <c r="AL149" s="542"/>
      <c r="AM149" s="542"/>
      <c r="AN149" s="542"/>
      <c r="AO149" s="542"/>
      <c r="AP149" s="542"/>
      <c r="AQ149" s="542"/>
      <c r="AR149" s="22">
        <f t="shared" si="7"/>
        <v>2</v>
      </c>
      <c r="AS149" s="546">
        <f t="shared" si="8"/>
        <v>2</v>
      </c>
      <c r="AT149" s="148"/>
      <c r="AU149" s="148"/>
      <c r="AV149" s="148"/>
      <c r="AW149" s="148"/>
      <c r="AX149" s="148"/>
      <c r="AY149" s="148"/>
      <c r="AZ149" s="148"/>
      <c r="BA149" s="148"/>
      <c r="BB149" s="148"/>
      <c r="BC149" s="148"/>
      <c r="BD149" s="148"/>
      <c r="BE149" s="148"/>
      <c r="BF149" s="148"/>
      <c r="BG149" s="148"/>
      <c r="BH149" s="148"/>
      <c r="BI149" s="148"/>
      <c r="BJ149" s="148"/>
      <c r="BK149" s="148"/>
      <c r="BL149" s="148"/>
      <c r="BM149" s="148"/>
      <c r="BN149" s="148"/>
      <c r="BO149" s="148"/>
      <c r="BP149" s="148"/>
      <c r="BQ149" s="148"/>
      <c r="BR149" s="148"/>
      <c r="BS149" s="148"/>
      <c r="BT149" s="148"/>
      <c r="BU149" s="148"/>
      <c r="BV149" s="148"/>
      <c r="BW149" s="148"/>
      <c r="BX149" s="148"/>
      <c r="BY149" s="148"/>
      <c r="BZ149" s="148"/>
      <c r="CA149" s="148"/>
      <c r="CB149" s="148"/>
      <c r="CC149" s="148"/>
      <c r="CD149" s="148"/>
      <c r="CE149" s="148"/>
      <c r="CF149" s="148"/>
      <c r="CG149" s="148"/>
      <c r="CH149" s="148"/>
      <c r="CI149" s="148"/>
      <c r="CJ149" s="148"/>
      <c r="CK149" s="148"/>
      <c r="CL149" s="148"/>
      <c r="CM149" s="148"/>
      <c r="CN149" s="148"/>
      <c r="CO149" s="148"/>
      <c r="CP149" s="148"/>
      <c r="CQ149" s="148"/>
      <c r="CR149" s="148"/>
      <c r="CS149" s="148"/>
      <c r="CT149" s="148"/>
      <c r="CU149" s="148"/>
      <c r="CV149" s="148"/>
      <c r="CW149" s="148"/>
      <c r="CX149" s="148"/>
      <c r="CY149" s="148"/>
      <c r="CZ149" s="148"/>
      <c r="DA149" s="148"/>
      <c r="DB149" s="148"/>
      <c r="DC149" s="148"/>
      <c r="DD149" s="148"/>
      <c r="DE149" s="148"/>
      <c r="DF149" s="148"/>
      <c r="DG149" s="148"/>
      <c r="DH149" s="148"/>
      <c r="DI149" s="148"/>
      <c r="DJ149" s="148"/>
      <c r="DK149" s="148"/>
      <c r="DL149" s="148"/>
      <c r="DM149" s="148"/>
      <c r="DN149" s="148"/>
      <c r="DO149" s="148"/>
      <c r="DP149" s="148"/>
      <c r="DQ149" s="148"/>
      <c r="DR149" s="148"/>
      <c r="DS149" s="148"/>
      <c r="DT149" s="148"/>
      <c r="DU149" s="148"/>
      <c r="DV149" s="148"/>
      <c r="DW149" s="148"/>
      <c r="DX149" s="148"/>
      <c r="DY149" s="148"/>
      <c r="DZ149" s="148"/>
      <c r="EA149" s="148"/>
      <c r="EB149" s="148"/>
      <c r="EC149" s="148"/>
      <c r="ED149" s="148"/>
      <c r="EE149" s="148"/>
      <c r="EF149" s="148"/>
      <c r="EG149" s="148"/>
      <c r="EH149" s="148"/>
      <c r="EI149" s="148"/>
      <c r="EJ149" s="148"/>
      <c r="EK149" s="148"/>
      <c r="EL149" s="148"/>
      <c r="EM149" s="148"/>
      <c r="EN149" s="148"/>
      <c r="EO149" s="148"/>
      <c r="EP149" s="148"/>
      <c r="EQ149" s="148"/>
      <c r="ER149" s="148"/>
      <c r="ES149" s="148"/>
      <c r="ET149" s="148"/>
      <c r="EU149" s="148"/>
      <c r="EV149" s="148"/>
      <c r="EW149" s="148"/>
      <c r="EX149" s="148"/>
      <c r="EY149" s="148"/>
      <c r="EZ149" s="148"/>
      <c r="FA149" s="148"/>
      <c r="FB149" s="148"/>
      <c r="FC149" s="148"/>
      <c r="FD149" s="148"/>
      <c r="FE149" s="148"/>
      <c r="FF149" s="148"/>
      <c r="FG149" s="148"/>
      <c r="FH149" s="148"/>
      <c r="FI149" s="148"/>
      <c r="FJ149" s="148"/>
      <c r="FK149" s="148"/>
      <c r="FL149" s="148"/>
      <c r="FM149" s="148"/>
      <c r="FN149" s="148"/>
      <c r="FO149" s="148"/>
      <c r="FP149" s="148"/>
      <c r="FQ149" s="148"/>
      <c r="FR149" s="148"/>
    </row>
    <row r="150" spans="1:174" s="15" customFormat="1" ht="13.5" customHeight="1" x14ac:dyDescent="0.2">
      <c r="A150" s="148"/>
      <c r="B150" s="307">
        <v>149</v>
      </c>
      <c r="C150" s="307" t="s">
        <v>38</v>
      </c>
      <c r="D150" s="563" t="s">
        <v>1717</v>
      </c>
      <c r="E150" s="564" t="s">
        <v>1718</v>
      </c>
      <c r="F150" s="533" t="s">
        <v>200</v>
      </c>
      <c r="G150" s="533" t="s">
        <v>1411</v>
      </c>
      <c r="H150" s="553" t="s">
        <v>1435</v>
      </c>
      <c r="I150" s="534" t="s">
        <v>43</v>
      </c>
      <c r="J150" s="535">
        <v>656339</v>
      </c>
      <c r="K150" s="535">
        <v>0</v>
      </c>
      <c r="L150" s="535">
        <v>653246</v>
      </c>
      <c r="M150" s="454"/>
      <c r="N150" s="454"/>
      <c r="O150" s="454"/>
      <c r="P150" s="547"/>
      <c r="Q150" s="538"/>
      <c r="R150" s="538"/>
      <c r="S150" s="535">
        <f t="shared" si="6"/>
        <v>0</v>
      </c>
      <c r="T150" s="539">
        <v>2</v>
      </c>
      <c r="U150" s="558">
        <v>15</v>
      </c>
      <c r="V150" s="542">
        <v>44228</v>
      </c>
      <c r="W150" s="542">
        <v>44260</v>
      </c>
      <c r="X150" s="539"/>
      <c r="Y150" s="544"/>
      <c r="Z150" s="545"/>
      <c r="AA150" s="542"/>
      <c r="AB150" s="539"/>
      <c r="AC150" s="544"/>
      <c r="AD150" s="540"/>
      <c r="AE150" s="542"/>
      <c r="AF150" s="554"/>
      <c r="AG150" s="542"/>
      <c r="AH150" s="542"/>
      <c r="AI150" s="542"/>
      <c r="AJ150" s="554"/>
      <c r="AK150" s="542"/>
      <c r="AL150" s="542"/>
      <c r="AM150" s="542"/>
      <c r="AN150" s="542"/>
      <c r="AO150" s="542"/>
      <c r="AP150" s="542"/>
      <c r="AQ150" s="542"/>
      <c r="AR150" s="22">
        <f t="shared" si="7"/>
        <v>2</v>
      </c>
      <c r="AS150" s="546">
        <f t="shared" si="8"/>
        <v>2</v>
      </c>
      <c r="AT150" s="148"/>
      <c r="AU150" s="148"/>
      <c r="AV150" s="148"/>
      <c r="AW150" s="148"/>
      <c r="AX150" s="148"/>
      <c r="AY150" s="148"/>
      <c r="AZ150" s="148"/>
      <c r="BA150" s="148"/>
      <c r="BB150" s="148"/>
      <c r="BC150" s="148"/>
      <c r="BD150" s="148"/>
      <c r="BE150" s="148"/>
      <c r="BF150" s="148"/>
      <c r="BG150" s="148"/>
      <c r="BH150" s="148"/>
      <c r="BI150" s="148"/>
      <c r="BJ150" s="148"/>
      <c r="BK150" s="148"/>
      <c r="BL150" s="148"/>
      <c r="BM150" s="148"/>
      <c r="BN150" s="148"/>
      <c r="BO150" s="148"/>
      <c r="BP150" s="148"/>
      <c r="BQ150" s="148"/>
      <c r="BR150" s="148"/>
      <c r="BS150" s="148"/>
      <c r="BT150" s="148"/>
      <c r="BU150" s="148"/>
      <c r="BV150" s="148"/>
      <c r="BW150" s="148"/>
      <c r="BX150" s="148"/>
      <c r="BY150" s="148"/>
      <c r="BZ150" s="148"/>
      <c r="CA150" s="148"/>
      <c r="CB150" s="148"/>
      <c r="CC150" s="148"/>
      <c r="CD150" s="148"/>
      <c r="CE150" s="148"/>
      <c r="CF150" s="148"/>
      <c r="CG150" s="148"/>
      <c r="CH150" s="148"/>
      <c r="CI150" s="148"/>
      <c r="CJ150" s="148"/>
      <c r="CK150" s="148"/>
      <c r="CL150" s="148"/>
      <c r="CM150" s="148"/>
      <c r="CN150" s="148"/>
      <c r="CO150" s="148"/>
      <c r="CP150" s="148"/>
      <c r="CQ150" s="148"/>
      <c r="CR150" s="148"/>
      <c r="CS150" s="148"/>
      <c r="CT150" s="148"/>
      <c r="CU150" s="148"/>
      <c r="CV150" s="148"/>
      <c r="CW150" s="148"/>
      <c r="CX150" s="148"/>
      <c r="CY150" s="148"/>
      <c r="CZ150" s="148"/>
      <c r="DA150" s="148"/>
      <c r="DB150" s="148"/>
      <c r="DC150" s="148"/>
      <c r="DD150" s="148"/>
      <c r="DE150" s="148"/>
      <c r="DF150" s="148"/>
      <c r="DG150" s="148"/>
      <c r="DH150" s="148"/>
      <c r="DI150" s="148"/>
      <c r="DJ150" s="148"/>
      <c r="DK150" s="148"/>
      <c r="DL150" s="148"/>
      <c r="DM150" s="148"/>
      <c r="DN150" s="148"/>
      <c r="DO150" s="148"/>
      <c r="DP150" s="148"/>
      <c r="DQ150" s="148"/>
      <c r="DR150" s="148"/>
      <c r="DS150" s="148"/>
      <c r="DT150" s="148"/>
      <c r="DU150" s="148"/>
      <c r="DV150" s="148"/>
      <c r="DW150" s="148"/>
      <c r="DX150" s="148"/>
      <c r="DY150" s="148"/>
      <c r="DZ150" s="148"/>
      <c r="EA150" s="148"/>
      <c r="EB150" s="148"/>
      <c r="EC150" s="148"/>
      <c r="ED150" s="148"/>
      <c r="EE150" s="148"/>
      <c r="EF150" s="148"/>
      <c r="EG150" s="148"/>
      <c r="EH150" s="148"/>
      <c r="EI150" s="148"/>
      <c r="EJ150" s="148"/>
      <c r="EK150" s="148"/>
      <c r="EL150" s="148"/>
      <c r="EM150" s="148"/>
      <c r="EN150" s="148"/>
      <c r="EO150" s="148"/>
      <c r="EP150" s="148"/>
      <c r="EQ150" s="148"/>
      <c r="ER150" s="148"/>
      <c r="ES150" s="148"/>
      <c r="ET150" s="148"/>
      <c r="EU150" s="148"/>
      <c r="EV150" s="148"/>
      <c r="EW150" s="148"/>
      <c r="EX150" s="148"/>
      <c r="EY150" s="148"/>
      <c r="EZ150" s="148"/>
      <c r="FA150" s="148"/>
      <c r="FB150" s="148"/>
      <c r="FC150" s="148"/>
      <c r="FD150" s="148"/>
      <c r="FE150" s="148"/>
      <c r="FF150" s="148"/>
      <c r="FG150" s="148"/>
      <c r="FH150" s="148"/>
      <c r="FI150" s="148"/>
      <c r="FJ150" s="148"/>
      <c r="FK150" s="148"/>
      <c r="FL150" s="148"/>
      <c r="FM150" s="148"/>
      <c r="FN150" s="148"/>
      <c r="FO150" s="148"/>
      <c r="FP150" s="148"/>
      <c r="FQ150" s="148"/>
      <c r="FR150" s="148"/>
    </row>
    <row r="151" spans="1:174" s="15" customFormat="1" ht="13.5" customHeight="1" x14ac:dyDescent="0.2">
      <c r="A151" s="148"/>
      <c r="B151" s="307">
        <v>150</v>
      </c>
      <c r="C151" s="307" t="s">
        <v>38</v>
      </c>
      <c r="D151" s="563" t="s">
        <v>1719</v>
      </c>
      <c r="E151" s="564" t="s">
        <v>1720</v>
      </c>
      <c r="F151" s="533" t="s">
        <v>200</v>
      </c>
      <c r="G151" s="533" t="s">
        <v>1411</v>
      </c>
      <c r="H151" s="553" t="s">
        <v>1627</v>
      </c>
      <c r="I151" s="534" t="s">
        <v>43</v>
      </c>
      <c r="J151" s="535">
        <v>1381304</v>
      </c>
      <c r="K151" s="535">
        <v>0</v>
      </c>
      <c r="L151" s="535">
        <v>140449</v>
      </c>
      <c r="M151" s="535"/>
      <c r="N151" s="535"/>
      <c r="O151" s="535"/>
      <c r="P151" s="547"/>
      <c r="Q151" s="538"/>
      <c r="R151" s="538">
        <v>274819.53999999998</v>
      </c>
      <c r="S151" s="535">
        <f t="shared" si="6"/>
        <v>274819.53999999998</v>
      </c>
      <c r="T151" s="539">
        <v>2</v>
      </c>
      <c r="U151" s="558">
        <v>15</v>
      </c>
      <c r="V151" s="542">
        <v>44228</v>
      </c>
      <c r="W151" s="542">
        <v>44260</v>
      </c>
      <c r="X151" s="539">
        <v>2999</v>
      </c>
      <c r="Y151" s="544">
        <v>46</v>
      </c>
      <c r="Z151" s="542">
        <v>44295</v>
      </c>
      <c r="AA151" s="542">
        <v>44327</v>
      </c>
      <c r="AB151" s="539">
        <v>570462</v>
      </c>
      <c r="AC151" s="544">
        <v>70</v>
      </c>
      <c r="AD151" s="545">
        <v>44354</v>
      </c>
      <c r="AE151" s="542">
        <v>44372</v>
      </c>
      <c r="AF151" s="554"/>
      <c r="AG151" s="542"/>
      <c r="AH151" s="542"/>
      <c r="AI151" s="542"/>
      <c r="AJ151" s="554"/>
      <c r="AK151" s="542"/>
      <c r="AL151" s="542"/>
      <c r="AM151" s="542"/>
      <c r="AN151" s="542"/>
      <c r="AO151" s="542"/>
      <c r="AP151" s="542"/>
      <c r="AQ151" s="542"/>
      <c r="AR151" s="22">
        <f t="shared" si="7"/>
        <v>573463</v>
      </c>
      <c r="AS151" s="546">
        <f t="shared" si="8"/>
        <v>298643.46000000002</v>
      </c>
      <c r="AT151" s="148"/>
      <c r="AU151" s="148"/>
      <c r="AV151" s="148"/>
      <c r="AW151" s="148"/>
      <c r="AX151" s="148"/>
      <c r="AY151" s="148"/>
      <c r="AZ151" s="148"/>
      <c r="BA151" s="148"/>
      <c r="BB151" s="148"/>
      <c r="BC151" s="148"/>
      <c r="BD151" s="148"/>
      <c r="BE151" s="148"/>
      <c r="BF151" s="148"/>
      <c r="BG151" s="148"/>
      <c r="BH151" s="148"/>
      <c r="BI151" s="148"/>
      <c r="BJ151" s="148"/>
      <c r="BK151" s="148"/>
      <c r="BL151" s="148"/>
      <c r="BM151" s="148"/>
      <c r="BN151" s="148"/>
      <c r="BO151" s="148"/>
      <c r="BP151" s="148"/>
      <c r="BQ151" s="148"/>
      <c r="BR151" s="148"/>
      <c r="BS151" s="148"/>
      <c r="BT151" s="148"/>
      <c r="BU151" s="148"/>
      <c r="BV151" s="148"/>
      <c r="BW151" s="148"/>
      <c r="BX151" s="148"/>
      <c r="BY151" s="148"/>
      <c r="BZ151" s="148"/>
      <c r="CA151" s="148"/>
      <c r="CB151" s="148"/>
      <c r="CC151" s="148"/>
      <c r="CD151" s="148"/>
      <c r="CE151" s="148"/>
      <c r="CF151" s="148"/>
      <c r="CG151" s="148"/>
      <c r="CH151" s="148"/>
      <c r="CI151" s="148"/>
      <c r="CJ151" s="148"/>
      <c r="CK151" s="148"/>
      <c r="CL151" s="148"/>
      <c r="CM151" s="148"/>
      <c r="CN151" s="148"/>
      <c r="CO151" s="148"/>
      <c r="CP151" s="148"/>
      <c r="CQ151" s="148"/>
      <c r="CR151" s="148"/>
      <c r="CS151" s="148"/>
      <c r="CT151" s="148"/>
      <c r="CU151" s="148"/>
      <c r="CV151" s="148"/>
      <c r="CW151" s="148"/>
      <c r="CX151" s="148"/>
      <c r="CY151" s="148"/>
      <c r="CZ151" s="148"/>
      <c r="DA151" s="148"/>
      <c r="DB151" s="148"/>
      <c r="DC151" s="148"/>
      <c r="DD151" s="148"/>
      <c r="DE151" s="148"/>
      <c r="DF151" s="148"/>
      <c r="DG151" s="148"/>
      <c r="DH151" s="148"/>
      <c r="DI151" s="148"/>
      <c r="DJ151" s="148"/>
      <c r="DK151" s="148"/>
      <c r="DL151" s="148"/>
      <c r="DM151" s="148"/>
      <c r="DN151" s="148"/>
      <c r="DO151" s="148"/>
      <c r="DP151" s="148"/>
      <c r="DQ151" s="148"/>
      <c r="DR151" s="148"/>
      <c r="DS151" s="148"/>
      <c r="DT151" s="148"/>
      <c r="DU151" s="148"/>
      <c r="DV151" s="148"/>
      <c r="DW151" s="148"/>
      <c r="DX151" s="148"/>
      <c r="DY151" s="148"/>
      <c r="DZ151" s="148"/>
      <c r="EA151" s="148"/>
      <c r="EB151" s="148"/>
      <c r="EC151" s="148"/>
      <c r="ED151" s="148"/>
      <c r="EE151" s="148"/>
      <c r="EF151" s="148"/>
      <c r="EG151" s="148"/>
      <c r="EH151" s="148"/>
      <c r="EI151" s="148"/>
      <c r="EJ151" s="148"/>
      <c r="EK151" s="148"/>
      <c r="EL151" s="148"/>
      <c r="EM151" s="148"/>
      <c r="EN151" s="148"/>
      <c r="EO151" s="148"/>
      <c r="EP151" s="148"/>
      <c r="EQ151" s="148"/>
      <c r="ER151" s="148"/>
      <c r="ES151" s="148"/>
      <c r="ET151" s="148"/>
      <c r="EU151" s="148"/>
      <c r="EV151" s="148"/>
      <c r="EW151" s="148"/>
      <c r="EX151" s="148"/>
      <c r="EY151" s="148"/>
      <c r="EZ151" s="148"/>
      <c r="FA151" s="148"/>
      <c r="FB151" s="148"/>
      <c r="FC151" s="148"/>
      <c r="FD151" s="148"/>
      <c r="FE151" s="148"/>
      <c r="FF151" s="148"/>
      <c r="FG151" s="148"/>
      <c r="FH151" s="148"/>
      <c r="FI151" s="148"/>
      <c r="FJ151" s="148"/>
      <c r="FK151" s="148"/>
      <c r="FL151" s="148"/>
      <c r="FM151" s="148"/>
      <c r="FN151" s="148"/>
      <c r="FO151" s="148"/>
      <c r="FP151" s="148"/>
      <c r="FQ151" s="148"/>
      <c r="FR151" s="148"/>
    </row>
    <row r="152" spans="1:174" s="15" customFormat="1" ht="13.5" customHeight="1" x14ac:dyDescent="0.2">
      <c r="A152" s="148"/>
      <c r="B152" s="307">
        <v>151</v>
      </c>
      <c r="C152" s="307" t="s">
        <v>38</v>
      </c>
      <c r="D152" s="563" t="s">
        <v>1721</v>
      </c>
      <c r="E152" s="564" t="s">
        <v>1722</v>
      </c>
      <c r="F152" s="533" t="s">
        <v>200</v>
      </c>
      <c r="G152" s="533" t="s">
        <v>1411</v>
      </c>
      <c r="H152" s="553" t="s">
        <v>1440</v>
      </c>
      <c r="I152" s="534" t="s">
        <v>43</v>
      </c>
      <c r="J152" s="535">
        <v>854054</v>
      </c>
      <c r="K152" s="535">
        <v>0</v>
      </c>
      <c r="L152" s="535">
        <v>192203</v>
      </c>
      <c r="M152" s="535"/>
      <c r="N152" s="535"/>
      <c r="O152" s="535"/>
      <c r="P152" s="547"/>
      <c r="Q152" s="538"/>
      <c r="R152" s="538"/>
      <c r="S152" s="535">
        <f t="shared" si="6"/>
        <v>0</v>
      </c>
      <c r="T152" s="539">
        <v>2</v>
      </c>
      <c r="U152" s="558">
        <v>15</v>
      </c>
      <c r="V152" s="542">
        <v>44228</v>
      </c>
      <c r="W152" s="542">
        <v>44260</v>
      </c>
      <c r="X152" s="539"/>
      <c r="Y152" s="544"/>
      <c r="Z152" s="545"/>
      <c r="AA152" s="542"/>
      <c r="AB152" s="539"/>
      <c r="AC152" s="544"/>
      <c r="AD152" s="540"/>
      <c r="AE152" s="542"/>
      <c r="AF152" s="554"/>
      <c r="AG152" s="542"/>
      <c r="AH152" s="542"/>
      <c r="AI152" s="542"/>
      <c r="AJ152" s="554"/>
      <c r="AK152" s="542"/>
      <c r="AL152" s="542"/>
      <c r="AM152" s="542"/>
      <c r="AN152" s="542"/>
      <c r="AO152" s="542"/>
      <c r="AP152" s="542"/>
      <c r="AQ152" s="542"/>
      <c r="AR152" s="22">
        <f t="shared" si="7"/>
        <v>2</v>
      </c>
      <c r="AS152" s="546">
        <f t="shared" si="8"/>
        <v>2</v>
      </c>
      <c r="AT152" s="148"/>
      <c r="AU152" s="148"/>
      <c r="AV152" s="148"/>
      <c r="AW152" s="148"/>
      <c r="AX152" s="148"/>
      <c r="AY152" s="148"/>
      <c r="AZ152" s="148"/>
      <c r="BA152" s="148"/>
      <c r="BB152" s="148"/>
      <c r="BC152" s="148"/>
      <c r="BD152" s="148"/>
      <c r="BE152" s="148"/>
      <c r="BF152" s="148"/>
      <c r="BG152" s="148"/>
      <c r="BH152" s="148"/>
      <c r="BI152" s="148"/>
      <c r="BJ152" s="148"/>
      <c r="BK152" s="148"/>
      <c r="BL152" s="148"/>
      <c r="BM152" s="148"/>
      <c r="BN152" s="148"/>
      <c r="BO152" s="148"/>
      <c r="BP152" s="148"/>
      <c r="BQ152" s="148"/>
      <c r="BR152" s="148"/>
      <c r="BS152" s="148"/>
      <c r="BT152" s="148"/>
      <c r="BU152" s="148"/>
      <c r="BV152" s="148"/>
      <c r="BW152" s="148"/>
      <c r="BX152" s="148"/>
      <c r="BY152" s="148"/>
      <c r="BZ152" s="148"/>
      <c r="CA152" s="148"/>
      <c r="CB152" s="148"/>
      <c r="CC152" s="148"/>
      <c r="CD152" s="148"/>
      <c r="CE152" s="148"/>
      <c r="CF152" s="148"/>
      <c r="CG152" s="148"/>
      <c r="CH152" s="148"/>
      <c r="CI152" s="148"/>
      <c r="CJ152" s="148"/>
      <c r="CK152" s="148"/>
      <c r="CL152" s="148"/>
      <c r="CM152" s="148"/>
      <c r="CN152" s="148"/>
      <c r="CO152" s="148"/>
      <c r="CP152" s="148"/>
      <c r="CQ152" s="148"/>
      <c r="CR152" s="148"/>
      <c r="CS152" s="148"/>
      <c r="CT152" s="148"/>
      <c r="CU152" s="148"/>
      <c r="CV152" s="148"/>
      <c r="CW152" s="148"/>
      <c r="CX152" s="148"/>
      <c r="CY152" s="148"/>
      <c r="CZ152" s="148"/>
      <c r="DA152" s="148"/>
      <c r="DB152" s="148"/>
      <c r="DC152" s="148"/>
      <c r="DD152" s="148"/>
      <c r="DE152" s="148"/>
      <c r="DF152" s="148"/>
      <c r="DG152" s="148"/>
      <c r="DH152" s="148"/>
      <c r="DI152" s="148"/>
      <c r="DJ152" s="148"/>
      <c r="DK152" s="148"/>
      <c r="DL152" s="148"/>
      <c r="DM152" s="148"/>
      <c r="DN152" s="148"/>
      <c r="DO152" s="148"/>
      <c r="DP152" s="148"/>
      <c r="DQ152" s="148"/>
      <c r="DR152" s="148"/>
      <c r="DS152" s="148"/>
      <c r="DT152" s="148"/>
      <c r="DU152" s="148"/>
      <c r="DV152" s="148"/>
      <c r="DW152" s="148"/>
      <c r="DX152" s="148"/>
      <c r="DY152" s="148"/>
      <c r="DZ152" s="148"/>
      <c r="EA152" s="148"/>
      <c r="EB152" s="148"/>
      <c r="EC152" s="148"/>
      <c r="ED152" s="148"/>
      <c r="EE152" s="148"/>
      <c r="EF152" s="148"/>
      <c r="EG152" s="148"/>
      <c r="EH152" s="148"/>
      <c r="EI152" s="148"/>
      <c r="EJ152" s="148"/>
      <c r="EK152" s="148"/>
      <c r="EL152" s="148"/>
      <c r="EM152" s="148"/>
      <c r="EN152" s="148"/>
      <c r="EO152" s="148"/>
      <c r="EP152" s="148"/>
      <c r="EQ152" s="148"/>
      <c r="ER152" s="148"/>
      <c r="ES152" s="148"/>
      <c r="ET152" s="148"/>
      <c r="EU152" s="148"/>
      <c r="EV152" s="148"/>
      <c r="EW152" s="148"/>
      <c r="EX152" s="148"/>
      <c r="EY152" s="148"/>
      <c r="EZ152" s="148"/>
      <c r="FA152" s="148"/>
      <c r="FB152" s="148"/>
      <c r="FC152" s="148"/>
      <c r="FD152" s="148"/>
      <c r="FE152" s="148"/>
      <c r="FF152" s="148"/>
      <c r="FG152" s="148"/>
      <c r="FH152" s="148"/>
      <c r="FI152" s="148"/>
      <c r="FJ152" s="148"/>
      <c r="FK152" s="148"/>
      <c r="FL152" s="148"/>
      <c r="FM152" s="148"/>
      <c r="FN152" s="148"/>
      <c r="FO152" s="148"/>
      <c r="FP152" s="148"/>
      <c r="FQ152" s="148"/>
      <c r="FR152" s="148"/>
    </row>
    <row r="153" spans="1:174" s="148" customFormat="1" ht="13.5" customHeight="1" x14ac:dyDescent="0.2">
      <c r="B153" s="149">
        <v>152</v>
      </c>
      <c r="C153" s="149" t="s">
        <v>38</v>
      </c>
      <c r="D153" s="565" t="s">
        <v>1723</v>
      </c>
      <c r="E153" s="566" t="s">
        <v>1724</v>
      </c>
      <c r="F153" s="452" t="s">
        <v>204</v>
      </c>
      <c r="G153" s="452" t="s">
        <v>1411</v>
      </c>
      <c r="H153" s="463" t="s">
        <v>1440</v>
      </c>
      <c r="I153" s="453" t="s">
        <v>43</v>
      </c>
      <c r="J153" s="535">
        <v>46012</v>
      </c>
      <c r="K153" s="454">
        <v>0</v>
      </c>
      <c r="L153" s="454">
        <v>9202</v>
      </c>
      <c r="M153" s="454"/>
      <c r="N153" s="454"/>
      <c r="O153" s="454">
        <v>4500</v>
      </c>
      <c r="P153" s="567"/>
      <c r="Q153" s="538"/>
      <c r="R153" s="538">
        <v>4500</v>
      </c>
      <c r="S153" s="535">
        <f t="shared" si="6"/>
        <v>9000</v>
      </c>
      <c r="T153" s="455">
        <v>1</v>
      </c>
      <c r="U153" s="456">
        <v>15</v>
      </c>
      <c r="V153" s="458">
        <v>44228</v>
      </c>
      <c r="W153" s="458">
        <v>44260</v>
      </c>
      <c r="X153" s="539">
        <v>4499</v>
      </c>
      <c r="Y153" s="544">
        <v>25</v>
      </c>
      <c r="Z153" s="542">
        <v>44263</v>
      </c>
      <c r="AA153" s="542">
        <v>44292</v>
      </c>
      <c r="AB153" s="455">
        <v>5000</v>
      </c>
      <c r="AC153" s="459">
        <v>46</v>
      </c>
      <c r="AD153" s="545">
        <v>44295</v>
      </c>
      <c r="AE153" s="545">
        <v>44327</v>
      </c>
      <c r="AF153" s="568">
        <v>8500</v>
      </c>
      <c r="AG153" s="544">
        <v>55</v>
      </c>
      <c r="AH153" s="542">
        <v>44323</v>
      </c>
      <c r="AI153" s="542">
        <v>44350</v>
      </c>
      <c r="AJ153" s="554"/>
      <c r="AK153" s="458"/>
      <c r="AL153" s="458"/>
      <c r="AM153" s="458"/>
      <c r="AN153" s="458"/>
      <c r="AO153" s="458"/>
      <c r="AP153" s="458"/>
      <c r="AQ153" s="458"/>
      <c r="AR153" s="22">
        <f t="shared" si="7"/>
        <v>18000</v>
      </c>
      <c r="AS153" s="461">
        <f>+AR153-S153</f>
        <v>9000</v>
      </c>
    </row>
    <row r="154" spans="1:174" s="15" customFormat="1" ht="13.5" customHeight="1" x14ac:dyDescent="0.2">
      <c r="A154" s="148"/>
      <c r="B154" s="307">
        <v>153</v>
      </c>
      <c r="C154" s="307" t="s">
        <v>38</v>
      </c>
      <c r="D154" s="563" t="s">
        <v>1725</v>
      </c>
      <c r="E154" s="564" t="s">
        <v>1726</v>
      </c>
      <c r="F154" s="533" t="s">
        <v>539</v>
      </c>
      <c r="G154" s="533" t="s">
        <v>1411</v>
      </c>
      <c r="H154" s="553" t="s">
        <v>1503</v>
      </c>
      <c r="I154" s="534" t="s">
        <v>43</v>
      </c>
      <c r="J154" s="535">
        <v>832315</v>
      </c>
      <c r="K154" s="535">
        <v>0</v>
      </c>
      <c r="L154" s="535">
        <v>797550</v>
      </c>
      <c r="M154" s="535"/>
      <c r="N154" s="535"/>
      <c r="O154" s="535"/>
      <c r="P154" s="547"/>
      <c r="Q154" s="538"/>
      <c r="R154" s="538"/>
      <c r="S154" s="535">
        <f t="shared" si="6"/>
        <v>0</v>
      </c>
      <c r="T154" s="539">
        <v>1</v>
      </c>
      <c r="U154" s="558">
        <v>15</v>
      </c>
      <c r="V154" s="542">
        <v>44228</v>
      </c>
      <c r="W154" s="542">
        <v>44260</v>
      </c>
      <c r="X154" s="539"/>
      <c r="Y154" s="544"/>
      <c r="Z154" s="545"/>
      <c r="AA154" s="542"/>
      <c r="AB154" s="539"/>
      <c r="AC154" s="544"/>
      <c r="AD154" s="540"/>
      <c r="AE154" s="542"/>
      <c r="AF154" s="554"/>
      <c r="AG154" s="544"/>
      <c r="AH154" s="542"/>
      <c r="AI154" s="542"/>
      <c r="AJ154" s="554"/>
      <c r="AK154" s="542"/>
      <c r="AL154" s="542"/>
      <c r="AM154" s="542"/>
      <c r="AN154" s="542"/>
      <c r="AO154" s="542"/>
      <c r="AP154" s="542"/>
      <c r="AQ154" s="542"/>
      <c r="AR154" s="22">
        <f t="shared" si="7"/>
        <v>1</v>
      </c>
      <c r="AS154" s="546">
        <f t="shared" si="8"/>
        <v>1</v>
      </c>
      <c r="AT154" s="148"/>
      <c r="AU154" s="148"/>
      <c r="AV154" s="148"/>
      <c r="AW154" s="148"/>
      <c r="AX154" s="148"/>
      <c r="AY154" s="148"/>
      <c r="AZ154" s="148"/>
      <c r="BA154" s="148"/>
      <c r="BB154" s="148"/>
      <c r="BC154" s="148"/>
      <c r="BD154" s="148"/>
      <c r="BE154" s="148"/>
      <c r="BF154" s="148"/>
      <c r="BG154" s="148"/>
      <c r="BH154" s="148"/>
      <c r="BI154" s="148"/>
      <c r="BJ154" s="148"/>
      <c r="BK154" s="148"/>
      <c r="BL154" s="148"/>
      <c r="BM154" s="148"/>
      <c r="BN154" s="148"/>
      <c r="BO154" s="148"/>
      <c r="BP154" s="148"/>
      <c r="BQ154" s="148"/>
      <c r="BR154" s="148"/>
      <c r="BS154" s="148"/>
      <c r="BT154" s="148"/>
      <c r="BU154" s="148"/>
      <c r="BV154" s="148"/>
      <c r="BW154" s="148"/>
      <c r="BX154" s="148"/>
      <c r="BY154" s="148"/>
      <c r="BZ154" s="148"/>
      <c r="CA154" s="148"/>
      <c r="CB154" s="148"/>
      <c r="CC154" s="148"/>
      <c r="CD154" s="148"/>
      <c r="CE154" s="148"/>
      <c r="CF154" s="148"/>
      <c r="CG154" s="148"/>
      <c r="CH154" s="148"/>
      <c r="CI154" s="148"/>
      <c r="CJ154" s="148"/>
      <c r="CK154" s="148"/>
      <c r="CL154" s="148"/>
      <c r="CM154" s="148"/>
      <c r="CN154" s="148"/>
      <c r="CO154" s="148"/>
      <c r="CP154" s="148"/>
      <c r="CQ154" s="148"/>
      <c r="CR154" s="148"/>
      <c r="CS154" s="148"/>
      <c r="CT154" s="148"/>
      <c r="CU154" s="148"/>
      <c r="CV154" s="148"/>
      <c r="CW154" s="148"/>
      <c r="CX154" s="148"/>
      <c r="CY154" s="148"/>
      <c r="CZ154" s="148"/>
      <c r="DA154" s="148"/>
      <c r="DB154" s="148"/>
      <c r="DC154" s="148"/>
      <c r="DD154" s="148"/>
      <c r="DE154" s="148"/>
      <c r="DF154" s="148"/>
      <c r="DG154" s="148"/>
      <c r="DH154" s="148"/>
      <c r="DI154" s="148"/>
      <c r="DJ154" s="148"/>
      <c r="DK154" s="148"/>
      <c r="DL154" s="148"/>
      <c r="DM154" s="148"/>
      <c r="DN154" s="148"/>
      <c r="DO154" s="148"/>
      <c r="DP154" s="148"/>
      <c r="DQ154" s="148"/>
      <c r="DR154" s="148"/>
      <c r="DS154" s="148"/>
      <c r="DT154" s="148"/>
      <c r="DU154" s="148"/>
      <c r="DV154" s="148"/>
      <c r="DW154" s="148"/>
      <c r="DX154" s="148"/>
      <c r="DY154" s="148"/>
      <c r="DZ154" s="148"/>
      <c r="EA154" s="148"/>
      <c r="EB154" s="148"/>
      <c r="EC154" s="148"/>
      <c r="ED154" s="148"/>
      <c r="EE154" s="148"/>
      <c r="EF154" s="148"/>
      <c r="EG154" s="148"/>
      <c r="EH154" s="148"/>
      <c r="EI154" s="148"/>
      <c r="EJ154" s="148"/>
      <c r="EK154" s="148"/>
      <c r="EL154" s="148"/>
      <c r="EM154" s="148"/>
      <c r="EN154" s="148"/>
      <c r="EO154" s="148"/>
      <c r="EP154" s="148"/>
      <c r="EQ154" s="148"/>
      <c r="ER154" s="148"/>
      <c r="ES154" s="148"/>
      <c r="ET154" s="148"/>
      <c r="EU154" s="148"/>
      <c r="EV154" s="148"/>
      <c r="EW154" s="148"/>
      <c r="EX154" s="148"/>
      <c r="EY154" s="148"/>
      <c r="EZ154" s="148"/>
      <c r="FA154" s="148"/>
      <c r="FB154" s="148"/>
      <c r="FC154" s="148"/>
      <c r="FD154" s="148"/>
      <c r="FE154" s="148"/>
      <c r="FF154" s="148"/>
      <c r="FG154" s="148"/>
      <c r="FH154" s="148"/>
      <c r="FI154" s="148"/>
      <c r="FJ154" s="148"/>
      <c r="FK154" s="148"/>
      <c r="FL154" s="148"/>
      <c r="FM154" s="148"/>
      <c r="FN154" s="148"/>
      <c r="FO154" s="148"/>
      <c r="FP154" s="148"/>
      <c r="FQ154" s="148"/>
      <c r="FR154" s="148"/>
    </row>
    <row r="155" spans="1:174" s="15" customFormat="1" ht="13.5" customHeight="1" x14ac:dyDescent="0.2">
      <c r="A155" s="148"/>
      <c r="B155" s="307">
        <v>155</v>
      </c>
      <c r="C155" s="307" t="s">
        <v>38</v>
      </c>
      <c r="D155" s="563" t="s">
        <v>1727</v>
      </c>
      <c r="E155" s="564" t="s">
        <v>1728</v>
      </c>
      <c r="F155" s="533" t="s">
        <v>204</v>
      </c>
      <c r="G155" s="533" t="s">
        <v>1411</v>
      </c>
      <c r="H155" s="553" t="s">
        <v>1457</v>
      </c>
      <c r="I155" s="534" t="s">
        <v>43</v>
      </c>
      <c r="J155" s="535">
        <v>655331</v>
      </c>
      <c r="K155" s="535">
        <v>0</v>
      </c>
      <c r="L155" s="535">
        <v>623169</v>
      </c>
      <c r="M155" s="535"/>
      <c r="N155" s="535"/>
      <c r="O155" s="535"/>
      <c r="P155" s="547"/>
      <c r="Q155" s="538"/>
      <c r="R155" s="538"/>
      <c r="S155" s="535">
        <f t="shared" si="6"/>
        <v>0</v>
      </c>
      <c r="T155" s="539">
        <v>1</v>
      </c>
      <c r="U155" s="558">
        <v>15</v>
      </c>
      <c r="V155" s="542">
        <v>44228</v>
      </c>
      <c r="W155" s="542">
        <v>44260</v>
      </c>
      <c r="X155" s="539"/>
      <c r="Y155" s="544"/>
      <c r="Z155" s="545"/>
      <c r="AA155" s="542"/>
      <c r="AB155" s="539"/>
      <c r="AC155" s="544"/>
      <c r="AD155" s="540"/>
      <c r="AE155" s="542"/>
      <c r="AF155" s="554"/>
      <c r="AG155" s="544"/>
      <c r="AH155" s="542"/>
      <c r="AI155" s="542"/>
      <c r="AJ155" s="554"/>
      <c r="AK155" s="542"/>
      <c r="AL155" s="542"/>
      <c r="AM155" s="542"/>
      <c r="AN155" s="542"/>
      <c r="AO155" s="542"/>
      <c r="AP155" s="542"/>
      <c r="AQ155" s="542"/>
      <c r="AR155" s="22">
        <f t="shared" si="7"/>
        <v>1</v>
      </c>
      <c r="AS155" s="546">
        <f t="shared" si="8"/>
        <v>1</v>
      </c>
      <c r="AT155" s="148"/>
      <c r="AU155" s="148"/>
      <c r="AV155" s="148"/>
      <c r="AW155" s="148"/>
      <c r="AX155" s="148"/>
      <c r="AY155" s="148"/>
      <c r="AZ155" s="148"/>
      <c r="BA155" s="148"/>
      <c r="BB155" s="148"/>
      <c r="BC155" s="148"/>
      <c r="BD155" s="148"/>
      <c r="BE155" s="148"/>
      <c r="BF155" s="148"/>
      <c r="BG155" s="148"/>
      <c r="BH155" s="148"/>
      <c r="BI155" s="148"/>
      <c r="BJ155" s="148"/>
      <c r="BK155" s="148"/>
      <c r="BL155" s="148"/>
      <c r="BM155" s="148"/>
      <c r="BN155" s="148"/>
      <c r="BO155" s="148"/>
      <c r="BP155" s="148"/>
      <c r="BQ155" s="148"/>
      <c r="BR155" s="148"/>
      <c r="BS155" s="148"/>
      <c r="BT155" s="148"/>
      <c r="BU155" s="148"/>
      <c r="BV155" s="148"/>
      <c r="BW155" s="148"/>
      <c r="BX155" s="148"/>
      <c r="BY155" s="148"/>
      <c r="BZ155" s="148"/>
      <c r="CA155" s="148"/>
      <c r="CB155" s="148"/>
      <c r="CC155" s="148"/>
      <c r="CD155" s="148"/>
      <c r="CE155" s="148"/>
      <c r="CF155" s="148"/>
      <c r="CG155" s="148"/>
      <c r="CH155" s="148"/>
      <c r="CI155" s="148"/>
      <c r="CJ155" s="148"/>
      <c r="CK155" s="148"/>
      <c r="CL155" s="148"/>
      <c r="CM155" s="148"/>
      <c r="CN155" s="148"/>
      <c r="CO155" s="148"/>
      <c r="CP155" s="148"/>
      <c r="CQ155" s="148"/>
      <c r="CR155" s="148"/>
      <c r="CS155" s="148"/>
      <c r="CT155" s="148"/>
      <c r="CU155" s="148"/>
      <c r="CV155" s="148"/>
      <c r="CW155" s="148"/>
      <c r="CX155" s="148"/>
      <c r="CY155" s="148"/>
      <c r="CZ155" s="148"/>
      <c r="DA155" s="148"/>
      <c r="DB155" s="148"/>
      <c r="DC155" s="148"/>
      <c r="DD155" s="148"/>
      <c r="DE155" s="148"/>
      <c r="DF155" s="148"/>
      <c r="DG155" s="148"/>
      <c r="DH155" s="148"/>
      <c r="DI155" s="148"/>
      <c r="DJ155" s="148"/>
      <c r="DK155" s="148"/>
      <c r="DL155" s="148"/>
      <c r="DM155" s="148"/>
      <c r="DN155" s="148"/>
      <c r="DO155" s="148"/>
      <c r="DP155" s="148"/>
      <c r="DQ155" s="148"/>
      <c r="DR155" s="148"/>
      <c r="DS155" s="148"/>
      <c r="DT155" s="148"/>
      <c r="DU155" s="148"/>
      <c r="DV155" s="148"/>
      <c r="DW155" s="148"/>
      <c r="DX155" s="148"/>
      <c r="DY155" s="148"/>
      <c r="DZ155" s="148"/>
      <c r="EA155" s="148"/>
      <c r="EB155" s="148"/>
      <c r="EC155" s="148"/>
      <c r="ED155" s="148"/>
      <c r="EE155" s="148"/>
      <c r="EF155" s="148"/>
      <c r="EG155" s="148"/>
      <c r="EH155" s="148"/>
      <c r="EI155" s="148"/>
      <c r="EJ155" s="148"/>
      <c r="EK155" s="148"/>
      <c r="EL155" s="148"/>
      <c r="EM155" s="148"/>
      <c r="EN155" s="148"/>
      <c r="EO155" s="148"/>
      <c r="EP155" s="148"/>
      <c r="EQ155" s="148"/>
      <c r="ER155" s="148"/>
      <c r="ES155" s="148"/>
      <c r="ET155" s="148"/>
      <c r="EU155" s="148"/>
      <c r="EV155" s="148"/>
      <c r="EW155" s="148"/>
      <c r="EX155" s="148"/>
      <c r="EY155" s="148"/>
      <c r="EZ155" s="148"/>
      <c r="FA155" s="148"/>
      <c r="FB155" s="148"/>
      <c r="FC155" s="148"/>
      <c r="FD155" s="148"/>
      <c r="FE155" s="148"/>
      <c r="FF155" s="148"/>
      <c r="FG155" s="148"/>
      <c r="FH155" s="148"/>
      <c r="FI155" s="148"/>
      <c r="FJ155" s="148"/>
      <c r="FK155" s="148"/>
      <c r="FL155" s="148"/>
      <c r="FM155" s="148"/>
      <c r="FN155" s="148"/>
      <c r="FO155" s="148"/>
      <c r="FP155" s="148"/>
      <c r="FQ155" s="148"/>
      <c r="FR155" s="148"/>
    </row>
    <row r="156" spans="1:174" s="15" customFormat="1" ht="13.5" customHeight="1" x14ac:dyDescent="0.2">
      <c r="A156" s="148"/>
      <c r="B156" s="307">
        <v>156</v>
      </c>
      <c r="C156" s="307" t="s">
        <v>38</v>
      </c>
      <c r="D156" s="563" t="s">
        <v>1729</v>
      </c>
      <c r="E156" s="564" t="s">
        <v>1730</v>
      </c>
      <c r="F156" s="533" t="s">
        <v>204</v>
      </c>
      <c r="G156" s="533" t="s">
        <v>1411</v>
      </c>
      <c r="H156" s="553" t="s">
        <v>1457</v>
      </c>
      <c r="I156" s="534" t="s">
        <v>42</v>
      </c>
      <c r="J156" s="535">
        <v>20014</v>
      </c>
      <c r="K156" s="535">
        <v>6098</v>
      </c>
      <c r="L156" s="535">
        <v>0</v>
      </c>
      <c r="M156" s="535"/>
      <c r="N156" s="535"/>
      <c r="O156" s="535"/>
      <c r="P156" s="547"/>
      <c r="Q156" s="538"/>
      <c r="R156" s="538"/>
      <c r="S156" s="535">
        <f t="shared" si="6"/>
        <v>0</v>
      </c>
      <c r="T156" s="539">
        <v>1</v>
      </c>
      <c r="U156" s="558">
        <v>15</v>
      </c>
      <c r="V156" s="542">
        <v>44228</v>
      </c>
      <c r="W156" s="542">
        <v>44260</v>
      </c>
      <c r="X156" s="539"/>
      <c r="Y156" s="544"/>
      <c r="Z156" s="545"/>
      <c r="AA156" s="542"/>
      <c r="AB156" s="539"/>
      <c r="AC156" s="544"/>
      <c r="AD156" s="540"/>
      <c r="AE156" s="542"/>
      <c r="AF156" s="554"/>
      <c r="AG156" s="544"/>
      <c r="AH156" s="542"/>
      <c r="AI156" s="542"/>
      <c r="AJ156" s="554"/>
      <c r="AK156" s="542"/>
      <c r="AL156" s="542"/>
      <c r="AM156" s="542"/>
      <c r="AN156" s="542"/>
      <c r="AO156" s="542"/>
      <c r="AP156" s="542"/>
      <c r="AQ156" s="542"/>
      <c r="AR156" s="22">
        <f t="shared" si="7"/>
        <v>1</v>
      </c>
      <c r="AS156" s="546">
        <f t="shared" si="8"/>
        <v>1</v>
      </c>
      <c r="AT156" s="148"/>
      <c r="AU156" s="148"/>
      <c r="AV156" s="148"/>
      <c r="AW156" s="148"/>
      <c r="AX156" s="148"/>
      <c r="AY156" s="148"/>
      <c r="AZ156" s="148"/>
      <c r="BA156" s="148"/>
      <c r="BB156" s="148"/>
      <c r="BC156" s="148"/>
      <c r="BD156" s="148"/>
      <c r="BE156" s="148"/>
      <c r="BF156" s="148"/>
      <c r="BG156" s="148"/>
      <c r="BH156" s="148"/>
      <c r="BI156" s="148"/>
      <c r="BJ156" s="148"/>
      <c r="BK156" s="148"/>
      <c r="BL156" s="148"/>
      <c r="BM156" s="148"/>
      <c r="BN156" s="148"/>
      <c r="BO156" s="148"/>
      <c r="BP156" s="148"/>
      <c r="BQ156" s="148"/>
      <c r="BR156" s="148"/>
      <c r="BS156" s="148"/>
      <c r="BT156" s="148"/>
      <c r="BU156" s="148"/>
      <c r="BV156" s="148"/>
      <c r="BW156" s="148"/>
      <c r="BX156" s="148"/>
      <c r="BY156" s="148"/>
      <c r="BZ156" s="148"/>
      <c r="CA156" s="148"/>
      <c r="CB156" s="148"/>
      <c r="CC156" s="148"/>
      <c r="CD156" s="148"/>
      <c r="CE156" s="148"/>
      <c r="CF156" s="148"/>
      <c r="CG156" s="148"/>
      <c r="CH156" s="148"/>
      <c r="CI156" s="148"/>
      <c r="CJ156" s="148"/>
      <c r="CK156" s="148"/>
      <c r="CL156" s="148"/>
      <c r="CM156" s="148"/>
      <c r="CN156" s="148"/>
      <c r="CO156" s="148"/>
      <c r="CP156" s="148"/>
      <c r="CQ156" s="148"/>
      <c r="CR156" s="148"/>
      <c r="CS156" s="148"/>
      <c r="CT156" s="148"/>
      <c r="CU156" s="148"/>
      <c r="CV156" s="148"/>
      <c r="CW156" s="148"/>
      <c r="CX156" s="148"/>
      <c r="CY156" s="148"/>
      <c r="CZ156" s="148"/>
      <c r="DA156" s="148"/>
      <c r="DB156" s="148"/>
      <c r="DC156" s="148"/>
      <c r="DD156" s="148"/>
      <c r="DE156" s="148"/>
      <c r="DF156" s="148"/>
      <c r="DG156" s="148"/>
      <c r="DH156" s="148"/>
      <c r="DI156" s="148"/>
      <c r="DJ156" s="148"/>
      <c r="DK156" s="148"/>
      <c r="DL156" s="148"/>
      <c r="DM156" s="148"/>
      <c r="DN156" s="148"/>
      <c r="DO156" s="148"/>
      <c r="DP156" s="148"/>
      <c r="DQ156" s="148"/>
      <c r="DR156" s="148"/>
      <c r="DS156" s="148"/>
      <c r="DT156" s="148"/>
      <c r="DU156" s="148"/>
      <c r="DV156" s="148"/>
      <c r="DW156" s="148"/>
      <c r="DX156" s="148"/>
      <c r="DY156" s="148"/>
      <c r="DZ156" s="148"/>
      <c r="EA156" s="148"/>
      <c r="EB156" s="148"/>
      <c r="EC156" s="148"/>
      <c r="ED156" s="148"/>
      <c r="EE156" s="148"/>
      <c r="EF156" s="148"/>
      <c r="EG156" s="148"/>
      <c r="EH156" s="148"/>
      <c r="EI156" s="148"/>
      <c r="EJ156" s="148"/>
      <c r="EK156" s="148"/>
      <c r="EL156" s="148"/>
      <c r="EM156" s="148"/>
      <c r="EN156" s="148"/>
      <c r="EO156" s="148"/>
      <c r="EP156" s="148"/>
      <c r="EQ156" s="148"/>
      <c r="ER156" s="148"/>
      <c r="ES156" s="148"/>
      <c r="ET156" s="148"/>
      <c r="EU156" s="148"/>
      <c r="EV156" s="148"/>
      <c r="EW156" s="148"/>
      <c r="EX156" s="148"/>
      <c r="EY156" s="148"/>
      <c r="EZ156" s="148"/>
      <c r="FA156" s="148"/>
      <c r="FB156" s="148"/>
      <c r="FC156" s="148"/>
      <c r="FD156" s="148"/>
      <c r="FE156" s="148"/>
      <c r="FF156" s="148"/>
      <c r="FG156" s="148"/>
      <c r="FH156" s="148"/>
      <c r="FI156" s="148"/>
      <c r="FJ156" s="148"/>
      <c r="FK156" s="148"/>
      <c r="FL156" s="148"/>
      <c r="FM156" s="148"/>
      <c r="FN156" s="148"/>
      <c r="FO156" s="148"/>
      <c r="FP156" s="148"/>
      <c r="FQ156" s="148"/>
      <c r="FR156" s="148"/>
    </row>
    <row r="157" spans="1:174" s="15" customFormat="1" ht="13.5" customHeight="1" x14ac:dyDescent="0.2">
      <c r="A157" s="148"/>
      <c r="B157" s="307">
        <v>157</v>
      </c>
      <c r="C157" s="307" t="s">
        <v>38</v>
      </c>
      <c r="D157" s="563" t="s">
        <v>1731</v>
      </c>
      <c r="E157" s="564" t="s">
        <v>1732</v>
      </c>
      <c r="F157" s="533" t="s">
        <v>200</v>
      </c>
      <c r="G157" s="533" t="s">
        <v>1411</v>
      </c>
      <c r="H157" s="553" t="s">
        <v>1457</v>
      </c>
      <c r="I157" s="534" t="s">
        <v>43</v>
      </c>
      <c r="J157" s="535">
        <v>410076</v>
      </c>
      <c r="K157" s="535">
        <v>0</v>
      </c>
      <c r="L157" s="535">
        <v>2291</v>
      </c>
      <c r="M157" s="535"/>
      <c r="N157" s="535"/>
      <c r="O157" s="535"/>
      <c r="P157" s="547"/>
      <c r="Q157" s="538">
        <v>73501.534</v>
      </c>
      <c r="R157" s="538">
        <v>68846.091</v>
      </c>
      <c r="S157" s="535">
        <f t="shared" si="6"/>
        <v>142347.625</v>
      </c>
      <c r="T157" s="539">
        <v>2</v>
      </c>
      <c r="U157" s="558">
        <v>15</v>
      </c>
      <c r="V157" s="542">
        <v>44228</v>
      </c>
      <c r="W157" s="542">
        <v>44260</v>
      </c>
      <c r="X157" s="539">
        <v>179298</v>
      </c>
      <c r="Y157" s="544">
        <v>25</v>
      </c>
      <c r="Z157" s="542">
        <v>44263</v>
      </c>
      <c r="AA157" s="542">
        <v>44292</v>
      </c>
      <c r="AB157" s="539">
        <v>23229</v>
      </c>
      <c r="AC157" s="544">
        <v>55</v>
      </c>
      <c r="AD157" s="545">
        <v>44323</v>
      </c>
      <c r="AE157" s="542">
        <v>44350</v>
      </c>
      <c r="AF157" s="554">
        <v>48271</v>
      </c>
      <c r="AG157" s="544">
        <v>70</v>
      </c>
      <c r="AH157" s="542">
        <v>44354</v>
      </c>
      <c r="AI157" s="542">
        <v>44372</v>
      </c>
      <c r="AJ157" s="554"/>
      <c r="AK157" s="542"/>
      <c r="AL157" s="542"/>
      <c r="AM157" s="542"/>
      <c r="AN157" s="542"/>
      <c r="AO157" s="542"/>
      <c r="AP157" s="542"/>
      <c r="AQ157" s="542"/>
      <c r="AR157" s="22">
        <f t="shared" si="7"/>
        <v>250800</v>
      </c>
      <c r="AS157" s="546">
        <f>+AR157-S157</f>
        <v>108452.375</v>
      </c>
      <c r="AT157" s="148"/>
      <c r="AU157" s="148"/>
      <c r="AV157" s="148"/>
      <c r="AW157" s="148"/>
      <c r="AX157" s="148"/>
      <c r="AY157" s="148"/>
      <c r="AZ157" s="148"/>
      <c r="BA157" s="148"/>
      <c r="BB157" s="148"/>
      <c r="BC157" s="148"/>
      <c r="BD157" s="148"/>
      <c r="BE157" s="148"/>
      <c r="BF157" s="148"/>
      <c r="BG157" s="148"/>
      <c r="BH157" s="148"/>
      <c r="BI157" s="148"/>
      <c r="BJ157" s="148"/>
      <c r="BK157" s="148"/>
      <c r="BL157" s="148"/>
      <c r="BM157" s="148"/>
      <c r="BN157" s="148"/>
      <c r="BO157" s="148"/>
      <c r="BP157" s="148"/>
      <c r="BQ157" s="148"/>
      <c r="BR157" s="148"/>
      <c r="BS157" s="148"/>
      <c r="BT157" s="148"/>
      <c r="BU157" s="148"/>
      <c r="BV157" s="148"/>
      <c r="BW157" s="148"/>
      <c r="BX157" s="148"/>
      <c r="BY157" s="148"/>
      <c r="BZ157" s="148"/>
      <c r="CA157" s="148"/>
      <c r="CB157" s="148"/>
      <c r="CC157" s="148"/>
      <c r="CD157" s="148"/>
      <c r="CE157" s="148"/>
      <c r="CF157" s="148"/>
      <c r="CG157" s="148"/>
      <c r="CH157" s="148"/>
      <c r="CI157" s="148"/>
      <c r="CJ157" s="148"/>
      <c r="CK157" s="148"/>
      <c r="CL157" s="148"/>
      <c r="CM157" s="148"/>
      <c r="CN157" s="148"/>
      <c r="CO157" s="148"/>
      <c r="CP157" s="148"/>
      <c r="CQ157" s="148"/>
      <c r="CR157" s="148"/>
      <c r="CS157" s="148"/>
      <c r="CT157" s="148"/>
      <c r="CU157" s="148"/>
      <c r="CV157" s="148"/>
      <c r="CW157" s="148"/>
      <c r="CX157" s="148"/>
      <c r="CY157" s="148"/>
      <c r="CZ157" s="148"/>
      <c r="DA157" s="148"/>
      <c r="DB157" s="148"/>
      <c r="DC157" s="148"/>
      <c r="DD157" s="148"/>
      <c r="DE157" s="148"/>
      <c r="DF157" s="148"/>
      <c r="DG157" s="148"/>
      <c r="DH157" s="148"/>
      <c r="DI157" s="148"/>
      <c r="DJ157" s="148"/>
      <c r="DK157" s="148"/>
      <c r="DL157" s="148"/>
      <c r="DM157" s="148"/>
      <c r="DN157" s="148"/>
      <c r="DO157" s="148"/>
      <c r="DP157" s="148"/>
      <c r="DQ157" s="148"/>
      <c r="DR157" s="148"/>
      <c r="DS157" s="148"/>
      <c r="DT157" s="148"/>
      <c r="DU157" s="148"/>
      <c r="DV157" s="148"/>
      <c r="DW157" s="148"/>
      <c r="DX157" s="148"/>
      <c r="DY157" s="148"/>
      <c r="DZ157" s="148"/>
      <c r="EA157" s="148"/>
      <c r="EB157" s="148"/>
      <c r="EC157" s="148"/>
      <c r="ED157" s="148"/>
      <c r="EE157" s="148"/>
      <c r="EF157" s="148"/>
      <c r="EG157" s="148"/>
      <c r="EH157" s="148"/>
      <c r="EI157" s="148"/>
      <c r="EJ157" s="148"/>
      <c r="EK157" s="148"/>
      <c r="EL157" s="148"/>
      <c r="EM157" s="148"/>
      <c r="EN157" s="148"/>
      <c r="EO157" s="148"/>
      <c r="EP157" s="148"/>
      <c r="EQ157" s="148"/>
      <c r="ER157" s="148"/>
      <c r="ES157" s="148"/>
      <c r="ET157" s="148"/>
      <c r="EU157" s="148"/>
      <c r="EV157" s="148"/>
      <c r="EW157" s="148"/>
      <c r="EX157" s="148"/>
      <c r="EY157" s="148"/>
      <c r="EZ157" s="148"/>
      <c r="FA157" s="148"/>
      <c r="FB157" s="148"/>
      <c r="FC157" s="148"/>
      <c r="FD157" s="148"/>
      <c r="FE157" s="148"/>
      <c r="FF157" s="148"/>
      <c r="FG157" s="148"/>
      <c r="FH157" s="148"/>
      <c r="FI157" s="148"/>
      <c r="FJ157" s="148"/>
      <c r="FK157" s="148"/>
      <c r="FL157" s="148"/>
      <c r="FM157" s="148"/>
      <c r="FN157" s="148"/>
      <c r="FO157" s="148"/>
      <c r="FP157" s="148"/>
      <c r="FQ157" s="148"/>
      <c r="FR157" s="148"/>
    </row>
    <row r="158" spans="1:174" s="15" customFormat="1" ht="13.5" customHeight="1" x14ac:dyDescent="0.2">
      <c r="A158" s="148"/>
      <c r="B158" s="307">
        <v>158</v>
      </c>
      <c r="C158" s="307" t="s">
        <v>38</v>
      </c>
      <c r="D158" s="563" t="s">
        <v>1733</v>
      </c>
      <c r="E158" s="564" t="s">
        <v>1734</v>
      </c>
      <c r="F158" s="533" t="s">
        <v>200</v>
      </c>
      <c r="G158" s="533" t="s">
        <v>1411</v>
      </c>
      <c r="H158" s="553" t="s">
        <v>1539</v>
      </c>
      <c r="I158" s="534" t="s">
        <v>43</v>
      </c>
      <c r="J158" s="535">
        <v>853016</v>
      </c>
      <c r="K158" s="535">
        <v>0</v>
      </c>
      <c r="L158" s="535">
        <v>720398</v>
      </c>
      <c r="M158" s="535"/>
      <c r="N158" s="535"/>
      <c r="O158" s="535"/>
      <c r="P158" s="547"/>
      <c r="Q158" s="538"/>
      <c r="R158" s="538"/>
      <c r="S158" s="535">
        <f t="shared" si="6"/>
        <v>0</v>
      </c>
      <c r="T158" s="539">
        <v>2</v>
      </c>
      <c r="U158" s="558">
        <v>15</v>
      </c>
      <c r="V158" s="542">
        <v>44228</v>
      </c>
      <c r="W158" s="542">
        <v>44260</v>
      </c>
      <c r="X158" s="539"/>
      <c r="Y158" s="544"/>
      <c r="Z158" s="545"/>
      <c r="AA158" s="542"/>
      <c r="AB158" s="539"/>
      <c r="AC158" s="544"/>
      <c r="AD158" s="540"/>
      <c r="AE158" s="542"/>
      <c r="AF158" s="554"/>
      <c r="AG158" s="544"/>
      <c r="AH158" s="542"/>
      <c r="AI158" s="542"/>
      <c r="AJ158" s="554"/>
      <c r="AK158" s="542"/>
      <c r="AL158" s="542"/>
      <c r="AM158" s="542"/>
      <c r="AN158" s="542"/>
      <c r="AO158" s="542"/>
      <c r="AP158" s="542"/>
      <c r="AQ158" s="542"/>
      <c r="AR158" s="22">
        <f t="shared" si="7"/>
        <v>2</v>
      </c>
      <c r="AS158" s="546">
        <f t="shared" si="8"/>
        <v>2</v>
      </c>
      <c r="AT158" s="148"/>
      <c r="AU158" s="148"/>
      <c r="AV158" s="148"/>
      <c r="AW158" s="148"/>
      <c r="AX158" s="148"/>
      <c r="AY158" s="148"/>
      <c r="AZ158" s="148"/>
      <c r="BA158" s="148"/>
      <c r="BB158" s="148"/>
      <c r="BC158" s="148"/>
      <c r="BD158" s="148"/>
      <c r="BE158" s="148"/>
      <c r="BF158" s="148"/>
      <c r="BG158" s="148"/>
      <c r="BH158" s="148"/>
      <c r="BI158" s="148"/>
      <c r="BJ158" s="148"/>
      <c r="BK158" s="148"/>
      <c r="BL158" s="148"/>
      <c r="BM158" s="148"/>
      <c r="BN158" s="148"/>
      <c r="BO158" s="148"/>
      <c r="BP158" s="148"/>
      <c r="BQ158" s="148"/>
      <c r="BR158" s="148"/>
      <c r="BS158" s="148"/>
      <c r="BT158" s="148"/>
      <c r="BU158" s="148"/>
      <c r="BV158" s="148"/>
      <c r="BW158" s="148"/>
      <c r="BX158" s="148"/>
      <c r="BY158" s="148"/>
      <c r="BZ158" s="148"/>
      <c r="CA158" s="148"/>
      <c r="CB158" s="148"/>
      <c r="CC158" s="148"/>
      <c r="CD158" s="148"/>
      <c r="CE158" s="148"/>
      <c r="CF158" s="148"/>
      <c r="CG158" s="148"/>
      <c r="CH158" s="148"/>
      <c r="CI158" s="148"/>
      <c r="CJ158" s="148"/>
      <c r="CK158" s="148"/>
      <c r="CL158" s="148"/>
      <c r="CM158" s="148"/>
      <c r="CN158" s="148"/>
      <c r="CO158" s="148"/>
      <c r="CP158" s="148"/>
      <c r="CQ158" s="148"/>
      <c r="CR158" s="148"/>
      <c r="CS158" s="148"/>
      <c r="CT158" s="148"/>
      <c r="CU158" s="148"/>
      <c r="CV158" s="148"/>
      <c r="CW158" s="148"/>
      <c r="CX158" s="148"/>
      <c r="CY158" s="148"/>
      <c r="CZ158" s="148"/>
      <c r="DA158" s="148"/>
      <c r="DB158" s="148"/>
      <c r="DC158" s="148"/>
      <c r="DD158" s="148"/>
      <c r="DE158" s="148"/>
      <c r="DF158" s="148"/>
      <c r="DG158" s="148"/>
      <c r="DH158" s="148"/>
      <c r="DI158" s="148"/>
      <c r="DJ158" s="148"/>
      <c r="DK158" s="148"/>
      <c r="DL158" s="148"/>
      <c r="DM158" s="148"/>
      <c r="DN158" s="148"/>
      <c r="DO158" s="148"/>
      <c r="DP158" s="148"/>
      <c r="DQ158" s="148"/>
      <c r="DR158" s="148"/>
      <c r="DS158" s="148"/>
      <c r="DT158" s="148"/>
      <c r="DU158" s="148"/>
      <c r="DV158" s="148"/>
      <c r="DW158" s="148"/>
      <c r="DX158" s="148"/>
      <c r="DY158" s="148"/>
      <c r="DZ158" s="148"/>
      <c r="EA158" s="148"/>
      <c r="EB158" s="148"/>
      <c r="EC158" s="148"/>
      <c r="ED158" s="148"/>
      <c r="EE158" s="148"/>
      <c r="EF158" s="148"/>
      <c r="EG158" s="148"/>
      <c r="EH158" s="148"/>
      <c r="EI158" s="148"/>
      <c r="EJ158" s="148"/>
      <c r="EK158" s="148"/>
      <c r="EL158" s="148"/>
      <c r="EM158" s="148"/>
      <c r="EN158" s="148"/>
      <c r="EO158" s="148"/>
      <c r="EP158" s="148"/>
      <c r="EQ158" s="148"/>
      <c r="ER158" s="148"/>
      <c r="ES158" s="148"/>
      <c r="ET158" s="148"/>
      <c r="EU158" s="148"/>
      <c r="EV158" s="148"/>
      <c r="EW158" s="148"/>
      <c r="EX158" s="148"/>
      <c r="EY158" s="148"/>
      <c r="EZ158" s="148"/>
      <c r="FA158" s="148"/>
      <c r="FB158" s="148"/>
      <c r="FC158" s="148"/>
      <c r="FD158" s="148"/>
      <c r="FE158" s="148"/>
      <c r="FF158" s="148"/>
      <c r="FG158" s="148"/>
      <c r="FH158" s="148"/>
      <c r="FI158" s="148"/>
      <c r="FJ158" s="148"/>
      <c r="FK158" s="148"/>
      <c r="FL158" s="148"/>
      <c r="FM158" s="148"/>
      <c r="FN158" s="148"/>
      <c r="FO158" s="148"/>
      <c r="FP158" s="148"/>
      <c r="FQ158" s="148"/>
      <c r="FR158" s="148"/>
    </row>
    <row r="159" spans="1:174" s="15" customFormat="1" ht="13.5" customHeight="1" x14ac:dyDescent="0.2">
      <c r="A159" s="148"/>
      <c r="B159" s="307">
        <v>159</v>
      </c>
      <c r="C159" s="307" t="s">
        <v>38</v>
      </c>
      <c r="D159" s="563" t="s">
        <v>1735</v>
      </c>
      <c r="E159" s="564" t="s">
        <v>1736</v>
      </c>
      <c r="F159" s="533" t="s">
        <v>200</v>
      </c>
      <c r="G159" s="533" t="s">
        <v>1411</v>
      </c>
      <c r="H159" s="553" t="s">
        <v>1435</v>
      </c>
      <c r="I159" s="534" t="s">
        <v>43</v>
      </c>
      <c r="J159" s="535">
        <v>369191</v>
      </c>
      <c r="K159" s="535">
        <v>0</v>
      </c>
      <c r="L159" s="535">
        <v>157290</v>
      </c>
      <c r="M159" s="535"/>
      <c r="N159" s="535"/>
      <c r="O159" s="535"/>
      <c r="P159" s="547"/>
      <c r="Q159" s="538">
        <f>850000/1000+66568</f>
        <v>67418</v>
      </c>
      <c r="R159" s="538">
        <v>40839.963000000003</v>
      </c>
      <c r="S159" s="535">
        <f t="shared" si="6"/>
        <v>108257.963</v>
      </c>
      <c r="T159" s="539">
        <v>2</v>
      </c>
      <c r="U159" s="558">
        <v>15</v>
      </c>
      <c r="V159" s="542">
        <v>44228</v>
      </c>
      <c r="W159" s="542">
        <v>44260</v>
      </c>
      <c r="X159" s="539">
        <v>65998</v>
      </c>
      <c r="Y159" s="544">
        <v>46</v>
      </c>
      <c r="Z159" s="542">
        <v>44295</v>
      </c>
      <c r="AA159" s="542">
        <v>44327</v>
      </c>
      <c r="AB159" s="539">
        <v>102000</v>
      </c>
      <c r="AC159" s="544">
        <v>55</v>
      </c>
      <c r="AD159" s="545">
        <v>44323</v>
      </c>
      <c r="AE159" s="542">
        <v>44350</v>
      </c>
      <c r="AF159" s="554">
        <v>1064</v>
      </c>
      <c r="AG159" s="544">
        <v>65</v>
      </c>
      <c r="AH159" s="542">
        <v>44340</v>
      </c>
      <c r="AI159" s="542">
        <v>44356</v>
      </c>
      <c r="AJ159" s="554"/>
      <c r="AK159" s="542"/>
      <c r="AL159" s="542"/>
      <c r="AM159" s="542"/>
      <c r="AN159" s="542"/>
      <c r="AO159" s="542"/>
      <c r="AP159" s="542"/>
      <c r="AQ159" s="542"/>
      <c r="AR159" s="22">
        <f t="shared" si="7"/>
        <v>169064</v>
      </c>
      <c r="AS159" s="546">
        <f t="shared" si="8"/>
        <v>60806.036999999997</v>
      </c>
      <c r="AT159" s="148"/>
      <c r="AU159" s="148"/>
      <c r="AV159" s="148"/>
      <c r="AW159" s="148"/>
      <c r="AX159" s="148"/>
      <c r="AY159" s="148"/>
      <c r="AZ159" s="148"/>
      <c r="BA159" s="148"/>
      <c r="BB159" s="148"/>
      <c r="BC159" s="148"/>
      <c r="BD159" s="148"/>
      <c r="BE159" s="148"/>
      <c r="BF159" s="148"/>
      <c r="BG159" s="148"/>
      <c r="BH159" s="148"/>
      <c r="BI159" s="148"/>
      <c r="BJ159" s="148"/>
      <c r="BK159" s="148"/>
      <c r="BL159" s="148"/>
      <c r="BM159" s="148"/>
      <c r="BN159" s="148"/>
      <c r="BO159" s="148"/>
      <c r="BP159" s="148"/>
      <c r="BQ159" s="148"/>
      <c r="BR159" s="148"/>
      <c r="BS159" s="148"/>
      <c r="BT159" s="148"/>
      <c r="BU159" s="148"/>
      <c r="BV159" s="148"/>
      <c r="BW159" s="148"/>
      <c r="BX159" s="148"/>
      <c r="BY159" s="148"/>
      <c r="BZ159" s="148"/>
      <c r="CA159" s="148"/>
      <c r="CB159" s="148"/>
      <c r="CC159" s="148"/>
      <c r="CD159" s="148"/>
      <c r="CE159" s="148"/>
      <c r="CF159" s="148"/>
      <c r="CG159" s="148"/>
      <c r="CH159" s="148"/>
      <c r="CI159" s="148"/>
      <c r="CJ159" s="148"/>
      <c r="CK159" s="148"/>
      <c r="CL159" s="148"/>
      <c r="CM159" s="148"/>
      <c r="CN159" s="148"/>
      <c r="CO159" s="148"/>
      <c r="CP159" s="148"/>
      <c r="CQ159" s="148"/>
      <c r="CR159" s="148"/>
      <c r="CS159" s="148"/>
      <c r="CT159" s="148"/>
      <c r="CU159" s="148"/>
      <c r="CV159" s="148"/>
      <c r="CW159" s="148"/>
      <c r="CX159" s="148"/>
      <c r="CY159" s="148"/>
      <c r="CZ159" s="148"/>
      <c r="DA159" s="148"/>
      <c r="DB159" s="148"/>
      <c r="DC159" s="148"/>
      <c r="DD159" s="148"/>
      <c r="DE159" s="148"/>
      <c r="DF159" s="148"/>
      <c r="DG159" s="148"/>
      <c r="DH159" s="148"/>
      <c r="DI159" s="148"/>
      <c r="DJ159" s="148"/>
      <c r="DK159" s="148"/>
      <c r="DL159" s="148"/>
      <c r="DM159" s="148"/>
      <c r="DN159" s="148"/>
      <c r="DO159" s="148"/>
      <c r="DP159" s="148"/>
      <c r="DQ159" s="148"/>
      <c r="DR159" s="148"/>
      <c r="DS159" s="148"/>
      <c r="DT159" s="148"/>
      <c r="DU159" s="148"/>
      <c r="DV159" s="148"/>
      <c r="DW159" s="148"/>
      <c r="DX159" s="148"/>
      <c r="DY159" s="148"/>
      <c r="DZ159" s="148"/>
      <c r="EA159" s="148"/>
      <c r="EB159" s="148"/>
      <c r="EC159" s="148"/>
      <c r="ED159" s="148"/>
      <c r="EE159" s="148"/>
      <c r="EF159" s="148"/>
      <c r="EG159" s="148"/>
      <c r="EH159" s="148"/>
      <c r="EI159" s="148"/>
      <c r="EJ159" s="148"/>
      <c r="EK159" s="148"/>
      <c r="EL159" s="148"/>
      <c r="EM159" s="148"/>
      <c r="EN159" s="148"/>
      <c r="EO159" s="148"/>
      <c r="EP159" s="148"/>
      <c r="EQ159" s="148"/>
      <c r="ER159" s="148"/>
      <c r="ES159" s="148"/>
      <c r="ET159" s="148"/>
      <c r="EU159" s="148"/>
      <c r="EV159" s="148"/>
      <c r="EW159" s="148"/>
      <c r="EX159" s="148"/>
      <c r="EY159" s="148"/>
      <c r="EZ159" s="148"/>
      <c r="FA159" s="148"/>
      <c r="FB159" s="148"/>
      <c r="FC159" s="148"/>
      <c r="FD159" s="148"/>
      <c r="FE159" s="148"/>
      <c r="FF159" s="148"/>
      <c r="FG159" s="148"/>
      <c r="FH159" s="148"/>
      <c r="FI159" s="148"/>
      <c r="FJ159" s="148"/>
      <c r="FK159" s="148"/>
      <c r="FL159" s="148"/>
      <c r="FM159" s="148"/>
      <c r="FN159" s="148"/>
      <c r="FO159" s="148"/>
      <c r="FP159" s="148"/>
      <c r="FQ159" s="148"/>
      <c r="FR159" s="148"/>
    </row>
    <row r="160" spans="1:174" s="15" customFormat="1" ht="13.5" customHeight="1" x14ac:dyDescent="0.2">
      <c r="A160" s="148"/>
      <c r="B160" s="307">
        <v>160</v>
      </c>
      <c r="C160" s="307" t="s">
        <v>38</v>
      </c>
      <c r="D160" s="563" t="s">
        <v>1737</v>
      </c>
      <c r="E160" s="564" t="s">
        <v>1738</v>
      </c>
      <c r="F160" s="533" t="s">
        <v>200</v>
      </c>
      <c r="G160" s="533" t="s">
        <v>1411</v>
      </c>
      <c r="H160" s="553" t="s">
        <v>1644</v>
      </c>
      <c r="I160" s="534" t="s">
        <v>43</v>
      </c>
      <c r="J160" s="535">
        <v>519738</v>
      </c>
      <c r="K160" s="535">
        <v>0</v>
      </c>
      <c r="L160" s="535">
        <v>199227</v>
      </c>
      <c r="M160" s="535"/>
      <c r="N160" s="535"/>
      <c r="O160" s="535"/>
      <c r="P160" s="547"/>
      <c r="Q160" s="538">
        <f>1756637/1000+38276</f>
        <v>40032.637000000002</v>
      </c>
      <c r="R160" s="538">
        <v>39954.587</v>
      </c>
      <c r="S160" s="535">
        <f t="shared" si="6"/>
        <v>79987.224000000002</v>
      </c>
      <c r="T160" s="539">
        <v>2</v>
      </c>
      <c r="U160" s="558">
        <v>15</v>
      </c>
      <c r="V160" s="542">
        <v>44228</v>
      </c>
      <c r="W160" s="542">
        <v>44260</v>
      </c>
      <c r="X160" s="539">
        <v>72751</v>
      </c>
      <c r="Y160" s="544">
        <v>25</v>
      </c>
      <c r="Z160" s="542">
        <v>44263</v>
      </c>
      <c r="AA160" s="542">
        <v>44292</v>
      </c>
      <c r="AB160" s="539">
        <v>76750</v>
      </c>
      <c r="AC160" s="459">
        <v>46</v>
      </c>
      <c r="AD160" s="545">
        <v>44295</v>
      </c>
      <c r="AE160" s="545">
        <v>44327</v>
      </c>
      <c r="AF160" s="554">
        <v>86249</v>
      </c>
      <c r="AG160" s="544">
        <v>55</v>
      </c>
      <c r="AH160" s="542">
        <v>44323</v>
      </c>
      <c r="AI160" s="542">
        <v>44350</v>
      </c>
      <c r="AJ160" s="554"/>
      <c r="AK160" s="542"/>
      <c r="AL160" s="542"/>
      <c r="AM160" s="542"/>
      <c r="AN160" s="542"/>
      <c r="AO160" s="542"/>
      <c r="AP160" s="542"/>
      <c r="AQ160" s="542"/>
      <c r="AR160" s="22">
        <f t="shared" si="7"/>
        <v>235752</v>
      </c>
      <c r="AS160" s="546">
        <f t="shared" si="8"/>
        <v>155764.77600000001</v>
      </c>
      <c r="AT160" s="148"/>
      <c r="AU160" s="148"/>
      <c r="AV160" s="148"/>
      <c r="AW160" s="148"/>
      <c r="AX160" s="148"/>
      <c r="AY160" s="148"/>
      <c r="AZ160" s="148"/>
      <c r="BA160" s="148"/>
      <c r="BB160" s="148"/>
      <c r="BC160" s="148"/>
      <c r="BD160" s="148"/>
      <c r="BE160" s="148"/>
      <c r="BF160" s="148"/>
      <c r="BG160" s="148"/>
      <c r="BH160" s="148"/>
      <c r="BI160" s="148"/>
      <c r="BJ160" s="148"/>
      <c r="BK160" s="148"/>
      <c r="BL160" s="148"/>
      <c r="BM160" s="148"/>
      <c r="BN160" s="148"/>
      <c r="BO160" s="148"/>
      <c r="BP160" s="148"/>
      <c r="BQ160" s="148"/>
      <c r="BR160" s="148"/>
      <c r="BS160" s="148"/>
      <c r="BT160" s="148"/>
      <c r="BU160" s="148"/>
      <c r="BV160" s="148"/>
      <c r="BW160" s="148"/>
      <c r="BX160" s="148"/>
      <c r="BY160" s="148"/>
      <c r="BZ160" s="148"/>
      <c r="CA160" s="148"/>
      <c r="CB160" s="148"/>
      <c r="CC160" s="148"/>
      <c r="CD160" s="148"/>
      <c r="CE160" s="148"/>
      <c r="CF160" s="148"/>
      <c r="CG160" s="148"/>
      <c r="CH160" s="148"/>
      <c r="CI160" s="148"/>
      <c r="CJ160" s="148"/>
      <c r="CK160" s="148"/>
      <c r="CL160" s="148"/>
      <c r="CM160" s="148"/>
      <c r="CN160" s="148"/>
      <c r="CO160" s="148"/>
      <c r="CP160" s="148"/>
      <c r="CQ160" s="148"/>
      <c r="CR160" s="148"/>
      <c r="CS160" s="148"/>
      <c r="CT160" s="148"/>
      <c r="CU160" s="148"/>
      <c r="CV160" s="148"/>
      <c r="CW160" s="148"/>
      <c r="CX160" s="148"/>
      <c r="CY160" s="148"/>
      <c r="CZ160" s="148"/>
      <c r="DA160" s="148"/>
      <c r="DB160" s="148"/>
      <c r="DC160" s="148"/>
      <c r="DD160" s="148"/>
      <c r="DE160" s="148"/>
      <c r="DF160" s="148"/>
      <c r="DG160" s="148"/>
      <c r="DH160" s="148"/>
      <c r="DI160" s="148"/>
      <c r="DJ160" s="148"/>
      <c r="DK160" s="148"/>
      <c r="DL160" s="148"/>
      <c r="DM160" s="148"/>
      <c r="DN160" s="148"/>
      <c r="DO160" s="148"/>
      <c r="DP160" s="148"/>
      <c r="DQ160" s="148"/>
      <c r="DR160" s="148"/>
      <c r="DS160" s="148"/>
      <c r="DT160" s="148"/>
      <c r="DU160" s="148"/>
      <c r="DV160" s="148"/>
      <c r="DW160" s="148"/>
      <c r="DX160" s="148"/>
      <c r="DY160" s="148"/>
      <c r="DZ160" s="148"/>
      <c r="EA160" s="148"/>
      <c r="EB160" s="148"/>
      <c r="EC160" s="148"/>
      <c r="ED160" s="148"/>
      <c r="EE160" s="148"/>
      <c r="EF160" s="148"/>
      <c r="EG160" s="148"/>
      <c r="EH160" s="148"/>
      <c r="EI160" s="148"/>
      <c r="EJ160" s="148"/>
      <c r="EK160" s="148"/>
      <c r="EL160" s="148"/>
      <c r="EM160" s="148"/>
      <c r="EN160" s="148"/>
      <c r="EO160" s="148"/>
      <c r="EP160" s="148"/>
      <c r="EQ160" s="148"/>
      <c r="ER160" s="148"/>
      <c r="ES160" s="148"/>
      <c r="ET160" s="148"/>
      <c r="EU160" s="148"/>
      <c r="EV160" s="148"/>
      <c r="EW160" s="148"/>
      <c r="EX160" s="148"/>
      <c r="EY160" s="148"/>
      <c r="EZ160" s="148"/>
      <c r="FA160" s="148"/>
      <c r="FB160" s="148"/>
      <c r="FC160" s="148"/>
      <c r="FD160" s="148"/>
      <c r="FE160" s="148"/>
      <c r="FF160" s="148"/>
      <c r="FG160" s="148"/>
      <c r="FH160" s="148"/>
      <c r="FI160" s="148"/>
      <c r="FJ160" s="148"/>
      <c r="FK160" s="148"/>
      <c r="FL160" s="148"/>
      <c r="FM160" s="148"/>
      <c r="FN160" s="148"/>
      <c r="FO160" s="148"/>
      <c r="FP160" s="148"/>
      <c r="FQ160" s="148"/>
      <c r="FR160" s="148"/>
    </row>
    <row r="161" spans="1:174" s="15" customFormat="1" ht="13.5" customHeight="1" x14ac:dyDescent="0.2">
      <c r="A161" s="148"/>
      <c r="B161" s="307">
        <v>161</v>
      </c>
      <c r="C161" s="307" t="s">
        <v>38</v>
      </c>
      <c r="D161" s="563" t="s">
        <v>1739</v>
      </c>
      <c r="E161" s="564" t="s">
        <v>1740</v>
      </c>
      <c r="F161" s="533" t="s">
        <v>200</v>
      </c>
      <c r="G161" s="533" t="s">
        <v>1411</v>
      </c>
      <c r="H161" s="553" t="s">
        <v>1473</v>
      </c>
      <c r="I161" s="534" t="s">
        <v>43</v>
      </c>
      <c r="J161" s="535">
        <v>620100</v>
      </c>
      <c r="K161" s="535">
        <v>0</v>
      </c>
      <c r="L161" s="535">
        <v>1</v>
      </c>
      <c r="M161" s="535"/>
      <c r="N161" s="535"/>
      <c r="O161" s="535"/>
      <c r="P161" s="547"/>
      <c r="Q161" s="538"/>
      <c r="R161" s="538">
        <v>86096.187000000005</v>
      </c>
      <c r="S161" s="535">
        <f t="shared" si="6"/>
        <v>86096.187000000005</v>
      </c>
      <c r="T161" s="539">
        <v>2</v>
      </c>
      <c r="U161" s="558">
        <v>15</v>
      </c>
      <c r="V161" s="542">
        <v>44228</v>
      </c>
      <c r="W161" s="542">
        <v>44260</v>
      </c>
      <c r="X161" s="539">
        <v>36198</v>
      </c>
      <c r="Y161" s="544">
        <v>55</v>
      </c>
      <c r="Z161" s="542">
        <v>44323</v>
      </c>
      <c r="AA161" s="542">
        <v>44350</v>
      </c>
      <c r="AB161" s="539">
        <v>265000</v>
      </c>
      <c r="AC161" s="544">
        <v>65</v>
      </c>
      <c r="AD161" s="545">
        <v>44340</v>
      </c>
      <c r="AE161" s="542">
        <v>44356</v>
      </c>
      <c r="AF161" s="554">
        <v>7500</v>
      </c>
      <c r="AG161" s="540">
        <v>70</v>
      </c>
      <c r="AH161" s="542">
        <v>44354</v>
      </c>
      <c r="AI161" s="542">
        <v>44372</v>
      </c>
      <c r="AJ161" s="554"/>
      <c r="AK161" s="542"/>
      <c r="AL161" s="542"/>
      <c r="AM161" s="542"/>
      <c r="AN161" s="542"/>
      <c r="AO161" s="542"/>
      <c r="AP161" s="542"/>
      <c r="AQ161" s="542"/>
      <c r="AR161" s="22">
        <f t="shared" si="7"/>
        <v>308700</v>
      </c>
      <c r="AS161" s="546">
        <f t="shared" si="8"/>
        <v>222603.81299999999</v>
      </c>
      <c r="AT161" s="148"/>
      <c r="AU161" s="148"/>
      <c r="AV161" s="148"/>
      <c r="AW161" s="148"/>
      <c r="AX161" s="148"/>
      <c r="AY161" s="148"/>
      <c r="AZ161" s="148"/>
      <c r="BA161" s="148"/>
      <c r="BB161" s="148"/>
      <c r="BC161" s="148"/>
      <c r="BD161" s="148"/>
      <c r="BE161" s="148"/>
      <c r="BF161" s="148"/>
      <c r="BG161" s="148"/>
      <c r="BH161" s="148"/>
      <c r="BI161" s="148"/>
      <c r="BJ161" s="148"/>
      <c r="BK161" s="148"/>
      <c r="BL161" s="148"/>
      <c r="BM161" s="148"/>
      <c r="BN161" s="148"/>
      <c r="BO161" s="148"/>
      <c r="BP161" s="148"/>
      <c r="BQ161" s="148"/>
      <c r="BR161" s="148"/>
      <c r="BS161" s="148"/>
      <c r="BT161" s="148"/>
      <c r="BU161" s="148"/>
      <c r="BV161" s="148"/>
      <c r="BW161" s="148"/>
      <c r="BX161" s="148"/>
      <c r="BY161" s="148"/>
      <c r="BZ161" s="148"/>
      <c r="CA161" s="148"/>
      <c r="CB161" s="148"/>
      <c r="CC161" s="148"/>
      <c r="CD161" s="148"/>
      <c r="CE161" s="148"/>
      <c r="CF161" s="148"/>
      <c r="CG161" s="148"/>
      <c r="CH161" s="148"/>
      <c r="CI161" s="148"/>
      <c r="CJ161" s="148"/>
      <c r="CK161" s="148"/>
      <c r="CL161" s="148"/>
      <c r="CM161" s="148"/>
      <c r="CN161" s="148"/>
      <c r="CO161" s="148"/>
      <c r="CP161" s="148"/>
      <c r="CQ161" s="148"/>
      <c r="CR161" s="148"/>
      <c r="CS161" s="148"/>
      <c r="CT161" s="148"/>
      <c r="CU161" s="148"/>
      <c r="CV161" s="148"/>
      <c r="CW161" s="148"/>
      <c r="CX161" s="148"/>
      <c r="CY161" s="148"/>
      <c r="CZ161" s="148"/>
      <c r="DA161" s="148"/>
      <c r="DB161" s="148"/>
      <c r="DC161" s="148"/>
      <c r="DD161" s="148"/>
      <c r="DE161" s="148"/>
      <c r="DF161" s="148"/>
      <c r="DG161" s="148"/>
      <c r="DH161" s="148"/>
      <c r="DI161" s="148"/>
      <c r="DJ161" s="148"/>
      <c r="DK161" s="148"/>
      <c r="DL161" s="148"/>
      <c r="DM161" s="148"/>
      <c r="DN161" s="148"/>
      <c r="DO161" s="148"/>
      <c r="DP161" s="148"/>
      <c r="DQ161" s="148"/>
      <c r="DR161" s="148"/>
      <c r="DS161" s="148"/>
      <c r="DT161" s="148"/>
      <c r="DU161" s="148"/>
      <c r="DV161" s="148"/>
      <c r="DW161" s="148"/>
      <c r="DX161" s="148"/>
      <c r="DY161" s="148"/>
      <c r="DZ161" s="148"/>
      <c r="EA161" s="148"/>
      <c r="EB161" s="148"/>
      <c r="EC161" s="148"/>
      <c r="ED161" s="148"/>
      <c r="EE161" s="148"/>
      <c r="EF161" s="148"/>
      <c r="EG161" s="148"/>
      <c r="EH161" s="148"/>
      <c r="EI161" s="148"/>
      <c r="EJ161" s="148"/>
      <c r="EK161" s="148"/>
      <c r="EL161" s="148"/>
      <c r="EM161" s="148"/>
      <c r="EN161" s="148"/>
      <c r="EO161" s="148"/>
      <c r="EP161" s="148"/>
      <c r="EQ161" s="148"/>
      <c r="ER161" s="148"/>
      <c r="ES161" s="148"/>
      <c r="ET161" s="148"/>
      <c r="EU161" s="148"/>
      <c r="EV161" s="148"/>
      <c r="EW161" s="148"/>
      <c r="EX161" s="148"/>
      <c r="EY161" s="148"/>
      <c r="EZ161" s="148"/>
      <c r="FA161" s="148"/>
      <c r="FB161" s="148"/>
      <c r="FC161" s="148"/>
      <c r="FD161" s="148"/>
      <c r="FE161" s="148"/>
      <c r="FF161" s="148"/>
      <c r="FG161" s="148"/>
      <c r="FH161" s="148"/>
      <c r="FI161" s="148"/>
      <c r="FJ161" s="148"/>
      <c r="FK161" s="148"/>
      <c r="FL161" s="148"/>
      <c r="FM161" s="148"/>
      <c r="FN161" s="148"/>
      <c r="FO161" s="148"/>
      <c r="FP161" s="148"/>
      <c r="FQ161" s="148"/>
      <c r="FR161" s="148"/>
    </row>
    <row r="162" spans="1:174" s="15" customFormat="1" ht="13.5" customHeight="1" x14ac:dyDescent="0.2">
      <c r="A162" s="148"/>
      <c r="B162" s="307">
        <v>162</v>
      </c>
      <c r="C162" s="307" t="s">
        <v>38</v>
      </c>
      <c r="D162" s="563" t="s">
        <v>1741</v>
      </c>
      <c r="E162" s="564" t="s">
        <v>1742</v>
      </c>
      <c r="F162" s="533" t="s">
        <v>204</v>
      </c>
      <c r="G162" s="533" t="s">
        <v>1411</v>
      </c>
      <c r="H162" s="553" t="s">
        <v>1473</v>
      </c>
      <c r="I162" s="534" t="s">
        <v>43</v>
      </c>
      <c r="J162" s="535">
        <v>122054</v>
      </c>
      <c r="K162" s="535">
        <v>0</v>
      </c>
      <c r="L162" s="535">
        <v>18987</v>
      </c>
      <c r="M162" s="535"/>
      <c r="N162" s="535"/>
      <c r="O162" s="535"/>
      <c r="P162" s="547"/>
      <c r="Q162" s="538"/>
      <c r="R162" s="538"/>
      <c r="S162" s="535">
        <f t="shared" si="6"/>
        <v>0</v>
      </c>
      <c r="T162" s="539">
        <v>1</v>
      </c>
      <c r="U162" s="558">
        <v>15</v>
      </c>
      <c r="V162" s="542">
        <v>44228</v>
      </c>
      <c r="W162" s="542">
        <v>44260</v>
      </c>
      <c r="X162" s="539">
        <v>27328</v>
      </c>
      <c r="Y162" s="544">
        <v>70</v>
      </c>
      <c r="Z162" s="542">
        <v>44354</v>
      </c>
      <c r="AA162" s="542">
        <v>44372</v>
      </c>
      <c r="AB162" s="539"/>
      <c r="AC162" s="544"/>
      <c r="AD162" s="540"/>
      <c r="AE162" s="542"/>
      <c r="AF162" s="554"/>
      <c r="AG162" s="542"/>
      <c r="AH162" s="542"/>
      <c r="AI162" s="542"/>
      <c r="AJ162" s="554"/>
      <c r="AK162" s="542"/>
      <c r="AL162" s="542"/>
      <c r="AM162" s="542"/>
      <c r="AN162" s="542"/>
      <c r="AO162" s="542"/>
      <c r="AP162" s="542"/>
      <c r="AQ162" s="542"/>
      <c r="AR162" s="22">
        <f t="shared" si="7"/>
        <v>27329</v>
      </c>
      <c r="AS162" s="546">
        <f t="shared" si="8"/>
        <v>27329</v>
      </c>
      <c r="AT162" s="148"/>
      <c r="AU162" s="148"/>
      <c r="AV162" s="148"/>
      <c r="AW162" s="148"/>
      <c r="AX162" s="148"/>
      <c r="AY162" s="148"/>
      <c r="AZ162" s="148"/>
      <c r="BA162" s="148"/>
      <c r="BB162" s="148"/>
      <c r="BC162" s="148"/>
      <c r="BD162" s="148"/>
      <c r="BE162" s="148"/>
      <c r="BF162" s="148"/>
      <c r="BG162" s="148"/>
      <c r="BH162" s="148"/>
      <c r="BI162" s="148"/>
      <c r="BJ162" s="148"/>
      <c r="BK162" s="148"/>
      <c r="BL162" s="148"/>
      <c r="BM162" s="148"/>
      <c r="BN162" s="148"/>
      <c r="BO162" s="148"/>
      <c r="BP162" s="148"/>
      <c r="BQ162" s="148"/>
      <c r="BR162" s="148"/>
      <c r="BS162" s="148"/>
      <c r="BT162" s="148"/>
      <c r="BU162" s="148"/>
      <c r="BV162" s="148"/>
      <c r="BW162" s="148"/>
      <c r="BX162" s="148"/>
      <c r="BY162" s="148"/>
      <c r="BZ162" s="148"/>
      <c r="CA162" s="148"/>
      <c r="CB162" s="148"/>
      <c r="CC162" s="148"/>
      <c r="CD162" s="148"/>
      <c r="CE162" s="148"/>
      <c r="CF162" s="148"/>
      <c r="CG162" s="148"/>
      <c r="CH162" s="148"/>
      <c r="CI162" s="148"/>
      <c r="CJ162" s="148"/>
      <c r="CK162" s="148"/>
      <c r="CL162" s="148"/>
      <c r="CM162" s="148"/>
      <c r="CN162" s="148"/>
      <c r="CO162" s="148"/>
      <c r="CP162" s="148"/>
      <c r="CQ162" s="148"/>
      <c r="CR162" s="148"/>
      <c r="CS162" s="148"/>
      <c r="CT162" s="148"/>
      <c r="CU162" s="148"/>
      <c r="CV162" s="148"/>
      <c r="CW162" s="148"/>
      <c r="CX162" s="148"/>
      <c r="CY162" s="148"/>
      <c r="CZ162" s="148"/>
      <c r="DA162" s="148"/>
      <c r="DB162" s="148"/>
      <c r="DC162" s="148"/>
      <c r="DD162" s="148"/>
      <c r="DE162" s="148"/>
      <c r="DF162" s="148"/>
      <c r="DG162" s="148"/>
      <c r="DH162" s="148"/>
      <c r="DI162" s="148"/>
      <c r="DJ162" s="148"/>
      <c r="DK162" s="148"/>
      <c r="DL162" s="148"/>
      <c r="DM162" s="148"/>
      <c r="DN162" s="148"/>
      <c r="DO162" s="148"/>
      <c r="DP162" s="148"/>
      <c r="DQ162" s="148"/>
      <c r="DR162" s="148"/>
      <c r="DS162" s="148"/>
      <c r="DT162" s="148"/>
      <c r="DU162" s="148"/>
      <c r="DV162" s="148"/>
      <c r="DW162" s="148"/>
      <c r="DX162" s="148"/>
      <c r="DY162" s="148"/>
      <c r="DZ162" s="148"/>
      <c r="EA162" s="148"/>
      <c r="EB162" s="148"/>
      <c r="EC162" s="148"/>
      <c r="ED162" s="148"/>
      <c r="EE162" s="148"/>
      <c r="EF162" s="148"/>
      <c r="EG162" s="148"/>
      <c r="EH162" s="148"/>
      <c r="EI162" s="148"/>
      <c r="EJ162" s="148"/>
      <c r="EK162" s="148"/>
      <c r="EL162" s="148"/>
      <c r="EM162" s="148"/>
      <c r="EN162" s="148"/>
      <c r="EO162" s="148"/>
      <c r="EP162" s="148"/>
      <c r="EQ162" s="148"/>
      <c r="ER162" s="148"/>
      <c r="ES162" s="148"/>
      <c r="ET162" s="148"/>
      <c r="EU162" s="148"/>
      <c r="EV162" s="148"/>
      <c r="EW162" s="148"/>
      <c r="EX162" s="148"/>
      <c r="EY162" s="148"/>
      <c r="EZ162" s="148"/>
      <c r="FA162" s="148"/>
      <c r="FB162" s="148"/>
      <c r="FC162" s="148"/>
      <c r="FD162" s="148"/>
      <c r="FE162" s="148"/>
      <c r="FF162" s="148"/>
      <c r="FG162" s="148"/>
      <c r="FH162" s="148"/>
      <c r="FI162" s="148"/>
      <c r="FJ162" s="148"/>
      <c r="FK162" s="148"/>
      <c r="FL162" s="148"/>
      <c r="FM162" s="148"/>
      <c r="FN162" s="148"/>
      <c r="FO162" s="148"/>
      <c r="FP162" s="148"/>
      <c r="FQ162" s="148"/>
      <c r="FR162" s="148"/>
    </row>
    <row r="163" spans="1:174" s="15" customFormat="1" ht="13.5" customHeight="1" x14ac:dyDescent="0.2">
      <c r="A163" s="148"/>
      <c r="B163" s="307">
        <v>163</v>
      </c>
      <c r="C163" s="307" t="s">
        <v>38</v>
      </c>
      <c r="D163" s="563" t="s">
        <v>1743</v>
      </c>
      <c r="E163" s="564" t="s">
        <v>1744</v>
      </c>
      <c r="F163" s="533" t="s">
        <v>200</v>
      </c>
      <c r="G163" s="533" t="s">
        <v>1411</v>
      </c>
      <c r="H163" s="553" t="s">
        <v>1476</v>
      </c>
      <c r="I163" s="534" t="s">
        <v>43</v>
      </c>
      <c r="J163" s="535">
        <v>1629949</v>
      </c>
      <c r="K163" s="535">
        <v>0</v>
      </c>
      <c r="L163" s="535">
        <v>0</v>
      </c>
      <c r="M163" s="535"/>
      <c r="N163" s="535"/>
      <c r="O163" s="535">
        <f>4600+77613</f>
        <v>82213</v>
      </c>
      <c r="P163" s="548">
        <v>46209.767999999996</v>
      </c>
      <c r="Q163" s="538">
        <v>31750.219000000001</v>
      </c>
      <c r="R163" s="538">
        <v>2300</v>
      </c>
      <c r="S163" s="535">
        <f t="shared" si="6"/>
        <v>162472.98699999999</v>
      </c>
      <c r="T163" s="539">
        <v>2</v>
      </c>
      <c r="U163" s="558">
        <v>15</v>
      </c>
      <c r="V163" s="542">
        <v>44228</v>
      </c>
      <c r="W163" s="542">
        <v>44260</v>
      </c>
      <c r="X163" s="539">
        <v>323958</v>
      </c>
      <c r="Y163" s="544">
        <v>24</v>
      </c>
      <c r="Z163" s="542">
        <v>44263</v>
      </c>
      <c r="AA163" s="542">
        <v>44284</v>
      </c>
      <c r="AB163" s="539">
        <v>71218</v>
      </c>
      <c r="AC163" s="544">
        <v>25</v>
      </c>
      <c r="AD163" s="545">
        <v>44263</v>
      </c>
      <c r="AE163" s="542">
        <v>44292</v>
      </c>
      <c r="AF163" s="568">
        <v>281698</v>
      </c>
      <c r="AG163" s="544">
        <v>55</v>
      </c>
      <c r="AH163" s="542">
        <v>44323</v>
      </c>
      <c r="AI163" s="542">
        <v>44350</v>
      </c>
      <c r="AJ163" s="554"/>
      <c r="AK163" s="542"/>
      <c r="AL163" s="542"/>
      <c r="AM163" s="542"/>
      <c r="AN163" s="542"/>
      <c r="AO163" s="542"/>
      <c r="AP163" s="542"/>
      <c r="AQ163" s="542"/>
      <c r="AR163" s="22">
        <f t="shared" si="7"/>
        <v>676876</v>
      </c>
      <c r="AS163" s="546">
        <f t="shared" si="8"/>
        <v>514403.01300000004</v>
      </c>
      <c r="AT163" s="148"/>
      <c r="AU163" s="148"/>
      <c r="AV163" s="148"/>
      <c r="AW163" s="148"/>
      <c r="AX163" s="148"/>
      <c r="AY163" s="148"/>
      <c r="AZ163" s="148"/>
      <c r="BA163" s="148"/>
      <c r="BB163" s="148"/>
      <c r="BC163" s="148"/>
      <c r="BD163" s="148"/>
      <c r="BE163" s="148"/>
      <c r="BF163" s="148"/>
      <c r="BG163" s="148"/>
      <c r="BH163" s="148"/>
      <c r="BI163" s="148"/>
      <c r="BJ163" s="148"/>
      <c r="BK163" s="148"/>
      <c r="BL163" s="148"/>
      <c r="BM163" s="148"/>
      <c r="BN163" s="148"/>
      <c r="BO163" s="148"/>
      <c r="BP163" s="148"/>
      <c r="BQ163" s="148"/>
      <c r="BR163" s="148"/>
      <c r="BS163" s="148"/>
      <c r="BT163" s="148"/>
      <c r="BU163" s="148"/>
      <c r="BV163" s="148"/>
      <c r="BW163" s="148"/>
      <c r="BX163" s="148"/>
      <c r="BY163" s="148"/>
      <c r="BZ163" s="148"/>
      <c r="CA163" s="148"/>
      <c r="CB163" s="148"/>
      <c r="CC163" s="148"/>
      <c r="CD163" s="148"/>
      <c r="CE163" s="148"/>
      <c r="CF163" s="148"/>
      <c r="CG163" s="148"/>
      <c r="CH163" s="148"/>
      <c r="CI163" s="148"/>
      <c r="CJ163" s="148"/>
      <c r="CK163" s="148"/>
      <c r="CL163" s="148"/>
      <c r="CM163" s="148"/>
      <c r="CN163" s="148"/>
      <c r="CO163" s="148"/>
      <c r="CP163" s="148"/>
      <c r="CQ163" s="148"/>
      <c r="CR163" s="148"/>
      <c r="CS163" s="148"/>
      <c r="CT163" s="148"/>
      <c r="CU163" s="148"/>
      <c r="CV163" s="148"/>
      <c r="CW163" s="148"/>
      <c r="CX163" s="148"/>
      <c r="CY163" s="148"/>
      <c r="CZ163" s="148"/>
      <c r="DA163" s="148"/>
      <c r="DB163" s="148"/>
      <c r="DC163" s="148"/>
      <c r="DD163" s="148"/>
      <c r="DE163" s="148"/>
      <c r="DF163" s="148"/>
      <c r="DG163" s="148"/>
      <c r="DH163" s="148"/>
      <c r="DI163" s="148"/>
      <c r="DJ163" s="148"/>
      <c r="DK163" s="148"/>
      <c r="DL163" s="148"/>
      <c r="DM163" s="148"/>
      <c r="DN163" s="148"/>
      <c r="DO163" s="148"/>
      <c r="DP163" s="148"/>
      <c r="DQ163" s="148"/>
      <c r="DR163" s="148"/>
      <c r="DS163" s="148"/>
      <c r="DT163" s="148"/>
      <c r="DU163" s="148"/>
      <c r="DV163" s="148"/>
      <c r="DW163" s="148"/>
      <c r="DX163" s="148"/>
      <c r="DY163" s="148"/>
      <c r="DZ163" s="148"/>
      <c r="EA163" s="148"/>
      <c r="EB163" s="148"/>
      <c r="EC163" s="148"/>
      <c r="ED163" s="148"/>
      <c r="EE163" s="148"/>
      <c r="EF163" s="148"/>
      <c r="EG163" s="148"/>
      <c r="EH163" s="148"/>
      <c r="EI163" s="148"/>
      <c r="EJ163" s="148"/>
      <c r="EK163" s="148"/>
      <c r="EL163" s="148"/>
      <c r="EM163" s="148"/>
      <c r="EN163" s="148"/>
      <c r="EO163" s="148"/>
      <c r="EP163" s="148"/>
      <c r="EQ163" s="148"/>
      <c r="ER163" s="148"/>
      <c r="ES163" s="148"/>
      <c r="ET163" s="148"/>
      <c r="EU163" s="148"/>
      <c r="EV163" s="148"/>
      <c r="EW163" s="148"/>
      <c r="EX163" s="148"/>
      <c r="EY163" s="148"/>
      <c r="EZ163" s="148"/>
      <c r="FA163" s="148"/>
      <c r="FB163" s="148"/>
      <c r="FC163" s="148"/>
      <c r="FD163" s="148"/>
      <c r="FE163" s="148"/>
      <c r="FF163" s="148"/>
      <c r="FG163" s="148"/>
      <c r="FH163" s="148"/>
      <c r="FI163" s="148"/>
      <c r="FJ163" s="148"/>
      <c r="FK163" s="148"/>
      <c r="FL163" s="148"/>
      <c r="FM163" s="148"/>
      <c r="FN163" s="148"/>
      <c r="FO163" s="148"/>
      <c r="FP163" s="148"/>
      <c r="FQ163" s="148"/>
      <c r="FR163" s="148"/>
    </row>
    <row r="164" spans="1:174" s="15" customFormat="1" ht="13.5" customHeight="1" x14ac:dyDescent="0.2">
      <c r="A164" s="148"/>
      <c r="B164" s="307">
        <v>164</v>
      </c>
      <c r="C164" s="307" t="s">
        <v>38</v>
      </c>
      <c r="D164" s="563" t="s">
        <v>1745</v>
      </c>
      <c r="E164" s="564" t="s">
        <v>1746</v>
      </c>
      <c r="F164" s="533" t="s">
        <v>200</v>
      </c>
      <c r="G164" s="533" t="s">
        <v>1411</v>
      </c>
      <c r="H164" s="553" t="s">
        <v>1530</v>
      </c>
      <c r="I164" s="534" t="s">
        <v>43</v>
      </c>
      <c r="J164" s="535">
        <v>471638</v>
      </c>
      <c r="K164" s="535">
        <v>0</v>
      </c>
      <c r="L164" s="535">
        <v>0</v>
      </c>
      <c r="M164" s="535"/>
      <c r="N164" s="535"/>
      <c r="O164" s="535"/>
      <c r="P164" s="547"/>
      <c r="Q164" s="538"/>
      <c r="R164" s="538"/>
      <c r="S164" s="535">
        <f t="shared" si="6"/>
        <v>0</v>
      </c>
      <c r="T164" s="539">
        <v>2</v>
      </c>
      <c r="U164" s="558">
        <v>15</v>
      </c>
      <c r="V164" s="542">
        <v>44228</v>
      </c>
      <c r="W164" s="542">
        <v>44260</v>
      </c>
      <c r="X164" s="539"/>
      <c r="Y164" s="544"/>
      <c r="Z164" s="542"/>
      <c r="AA164" s="542"/>
      <c r="AB164" s="539"/>
      <c r="AC164" s="544"/>
      <c r="AD164" s="540"/>
      <c r="AE164" s="542"/>
      <c r="AF164" s="554"/>
      <c r="AG164" s="542"/>
      <c r="AH164" s="542"/>
      <c r="AI164" s="542"/>
      <c r="AJ164" s="554"/>
      <c r="AK164" s="542"/>
      <c r="AL164" s="542"/>
      <c r="AM164" s="542"/>
      <c r="AN164" s="542"/>
      <c r="AO164" s="542"/>
      <c r="AP164" s="542"/>
      <c r="AQ164" s="542"/>
      <c r="AR164" s="22">
        <f t="shared" si="7"/>
        <v>2</v>
      </c>
      <c r="AS164" s="546">
        <f t="shared" si="8"/>
        <v>2</v>
      </c>
      <c r="AT164" s="148"/>
      <c r="AU164" s="148"/>
      <c r="AV164" s="148"/>
      <c r="AW164" s="148"/>
      <c r="AX164" s="148"/>
      <c r="AY164" s="148"/>
      <c r="AZ164" s="148"/>
      <c r="BA164" s="148"/>
      <c r="BB164" s="148"/>
      <c r="BC164" s="148"/>
      <c r="BD164" s="148"/>
      <c r="BE164" s="148"/>
      <c r="BF164" s="148"/>
      <c r="BG164" s="148"/>
      <c r="BH164" s="148"/>
      <c r="BI164" s="148"/>
      <c r="BJ164" s="148"/>
      <c r="BK164" s="148"/>
      <c r="BL164" s="148"/>
      <c r="BM164" s="148"/>
      <c r="BN164" s="148"/>
      <c r="BO164" s="148"/>
      <c r="BP164" s="148"/>
      <c r="BQ164" s="148"/>
      <c r="BR164" s="148"/>
      <c r="BS164" s="148"/>
      <c r="BT164" s="148"/>
      <c r="BU164" s="148"/>
      <c r="BV164" s="148"/>
      <c r="BW164" s="148"/>
      <c r="BX164" s="148"/>
      <c r="BY164" s="148"/>
      <c r="BZ164" s="148"/>
      <c r="CA164" s="148"/>
      <c r="CB164" s="148"/>
      <c r="CC164" s="148"/>
      <c r="CD164" s="148"/>
      <c r="CE164" s="148"/>
      <c r="CF164" s="148"/>
      <c r="CG164" s="148"/>
      <c r="CH164" s="148"/>
      <c r="CI164" s="148"/>
      <c r="CJ164" s="148"/>
      <c r="CK164" s="148"/>
      <c r="CL164" s="148"/>
      <c r="CM164" s="148"/>
      <c r="CN164" s="148"/>
      <c r="CO164" s="148"/>
      <c r="CP164" s="148"/>
      <c r="CQ164" s="148"/>
      <c r="CR164" s="148"/>
      <c r="CS164" s="148"/>
      <c r="CT164" s="148"/>
      <c r="CU164" s="148"/>
      <c r="CV164" s="148"/>
      <c r="CW164" s="148"/>
      <c r="CX164" s="148"/>
      <c r="CY164" s="148"/>
      <c r="CZ164" s="148"/>
      <c r="DA164" s="148"/>
      <c r="DB164" s="148"/>
      <c r="DC164" s="148"/>
      <c r="DD164" s="148"/>
      <c r="DE164" s="148"/>
      <c r="DF164" s="148"/>
      <c r="DG164" s="148"/>
      <c r="DH164" s="148"/>
      <c r="DI164" s="148"/>
      <c r="DJ164" s="148"/>
      <c r="DK164" s="148"/>
      <c r="DL164" s="148"/>
      <c r="DM164" s="148"/>
      <c r="DN164" s="148"/>
      <c r="DO164" s="148"/>
      <c r="DP164" s="148"/>
      <c r="DQ164" s="148"/>
      <c r="DR164" s="148"/>
      <c r="DS164" s="148"/>
      <c r="DT164" s="148"/>
      <c r="DU164" s="148"/>
      <c r="DV164" s="148"/>
      <c r="DW164" s="148"/>
      <c r="DX164" s="148"/>
      <c r="DY164" s="148"/>
      <c r="DZ164" s="148"/>
      <c r="EA164" s="148"/>
      <c r="EB164" s="148"/>
      <c r="EC164" s="148"/>
      <c r="ED164" s="148"/>
      <c r="EE164" s="148"/>
      <c r="EF164" s="148"/>
      <c r="EG164" s="148"/>
      <c r="EH164" s="148"/>
      <c r="EI164" s="148"/>
      <c r="EJ164" s="148"/>
      <c r="EK164" s="148"/>
      <c r="EL164" s="148"/>
      <c r="EM164" s="148"/>
      <c r="EN164" s="148"/>
      <c r="EO164" s="148"/>
      <c r="EP164" s="148"/>
      <c r="EQ164" s="148"/>
      <c r="ER164" s="148"/>
      <c r="ES164" s="148"/>
      <c r="ET164" s="148"/>
      <c r="EU164" s="148"/>
      <c r="EV164" s="148"/>
      <c r="EW164" s="148"/>
      <c r="EX164" s="148"/>
      <c r="EY164" s="148"/>
      <c r="EZ164" s="148"/>
      <c r="FA164" s="148"/>
      <c r="FB164" s="148"/>
      <c r="FC164" s="148"/>
      <c r="FD164" s="148"/>
      <c r="FE164" s="148"/>
      <c r="FF164" s="148"/>
      <c r="FG164" s="148"/>
      <c r="FH164" s="148"/>
      <c r="FI164" s="148"/>
      <c r="FJ164" s="148"/>
      <c r="FK164" s="148"/>
      <c r="FL164" s="148"/>
      <c r="FM164" s="148"/>
      <c r="FN164" s="148"/>
      <c r="FO164" s="148"/>
      <c r="FP164" s="148"/>
      <c r="FQ164" s="148"/>
      <c r="FR164" s="148"/>
    </row>
    <row r="165" spans="1:174" s="15" customFormat="1" ht="13.5" customHeight="1" x14ac:dyDescent="0.2">
      <c r="A165" s="148"/>
      <c r="B165" s="307">
        <v>165</v>
      </c>
      <c r="C165" s="307" t="s">
        <v>38</v>
      </c>
      <c r="D165" s="563" t="s">
        <v>1747</v>
      </c>
      <c r="E165" s="564" t="s">
        <v>1748</v>
      </c>
      <c r="F165" s="533" t="s">
        <v>200</v>
      </c>
      <c r="G165" s="533" t="s">
        <v>1411</v>
      </c>
      <c r="H165" s="553" t="s">
        <v>1530</v>
      </c>
      <c r="I165" s="534" t="s">
        <v>43</v>
      </c>
      <c r="J165" s="535">
        <v>168309</v>
      </c>
      <c r="K165" s="535">
        <v>0</v>
      </c>
      <c r="L165" s="535">
        <v>1415</v>
      </c>
      <c r="M165" s="535"/>
      <c r="N165" s="535"/>
      <c r="O165" s="535"/>
      <c r="P165" s="547"/>
      <c r="Q165" s="538"/>
      <c r="R165" s="538"/>
      <c r="S165" s="535">
        <f t="shared" si="6"/>
        <v>0</v>
      </c>
      <c r="T165" s="539">
        <v>2</v>
      </c>
      <c r="U165" s="558">
        <v>15</v>
      </c>
      <c r="V165" s="542">
        <v>44228</v>
      </c>
      <c r="W165" s="542">
        <v>44260</v>
      </c>
      <c r="X165" s="539">
        <v>147998</v>
      </c>
      <c r="Y165" s="544">
        <v>25</v>
      </c>
      <c r="Z165" s="542">
        <v>44263</v>
      </c>
      <c r="AA165" s="542">
        <v>44292</v>
      </c>
      <c r="AB165" s="539"/>
      <c r="AC165" s="544"/>
      <c r="AD165" s="540"/>
      <c r="AE165" s="542"/>
      <c r="AF165" s="554"/>
      <c r="AG165" s="542"/>
      <c r="AH165" s="542"/>
      <c r="AI165" s="542"/>
      <c r="AJ165" s="554"/>
      <c r="AK165" s="542"/>
      <c r="AL165" s="542"/>
      <c r="AM165" s="542"/>
      <c r="AN165" s="542"/>
      <c r="AO165" s="542"/>
      <c r="AP165" s="542"/>
      <c r="AQ165" s="542"/>
      <c r="AR165" s="22">
        <f t="shared" si="7"/>
        <v>148000</v>
      </c>
      <c r="AS165" s="546">
        <f t="shared" si="8"/>
        <v>148000</v>
      </c>
      <c r="AT165" s="148"/>
      <c r="AU165" s="148"/>
      <c r="AV165" s="148"/>
      <c r="AW165" s="148"/>
      <c r="AX165" s="148"/>
      <c r="AY165" s="148"/>
      <c r="AZ165" s="148"/>
      <c r="BA165" s="148"/>
      <c r="BB165" s="148"/>
      <c r="BC165" s="148"/>
      <c r="BD165" s="148"/>
      <c r="BE165" s="148"/>
      <c r="BF165" s="148"/>
      <c r="BG165" s="148"/>
      <c r="BH165" s="148"/>
      <c r="BI165" s="148"/>
      <c r="BJ165" s="148"/>
      <c r="BK165" s="148"/>
      <c r="BL165" s="148"/>
      <c r="BM165" s="148"/>
      <c r="BN165" s="148"/>
      <c r="BO165" s="148"/>
      <c r="BP165" s="148"/>
      <c r="BQ165" s="148"/>
      <c r="BR165" s="148"/>
      <c r="BS165" s="148"/>
      <c r="BT165" s="148"/>
      <c r="BU165" s="148"/>
      <c r="BV165" s="148"/>
      <c r="BW165" s="148"/>
      <c r="BX165" s="148"/>
      <c r="BY165" s="148"/>
      <c r="BZ165" s="148"/>
      <c r="CA165" s="148"/>
      <c r="CB165" s="148"/>
      <c r="CC165" s="148"/>
      <c r="CD165" s="148"/>
      <c r="CE165" s="148"/>
      <c r="CF165" s="148"/>
      <c r="CG165" s="148"/>
      <c r="CH165" s="148"/>
      <c r="CI165" s="148"/>
      <c r="CJ165" s="148"/>
      <c r="CK165" s="148"/>
      <c r="CL165" s="148"/>
      <c r="CM165" s="148"/>
      <c r="CN165" s="148"/>
      <c r="CO165" s="148"/>
      <c r="CP165" s="148"/>
      <c r="CQ165" s="148"/>
      <c r="CR165" s="148"/>
      <c r="CS165" s="148"/>
      <c r="CT165" s="148"/>
      <c r="CU165" s="148"/>
      <c r="CV165" s="148"/>
      <c r="CW165" s="148"/>
      <c r="CX165" s="148"/>
      <c r="CY165" s="148"/>
      <c r="CZ165" s="148"/>
      <c r="DA165" s="148"/>
      <c r="DB165" s="148"/>
      <c r="DC165" s="148"/>
      <c r="DD165" s="148"/>
      <c r="DE165" s="148"/>
      <c r="DF165" s="148"/>
      <c r="DG165" s="148"/>
      <c r="DH165" s="148"/>
      <c r="DI165" s="148"/>
      <c r="DJ165" s="148"/>
      <c r="DK165" s="148"/>
      <c r="DL165" s="148"/>
      <c r="DM165" s="148"/>
      <c r="DN165" s="148"/>
      <c r="DO165" s="148"/>
      <c r="DP165" s="148"/>
      <c r="DQ165" s="148"/>
      <c r="DR165" s="148"/>
      <c r="DS165" s="148"/>
      <c r="DT165" s="148"/>
      <c r="DU165" s="148"/>
      <c r="DV165" s="148"/>
      <c r="DW165" s="148"/>
      <c r="DX165" s="148"/>
      <c r="DY165" s="148"/>
      <c r="DZ165" s="148"/>
      <c r="EA165" s="148"/>
      <c r="EB165" s="148"/>
      <c r="EC165" s="148"/>
      <c r="ED165" s="148"/>
      <c r="EE165" s="148"/>
      <c r="EF165" s="148"/>
      <c r="EG165" s="148"/>
      <c r="EH165" s="148"/>
      <c r="EI165" s="148"/>
      <c r="EJ165" s="148"/>
      <c r="EK165" s="148"/>
      <c r="EL165" s="148"/>
      <c r="EM165" s="148"/>
      <c r="EN165" s="148"/>
      <c r="EO165" s="148"/>
      <c r="EP165" s="148"/>
      <c r="EQ165" s="148"/>
      <c r="ER165" s="148"/>
      <c r="ES165" s="148"/>
      <c r="ET165" s="148"/>
      <c r="EU165" s="148"/>
      <c r="EV165" s="148"/>
      <c r="EW165" s="148"/>
      <c r="EX165" s="148"/>
      <c r="EY165" s="148"/>
      <c r="EZ165" s="148"/>
      <c r="FA165" s="148"/>
      <c r="FB165" s="148"/>
      <c r="FC165" s="148"/>
      <c r="FD165" s="148"/>
      <c r="FE165" s="148"/>
      <c r="FF165" s="148"/>
      <c r="FG165" s="148"/>
      <c r="FH165" s="148"/>
      <c r="FI165" s="148"/>
      <c r="FJ165" s="148"/>
      <c r="FK165" s="148"/>
      <c r="FL165" s="148"/>
      <c r="FM165" s="148"/>
      <c r="FN165" s="148"/>
      <c r="FO165" s="148"/>
      <c r="FP165" s="148"/>
      <c r="FQ165" s="148"/>
      <c r="FR165" s="148"/>
    </row>
    <row r="166" spans="1:174" s="15" customFormat="1" ht="13.5" customHeight="1" x14ac:dyDescent="0.2">
      <c r="A166" s="148"/>
      <c r="B166" s="307">
        <v>166</v>
      </c>
      <c r="C166" s="307" t="s">
        <v>38</v>
      </c>
      <c r="D166" s="563" t="s">
        <v>1749</v>
      </c>
      <c r="E166" s="564" t="s">
        <v>1750</v>
      </c>
      <c r="F166" s="533" t="s">
        <v>204</v>
      </c>
      <c r="G166" s="533" t="s">
        <v>1411</v>
      </c>
      <c r="H166" s="553" t="s">
        <v>1482</v>
      </c>
      <c r="I166" s="534" t="s">
        <v>43</v>
      </c>
      <c r="J166" s="535">
        <v>86444</v>
      </c>
      <c r="K166" s="535">
        <v>0</v>
      </c>
      <c r="L166" s="535">
        <v>0</v>
      </c>
      <c r="M166" s="535"/>
      <c r="N166" s="535"/>
      <c r="O166" s="535"/>
      <c r="P166" s="547"/>
      <c r="Q166" s="538"/>
      <c r="R166" s="538"/>
      <c r="S166" s="535">
        <f t="shared" si="6"/>
        <v>0</v>
      </c>
      <c r="T166" s="539">
        <v>1</v>
      </c>
      <c r="U166" s="558">
        <v>15</v>
      </c>
      <c r="V166" s="542">
        <v>44228</v>
      </c>
      <c r="W166" s="542">
        <v>44260</v>
      </c>
      <c r="X166" s="539">
        <v>21899</v>
      </c>
      <c r="Y166" s="544">
        <v>55</v>
      </c>
      <c r="Z166" s="542">
        <v>44323</v>
      </c>
      <c r="AA166" s="542">
        <v>44350</v>
      </c>
      <c r="AB166" s="539"/>
      <c r="AC166" s="544"/>
      <c r="AD166" s="540"/>
      <c r="AE166" s="542"/>
      <c r="AF166" s="554"/>
      <c r="AG166" s="542"/>
      <c r="AH166" s="542"/>
      <c r="AI166" s="542"/>
      <c r="AJ166" s="554"/>
      <c r="AK166" s="542"/>
      <c r="AL166" s="542"/>
      <c r="AM166" s="542"/>
      <c r="AN166" s="542"/>
      <c r="AO166" s="542"/>
      <c r="AP166" s="542"/>
      <c r="AQ166" s="542"/>
      <c r="AR166" s="22">
        <f t="shared" si="7"/>
        <v>21900</v>
      </c>
      <c r="AS166" s="546">
        <f t="shared" si="8"/>
        <v>21900</v>
      </c>
      <c r="AT166" s="148"/>
      <c r="AU166" s="148"/>
      <c r="AV166" s="148"/>
      <c r="AW166" s="148"/>
      <c r="AX166" s="148"/>
      <c r="AY166" s="148"/>
      <c r="AZ166" s="148"/>
      <c r="BA166" s="148"/>
      <c r="BB166" s="148"/>
      <c r="BC166" s="148"/>
      <c r="BD166" s="148"/>
      <c r="BE166" s="148"/>
      <c r="BF166" s="148"/>
      <c r="BG166" s="148"/>
      <c r="BH166" s="148"/>
      <c r="BI166" s="148"/>
      <c r="BJ166" s="148"/>
      <c r="BK166" s="148"/>
      <c r="BL166" s="148"/>
      <c r="BM166" s="148"/>
      <c r="BN166" s="148"/>
      <c r="BO166" s="148"/>
      <c r="BP166" s="148"/>
      <c r="BQ166" s="148"/>
      <c r="BR166" s="148"/>
      <c r="BS166" s="148"/>
      <c r="BT166" s="148"/>
      <c r="BU166" s="148"/>
      <c r="BV166" s="148"/>
      <c r="BW166" s="148"/>
      <c r="BX166" s="148"/>
      <c r="BY166" s="148"/>
      <c r="BZ166" s="148"/>
      <c r="CA166" s="148"/>
      <c r="CB166" s="148"/>
      <c r="CC166" s="148"/>
      <c r="CD166" s="148"/>
      <c r="CE166" s="148"/>
      <c r="CF166" s="148"/>
      <c r="CG166" s="148"/>
      <c r="CH166" s="148"/>
      <c r="CI166" s="148"/>
      <c r="CJ166" s="148"/>
      <c r="CK166" s="148"/>
      <c r="CL166" s="148"/>
      <c r="CM166" s="148"/>
      <c r="CN166" s="148"/>
      <c r="CO166" s="148"/>
      <c r="CP166" s="148"/>
      <c r="CQ166" s="148"/>
      <c r="CR166" s="148"/>
      <c r="CS166" s="148"/>
      <c r="CT166" s="148"/>
      <c r="CU166" s="148"/>
      <c r="CV166" s="148"/>
      <c r="CW166" s="148"/>
      <c r="CX166" s="148"/>
      <c r="CY166" s="148"/>
      <c r="CZ166" s="148"/>
      <c r="DA166" s="148"/>
      <c r="DB166" s="148"/>
      <c r="DC166" s="148"/>
      <c r="DD166" s="148"/>
      <c r="DE166" s="148"/>
      <c r="DF166" s="148"/>
      <c r="DG166" s="148"/>
      <c r="DH166" s="148"/>
      <c r="DI166" s="148"/>
      <c r="DJ166" s="148"/>
      <c r="DK166" s="148"/>
      <c r="DL166" s="148"/>
      <c r="DM166" s="148"/>
      <c r="DN166" s="148"/>
      <c r="DO166" s="148"/>
      <c r="DP166" s="148"/>
      <c r="DQ166" s="148"/>
      <c r="DR166" s="148"/>
      <c r="DS166" s="148"/>
      <c r="DT166" s="148"/>
      <c r="DU166" s="148"/>
      <c r="DV166" s="148"/>
      <c r="DW166" s="148"/>
      <c r="DX166" s="148"/>
      <c r="DY166" s="148"/>
      <c r="DZ166" s="148"/>
      <c r="EA166" s="148"/>
      <c r="EB166" s="148"/>
      <c r="EC166" s="148"/>
      <c r="ED166" s="148"/>
      <c r="EE166" s="148"/>
      <c r="EF166" s="148"/>
      <c r="EG166" s="148"/>
      <c r="EH166" s="148"/>
      <c r="EI166" s="148"/>
      <c r="EJ166" s="148"/>
      <c r="EK166" s="148"/>
      <c r="EL166" s="148"/>
      <c r="EM166" s="148"/>
      <c r="EN166" s="148"/>
      <c r="EO166" s="148"/>
      <c r="EP166" s="148"/>
      <c r="EQ166" s="148"/>
      <c r="ER166" s="148"/>
      <c r="ES166" s="148"/>
      <c r="ET166" s="148"/>
      <c r="EU166" s="148"/>
      <c r="EV166" s="148"/>
      <c r="EW166" s="148"/>
      <c r="EX166" s="148"/>
      <c r="EY166" s="148"/>
      <c r="EZ166" s="148"/>
      <c r="FA166" s="148"/>
      <c r="FB166" s="148"/>
      <c r="FC166" s="148"/>
      <c r="FD166" s="148"/>
      <c r="FE166" s="148"/>
      <c r="FF166" s="148"/>
      <c r="FG166" s="148"/>
      <c r="FH166" s="148"/>
      <c r="FI166" s="148"/>
      <c r="FJ166" s="148"/>
      <c r="FK166" s="148"/>
      <c r="FL166" s="148"/>
      <c r="FM166" s="148"/>
      <c r="FN166" s="148"/>
      <c r="FO166" s="148"/>
      <c r="FP166" s="148"/>
      <c r="FQ166" s="148"/>
      <c r="FR166" s="148"/>
    </row>
    <row r="167" spans="1:174" s="15" customFormat="1" ht="13.5" customHeight="1" x14ac:dyDescent="0.2">
      <c r="A167" s="148"/>
      <c r="B167" s="307">
        <v>167</v>
      </c>
      <c r="C167" s="307" t="s">
        <v>38</v>
      </c>
      <c r="D167" s="562" t="s">
        <v>1751</v>
      </c>
      <c r="E167" s="569" t="s">
        <v>1752</v>
      </c>
      <c r="F167" s="533" t="s">
        <v>45</v>
      </c>
      <c r="G167" s="533" t="s">
        <v>1411</v>
      </c>
      <c r="H167" s="553" t="s">
        <v>1562</v>
      </c>
      <c r="I167" s="534" t="s">
        <v>43</v>
      </c>
      <c r="J167" s="535">
        <v>513077</v>
      </c>
      <c r="K167" s="535">
        <v>0</v>
      </c>
      <c r="L167" s="535">
        <v>342051</v>
      </c>
      <c r="M167" s="535"/>
      <c r="N167" s="535"/>
      <c r="O167" s="535"/>
      <c r="P167" s="547"/>
      <c r="Q167" s="538"/>
      <c r="R167" s="538"/>
      <c r="S167" s="535">
        <f t="shared" si="6"/>
        <v>0</v>
      </c>
      <c r="T167" s="539">
        <v>1</v>
      </c>
      <c r="U167" s="558">
        <v>16</v>
      </c>
      <c r="V167" s="542">
        <v>44228</v>
      </c>
      <c r="W167" s="542">
        <v>44263</v>
      </c>
      <c r="X167" s="539"/>
      <c r="Y167" s="544"/>
      <c r="Z167" s="542"/>
      <c r="AA167" s="542"/>
      <c r="AB167" s="539"/>
      <c r="AC167" s="544"/>
      <c r="AD167" s="540"/>
      <c r="AE167" s="542"/>
      <c r="AF167" s="554"/>
      <c r="AG167" s="542"/>
      <c r="AH167" s="542"/>
      <c r="AI167" s="542"/>
      <c r="AJ167" s="554"/>
      <c r="AK167" s="542"/>
      <c r="AL167" s="542"/>
      <c r="AM167" s="542"/>
      <c r="AN167" s="542"/>
      <c r="AO167" s="542"/>
      <c r="AP167" s="542"/>
      <c r="AQ167" s="542"/>
      <c r="AR167" s="22">
        <f t="shared" si="7"/>
        <v>1</v>
      </c>
      <c r="AS167" s="546">
        <f t="shared" si="8"/>
        <v>1</v>
      </c>
      <c r="AT167" s="148"/>
      <c r="AU167" s="148"/>
      <c r="AV167" s="148"/>
      <c r="AW167" s="148"/>
      <c r="AX167" s="148"/>
      <c r="AY167" s="148"/>
      <c r="AZ167" s="148"/>
      <c r="BA167" s="148"/>
      <c r="BB167" s="148"/>
      <c r="BC167" s="148"/>
      <c r="BD167" s="148"/>
      <c r="BE167" s="148"/>
      <c r="BF167" s="148"/>
      <c r="BG167" s="148"/>
      <c r="BH167" s="148"/>
      <c r="BI167" s="148"/>
      <c r="BJ167" s="148"/>
      <c r="BK167" s="148"/>
      <c r="BL167" s="148"/>
      <c r="BM167" s="148"/>
      <c r="BN167" s="148"/>
      <c r="BO167" s="148"/>
      <c r="BP167" s="148"/>
      <c r="BQ167" s="148"/>
      <c r="BR167" s="148"/>
      <c r="BS167" s="148"/>
      <c r="BT167" s="148"/>
      <c r="BU167" s="148"/>
      <c r="BV167" s="148"/>
      <c r="BW167" s="148"/>
      <c r="BX167" s="148"/>
      <c r="BY167" s="148"/>
      <c r="BZ167" s="148"/>
      <c r="CA167" s="148"/>
      <c r="CB167" s="148"/>
      <c r="CC167" s="148"/>
      <c r="CD167" s="148"/>
      <c r="CE167" s="148"/>
      <c r="CF167" s="148"/>
      <c r="CG167" s="148"/>
      <c r="CH167" s="148"/>
      <c r="CI167" s="148"/>
      <c r="CJ167" s="148"/>
      <c r="CK167" s="148"/>
      <c r="CL167" s="148"/>
      <c r="CM167" s="148"/>
      <c r="CN167" s="148"/>
      <c r="CO167" s="148"/>
      <c r="CP167" s="148"/>
      <c r="CQ167" s="148"/>
      <c r="CR167" s="148"/>
      <c r="CS167" s="148"/>
      <c r="CT167" s="148"/>
      <c r="CU167" s="148"/>
      <c r="CV167" s="148"/>
      <c r="CW167" s="148"/>
      <c r="CX167" s="148"/>
      <c r="CY167" s="148"/>
      <c r="CZ167" s="148"/>
      <c r="DA167" s="148"/>
      <c r="DB167" s="148"/>
      <c r="DC167" s="148"/>
      <c r="DD167" s="148"/>
      <c r="DE167" s="148"/>
      <c r="DF167" s="148"/>
      <c r="DG167" s="148"/>
      <c r="DH167" s="148"/>
      <c r="DI167" s="148"/>
      <c r="DJ167" s="148"/>
      <c r="DK167" s="148"/>
      <c r="DL167" s="148"/>
      <c r="DM167" s="148"/>
      <c r="DN167" s="148"/>
      <c r="DO167" s="148"/>
      <c r="DP167" s="148"/>
      <c r="DQ167" s="148"/>
      <c r="DR167" s="148"/>
      <c r="DS167" s="148"/>
      <c r="DT167" s="148"/>
      <c r="DU167" s="148"/>
      <c r="DV167" s="148"/>
      <c r="DW167" s="148"/>
      <c r="DX167" s="148"/>
      <c r="DY167" s="148"/>
      <c r="DZ167" s="148"/>
      <c r="EA167" s="148"/>
      <c r="EB167" s="148"/>
      <c r="EC167" s="148"/>
      <c r="ED167" s="148"/>
      <c r="EE167" s="148"/>
      <c r="EF167" s="148"/>
      <c r="EG167" s="148"/>
      <c r="EH167" s="148"/>
      <c r="EI167" s="148"/>
      <c r="EJ167" s="148"/>
      <c r="EK167" s="148"/>
      <c r="EL167" s="148"/>
      <c r="EM167" s="148"/>
      <c r="EN167" s="148"/>
      <c r="EO167" s="148"/>
      <c r="EP167" s="148"/>
      <c r="EQ167" s="148"/>
      <c r="ER167" s="148"/>
      <c r="ES167" s="148"/>
      <c r="ET167" s="148"/>
      <c r="EU167" s="148"/>
      <c r="EV167" s="148"/>
      <c r="EW167" s="148"/>
      <c r="EX167" s="148"/>
      <c r="EY167" s="148"/>
      <c r="EZ167" s="148"/>
      <c r="FA167" s="148"/>
      <c r="FB167" s="148"/>
      <c r="FC167" s="148"/>
      <c r="FD167" s="148"/>
      <c r="FE167" s="148"/>
      <c r="FF167" s="148"/>
      <c r="FG167" s="148"/>
      <c r="FH167" s="148"/>
      <c r="FI167" s="148"/>
      <c r="FJ167" s="148"/>
      <c r="FK167" s="148"/>
      <c r="FL167" s="148"/>
      <c r="FM167" s="148"/>
      <c r="FN167" s="148"/>
      <c r="FO167" s="148"/>
      <c r="FP167" s="148"/>
      <c r="FQ167" s="148"/>
      <c r="FR167" s="148"/>
    </row>
    <row r="168" spans="1:174" s="15" customFormat="1" ht="13.5" customHeight="1" x14ac:dyDescent="0.2">
      <c r="A168" s="148"/>
      <c r="B168" s="307">
        <v>168</v>
      </c>
      <c r="C168" s="307" t="s">
        <v>38</v>
      </c>
      <c r="D168" s="562" t="s">
        <v>1753</v>
      </c>
      <c r="E168" s="569" t="s">
        <v>1754</v>
      </c>
      <c r="F168" s="533" t="s">
        <v>45</v>
      </c>
      <c r="G168" s="533" t="s">
        <v>1411</v>
      </c>
      <c r="H168" s="553" t="s">
        <v>1603</v>
      </c>
      <c r="I168" s="534" t="s">
        <v>43</v>
      </c>
      <c r="J168" s="535">
        <v>640074</v>
      </c>
      <c r="K168" s="535">
        <v>0</v>
      </c>
      <c r="L168" s="535">
        <v>529645</v>
      </c>
      <c r="M168" s="535"/>
      <c r="N168" s="535"/>
      <c r="O168" s="535"/>
      <c r="P168" s="547"/>
      <c r="Q168" s="538"/>
      <c r="R168" s="538"/>
      <c r="S168" s="535">
        <f t="shared" si="6"/>
        <v>0</v>
      </c>
      <c r="T168" s="539">
        <v>1</v>
      </c>
      <c r="U168" s="558">
        <v>16</v>
      </c>
      <c r="V168" s="542">
        <v>44228</v>
      </c>
      <c r="W168" s="542">
        <v>44263</v>
      </c>
      <c r="X168" s="539"/>
      <c r="Y168" s="544"/>
      <c r="Z168" s="542"/>
      <c r="AA168" s="542"/>
      <c r="AB168" s="539"/>
      <c r="AC168" s="544"/>
      <c r="AD168" s="540"/>
      <c r="AE168" s="542"/>
      <c r="AF168" s="554"/>
      <c r="AG168" s="542"/>
      <c r="AH168" s="542"/>
      <c r="AI168" s="542"/>
      <c r="AJ168" s="554"/>
      <c r="AK168" s="542"/>
      <c r="AL168" s="542"/>
      <c r="AM168" s="542"/>
      <c r="AN168" s="542"/>
      <c r="AO168" s="542"/>
      <c r="AP168" s="542"/>
      <c r="AQ168" s="542"/>
      <c r="AR168" s="22">
        <f t="shared" si="7"/>
        <v>1</v>
      </c>
      <c r="AS168" s="546">
        <f t="shared" si="8"/>
        <v>1</v>
      </c>
      <c r="AT168" s="148"/>
      <c r="AU168" s="148"/>
      <c r="AV168" s="148"/>
      <c r="AW168" s="148"/>
      <c r="AX168" s="148"/>
      <c r="AY168" s="148"/>
      <c r="AZ168" s="148"/>
      <c r="BA168" s="148"/>
      <c r="BB168" s="148"/>
      <c r="BC168" s="148"/>
      <c r="BD168" s="148"/>
      <c r="BE168" s="148"/>
      <c r="BF168" s="148"/>
      <c r="BG168" s="148"/>
      <c r="BH168" s="148"/>
      <c r="BI168" s="148"/>
      <c r="BJ168" s="148"/>
      <c r="BK168" s="148"/>
      <c r="BL168" s="148"/>
      <c r="BM168" s="148"/>
      <c r="BN168" s="148"/>
      <c r="BO168" s="148"/>
      <c r="BP168" s="148"/>
      <c r="BQ168" s="148"/>
      <c r="BR168" s="148"/>
      <c r="BS168" s="148"/>
      <c r="BT168" s="148"/>
      <c r="BU168" s="148"/>
      <c r="BV168" s="148"/>
      <c r="BW168" s="148"/>
      <c r="BX168" s="148"/>
      <c r="BY168" s="148"/>
      <c r="BZ168" s="148"/>
      <c r="CA168" s="148"/>
      <c r="CB168" s="148"/>
      <c r="CC168" s="148"/>
      <c r="CD168" s="148"/>
      <c r="CE168" s="148"/>
      <c r="CF168" s="148"/>
      <c r="CG168" s="148"/>
      <c r="CH168" s="148"/>
      <c r="CI168" s="148"/>
      <c r="CJ168" s="148"/>
      <c r="CK168" s="148"/>
      <c r="CL168" s="148"/>
      <c r="CM168" s="148"/>
      <c r="CN168" s="148"/>
      <c r="CO168" s="148"/>
      <c r="CP168" s="148"/>
      <c r="CQ168" s="148"/>
      <c r="CR168" s="148"/>
      <c r="CS168" s="148"/>
      <c r="CT168" s="148"/>
      <c r="CU168" s="148"/>
      <c r="CV168" s="148"/>
      <c r="CW168" s="148"/>
      <c r="CX168" s="148"/>
      <c r="CY168" s="148"/>
      <c r="CZ168" s="148"/>
      <c r="DA168" s="148"/>
      <c r="DB168" s="148"/>
      <c r="DC168" s="148"/>
      <c r="DD168" s="148"/>
      <c r="DE168" s="148"/>
      <c r="DF168" s="148"/>
      <c r="DG168" s="148"/>
      <c r="DH168" s="148"/>
      <c r="DI168" s="148"/>
      <c r="DJ168" s="148"/>
      <c r="DK168" s="148"/>
      <c r="DL168" s="148"/>
      <c r="DM168" s="148"/>
      <c r="DN168" s="148"/>
      <c r="DO168" s="148"/>
      <c r="DP168" s="148"/>
      <c r="DQ168" s="148"/>
      <c r="DR168" s="148"/>
      <c r="DS168" s="148"/>
      <c r="DT168" s="148"/>
      <c r="DU168" s="148"/>
      <c r="DV168" s="148"/>
      <c r="DW168" s="148"/>
      <c r="DX168" s="148"/>
      <c r="DY168" s="148"/>
      <c r="DZ168" s="148"/>
      <c r="EA168" s="148"/>
      <c r="EB168" s="148"/>
      <c r="EC168" s="148"/>
      <c r="ED168" s="148"/>
      <c r="EE168" s="148"/>
      <c r="EF168" s="148"/>
      <c r="EG168" s="148"/>
      <c r="EH168" s="148"/>
      <c r="EI168" s="148"/>
      <c r="EJ168" s="148"/>
      <c r="EK168" s="148"/>
      <c r="EL168" s="148"/>
      <c r="EM168" s="148"/>
      <c r="EN168" s="148"/>
      <c r="EO168" s="148"/>
      <c r="EP168" s="148"/>
      <c r="EQ168" s="148"/>
      <c r="ER168" s="148"/>
      <c r="ES168" s="148"/>
      <c r="ET168" s="148"/>
      <c r="EU168" s="148"/>
      <c r="EV168" s="148"/>
      <c r="EW168" s="148"/>
      <c r="EX168" s="148"/>
      <c r="EY168" s="148"/>
      <c r="EZ168" s="148"/>
      <c r="FA168" s="148"/>
      <c r="FB168" s="148"/>
      <c r="FC168" s="148"/>
      <c r="FD168" s="148"/>
      <c r="FE168" s="148"/>
      <c r="FF168" s="148"/>
      <c r="FG168" s="148"/>
      <c r="FH168" s="148"/>
      <c r="FI168" s="148"/>
      <c r="FJ168" s="148"/>
      <c r="FK168" s="148"/>
      <c r="FL168" s="148"/>
      <c r="FM168" s="148"/>
      <c r="FN168" s="148"/>
      <c r="FO168" s="148"/>
      <c r="FP168" s="148"/>
      <c r="FQ168" s="148"/>
      <c r="FR168" s="148"/>
    </row>
    <row r="169" spans="1:174" s="15" customFormat="1" ht="13.5" customHeight="1" x14ac:dyDescent="0.2">
      <c r="A169" s="148"/>
      <c r="B169" s="307">
        <v>169</v>
      </c>
      <c r="C169" s="307" t="s">
        <v>38</v>
      </c>
      <c r="D169" s="562" t="s">
        <v>1755</v>
      </c>
      <c r="E169" s="569" t="s">
        <v>1756</v>
      </c>
      <c r="F169" s="533" t="s">
        <v>45</v>
      </c>
      <c r="G169" s="533" t="s">
        <v>1411</v>
      </c>
      <c r="H169" s="553" t="s">
        <v>1562</v>
      </c>
      <c r="I169" s="534" t="s">
        <v>43</v>
      </c>
      <c r="J169" s="535">
        <v>161555</v>
      </c>
      <c r="K169" s="535">
        <v>0</v>
      </c>
      <c r="L169" s="535">
        <v>1</v>
      </c>
      <c r="M169" s="535"/>
      <c r="N169" s="535"/>
      <c r="O169" s="535"/>
      <c r="P169" s="547"/>
      <c r="Q169" s="538"/>
      <c r="R169" s="538"/>
      <c r="S169" s="535">
        <f t="shared" si="6"/>
        <v>0</v>
      </c>
      <c r="T169" s="539">
        <v>1</v>
      </c>
      <c r="U169" s="558">
        <v>16</v>
      </c>
      <c r="V169" s="542">
        <v>44228</v>
      </c>
      <c r="W169" s="542">
        <v>44263</v>
      </c>
      <c r="X169" s="539"/>
      <c r="Y169" s="544"/>
      <c r="Z169" s="542"/>
      <c r="AA169" s="542"/>
      <c r="AB169" s="539"/>
      <c r="AC169" s="544"/>
      <c r="AD169" s="540"/>
      <c r="AE169" s="542"/>
      <c r="AF169" s="554"/>
      <c r="AG169" s="542"/>
      <c r="AH169" s="542"/>
      <c r="AI169" s="542"/>
      <c r="AJ169" s="554"/>
      <c r="AK169" s="542"/>
      <c r="AL169" s="542"/>
      <c r="AM169" s="542"/>
      <c r="AN169" s="542"/>
      <c r="AO169" s="542"/>
      <c r="AP169" s="542"/>
      <c r="AQ169" s="542"/>
      <c r="AR169" s="22">
        <f t="shared" si="7"/>
        <v>1</v>
      </c>
      <c r="AS169" s="546">
        <f t="shared" si="8"/>
        <v>1</v>
      </c>
      <c r="AT169" s="148"/>
      <c r="AU169" s="148"/>
      <c r="AV169" s="148"/>
      <c r="AW169" s="148"/>
      <c r="AX169" s="148"/>
      <c r="AY169" s="148"/>
      <c r="AZ169" s="148"/>
      <c r="BA169" s="148"/>
      <c r="BB169" s="148"/>
      <c r="BC169" s="148"/>
      <c r="BD169" s="148"/>
      <c r="BE169" s="148"/>
      <c r="BF169" s="148"/>
      <c r="BG169" s="148"/>
      <c r="BH169" s="148"/>
      <c r="BI169" s="148"/>
      <c r="BJ169" s="148"/>
      <c r="BK169" s="148"/>
      <c r="BL169" s="148"/>
      <c r="BM169" s="148"/>
      <c r="BN169" s="148"/>
      <c r="BO169" s="148"/>
      <c r="BP169" s="148"/>
      <c r="BQ169" s="148"/>
      <c r="BR169" s="148"/>
      <c r="BS169" s="148"/>
      <c r="BT169" s="148"/>
      <c r="BU169" s="148"/>
      <c r="BV169" s="148"/>
      <c r="BW169" s="148"/>
      <c r="BX169" s="148"/>
      <c r="BY169" s="148"/>
      <c r="BZ169" s="148"/>
      <c r="CA169" s="148"/>
      <c r="CB169" s="148"/>
      <c r="CC169" s="148"/>
      <c r="CD169" s="148"/>
      <c r="CE169" s="148"/>
      <c r="CF169" s="148"/>
      <c r="CG169" s="148"/>
      <c r="CH169" s="148"/>
      <c r="CI169" s="148"/>
      <c r="CJ169" s="148"/>
      <c r="CK169" s="148"/>
      <c r="CL169" s="148"/>
      <c r="CM169" s="148"/>
      <c r="CN169" s="148"/>
      <c r="CO169" s="148"/>
      <c r="CP169" s="148"/>
      <c r="CQ169" s="148"/>
      <c r="CR169" s="148"/>
      <c r="CS169" s="148"/>
      <c r="CT169" s="148"/>
      <c r="CU169" s="148"/>
      <c r="CV169" s="148"/>
      <c r="CW169" s="148"/>
      <c r="CX169" s="148"/>
      <c r="CY169" s="148"/>
      <c r="CZ169" s="148"/>
      <c r="DA169" s="148"/>
      <c r="DB169" s="148"/>
      <c r="DC169" s="148"/>
      <c r="DD169" s="148"/>
      <c r="DE169" s="148"/>
      <c r="DF169" s="148"/>
      <c r="DG169" s="148"/>
      <c r="DH169" s="148"/>
      <c r="DI169" s="148"/>
      <c r="DJ169" s="148"/>
      <c r="DK169" s="148"/>
      <c r="DL169" s="148"/>
      <c r="DM169" s="148"/>
      <c r="DN169" s="148"/>
      <c r="DO169" s="148"/>
      <c r="DP169" s="148"/>
      <c r="DQ169" s="148"/>
      <c r="DR169" s="148"/>
      <c r="DS169" s="148"/>
      <c r="DT169" s="148"/>
      <c r="DU169" s="148"/>
      <c r="DV169" s="148"/>
      <c r="DW169" s="148"/>
      <c r="DX169" s="148"/>
      <c r="DY169" s="148"/>
      <c r="DZ169" s="148"/>
      <c r="EA169" s="148"/>
      <c r="EB169" s="148"/>
      <c r="EC169" s="148"/>
      <c r="ED169" s="148"/>
      <c r="EE169" s="148"/>
      <c r="EF169" s="148"/>
      <c r="EG169" s="148"/>
      <c r="EH169" s="148"/>
      <c r="EI169" s="148"/>
      <c r="EJ169" s="148"/>
      <c r="EK169" s="148"/>
      <c r="EL169" s="148"/>
      <c r="EM169" s="148"/>
      <c r="EN169" s="148"/>
      <c r="EO169" s="148"/>
      <c r="EP169" s="148"/>
      <c r="EQ169" s="148"/>
      <c r="ER169" s="148"/>
      <c r="ES169" s="148"/>
      <c r="ET169" s="148"/>
      <c r="EU169" s="148"/>
      <c r="EV169" s="148"/>
      <c r="EW169" s="148"/>
      <c r="EX169" s="148"/>
      <c r="EY169" s="148"/>
      <c r="EZ169" s="148"/>
      <c r="FA169" s="148"/>
      <c r="FB169" s="148"/>
      <c r="FC169" s="148"/>
      <c r="FD169" s="148"/>
      <c r="FE169" s="148"/>
      <c r="FF169" s="148"/>
      <c r="FG169" s="148"/>
      <c r="FH169" s="148"/>
      <c r="FI169" s="148"/>
      <c r="FJ169" s="148"/>
      <c r="FK169" s="148"/>
      <c r="FL169" s="148"/>
      <c r="FM169" s="148"/>
      <c r="FN169" s="148"/>
      <c r="FO169" s="148"/>
      <c r="FP169" s="148"/>
      <c r="FQ169" s="148"/>
      <c r="FR169" s="148"/>
    </row>
    <row r="170" spans="1:174" s="15" customFormat="1" ht="13.5" customHeight="1" x14ac:dyDescent="0.2">
      <c r="A170" s="148"/>
      <c r="B170" s="307">
        <v>170</v>
      </c>
      <c r="C170" s="307" t="s">
        <v>38</v>
      </c>
      <c r="D170" s="562" t="s">
        <v>1757</v>
      </c>
      <c r="E170" s="569" t="s">
        <v>1758</v>
      </c>
      <c r="F170" s="533" t="s">
        <v>45</v>
      </c>
      <c r="G170" s="533" t="s">
        <v>1411</v>
      </c>
      <c r="H170" s="553" t="s">
        <v>1562</v>
      </c>
      <c r="I170" s="534" t="s">
        <v>43</v>
      </c>
      <c r="J170" s="535">
        <v>627303</v>
      </c>
      <c r="K170" s="535">
        <v>0</v>
      </c>
      <c r="L170" s="535">
        <v>339214</v>
      </c>
      <c r="M170" s="535"/>
      <c r="N170" s="535"/>
      <c r="O170" s="535"/>
      <c r="P170" s="547"/>
      <c r="Q170" s="538"/>
      <c r="R170" s="538"/>
      <c r="S170" s="535">
        <f t="shared" si="6"/>
        <v>0</v>
      </c>
      <c r="T170" s="539">
        <v>2</v>
      </c>
      <c r="U170" s="558">
        <v>16</v>
      </c>
      <c r="V170" s="542">
        <v>44228</v>
      </c>
      <c r="W170" s="542">
        <v>44263</v>
      </c>
      <c r="X170" s="539"/>
      <c r="Y170" s="544"/>
      <c r="Z170" s="542"/>
      <c r="AA170" s="542"/>
      <c r="AB170" s="539"/>
      <c r="AC170" s="544"/>
      <c r="AD170" s="540"/>
      <c r="AE170" s="542"/>
      <c r="AF170" s="554"/>
      <c r="AG170" s="542"/>
      <c r="AH170" s="542"/>
      <c r="AI170" s="542"/>
      <c r="AJ170" s="554"/>
      <c r="AK170" s="542"/>
      <c r="AL170" s="542"/>
      <c r="AM170" s="542"/>
      <c r="AN170" s="542"/>
      <c r="AO170" s="542"/>
      <c r="AP170" s="542"/>
      <c r="AQ170" s="542"/>
      <c r="AR170" s="22">
        <f t="shared" si="7"/>
        <v>2</v>
      </c>
      <c r="AS170" s="546">
        <f t="shared" si="8"/>
        <v>2</v>
      </c>
      <c r="AT170" s="148"/>
      <c r="AU170" s="148"/>
      <c r="AV170" s="148"/>
      <c r="AW170" s="148"/>
      <c r="AX170" s="148"/>
      <c r="AY170" s="148"/>
      <c r="AZ170" s="148"/>
      <c r="BA170" s="148"/>
      <c r="BB170" s="148"/>
      <c r="BC170" s="148"/>
      <c r="BD170" s="148"/>
      <c r="BE170" s="148"/>
      <c r="BF170" s="148"/>
      <c r="BG170" s="148"/>
      <c r="BH170" s="148"/>
      <c r="BI170" s="148"/>
      <c r="BJ170" s="148"/>
      <c r="BK170" s="148"/>
      <c r="BL170" s="148"/>
      <c r="BM170" s="148"/>
      <c r="BN170" s="148"/>
      <c r="BO170" s="148"/>
      <c r="BP170" s="148"/>
      <c r="BQ170" s="148"/>
      <c r="BR170" s="148"/>
      <c r="BS170" s="148"/>
      <c r="BT170" s="148"/>
      <c r="BU170" s="148"/>
      <c r="BV170" s="148"/>
      <c r="BW170" s="148"/>
      <c r="BX170" s="148"/>
      <c r="BY170" s="148"/>
      <c r="BZ170" s="148"/>
      <c r="CA170" s="148"/>
      <c r="CB170" s="148"/>
      <c r="CC170" s="148"/>
      <c r="CD170" s="148"/>
      <c r="CE170" s="148"/>
      <c r="CF170" s="148"/>
      <c r="CG170" s="148"/>
      <c r="CH170" s="148"/>
      <c r="CI170" s="148"/>
      <c r="CJ170" s="148"/>
      <c r="CK170" s="148"/>
      <c r="CL170" s="148"/>
      <c r="CM170" s="148"/>
      <c r="CN170" s="148"/>
      <c r="CO170" s="148"/>
      <c r="CP170" s="148"/>
      <c r="CQ170" s="148"/>
      <c r="CR170" s="148"/>
      <c r="CS170" s="148"/>
      <c r="CT170" s="148"/>
      <c r="CU170" s="148"/>
      <c r="CV170" s="148"/>
      <c r="CW170" s="148"/>
      <c r="CX170" s="148"/>
      <c r="CY170" s="148"/>
      <c r="CZ170" s="148"/>
      <c r="DA170" s="148"/>
      <c r="DB170" s="148"/>
      <c r="DC170" s="148"/>
      <c r="DD170" s="148"/>
      <c r="DE170" s="148"/>
      <c r="DF170" s="148"/>
      <c r="DG170" s="148"/>
      <c r="DH170" s="148"/>
      <c r="DI170" s="148"/>
      <c r="DJ170" s="148"/>
      <c r="DK170" s="148"/>
      <c r="DL170" s="148"/>
      <c r="DM170" s="148"/>
      <c r="DN170" s="148"/>
      <c r="DO170" s="148"/>
      <c r="DP170" s="148"/>
      <c r="DQ170" s="148"/>
      <c r="DR170" s="148"/>
      <c r="DS170" s="148"/>
      <c r="DT170" s="148"/>
      <c r="DU170" s="148"/>
      <c r="DV170" s="148"/>
      <c r="DW170" s="148"/>
      <c r="DX170" s="148"/>
      <c r="DY170" s="148"/>
      <c r="DZ170" s="148"/>
      <c r="EA170" s="148"/>
      <c r="EB170" s="148"/>
      <c r="EC170" s="148"/>
      <c r="ED170" s="148"/>
      <c r="EE170" s="148"/>
      <c r="EF170" s="148"/>
      <c r="EG170" s="148"/>
      <c r="EH170" s="148"/>
      <c r="EI170" s="148"/>
      <c r="EJ170" s="148"/>
      <c r="EK170" s="148"/>
      <c r="EL170" s="148"/>
      <c r="EM170" s="148"/>
      <c r="EN170" s="148"/>
      <c r="EO170" s="148"/>
      <c r="EP170" s="148"/>
      <c r="EQ170" s="148"/>
      <c r="ER170" s="148"/>
      <c r="ES170" s="148"/>
      <c r="ET170" s="148"/>
      <c r="EU170" s="148"/>
      <c r="EV170" s="148"/>
      <c r="EW170" s="148"/>
      <c r="EX170" s="148"/>
      <c r="EY170" s="148"/>
      <c r="EZ170" s="148"/>
      <c r="FA170" s="148"/>
      <c r="FB170" s="148"/>
      <c r="FC170" s="148"/>
      <c r="FD170" s="148"/>
      <c r="FE170" s="148"/>
      <c r="FF170" s="148"/>
      <c r="FG170" s="148"/>
      <c r="FH170" s="148"/>
      <c r="FI170" s="148"/>
      <c r="FJ170" s="148"/>
      <c r="FK170" s="148"/>
      <c r="FL170" s="148"/>
      <c r="FM170" s="148"/>
      <c r="FN170" s="148"/>
      <c r="FO170" s="148"/>
      <c r="FP170" s="148"/>
      <c r="FQ170" s="148"/>
      <c r="FR170" s="148"/>
    </row>
    <row r="171" spans="1:174" s="15" customFormat="1" ht="13.5" customHeight="1" x14ac:dyDescent="0.2">
      <c r="A171" s="148"/>
      <c r="B171" s="307">
        <v>171</v>
      </c>
      <c r="C171" s="307" t="s">
        <v>38</v>
      </c>
      <c r="D171" s="562" t="s">
        <v>1759</v>
      </c>
      <c r="E171" s="569" t="s">
        <v>1760</v>
      </c>
      <c r="F171" s="533" t="s">
        <v>45</v>
      </c>
      <c r="G171" s="533" t="s">
        <v>1411</v>
      </c>
      <c r="H171" s="553" t="s">
        <v>1614</v>
      </c>
      <c r="I171" s="534" t="s">
        <v>43</v>
      </c>
      <c r="J171" s="535">
        <v>386590</v>
      </c>
      <c r="K171" s="535">
        <v>0</v>
      </c>
      <c r="L171" s="535">
        <v>171866</v>
      </c>
      <c r="M171" s="535"/>
      <c r="N171" s="535"/>
      <c r="O171" s="535"/>
      <c r="P171" s="547"/>
      <c r="Q171" s="538"/>
      <c r="R171" s="538"/>
      <c r="S171" s="535">
        <f t="shared" si="6"/>
        <v>0</v>
      </c>
      <c r="T171" s="539">
        <v>2</v>
      </c>
      <c r="U171" s="558">
        <v>16</v>
      </c>
      <c r="V171" s="542">
        <v>44228</v>
      </c>
      <c r="W171" s="542">
        <v>44263</v>
      </c>
      <c r="X171" s="539"/>
      <c r="Y171" s="544"/>
      <c r="Z171" s="542"/>
      <c r="AA171" s="542"/>
      <c r="AB171" s="539"/>
      <c r="AC171" s="544"/>
      <c r="AD171" s="540"/>
      <c r="AE171" s="542"/>
      <c r="AF171" s="554"/>
      <c r="AG171" s="542"/>
      <c r="AH171" s="542"/>
      <c r="AI171" s="542"/>
      <c r="AJ171" s="554"/>
      <c r="AK171" s="542"/>
      <c r="AL171" s="542"/>
      <c r="AM171" s="542"/>
      <c r="AN171" s="542"/>
      <c r="AO171" s="542"/>
      <c r="AP171" s="542"/>
      <c r="AQ171" s="542"/>
      <c r="AR171" s="22">
        <f t="shared" si="7"/>
        <v>2</v>
      </c>
      <c r="AS171" s="546">
        <f t="shared" si="8"/>
        <v>2</v>
      </c>
      <c r="AT171" s="148"/>
      <c r="AU171" s="148"/>
      <c r="AV171" s="148"/>
      <c r="AW171" s="148"/>
      <c r="AX171" s="148"/>
      <c r="AY171" s="148"/>
      <c r="AZ171" s="148"/>
      <c r="BA171" s="148"/>
      <c r="BB171" s="148"/>
      <c r="BC171" s="148"/>
      <c r="BD171" s="148"/>
      <c r="BE171" s="148"/>
      <c r="BF171" s="148"/>
      <c r="BG171" s="148"/>
      <c r="BH171" s="148"/>
      <c r="BI171" s="148"/>
      <c r="BJ171" s="148"/>
      <c r="BK171" s="148"/>
      <c r="BL171" s="148"/>
      <c r="BM171" s="148"/>
      <c r="BN171" s="148"/>
      <c r="BO171" s="148"/>
      <c r="BP171" s="148"/>
      <c r="BQ171" s="148"/>
      <c r="BR171" s="148"/>
      <c r="BS171" s="148"/>
      <c r="BT171" s="148"/>
      <c r="BU171" s="148"/>
      <c r="BV171" s="148"/>
      <c r="BW171" s="148"/>
      <c r="BX171" s="148"/>
      <c r="BY171" s="148"/>
      <c r="BZ171" s="148"/>
      <c r="CA171" s="148"/>
      <c r="CB171" s="148"/>
      <c r="CC171" s="148"/>
      <c r="CD171" s="148"/>
      <c r="CE171" s="148"/>
      <c r="CF171" s="148"/>
      <c r="CG171" s="148"/>
      <c r="CH171" s="148"/>
      <c r="CI171" s="148"/>
      <c r="CJ171" s="148"/>
      <c r="CK171" s="148"/>
      <c r="CL171" s="148"/>
      <c r="CM171" s="148"/>
      <c r="CN171" s="148"/>
      <c r="CO171" s="148"/>
      <c r="CP171" s="148"/>
      <c r="CQ171" s="148"/>
      <c r="CR171" s="148"/>
      <c r="CS171" s="148"/>
      <c r="CT171" s="148"/>
      <c r="CU171" s="148"/>
      <c r="CV171" s="148"/>
      <c r="CW171" s="148"/>
      <c r="CX171" s="148"/>
      <c r="CY171" s="148"/>
      <c r="CZ171" s="148"/>
      <c r="DA171" s="148"/>
      <c r="DB171" s="148"/>
      <c r="DC171" s="148"/>
      <c r="DD171" s="148"/>
      <c r="DE171" s="148"/>
      <c r="DF171" s="148"/>
      <c r="DG171" s="148"/>
      <c r="DH171" s="148"/>
      <c r="DI171" s="148"/>
      <c r="DJ171" s="148"/>
      <c r="DK171" s="148"/>
      <c r="DL171" s="148"/>
      <c r="DM171" s="148"/>
      <c r="DN171" s="148"/>
      <c r="DO171" s="148"/>
      <c r="DP171" s="148"/>
      <c r="DQ171" s="148"/>
      <c r="DR171" s="148"/>
      <c r="DS171" s="148"/>
      <c r="DT171" s="148"/>
      <c r="DU171" s="148"/>
      <c r="DV171" s="148"/>
      <c r="DW171" s="148"/>
      <c r="DX171" s="148"/>
      <c r="DY171" s="148"/>
      <c r="DZ171" s="148"/>
      <c r="EA171" s="148"/>
      <c r="EB171" s="148"/>
      <c r="EC171" s="148"/>
      <c r="ED171" s="148"/>
      <c r="EE171" s="148"/>
      <c r="EF171" s="148"/>
      <c r="EG171" s="148"/>
      <c r="EH171" s="148"/>
      <c r="EI171" s="148"/>
      <c r="EJ171" s="148"/>
      <c r="EK171" s="148"/>
      <c r="EL171" s="148"/>
      <c r="EM171" s="148"/>
      <c r="EN171" s="148"/>
      <c r="EO171" s="148"/>
      <c r="EP171" s="148"/>
      <c r="EQ171" s="148"/>
      <c r="ER171" s="148"/>
      <c r="ES171" s="148"/>
      <c r="ET171" s="148"/>
      <c r="EU171" s="148"/>
      <c r="EV171" s="148"/>
      <c r="EW171" s="148"/>
      <c r="EX171" s="148"/>
      <c r="EY171" s="148"/>
      <c r="EZ171" s="148"/>
      <c r="FA171" s="148"/>
      <c r="FB171" s="148"/>
      <c r="FC171" s="148"/>
      <c r="FD171" s="148"/>
      <c r="FE171" s="148"/>
      <c r="FF171" s="148"/>
      <c r="FG171" s="148"/>
      <c r="FH171" s="148"/>
      <c r="FI171" s="148"/>
      <c r="FJ171" s="148"/>
      <c r="FK171" s="148"/>
      <c r="FL171" s="148"/>
      <c r="FM171" s="148"/>
      <c r="FN171" s="148"/>
      <c r="FO171" s="148"/>
      <c r="FP171" s="148"/>
      <c r="FQ171" s="148"/>
      <c r="FR171" s="148"/>
    </row>
    <row r="172" spans="1:174" s="15" customFormat="1" ht="13.5" customHeight="1" x14ac:dyDescent="0.2">
      <c r="A172" s="148"/>
      <c r="B172" s="307">
        <v>172</v>
      </c>
      <c r="C172" s="307" t="s">
        <v>38</v>
      </c>
      <c r="D172" s="562" t="s">
        <v>1761</v>
      </c>
      <c r="E172" s="569" t="s">
        <v>1762</v>
      </c>
      <c r="F172" s="533" t="s">
        <v>45</v>
      </c>
      <c r="G172" s="533" t="s">
        <v>1411</v>
      </c>
      <c r="H172" s="553" t="s">
        <v>1448</v>
      </c>
      <c r="I172" s="534" t="s">
        <v>43</v>
      </c>
      <c r="J172" s="535">
        <v>859416</v>
      </c>
      <c r="K172" s="535">
        <v>0</v>
      </c>
      <c r="L172" s="535">
        <v>359416</v>
      </c>
      <c r="M172" s="535"/>
      <c r="N172" s="535"/>
      <c r="O172" s="535"/>
      <c r="P172" s="547"/>
      <c r="Q172" s="538"/>
      <c r="R172" s="538"/>
      <c r="S172" s="535">
        <f t="shared" si="6"/>
        <v>0</v>
      </c>
      <c r="T172" s="539">
        <v>1</v>
      </c>
      <c r="U172" s="558">
        <v>16</v>
      </c>
      <c r="V172" s="542">
        <v>44228</v>
      </c>
      <c r="W172" s="542">
        <v>44263</v>
      </c>
      <c r="X172" s="539"/>
      <c r="Y172" s="544"/>
      <c r="Z172" s="542"/>
      <c r="AA172" s="542"/>
      <c r="AB172" s="539"/>
      <c r="AC172" s="544"/>
      <c r="AD172" s="540"/>
      <c r="AE172" s="542"/>
      <c r="AF172" s="554"/>
      <c r="AG172" s="542"/>
      <c r="AH172" s="542"/>
      <c r="AI172" s="542"/>
      <c r="AJ172" s="554"/>
      <c r="AK172" s="542"/>
      <c r="AL172" s="542"/>
      <c r="AM172" s="542"/>
      <c r="AN172" s="542"/>
      <c r="AO172" s="542"/>
      <c r="AP172" s="542"/>
      <c r="AQ172" s="542"/>
      <c r="AR172" s="22">
        <f t="shared" si="7"/>
        <v>1</v>
      </c>
      <c r="AS172" s="546">
        <f t="shared" si="8"/>
        <v>1</v>
      </c>
      <c r="AT172" s="148"/>
      <c r="AU172" s="148"/>
      <c r="AV172" s="148"/>
      <c r="AW172" s="148"/>
      <c r="AX172" s="148"/>
      <c r="AY172" s="148"/>
      <c r="AZ172" s="148"/>
      <c r="BA172" s="148"/>
      <c r="BB172" s="148"/>
      <c r="BC172" s="148"/>
      <c r="BD172" s="148"/>
      <c r="BE172" s="148"/>
      <c r="BF172" s="148"/>
      <c r="BG172" s="148"/>
      <c r="BH172" s="148"/>
      <c r="BI172" s="148"/>
      <c r="BJ172" s="148"/>
      <c r="BK172" s="148"/>
      <c r="BL172" s="148"/>
      <c r="BM172" s="148"/>
      <c r="BN172" s="148"/>
      <c r="BO172" s="148"/>
      <c r="BP172" s="148"/>
      <c r="BQ172" s="148"/>
      <c r="BR172" s="148"/>
      <c r="BS172" s="148"/>
      <c r="BT172" s="148"/>
      <c r="BU172" s="148"/>
      <c r="BV172" s="148"/>
      <c r="BW172" s="148"/>
      <c r="BX172" s="148"/>
      <c r="BY172" s="148"/>
      <c r="BZ172" s="148"/>
      <c r="CA172" s="148"/>
      <c r="CB172" s="148"/>
      <c r="CC172" s="148"/>
      <c r="CD172" s="148"/>
      <c r="CE172" s="148"/>
      <c r="CF172" s="148"/>
      <c r="CG172" s="148"/>
      <c r="CH172" s="148"/>
      <c r="CI172" s="148"/>
      <c r="CJ172" s="148"/>
      <c r="CK172" s="148"/>
      <c r="CL172" s="148"/>
      <c r="CM172" s="148"/>
      <c r="CN172" s="148"/>
      <c r="CO172" s="148"/>
      <c r="CP172" s="148"/>
      <c r="CQ172" s="148"/>
      <c r="CR172" s="148"/>
      <c r="CS172" s="148"/>
      <c r="CT172" s="148"/>
      <c r="CU172" s="148"/>
      <c r="CV172" s="148"/>
      <c r="CW172" s="148"/>
      <c r="CX172" s="148"/>
      <c r="CY172" s="148"/>
      <c r="CZ172" s="148"/>
      <c r="DA172" s="148"/>
      <c r="DB172" s="148"/>
      <c r="DC172" s="148"/>
      <c r="DD172" s="148"/>
      <c r="DE172" s="148"/>
      <c r="DF172" s="148"/>
      <c r="DG172" s="148"/>
      <c r="DH172" s="148"/>
      <c r="DI172" s="148"/>
      <c r="DJ172" s="148"/>
      <c r="DK172" s="148"/>
      <c r="DL172" s="148"/>
      <c r="DM172" s="148"/>
      <c r="DN172" s="148"/>
      <c r="DO172" s="148"/>
      <c r="DP172" s="148"/>
      <c r="DQ172" s="148"/>
      <c r="DR172" s="148"/>
      <c r="DS172" s="148"/>
      <c r="DT172" s="148"/>
      <c r="DU172" s="148"/>
      <c r="DV172" s="148"/>
      <c r="DW172" s="148"/>
      <c r="DX172" s="148"/>
      <c r="DY172" s="148"/>
      <c r="DZ172" s="148"/>
      <c r="EA172" s="148"/>
      <c r="EB172" s="148"/>
      <c r="EC172" s="148"/>
      <c r="ED172" s="148"/>
      <c r="EE172" s="148"/>
      <c r="EF172" s="148"/>
      <c r="EG172" s="148"/>
      <c r="EH172" s="148"/>
      <c r="EI172" s="148"/>
      <c r="EJ172" s="148"/>
      <c r="EK172" s="148"/>
      <c r="EL172" s="148"/>
      <c r="EM172" s="148"/>
      <c r="EN172" s="148"/>
      <c r="EO172" s="148"/>
      <c r="EP172" s="148"/>
      <c r="EQ172" s="148"/>
      <c r="ER172" s="148"/>
      <c r="ES172" s="148"/>
      <c r="ET172" s="148"/>
      <c r="EU172" s="148"/>
      <c r="EV172" s="148"/>
      <c r="EW172" s="148"/>
      <c r="EX172" s="148"/>
      <c r="EY172" s="148"/>
      <c r="EZ172" s="148"/>
      <c r="FA172" s="148"/>
      <c r="FB172" s="148"/>
      <c r="FC172" s="148"/>
      <c r="FD172" s="148"/>
      <c r="FE172" s="148"/>
      <c r="FF172" s="148"/>
      <c r="FG172" s="148"/>
      <c r="FH172" s="148"/>
      <c r="FI172" s="148"/>
      <c r="FJ172" s="148"/>
      <c r="FK172" s="148"/>
      <c r="FL172" s="148"/>
      <c r="FM172" s="148"/>
      <c r="FN172" s="148"/>
      <c r="FO172" s="148"/>
      <c r="FP172" s="148"/>
      <c r="FQ172" s="148"/>
      <c r="FR172" s="148"/>
    </row>
    <row r="173" spans="1:174" s="15" customFormat="1" ht="13.5" customHeight="1" x14ac:dyDescent="0.2">
      <c r="A173" s="148"/>
      <c r="B173" s="307">
        <v>173</v>
      </c>
      <c r="C173" s="307" t="s">
        <v>38</v>
      </c>
      <c r="D173" s="562" t="s">
        <v>1763</v>
      </c>
      <c r="E173" s="569" t="s">
        <v>1764</v>
      </c>
      <c r="F173" s="533" t="s">
        <v>45</v>
      </c>
      <c r="G173" s="533" t="s">
        <v>1411</v>
      </c>
      <c r="H173" s="553" t="s">
        <v>1562</v>
      </c>
      <c r="I173" s="534" t="s">
        <v>43</v>
      </c>
      <c r="J173" s="535">
        <v>920760</v>
      </c>
      <c r="K173" s="535">
        <v>0</v>
      </c>
      <c r="L173" s="535">
        <v>120249</v>
      </c>
      <c r="M173" s="535"/>
      <c r="N173" s="535"/>
      <c r="O173" s="535"/>
      <c r="P173" s="547"/>
      <c r="Q173" s="538"/>
      <c r="R173" s="538"/>
      <c r="S173" s="535">
        <f t="shared" si="6"/>
        <v>0</v>
      </c>
      <c r="T173" s="539">
        <v>2</v>
      </c>
      <c r="U173" s="558">
        <v>16</v>
      </c>
      <c r="V173" s="542">
        <v>44228</v>
      </c>
      <c r="W173" s="542">
        <v>44263</v>
      </c>
      <c r="X173" s="539"/>
      <c r="Y173" s="544"/>
      <c r="Z173" s="542"/>
      <c r="AA173" s="542"/>
      <c r="AB173" s="539"/>
      <c r="AC173" s="544"/>
      <c r="AD173" s="540"/>
      <c r="AE173" s="542"/>
      <c r="AF173" s="554"/>
      <c r="AG173" s="542"/>
      <c r="AH173" s="542"/>
      <c r="AI173" s="542"/>
      <c r="AJ173" s="554"/>
      <c r="AK173" s="542"/>
      <c r="AL173" s="542"/>
      <c r="AM173" s="542"/>
      <c r="AN173" s="542"/>
      <c r="AO173" s="542"/>
      <c r="AP173" s="542"/>
      <c r="AQ173" s="542"/>
      <c r="AR173" s="22">
        <f t="shared" si="7"/>
        <v>2</v>
      </c>
      <c r="AS173" s="546">
        <f t="shared" si="8"/>
        <v>2</v>
      </c>
      <c r="AT173" s="148"/>
      <c r="AU173" s="148"/>
      <c r="AV173" s="148"/>
      <c r="AW173" s="148"/>
      <c r="AX173" s="148"/>
      <c r="AY173" s="148"/>
      <c r="AZ173" s="148"/>
      <c r="BA173" s="148"/>
      <c r="BB173" s="148"/>
      <c r="BC173" s="148"/>
      <c r="BD173" s="148"/>
      <c r="BE173" s="148"/>
      <c r="BF173" s="148"/>
      <c r="BG173" s="148"/>
      <c r="BH173" s="148"/>
      <c r="BI173" s="148"/>
      <c r="BJ173" s="148"/>
      <c r="BK173" s="148"/>
      <c r="BL173" s="148"/>
      <c r="BM173" s="148"/>
      <c r="BN173" s="148"/>
      <c r="BO173" s="148"/>
      <c r="BP173" s="148"/>
      <c r="BQ173" s="148"/>
      <c r="BR173" s="148"/>
      <c r="BS173" s="148"/>
      <c r="BT173" s="148"/>
      <c r="BU173" s="148"/>
      <c r="BV173" s="148"/>
      <c r="BW173" s="148"/>
      <c r="BX173" s="148"/>
      <c r="BY173" s="148"/>
      <c r="BZ173" s="148"/>
      <c r="CA173" s="148"/>
      <c r="CB173" s="148"/>
      <c r="CC173" s="148"/>
      <c r="CD173" s="148"/>
      <c r="CE173" s="148"/>
      <c r="CF173" s="148"/>
      <c r="CG173" s="148"/>
      <c r="CH173" s="148"/>
      <c r="CI173" s="148"/>
      <c r="CJ173" s="148"/>
      <c r="CK173" s="148"/>
      <c r="CL173" s="148"/>
      <c r="CM173" s="148"/>
      <c r="CN173" s="148"/>
      <c r="CO173" s="148"/>
      <c r="CP173" s="148"/>
      <c r="CQ173" s="148"/>
      <c r="CR173" s="148"/>
      <c r="CS173" s="148"/>
      <c r="CT173" s="148"/>
      <c r="CU173" s="148"/>
      <c r="CV173" s="148"/>
      <c r="CW173" s="148"/>
      <c r="CX173" s="148"/>
      <c r="CY173" s="148"/>
      <c r="CZ173" s="148"/>
      <c r="DA173" s="148"/>
      <c r="DB173" s="148"/>
      <c r="DC173" s="148"/>
      <c r="DD173" s="148"/>
      <c r="DE173" s="148"/>
      <c r="DF173" s="148"/>
      <c r="DG173" s="148"/>
      <c r="DH173" s="148"/>
      <c r="DI173" s="148"/>
      <c r="DJ173" s="148"/>
      <c r="DK173" s="148"/>
      <c r="DL173" s="148"/>
      <c r="DM173" s="148"/>
      <c r="DN173" s="148"/>
      <c r="DO173" s="148"/>
      <c r="DP173" s="148"/>
      <c r="DQ173" s="148"/>
      <c r="DR173" s="148"/>
      <c r="DS173" s="148"/>
      <c r="DT173" s="148"/>
      <c r="DU173" s="148"/>
      <c r="DV173" s="148"/>
      <c r="DW173" s="148"/>
      <c r="DX173" s="148"/>
      <c r="DY173" s="148"/>
      <c r="DZ173" s="148"/>
      <c r="EA173" s="148"/>
      <c r="EB173" s="148"/>
      <c r="EC173" s="148"/>
      <c r="ED173" s="148"/>
      <c r="EE173" s="148"/>
      <c r="EF173" s="148"/>
      <c r="EG173" s="148"/>
      <c r="EH173" s="148"/>
      <c r="EI173" s="148"/>
      <c r="EJ173" s="148"/>
      <c r="EK173" s="148"/>
      <c r="EL173" s="148"/>
      <c r="EM173" s="148"/>
      <c r="EN173" s="148"/>
      <c r="EO173" s="148"/>
      <c r="EP173" s="148"/>
      <c r="EQ173" s="148"/>
      <c r="ER173" s="148"/>
      <c r="ES173" s="148"/>
      <c r="ET173" s="148"/>
      <c r="EU173" s="148"/>
      <c r="EV173" s="148"/>
      <c r="EW173" s="148"/>
      <c r="EX173" s="148"/>
      <c r="EY173" s="148"/>
      <c r="EZ173" s="148"/>
      <c r="FA173" s="148"/>
      <c r="FB173" s="148"/>
      <c r="FC173" s="148"/>
      <c r="FD173" s="148"/>
      <c r="FE173" s="148"/>
      <c r="FF173" s="148"/>
      <c r="FG173" s="148"/>
      <c r="FH173" s="148"/>
      <c r="FI173" s="148"/>
      <c r="FJ173" s="148"/>
      <c r="FK173" s="148"/>
      <c r="FL173" s="148"/>
      <c r="FM173" s="148"/>
      <c r="FN173" s="148"/>
      <c r="FO173" s="148"/>
      <c r="FP173" s="148"/>
      <c r="FQ173" s="148"/>
      <c r="FR173" s="148"/>
    </row>
    <row r="174" spans="1:174" s="15" customFormat="1" ht="13.5" customHeight="1" x14ac:dyDescent="0.2">
      <c r="A174" s="148"/>
      <c r="B174" s="307">
        <v>174</v>
      </c>
      <c r="C174" s="307" t="s">
        <v>38</v>
      </c>
      <c r="D174" s="562" t="s">
        <v>1765</v>
      </c>
      <c r="E174" s="569" t="s">
        <v>1766</v>
      </c>
      <c r="F174" s="533" t="s">
        <v>45</v>
      </c>
      <c r="G174" s="533" t="s">
        <v>1411</v>
      </c>
      <c r="H174" s="553" t="s">
        <v>1767</v>
      </c>
      <c r="I174" s="534" t="s">
        <v>43</v>
      </c>
      <c r="J174" s="535">
        <v>567883</v>
      </c>
      <c r="K174" s="535">
        <v>0</v>
      </c>
      <c r="L174" s="535">
        <v>159508</v>
      </c>
      <c r="M174" s="535"/>
      <c r="N174" s="535"/>
      <c r="O174" s="535"/>
      <c r="P174" s="547"/>
      <c r="Q174" s="538"/>
      <c r="R174" s="538"/>
      <c r="S174" s="535">
        <f t="shared" si="6"/>
        <v>0</v>
      </c>
      <c r="T174" s="539">
        <v>2</v>
      </c>
      <c r="U174" s="558">
        <v>16</v>
      </c>
      <c r="V174" s="542">
        <v>44228</v>
      </c>
      <c r="W174" s="542">
        <v>44263</v>
      </c>
      <c r="X174" s="539"/>
      <c r="Y174" s="544"/>
      <c r="Z174" s="542"/>
      <c r="AA174" s="542"/>
      <c r="AB174" s="539"/>
      <c r="AC174" s="544"/>
      <c r="AD174" s="540"/>
      <c r="AE174" s="542"/>
      <c r="AF174" s="554"/>
      <c r="AG174" s="542"/>
      <c r="AH174" s="542"/>
      <c r="AI174" s="542"/>
      <c r="AJ174" s="554"/>
      <c r="AK174" s="542"/>
      <c r="AL174" s="542"/>
      <c r="AM174" s="542"/>
      <c r="AN174" s="542"/>
      <c r="AO174" s="542"/>
      <c r="AP174" s="542"/>
      <c r="AQ174" s="542"/>
      <c r="AR174" s="22">
        <f t="shared" si="7"/>
        <v>2</v>
      </c>
      <c r="AS174" s="546">
        <f t="shared" si="8"/>
        <v>2</v>
      </c>
      <c r="AT174" s="148"/>
      <c r="AU174" s="148"/>
      <c r="AV174" s="148"/>
      <c r="AW174" s="148"/>
      <c r="AX174" s="148"/>
      <c r="AY174" s="148"/>
      <c r="AZ174" s="148"/>
      <c r="BA174" s="148"/>
      <c r="BB174" s="148"/>
      <c r="BC174" s="148"/>
      <c r="BD174" s="148"/>
      <c r="BE174" s="148"/>
      <c r="BF174" s="148"/>
      <c r="BG174" s="148"/>
      <c r="BH174" s="148"/>
      <c r="BI174" s="148"/>
      <c r="BJ174" s="148"/>
      <c r="BK174" s="148"/>
      <c r="BL174" s="148"/>
      <c r="BM174" s="148"/>
      <c r="BN174" s="148"/>
      <c r="BO174" s="148"/>
      <c r="BP174" s="148"/>
      <c r="BQ174" s="148"/>
      <c r="BR174" s="148"/>
      <c r="BS174" s="148"/>
      <c r="BT174" s="148"/>
      <c r="BU174" s="148"/>
      <c r="BV174" s="148"/>
      <c r="BW174" s="148"/>
      <c r="BX174" s="148"/>
      <c r="BY174" s="148"/>
      <c r="BZ174" s="148"/>
      <c r="CA174" s="148"/>
      <c r="CB174" s="148"/>
      <c r="CC174" s="148"/>
      <c r="CD174" s="148"/>
      <c r="CE174" s="148"/>
      <c r="CF174" s="148"/>
      <c r="CG174" s="148"/>
      <c r="CH174" s="148"/>
      <c r="CI174" s="148"/>
      <c r="CJ174" s="148"/>
      <c r="CK174" s="148"/>
      <c r="CL174" s="148"/>
      <c r="CM174" s="148"/>
      <c r="CN174" s="148"/>
      <c r="CO174" s="148"/>
      <c r="CP174" s="148"/>
      <c r="CQ174" s="148"/>
      <c r="CR174" s="148"/>
      <c r="CS174" s="148"/>
      <c r="CT174" s="148"/>
      <c r="CU174" s="148"/>
      <c r="CV174" s="148"/>
      <c r="CW174" s="148"/>
      <c r="CX174" s="148"/>
      <c r="CY174" s="148"/>
      <c r="CZ174" s="148"/>
      <c r="DA174" s="148"/>
      <c r="DB174" s="148"/>
      <c r="DC174" s="148"/>
      <c r="DD174" s="148"/>
      <c r="DE174" s="148"/>
      <c r="DF174" s="148"/>
      <c r="DG174" s="148"/>
      <c r="DH174" s="148"/>
      <c r="DI174" s="148"/>
      <c r="DJ174" s="148"/>
      <c r="DK174" s="148"/>
      <c r="DL174" s="148"/>
      <c r="DM174" s="148"/>
      <c r="DN174" s="148"/>
      <c r="DO174" s="148"/>
      <c r="DP174" s="148"/>
      <c r="DQ174" s="148"/>
      <c r="DR174" s="148"/>
      <c r="DS174" s="148"/>
      <c r="DT174" s="148"/>
      <c r="DU174" s="148"/>
      <c r="DV174" s="148"/>
      <c r="DW174" s="148"/>
      <c r="DX174" s="148"/>
      <c r="DY174" s="148"/>
      <c r="DZ174" s="148"/>
      <c r="EA174" s="148"/>
      <c r="EB174" s="148"/>
      <c r="EC174" s="148"/>
      <c r="ED174" s="148"/>
      <c r="EE174" s="148"/>
      <c r="EF174" s="148"/>
      <c r="EG174" s="148"/>
      <c r="EH174" s="148"/>
      <c r="EI174" s="148"/>
      <c r="EJ174" s="148"/>
      <c r="EK174" s="148"/>
      <c r="EL174" s="148"/>
      <c r="EM174" s="148"/>
      <c r="EN174" s="148"/>
      <c r="EO174" s="148"/>
      <c r="EP174" s="148"/>
      <c r="EQ174" s="148"/>
      <c r="ER174" s="148"/>
      <c r="ES174" s="148"/>
      <c r="ET174" s="148"/>
      <c r="EU174" s="148"/>
      <c r="EV174" s="148"/>
      <c r="EW174" s="148"/>
      <c r="EX174" s="148"/>
      <c r="EY174" s="148"/>
      <c r="EZ174" s="148"/>
      <c r="FA174" s="148"/>
      <c r="FB174" s="148"/>
      <c r="FC174" s="148"/>
      <c r="FD174" s="148"/>
      <c r="FE174" s="148"/>
      <c r="FF174" s="148"/>
      <c r="FG174" s="148"/>
      <c r="FH174" s="148"/>
      <c r="FI174" s="148"/>
      <c r="FJ174" s="148"/>
      <c r="FK174" s="148"/>
      <c r="FL174" s="148"/>
      <c r="FM174" s="148"/>
      <c r="FN174" s="148"/>
      <c r="FO174" s="148"/>
      <c r="FP174" s="148"/>
      <c r="FQ174" s="148"/>
      <c r="FR174" s="148"/>
    </row>
    <row r="175" spans="1:174" s="15" customFormat="1" ht="13.5" customHeight="1" x14ac:dyDescent="0.2">
      <c r="A175" s="148"/>
      <c r="B175" s="307">
        <v>175</v>
      </c>
      <c r="C175" s="307" t="s">
        <v>38</v>
      </c>
      <c r="D175" s="562" t="s">
        <v>1768</v>
      </c>
      <c r="E175" s="569" t="s">
        <v>1769</v>
      </c>
      <c r="F175" s="533" t="s">
        <v>45</v>
      </c>
      <c r="G175" s="533" t="s">
        <v>1411</v>
      </c>
      <c r="H175" s="553" t="s">
        <v>1530</v>
      </c>
      <c r="I175" s="534" t="s">
        <v>43</v>
      </c>
      <c r="J175" s="535">
        <v>420032</v>
      </c>
      <c r="K175" s="535">
        <v>0</v>
      </c>
      <c r="L175" s="535">
        <v>280684</v>
      </c>
      <c r="M175" s="535"/>
      <c r="N175" s="535"/>
      <c r="O175" s="535"/>
      <c r="P175" s="547"/>
      <c r="Q175" s="538"/>
      <c r="R175" s="538"/>
      <c r="S175" s="535">
        <f t="shared" si="6"/>
        <v>0</v>
      </c>
      <c r="T175" s="539">
        <v>2</v>
      </c>
      <c r="U175" s="558">
        <v>16</v>
      </c>
      <c r="V175" s="542">
        <v>44228</v>
      </c>
      <c r="W175" s="542">
        <v>44263</v>
      </c>
      <c r="X175" s="539">
        <v>120358</v>
      </c>
      <c r="Y175" s="544">
        <v>71</v>
      </c>
      <c r="Z175" s="542">
        <v>44354</v>
      </c>
      <c r="AA175" s="542">
        <v>44376</v>
      </c>
      <c r="AB175" s="539"/>
      <c r="AC175" s="544"/>
      <c r="AD175" s="540"/>
      <c r="AE175" s="542"/>
      <c r="AF175" s="554"/>
      <c r="AG175" s="542"/>
      <c r="AH175" s="542"/>
      <c r="AI175" s="542"/>
      <c r="AJ175" s="554"/>
      <c r="AK175" s="542"/>
      <c r="AL175" s="542"/>
      <c r="AM175" s="542"/>
      <c r="AN175" s="542"/>
      <c r="AO175" s="542"/>
      <c r="AP175" s="542"/>
      <c r="AQ175" s="542"/>
      <c r="AR175" s="22">
        <f t="shared" si="7"/>
        <v>120360</v>
      </c>
      <c r="AS175" s="546">
        <f t="shared" si="8"/>
        <v>120360</v>
      </c>
      <c r="AT175" s="148"/>
      <c r="AU175" s="148"/>
      <c r="AV175" s="148"/>
      <c r="AW175" s="148"/>
      <c r="AX175" s="148"/>
      <c r="AY175" s="148"/>
      <c r="AZ175" s="148"/>
      <c r="BA175" s="148"/>
      <c r="BB175" s="148"/>
      <c r="BC175" s="148"/>
      <c r="BD175" s="148"/>
      <c r="BE175" s="148"/>
      <c r="BF175" s="148"/>
      <c r="BG175" s="148"/>
      <c r="BH175" s="148"/>
      <c r="BI175" s="148"/>
      <c r="BJ175" s="148"/>
      <c r="BK175" s="148"/>
      <c r="BL175" s="148"/>
      <c r="BM175" s="148"/>
      <c r="BN175" s="148"/>
      <c r="BO175" s="148"/>
      <c r="BP175" s="148"/>
      <c r="BQ175" s="148"/>
      <c r="BR175" s="148"/>
      <c r="BS175" s="148"/>
      <c r="BT175" s="148"/>
      <c r="BU175" s="148"/>
      <c r="BV175" s="148"/>
      <c r="BW175" s="148"/>
      <c r="BX175" s="148"/>
      <c r="BY175" s="148"/>
      <c r="BZ175" s="148"/>
      <c r="CA175" s="148"/>
      <c r="CB175" s="148"/>
      <c r="CC175" s="148"/>
      <c r="CD175" s="148"/>
      <c r="CE175" s="148"/>
      <c r="CF175" s="148"/>
      <c r="CG175" s="148"/>
      <c r="CH175" s="148"/>
      <c r="CI175" s="148"/>
      <c r="CJ175" s="148"/>
      <c r="CK175" s="148"/>
      <c r="CL175" s="148"/>
      <c r="CM175" s="148"/>
      <c r="CN175" s="148"/>
      <c r="CO175" s="148"/>
      <c r="CP175" s="148"/>
      <c r="CQ175" s="148"/>
      <c r="CR175" s="148"/>
      <c r="CS175" s="148"/>
      <c r="CT175" s="148"/>
      <c r="CU175" s="148"/>
      <c r="CV175" s="148"/>
      <c r="CW175" s="148"/>
      <c r="CX175" s="148"/>
      <c r="CY175" s="148"/>
      <c r="CZ175" s="148"/>
      <c r="DA175" s="148"/>
      <c r="DB175" s="148"/>
      <c r="DC175" s="148"/>
      <c r="DD175" s="148"/>
      <c r="DE175" s="148"/>
      <c r="DF175" s="148"/>
      <c r="DG175" s="148"/>
      <c r="DH175" s="148"/>
      <c r="DI175" s="148"/>
      <c r="DJ175" s="148"/>
      <c r="DK175" s="148"/>
      <c r="DL175" s="148"/>
      <c r="DM175" s="148"/>
      <c r="DN175" s="148"/>
      <c r="DO175" s="148"/>
      <c r="DP175" s="148"/>
      <c r="DQ175" s="148"/>
      <c r="DR175" s="148"/>
      <c r="DS175" s="148"/>
      <c r="DT175" s="148"/>
      <c r="DU175" s="148"/>
      <c r="DV175" s="148"/>
      <c r="DW175" s="148"/>
      <c r="DX175" s="148"/>
      <c r="DY175" s="148"/>
      <c r="DZ175" s="148"/>
      <c r="EA175" s="148"/>
      <c r="EB175" s="148"/>
      <c r="EC175" s="148"/>
      <c r="ED175" s="148"/>
      <c r="EE175" s="148"/>
      <c r="EF175" s="148"/>
      <c r="EG175" s="148"/>
      <c r="EH175" s="148"/>
      <c r="EI175" s="148"/>
      <c r="EJ175" s="148"/>
      <c r="EK175" s="148"/>
      <c r="EL175" s="148"/>
      <c r="EM175" s="148"/>
      <c r="EN175" s="148"/>
      <c r="EO175" s="148"/>
      <c r="EP175" s="148"/>
      <c r="EQ175" s="148"/>
      <c r="ER175" s="148"/>
      <c r="ES175" s="148"/>
      <c r="ET175" s="148"/>
      <c r="EU175" s="148"/>
      <c r="EV175" s="148"/>
      <c r="EW175" s="148"/>
      <c r="EX175" s="148"/>
      <c r="EY175" s="148"/>
      <c r="EZ175" s="148"/>
      <c r="FA175" s="148"/>
      <c r="FB175" s="148"/>
      <c r="FC175" s="148"/>
      <c r="FD175" s="148"/>
      <c r="FE175" s="148"/>
      <c r="FF175" s="148"/>
      <c r="FG175" s="148"/>
      <c r="FH175" s="148"/>
      <c r="FI175" s="148"/>
      <c r="FJ175" s="148"/>
      <c r="FK175" s="148"/>
      <c r="FL175" s="148"/>
      <c r="FM175" s="148"/>
      <c r="FN175" s="148"/>
      <c r="FO175" s="148"/>
      <c r="FP175" s="148"/>
      <c r="FQ175" s="148"/>
      <c r="FR175" s="148"/>
    </row>
    <row r="176" spans="1:174" s="15" customFormat="1" ht="13.5" customHeight="1" x14ac:dyDescent="0.2">
      <c r="A176" s="148"/>
      <c r="B176" s="307">
        <v>176</v>
      </c>
      <c r="C176" s="307" t="s">
        <v>38</v>
      </c>
      <c r="D176" s="562" t="s">
        <v>1770</v>
      </c>
      <c r="E176" s="569" t="s">
        <v>1771</v>
      </c>
      <c r="F176" s="533" t="s">
        <v>45</v>
      </c>
      <c r="G176" s="533" t="s">
        <v>1411</v>
      </c>
      <c r="H176" s="553" t="s">
        <v>1479</v>
      </c>
      <c r="I176" s="534" t="s">
        <v>43</v>
      </c>
      <c r="J176" s="535">
        <v>909164</v>
      </c>
      <c r="K176" s="535">
        <v>0</v>
      </c>
      <c r="L176" s="535">
        <v>192804</v>
      </c>
      <c r="M176" s="535"/>
      <c r="N176" s="535"/>
      <c r="O176" s="535"/>
      <c r="P176" s="547"/>
      <c r="Q176" s="538"/>
      <c r="R176" s="538"/>
      <c r="S176" s="535">
        <f t="shared" si="6"/>
        <v>0</v>
      </c>
      <c r="T176" s="539">
        <v>2</v>
      </c>
      <c r="U176" s="558">
        <v>16</v>
      </c>
      <c r="V176" s="542">
        <v>44228</v>
      </c>
      <c r="W176" s="542">
        <v>44263</v>
      </c>
      <c r="X176" s="539">
        <v>153598</v>
      </c>
      <c r="Y176" s="544">
        <v>26</v>
      </c>
      <c r="Z176" s="542">
        <v>44263</v>
      </c>
      <c r="AA176" s="542">
        <v>44293</v>
      </c>
      <c r="AB176" s="539"/>
      <c r="AC176" s="544"/>
      <c r="AD176" s="540"/>
      <c r="AE176" s="542"/>
      <c r="AF176" s="554"/>
      <c r="AG176" s="542"/>
      <c r="AH176" s="542"/>
      <c r="AI176" s="542"/>
      <c r="AJ176" s="554"/>
      <c r="AK176" s="542"/>
      <c r="AL176" s="542"/>
      <c r="AM176" s="542"/>
      <c r="AN176" s="542"/>
      <c r="AO176" s="542"/>
      <c r="AP176" s="542"/>
      <c r="AQ176" s="542"/>
      <c r="AR176" s="22">
        <f t="shared" si="7"/>
        <v>153600</v>
      </c>
      <c r="AS176" s="546">
        <f t="shared" si="8"/>
        <v>153600</v>
      </c>
      <c r="AT176" s="148"/>
      <c r="AU176" s="148"/>
      <c r="AV176" s="148"/>
      <c r="AW176" s="148"/>
      <c r="AX176" s="148"/>
      <c r="AY176" s="148"/>
      <c r="AZ176" s="148"/>
      <c r="BA176" s="148"/>
      <c r="BB176" s="148"/>
      <c r="BC176" s="148"/>
      <c r="BD176" s="148"/>
      <c r="BE176" s="148"/>
      <c r="BF176" s="148"/>
      <c r="BG176" s="148"/>
      <c r="BH176" s="148"/>
      <c r="BI176" s="148"/>
      <c r="BJ176" s="148"/>
      <c r="BK176" s="148"/>
      <c r="BL176" s="148"/>
      <c r="BM176" s="148"/>
      <c r="BN176" s="148"/>
      <c r="BO176" s="148"/>
      <c r="BP176" s="148"/>
      <c r="BQ176" s="148"/>
      <c r="BR176" s="148"/>
      <c r="BS176" s="148"/>
      <c r="BT176" s="148"/>
      <c r="BU176" s="148"/>
      <c r="BV176" s="148"/>
      <c r="BW176" s="148"/>
      <c r="BX176" s="148"/>
      <c r="BY176" s="148"/>
      <c r="BZ176" s="148"/>
      <c r="CA176" s="148"/>
      <c r="CB176" s="148"/>
      <c r="CC176" s="148"/>
      <c r="CD176" s="148"/>
      <c r="CE176" s="148"/>
      <c r="CF176" s="148"/>
      <c r="CG176" s="148"/>
      <c r="CH176" s="148"/>
      <c r="CI176" s="148"/>
      <c r="CJ176" s="148"/>
      <c r="CK176" s="148"/>
      <c r="CL176" s="148"/>
      <c r="CM176" s="148"/>
      <c r="CN176" s="148"/>
      <c r="CO176" s="148"/>
      <c r="CP176" s="148"/>
      <c r="CQ176" s="148"/>
      <c r="CR176" s="148"/>
      <c r="CS176" s="148"/>
      <c r="CT176" s="148"/>
      <c r="CU176" s="148"/>
      <c r="CV176" s="148"/>
      <c r="CW176" s="148"/>
      <c r="CX176" s="148"/>
      <c r="CY176" s="148"/>
      <c r="CZ176" s="148"/>
      <c r="DA176" s="148"/>
      <c r="DB176" s="148"/>
      <c r="DC176" s="148"/>
      <c r="DD176" s="148"/>
      <c r="DE176" s="148"/>
      <c r="DF176" s="148"/>
      <c r="DG176" s="148"/>
      <c r="DH176" s="148"/>
      <c r="DI176" s="148"/>
      <c r="DJ176" s="148"/>
      <c r="DK176" s="148"/>
      <c r="DL176" s="148"/>
      <c r="DM176" s="148"/>
      <c r="DN176" s="148"/>
      <c r="DO176" s="148"/>
      <c r="DP176" s="148"/>
      <c r="DQ176" s="148"/>
      <c r="DR176" s="148"/>
      <c r="DS176" s="148"/>
      <c r="DT176" s="148"/>
      <c r="DU176" s="148"/>
      <c r="DV176" s="148"/>
      <c r="DW176" s="148"/>
      <c r="DX176" s="148"/>
      <c r="DY176" s="148"/>
      <c r="DZ176" s="148"/>
      <c r="EA176" s="148"/>
      <c r="EB176" s="148"/>
      <c r="EC176" s="148"/>
      <c r="ED176" s="148"/>
      <c r="EE176" s="148"/>
      <c r="EF176" s="148"/>
      <c r="EG176" s="148"/>
      <c r="EH176" s="148"/>
      <c r="EI176" s="148"/>
      <c r="EJ176" s="148"/>
      <c r="EK176" s="148"/>
      <c r="EL176" s="148"/>
      <c r="EM176" s="148"/>
      <c r="EN176" s="148"/>
      <c r="EO176" s="148"/>
      <c r="EP176" s="148"/>
      <c r="EQ176" s="148"/>
      <c r="ER176" s="148"/>
      <c r="ES176" s="148"/>
      <c r="ET176" s="148"/>
      <c r="EU176" s="148"/>
      <c r="EV176" s="148"/>
      <c r="EW176" s="148"/>
      <c r="EX176" s="148"/>
      <c r="EY176" s="148"/>
      <c r="EZ176" s="148"/>
      <c r="FA176" s="148"/>
      <c r="FB176" s="148"/>
      <c r="FC176" s="148"/>
      <c r="FD176" s="148"/>
      <c r="FE176" s="148"/>
      <c r="FF176" s="148"/>
      <c r="FG176" s="148"/>
      <c r="FH176" s="148"/>
      <c r="FI176" s="148"/>
      <c r="FJ176" s="148"/>
      <c r="FK176" s="148"/>
      <c r="FL176" s="148"/>
      <c r="FM176" s="148"/>
      <c r="FN176" s="148"/>
      <c r="FO176" s="148"/>
      <c r="FP176" s="148"/>
      <c r="FQ176" s="148"/>
      <c r="FR176" s="148"/>
    </row>
    <row r="177" spans="1:174" s="15" customFormat="1" ht="13.5" customHeight="1" x14ac:dyDescent="0.2">
      <c r="A177" s="148"/>
      <c r="B177" s="307">
        <v>177</v>
      </c>
      <c r="C177" s="307" t="s">
        <v>38</v>
      </c>
      <c r="D177" s="562" t="s">
        <v>1772</v>
      </c>
      <c r="E177" s="569" t="s">
        <v>1773</v>
      </c>
      <c r="F177" s="533" t="s">
        <v>45</v>
      </c>
      <c r="G177" s="533" t="s">
        <v>1411</v>
      </c>
      <c r="H177" s="553" t="s">
        <v>1427</v>
      </c>
      <c r="I177" s="534" t="s">
        <v>43</v>
      </c>
      <c r="J177" s="535">
        <v>452374</v>
      </c>
      <c r="K177" s="535">
        <v>0</v>
      </c>
      <c r="L177" s="535">
        <v>146567</v>
      </c>
      <c r="M177" s="535"/>
      <c r="N177" s="535"/>
      <c r="O177" s="535"/>
      <c r="P177" s="548">
        <v>101642.708</v>
      </c>
      <c r="Q177" s="538">
        <f>5906250/1000+37636</f>
        <v>43542.25</v>
      </c>
      <c r="R177" s="538">
        <v>1968.75</v>
      </c>
      <c r="S177" s="535">
        <f t="shared" si="6"/>
        <v>147153.70799999998</v>
      </c>
      <c r="T177" s="539">
        <v>174500</v>
      </c>
      <c r="U177" s="558">
        <v>17</v>
      </c>
      <c r="V177" s="542">
        <v>44242</v>
      </c>
      <c r="W177" s="542">
        <v>44271</v>
      </c>
      <c r="X177" s="539">
        <v>94000</v>
      </c>
      <c r="Y177" s="544">
        <v>46</v>
      </c>
      <c r="Z177" s="542">
        <v>44295</v>
      </c>
      <c r="AA177" s="542">
        <v>44327</v>
      </c>
      <c r="AB177" s="539">
        <v>41523</v>
      </c>
      <c r="AC177" s="544">
        <v>55</v>
      </c>
      <c r="AD177" s="545">
        <v>44323</v>
      </c>
      <c r="AE177" s="542">
        <v>44350</v>
      </c>
      <c r="AF177" s="554"/>
      <c r="AG177" s="542"/>
      <c r="AH177" s="542"/>
      <c r="AI177" s="542"/>
      <c r="AJ177" s="554"/>
      <c r="AK177" s="542"/>
      <c r="AL177" s="542"/>
      <c r="AM177" s="542"/>
      <c r="AN177" s="542"/>
      <c r="AO177" s="542"/>
      <c r="AP177" s="542"/>
      <c r="AQ177" s="542"/>
      <c r="AR177" s="22">
        <f t="shared" si="7"/>
        <v>310023</v>
      </c>
      <c r="AS177" s="546">
        <f t="shared" si="8"/>
        <v>162869.29200000002</v>
      </c>
      <c r="AT177" s="148"/>
      <c r="AU177" s="148"/>
      <c r="AV177" s="148"/>
      <c r="AW177" s="148"/>
      <c r="AX177" s="148"/>
      <c r="AY177" s="148"/>
      <c r="AZ177" s="148"/>
      <c r="BA177" s="148"/>
      <c r="BB177" s="148"/>
      <c r="BC177" s="148"/>
      <c r="BD177" s="148"/>
      <c r="BE177" s="148"/>
      <c r="BF177" s="148"/>
      <c r="BG177" s="148"/>
      <c r="BH177" s="148"/>
      <c r="BI177" s="148"/>
      <c r="BJ177" s="148"/>
      <c r="BK177" s="148"/>
      <c r="BL177" s="148"/>
      <c r="BM177" s="148"/>
      <c r="BN177" s="148"/>
      <c r="BO177" s="148"/>
      <c r="BP177" s="148"/>
      <c r="BQ177" s="148"/>
      <c r="BR177" s="148"/>
      <c r="BS177" s="148"/>
      <c r="BT177" s="148"/>
      <c r="BU177" s="148"/>
      <c r="BV177" s="148"/>
      <c r="BW177" s="148"/>
      <c r="BX177" s="148"/>
      <c r="BY177" s="148"/>
      <c r="BZ177" s="148"/>
      <c r="CA177" s="148"/>
      <c r="CB177" s="148"/>
      <c r="CC177" s="148"/>
      <c r="CD177" s="148"/>
      <c r="CE177" s="148"/>
      <c r="CF177" s="148"/>
      <c r="CG177" s="148"/>
      <c r="CH177" s="148"/>
      <c r="CI177" s="148"/>
      <c r="CJ177" s="148"/>
      <c r="CK177" s="148"/>
      <c r="CL177" s="148"/>
      <c r="CM177" s="148"/>
      <c r="CN177" s="148"/>
      <c r="CO177" s="148"/>
      <c r="CP177" s="148"/>
      <c r="CQ177" s="148"/>
      <c r="CR177" s="148"/>
      <c r="CS177" s="148"/>
      <c r="CT177" s="148"/>
      <c r="CU177" s="148"/>
      <c r="CV177" s="148"/>
      <c r="CW177" s="148"/>
      <c r="CX177" s="148"/>
      <c r="CY177" s="148"/>
      <c r="CZ177" s="148"/>
      <c r="DA177" s="148"/>
      <c r="DB177" s="148"/>
      <c r="DC177" s="148"/>
      <c r="DD177" s="148"/>
      <c r="DE177" s="148"/>
      <c r="DF177" s="148"/>
      <c r="DG177" s="148"/>
      <c r="DH177" s="148"/>
      <c r="DI177" s="148"/>
      <c r="DJ177" s="148"/>
      <c r="DK177" s="148"/>
      <c r="DL177" s="148"/>
      <c r="DM177" s="148"/>
      <c r="DN177" s="148"/>
      <c r="DO177" s="148"/>
      <c r="DP177" s="148"/>
      <c r="DQ177" s="148"/>
      <c r="DR177" s="148"/>
      <c r="DS177" s="148"/>
      <c r="DT177" s="148"/>
      <c r="DU177" s="148"/>
      <c r="DV177" s="148"/>
      <c r="DW177" s="148"/>
      <c r="DX177" s="148"/>
      <c r="DY177" s="148"/>
      <c r="DZ177" s="148"/>
      <c r="EA177" s="148"/>
      <c r="EB177" s="148"/>
      <c r="EC177" s="148"/>
      <c r="ED177" s="148"/>
      <c r="EE177" s="148"/>
      <c r="EF177" s="148"/>
      <c r="EG177" s="148"/>
      <c r="EH177" s="148"/>
      <c r="EI177" s="148"/>
      <c r="EJ177" s="148"/>
      <c r="EK177" s="148"/>
      <c r="EL177" s="148"/>
      <c r="EM177" s="148"/>
      <c r="EN177" s="148"/>
      <c r="EO177" s="148"/>
      <c r="EP177" s="148"/>
      <c r="EQ177" s="148"/>
      <c r="ER177" s="148"/>
      <c r="ES177" s="148"/>
      <c r="ET177" s="148"/>
      <c r="EU177" s="148"/>
      <c r="EV177" s="148"/>
      <c r="EW177" s="148"/>
      <c r="EX177" s="148"/>
      <c r="EY177" s="148"/>
      <c r="EZ177" s="148"/>
      <c r="FA177" s="148"/>
      <c r="FB177" s="148"/>
      <c r="FC177" s="148"/>
      <c r="FD177" s="148"/>
      <c r="FE177" s="148"/>
      <c r="FF177" s="148"/>
      <c r="FG177" s="148"/>
      <c r="FH177" s="148"/>
      <c r="FI177" s="148"/>
      <c r="FJ177" s="148"/>
      <c r="FK177" s="148"/>
      <c r="FL177" s="148"/>
      <c r="FM177" s="148"/>
      <c r="FN177" s="148"/>
      <c r="FO177" s="148"/>
      <c r="FP177" s="148"/>
      <c r="FQ177" s="148"/>
      <c r="FR177" s="148"/>
    </row>
    <row r="178" spans="1:174" s="15" customFormat="1" ht="13.5" customHeight="1" x14ac:dyDescent="0.2">
      <c r="A178" s="148"/>
      <c r="B178" s="307">
        <v>178</v>
      </c>
      <c r="C178" s="307" t="s">
        <v>38</v>
      </c>
      <c r="D178" s="562" t="s">
        <v>1774</v>
      </c>
      <c r="E178" s="569" t="s">
        <v>1775</v>
      </c>
      <c r="F178" s="533" t="s">
        <v>45</v>
      </c>
      <c r="G178" s="533" t="s">
        <v>1411</v>
      </c>
      <c r="H178" s="553" t="s">
        <v>1427</v>
      </c>
      <c r="I178" s="534" t="s">
        <v>43</v>
      </c>
      <c r="J178" s="535">
        <v>861203</v>
      </c>
      <c r="K178" s="535">
        <v>0</v>
      </c>
      <c r="L178" s="535">
        <v>0</v>
      </c>
      <c r="M178" s="535"/>
      <c r="N178" s="535"/>
      <c r="O178" s="535">
        <f>3300+85836</f>
        <v>89136</v>
      </c>
      <c r="P178" s="548">
        <v>90002.505999999994</v>
      </c>
      <c r="Q178" s="538">
        <v>206475</v>
      </c>
      <c r="R178" s="538">
        <v>109623.906</v>
      </c>
      <c r="S178" s="535">
        <f t="shared" si="6"/>
        <v>495237.41200000001</v>
      </c>
      <c r="T178" s="539">
        <v>183500</v>
      </c>
      <c r="U178" s="558">
        <v>17</v>
      </c>
      <c r="V178" s="542">
        <v>44242</v>
      </c>
      <c r="W178" s="542">
        <v>44271</v>
      </c>
      <c r="X178" s="539">
        <v>211636</v>
      </c>
      <c r="Y178" s="544">
        <v>46</v>
      </c>
      <c r="Z178" s="542">
        <v>44295</v>
      </c>
      <c r="AA178" s="542">
        <v>44327</v>
      </c>
      <c r="AB178" s="539">
        <v>158773</v>
      </c>
      <c r="AC178" s="544">
        <v>55</v>
      </c>
      <c r="AD178" s="545">
        <v>44323</v>
      </c>
      <c r="AE178" s="542">
        <v>44350</v>
      </c>
      <c r="AF178" s="554"/>
      <c r="AG178" s="542"/>
      <c r="AH178" s="542"/>
      <c r="AI178" s="542"/>
      <c r="AJ178" s="554"/>
      <c r="AK178" s="542"/>
      <c r="AL178" s="542"/>
      <c r="AM178" s="542"/>
      <c r="AN178" s="542"/>
      <c r="AO178" s="542"/>
      <c r="AP178" s="542"/>
      <c r="AQ178" s="542"/>
      <c r="AR178" s="22">
        <f t="shared" si="7"/>
        <v>553909</v>
      </c>
      <c r="AS178" s="546">
        <f t="shared" si="8"/>
        <v>58671.587999999989</v>
      </c>
      <c r="AT178" s="148"/>
      <c r="AU178" s="148"/>
      <c r="AV178" s="148"/>
      <c r="AW178" s="148"/>
      <c r="AX178" s="148"/>
      <c r="AY178" s="148"/>
      <c r="AZ178" s="148"/>
      <c r="BA178" s="148"/>
      <c r="BB178" s="148"/>
      <c r="BC178" s="148"/>
      <c r="BD178" s="148"/>
      <c r="BE178" s="148"/>
      <c r="BF178" s="148"/>
      <c r="BG178" s="148"/>
      <c r="BH178" s="148"/>
      <c r="BI178" s="148"/>
      <c r="BJ178" s="148"/>
      <c r="BK178" s="148"/>
      <c r="BL178" s="148"/>
      <c r="BM178" s="148"/>
      <c r="BN178" s="148"/>
      <c r="BO178" s="148"/>
      <c r="BP178" s="148"/>
      <c r="BQ178" s="148"/>
      <c r="BR178" s="148"/>
      <c r="BS178" s="148"/>
      <c r="BT178" s="148"/>
      <c r="BU178" s="148"/>
      <c r="BV178" s="148"/>
      <c r="BW178" s="148"/>
      <c r="BX178" s="148"/>
      <c r="BY178" s="148"/>
      <c r="BZ178" s="148"/>
      <c r="CA178" s="148"/>
      <c r="CB178" s="148"/>
      <c r="CC178" s="148"/>
      <c r="CD178" s="148"/>
      <c r="CE178" s="148"/>
      <c r="CF178" s="148"/>
      <c r="CG178" s="148"/>
      <c r="CH178" s="148"/>
      <c r="CI178" s="148"/>
      <c r="CJ178" s="148"/>
      <c r="CK178" s="148"/>
      <c r="CL178" s="148"/>
      <c r="CM178" s="148"/>
      <c r="CN178" s="148"/>
      <c r="CO178" s="148"/>
      <c r="CP178" s="148"/>
      <c r="CQ178" s="148"/>
      <c r="CR178" s="148"/>
      <c r="CS178" s="148"/>
      <c r="CT178" s="148"/>
      <c r="CU178" s="148"/>
      <c r="CV178" s="148"/>
      <c r="CW178" s="148"/>
      <c r="CX178" s="148"/>
      <c r="CY178" s="148"/>
      <c r="CZ178" s="148"/>
      <c r="DA178" s="148"/>
      <c r="DB178" s="148"/>
      <c r="DC178" s="148"/>
      <c r="DD178" s="148"/>
      <c r="DE178" s="148"/>
      <c r="DF178" s="148"/>
      <c r="DG178" s="148"/>
      <c r="DH178" s="148"/>
      <c r="DI178" s="148"/>
      <c r="DJ178" s="148"/>
      <c r="DK178" s="148"/>
      <c r="DL178" s="148"/>
      <c r="DM178" s="148"/>
      <c r="DN178" s="148"/>
      <c r="DO178" s="148"/>
      <c r="DP178" s="148"/>
      <c r="DQ178" s="148"/>
      <c r="DR178" s="148"/>
      <c r="DS178" s="148"/>
      <c r="DT178" s="148"/>
      <c r="DU178" s="148"/>
      <c r="DV178" s="148"/>
      <c r="DW178" s="148"/>
      <c r="DX178" s="148"/>
      <c r="DY178" s="148"/>
      <c r="DZ178" s="148"/>
      <c r="EA178" s="148"/>
      <c r="EB178" s="148"/>
      <c r="EC178" s="148"/>
      <c r="ED178" s="148"/>
      <c r="EE178" s="148"/>
      <c r="EF178" s="148"/>
      <c r="EG178" s="148"/>
      <c r="EH178" s="148"/>
      <c r="EI178" s="148"/>
      <c r="EJ178" s="148"/>
      <c r="EK178" s="148"/>
      <c r="EL178" s="148"/>
      <c r="EM178" s="148"/>
      <c r="EN178" s="148"/>
      <c r="EO178" s="148"/>
      <c r="EP178" s="148"/>
      <c r="EQ178" s="148"/>
      <c r="ER178" s="148"/>
      <c r="ES178" s="148"/>
      <c r="ET178" s="148"/>
      <c r="EU178" s="148"/>
      <c r="EV178" s="148"/>
      <c r="EW178" s="148"/>
      <c r="EX178" s="148"/>
      <c r="EY178" s="148"/>
      <c r="EZ178" s="148"/>
      <c r="FA178" s="148"/>
      <c r="FB178" s="148"/>
      <c r="FC178" s="148"/>
      <c r="FD178" s="148"/>
      <c r="FE178" s="148"/>
      <c r="FF178" s="148"/>
      <c r="FG178" s="148"/>
      <c r="FH178" s="148"/>
      <c r="FI178" s="148"/>
      <c r="FJ178" s="148"/>
      <c r="FK178" s="148"/>
      <c r="FL178" s="148"/>
      <c r="FM178" s="148"/>
      <c r="FN178" s="148"/>
      <c r="FO178" s="148"/>
      <c r="FP178" s="148"/>
      <c r="FQ178" s="148"/>
      <c r="FR178" s="148"/>
    </row>
    <row r="179" spans="1:174" s="15" customFormat="1" ht="13.5" customHeight="1" x14ac:dyDescent="0.2">
      <c r="A179" s="148"/>
      <c r="B179" s="307">
        <v>179</v>
      </c>
      <c r="C179" s="307" t="s">
        <v>38</v>
      </c>
      <c r="D179" s="570" t="s">
        <v>1776</v>
      </c>
      <c r="E179" s="571" t="s">
        <v>1777</v>
      </c>
      <c r="F179" s="533" t="s">
        <v>45</v>
      </c>
      <c r="G179" s="533" t="s">
        <v>1411</v>
      </c>
      <c r="H179" s="553" t="s">
        <v>1432</v>
      </c>
      <c r="I179" s="534" t="s">
        <v>42</v>
      </c>
      <c r="J179" s="535">
        <v>529427</v>
      </c>
      <c r="K179" s="535">
        <v>291985</v>
      </c>
      <c r="L179" s="535">
        <v>0</v>
      </c>
      <c r="M179" s="535"/>
      <c r="N179" s="535"/>
      <c r="O179" s="535">
        <v>121441</v>
      </c>
      <c r="P179" s="547"/>
      <c r="Q179" s="538"/>
      <c r="R179" s="538"/>
      <c r="S179" s="535">
        <f t="shared" si="6"/>
        <v>121441</v>
      </c>
      <c r="T179" s="572">
        <v>122000</v>
      </c>
      <c r="U179" s="558">
        <v>18</v>
      </c>
      <c r="V179" s="542">
        <v>44242</v>
      </c>
      <c r="W179" s="542">
        <v>44270</v>
      </c>
      <c r="X179" s="539">
        <v>115442</v>
      </c>
      <c r="Y179" s="544">
        <v>47</v>
      </c>
      <c r="Z179" s="542">
        <v>44295</v>
      </c>
      <c r="AA179" s="542">
        <v>44315</v>
      </c>
      <c r="AB179" s="539"/>
      <c r="AC179" s="544"/>
      <c r="AD179" s="540"/>
      <c r="AE179" s="542"/>
      <c r="AF179" s="554"/>
      <c r="AG179" s="542"/>
      <c r="AH179" s="542"/>
      <c r="AI179" s="542"/>
      <c r="AJ179" s="554"/>
      <c r="AK179" s="542"/>
      <c r="AL179" s="542"/>
      <c r="AM179" s="542"/>
      <c r="AN179" s="542"/>
      <c r="AO179" s="542"/>
      <c r="AP179" s="542"/>
      <c r="AQ179" s="542"/>
      <c r="AR179" s="22">
        <f t="shared" si="7"/>
        <v>237442</v>
      </c>
      <c r="AS179" s="546">
        <f t="shared" si="8"/>
        <v>116001</v>
      </c>
      <c r="AT179" s="148"/>
      <c r="AU179" s="148"/>
      <c r="AV179" s="148"/>
      <c r="AW179" s="148"/>
      <c r="AX179" s="148"/>
      <c r="AY179" s="148"/>
      <c r="AZ179" s="148"/>
      <c r="BA179" s="148"/>
      <c r="BB179" s="148"/>
      <c r="BC179" s="148"/>
      <c r="BD179" s="148"/>
      <c r="BE179" s="148"/>
      <c r="BF179" s="148"/>
      <c r="BG179" s="148"/>
      <c r="BH179" s="148"/>
      <c r="BI179" s="148"/>
      <c r="BJ179" s="148"/>
      <c r="BK179" s="148"/>
      <c r="BL179" s="148"/>
      <c r="BM179" s="148"/>
      <c r="BN179" s="148"/>
      <c r="BO179" s="148"/>
      <c r="BP179" s="148"/>
      <c r="BQ179" s="148"/>
      <c r="BR179" s="148"/>
      <c r="BS179" s="148"/>
      <c r="BT179" s="148"/>
      <c r="BU179" s="148"/>
      <c r="BV179" s="148"/>
      <c r="BW179" s="148"/>
      <c r="BX179" s="148"/>
      <c r="BY179" s="148"/>
      <c r="BZ179" s="148"/>
      <c r="CA179" s="148"/>
      <c r="CB179" s="148"/>
      <c r="CC179" s="148"/>
      <c r="CD179" s="148"/>
      <c r="CE179" s="148"/>
      <c r="CF179" s="148"/>
      <c r="CG179" s="148"/>
      <c r="CH179" s="148"/>
      <c r="CI179" s="148"/>
      <c r="CJ179" s="148"/>
      <c r="CK179" s="148"/>
      <c r="CL179" s="148"/>
      <c r="CM179" s="148"/>
      <c r="CN179" s="148"/>
      <c r="CO179" s="148"/>
      <c r="CP179" s="148"/>
      <c r="CQ179" s="148"/>
      <c r="CR179" s="148"/>
      <c r="CS179" s="148"/>
      <c r="CT179" s="148"/>
      <c r="CU179" s="148"/>
      <c r="CV179" s="148"/>
      <c r="CW179" s="148"/>
      <c r="CX179" s="148"/>
      <c r="CY179" s="148"/>
      <c r="CZ179" s="148"/>
      <c r="DA179" s="148"/>
      <c r="DB179" s="148"/>
      <c r="DC179" s="148"/>
      <c r="DD179" s="148"/>
      <c r="DE179" s="148"/>
      <c r="DF179" s="148"/>
      <c r="DG179" s="148"/>
      <c r="DH179" s="148"/>
      <c r="DI179" s="148"/>
      <c r="DJ179" s="148"/>
      <c r="DK179" s="148"/>
      <c r="DL179" s="148"/>
      <c r="DM179" s="148"/>
      <c r="DN179" s="148"/>
      <c r="DO179" s="148"/>
      <c r="DP179" s="148"/>
      <c r="DQ179" s="148"/>
      <c r="DR179" s="148"/>
      <c r="DS179" s="148"/>
      <c r="DT179" s="148"/>
      <c r="DU179" s="148"/>
      <c r="DV179" s="148"/>
      <c r="DW179" s="148"/>
      <c r="DX179" s="148"/>
      <c r="DY179" s="148"/>
      <c r="DZ179" s="148"/>
      <c r="EA179" s="148"/>
      <c r="EB179" s="148"/>
      <c r="EC179" s="148"/>
      <c r="ED179" s="148"/>
      <c r="EE179" s="148"/>
      <c r="EF179" s="148"/>
      <c r="EG179" s="148"/>
      <c r="EH179" s="148"/>
      <c r="EI179" s="148"/>
      <c r="EJ179" s="148"/>
      <c r="EK179" s="148"/>
      <c r="EL179" s="148"/>
      <c r="EM179" s="148"/>
      <c r="EN179" s="148"/>
      <c r="EO179" s="148"/>
      <c r="EP179" s="148"/>
      <c r="EQ179" s="148"/>
      <c r="ER179" s="148"/>
      <c r="ES179" s="148"/>
      <c r="ET179" s="148"/>
      <c r="EU179" s="148"/>
      <c r="EV179" s="148"/>
      <c r="EW179" s="148"/>
      <c r="EX179" s="148"/>
      <c r="EY179" s="148"/>
      <c r="EZ179" s="148"/>
      <c r="FA179" s="148"/>
      <c r="FB179" s="148"/>
      <c r="FC179" s="148"/>
      <c r="FD179" s="148"/>
      <c r="FE179" s="148"/>
      <c r="FF179" s="148"/>
      <c r="FG179" s="148"/>
      <c r="FH179" s="148"/>
      <c r="FI179" s="148"/>
      <c r="FJ179" s="148"/>
      <c r="FK179" s="148"/>
      <c r="FL179" s="148"/>
      <c r="FM179" s="148"/>
      <c r="FN179" s="148"/>
      <c r="FO179" s="148"/>
      <c r="FP179" s="148"/>
      <c r="FQ179" s="148"/>
      <c r="FR179" s="148"/>
    </row>
    <row r="180" spans="1:174" s="15" customFormat="1" ht="13.5" customHeight="1" x14ac:dyDescent="0.2">
      <c r="A180" s="148"/>
      <c r="B180" s="307">
        <v>180</v>
      </c>
      <c r="C180" s="307" t="s">
        <v>38</v>
      </c>
      <c r="D180" s="570" t="s">
        <v>1778</v>
      </c>
      <c r="E180" s="571" t="s">
        <v>1779</v>
      </c>
      <c r="F180" s="533" t="s">
        <v>45</v>
      </c>
      <c r="G180" s="533" t="s">
        <v>1411</v>
      </c>
      <c r="H180" s="553" t="s">
        <v>1457</v>
      </c>
      <c r="I180" s="534" t="s">
        <v>42</v>
      </c>
      <c r="J180" s="535">
        <v>409112</v>
      </c>
      <c r="K180" s="535">
        <v>371878</v>
      </c>
      <c r="L180" s="535">
        <v>0</v>
      </c>
      <c r="M180" s="535"/>
      <c r="N180" s="535"/>
      <c r="O180" s="535"/>
      <c r="P180" s="548">
        <v>37233.15</v>
      </c>
      <c r="Q180" s="538"/>
      <c r="R180" s="538"/>
      <c r="S180" s="535">
        <f t="shared" si="6"/>
        <v>37233.15</v>
      </c>
      <c r="T180" s="539">
        <v>37234</v>
      </c>
      <c r="U180" s="558">
        <v>19</v>
      </c>
      <c r="V180" s="545">
        <v>44242</v>
      </c>
      <c r="W180" s="542">
        <v>44271</v>
      </c>
      <c r="X180" s="539"/>
      <c r="Y180" s="544"/>
      <c r="Z180" s="542"/>
      <c r="AA180" s="542"/>
      <c r="AB180" s="539"/>
      <c r="AC180" s="544"/>
      <c r="AD180" s="540"/>
      <c r="AE180" s="542"/>
      <c r="AF180" s="554"/>
      <c r="AG180" s="542"/>
      <c r="AH180" s="542"/>
      <c r="AI180" s="542"/>
      <c r="AJ180" s="554"/>
      <c r="AK180" s="542"/>
      <c r="AL180" s="542"/>
      <c r="AM180" s="542"/>
      <c r="AN180" s="542"/>
      <c r="AO180" s="542"/>
      <c r="AP180" s="542"/>
      <c r="AQ180" s="542"/>
      <c r="AR180" s="22">
        <f t="shared" si="7"/>
        <v>37234</v>
      </c>
      <c r="AS180" s="546">
        <f t="shared" si="8"/>
        <v>0.84999999999854481</v>
      </c>
      <c r="AT180" s="148"/>
      <c r="AU180" s="148"/>
      <c r="AV180" s="148"/>
      <c r="AW180" s="148"/>
      <c r="AX180" s="148"/>
      <c r="AY180" s="148"/>
      <c r="AZ180" s="148"/>
      <c r="BA180" s="148"/>
      <c r="BB180" s="148"/>
      <c r="BC180" s="148"/>
      <c r="BD180" s="148"/>
      <c r="BE180" s="148"/>
      <c r="BF180" s="148"/>
      <c r="BG180" s="148"/>
      <c r="BH180" s="148"/>
      <c r="BI180" s="148"/>
      <c r="BJ180" s="148"/>
      <c r="BK180" s="148"/>
      <c r="BL180" s="148"/>
      <c r="BM180" s="148"/>
      <c r="BN180" s="148"/>
      <c r="BO180" s="148"/>
      <c r="BP180" s="148"/>
      <c r="BQ180" s="148"/>
      <c r="BR180" s="148"/>
      <c r="BS180" s="148"/>
      <c r="BT180" s="148"/>
      <c r="BU180" s="148"/>
      <c r="BV180" s="148"/>
      <c r="BW180" s="148"/>
      <c r="BX180" s="148"/>
      <c r="BY180" s="148"/>
      <c r="BZ180" s="148"/>
      <c r="CA180" s="148"/>
      <c r="CB180" s="148"/>
      <c r="CC180" s="148"/>
      <c r="CD180" s="148"/>
      <c r="CE180" s="148"/>
      <c r="CF180" s="148"/>
      <c r="CG180" s="148"/>
      <c r="CH180" s="148"/>
      <c r="CI180" s="148"/>
      <c r="CJ180" s="148"/>
      <c r="CK180" s="148"/>
      <c r="CL180" s="148"/>
      <c r="CM180" s="148"/>
      <c r="CN180" s="148"/>
      <c r="CO180" s="148"/>
      <c r="CP180" s="148"/>
      <c r="CQ180" s="148"/>
      <c r="CR180" s="148"/>
      <c r="CS180" s="148"/>
      <c r="CT180" s="148"/>
      <c r="CU180" s="148"/>
      <c r="CV180" s="148"/>
      <c r="CW180" s="148"/>
      <c r="CX180" s="148"/>
      <c r="CY180" s="148"/>
      <c r="CZ180" s="148"/>
      <c r="DA180" s="148"/>
      <c r="DB180" s="148"/>
      <c r="DC180" s="148"/>
      <c r="DD180" s="148"/>
      <c r="DE180" s="148"/>
      <c r="DF180" s="148"/>
      <c r="DG180" s="148"/>
      <c r="DH180" s="148"/>
      <c r="DI180" s="148"/>
      <c r="DJ180" s="148"/>
      <c r="DK180" s="148"/>
      <c r="DL180" s="148"/>
      <c r="DM180" s="148"/>
      <c r="DN180" s="148"/>
      <c r="DO180" s="148"/>
      <c r="DP180" s="148"/>
      <c r="DQ180" s="148"/>
      <c r="DR180" s="148"/>
      <c r="DS180" s="148"/>
      <c r="DT180" s="148"/>
      <c r="DU180" s="148"/>
      <c r="DV180" s="148"/>
      <c r="DW180" s="148"/>
      <c r="DX180" s="148"/>
      <c r="DY180" s="148"/>
      <c r="DZ180" s="148"/>
      <c r="EA180" s="148"/>
      <c r="EB180" s="148"/>
      <c r="EC180" s="148"/>
      <c r="ED180" s="148"/>
      <c r="EE180" s="148"/>
      <c r="EF180" s="148"/>
      <c r="EG180" s="148"/>
      <c r="EH180" s="148"/>
      <c r="EI180" s="148"/>
      <c r="EJ180" s="148"/>
      <c r="EK180" s="148"/>
      <c r="EL180" s="148"/>
      <c r="EM180" s="148"/>
      <c r="EN180" s="148"/>
      <c r="EO180" s="148"/>
      <c r="EP180" s="148"/>
      <c r="EQ180" s="148"/>
      <c r="ER180" s="148"/>
      <c r="ES180" s="148"/>
      <c r="ET180" s="148"/>
      <c r="EU180" s="148"/>
      <c r="EV180" s="148"/>
      <c r="EW180" s="148"/>
      <c r="EX180" s="148"/>
      <c r="EY180" s="148"/>
      <c r="EZ180" s="148"/>
      <c r="FA180" s="148"/>
      <c r="FB180" s="148"/>
      <c r="FC180" s="148"/>
      <c r="FD180" s="148"/>
      <c r="FE180" s="148"/>
      <c r="FF180" s="148"/>
      <c r="FG180" s="148"/>
      <c r="FH180" s="148"/>
      <c r="FI180" s="148"/>
      <c r="FJ180" s="148"/>
      <c r="FK180" s="148"/>
      <c r="FL180" s="148"/>
      <c r="FM180" s="148"/>
      <c r="FN180" s="148"/>
      <c r="FO180" s="148"/>
      <c r="FP180" s="148"/>
      <c r="FQ180" s="148"/>
      <c r="FR180" s="148"/>
    </row>
    <row r="181" spans="1:174" s="15" customFormat="1" ht="13.5" customHeight="1" x14ac:dyDescent="0.2">
      <c r="A181" s="148"/>
      <c r="B181" s="307">
        <v>181</v>
      </c>
      <c r="C181" s="307" t="s">
        <v>38</v>
      </c>
      <c r="D181" s="450" t="s">
        <v>1780</v>
      </c>
      <c r="E181" s="571" t="s">
        <v>1781</v>
      </c>
      <c r="F181" s="533" t="s">
        <v>45</v>
      </c>
      <c r="G181" s="533" t="s">
        <v>1411</v>
      </c>
      <c r="H181" s="553" t="s">
        <v>1562</v>
      </c>
      <c r="I181" s="534" t="s">
        <v>42</v>
      </c>
      <c r="J181" s="535">
        <v>1213995</v>
      </c>
      <c r="K181" s="535">
        <v>827098</v>
      </c>
      <c r="L181" s="535">
        <v>0</v>
      </c>
      <c r="M181" s="535"/>
      <c r="N181" s="535"/>
      <c r="O181" s="535"/>
      <c r="P181" s="547"/>
      <c r="Q181" s="538"/>
      <c r="R181" s="538"/>
      <c r="S181" s="535">
        <f t="shared" si="6"/>
        <v>0</v>
      </c>
      <c r="T181" s="539">
        <v>100000</v>
      </c>
      <c r="U181" s="558">
        <v>21</v>
      </c>
      <c r="V181" s="545">
        <v>44256</v>
      </c>
      <c r="W181" s="542">
        <v>44274</v>
      </c>
      <c r="X181" s="539"/>
      <c r="Y181" s="544"/>
      <c r="Z181" s="542"/>
      <c r="AA181" s="542"/>
      <c r="AB181" s="539"/>
      <c r="AC181" s="544"/>
      <c r="AD181" s="540"/>
      <c r="AE181" s="542"/>
      <c r="AF181" s="554"/>
      <c r="AG181" s="542"/>
      <c r="AH181" s="542"/>
      <c r="AI181" s="542"/>
      <c r="AJ181" s="554"/>
      <c r="AK181" s="542"/>
      <c r="AL181" s="542"/>
      <c r="AM181" s="542"/>
      <c r="AN181" s="542"/>
      <c r="AO181" s="542"/>
      <c r="AP181" s="542"/>
      <c r="AQ181" s="542"/>
      <c r="AR181" s="22">
        <f t="shared" si="7"/>
        <v>100000</v>
      </c>
      <c r="AS181" s="546">
        <f t="shared" si="8"/>
        <v>100000</v>
      </c>
      <c r="AT181" s="148"/>
      <c r="AU181" s="148"/>
      <c r="AV181" s="148"/>
      <c r="AW181" s="148"/>
      <c r="AX181" s="148"/>
      <c r="AY181" s="148"/>
      <c r="AZ181" s="148"/>
      <c r="BA181" s="148"/>
      <c r="BB181" s="148"/>
      <c r="BC181" s="148"/>
      <c r="BD181" s="148"/>
      <c r="BE181" s="148"/>
      <c r="BF181" s="148"/>
      <c r="BG181" s="148"/>
      <c r="BH181" s="148"/>
      <c r="BI181" s="148"/>
      <c r="BJ181" s="148"/>
      <c r="BK181" s="148"/>
      <c r="BL181" s="148"/>
      <c r="BM181" s="148"/>
      <c r="BN181" s="148"/>
      <c r="BO181" s="148"/>
      <c r="BP181" s="148"/>
      <c r="BQ181" s="148"/>
      <c r="BR181" s="148"/>
      <c r="BS181" s="148"/>
      <c r="BT181" s="148"/>
      <c r="BU181" s="148"/>
      <c r="BV181" s="148"/>
      <c r="BW181" s="148"/>
      <c r="BX181" s="148"/>
      <c r="BY181" s="148"/>
      <c r="BZ181" s="148"/>
      <c r="CA181" s="148"/>
      <c r="CB181" s="148"/>
      <c r="CC181" s="148"/>
      <c r="CD181" s="148"/>
      <c r="CE181" s="148"/>
      <c r="CF181" s="148"/>
      <c r="CG181" s="148"/>
      <c r="CH181" s="148"/>
      <c r="CI181" s="148"/>
      <c r="CJ181" s="148"/>
      <c r="CK181" s="148"/>
      <c r="CL181" s="148"/>
      <c r="CM181" s="148"/>
      <c r="CN181" s="148"/>
      <c r="CO181" s="148"/>
      <c r="CP181" s="148"/>
      <c r="CQ181" s="148"/>
      <c r="CR181" s="148"/>
      <c r="CS181" s="148"/>
      <c r="CT181" s="148"/>
      <c r="CU181" s="148"/>
      <c r="CV181" s="148"/>
      <c r="CW181" s="148"/>
      <c r="CX181" s="148"/>
      <c r="CY181" s="148"/>
      <c r="CZ181" s="148"/>
      <c r="DA181" s="148"/>
      <c r="DB181" s="148"/>
      <c r="DC181" s="148"/>
      <c r="DD181" s="148"/>
      <c r="DE181" s="148"/>
      <c r="DF181" s="148"/>
      <c r="DG181" s="148"/>
      <c r="DH181" s="148"/>
      <c r="DI181" s="148"/>
      <c r="DJ181" s="148"/>
      <c r="DK181" s="148"/>
      <c r="DL181" s="148"/>
      <c r="DM181" s="148"/>
      <c r="DN181" s="148"/>
      <c r="DO181" s="148"/>
      <c r="DP181" s="148"/>
      <c r="DQ181" s="148"/>
      <c r="DR181" s="148"/>
      <c r="DS181" s="148"/>
      <c r="DT181" s="148"/>
      <c r="DU181" s="148"/>
      <c r="DV181" s="148"/>
      <c r="DW181" s="148"/>
      <c r="DX181" s="148"/>
      <c r="DY181" s="148"/>
      <c r="DZ181" s="148"/>
      <c r="EA181" s="148"/>
      <c r="EB181" s="148"/>
      <c r="EC181" s="148"/>
      <c r="ED181" s="148"/>
      <c r="EE181" s="148"/>
      <c r="EF181" s="148"/>
      <c r="EG181" s="148"/>
      <c r="EH181" s="148"/>
      <c r="EI181" s="148"/>
      <c r="EJ181" s="148"/>
      <c r="EK181" s="148"/>
      <c r="EL181" s="148"/>
      <c r="EM181" s="148"/>
      <c r="EN181" s="148"/>
      <c r="EO181" s="148"/>
      <c r="EP181" s="148"/>
      <c r="EQ181" s="148"/>
      <c r="ER181" s="148"/>
      <c r="ES181" s="148"/>
      <c r="ET181" s="148"/>
      <c r="EU181" s="148"/>
      <c r="EV181" s="148"/>
      <c r="EW181" s="148"/>
      <c r="EX181" s="148"/>
      <c r="EY181" s="148"/>
      <c r="EZ181" s="148"/>
      <c r="FA181" s="148"/>
      <c r="FB181" s="148"/>
      <c r="FC181" s="148"/>
      <c r="FD181" s="148"/>
      <c r="FE181" s="148"/>
      <c r="FF181" s="148"/>
      <c r="FG181" s="148"/>
      <c r="FH181" s="148"/>
      <c r="FI181" s="148"/>
      <c r="FJ181" s="148"/>
      <c r="FK181" s="148"/>
      <c r="FL181" s="148"/>
      <c r="FM181" s="148"/>
      <c r="FN181" s="148"/>
      <c r="FO181" s="148"/>
      <c r="FP181" s="148"/>
      <c r="FQ181" s="148"/>
      <c r="FR181" s="148"/>
    </row>
    <row r="182" spans="1:174" s="15" customFormat="1" ht="13.5" customHeight="1" x14ac:dyDescent="0.2">
      <c r="A182" s="148"/>
      <c r="B182" s="307">
        <v>182</v>
      </c>
      <c r="C182" s="307" t="s">
        <v>38</v>
      </c>
      <c r="D182" s="562" t="s">
        <v>1782</v>
      </c>
      <c r="E182" s="569" t="s">
        <v>1783</v>
      </c>
      <c r="F182" s="533" t="s">
        <v>46</v>
      </c>
      <c r="G182" s="533" t="s">
        <v>1411</v>
      </c>
      <c r="H182" s="553" t="s">
        <v>1784</v>
      </c>
      <c r="I182" s="534" t="s">
        <v>43</v>
      </c>
      <c r="J182" s="535">
        <v>1591290</v>
      </c>
      <c r="K182" s="535">
        <v>0</v>
      </c>
      <c r="L182" s="535">
        <v>696936</v>
      </c>
      <c r="M182" s="535"/>
      <c r="N182" s="535"/>
      <c r="O182" s="535"/>
      <c r="P182" s="547"/>
      <c r="Q182" s="538"/>
      <c r="R182" s="538"/>
      <c r="S182" s="535">
        <f t="shared" si="6"/>
        <v>0</v>
      </c>
      <c r="T182" s="539">
        <v>2</v>
      </c>
      <c r="U182" s="558">
        <v>22</v>
      </c>
      <c r="V182" s="545">
        <v>44256</v>
      </c>
      <c r="W182" s="542">
        <v>44277</v>
      </c>
      <c r="X182" s="539"/>
      <c r="Y182" s="544"/>
      <c r="Z182" s="542"/>
      <c r="AA182" s="542"/>
      <c r="AB182" s="539"/>
      <c r="AC182" s="544"/>
      <c r="AD182" s="540"/>
      <c r="AE182" s="542"/>
      <c r="AF182" s="554"/>
      <c r="AG182" s="542"/>
      <c r="AH182" s="542"/>
      <c r="AI182" s="542"/>
      <c r="AJ182" s="554"/>
      <c r="AK182" s="542"/>
      <c r="AL182" s="542"/>
      <c r="AM182" s="542"/>
      <c r="AN182" s="542"/>
      <c r="AO182" s="542"/>
      <c r="AP182" s="542"/>
      <c r="AQ182" s="542"/>
      <c r="AR182" s="22">
        <f t="shared" si="7"/>
        <v>2</v>
      </c>
      <c r="AS182" s="546">
        <f t="shared" si="8"/>
        <v>2</v>
      </c>
      <c r="AT182" s="148"/>
      <c r="AU182" s="148"/>
      <c r="AV182" s="148"/>
      <c r="AW182" s="148"/>
      <c r="AX182" s="148"/>
      <c r="AY182" s="148"/>
      <c r="AZ182" s="148"/>
      <c r="BA182" s="148"/>
      <c r="BB182" s="148"/>
      <c r="BC182" s="148"/>
      <c r="BD182" s="148"/>
      <c r="BE182" s="148"/>
      <c r="BF182" s="148"/>
      <c r="BG182" s="148"/>
      <c r="BH182" s="148"/>
      <c r="BI182" s="148"/>
      <c r="BJ182" s="148"/>
      <c r="BK182" s="148"/>
      <c r="BL182" s="148"/>
      <c r="BM182" s="148"/>
      <c r="BN182" s="148"/>
      <c r="BO182" s="148"/>
      <c r="BP182" s="148"/>
      <c r="BQ182" s="148"/>
      <c r="BR182" s="148"/>
      <c r="BS182" s="148"/>
      <c r="BT182" s="148"/>
      <c r="BU182" s="148"/>
      <c r="BV182" s="148"/>
      <c r="BW182" s="148"/>
      <c r="BX182" s="148"/>
      <c r="BY182" s="148"/>
      <c r="BZ182" s="148"/>
      <c r="CA182" s="148"/>
      <c r="CB182" s="148"/>
      <c r="CC182" s="148"/>
      <c r="CD182" s="148"/>
      <c r="CE182" s="148"/>
      <c r="CF182" s="148"/>
      <c r="CG182" s="148"/>
      <c r="CH182" s="148"/>
      <c r="CI182" s="148"/>
      <c r="CJ182" s="148"/>
      <c r="CK182" s="148"/>
      <c r="CL182" s="148"/>
      <c r="CM182" s="148"/>
      <c r="CN182" s="148"/>
      <c r="CO182" s="148"/>
      <c r="CP182" s="148"/>
      <c r="CQ182" s="148"/>
      <c r="CR182" s="148"/>
      <c r="CS182" s="148"/>
      <c r="CT182" s="148"/>
      <c r="CU182" s="148"/>
      <c r="CV182" s="148"/>
      <c r="CW182" s="148"/>
      <c r="CX182" s="148"/>
      <c r="CY182" s="148"/>
      <c r="CZ182" s="148"/>
      <c r="DA182" s="148"/>
      <c r="DB182" s="148"/>
      <c r="DC182" s="148"/>
      <c r="DD182" s="148"/>
      <c r="DE182" s="148"/>
      <c r="DF182" s="148"/>
      <c r="DG182" s="148"/>
      <c r="DH182" s="148"/>
      <c r="DI182" s="148"/>
      <c r="DJ182" s="148"/>
      <c r="DK182" s="148"/>
      <c r="DL182" s="148"/>
      <c r="DM182" s="148"/>
      <c r="DN182" s="148"/>
      <c r="DO182" s="148"/>
      <c r="DP182" s="148"/>
      <c r="DQ182" s="148"/>
      <c r="DR182" s="148"/>
      <c r="DS182" s="148"/>
      <c r="DT182" s="148"/>
      <c r="DU182" s="148"/>
      <c r="DV182" s="148"/>
      <c r="DW182" s="148"/>
      <c r="DX182" s="148"/>
      <c r="DY182" s="148"/>
      <c r="DZ182" s="148"/>
      <c r="EA182" s="148"/>
      <c r="EB182" s="148"/>
      <c r="EC182" s="148"/>
      <c r="ED182" s="148"/>
      <c r="EE182" s="148"/>
      <c r="EF182" s="148"/>
      <c r="EG182" s="148"/>
      <c r="EH182" s="148"/>
      <c r="EI182" s="148"/>
      <c r="EJ182" s="148"/>
      <c r="EK182" s="148"/>
      <c r="EL182" s="148"/>
      <c r="EM182" s="148"/>
      <c r="EN182" s="148"/>
      <c r="EO182" s="148"/>
      <c r="EP182" s="148"/>
      <c r="EQ182" s="148"/>
      <c r="ER182" s="148"/>
      <c r="ES182" s="148"/>
      <c r="ET182" s="148"/>
      <c r="EU182" s="148"/>
      <c r="EV182" s="148"/>
      <c r="EW182" s="148"/>
      <c r="EX182" s="148"/>
      <c r="EY182" s="148"/>
      <c r="EZ182" s="148"/>
      <c r="FA182" s="148"/>
      <c r="FB182" s="148"/>
      <c r="FC182" s="148"/>
      <c r="FD182" s="148"/>
      <c r="FE182" s="148"/>
      <c r="FF182" s="148"/>
      <c r="FG182" s="148"/>
      <c r="FH182" s="148"/>
      <c r="FI182" s="148"/>
      <c r="FJ182" s="148"/>
      <c r="FK182" s="148"/>
      <c r="FL182" s="148"/>
      <c r="FM182" s="148"/>
      <c r="FN182" s="148"/>
      <c r="FO182" s="148"/>
      <c r="FP182" s="148"/>
      <c r="FQ182" s="148"/>
      <c r="FR182" s="148"/>
    </row>
    <row r="183" spans="1:174" s="15" customFormat="1" ht="13.5" customHeight="1" x14ac:dyDescent="0.2">
      <c r="A183" s="148"/>
      <c r="B183" s="307">
        <v>183</v>
      </c>
      <c r="C183" s="307" t="s">
        <v>38</v>
      </c>
      <c r="D183" s="562" t="s">
        <v>1785</v>
      </c>
      <c r="E183" s="569" t="s">
        <v>1786</v>
      </c>
      <c r="F183" s="533" t="s">
        <v>45</v>
      </c>
      <c r="G183" s="533" t="s">
        <v>1411</v>
      </c>
      <c r="H183" s="553" t="s">
        <v>1784</v>
      </c>
      <c r="I183" s="534" t="s">
        <v>42</v>
      </c>
      <c r="J183" s="535">
        <v>544919</v>
      </c>
      <c r="K183" s="535">
        <v>505459</v>
      </c>
      <c r="L183" s="535">
        <v>0</v>
      </c>
      <c r="M183" s="535"/>
      <c r="N183" s="535"/>
      <c r="O183" s="535"/>
      <c r="P183" s="548">
        <v>14368.776</v>
      </c>
      <c r="Q183" s="538">
        <v>22298</v>
      </c>
      <c r="R183" s="538"/>
      <c r="S183" s="535">
        <f t="shared" si="6"/>
        <v>36666.775999999998</v>
      </c>
      <c r="T183" s="539">
        <v>14371</v>
      </c>
      <c r="U183" s="558">
        <v>22</v>
      </c>
      <c r="V183" s="545">
        <v>44256</v>
      </c>
      <c r="W183" s="542">
        <v>44277</v>
      </c>
      <c r="X183" s="539">
        <v>22299</v>
      </c>
      <c r="Y183" s="544">
        <v>55</v>
      </c>
      <c r="Z183" s="542">
        <v>44323</v>
      </c>
      <c r="AA183" s="542">
        <v>44350</v>
      </c>
      <c r="AB183" s="539"/>
      <c r="AC183" s="544"/>
      <c r="AD183" s="540"/>
      <c r="AE183" s="542"/>
      <c r="AF183" s="554"/>
      <c r="AG183" s="542"/>
      <c r="AH183" s="542"/>
      <c r="AI183" s="542"/>
      <c r="AJ183" s="554"/>
      <c r="AK183" s="542"/>
      <c r="AL183" s="542"/>
      <c r="AM183" s="542"/>
      <c r="AN183" s="542"/>
      <c r="AO183" s="542"/>
      <c r="AP183" s="542"/>
      <c r="AQ183" s="542"/>
      <c r="AR183" s="22">
        <f t="shared" si="7"/>
        <v>36670</v>
      </c>
      <c r="AS183" s="546">
        <f t="shared" si="8"/>
        <v>3.2240000000019791</v>
      </c>
      <c r="AT183" s="148"/>
      <c r="AU183" s="148"/>
      <c r="AV183" s="148"/>
      <c r="AW183" s="148"/>
      <c r="AX183" s="148"/>
      <c r="AY183" s="148"/>
      <c r="AZ183" s="148"/>
      <c r="BA183" s="148"/>
      <c r="BB183" s="148"/>
      <c r="BC183" s="148"/>
      <c r="BD183" s="148"/>
      <c r="BE183" s="148"/>
      <c r="BF183" s="148"/>
      <c r="BG183" s="148"/>
      <c r="BH183" s="148"/>
      <c r="BI183" s="148"/>
      <c r="BJ183" s="148"/>
      <c r="BK183" s="148"/>
      <c r="BL183" s="148"/>
      <c r="BM183" s="148"/>
      <c r="BN183" s="148"/>
      <c r="BO183" s="148"/>
      <c r="BP183" s="148"/>
      <c r="BQ183" s="148"/>
      <c r="BR183" s="148"/>
      <c r="BS183" s="148"/>
      <c r="BT183" s="148"/>
      <c r="BU183" s="148"/>
      <c r="BV183" s="148"/>
      <c r="BW183" s="148"/>
      <c r="BX183" s="148"/>
      <c r="BY183" s="148"/>
      <c r="BZ183" s="148"/>
      <c r="CA183" s="148"/>
      <c r="CB183" s="148"/>
      <c r="CC183" s="148"/>
      <c r="CD183" s="148"/>
      <c r="CE183" s="148"/>
      <c r="CF183" s="148"/>
      <c r="CG183" s="148"/>
      <c r="CH183" s="148"/>
      <c r="CI183" s="148"/>
      <c r="CJ183" s="148"/>
      <c r="CK183" s="148"/>
      <c r="CL183" s="148"/>
      <c r="CM183" s="148"/>
      <c r="CN183" s="148"/>
      <c r="CO183" s="148"/>
      <c r="CP183" s="148"/>
      <c r="CQ183" s="148"/>
      <c r="CR183" s="148"/>
      <c r="CS183" s="148"/>
      <c r="CT183" s="148"/>
      <c r="CU183" s="148"/>
      <c r="CV183" s="148"/>
      <c r="CW183" s="148"/>
      <c r="CX183" s="148"/>
      <c r="CY183" s="148"/>
      <c r="CZ183" s="148"/>
      <c r="DA183" s="148"/>
      <c r="DB183" s="148"/>
      <c r="DC183" s="148"/>
      <c r="DD183" s="148"/>
      <c r="DE183" s="148"/>
      <c r="DF183" s="148"/>
      <c r="DG183" s="148"/>
      <c r="DH183" s="148"/>
      <c r="DI183" s="148"/>
      <c r="DJ183" s="148"/>
      <c r="DK183" s="148"/>
      <c r="DL183" s="148"/>
      <c r="DM183" s="148"/>
      <c r="DN183" s="148"/>
      <c r="DO183" s="148"/>
      <c r="DP183" s="148"/>
      <c r="DQ183" s="148"/>
      <c r="DR183" s="148"/>
      <c r="DS183" s="148"/>
      <c r="DT183" s="148"/>
      <c r="DU183" s="148"/>
      <c r="DV183" s="148"/>
      <c r="DW183" s="148"/>
      <c r="DX183" s="148"/>
      <c r="DY183" s="148"/>
      <c r="DZ183" s="148"/>
      <c r="EA183" s="148"/>
      <c r="EB183" s="148"/>
      <c r="EC183" s="148"/>
      <c r="ED183" s="148"/>
      <c r="EE183" s="148"/>
      <c r="EF183" s="148"/>
      <c r="EG183" s="148"/>
      <c r="EH183" s="148"/>
      <c r="EI183" s="148"/>
      <c r="EJ183" s="148"/>
      <c r="EK183" s="148"/>
      <c r="EL183" s="148"/>
      <c r="EM183" s="148"/>
      <c r="EN183" s="148"/>
      <c r="EO183" s="148"/>
      <c r="EP183" s="148"/>
      <c r="EQ183" s="148"/>
      <c r="ER183" s="148"/>
      <c r="ES183" s="148"/>
      <c r="ET183" s="148"/>
      <c r="EU183" s="148"/>
      <c r="EV183" s="148"/>
      <c r="EW183" s="148"/>
      <c r="EX183" s="148"/>
      <c r="EY183" s="148"/>
      <c r="EZ183" s="148"/>
      <c r="FA183" s="148"/>
      <c r="FB183" s="148"/>
      <c r="FC183" s="148"/>
      <c r="FD183" s="148"/>
      <c r="FE183" s="148"/>
      <c r="FF183" s="148"/>
      <c r="FG183" s="148"/>
      <c r="FH183" s="148"/>
      <c r="FI183" s="148"/>
      <c r="FJ183" s="148"/>
      <c r="FK183" s="148"/>
      <c r="FL183" s="148"/>
      <c r="FM183" s="148"/>
      <c r="FN183" s="148"/>
      <c r="FO183" s="148"/>
      <c r="FP183" s="148"/>
      <c r="FQ183" s="148"/>
      <c r="FR183" s="148"/>
    </row>
    <row r="184" spans="1:174" s="15" customFormat="1" ht="13.5" customHeight="1" x14ac:dyDescent="0.2">
      <c r="A184" s="148"/>
      <c r="B184" s="307">
        <v>184</v>
      </c>
      <c r="C184" s="307" t="s">
        <v>40</v>
      </c>
      <c r="D184" s="562" t="s">
        <v>1787</v>
      </c>
      <c r="E184" s="569" t="s">
        <v>1788</v>
      </c>
      <c r="F184" s="533" t="s">
        <v>45</v>
      </c>
      <c r="G184" s="533" t="s">
        <v>1411</v>
      </c>
      <c r="H184" s="553" t="s">
        <v>1412</v>
      </c>
      <c r="I184" s="534" t="s">
        <v>42</v>
      </c>
      <c r="J184" s="535">
        <v>339178</v>
      </c>
      <c r="K184" s="535">
        <v>0</v>
      </c>
      <c r="L184" s="535">
        <v>178414</v>
      </c>
      <c r="M184" s="535"/>
      <c r="N184" s="535"/>
      <c r="O184" s="535"/>
      <c r="P184" s="547"/>
      <c r="Q184" s="538">
        <v>87554</v>
      </c>
      <c r="R184" s="538">
        <v>4850</v>
      </c>
      <c r="S184" s="535">
        <f t="shared" si="6"/>
        <v>92404</v>
      </c>
      <c r="T184" s="539">
        <v>160000</v>
      </c>
      <c r="U184" s="558">
        <v>23</v>
      </c>
      <c r="V184" s="545">
        <v>44263</v>
      </c>
      <c r="W184" s="542">
        <v>44284</v>
      </c>
      <c r="X184" s="539"/>
      <c r="Y184" s="544"/>
      <c r="Z184" s="542"/>
      <c r="AA184" s="542"/>
      <c r="AB184" s="539"/>
      <c r="AC184" s="544"/>
      <c r="AD184" s="540"/>
      <c r="AE184" s="542"/>
      <c r="AF184" s="554"/>
      <c r="AG184" s="542"/>
      <c r="AH184" s="542"/>
      <c r="AI184" s="542"/>
      <c r="AJ184" s="554"/>
      <c r="AK184" s="542"/>
      <c r="AL184" s="542"/>
      <c r="AM184" s="542"/>
      <c r="AN184" s="542"/>
      <c r="AO184" s="542"/>
      <c r="AP184" s="542"/>
      <c r="AQ184" s="542"/>
      <c r="AR184" s="22">
        <f t="shared" si="7"/>
        <v>160000</v>
      </c>
      <c r="AS184" s="546">
        <f t="shared" si="8"/>
        <v>67596</v>
      </c>
      <c r="AT184" s="148"/>
      <c r="AU184" s="148"/>
      <c r="AV184" s="148"/>
      <c r="AW184" s="148"/>
      <c r="AX184" s="148"/>
      <c r="AY184" s="148"/>
      <c r="AZ184" s="148"/>
      <c r="BA184" s="148"/>
      <c r="BB184" s="148"/>
      <c r="BC184" s="148"/>
      <c r="BD184" s="148"/>
      <c r="BE184" s="148"/>
      <c r="BF184" s="148"/>
      <c r="BG184" s="148"/>
      <c r="BH184" s="148"/>
      <c r="BI184" s="148"/>
      <c r="BJ184" s="148"/>
      <c r="BK184" s="148"/>
      <c r="BL184" s="148"/>
      <c r="BM184" s="148"/>
      <c r="BN184" s="148"/>
      <c r="BO184" s="148"/>
      <c r="BP184" s="148"/>
      <c r="BQ184" s="148"/>
      <c r="BR184" s="148"/>
      <c r="BS184" s="148"/>
      <c r="BT184" s="148"/>
      <c r="BU184" s="148"/>
      <c r="BV184" s="148"/>
      <c r="BW184" s="148"/>
      <c r="BX184" s="148"/>
      <c r="BY184" s="148"/>
      <c r="BZ184" s="148"/>
      <c r="CA184" s="148"/>
      <c r="CB184" s="148"/>
      <c r="CC184" s="148"/>
      <c r="CD184" s="148"/>
      <c r="CE184" s="148"/>
      <c r="CF184" s="148"/>
      <c r="CG184" s="148"/>
      <c r="CH184" s="148"/>
      <c r="CI184" s="148"/>
      <c r="CJ184" s="148"/>
      <c r="CK184" s="148"/>
      <c r="CL184" s="148"/>
      <c r="CM184" s="148"/>
      <c r="CN184" s="148"/>
      <c r="CO184" s="148"/>
      <c r="CP184" s="148"/>
      <c r="CQ184" s="148"/>
      <c r="CR184" s="148"/>
      <c r="CS184" s="148"/>
      <c r="CT184" s="148"/>
      <c r="CU184" s="148"/>
      <c r="CV184" s="148"/>
      <c r="CW184" s="148"/>
      <c r="CX184" s="148"/>
      <c r="CY184" s="148"/>
      <c r="CZ184" s="148"/>
      <c r="DA184" s="148"/>
      <c r="DB184" s="148"/>
      <c r="DC184" s="148"/>
      <c r="DD184" s="148"/>
      <c r="DE184" s="148"/>
      <c r="DF184" s="148"/>
      <c r="DG184" s="148"/>
      <c r="DH184" s="148"/>
      <c r="DI184" s="148"/>
      <c r="DJ184" s="148"/>
      <c r="DK184" s="148"/>
      <c r="DL184" s="148"/>
      <c r="DM184" s="148"/>
      <c r="DN184" s="148"/>
      <c r="DO184" s="148"/>
      <c r="DP184" s="148"/>
      <c r="DQ184" s="148"/>
      <c r="DR184" s="148"/>
      <c r="DS184" s="148"/>
      <c r="DT184" s="148"/>
      <c r="DU184" s="148"/>
      <c r="DV184" s="148"/>
      <c r="DW184" s="148"/>
      <c r="DX184" s="148"/>
      <c r="DY184" s="148"/>
      <c r="DZ184" s="148"/>
      <c r="EA184" s="148"/>
      <c r="EB184" s="148"/>
      <c r="EC184" s="148"/>
      <c r="ED184" s="148"/>
      <c r="EE184" s="148"/>
      <c r="EF184" s="148"/>
      <c r="EG184" s="148"/>
      <c r="EH184" s="148"/>
      <c r="EI184" s="148"/>
      <c r="EJ184" s="148"/>
      <c r="EK184" s="148"/>
      <c r="EL184" s="148"/>
      <c r="EM184" s="148"/>
      <c r="EN184" s="148"/>
      <c r="EO184" s="148"/>
      <c r="EP184" s="148"/>
      <c r="EQ184" s="148"/>
      <c r="ER184" s="148"/>
      <c r="ES184" s="148"/>
      <c r="ET184" s="148"/>
      <c r="EU184" s="148"/>
      <c r="EV184" s="148"/>
      <c r="EW184" s="148"/>
      <c r="EX184" s="148"/>
      <c r="EY184" s="148"/>
      <c r="EZ184" s="148"/>
      <c r="FA184" s="148"/>
      <c r="FB184" s="148"/>
      <c r="FC184" s="148"/>
      <c r="FD184" s="148"/>
      <c r="FE184" s="148"/>
      <c r="FF184" s="148"/>
      <c r="FG184" s="148"/>
      <c r="FH184" s="148"/>
      <c r="FI184" s="148"/>
      <c r="FJ184" s="148"/>
      <c r="FK184" s="148"/>
      <c r="FL184" s="148"/>
      <c r="FM184" s="148"/>
      <c r="FN184" s="148"/>
      <c r="FO184" s="148"/>
      <c r="FP184" s="148"/>
      <c r="FQ184" s="148"/>
      <c r="FR184" s="148"/>
    </row>
    <row r="185" spans="1:174" s="15" customFormat="1" ht="13.5" customHeight="1" x14ac:dyDescent="0.2">
      <c r="A185" s="148"/>
      <c r="B185" s="307">
        <v>185</v>
      </c>
      <c r="C185" s="307" t="s">
        <v>40</v>
      </c>
      <c r="D185" s="562" t="s">
        <v>1789</v>
      </c>
      <c r="E185" s="569" t="s">
        <v>1790</v>
      </c>
      <c r="F185" s="533" t="s">
        <v>45</v>
      </c>
      <c r="G185" s="533" t="s">
        <v>1411</v>
      </c>
      <c r="H185" s="553" t="s">
        <v>1457</v>
      </c>
      <c r="I185" s="534" t="s">
        <v>43</v>
      </c>
      <c r="J185" s="535">
        <v>413402</v>
      </c>
      <c r="K185" s="535">
        <v>0</v>
      </c>
      <c r="L185" s="535">
        <v>98200</v>
      </c>
      <c r="M185" s="535"/>
      <c r="N185" s="535"/>
      <c r="O185" s="535"/>
      <c r="P185" s="548">
        <v>73790</v>
      </c>
      <c r="Q185" s="538"/>
      <c r="R185" s="538"/>
      <c r="S185" s="535">
        <f t="shared" si="6"/>
        <v>73790</v>
      </c>
      <c r="T185" s="539">
        <v>160000</v>
      </c>
      <c r="U185" s="558">
        <v>23</v>
      </c>
      <c r="V185" s="545">
        <v>44263</v>
      </c>
      <c r="W185" s="542">
        <v>44284</v>
      </c>
      <c r="X185" s="539">
        <v>87637</v>
      </c>
      <c r="Y185" s="544">
        <v>70</v>
      </c>
      <c r="Z185" s="542">
        <v>44354</v>
      </c>
      <c r="AA185" s="542">
        <v>44372</v>
      </c>
      <c r="AB185" s="539"/>
      <c r="AC185" s="544"/>
      <c r="AD185" s="540"/>
      <c r="AE185" s="542"/>
      <c r="AF185" s="554"/>
      <c r="AG185" s="542"/>
      <c r="AH185" s="542"/>
      <c r="AI185" s="542"/>
      <c r="AJ185" s="554"/>
      <c r="AK185" s="542"/>
      <c r="AL185" s="542"/>
      <c r="AM185" s="542"/>
      <c r="AN185" s="542"/>
      <c r="AO185" s="542"/>
      <c r="AP185" s="542"/>
      <c r="AQ185" s="542"/>
      <c r="AR185" s="22">
        <f t="shared" si="7"/>
        <v>247637</v>
      </c>
      <c r="AS185" s="546">
        <f t="shared" si="8"/>
        <v>173847</v>
      </c>
      <c r="AT185" s="148"/>
      <c r="AU185" s="148"/>
      <c r="AV185" s="148"/>
      <c r="AW185" s="148"/>
      <c r="AX185" s="148"/>
      <c r="AY185" s="148"/>
      <c r="AZ185" s="148"/>
      <c r="BA185" s="148"/>
      <c r="BB185" s="148"/>
      <c r="BC185" s="148"/>
      <c r="BD185" s="148"/>
      <c r="BE185" s="148"/>
      <c r="BF185" s="148"/>
      <c r="BG185" s="148"/>
      <c r="BH185" s="148"/>
      <c r="BI185" s="148"/>
      <c r="BJ185" s="148"/>
      <c r="BK185" s="148"/>
      <c r="BL185" s="148"/>
      <c r="BM185" s="148"/>
      <c r="BN185" s="148"/>
      <c r="BO185" s="148"/>
      <c r="BP185" s="148"/>
      <c r="BQ185" s="148"/>
      <c r="BR185" s="148"/>
      <c r="BS185" s="148"/>
      <c r="BT185" s="148"/>
      <c r="BU185" s="148"/>
      <c r="BV185" s="148"/>
      <c r="BW185" s="148"/>
      <c r="BX185" s="148"/>
      <c r="BY185" s="148"/>
      <c r="BZ185" s="148"/>
      <c r="CA185" s="148"/>
      <c r="CB185" s="148"/>
      <c r="CC185" s="148"/>
      <c r="CD185" s="148"/>
      <c r="CE185" s="148"/>
      <c r="CF185" s="148"/>
      <c r="CG185" s="148"/>
      <c r="CH185" s="148"/>
      <c r="CI185" s="148"/>
      <c r="CJ185" s="148"/>
      <c r="CK185" s="148"/>
      <c r="CL185" s="148"/>
      <c r="CM185" s="148"/>
      <c r="CN185" s="148"/>
      <c r="CO185" s="148"/>
      <c r="CP185" s="148"/>
      <c r="CQ185" s="148"/>
      <c r="CR185" s="148"/>
      <c r="CS185" s="148"/>
      <c r="CT185" s="148"/>
      <c r="CU185" s="148"/>
      <c r="CV185" s="148"/>
      <c r="CW185" s="148"/>
      <c r="CX185" s="148"/>
      <c r="CY185" s="148"/>
      <c r="CZ185" s="148"/>
      <c r="DA185" s="148"/>
      <c r="DB185" s="148"/>
      <c r="DC185" s="148"/>
      <c r="DD185" s="148"/>
      <c r="DE185" s="148"/>
      <c r="DF185" s="148"/>
      <c r="DG185" s="148"/>
      <c r="DH185" s="148"/>
      <c r="DI185" s="148"/>
      <c r="DJ185" s="148"/>
      <c r="DK185" s="148"/>
      <c r="DL185" s="148"/>
      <c r="DM185" s="148"/>
      <c r="DN185" s="148"/>
      <c r="DO185" s="148"/>
      <c r="DP185" s="148"/>
      <c r="DQ185" s="148"/>
      <c r="DR185" s="148"/>
      <c r="DS185" s="148"/>
      <c r="DT185" s="148"/>
      <c r="DU185" s="148"/>
      <c r="DV185" s="148"/>
      <c r="DW185" s="148"/>
      <c r="DX185" s="148"/>
      <c r="DY185" s="148"/>
      <c r="DZ185" s="148"/>
      <c r="EA185" s="148"/>
      <c r="EB185" s="148"/>
      <c r="EC185" s="148"/>
      <c r="ED185" s="148"/>
      <c r="EE185" s="148"/>
      <c r="EF185" s="148"/>
      <c r="EG185" s="148"/>
      <c r="EH185" s="148"/>
      <c r="EI185" s="148"/>
      <c r="EJ185" s="148"/>
      <c r="EK185" s="148"/>
      <c r="EL185" s="148"/>
      <c r="EM185" s="148"/>
      <c r="EN185" s="148"/>
      <c r="EO185" s="148"/>
      <c r="EP185" s="148"/>
      <c r="EQ185" s="148"/>
      <c r="ER185" s="148"/>
      <c r="ES185" s="148"/>
      <c r="ET185" s="148"/>
      <c r="EU185" s="148"/>
      <c r="EV185" s="148"/>
      <c r="EW185" s="148"/>
      <c r="EX185" s="148"/>
      <c r="EY185" s="148"/>
      <c r="EZ185" s="148"/>
      <c r="FA185" s="148"/>
      <c r="FB185" s="148"/>
      <c r="FC185" s="148"/>
      <c r="FD185" s="148"/>
      <c r="FE185" s="148"/>
      <c r="FF185" s="148"/>
      <c r="FG185" s="148"/>
      <c r="FH185" s="148"/>
      <c r="FI185" s="148"/>
      <c r="FJ185" s="148"/>
      <c r="FK185" s="148"/>
      <c r="FL185" s="148"/>
      <c r="FM185" s="148"/>
      <c r="FN185" s="148"/>
      <c r="FO185" s="148"/>
      <c r="FP185" s="148"/>
      <c r="FQ185" s="148"/>
      <c r="FR185" s="148"/>
    </row>
    <row r="186" spans="1:174" s="15" customFormat="1" ht="13.5" customHeight="1" x14ac:dyDescent="0.2">
      <c r="A186" s="148"/>
      <c r="B186" s="307">
        <v>186</v>
      </c>
      <c r="C186" s="307" t="s">
        <v>40</v>
      </c>
      <c r="D186" s="562" t="s">
        <v>1791</v>
      </c>
      <c r="E186" s="569" t="s">
        <v>1792</v>
      </c>
      <c r="F186" s="533" t="s">
        <v>45</v>
      </c>
      <c r="G186" s="533" t="s">
        <v>1411</v>
      </c>
      <c r="H186" s="553" t="s">
        <v>1427</v>
      </c>
      <c r="I186" s="534" t="s">
        <v>42</v>
      </c>
      <c r="J186" s="535">
        <v>122983</v>
      </c>
      <c r="K186" s="535">
        <v>113608</v>
      </c>
      <c r="L186" s="535">
        <v>0</v>
      </c>
      <c r="M186" s="535"/>
      <c r="N186" s="535"/>
      <c r="O186" s="535"/>
      <c r="P186" s="547"/>
      <c r="Q186" s="538"/>
      <c r="R186" s="538"/>
      <c r="S186" s="535">
        <f t="shared" si="6"/>
        <v>0</v>
      </c>
      <c r="T186" s="539">
        <v>9375</v>
      </c>
      <c r="U186" s="558">
        <v>23</v>
      </c>
      <c r="V186" s="545">
        <v>44263</v>
      </c>
      <c r="W186" s="542">
        <v>44284</v>
      </c>
      <c r="X186" s="542"/>
      <c r="Y186" s="544"/>
      <c r="Z186" s="542"/>
      <c r="AA186" s="542"/>
      <c r="AB186" s="539"/>
      <c r="AC186" s="544"/>
      <c r="AD186" s="540"/>
      <c r="AE186" s="542"/>
      <c r="AF186" s="554"/>
      <c r="AG186" s="542"/>
      <c r="AH186" s="542"/>
      <c r="AI186" s="542"/>
      <c r="AJ186" s="554"/>
      <c r="AK186" s="542"/>
      <c r="AL186" s="542"/>
      <c r="AM186" s="542"/>
      <c r="AN186" s="542"/>
      <c r="AO186" s="542"/>
      <c r="AP186" s="542"/>
      <c r="AQ186" s="542"/>
      <c r="AR186" s="22">
        <f t="shared" si="7"/>
        <v>9375</v>
      </c>
      <c r="AS186" s="546">
        <f t="shared" si="8"/>
        <v>9375</v>
      </c>
      <c r="AT186" s="148"/>
      <c r="AU186" s="148"/>
      <c r="AV186" s="148"/>
      <c r="AW186" s="148"/>
      <c r="AX186" s="148"/>
      <c r="AY186" s="148"/>
      <c r="AZ186" s="148"/>
      <c r="BA186" s="148"/>
      <c r="BB186" s="148"/>
      <c r="BC186" s="148"/>
      <c r="BD186" s="148"/>
      <c r="BE186" s="148"/>
      <c r="BF186" s="148"/>
      <c r="BG186" s="148"/>
      <c r="BH186" s="148"/>
      <c r="BI186" s="148"/>
      <c r="BJ186" s="148"/>
      <c r="BK186" s="148"/>
      <c r="BL186" s="148"/>
      <c r="BM186" s="148"/>
      <c r="BN186" s="148"/>
      <c r="BO186" s="148"/>
      <c r="BP186" s="148"/>
      <c r="BQ186" s="148"/>
      <c r="BR186" s="148"/>
      <c r="BS186" s="148"/>
      <c r="BT186" s="148"/>
      <c r="BU186" s="148"/>
      <c r="BV186" s="148"/>
      <c r="BW186" s="148"/>
      <c r="BX186" s="148"/>
      <c r="BY186" s="148"/>
      <c r="BZ186" s="148"/>
      <c r="CA186" s="148"/>
      <c r="CB186" s="148"/>
      <c r="CC186" s="148"/>
      <c r="CD186" s="148"/>
      <c r="CE186" s="148"/>
      <c r="CF186" s="148"/>
      <c r="CG186" s="148"/>
      <c r="CH186" s="148"/>
      <c r="CI186" s="148"/>
      <c r="CJ186" s="148"/>
      <c r="CK186" s="148"/>
      <c r="CL186" s="148"/>
      <c r="CM186" s="148"/>
      <c r="CN186" s="148"/>
      <c r="CO186" s="148"/>
      <c r="CP186" s="148"/>
      <c r="CQ186" s="148"/>
      <c r="CR186" s="148"/>
      <c r="CS186" s="148"/>
      <c r="CT186" s="148"/>
      <c r="CU186" s="148"/>
      <c r="CV186" s="148"/>
      <c r="CW186" s="148"/>
      <c r="CX186" s="148"/>
      <c r="CY186" s="148"/>
      <c r="CZ186" s="148"/>
      <c r="DA186" s="148"/>
      <c r="DB186" s="148"/>
      <c r="DC186" s="148"/>
      <c r="DD186" s="148"/>
      <c r="DE186" s="148"/>
      <c r="DF186" s="148"/>
      <c r="DG186" s="148"/>
      <c r="DH186" s="148"/>
      <c r="DI186" s="148"/>
      <c r="DJ186" s="148"/>
      <c r="DK186" s="148"/>
      <c r="DL186" s="148"/>
      <c r="DM186" s="148"/>
      <c r="DN186" s="148"/>
      <c r="DO186" s="148"/>
      <c r="DP186" s="148"/>
      <c r="DQ186" s="148"/>
      <c r="DR186" s="148"/>
      <c r="DS186" s="148"/>
      <c r="DT186" s="148"/>
      <c r="DU186" s="148"/>
      <c r="DV186" s="148"/>
      <c r="DW186" s="148"/>
      <c r="DX186" s="148"/>
      <c r="DY186" s="148"/>
      <c r="DZ186" s="148"/>
      <c r="EA186" s="148"/>
      <c r="EB186" s="148"/>
      <c r="EC186" s="148"/>
      <c r="ED186" s="148"/>
      <c r="EE186" s="148"/>
      <c r="EF186" s="148"/>
      <c r="EG186" s="148"/>
      <c r="EH186" s="148"/>
      <c r="EI186" s="148"/>
      <c r="EJ186" s="148"/>
      <c r="EK186" s="148"/>
      <c r="EL186" s="148"/>
      <c r="EM186" s="148"/>
      <c r="EN186" s="148"/>
      <c r="EO186" s="148"/>
      <c r="EP186" s="148"/>
      <c r="EQ186" s="148"/>
      <c r="ER186" s="148"/>
      <c r="ES186" s="148"/>
      <c r="ET186" s="148"/>
      <c r="EU186" s="148"/>
      <c r="EV186" s="148"/>
      <c r="EW186" s="148"/>
      <c r="EX186" s="148"/>
      <c r="EY186" s="148"/>
      <c r="EZ186" s="148"/>
      <c r="FA186" s="148"/>
      <c r="FB186" s="148"/>
      <c r="FC186" s="148"/>
      <c r="FD186" s="148"/>
      <c r="FE186" s="148"/>
      <c r="FF186" s="148"/>
      <c r="FG186" s="148"/>
      <c r="FH186" s="148"/>
      <c r="FI186" s="148"/>
      <c r="FJ186" s="148"/>
      <c r="FK186" s="148"/>
      <c r="FL186" s="148"/>
      <c r="FM186" s="148"/>
      <c r="FN186" s="148"/>
      <c r="FO186" s="148"/>
      <c r="FP186" s="148"/>
      <c r="FQ186" s="148"/>
      <c r="FR186" s="148"/>
    </row>
    <row r="187" spans="1:174" s="15" customFormat="1" ht="13.5" customHeight="1" x14ac:dyDescent="0.2">
      <c r="A187" s="148"/>
      <c r="B187" s="307">
        <v>187</v>
      </c>
      <c r="C187" s="307" t="s">
        <v>40</v>
      </c>
      <c r="D187" s="562" t="s">
        <v>1793</v>
      </c>
      <c r="E187" s="569" t="s">
        <v>1794</v>
      </c>
      <c r="F187" s="533" t="s">
        <v>45</v>
      </c>
      <c r="G187" s="533" t="s">
        <v>1411</v>
      </c>
      <c r="H187" s="553" t="s">
        <v>1562</v>
      </c>
      <c r="I187" s="534" t="s">
        <v>43</v>
      </c>
      <c r="J187" s="535">
        <v>246558</v>
      </c>
      <c r="K187" s="535">
        <v>0</v>
      </c>
      <c r="L187" s="535">
        <v>166558</v>
      </c>
      <c r="M187" s="535"/>
      <c r="N187" s="535"/>
      <c r="O187" s="535"/>
      <c r="P187" s="547"/>
      <c r="Q187" s="538"/>
      <c r="R187" s="538"/>
      <c r="S187" s="535">
        <f t="shared" si="6"/>
        <v>0</v>
      </c>
      <c r="T187" s="539">
        <v>1</v>
      </c>
      <c r="U187" s="558">
        <v>23</v>
      </c>
      <c r="V187" s="545">
        <v>44263</v>
      </c>
      <c r="W187" s="542">
        <v>44284</v>
      </c>
      <c r="X187" s="542"/>
      <c r="Y187" s="544"/>
      <c r="Z187" s="542"/>
      <c r="AA187" s="542"/>
      <c r="AB187" s="539"/>
      <c r="AC187" s="544"/>
      <c r="AD187" s="540"/>
      <c r="AE187" s="542"/>
      <c r="AF187" s="554"/>
      <c r="AG187" s="542"/>
      <c r="AH187" s="542"/>
      <c r="AI187" s="542"/>
      <c r="AJ187" s="554"/>
      <c r="AK187" s="542"/>
      <c r="AL187" s="542"/>
      <c r="AM187" s="542"/>
      <c r="AN187" s="542"/>
      <c r="AO187" s="542"/>
      <c r="AP187" s="542"/>
      <c r="AQ187" s="542"/>
      <c r="AR187" s="22">
        <f t="shared" si="7"/>
        <v>1</v>
      </c>
      <c r="AS187" s="546">
        <f>+AR187-S187</f>
        <v>1</v>
      </c>
      <c r="AT187" s="148"/>
      <c r="AU187" s="148"/>
      <c r="AV187" s="148"/>
      <c r="AW187" s="148"/>
      <c r="AX187" s="148"/>
      <c r="AY187" s="148"/>
      <c r="AZ187" s="148"/>
      <c r="BA187" s="148"/>
      <c r="BB187" s="148"/>
      <c r="BC187" s="148"/>
      <c r="BD187" s="148"/>
      <c r="BE187" s="148"/>
      <c r="BF187" s="148"/>
      <c r="BG187" s="148"/>
      <c r="BH187" s="148"/>
      <c r="BI187" s="148"/>
      <c r="BJ187" s="148"/>
      <c r="BK187" s="148"/>
      <c r="BL187" s="148"/>
      <c r="BM187" s="148"/>
      <c r="BN187" s="148"/>
      <c r="BO187" s="148"/>
      <c r="BP187" s="148"/>
      <c r="BQ187" s="148"/>
      <c r="BR187" s="148"/>
      <c r="BS187" s="148"/>
      <c r="BT187" s="148"/>
      <c r="BU187" s="148"/>
      <c r="BV187" s="148"/>
      <c r="BW187" s="148"/>
      <c r="BX187" s="148"/>
      <c r="BY187" s="148"/>
      <c r="BZ187" s="148"/>
      <c r="CA187" s="148"/>
      <c r="CB187" s="148"/>
      <c r="CC187" s="148"/>
      <c r="CD187" s="148"/>
      <c r="CE187" s="148"/>
      <c r="CF187" s="148"/>
      <c r="CG187" s="148"/>
      <c r="CH187" s="148"/>
      <c r="CI187" s="148"/>
      <c r="CJ187" s="148"/>
      <c r="CK187" s="148"/>
      <c r="CL187" s="148"/>
      <c r="CM187" s="148"/>
      <c r="CN187" s="148"/>
      <c r="CO187" s="148"/>
      <c r="CP187" s="148"/>
      <c r="CQ187" s="148"/>
      <c r="CR187" s="148"/>
      <c r="CS187" s="148"/>
      <c r="CT187" s="148"/>
      <c r="CU187" s="148"/>
      <c r="CV187" s="148"/>
      <c r="CW187" s="148"/>
      <c r="CX187" s="148"/>
      <c r="CY187" s="148"/>
      <c r="CZ187" s="148"/>
      <c r="DA187" s="148"/>
      <c r="DB187" s="148"/>
      <c r="DC187" s="148"/>
      <c r="DD187" s="148"/>
      <c r="DE187" s="148"/>
      <c r="DF187" s="148"/>
      <c r="DG187" s="148"/>
      <c r="DH187" s="148"/>
      <c r="DI187" s="148"/>
      <c r="DJ187" s="148"/>
      <c r="DK187" s="148"/>
      <c r="DL187" s="148"/>
      <c r="DM187" s="148"/>
      <c r="DN187" s="148"/>
      <c r="DO187" s="148"/>
      <c r="DP187" s="148"/>
      <c r="DQ187" s="148"/>
      <c r="DR187" s="148"/>
      <c r="DS187" s="148"/>
      <c r="DT187" s="148"/>
      <c r="DU187" s="148"/>
      <c r="DV187" s="148"/>
      <c r="DW187" s="148"/>
      <c r="DX187" s="148"/>
      <c r="DY187" s="148"/>
      <c r="DZ187" s="148"/>
      <c r="EA187" s="148"/>
      <c r="EB187" s="148"/>
      <c r="EC187" s="148"/>
      <c r="ED187" s="148"/>
      <c r="EE187" s="148"/>
      <c r="EF187" s="148"/>
      <c r="EG187" s="148"/>
      <c r="EH187" s="148"/>
      <c r="EI187" s="148"/>
      <c r="EJ187" s="148"/>
      <c r="EK187" s="148"/>
      <c r="EL187" s="148"/>
      <c r="EM187" s="148"/>
      <c r="EN187" s="148"/>
      <c r="EO187" s="148"/>
      <c r="EP187" s="148"/>
      <c r="EQ187" s="148"/>
      <c r="ER187" s="148"/>
      <c r="ES187" s="148"/>
      <c r="ET187" s="148"/>
      <c r="EU187" s="148"/>
      <c r="EV187" s="148"/>
      <c r="EW187" s="148"/>
      <c r="EX187" s="148"/>
      <c r="EY187" s="148"/>
      <c r="EZ187" s="148"/>
      <c r="FA187" s="148"/>
      <c r="FB187" s="148"/>
      <c r="FC187" s="148"/>
      <c r="FD187" s="148"/>
      <c r="FE187" s="148"/>
      <c r="FF187" s="148"/>
      <c r="FG187" s="148"/>
      <c r="FH187" s="148"/>
      <c r="FI187" s="148"/>
      <c r="FJ187" s="148"/>
      <c r="FK187" s="148"/>
      <c r="FL187" s="148"/>
      <c r="FM187" s="148"/>
      <c r="FN187" s="148"/>
      <c r="FO187" s="148"/>
      <c r="FP187" s="148"/>
      <c r="FQ187" s="148"/>
      <c r="FR187" s="148"/>
    </row>
    <row r="188" spans="1:174" s="15" customFormat="1" ht="13.5" customHeight="1" x14ac:dyDescent="0.2">
      <c r="A188" s="148"/>
      <c r="B188" s="307">
        <v>188</v>
      </c>
      <c r="C188" s="307" t="s">
        <v>40</v>
      </c>
      <c r="D188" s="562" t="s">
        <v>1795</v>
      </c>
      <c r="E188" s="569" t="s">
        <v>1796</v>
      </c>
      <c r="F188" s="533" t="s">
        <v>45</v>
      </c>
      <c r="G188" s="533" t="s">
        <v>1411</v>
      </c>
      <c r="H188" s="553" t="s">
        <v>1448</v>
      </c>
      <c r="I188" s="534" t="s">
        <v>43</v>
      </c>
      <c r="J188" s="535">
        <v>204497</v>
      </c>
      <c r="K188" s="535">
        <v>0</v>
      </c>
      <c r="L188" s="535">
        <v>173823</v>
      </c>
      <c r="M188" s="535"/>
      <c r="N188" s="535"/>
      <c r="O188" s="535"/>
      <c r="P188" s="547"/>
      <c r="Q188" s="538"/>
      <c r="R188" s="538"/>
      <c r="S188" s="535">
        <f t="shared" si="6"/>
        <v>0</v>
      </c>
      <c r="T188" s="573">
        <v>1</v>
      </c>
      <c r="U188" s="558">
        <v>23</v>
      </c>
      <c r="V188" s="545">
        <v>44263</v>
      </c>
      <c r="W188" s="542">
        <v>44284</v>
      </c>
      <c r="X188" s="542"/>
      <c r="Y188" s="544"/>
      <c r="Z188" s="542"/>
      <c r="AA188" s="542"/>
      <c r="AB188" s="539"/>
      <c r="AC188" s="544"/>
      <c r="AD188" s="540"/>
      <c r="AE188" s="542"/>
      <c r="AF188" s="554"/>
      <c r="AG188" s="542"/>
      <c r="AH188" s="542"/>
      <c r="AI188" s="542"/>
      <c r="AJ188" s="554"/>
      <c r="AK188" s="542"/>
      <c r="AL188" s="542"/>
      <c r="AM188" s="542"/>
      <c r="AN188" s="542"/>
      <c r="AO188" s="542"/>
      <c r="AP188" s="542"/>
      <c r="AQ188" s="542"/>
      <c r="AR188" s="22">
        <f t="shared" si="7"/>
        <v>1</v>
      </c>
      <c r="AS188" s="546">
        <f t="shared" si="8"/>
        <v>1</v>
      </c>
      <c r="AT188" s="148"/>
      <c r="AU188" s="148"/>
      <c r="AV188" s="148"/>
      <c r="AW188" s="148"/>
      <c r="AX188" s="148"/>
      <c r="AY188" s="148"/>
      <c r="AZ188" s="148"/>
      <c r="BA188" s="148"/>
      <c r="BB188" s="148"/>
      <c r="BC188" s="148"/>
      <c r="BD188" s="148"/>
      <c r="BE188" s="148"/>
      <c r="BF188" s="148"/>
      <c r="BG188" s="148"/>
      <c r="BH188" s="148"/>
      <c r="BI188" s="148"/>
      <c r="BJ188" s="148"/>
      <c r="BK188" s="148"/>
      <c r="BL188" s="148"/>
      <c r="BM188" s="148"/>
      <c r="BN188" s="148"/>
      <c r="BO188" s="148"/>
      <c r="BP188" s="148"/>
      <c r="BQ188" s="148"/>
      <c r="BR188" s="148"/>
      <c r="BS188" s="148"/>
      <c r="BT188" s="148"/>
      <c r="BU188" s="148"/>
      <c r="BV188" s="148"/>
      <c r="BW188" s="148"/>
      <c r="BX188" s="148"/>
      <c r="BY188" s="148"/>
      <c r="BZ188" s="148"/>
      <c r="CA188" s="148"/>
      <c r="CB188" s="148"/>
      <c r="CC188" s="148"/>
      <c r="CD188" s="148"/>
      <c r="CE188" s="148"/>
      <c r="CF188" s="148"/>
      <c r="CG188" s="148"/>
      <c r="CH188" s="148"/>
      <c r="CI188" s="148"/>
      <c r="CJ188" s="148"/>
      <c r="CK188" s="148"/>
      <c r="CL188" s="148"/>
      <c r="CM188" s="148"/>
      <c r="CN188" s="148"/>
      <c r="CO188" s="148"/>
      <c r="CP188" s="148"/>
      <c r="CQ188" s="148"/>
      <c r="CR188" s="148"/>
      <c r="CS188" s="148"/>
      <c r="CT188" s="148"/>
      <c r="CU188" s="148"/>
      <c r="CV188" s="148"/>
      <c r="CW188" s="148"/>
      <c r="CX188" s="148"/>
      <c r="CY188" s="148"/>
      <c r="CZ188" s="148"/>
      <c r="DA188" s="148"/>
      <c r="DB188" s="148"/>
      <c r="DC188" s="148"/>
      <c r="DD188" s="148"/>
      <c r="DE188" s="148"/>
      <c r="DF188" s="148"/>
      <c r="DG188" s="148"/>
      <c r="DH188" s="148"/>
      <c r="DI188" s="148"/>
      <c r="DJ188" s="148"/>
      <c r="DK188" s="148"/>
      <c r="DL188" s="148"/>
      <c r="DM188" s="148"/>
      <c r="DN188" s="148"/>
      <c r="DO188" s="148"/>
      <c r="DP188" s="148"/>
      <c r="DQ188" s="148"/>
      <c r="DR188" s="148"/>
      <c r="DS188" s="148"/>
      <c r="DT188" s="148"/>
      <c r="DU188" s="148"/>
      <c r="DV188" s="148"/>
      <c r="DW188" s="148"/>
      <c r="DX188" s="148"/>
      <c r="DY188" s="148"/>
      <c r="DZ188" s="148"/>
      <c r="EA188" s="148"/>
      <c r="EB188" s="148"/>
      <c r="EC188" s="148"/>
      <c r="ED188" s="148"/>
      <c r="EE188" s="148"/>
      <c r="EF188" s="148"/>
      <c r="EG188" s="148"/>
      <c r="EH188" s="148"/>
      <c r="EI188" s="148"/>
      <c r="EJ188" s="148"/>
      <c r="EK188" s="148"/>
      <c r="EL188" s="148"/>
      <c r="EM188" s="148"/>
      <c r="EN188" s="148"/>
      <c r="EO188" s="148"/>
      <c r="EP188" s="148"/>
      <c r="EQ188" s="148"/>
      <c r="ER188" s="148"/>
      <c r="ES188" s="148"/>
      <c r="ET188" s="148"/>
      <c r="EU188" s="148"/>
      <c r="EV188" s="148"/>
      <c r="EW188" s="148"/>
      <c r="EX188" s="148"/>
      <c r="EY188" s="148"/>
      <c r="EZ188" s="148"/>
      <c r="FA188" s="148"/>
      <c r="FB188" s="148"/>
      <c r="FC188" s="148"/>
      <c r="FD188" s="148"/>
      <c r="FE188" s="148"/>
      <c r="FF188" s="148"/>
      <c r="FG188" s="148"/>
      <c r="FH188" s="148"/>
      <c r="FI188" s="148"/>
      <c r="FJ188" s="148"/>
      <c r="FK188" s="148"/>
      <c r="FL188" s="148"/>
      <c r="FM188" s="148"/>
      <c r="FN188" s="148"/>
      <c r="FO188" s="148"/>
      <c r="FP188" s="148"/>
      <c r="FQ188" s="148"/>
      <c r="FR188" s="148"/>
    </row>
    <row r="189" spans="1:174" s="15" customFormat="1" ht="13.5" customHeight="1" x14ac:dyDescent="0.2">
      <c r="A189" s="148"/>
      <c r="B189" s="307">
        <v>189</v>
      </c>
      <c r="C189" s="307" t="s">
        <v>38</v>
      </c>
      <c r="D189" s="562" t="s">
        <v>1797</v>
      </c>
      <c r="E189" s="569" t="s">
        <v>1798</v>
      </c>
      <c r="F189" s="533" t="s">
        <v>45</v>
      </c>
      <c r="G189" s="533" t="s">
        <v>1411</v>
      </c>
      <c r="H189" s="553" t="s">
        <v>1435</v>
      </c>
      <c r="I189" s="534" t="s">
        <v>43</v>
      </c>
      <c r="J189" s="535">
        <v>403977</v>
      </c>
      <c r="K189" s="535">
        <v>0</v>
      </c>
      <c r="L189" s="535">
        <v>0</v>
      </c>
      <c r="M189" s="535"/>
      <c r="N189" s="535"/>
      <c r="O189" s="535"/>
      <c r="P189" s="547"/>
      <c r="Q189" s="538"/>
      <c r="R189" s="538"/>
      <c r="S189" s="535">
        <f t="shared" si="6"/>
        <v>0</v>
      </c>
      <c r="T189" s="539">
        <v>1</v>
      </c>
      <c r="U189" s="558">
        <v>24</v>
      </c>
      <c r="V189" s="545">
        <v>44263</v>
      </c>
      <c r="W189" s="542">
        <v>44284</v>
      </c>
      <c r="X189" s="542"/>
      <c r="Y189" s="544"/>
      <c r="Z189" s="542"/>
      <c r="AA189" s="542"/>
      <c r="AB189" s="539"/>
      <c r="AC189" s="544"/>
      <c r="AD189" s="540"/>
      <c r="AE189" s="542"/>
      <c r="AF189" s="554"/>
      <c r="AG189" s="542"/>
      <c r="AH189" s="542"/>
      <c r="AI189" s="542"/>
      <c r="AJ189" s="554"/>
      <c r="AK189" s="542"/>
      <c r="AL189" s="542"/>
      <c r="AM189" s="542"/>
      <c r="AN189" s="542"/>
      <c r="AO189" s="542"/>
      <c r="AP189" s="542"/>
      <c r="AQ189" s="542"/>
      <c r="AR189" s="22">
        <f t="shared" si="7"/>
        <v>1</v>
      </c>
      <c r="AS189" s="546">
        <f>+AR189-S189</f>
        <v>1</v>
      </c>
      <c r="AT189" s="148"/>
      <c r="AU189" s="148"/>
      <c r="AV189" s="148"/>
      <c r="AW189" s="148"/>
      <c r="AX189" s="148"/>
      <c r="AY189" s="148"/>
      <c r="AZ189" s="148"/>
      <c r="BA189" s="148"/>
      <c r="BB189" s="148"/>
      <c r="BC189" s="148"/>
      <c r="BD189" s="148"/>
      <c r="BE189" s="148"/>
      <c r="BF189" s="148"/>
      <c r="BG189" s="148"/>
      <c r="BH189" s="148"/>
      <c r="BI189" s="148"/>
      <c r="BJ189" s="148"/>
      <c r="BK189" s="148"/>
      <c r="BL189" s="148"/>
      <c r="BM189" s="148"/>
      <c r="BN189" s="148"/>
      <c r="BO189" s="148"/>
      <c r="BP189" s="148"/>
      <c r="BQ189" s="148"/>
      <c r="BR189" s="148"/>
      <c r="BS189" s="148"/>
      <c r="BT189" s="148"/>
      <c r="BU189" s="148"/>
      <c r="BV189" s="148"/>
      <c r="BW189" s="148"/>
      <c r="BX189" s="148"/>
      <c r="BY189" s="148"/>
      <c r="BZ189" s="148"/>
      <c r="CA189" s="148"/>
      <c r="CB189" s="148"/>
      <c r="CC189" s="148"/>
      <c r="CD189" s="148"/>
      <c r="CE189" s="148"/>
      <c r="CF189" s="148"/>
      <c r="CG189" s="148"/>
      <c r="CH189" s="148"/>
      <c r="CI189" s="148"/>
      <c r="CJ189" s="148"/>
      <c r="CK189" s="148"/>
      <c r="CL189" s="148"/>
      <c r="CM189" s="148"/>
      <c r="CN189" s="148"/>
      <c r="CO189" s="148"/>
      <c r="CP189" s="148"/>
      <c r="CQ189" s="148"/>
      <c r="CR189" s="148"/>
      <c r="CS189" s="148"/>
      <c r="CT189" s="148"/>
      <c r="CU189" s="148"/>
      <c r="CV189" s="148"/>
      <c r="CW189" s="148"/>
      <c r="CX189" s="148"/>
      <c r="CY189" s="148"/>
      <c r="CZ189" s="148"/>
      <c r="DA189" s="148"/>
      <c r="DB189" s="148"/>
      <c r="DC189" s="148"/>
      <c r="DD189" s="148"/>
      <c r="DE189" s="148"/>
      <c r="DF189" s="148"/>
      <c r="DG189" s="148"/>
      <c r="DH189" s="148"/>
      <c r="DI189" s="148"/>
      <c r="DJ189" s="148"/>
      <c r="DK189" s="148"/>
      <c r="DL189" s="148"/>
      <c r="DM189" s="148"/>
      <c r="DN189" s="148"/>
      <c r="DO189" s="148"/>
      <c r="DP189" s="148"/>
      <c r="DQ189" s="148"/>
      <c r="DR189" s="148"/>
      <c r="DS189" s="148"/>
      <c r="DT189" s="148"/>
      <c r="DU189" s="148"/>
      <c r="DV189" s="148"/>
      <c r="DW189" s="148"/>
      <c r="DX189" s="148"/>
      <c r="DY189" s="148"/>
      <c r="DZ189" s="148"/>
      <c r="EA189" s="148"/>
      <c r="EB189" s="148"/>
      <c r="EC189" s="148"/>
      <c r="ED189" s="148"/>
      <c r="EE189" s="148"/>
      <c r="EF189" s="148"/>
      <c r="EG189" s="148"/>
      <c r="EH189" s="148"/>
      <c r="EI189" s="148"/>
      <c r="EJ189" s="148"/>
      <c r="EK189" s="148"/>
      <c r="EL189" s="148"/>
      <c r="EM189" s="148"/>
      <c r="EN189" s="148"/>
      <c r="EO189" s="148"/>
      <c r="EP189" s="148"/>
      <c r="EQ189" s="148"/>
      <c r="ER189" s="148"/>
      <c r="ES189" s="148"/>
      <c r="ET189" s="148"/>
      <c r="EU189" s="148"/>
      <c r="EV189" s="148"/>
      <c r="EW189" s="148"/>
      <c r="EX189" s="148"/>
      <c r="EY189" s="148"/>
      <c r="EZ189" s="148"/>
      <c r="FA189" s="148"/>
      <c r="FB189" s="148"/>
      <c r="FC189" s="148"/>
      <c r="FD189" s="148"/>
      <c r="FE189" s="148"/>
      <c r="FF189" s="148"/>
      <c r="FG189" s="148"/>
      <c r="FH189" s="148"/>
      <c r="FI189" s="148"/>
      <c r="FJ189" s="148"/>
      <c r="FK189" s="148"/>
      <c r="FL189" s="148"/>
      <c r="FM189" s="148"/>
      <c r="FN189" s="148"/>
      <c r="FO189" s="148"/>
      <c r="FP189" s="148"/>
      <c r="FQ189" s="148"/>
      <c r="FR189" s="148"/>
    </row>
    <row r="190" spans="1:174" s="15" customFormat="1" ht="13.5" customHeight="1" x14ac:dyDescent="0.2">
      <c r="A190" s="148"/>
      <c r="B190" s="307">
        <v>190</v>
      </c>
      <c r="C190" s="307" t="s">
        <v>38</v>
      </c>
      <c r="D190" s="562" t="s">
        <v>1799</v>
      </c>
      <c r="E190" s="569" t="s">
        <v>1800</v>
      </c>
      <c r="F190" s="533" t="s">
        <v>46</v>
      </c>
      <c r="G190" s="533" t="s">
        <v>1411</v>
      </c>
      <c r="H190" s="553" t="s">
        <v>1488</v>
      </c>
      <c r="I190" s="534" t="s">
        <v>42</v>
      </c>
      <c r="J190" s="535">
        <v>102941</v>
      </c>
      <c r="K190" s="535">
        <v>76941</v>
      </c>
      <c r="L190" s="535">
        <v>0</v>
      </c>
      <c r="M190" s="535"/>
      <c r="N190" s="535"/>
      <c r="O190" s="535"/>
      <c r="P190" s="547"/>
      <c r="Q190" s="538"/>
      <c r="R190" s="538"/>
      <c r="S190" s="535">
        <f t="shared" si="6"/>
        <v>0</v>
      </c>
      <c r="T190" s="539">
        <v>26000</v>
      </c>
      <c r="U190" s="558">
        <v>25</v>
      </c>
      <c r="V190" s="545">
        <v>44263</v>
      </c>
      <c r="W190" s="542">
        <v>44292</v>
      </c>
      <c r="X190" s="539"/>
      <c r="Y190" s="544"/>
      <c r="Z190" s="542"/>
      <c r="AA190" s="542"/>
      <c r="AB190" s="539"/>
      <c r="AC190" s="544"/>
      <c r="AD190" s="540"/>
      <c r="AE190" s="542"/>
      <c r="AF190" s="554"/>
      <c r="AG190" s="542"/>
      <c r="AH190" s="542"/>
      <c r="AI190" s="542"/>
      <c r="AJ190" s="554"/>
      <c r="AK190" s="542"/>
      <c r="AL190" s="542"/>
      <c r="AM190" s="542"/>
      <c r="AN190" s="542"/>
      <c r="AO190" s="542"/>
      <c r="AP190" s="542"/>
      <c r="AQ190" s="542"/>
      <c r="AR190" s="22">
        <f t="shared" si="7"/>
        <v>26000</v>
      </c>
      <c r="AS190" s="546">
        <f t="shared" ref="AS190:AS221" si="9">+AR190-S190</f>
        <v>26000</v>
      </c>
      <c r="AT190" s="148"/>
      <c r="AU190" s="148"/>
      <c r="AV190" s="148"/>
      <c r="AW190" s="148"/>
      <c r="AX190" s="148"/>
      <c r="AY190" s="148"/>
      <c r="AZ190" s="148"/>
      <c r="BA190" s="148"/>
      <c r="BB190" s="148"/>
      <c r="BC190" s="148"/>
      <c r="BD190" s="148"/>
      <c r="BE190" s="148"/>
      <c r="BF190" s="148"/>
      <c r="BG190" s="148"/>
      <c r="BH190" s="148"/>
      <c r="BI190" s="148"/>
      <c r="BJ190" s="148"/>
      <c r="BK190" s="148"/>
      <c r="BL190" s="148"/>
      <c r="BM190" s="148"/>
      <c r="BN190" s="148"/>
      <c r="BO190" s="148"/>
      <c r="BP190" s="148"/>
      <c r="BQ190" s="148"/>
      <c r="BR190" s="148"/>
      <c r="BS190" s="148"/>
      <c r="BT190" s="148"/>
      <c r="BU190" s="148"/>
      <c r="BV190" s="148"/>
      <c r="BW190" s="148"/>
      <c r="BX190" s="148"/>
      <c r="BY190" s="148"/>
      <c r="BZ190" s="148"/>
      <c r="CA190" s="148"/>
      <c r="CB190" s="148"/>
      <c r="CC190" s="148"/>
      <c r="CD190" s="148"/>
      <c r="CE190" s="148"/>
      <c r="CF190" s="148"/>
      <c r="CG190" s="148"/>
      <c r="CH190" s="148"/>
      <c r="CI190" s="148"/>
      <c r="CJ190" s="148"/>
      <c r="CK190" s="148"/>
      <c r="CL190" s="148"/>
      <c r="CM190" s="148"/>
      <c r="CN190" s="148"/>
      <c r="CO190" s="148"/>
      <c r="CP190" s="148"/>
      <c r="CQ190" s="148"/>
      <c r="CR190" s="148"/>
      <c r="CS190" s="148"/>
      <c r="CT190" s="148"/>
      <c r="CU190" s="148"/>
      <c r="CV190" s="148"/>
      <c r="CW190" s="148"/>
      <c r="CX190" s="148"/>
      <c r="CY190" s="148"/>
      <c r="CZ190" s="148"/>
      <c r="DA190" s="148"/>
      <c r="DB190" s="148"/>
      <c r="DC190" s="148"/>
      <c r="DD190" s="148"/>
      <c r="DE190" s="148"/>
      <c r="DF190" s="148"/>
      <c r="DG190" s="148"/>
      <c r="DH190" s="148"/>
      <c r="DI190" s="148"/>
      <c r="DJ190" s="148"/>
      <c r="DK190" s="148"/>
      <c r="DL190" s="148"/>
      <c r="DM190" s="148"/>
      <c r="DN190" s="148"/>
      <c r="DO190" s="148"/>
      <c r="DP190" s="148"/>
      <c r="DQ190" s="148"/>
      <c r="DR190" s="148"/>
      <c r="DS190" s="148"/>
      <c r="DT190" s="148"/>
      <c r="DU190" s="148"/>
      <c r="DV190" s="148"/>
      <c r="DW190" s="148"/>
      <c r="DX190" s="148"/>
      <c r="DY190" s="148"/>
      <c r="DZ190" s="148"/>
      <c r="EA190" s="148"/>
      <c r="EB190" s="148"/>
      <c r="EC190" s="148"/>
      <c r="ED190" s="148"/>
      <c r="EE190" s="148"/>
      <c r="EF190" s="148"/>
      <c r="EG190" s="148"/>
      <c r="EH190" s="148"/>
      <c r="EI190" s="148"/>
      <c r="EJ190" s="148"/>
      <c r="EK190" s="148"/>
      <c r="EL190" s="148"/>
      <c r="EM190" s="148"/>
      <c r="EN190" s="148"/>
      <c r="EO190" s="148"/>
      <c r="EP190" s="148"/>
      <c r="EQ190" s="148"/>
      <c r="ER190" s="148"/>
      <c r="ES190" s="148"/>
      <c r="ET190" s="148"/>
      <c r="EU190" s="148"/>
      <c r="EV190" s="148"/>
      <c r="EW190" s="148"/>
      <c r="EX190" s="148"/>
      <c r="EY190" s="148"/>
      <c r="EZ190" s="148"/>
      <c r="FA190" s="148"/>
      <c r="FB190" s="148"/>
      <c r="FC190" s="148"/>
      <c r="FD190" s="148"/>
      <c r="FE190" s="148"/>
      <c r="FF190" s="148"/>
      <c r="FG190" s="148"/>
      <c r="FH190" s="148"/>
      <c r="FI190" s="148"/>
      <c r="FJ190" s="148"/>
      <c r="FK190" s="148"/>
      <c r="FL190" s="148"/>
      <c r="FM190" s="148"/>
      <c r="FN190" s="148"/>
      <c r="FO190" s="148"/>
      <c r="FP190" s="148"/>
      <c r="FQ190" s="148"/>
      <c r="FR190" s="148"/>
    </row>
    <row r="191" spans="1:174" s="15" customFormat="1" ht="13.5" customHeight="1" x14ac:dyDescent="0.2">
      <c r="A191" s="148"/>
      <c r="B191" s="307">
        <v>191</v>
      </c>
      <c r="C191" s="307" t="s">
        <v>38</v>
      </c>
      <c r="D191" s="562" t="s">
        <v>1801</v>
      </c>
      <c r="E191" s="569" t="s">
        <v>1802</v>
      </c>
      <c r="F191" s="533" t="s">
        <v>204</v>
      </c>
      <c r="G191" s="533" t="s">
        <v>1411</v>
      </c>
      <c r="H191" s="553" t="s">
        <v>1440</v>
      </c>
      <c r="I191" s="534" t="s">
        <v>42</v>
      </c>
      <c r="J191" s="535">
        <v>22292</v>
      </c>
      <c r="K191" s="535">
        <v>2948</v>
      </c>
      <c r="L191" s="535">
        <v>4344</v>
      </c>
      <c r="M191" s="535"/>
      <c r="N191" s="535"/>
      <c r="O191" s="535"/>
      <c r="P191" s="547"/>
      <c r="Q191" s="538"/>
      <c r="R191" s="538"/>
      <c r="S191" s="535">
        <f t="shared" si="6"/>
        <v>0</v>
      </c>
      <c r="T191" s="539">
        <v>2883</v>
      </c>
      <c r="U191" s="558">
        <v>25</v>
      </c>
      <c r="V191" s="545">
        <v>44263</v>
      </c>
      <c r="W191" s="542">
        <v>44292</v>
      </c>
      <c r="X191" s="539">
        <v>5766</v>
      </c>
      <c r="Y191" s="544">
        <v>55</v>
      </c>
      <c r="Z191" s="542">
        <v>44323</v>
      </c>
      <c r="AA191" s="542">
        <v>44350</v>
      </c>
      <c r="AB191" s="539"/>
      <c r="AC191" s="544"/>
      <c r="AD191" s="540"/>
      <c r="AE191" s="542"/>
      <c r="AF191" s="554"/>
      <c r="AG191" s="542"/>
      <c r="AH191" s="542"/>
      <c r="AI191" s="542"/>
      <c r="AJ191" s="554"/>
      <c r="AK191" s="542"/>
      <c r="AL191" s="542"/>
      <c r="AM191" s="542"/>
      <c r="AN191" s="542"/>
      <c r="AO191" s="542"/>
      <c r="AP191" s="542"/>
      <c r="AQ191" s="542"/>
      <c r="AR191" s="22">
        <f t="shared" si="7"/>
        <v>8649</v>
      </c>
      <c r="AS191" s="546">
        <f t="shared" si="9"/>
        <v>8649</v>
      </c>
      <c r="AT191" s="148"/>
      <c r="AU191" s="148"/>
      <c r="AV191" s="148"/>
      <c r="AW191" s="148"/>
      <c r="AX191" s="148"/>
      <c r="AY191" s="148"/>
      <c r="AZ191" s="148"/>
      <c r="BA191" s="148"/>
      <c r="BB191" s="148"/>
      <c r="BC191" s="148"/>
      <c r="BD191" s="148"/>
      <c r="BE191" s="148"/>
      <c r="BF191" s="148"/>
      <c r="BG191" s="148"/>
      <c r="BH191" s="148"/>
      <c r="BI191" s="148"/>
      <c r="BJ191" s="148"/>
      <c r="BK191" s="148"/>
      <c r="BL191" s="148"/>
      <c r="BM191" s="148"/>
      <c r="BN191" s="148"/>
      <c r="BO191" s="148"/>
      <c r="BP191" s="148"/>
      <c r="BQ191" s="148"/>
      <c r="BR191" s="148"/>
      <c r="BS191" s="148"/>
      <c r="BT191" s="148"/>
      <c r="BU191" s="148"/>
      <c r="BV191" s="148"/>
      <c r="BW191" s="148"/>
      <c r="BX191" s="148"/>
      <c r="BY191" s="148"/>
      <c r="BZ191" s="148"/>
      <c r="CA191" s="148"/>
      <c r="CB191" s="148"/>
      <c r="CC191" s="148"/>
      <c r="CD191" s="148"/>
      <c r="CE191" s="148"/>
      <c r="CF191" s="148"/>
      <c r="CG191" s="148"/>
      <c r="CH191" s="148"/>
      <c r="CI191" s="148"/>
      <c r="CJ191" s="148"/>
      <c r="CK191" s="148"/>
      <c r="CL191" s="148"/>
      <c r="CM191" s="148"/>
      <c r="CN191" s="148"/>
      <c r="CO191" s="148"/>
      <c r="CP191" s="148"/>
      <c r="CQ191" s="148"/>
      <c r="CR191" s="148"/>
      <c r="CS191" s="148"/>
      <c r="CT191" s="148"/>
      <c r="CU191" s="148"/>
      <c r="CV191" s="148"/>
      <c r="CW191" s="148"/>
      <c r="CX191" s="148"/>
      <c r="CY191" s="148"/>
      <c r="CZ191" s="148"/>
      <c r="DA191" s="148"/>
      <c r="DB191" s="148"/>
      <c r="DC191" s="148"/>
      <c r="DD191" s="148"/>
      <c r="DE191" s="148"/>
      <c r="DF191" s="148"/>
      <c r="DG191" s="148"/>
      <c r="DH191" s="148"/>
      <c r="DI191" s="148"/>
      <c r="DJ191" s="148"/>
      <c r="DK191" s="148"/>
      <c r="DL191" s="148"/>
      <c r="DM191" s="148"/>
      <c r="DN191" s="148"/>
      <c r="DO191" s="148"/>
      <c r="DP191" s="148"/>
      <c r="DQ191" s="148"/>
      <c r="DR191" s="148"/>
      <c r="DS191" s="148"/>
      <c r="DT191" s="148"/>
      <c r="DU191" s="148"/>
      <c r="DV191" s="148"/>
      <c r="DW191" s="148"/>
      <c r="DX191" s="148"/>
      <c r="DY191" s="148"/>
      <c r="DZ191" s="148"/>
      <c r="EA191" s="148"/>
      <c r="EB191" s="148"/>
      <c r="EC191" s="148"/>
      <c r="ED191" s="148"/>
      <c r="EE191" s="148"/>
      <c r="EF191" s="148"/>
      <c r="EG191" s="148"/>
      <c r="EH191" s="148"/>
      <c r="EI191" s="148"/>
      <c r="EJ191" s="148"/>
      <c r="EK191" s="148"/>
      <c r="EL191" s="148"/>
      <c r="EM191" s="148"/>
      <c r="EN191" s="148"/>
      <c r="EO191" s="148"/>
      <c r="EP191" s="148"/>
      <c r="EQ191" s="148"/>
      <c r="ER191" s="148"/>
      <c r="ES191" s="148"/>
      <c r="ET191" s="148"/>
      <c r="EU191" s="148"/>
      <c r="EV191" s="148"/>
      <c r="EW191" s="148"/>
      <c r="EX191" s="148"/>
      <c r="EY191" s="148"/>
      <c r="EZ191" s="148"/>
      <c r="FA191" s="148"/>
      <c r="FB191" s="148"/>
      <c r="FC191" s="148"/>
      <c r="FD191" s="148"/>
      <c r="FE191" s="148"/>
      <c r="FF191" s="148"/>
      <c r="FG191" s="148"/>
      <c r="FH191" s="148"/>
      <c r="FI191" s="148"/>
      <c r="FJ191" s="148"/>
      <c r="FK191" s="148"/>
      <c r="FL191" s="148"/>
      <c r="FM191" s="148"/>
      <c r="FN191" s="148"/>
      <c r="FO191" s="148"/>
      <c r="FP191" s="148"/>
      <c r="FQ191" s="148"/>
      <c r="FR191" s="148"/>
    </row>
    <row r="192" spans="1:174" s="15" customFormat="1" ht="13.5" customHeight="1" x14ac:dyDescent="0.2">
      <c r="A192" s="148"/>
      <c r="B192" s="307">
        <v>192</v>
      </c>
      <c r="C192" s="307" t="s">
        <v>38</v>
      </c>
      <c r="D192" s="562" t="s">
        <v>1803</v>
      </c>
      <c r="E192" s="569" t="s">
        <v>1804</v>
      </c>
      <c r="F192" s="533" t="s">
        <v>204</v>
      </c>
      <c r="G192" s="533" t="s">
        <v>1411</v>
      </c>
      <c r="H192" s="553" t="s">
        <v>1464</v>
      </c>
      <c r="I192" s="534" t="s">
        <v>42</v>
      </c>
      <c r="J192" s="535">
        <v>29622</v>
      </c>
      <c r="K192" s="535">
        <v>10530</v>
      </c>
      <c r="L192" s="535">
        <v>0</v>
      </c>
      <c r="M192" s="535"/>
      <c r="N192" s="535"/>
      <c r="O192" s="535"/>
      <c r="P192" s="548">
        <v>10036.84</v>
      </c>
      <c r="Q192" s="538"/>
      <c r="R192" s="538"/>
      <c r="S192" s="535">
        <f t="shared" si="6"/>
        <v>10036.84</v>
      </c>
      <c r="T192" s="539">
        <v>15056</v>
      </c>
      <c r="U192" s="558">
        <v>25</v>
      </c>
      <c r="V192" s="545">
        <v>44263</v>
      </c>
      <c r="W192" s="542">
        <v>44292</v>
      </c>
      <c r="X192" s="542"/>
      <c r="Y192" s="544"/>
      <c r="Z192" s="542"/>
      <c r="AA192" s="542"/>
      <c r="AB192" s="539"/>
      <c r="AC192" s="544"/>
      <c r="AD192" s="540"/>
      <c r="AE192" s="542"/>
      <c r="AF192" s="554"/>
      <c r="AG192" s="542"/>
      <c r="AH192" s="542"/>
      <c r="AI192" s="542"/>
      <c r="AJ192" s="554"/>
      <c r="AK192" s="542"/>
      <c r="AL192" s="542"/>
      <c r="AM192" s="542"/>
      <c r="AN192" s="542"/>
      <c r="AO192" s="542"/>
      <c r="AP192" s="542"/>
      <c r="AQ192" s="542"/>
      <c r="AR192" s="22">
        <f t="shared" si="7"/>
        <v>15056</v>
      </c>
      <c r="AS192" s="546">
        <f t="shared" si="9"/>
        <v>5019.16</v>
      </c>
      <c r="AT192" s="148"/>
      <c r="AU192" s="148"/>
      <c r="AV192" s="148"/>
      <c r="AW192" s="148"/>
      <c r="AX192" s="148"/>
      <c r="AY192" s="148"/>
      <c r="AZ192" s="148"/>
      <c r="BA192" s="148"/>
      <c r="BB192" s="148"/>
      <c r="BC192" s="148"/>
      <c r="BD192" s="148"/>
      <c r="BE192" s="148"/>
      <c r="BF192" s="148"/>
      <c r="BG192" s="148"/>
      <c r="BH192" s="148"/>
      <c r="BI192" s="148"/>
      <c r="BJ192" s="148"/>
      <c r="BK192" s="148"/>
      <c r="BL192" s="148"/>
      <c r="BM192" s="148"/>
      <c r="BN192" s="148"/>
      <c r="BO192" s="148"/>
      <c r="BP192" s="148"/>
      <c r="BQ192" s="148"/>
      <c r="BR192" s="148"/>
      <c r="BS192" s="148"/>
      <c r="BT192" s="148"/>
      <c r="BU192" s="148"/>
      <c r="BV192" s="148"/>
      <c r="BW192" s="148"/>
      <c r="BX192" s="148"/>
      <c r="BY192" s="148"/>
      <c r="BZ192" s="148"/>
      <c r="CA192" s="148"/>
      <c r="CB192" s="148"/>
      <c r="CC192" s="148"/>
      <c r="CD192" s="148"/>
      <c r="CE192" s="148"/>
      <c r="CF192" s="148"/>
      <c r="CG192" s="148"/>
      <c r="CH192" s="148"/>
      <c r="CI192" s="148"/>
      <c r="CJ192" s="148"/>
      <c r="CK192" s="148"/>
      <c r="CL192" s="148"/>
      <c r="CM192" s="148"/>
      <c r="CN192" s="148"/>
      <c r="CO192" s="148"/>
      <c r="CP192" s="148"/>
      <c r="CQ192" s="148"/>
      <c r="CR192" s="148"/>
      <c r="CS192" s="148"/>
      <c r="CT192" s="148"/>
      <c r="CU192" s="148"/>
      <c r="CV192" s="148"/>
      <c r="CW192" s="148"/>
      <c r="CX192" s="148"/>
      <c r="CY192" s="148"/>
      <c r="CZ192" s="148"/>
      <c r="DA192" s="148"/>
      <c r="DB192" s="148"/>
      <c r="DC192" s="148"/>
      <c r="DD192" s="148"/>
      <c r="DE192" s="148"/>
      <c r="DF192" s="148"/>
      <c r="DG192" s="148"/>
      <c r="DH192" s="148"/>
      <c r="DI192" s="148"/>
      <c r="DJ192" s="148"/>
      <c r="DK192" s="148"/>
      <c r="DL192" s="148"/>
      <c r="DM192" s="148"/>
      <c r="DN192" s="148"/>
      <c r="DO192" s="148"/>
      <c r="DP192" s="148"/>
      <c r="DQ192" s="148"/>
      <c r="DR192" s="148"/>
      <c r="DS192" s="148"/>
      <c r="DT192" s="148"/>
      <c r="DU192" s="148"/>
      <c r="DV192" s="148"/>
      <c r="DW192" s="148"/>
      <c r="DX192" s="148"/>
      <c r="DY192" s="148"/>
      <c r="DZ192" s="148"/>
      <c r="EA192" s="148"/>
      <c r="EB192" s="148"/>
      <c r="EC192" s="148"/>
      <c r="ED192" s="148"/>
      <c r="EE192" s="148"/>
      <c r="EF192" s="148"/>
      <c r="EG192" s="148"/>
      <c r="EH192" s="148"/>
      <c r="EI192" s="148"/>
      <c r="EJ192" s="148"/>
      <c r="EK192" s="148"/>
      <c r="EL192" s="148"/>
      <c r="EM192" s="148"/>
      <c r="EN192" s="148"/>
      <c r="EO192" s="148"/>
      <c r="EP192" s="148"/>
      <c r="EQ192" s="148"/>
      <c r="ER192" s="148"/>
      <c r="ES192" s="148"/>
      <c r="ET192" s="148"/>
      <c r="EU192" s="148"/>
      <c r="EV192" s="148"/>
      <c r="EW192" s="148"/>
      <c r="EX192" s="148"/>
      <c r="EY192" s="148"/>
      <c r="EZ192" s="148"/>
      <c r="FA192" s="148"/>
      <c r="FB192" s="148"/>
      <c r="FC192" s="148"/>
      <c r="FD192" s="148"/>
      <c r="FE192" s="148"/>
      <c r="FF192" s="148"/>
      <c r="FG192" s="148"/>
      <c r="FH192" s="148"/>
      <c r="FI192" s="148"/>
      <c r="FJ192" s="148"/>
      <c r="FK192" s="148"/>
      <c r="FL192" s="148"/>
      <c r="FM192" s="148"/>
      <c r="FN192" s="148"/>
      <c r="FO192" s="148"/>
      <c r="FP192" s="148"/>
      <c r="FQ192" s="148"/>
      <c r="FR192" s="148"/>
    </row>
    <row r="193" spans="1:174" s="15" customFormat="1" ht="13.5" customHeight="1" x14ac:dyDescent="0.2">
      <c r="A193" s="148"/>
      <c r="B193" s="307">
        <v>193</v>
      </c>
      <c r="C193" s="307" t="s">
        <v>38</v>
      </c>
      <c r="D193" s="562" t="s">
        <v>1805</v>
      </c>
      <c r="E193" s="569" t="s">
        <v>1806</v>
      </c>
      <c r="F193" s="533" t="s">
        <v>45</v>
      </c>
      <c r="G193" s="533" t="s">
        <v>1411</v>
      </c>
      <c r="H193" s="553" t="s">
        <v>1427</v>
      </c>
      <c r="I193" s="534" t="s">
        <v>43</v>
      </c>
      <c r="J193" s="535">
        <v>230296</v>
      </c>
      <c r="K193" s="535">
        <v>0</v>
      </c>
      <c r="L193" s="535">
        <v>0</v>
      </c>
      <c r="M193" s="535"/>
      <c r="N193" s="535"/>
      <c r="O193" s="535"/>
      <c r="P193" s="548">
        <v>15178.45</v>
      </c>
      <c r="Q193" s="538">
        <v>23804.76</v>
      </c>
      <c r="R193" s="538">
        <v>67486.684999999998</v>
      </c>
      <c r="S193" s="535">
        <f t="shared" si="6"/>
        <v>106469.89499999999</v>
      </c>
      <c r="T193" s="539">
        <v>17000</v>
      </c>
      <c r="U193" s="558">
        <v>25</v>
      </c>
      <c r="V193" s="545">
        <v>44263</v>
      </c>
      <c r="W193" s="542">
        <v>44292</v>
      </c>
      <c r="X193" s="539">
        <v>63000</v>
      </c>
      <c r="Y193" s="539">
        <v>46</v>
      </c>
      <c r="Z193" s="542">
        <v>44295</v>
      </c>
      <c r="AA193" s="542">
        <v>44327</v>
      </c>
      <c r="AB193" s="539">
        <v>77479</v>
      </c>
      <c r="AC193" s="544">
        <v>55</v>
      </c>
      <c r="AD193" s="542">
        <v>44323</v>
      </c>
      <c r="AE193" s="542">
        <v>44350</v>
      </c>
      <c r="AF193" s="554">
        <v>4650</v>
      </c>
      <c r="AG193" s="544">
        <v>65</v>
      </c>
      <c r="AH193" s="542">
        <v>44340</v>
      </c>
      <c r="AI193" s="542">
        <v>44356</v>
      </c>
      <c r="AJ193" s="554"/>
      <c r="AK193" s="542"/>
      <c r="AL193" s="542"/>
      <c r="AM193" s="542"/>
      <c r="AN193" s="542"/>
      <c r="AO193" s="542"/>
      <c r="AP193" s="542"/>
      <c r="AQ193" s="542"/>
      <c r="AR193" s="22">
        <f t="shared" si="7"/>
        <v>162129</v>
      </c>
      <c r="AS193" s="546">
        <f t="shared" si="9"/>
        <v>55659.10500000001</v>
      </c>
      <c r="AT193" s="148"/>
      <c r="AU193" s="148"/>
      <c r="AV193" s="148"/>
      <c r="AW193" s="148"/>
      <c r="AX193" s="148"/>
      <c r="AY193" s="148"/>
      <c r="AZ193" s="148"/>
      <c r="BA193" s="148"/>
      <c r="BB193" s="148"/>
      <c r="BC193" s="148"/>
      <c r="BD193" s="148"/>
      <c r="BE193" s="148"/>
      <c r="BF193" s="148"/>
      <c r="BG193" s="148"/>
      <c r="BH193" s="148"/>
      <c r="BI193" s="148"/>
      <c r="BJ193" s="148"/>
      <c r="BK193" s="148"/>
      <c r="BL193" s="148"/>
      <c r="BM193" s="148"/>
      <c r="BN193" s="148"/>
      <c r="BO193" s="148"/>
      <c r="BP193" s="148"/>
      <c r="BQ193" s="148"/>
      <c r="BR193" s="148"/>
      <c r="BS193" s="148"/>
      <c r="BT193" s="148"/>
      <c r="BU193" s="148"/>
      <c r="BV193" s="148"/>
      <c r="BW193" s="148"/>
      <c r="BX193" s="148"/>
      <c r="BY193" s="148"/>
      <c r="BZ193" s="148"/>
      <c r="CA193" s="148"/>
      <c r="CB193" s="148"/>
      <c r="CC193" s="148"/>
      <c r="CD193" s="148"/>
      <c r="CE193" s="148"/>
      <c r="CF193" s="148"/>
      <c r="CG193" s="148"/>
      <c r="CH193" s="148"/>
      <c r="CI193" s="148"/>
      <c r="CJ193" s="148"/>
      <c r="CK193" s="148"/>
      <c r="CL193" s="148"/>
      <c r="CM193" s="148"/>
      <c r="CN193" s="148"/>
      <c r="CO193" s="148"/>
      <c r="CP193" s="148"/>
      <c r="CQ193" s="148"/>
      <c r="CR193" s="148"/>
      <c r="CS193" s="148"/>
      <c r="CT193" s="148"/>
      <c r="CU193" s="148"/>
      <c r="CV193" s="148"/>
      <c r="CW193" s="148"/>
      <c r="CX193" s="148"/>
      <c r="CY193" s="148"/>
      <c r="CZ193" s="148"/>
      <c r="DA193" s="148"/>
      <c r="DB193" s="148"/>
      <c r="DC193" s="148"/>
      <c r="DD193" s="148"/>
      <c r="DE193" s="148"/>
      <c r="DF193" s="148"/>
      <c r="DG193" s="148"/>
      <c r="DH193" s="148"/>
      <c r="DI193" s="148"/>
      <c r="DJ193" s="148"/>
      <c r="DK193" s="148"/>
      <c r="DL193" s="148"/>
      <c r="DM193" s="148"/>
      <c r="DN193" s="148"/>
      <c r="DO193" s="148"/>
      <c r="DP193" s="148"/>
      <c r="DQ193" s="148"/>
      <c r="DR193" s="148"/>
      <c r="DS193" s="148"/>
      <c r="DT193" s="148"/>
      <c r="DU193" s="148"/>
      <c r="DV193" s="148"/>
      <c r="DW193" s="148"/>
      <c r="DX193" s="148"/>
      <c r="DY193" s="148"/>
      <c r="DZ193" s="148"/>
      <c r="EA193" s="148"/>
      <c r="EB193" s="148"/>
      <c r="EC193" s="148"/>
      <c r="ED193" s="148"/>
      <c r="EE193" s="148"/>
      <c r="EF193" s="148"/>
      <c r="EG193" s="148"/>
      <c r="EH193" s="148"/>
      <c r="EI193" s="148"/>
      <c r="EJ193" s="148"/>
      <c r="EK193" s="148"/>
      <c r="EL193" s="148"/>
      <c r="EM193" s="148"/>
      <c r="EN193" s="148"/>
      <c r="EO193" s="148"/>
      <c r="EP193" s="148"/>
      <c r="EQ193" s="148"/>
      <c r="ER193" s="148"/>
      <c r="ES193" s="148"/>
      <c r="ET193" s="148"/>
      <c r="EU193" s="148"/>
      <c r="EV193" s="148"/>
      <c r="EW193" s="148"/>
      <c r="EX193" s="148"/>
      <c r="EY193" s="148"/>
      <c r="EZ193" s="148"/>
      <c r="FA193" s="148"/>
      <c r="FB193" s="148"/>
      <c r="FC193" s="148"/>
      <c r="FD193" s="148"/>
      <c r="FE193" s="148"/>
      <c r="FF193" s="148"/>
      <c r="FG193" s="148"/>
      <c r="FH193" s="148"/>
      <c r="FI193" s="148"/>
      <c r="FJ193" s="148"/>
      <c r="FK193" s="148"/>
      <c r="FL193" s="148"/>
      <c r="FM193" s="148"/>
      <c r="FN193" s="148"/>
      <c r="FO193" s="148"/>
      <c r="FP193" s="148"/>
      <c r="FQ193" s="148"/>
      <c r="FR193" s="148"/>
    </row>
    <row r="194" spans="1:174" s="15" customFormat="1" ht="13.5" customHeight="1" x14ac:dyDescent="0.2">
      <c r="A194" s="148"/>
      <c r="B194" s="307">
        <v>194</v>
      </c>
      <c r="C194" s="312" t="s">
        <v>38</v>
      </c>
      <c r="D194" s="562" t="s">
        <v>1807</v>
      </c>
      <c r="E194" s="569" t="s">
        <v>1808</v>
      </c>
      <c r="F194" s="533" t="s">
        <v>45</v>
      </c>
      <c r="G194" s="533" t="s">
        <v>1411</v>
      </c>
      <c r="H194" s="553" t="s">
        <v>1809</v>
      </c>
      <c r="I194" s="534" t="s">
        <v>43</v>
      </c>
      <c r="J194" s="535">
        <v>218286</v>
      </c>
      <c r="K194" s="535">
        <v>0</v>
      </c>
      <c r="L194" s="535">
        <v>7470</v>
      </c>
      <c r="M194" s="535"/>
      <c r="N194" s="535"/>
      <c r="O194" s="535"/>
      <c r="P194" s="548">
        <v>43929.709000000003</v>
      </c>
      <c r="Q194" s="538"/>
      <c r="R194" s="538"/>
      <c r="S194" s="535">
        <f t="shared" si="6"/>
        <v>43929.709000000003</v>
      </c>
      <c r="T194" s="539">
        <v>100000</v>
      </c>
      <c r="U194" s="558">
        <v>26</v>
      </c>
      <c r="V194" s="545">
        <v>44263</v>
      </c>
      <c r="W194" s="542">
        <v>44293</v>
      </c>
      <c r="X194" s="539">
        <v>39930</v>
      </c>
      <c r="Y194" s="539">
        <v>56</v>
      </c>
      <c r="Z194" s="542">
        <v>44323</v>
      </c>
      <c r="AA194" s="542">
        <v>44344</v>
      </c>
      <c r="AB194" s="539"/>
      <c r="AC194" s="544"/>
      <c r="AD194" s="540"/>
      <c r="AE194" s="542"/>
      <c r="AF194" s="554"/>
      <c r="AG194" s="542"/>
      <c r="AH194" s="542"/>
      <c r="AI194" s="542"/>
      <c r="AJ194" s="554"/>
      <c r="AK194" s="542"/>
      <c r="AL194" s="542"/>
      <c r="AM194" s="542"/>
      <c r="AN194" s="542"/>
      <c r="AO194" s="542"/>
      <c r="AP194" s="542"/>
      <c r="AQ194" s="542"/>
      <c r="AR194" s="22">
        <f t="shared" si="7"/>
        <v>139930</v>
      </c>
      <c r="AS194" s="546">
        <f t="shared" si="9"/>
        <v>96000.290999999997</v>
      </c>
      <c r="AT194" s="148"/>
      <c r="AU194" s="148"/>
      <c r="AV194" s="148"/>
      <c r="AW194" s="148"/>
      <c r="AX194" s="148"/>
      <c r="AY194" s="148"/>
      <c r="AZ194" s="148"/>
      <c r="BA194" s="148"/>
      <c r="BB194" s="148"/>
      <c r="BC194" s="148"/>
      <c r="BD194" s="148"/>
      <c r="BE194" s="148"/>
      <c r="BF194" s="148"/>
      <c r="BG194" s="148"/>
      <c r="BH194" s="148"/>
      <c r="BI194" s="148"/>
      <c r="BJ194" s="148"/>
      <c r="BK194" s="148"/>
      <c r="BL194" s="148"/>
      <c r="BM194" s="148"/>
      <c r="BN194" s="148"/>
      <c r="BO194" s="148"/>
      <c r="BP194" s="148"/>
      <c r="BQ194" s="148"/>
      <c r="BR194" s="148"/>
      <c r="BS194" s="148"/>
      <c r="BT194" s="148"/>
      <c r="BU194" s="148"/>
      <c r="BV194" s="148"/>
      <c r="BW194" s="148"/>
      <c r="BX194" s="148"/>
      <c r="BY194" s="148"/>
      <c r="BZ194" s="148"/>
      <c r="CA194" s="148"/>
      <c r="CB194" s="148"/>
      <c r="CC194" s="148"/>
      <c r="CD194" s="148"/>
      <c r="CE194" s="148"/>
      <c r="CF194" s="148"/>
      <c r="CG194" s="148"/>
      <c r="CH194" s="148"/>
      <c r="CI194" s="148"/>
      <c r="CJ194" s="148"/>
      <c r="CK194" s="148"/>
      <c r="CL194" s="148"/>
      <c r="CM194" s="148"/>
      <c r="CN194" s="148"/>
      <c r="CO194" s="148"/>
      <c r="CP194" s="148"/>
      <c r="CQ194" s="148"/>
      <c r="CR194" s="148"/>
      <c r="CS194" s="148"/>
      <c r="CT194" s="148"/>
      <c r="CU194" s="148"/>
      <c r="CV194" s="148"/>
      <c r="CW194" s="148"/>
      <c r="CX194" s="148"/>
      <c r="CY194" s="148"/>
      <c r="CZ194" s="148"/>
      <c r="DA194" s="148"/>
      <c r="DB194" s="148"/>
      <c r="DC194" s="148"/>
      <c r="DD194" s="148"/>
      <c r="DE194" s="148"/>
      <c r="DF194" s="148"/>
      <c r="DG194" s="148"/>
      <c r="DH194" s="148"/>
      <c r="DI194" s="148"/>
      <c r="DJ194" s="148"/>
      <c r="DK194" s="148"/>
      <c r="DL194" s="148"/>
      <c r="DM194" s="148"/>
      <c r="DN194" s="148"/>
      <c r="DO194" s="148"/>
      <c r="DP194" s="148"/>
      <c r="DQ194" s="148"/>
      <c r="DR194" s="148"/>
      <c r="DS194" s="148"/>
      <c r="DT194" s="148"/>
      <c r="DU194" s="148"/>
      <c r="DV194" s="148"/>
      <c r="DW194" s="148"/>
      <c r="DX194" s="148"/>
      <c r="DY194" s="148"/>
      <c r="DZ194" s="148"/>
      <c r="EA194" s="148"/>
      <c r="EB194" s="148"/>
      <c r="EC194" s="148"/>
      <c r="ED194" s="148"/>
      <c r="EE194" s="148"/>
      <c r="EF194" s="148"/>
      <c r="EG194" s="148"/>
      <c r="EH194" s="148"/>
      <c r="EI194" s="148"/>
      <c r="EJ194" s="148"/>
      <c r="EK194" s="148"/>
      <c r="EL194" s="148"/>
      <c r="EM194" s="148"/>
      <c r="EN194" s="148"/>
      <c r="EO194" s="148"/>
      <c r="EP194" s="148"/>
      <c r="EQ194" s="148"/>
      <c r="ER194" s="148"/>
      <c r="ES194" s="148"/>
      <c r="ET194" s="148"/>
      <c r="EU194" s="148"/>
      <c r="EV194" s="148"/>
      <c r="EW194" s="148"/>
      <c r="EX194" s="148"/>
      <c r="EY194" s="148"/>
      <c r="EZ194" s="148"/>
      <c r="FA194" s="148"/>
      <c r="FB194" s="148"/>
      <c r="FC194" s="148"/>
      <c r="FD194" s="148"/>
      <c r="FE194" s="148"/>
      <c r="FF194" s="148"/>
      <c r="FG194" s="148"/>
      <c r="FH194" s="148"/>
      <c r="FI194" s="148"/>
      <c r="FJ194" s="148"/>
      <c r="FK194" s="148"/>
      <c r="FL194" s="148"/>
      <c r="FM194" s="148"/>
      <c r="FN194" s="148"/>
      <c r="FO194" s="148"/>
      <c r="FP194" s="148"/>
      <c r="FQ194" s="148"/>
      <c r="FR194" s="148"/>
    </row>
    <row r="195" spans="1:174" s="15" customFormat="1" ht="13.5" customHeight="1" x14ac:dyDescent="0.2">
      <c r="A195" s="148"/>
      <c r="B195" s="307">
        <v>195</v>
      </c>
      <c r="C195" s="307" t="s">
        <v>38</v>
      </c>
      <c r="D195" s="562" t="s">
        <v>1810</v>
      </c>
      <c r="E195" s="569" t="s">
        <v>1811</v>
      </c>
      <c r="F195" s="533" t="s">
        <v>45</v>
      </c>
      <c r="G195" s="533" t="s">
        <v>1411</v>
      </c>
      <c r="H195" s="553" t="s">
        <v>1767</v>
      </c>
      <c r="I195" s="534" t="s">
        <v>42</v>
      </c>
      <c r="J195" s="535">
        <v>540809</v>
      </c>
      <c r="K195" s="535">
        <v>0</v>
      </c>
      <c r="L195" s="535">
        <v>73486</v>
      </c>
      <c r="M195" s="535"/>
      <c r="N195" s="535"/>
      <c r="O195" s="535"/>
      <c r="P195" s="548">
        <v>37179.199999999997</v>
      </c>
      <c r="Q195" s="538">
        <v>3804.2860000000001</v>
      </c>
      <c r="R195" s="538">
        <v>60626.3</v>
      </c>
      <c r="S195" s="535">
        <f t="shared" si="6"/>
        <v>101609.78599999999</v>
      </c>
      <c r="T195" s="539">
        <v>156184</v>
      </c>
      <c r="U195" s="558">
        <v>33</v>
      </c>
      <c r="V195" s="545">
        <v>44266</v>
      </c>
      <c r="W195" s="542">
        <v>44298</v>
      </c>
      <c r="X195" s="539">
        <v>57889</v>
      </c>
      <c r="Y195" s="539">
        <v>55</v>
      </c>
      <c r="Z195" s="542">
        <v>44323</v>
      </c>
      <c r="AA195" s="542">
        <v>44350</v>
      </c>
      <c r="AB195" s="539"/>
      <c r="AC195" s="544"/>
      <c r="AD195" s="540"/>
      <c r="AE195" s="542"/>
      <c r="AF195" s="554"/>
      <c r="AG195" s="542"/>
      <c r="AH195" s="542"/>
      <c r="AI195" s="542"/>
      <c r="AJ195" s="554"/>
      <c r="AK195" s="542"/>
      <c r="AL195" s="542"/>
      <c r="AM195" s="542"/>
      <c r="AN195" s="542"/>
      <c r="AO195" s="542"/>
      <c r="AP195" s="542"/>
      <c r="AQ195" s="542"/>
      <c r="AR195" s="22">
        <f t="shared" si="7"/>
        <v>214073</v>
      </c>
      <c r="AS195" s="546">
        <f t="shared" si="9"/>
        <v>112463.21400000001</v>
      </c>
      <c r="AT195" s="148"/>
      <c r="AU195" s="148"/>
      <c r="AV195" s="148"/>
      <c r="AW195" s="148"/>
      <c r="AX195" s="148"/>
      <c r="AY195" s="148"/>
      <c r="AZ195" s="148"/>
      <c r="BA195" s="148"/>
      <c r="BB195" s="148"/>
      <c r="BC195" s="148"/>
      <c r="BD195" s="148"/>
      <c r="BE195" s="148"/>
      <c r="BF195" s="148"/>
      <c r="BG195" s="148"/>
      <c r="BH195" s="148"/>
      <c r="BI195" s="148"/>
      <c r="BJ195" s="148"/>
      <c r="BK195" s="148"/>
      <c r="BL195" s="148"/>
      <c r="BM195" s="148"/>
      <c r="BN195" s="148"/>
      <c r="BO195" s="148"/>
      <c r="BP195" s="148"/>
      <c r="BQ195" s="148"/>
      <c r="BR195" s="148"/>
      <c r="BS195" s="148"/>
      <c r="BT195" s="148"/>
      <c r="BU195" s="148"/>
      <c r="BV195" s="148"/>
      <c r="BW195" s="148"/>
      <c r="BX195" s="148"/>
      <c r="BY195" s="148"/>
      <c r="BZ195" s="148"/>
      <c r="CA195" s="148"/>
      <c r="CB195" s="148"/>
      <c r="CC195" s="148"/>
      <c r="CD195" s="148"/>
      <c r="CE195" s="148"/>
      <c r="CF195" s="148"/>
      <c r="CG195" s="148"/>
      <c r="CH195" s="148"/>
      <c r="CI195" s="148"/>
      <c r="CJ195" s="148"/>
      <c r="CK195" s="148"/>
      <c r="CL195" s="148"/>
      <c r="CM195" s="148"/>
      <c r="CN195" s="148"/>
      <c r="CO195" s="148"/>
      <c r="CP195" s="148"/>
      <c r="CQ195" s="148"/>
      <c r="CR195" s="148"/>
      <c r="CS195" s="148"/>
      <c r="CT195" s="148"/>
      <c r="CU195" s="148"/>
      <c r="CV195" s="148"/>
      <c r="CW195" s="148"/>
      <c r="CX195" s="148"/>
      <c r="CY195" s="148"/>
      <c r="CZ195" s="148"/>
      <c r="DA195" s="148"/>
      <c r="DB195" s="148"/>
      <c r="DC195" s="148"/>
      <c r="DD195" s="148"/>
      <c r="DE195" s="148"/>
      <c r="DF195" s="148"/>
      <c r="DG195" s="148"/>
      <c r="DH195" s="148"/>
      <c r="DI195" s="148"/>
      <c r="DJ195" s="148"/>
      <c r="DK195" s="148"/>
      <c r="DL195" s="148"/>
      <c r="DM195" s="148"/>
      <c r="DN195" s="148"/>
      <c r="DO195" s="148"/>
      <c r="DP195" s="148"/>
      <c r="DQ195" s="148"/>
      <c r="DR195" s="148"/>
      <c r="DS195" s="148"/>
      <c r="DT195" s="148"/>
      <c r="DU195" s="148"/>
      <c r="DV195" s="148"/>
      <c r="DW195" s="148"/>
      <c r="DX195" s="148"/>
      <c r="DY195" s="148"/>
      <c r="DZ195" s="148"/>
      <c r="EA195" s="148"/>
      <c r="EB195" s="148"/>
      <c r="EC195" s="148"/>
      <c r="ED195" s="148"/>
      <c r="EE195" s="148"/>
      <c r="EF195" s="148"/>
      <c r="EG195" s="148"/>
      <c r="EH195" s="148"/>
      <c r="EI195" s="148"/>
      <c r="EJ195" s="148"/>
      <c r="EK195" s="148"/>
      <c r="EL195" s="148"/>
      <c r="EM195" s="148"/>
      <c r="EN195" s="148"/>
      <c r="EO195" s="148"/>
      <c r="EP195" s="148"/>
      <c r="EQ195" s="148"/>
      <c r="ER195" s="148"/>
      <c r="ES195" s="148"/>
      <c r="ET195" s="148"/>
      <c r="EU195" s="148"/>
      <c r="EV195" s="148"/>
      <c r="EW195" s="148"/>
      <c r="EX195" s="148"/>
      <c r="EY195" s="148"/>
      <c r="EZ195" s="148"/>
      <c r="FA195" s="148"/>
      <c r="FB195" s="148"/>
      <c r="FC195" s="148"/>
      <c r="FD195" s="148"/>
      <c r="FE195" s="148"/>
      <c r="FF195" s="148"/>
      <c r="FG195" s="148"/>
      <c r="FH195" s="148"/>
      <c r="FI195" s="148"/>
      <c r="FJ195" s="148"/>
      <c r="FK195" s="148"/>
      <c r="FL195" s="148"/>
      <c r="FM195" s="148"/>
      <c r="FN195" s="148"/>
      <c r="FO195" s="148"/>
      <c r="FP195" s="148"/>
      <c r="FQ195" s="148"/>
      <c r="FR195" s="148"/>
    </row>
    <row r="196" spans="1:174" s="15" customFormat="1" ht="13.5" customHeight="1" x14ac:dyDescent="0.2">
      <c r="A196" s="148"/>
      <c r="B196" s="307">
        <v>196</v>
      </c>
      <c r="C196" s="312" t="s">
        <v>38</v>
      </c>
      <c r="D196" s="562" t="s">
        <v>1812</v>
      </c>
      <c r="E196" s="569" t="s">
        <v>1813</v>
      </c>
      <c r="F196" s="533" t="s">
        <v>45</v>
      </c>
      <c r="G196" s="533" t="s">
        <v>1411</v>
      </c>
      <c r="H196" s="553" t="s">
        <v>1464</v>
      </c>
      <c r="I196" s="534" t="s">
        <v>42</v>
      </c>
      <c r="J196" s="535">
        <v>196435</v>
      </c>
      <c r="K196" s="535">
        <v>132424</v>
      </c>
      <c r="L196" s="535">
        <v>0</v>
      </c>
      <c r="M196" s="535"/>
      <c r="N196" s="535"/>
      <c r="O196" s="535"/>
      <c r="P196" s="547"/>
      <c r="Q196" s="538"/>
      <c r="R196" s="538"/>
      <c r="S196" s="535">
        <f t="shared" si="6"/>
        <v>0</v>
      </c>
      <c r="T196" s="539">
        <v>60000</v>
      </c>
      <c r="U196" s="558">
        <v>33</v>
      </c>
      <c r="V196" s="545">
        <v>44266</v>
      </c>
      <c r="W196" s="542">
        <v>44298</v>
      </c>
      <c r="X196" s="539"/>
      <c r="Y196" s="539"/>
      <c r="Z196" s="542"/>
      <c r="AA196" s="542"/>
      <c r="AB196" s="539"/>
      <c r="AC196" s="544"/>
      <c r="AD196" s="540"/>
      <c r="AE196" s="542"/>
      <c r="AF196" s="554"/>
      <c r="AG196" s="542"/>
      <c r="AH196" s="542"/>
      <c r="AI196" s="542"/>
      <c r="AJ196" s="554"/>
      <c r="AK196" s="542"/>
      <c r="AL196" s="542"/>
      <c r="AM196" s="542"/>
      <c r="AN196" s="542"/>
      <c r="AO196" s="542"/>
      <c r="AP196" s="542"/>
      <c r="AQ196" s="542"/>
      <c r="AR196" s="22">
        <f t="shared" si="7"/>
        <v>60000</v>
      </c>
      <c r="AS196" s="546">
        <f t="shared" si="9"/>
        <v>60000</v>
      </c>
      <c r="AT196" s="148"/>
      <c r="AU196" s="148"/>
      <c r="AV196" s="148"/>
      <c r="AW196" s="148"/>
      <c r="AX196" s="148"/>
      <c r="AY196" s="148"/>
      <c r="AZ196" s="148"/>
      <c r="BA196" s="148"/>
      <c r="BB196" s="148"/>
      <c r="BC196" s="148"/>
      <c r="BD196" s="148"/>
      <c r="BE196" s="148"/>
      <c r="BF196" s="148"/>
      <c r="BG196" s="148"/>
      <c r="BH196" s="148"/>
      <c r="BI196" s="148"/>
      <c r="BJ196" s="148"/>
      <c r="BK196" s="148"/>
      <c r="BL196" s="148"/>
      <c r="BM196" s="148"/>
      <c r="BN196" s="148"/>
      <c r="BO196" s="148"/>
      <c r="BP196" s="148"/>
      <c r="BQ196" s="148"/>
      <c r="BR196" s="148"/>
      <c r="BS196" s="148"/>
      <c r="BT196" s="148"/>
      <c r="BU196" s="148"/>
      <c r="BV196" s="148"/>
      <c r="BW196" s="148"/>
      <c r="BX196" s="148"/>
      <c r="BY196" s="148"/>
      <c r="BZ196" s="148"/>
      <c r="CA196" s="148"/>
      <c r="CB196" s="148"/>
      <c r="CC196" s="148"/>
      <c r="CD196" s="148"/>
      <c r="CE196" s="148"/>
      <c r="CF196" s="148"/>
      <c r="CG196" s="148"/>
      <c r="CH196" s="148"/>
      <c r="CI196" s="148"/>
      <c r="CJ196" s="148"/>
      <c r="CK196" s="148"/>
      <c r="CL196" s="148"/>
      <c r="CM196" s="148"/>
      <c r="CN196" s="148"/>
      <c r="CO196" s="148"/>
      <c r="CP196" s="148"/>
      <c r="CQ196" s="148"/>
      <c r="CR196" s="148"/>
      <c r="CS196" s="148"/>
      <c r="CT196" s="148"/>
      <c r="CU196" s="148"/>
      <c r="CV196" s="148"/>
      <c r="CW196" s="148"/>
      <c r="CX196" s="148"/>
      <c r="CY196" s="148"/>
      <c r="CZ196" s="148"/>
      <c r="DA196" s="148"/>
      <c r="DB196" s="148"/>
      <c r="DC196" s="148"/>
      <c r="DD196" s="148"/>
      <c r="DE196" s="148"/>
      <c r="DF196" s="148"/>
      <c r="DG196" s="148"/>
      <c r="DH196" s="148"/>
      <c r="DI196" s="148"/>
      <c r="DJ196" s="148"/>
      <c r="DK196" s="148"/>
      <c r="DL196" s="148"/>
      <c r="DM196" s="148"/>
      <c r="DN196" s="148"/>
      <c r="DO196" s="148"/>
      <c r="DP196" s="148"/>
      <c r="DQ196" s="148"/>
      <c r="DR196" s="148"/>
      <c r="DS196" s="148"/>
      <c r="DT196" s="148"/>
      <c r="DU196" s="148"/>
      <c r="DV196" s="148"/>
      <c r="DW196" s="148"/>
      <c r="DX196" s="148"/>
      <c r="DY196" s="148"/>
      <c r="DZ196" s="148"/>
      <c r="EA196" s="148"/>
      <c r="EB196" s="148"/>
      <c r="EC196" s="148"/>
      <c r="ED196" s="148"/>
      <c r="EE196" s="148"/>
      <c r="EF196" s="148"/>
      <c r="EG196" s="148"/>
      <c r="EH196" s="148"/>
      <c r="EI196" s="148"/>
      <c r="EJ196" s="148"/>
      <c r="EK196" s="148"/>
      <c r="EL196" s="148"/>
      <c r="EM196" s="148"/>
      <c r="EN196" s="148"/>
      <c r="EO196" s="148"/>
      <c r="EP196" s="148"/>
      <c r="EQ196" s="148"/>
      <c r="ER196" s="148"/>
      <c r="ES196" s="148"/>
      <c r="ET196" s="148"/>
      <c r="EU196" s="148"/>
      <c r="EV196" s="148"/>
      <c r="EW196" s="148"/>
      <c r="EX196" s="148"/>
      <c r="EY196" s="148"/>
      <c r="EZ196" s="148"/>
      <c r="FA196" s="148"/>
      <c r="FB196" s="148"/>
      <c r="FC196" s="148"/>
      <c r="FD196" s="148"/>
      <c r="FE196" s="148"/>
      <c r="FF196" s="148"/>
      <c r="FG196" s="148"/>
      <c r="FH196" s="148"/>
      <c r="FI196" s="148"/>
      <c r="FJ196" s="148"/>
      <c r="FK196" s="148"/>
      <c r="FL196" s="148"/>
      <c r="FM196" s="148"/>
      <c r="FN196" s="148"/>
      <c r="FO196" s="148"/>
      <c r="FP196" s="148"/>
      <c r="FQ196" s="148"/>
      <c r="FR196" s="148"/>
    </row>
    <row r="197" spans="1:174" s="15" customFormat="1" ht="13.5" customHeight="1" x14ac:dyDescent="0.2">
      <c r="A197" s="148"/>
      <c r="B197" s="307">
        <v>197</v>
      </c>
      <c r="C197" s="307" t="s">
        <v>38</v>
      </c>
      <c r="D197" s="562" t="s">
        <v>1814</v>
      </c>
      <c r="E197" s="569" t="s">
        <v>1815</v>
      </c>
      <c r="F197" s="533" t="s">
        <v>45</v>
      </c>
      <c r="G197" s="533" t="s">
        <v>1411</v>
      </c>
      <c r="H197" s="553" t="s">
        <v>1644</v>
      </c>
      <c r="I197" s="534" t="s">
        <v>42</v>
      </c>
      <c r="J197" s="535">
        <v>4642362</v>
      </c>
      <c r="K197" s="535">
        <v>89362</v>
      </c>
      <c r="L197" s="535">
        <v>2626234</v>
      </c>
      <c r="M197" s="535"/>
      <c r="N197" s="535"/>
      <c r="O197" s="535"/>
      <c r="P197" s="547"/>
      <c r="Q197" s="538"/>
      <c r="R197" s="538"/>
      <c r="S197" s="535">
        <f t="shared" si="6"/>
        <v>0</v>
      </c>
      <c r="T197" s="539">
        <v>2</v>
      </c>
      <c r="U197" s="558">
        <v>33</v>
      </c>
      <c r="V197" s="545">
        <v>44266</v>
      </c>
      <c r="W197" s="542">
        <v>44298</v>
      </c>
      <c r="X197" s="539"/>
      <c r="Y197" s="539"/>
      <c r="Z197" s="542"/>
      <c r="AA197" s="542"/>
      <c r="AB197" s="539"/>
      <c r="AC197" s="544"/>
      <c r="AD197" s="540"/>
      <c r="AE197" s="542"/>
      <c r="AF197" s="554"/>
      <c r="AG197" s="542"/>
      <c r="AH197" s="542"/>
      <c r="AI197" s="542"/>
      <c r="AJ197" s="554"/>
      <c r="AK197" s="542"/>
      <c r="AL197" s="542"/>
      <c r="AM197" s="542"/>
      <c r="AN197" s="542"/>
      <c r="AO197" s="542"/>
      <c r="AP197" s="542"/>
      <c r="AQ197" s="542"/>
      <c r="AR197" s="22">
        <f t="shared" si="7"/>
        <v>2</v>
      </c>
      <c r="AS197" s="546">
        <f t="shared" si="9"/>
        <v>2</v>
      </c>
      <c r="AT197" s="148"/>
      <c r="AU197" s="148"/>
      <c r="AV197" s="148"/>
      <c r="AW197" s="148"/>
      <c r="AX197" s="148"/>
      <c r="AY197" s="148"/>
      <c r="AZ197" s="148"/>
      <c r="BA197" s="148"/>
      <c r="BB197" s="148"/>
      <c r="BC197" s="148"/>
      <c r="BD197" s="148"/>
      <c r="BE197" s="148"/>
      <c r="BF197" s="148"/>
      <c r="BG197" s="148"/>
      <c r="BH197" s="148"/>
      <c r="BI197" s="148"/>
      <c r="BJ197" s="148"/>
      <c r="BK197" s="148"/>
      <c r="BL197" s="148"/>
      <c r="BM197" s="148"/>
      <c r="BN197" s="148"/>
      <c r="BO197" s="148"/>
      <c r="BP197" s="148"/>
      <c r="BQ197" s="148"/>
      <c r="BR197" s="148"/>
      <c r="BS197" s="148"/>
      <c r="BT197" s="148"/>
      <c r="BU197" s="148"/>
      <c r="BV197" s="148"/>
      <c r="BW197" s="148"/>
      <c r="BX197" s="148"/>
      <c r="BY197" s="148"/>
      <c r="BZ197" s="148"/>
      <c r="CA197" s="148"/>
      <c r="CB197" s="148"/>
      <c r="CC197" s="148"/>
      <c r="CD197" s="148"/>
      <c r="CE197" s="148"/>
      <c r="CF197" s="148"/>
      <c r="CG197" s="148"/>
      <c r="CH197" s="148"/>
      <c r="CI197" s="148"/>
      <c r="CJ197" s="148"/>
      <c r="CK197" s="148"/>
      <c r="CL197" s="148"/>
      <c r="CM197" s="148"/>
      <c r="CN197" s="148"/>
      <c r="CO197" s="148"/>
      <c r="CP197" s="148"/>
      <c r="CQ197" s="148"/>
      <c r="CR197" s="148"/>
      <c r="CS197" s="148"/>
      <c r="CT197" s="148"/>
      <c r="CU197" s="148"/>
      <c r="CV197" s="148"/>
      <c r="CW197" s="148"/>
      <c r="CX197" s="148"/>
      <c r="CY197" s="148"/>
      <c r="CZ197" s="148"/>
      <c r="DA197" s="148"/>
      <c r="DB197" s="148"/>
      <c r="DC197" s="148"/>
      <c r="DD197" s="148"/>
      <c r="DE197" s="148"/>
      <c r="DF197" s="148"/>
      <c r="DG197" s="148"/>
      <c r="DH197" s="148"/>
      <c r="DI197" s="148"/>
      <c r="DJ197" s="148"/>
      <c r="DK197" s="148"/>
      <c r="DL197" s="148"/>
      <c r="DM197" s="148"/>
      <c r="DN197" s="148"/>
      <c r="DO197" s="148"/>
      <c r="DP197" s="148"/>
      <c r="DQ197" s="148"/>
      <c r="DR197" s="148"/>
      <c r="DS197" s="148"/>
      <c r="DT197" s="148"/>
      <c r="DU197" s="148"/>
      <c r="DV197" s="148"/>
      <c r="DW197" s="148"/>
      <c r="DX197" s="148"/>
      <c r="DY197" s="148"/>
      <c r="DZ197" s="148"/>
      <c r="EA197" s="148"/>
      <c r="EB197" s="148"/>
      <c r="EC197" s="148"/>
      <c r="ED197" s="148"/>
      <c r="EE197" s="148"/>
      <c r="EF197" s="148"/>
      <c r="EG197" s="148"/>
      <c r="EH197" s="148"/>
      <c r="EI197" s="148"/>
      <c r="EJ197" s="148"/>
      <c r="EK197" s="148"/>
      <c r="EL197" s="148"/>
      <c r="EM197" s="148"/>
      <c r="EN197" s="148"/>
      <c r="EO197" s="148"/>
      <c r="EP197" s="148"/>
      <c r="EQ197" s="148"/>
      <c r="ER197" s="148"/>
      <c r="ES197" s="148"/>
      <c r="ET197" s="148"/>
      <c r="EU197" s="148"/>
      <c r="EV197" s="148"/>
      <c r="EW197" s="148"/>
      <c r="EX197" s="148"/>
      <c r="EY197" s="148"/>
      <c r="EZ197" s="148"/>
      <c r="FA197" s="148"/>
      <c r="FB197" s="148"/>
      <c r="FC197" s="148"/>
      <c r="FD197" s="148"/>
      <c r="FE197" s="148"/>
      <c r="FF197" s="148"/>
      <c r="FG197" s="148"/>
      <c r="FH197" s="148"/>
      <c r="FI197" s="148"/>
      <c r="FJ197" s="148"/>
      <c r="FK197" s="148"/>
      <c r="FL197" s="148"/>
      <c r="FM197" s="148"/>
      <c r="FN197" s="148"/>
      <c r="FO197" s="148"/>
      <c r="FP197" s="148"/>
      <c r="FQ197" s="148"/>
      <c r="FR197" s="148"/>
    </row>
    <row r="198" spans="1:174" s="15" customFormat="1" ht="13.5" customHeight="1" x14ac:dyDescent="0.2">
      <c r="A198" s="148"/>
      <c r="B198" s="307">
        <v>198</v>
      </c>
      <c r="C198" s="312" t="s">
        <v>38</v>
      </c>
      <c r="D198" s="562" t="s">
        <v>1816</v>
      </c>
      <c r="E198" s="569" t="s">
        <v>1817</v>
      </c>
      <c r="F198" s="533" t="s">
        <v>45</v>
      </c>
      <c r="G198" s="533" t="s">
        <v>1411</v>
      </c>
      <c r="H198" s="553" t="s">
        <v>1412</v>
      </c>
      <c r="I198" s="534" t="s">
        <v>42</v>
      </c>
      <c r="J198" s="535">
        <v>5148342</v>
      </c>
      <c r="K198" s="535">
        <v>0</v>
      </c>
      <c r="L198" s="535">
        <v>2000000</v>
      </c>
      <c r="M198" s="535"/>
      <c r="N198" s="535"/>
      <c r="O198" s="535"/>
      <c r="P198" s="548">
        <v>817478.66799999995</v>
      </c>
      <c r="Q198" s="538">
        <v>116746.424</v>
      </c>
      <c r="R198" s="538">
        <v>118744.61900000001</v>
      </c>
      <c r="S198" s="535">
        <f t="shared" si="6"/>
        <v>1052969.7109999999</v>
      </c>
      <c r="T198" s="539">
        <v>1250000</v>
      </c>
      <c r="U198" s="558">
        <v>33</v>
      </c>
      <c r="V198" s="545">
        <v>44266</v>
      </c>
      <c r="W198" s="542">
        <v>44298</v>
      </c>
      <c r="X198" s="539">
        <v>1094779</v>
      </c>
      <c r="Y198" s="539">
        <v>42</v>
      </c>
      <c r="Z198" s="542">
        <v>44294</v>
      </c>
      <c r="AA198" s="542">
        <v>44313</v>
      </c>
      <c r="AB198" s="539"/>
      <c r="AC198" s="544"/>
      <c r="AD198" s="540"/>
      <c r="AE198" s="542"/>
      <c r="AF198" s="554"/>
      <c r="AG198" s="542"/>
      <c r="AH198" s="542"/>
      <c r="AI198" s="542"/>
      <c r="AJ198" s="554"/>
      <c r="AK198" s="542"/>
      <c r="AL198" s="542"/>
      <c r="AM198" s="542"/>
      <c r="AN198" s="542"/>
      <c r="AO198" s="542"/>
      <c r="AP198" s="542"/>
      <c r="AQ198" s="542"/>
      <c r="AR198" s="22">
        <f t="shared" si="7"/>
        <v>2344779</v>
      </c>
      <c r="AS198" s="546">
        <f t="shared" si="9"/>
        <v>1291809.2890000001</v>
      </c>
      <c r="AT198" s="148"/>
      <c r="AU198" s="148"/>
      <c r="AV198" s="148"/>
      <c r="AW198" s="148"/>
      <c r="AX198" s="148"/>
      <c r="AY198" s="148"/>
      <c r="AZ198" s="148"/>
      <c r="BA198" s="148"/>
      <c r="BB198" s="148"/>
      <c r="BC198" s="148"/>
      <c r="BD198" s="148"/>
      <c r="BE198" s="148"/>
      <c r="BF198" s="148"/>
      <c r="BG198" s="148"/>
      <c r="BH198" s="148"/>
      <c r="BI198" s="148"/>
      <c r="BJ198" s="148"/>
      <c r="BK198" s="148"/>
      <c r="BL198" s="148"/>
      <c r="BM198" s="148"/>
      <c r="BN198" s="148"/>
      <c r="BO198" s="148"/>
      <c r="BP198" s="148"/>
      <c r="BQ198" s="148"/>
      <c r="BR198" s="148"/>
      <c r="BS198" s="148"/>
      <c r="BT198" s="148"/>
      <c r="BU198" s="148"/>
      <c r="BV198" s="148"/>
      <c r="BW198" s="148"/>
      <c r="BX198" s="148"/>
      <c r="BY198" s="148"/>
      <c r="BZ198" s="148"/>
      <c r="CA198" s="148"/>
      <c r="CB198" s="148"/>
      <c r="CC198" s="148"/>
      <c r="CD198" s="148"/>
      <c r="CE198" s="148"/>
      <c r="CF198" s="148"/>
      <c r="CG198" s="148"/>
      <c r="CH198" s="148"/>
      <c r="CI198" s="148"/>
      <c r="CJ198" s="148"/>
      <c r="CK198" s="148"/>
      <c r="CL198" s="148"/>
      <c r="CM198" s="148"/>
      <c r="CN198" s="148"/>
      <c r="CO198" s="148"/>
      <c r="CP198" s="148"/>
      <c r="CQ198" s="148"/>
      <c r="CR198" s="148"/>
      <c r="CS198" s="148"/>
      <c r="CT198" s="148"/>
      <c r="CU198" s="148"/>
      <c r="CV198" s="148"/>
      <c r="CW198" s="148"/>
      <c r="CX198" s="148"/>
      <c r="CY198" s="148"/>
      <c r="CZ198" s="148"/>
      <c r="DA198" s="148"/>
      <c r="DB198" s="148"/>
      <c r="DC198" s="148"/>
      <c r="DD198" s="148"/>
      <c r="DE198" s="148"/>
      <c r="DF198" s="148"/>
      <c r="DG198" s="148"/>
      <c r="DH198" s="148"/>
      <c r="DI198" s="148"/>
      <c r="DJ198" s="148"/>
      <c r="DK198" s="148"/>
      <c r="DL198" s="148"/>
      <c r="DM198" s="148"/>
      <c r="DN198" s="148"/>
      <c r="DO198" s="148"/>
      <c r="DP198" s="148"/>
      <c r="DQ198" s="148"/>
      <c r="DR198" s="148"/>
      <c r="DS198" s="148"/>
      <c r="DT198" s="148"/>
      <c r="DU198" s="148"/>
      <c r="DV198" s="148"/>
      <c r="DW198" s="148"/>
      <c r="DX198" s="148"/>
      <c r="DY198" s="148"/>
      <c r="DZ198" s="148"/>
      <c r="EA198" s="148"/>
      <c r="EB198" s="148"/>
      <c r="EC198" s="148"/>
      <c r="ED198" s="148"/>
      <c r="EE198" s="148"/>
      <c r="EF198" s="148"/>
      <c r="EG198" s="148"/>
      <c r="EH198" s="148"/>
      <c r="EI198" s="148"/>
      <c r="EJ198" s="148"/>
      <c r="EK198" s="148"/>
      <c r="EL198" s="148"/>
      <c r="EM198" s="148"/>
      <c r="EN198" s="148"/>
      <c r="EO198" s="148"/>
      <c r="EP198" s="148"/>
      <c r="EQ198" s="148"/>
      <c r="ER198" s="148"/>
      <c r="ES198" s="148"/>
      <c r="ET198" s="148"/>
      <c r="EU198" s="148"/>
      <c r="EV198" s="148"/>
      <c r="EW198" s="148"/>
      <c r="EX198" s="148"/>
      <c r="EY198" s="148"/>
      <c r="EZ198" s="148"/>
      <c r="FA198" s="148"/>
      <c r="FB198" s="148"/>
      <c r="FC198" s="148"/>
      <c r="FD198" s="148"/>
      <c r="FE198" s="148"/>
      <c r="FF198" s="148"/>
      <c r="FG198" s="148"/>
      <c r="FH198" s="148"/>
      <c r="FI198" s="148"/>
      <c r="FJ198" s="148"/>
      <c r="FK198" s="148"/>
      <c r="FL198" s="148"/>
      <c r="FM198" s="148"/>
      <c r="FN198" s="148"/>
      <c r="FO198" s="148"/>
      <c r="FP198" s="148"/>
      <c r="FQ198" s="148"/>
      <c r="FR198" s="148"/>
    </row>
    <row r="199" spans="1:174" s="15" customFormat="1" ht="13.5" customHeight="1" x14ac:dyDescent="0.2">
      <c r="A199" s="148"/>
      <c r="B199" s="307">
        <v>199</v>
      </c>
      <c r="C199" s="307" t="s">
        <v>40</v>
      </c>
      <c r="D199" s="562" t="s">
        <v>1818</v>
      </c>
      <c r="E199" s="569" t="s">
        <v>1819</v>
      </c>
      <c r="F199" s="533" t="s">
        <v>45</v>
      </c>
      <c r="G199" s="533" t="s">
        <v>1411</v>
      </c>
      <c r="H199" s="553" t="s">
        <v>1412</v>
      </c>
      <c r="I199" s="534" t="s">
        <v>42</v>
      </c>
      <c r="J199" s="535">
        <v>34859</v>
      </c>
      <c r="K199" s="535">
        <v>0</v>
      </c>
      <c r="L199" s="535">
        <v>0</v>
      </c>
      <c r="M199" s="535"/>
      <c r="N199" s="535"/>
      <c r="O199" s="535"/>
      <c r="P199" s="548">
        <v>6204.7460000000001</v>
      </c>
      <c r="Q199" s="538">
        <v>6204.7460000000001</v>
      </c>
      <c r="R199" s="538"/>
      <c r="S199" s="535">
        <f t="shared" si="6"/>
        <v>12409.492</v>
      </c>
      <c r="T199" s="539">
        <v>31024</v>
      </c>
      <c r="U199" s="558">
        <v>34</v>
      </c>
      <c r="V199" s="545">
        <v>44266</v>
      </c>
      <c r="W199" s="542">
        <v>44298</v>
      </c>
      <c r="X199" s="539"/>
      <c r="Y199" s="539"/>
      <c r="Z199" s="542"/>
      <c r="AA199" s="542"/>
      <c r="AB199" s="539"/>
      <c r="AC199" s="544"/>
      <c r="AD199" s="540"/>
      <c r="AE199" s="542"/>
      <c r="AF199" s="554"/>
      <c r="AG199" s="542"/>
      <c r="AH199" s="542"/>
      <c r="AI199" s="542"/>
      <c r="AJ199" s="554"/>
      <c r="AK199" s="542"/>
      <c r="AL199" s="542"/>
      <c r="AM199" s="542"/>
      <c r="AN199" s="542"/>
      <c r="AO199" s="542"/>
      <c r="AP199" s="542"/>
      <c r="AQ199" s="542"/>
      <c r="AR199" s="22">
        <f t="shared" si="7"/>
        <v>31024</v>
      </c>
      <c r="AS199" s="546">
        <f t="shared" si="9"/>
        <v>18614.508000000002</v>
      </c>
      <c r="AT199" s="148"/>
      <c r="AU199" s="148"/>
      <c r="AV199" s="148"/>
      <c r="AW199" s="148"/>
      <c r="AX199" s="148"/>
      <c r="AY199" s="148"/>
      <c r="AZ199" s="148"/>
      <c r="BA199" s="148"/>
      <c r="BB199" s="148"/>
      <c r="BC199" s="148"/>
      <c r="BD199" s="148"/>
      <c r="BE199" s="148"/>
      <c r="BF199" s="148"/>
      <c r="BG199" s="148"/>
      <c r="BH199" s="148"/>
      <c r="BI199" s="148"/>
      <c r="BJ199" s="148"/>
      <c r="BK199" s="148"/>
      <c r="BL199" s="148"/>
      <c r="BM199" s="148"/>
      <c r="BN199" s="148"/>
      <c r="BO199" s="148"/>
      <c r="BP199" s="148"/>
      <c r="BQ199" s="148"/>
      <c r="BR199" s="148"/>
      <c r="BS199" s="148"/>
      <c r="BT199" s="148"/>
      <c r="BU199" s="148"/>
      <c r="BV199" s="148"/>
      <c r="BW199" s="148"/>
      <c r="BX199" s="148"/>
      <c r="BY199" s="148"/>
      <c r="BZ199" s="148"/>
      <c r="CA199" s="148"/>
      <c r="CB199" s="148"/>
      <c r="CC199" s="148"/>
      <c r="CD199" s="148"/>
      <c r="CE199" s="148"/>
      <c r="CF199" s="148"/>
      <c r="CG199" s="148"/>
      <c r="CH199" s="148"/>
      <c r="CI199" s="148"/>
      <c r="CJ199" s="148"/>
      <c r="CK199" s="148"/>
      <c r="CL199" s="148"/>
      <c r="CM199" s="148"/>
      <c r="CN199" s="148"/>
      <c r="CO199" s="148"/>
      <c r="CP199" s="148"/>
      <c r="CQ199" s="148"/>
      <c r="CR199" s="148"/>
      <c r="CS199" s="148"/>
      <c r="CT199" s="148"/>
      <c r="CU199" s="148"/>
      <c r="CV199" s="148"/>
      <c r="CW199" s="148"/>
      <c r="CX199" s="148"/>
      <c r="CY199" s="148"/>
      <c r="CZ199" s="148"/>
      <c r="DA199" s="148"/>
      <c r="DB199" s="148"/>
      <c r="DC199" s="148"/>
      <c r="DD199" s="148"/>
      <c r="DE199" s="148"/>
      <c r="DF199" s="148"/>
      <c r="DG199" s="148"/>
      <c r="DH199" s="148"/>
      <c r="DI199" s="148"/>
      <c r="DJ199" s="148"/>
      <c r="DK199" s="148"/>
      <c r="DL199" s="148"/>
      <c r="DM199" s="148"/>
      <c r="DN199" s="148"/>
      <c r="DO199" s="148"/>
      <c r="DP199" s="148"/>
      <c r="DQ199" s="148"/>
      <c r="DR199" s="148"/>
      <c r="DS199" s="148"/>
      <c r="DT199" s="148"/>
      <c r="DU199" s="148"/>
      <c r="DV199" s="148"/>
      <c r="DW199" s="148"/>
      <c r="DX199" s="148"/>
      <c r="DY199" s="148"/>
      <c r="DZ199" s="148"/>
      <c r="EA199" s="148"/>
      <c r="EB199" s="148"/>
      <c r="EC199" s="148"/>
      <c r="ED199" s="148"/>
      <c r="EE199" s="148"/>
      <c r="EF199" s="148"/>
      <c r="EG199" s="148"/>
      <c r="EH199" s="148"/>
      <c r="EI199" s="148"/>
      <c r="EJ199" s="148"/>
      <c r="EK199" s="148"/>
      <c r="EL199" s="148"/>
      <c r="EM199" s="148"/>
      <c r="EN199" s="148"/>
      <c r="EO199" s="148"/>
      <c r="EP199" s="148"/>
      <c r="EQ199" s="148"/>
      <c r="ER199" s="148"/>
      <c r="ES199" s="148"/>
      <c r="ET199" s="148"/>
      <c r="EU199" s="148"/>
      <c r="EV199" s="148"/>
      <c r="EW199" s="148"/>
      <c r="EX199" s="148"/>
      <c r="EY199" s="148"/>
      <c r="EZ199" s="148"/>
      <c r="FA199" s="148"/>
      <c r="FB199" s="148"/>
      <c r="FC199" s="148"/>
      <c r="FD199" s="148"/>
      <c r="FE199" s="148"/>
      <c r="FF199" s="148"/>
      <c r="FG199" s="148"/>
      <c r="FH199" s="148"/>
      <c r="FI199" s="148"/>
      <c r="FJ199" s="148"/>
      <c r="FK199" s="148"/>
      <c r="FL199" s="148"/>
      <c r="FM199" s="148"/>
      <c r="FN199" s="148"/>
      <c r="FO199" s="148"/>
      <c r="FP199" s="148"/>
      <c r="FQ199" s="148"/>
      <c r="FR199" s="148"/>
    </row>
    <row r="200" spans="1:174" s="15" customFormat="1" ht="13.5" customHeight="1" x14ac:dyDescent="0.2">
      <c r="A200" s="148"/>
      <c r="B200" s="307">
        <v>200</v>
      </c>
      <c r="C200" s="312" t="s">
        <v>38</v>
      </c>
      <c r="D200" s="562" t="s">
        <v>1820</v>
      </c>
      <c r="E200" s="569" t="s">
        <v>1821</v>
      </c>
      <c r="F200" s="533" t="s">
        <v>204</v>
      </c>
      <c r="G200" s="533" t="s">
        <v>1411</v>
      </c>
      <c r="H200" s="553" t="s">
        <v>1611</v>
      </c>
      <c r="I200" s="534" t="s">
        <v>42</v>
      </c>
      <c r="J200" s="535">
        <v>19491</v>
      </c>
      <c r="K200" s="535">
        <v>8223</v>
      </c>
      <c r="L200" s="535">
        <v>0</v>
      </c>
      <c r="M200" s="535"/>
      <c r="N200" s="535"/>
      <c r="O200" s="535"/>
      <c r="P200" s="547"/>
      <c r="Q200" s="538"/>
      <c r="R200" s="538"/>
      <c r="S200" s="535">
        <f t="shared" si="6"/>
        <v>0</v>
      </c>
      <c r="T200" s="539">
        <v>1</v>
      </c>
      <c r="U200" s="558">
        <v>40</v>
      </c>
      <c r="V200" s="545">
        <v>44294</v>
      </c>
      <c r="W200" s="542">
        <v>44312</v>
      </c>
      <c r="X200" s="539"/>
      <c r="Y200" s="539"/>
      <c r="Z200" s="542"/>
      <c r="AA200" s="542"/>
      <c r="AB200" s="539"/>
      <c r="AC200" s="544"/>
      <c r="AD200" s="540"/>
      <c r="AE200" s="542"/>
      <c r="AF200" s="554"/>
      <c r="AG200" s="542"/>
      <c r="AH200" s="542"/>
      <c r="AI200" s="542"/>
      <c r="AJ200" s="554"/>
      <c r="AK200" s="542"/>
      <c r="AL200" s="542"/>
      <c r="AM200" s="542"/>
      <c r="AN200" s="542"/>
      <c r="AO200" s="542"/>
      <c r="AP200" s="542"/>
      <c r="AQ200" s="542"/>
      <c r="AR200" s="22">
        <f t="shared" si="7"/>
        <v>1</v>
      </c>
      <c r="AS200" s="546">
        <f t="shared" si="9"/>
        <v>1</v>
      </c>
      <c r="AT200" s="148"/>
      <c r="AU200" s="148"/>
      <c r="AV200" s="148"/>
      <c r="AW200" s="148"/>
      <c r="AX200" s="148"/>
      <c r="AY200" s="148"/>
      <c r="AZ200" s="148"/>
      <c r="BA200" s="148"/>
      <c r="BB200" s="148"/>
      <c r="BC200" s="148"/>
      <c r="BD200" s="148"/>
      <c r="BE200" s="148"/>
      <c r="BF200" s="148"/>
      <c r="BG200" s="148"/>
      <c r="BH200" s="148"/>
      <c r="BI200" s="148"/>
      <c r="BJ200" s="148"/>
      <c r="BK200" s="148"/>
      <c r="BL200" s="148"/>
      <c r="BM200" s="148"/>
      <c r="BN200" s="148"/>
      <c r="BO200" s="148"/>
      <c r="BP200" s="148"/>
      <c r="BQ200" s="148"/>
      <c r="BR200" s="148"/>
      <c r="BS200" s="148"/>
      <c r="BT200" s="148"/>
      <c r="BU200" s="148"/>
      <c r="BV200" s="148"/>
      <c r="BW200" s="148"/>
      <c r="BX200" s="148"/>
      <c r="BY200" s="148"/>
      <c r="BZ200" s="148"/>
      <c r="CA200" s="148"/>
      <c r="CB200" s="148"/>
      <c r="CC200" s="148"/>
      <c r="CD200" s="148"/>
      <c r="CE200" s="148"/>
      <c r="CF200" s="148"/>
      <c r="CG200" s="148"/>
      <c r="CH200" s="148"/>
      <c r="CI200" s="148"/>
      <c r="CJ200" s="148"/>
      <c r="CK200" s="148"/>
      <c r="CL200" s="148"/>
      <c r="CM200" s="148"/>
      <c r="CN200" s="148"/>
      <c r="CO200" s="148"/>
      <c r="CP200" s="148"/>
      <c r="CQ200" s="148"/>
      <c r="CR200" s="148"/>
      <c r="CS200" s="148"/>
      <c r="CT200" s="148"/>
      <c r="CU200" s="148"/>
      <c r="CV200" s="148"/>
      <c r="CW200" s="148"/>
      <c r="CX200" s="148"/>
      <c r="CY200" s="148"/>
      <c r="CZ200" s="148"/>
      <c r="DA200" s="148"/>
      <c r="DB200" s="148"/>
      <c r="DC200" s="148"/>
      <c r="DD200" s="148"/>
      <c r="DE200" s="148"/>
      <c r="DF200" s="148"/>
      <c r="DG200" s="148"/>
      <c r="DH200" s="148"/>
      <c r="DI200" s="148"/>
      <c r="DJ200" s="148"/>
      <c r="DK200" s="148"/>
      <c r="DL200" s="148"/>
      <c r="DM200" s="148"/>
      <c r="DN200" s="148"/>
      <c r="DO200" s="148"/>
      <c r="DP200" s="148"/>
      <c r="DQ200" s="148"/>
      <c r="DR200" s="148"/>
      <c r="DS200" s="148"/>
      <c r="DT200" s="148"/>
      <c r="DU200" s="148"/>
      <c r="DV200" s="148"/>
      <c r="DW200" s="148"/>
      <c r="DX200" s="148"/>
      <c r="DY200" s="148"/>
      <c r="DZ200" s="148"/>
      <c r="EA200" s="148"/>
      <c r="EB200" s="148"/>
      <c r="EC200" s="148"/>
      <c r="ED200" s="148"/>
      <c r="EE200" s="148"/>
      <c r="EF200" s="148"/>
      <c r="EG200" s="148"/>
      <c r="EH200" s="148"/>
      <c r="EI200" s="148"/>
      <c r="EJ200" s="148"/>
      <c r="EK200" s="148"/>
      <c r="EL200" s="148"/>
      <c r="EM200" s="148"/>
      <c r="EN200" s="148"/>
      <c r="EO200" s="148"/>
      <c r="EP200" s="148"/>
      <c r="EQ200" s="148"/>
      <c r="ER200" s="148"/>
      <c r="ES200" s="148"/>
      <c r="ET200" s="148"/>
      <c r="EU200" s="148"/>
      <c r="EV200" s="148"/>
      <c r="EW200" s="148"/>
      <c r="EX200" s="148"/>
      <c r="EY200" s="148"/>
      <c r="EZ200" s="148"/>
      <c r="FA200" s="148"/>
      <c r="FB200" s="148"/>
      <c r="FC200" s="148"/>
      <c r="FD200" s="148"/>
      <c r="FE200" s="148"/>
      <c r="FF200" s="148"/>
      <c r="FG200" s="148"/>
      <c r="FH200" s="148"/>
      <c r="FI200" s="148"/>
      <c r="FJ200" s="148"/>
      <c r="FK200" s="148"/>
      <c r="FL200" s="148"/>
      <c r="FM200" s="148"/>
      <c r="FN200" s="148"/>
      <c r="FO200" s="148"/>
      <c r="FP200" s="148"/>
      <c r="FQ200" s="148"/>
      <c r="FR200" s="148"/>
    </row>
    <row r="201" spans="1:174" s="15" customFormat="1" ht="13.5" customHeight="1" x14ac:dyDescent="0.2">
      <c r="A201" s="148"/>
      <c r="B201" s="307">
        <v>201</v>
      </c>
      <c r="C201" s="307" t="s">
        <v>38</v>
      </c>
      <c r="D201" s="562" t="s">
        <v>1822</v>
      </c>
      <c r="E201" s="569" t="s">
        <v>1823</v>
      </c>
      <c r="F201" s="533" t="s">
        <v>45</v>
      </c>
      <c r="G201" s="533" t="s">
        <v>1411</v>
      </c>
      <c r="H201" s="553" t="s">
        <v>1824</v>
      </c>
      <c r="I201" s="534" t="s">
        <v>42</v>
      </c>
      <c r="J201" s="535">
        <v>18378</v>
      </c>
      <c r="K201" s="535">
        <v>17739</v>
      </c>
      <c r="L201" s="535">
        <v>0</v>
      </c>
      <c r="M201" s="535"/>
      <c r="N201" s="535"/>
      <c r="O201" s="535"/>
      <c r="P201" s="547"/>
      <c r="Q201" s="538"/>
      <c r="R201" s="538"/>
      <c r="S201" s="535">
        <f t="shared" si="6"/>
        <v>0</v>
      </c>
      <c r="T201" s="539">
        <v>1</v>
      </c>
      <c r="U201" s="558">
        <v>40</v>
      </c>
      <c r="V201" s="545">
        <v>44294</v>
      </c>
      <c r="W201" s="542">
        <v>44312</v>
      </c>
      <c r="X201" s="539"/>
      <c r="Y201" s="539"/>
      <c r="Z201" s="542"/>
      <c r="AA201" s="542"/>
      <c r="AB201" s="539"/>
      <c r="AC201" s="544"/>
      <c r="AD201" s="540"/>
      <c r="AE201" s="542"/>
      <c r="AF201" s="554"/>
      <c r="AG201" s="542"/>
      <c r="AH201" s="542"/>
      <c r="AI201" s="542"/>
      <c r="AJ201" s="554"/>
      <c r="AK201" s="542"/>
      <c r="AL201" s="542"/>
      <c r="AM201" s="542"/>
      <c r="AN201" s="542"/>
      <c r="AO201" s="542"/>
      <c r="AP201" s="542"/>
      <c r="AQ201" s="542"/>
      <c r="AR201" s="22">
        <f t="shared" si="7"/>
        <v>1</v>
      </c>
      <c r="AS201" s="546">
        <f>+AR201-S201</f>
        <v>1</v>
      </c>
      <c r="AT201" s="148"/>
      <c r="AU201" s="148"/>
      <c r="AV201" s="148"/>
      <c r="AW201" s="148"/>
      <c r="AX201" s="148"/>
      <c r="AY201" s="148"/>
      <c r="AZ201" s="148"/>
      <c r="BA201" s="148"/>
      <c r="BB201" s="148"/>
      <c r="BC201" s="148"/>
      <c r="BD201" s="148"/>
      <c r="BE201" s="148"/>
      <c r="BF201" s="148"/>
      <c r="BG201" s="148"/>
      <c r="BH201" s="148"/>
      <c r="BI201" s="148"/>
      <c r="BJ201" s="148"/>
      <c r="BK201" s="148"/>
      <c r="BL201" s="148"/>
      <c r="BM201" s="148"/>
      <c r="BN201" s="148"/>
      <c r="BO201" s="148"/>
      <c r="BP201" s="148"/>
      <c r="BQ201" s="148"/>
      <c r="BR201" s="148"/>
      <c r="BS201" s="148"/>
      <c r="BT201" s="148"/>
      <c r="BU201" s="148"/>
      <c r="BV201" s="148"/>
      <c r="BW201" s="148"/>
      <c r="BX201" s="148"/>
      <c r="BY201" s="148"/>
      <c r="BZ201" s="148"/>
      <c r="CA201" s="148"/>
      <c r="CB201" s="148"/>
      <c r="CC201" s="148"/>
      <c r="CD201" s="148"/>
      <c r="CE201" s="148"/>
      <c r="CF201" s="148"/>
      <c r="CG201" s="148"/>
      <c r="CH201" s="148"/>
      <c r="CI201" s="148"/>
      <c r="CJ201" s="148"/>
      <c r="CK201" s="148"/>
      <c r="CL201" s="148"/>
      <c r="CM201" s="148"/>
      <c r="CN201" s="148"/>
      <c r="CO201" s="148"/>
      <c r="CP201" s="148"/>
      <c r="CQ201" s="148"/>
      <c r="CR201" s="148"/>
      <c r="CS201" s="148"/>
      <c r="CT201" s="148"/>
      <c r="CU201" s="148"/>
      <c r="CV201" s="148"/>
      <c r="CW201" s="148"/>
      <c r="CX201" s="148"/>
      <c r="CY201" s="148"/>
      <c r="CZ201" s="148"/>
      <c r="DA201" s="148"/>
      <c r="DB201" s="148"/>
      <c r="DC201" s="148"/>
      <c r="DD201" s="148"/>
      <c r="DE201" s="148"/>
      <c r="DF201" s="148"/>
      <c r="DG201" s="148"/>
      <c r="DH201" s="148"/>
      <c r="DI201" s="148"/>
      <c r="DJ201" s="148"/>
      <c r="DK201" s="148"/>
      <c r="DL201" s="148"/>
      <c r="DM201" s="148"/>
      <c r="DN201" s="148"/>
      <c r="DO201" s="148"/>
      <c r="DP201" s="148"/>
      <c r="DQ201" s="148"/>
      <c r="DR201" s="148"/>
      <c r="DS201" s="148"/>
      <c r="DT201" s="148"/>
      <c r="DU201" s="148"/>
      <c r="DV201" s="148"/>
      <c r="DW201" s="148"/>
      <c r="DX201" s="148"/>
      <c r="DY201" s="148"/>
      <c r="DZ201" s="148"/>
      <c r="EA201" s="148"/>
      <c r="EB201" s="148"/>
      <c r="EC201" s="148"/>
      <c r="ED201" s="148"/>
      <c r="EE201" s="148"/>
      <c r="EF201" s="148"/>
      <c r="EG201" s="148"/>
      <c r="EH201" s="148"/>
      <c r="EI201" s="148"/>
      <c r="EJ201" s="148"/>
      <c r="EK201" s="148"/>
      <c r="EL201" s="148"/>
      <c r="EM201" s="148"/>
      <c r="EN201" s="148"/>
      <c r="EO201" s="148"/>
      <c r="EP201" s="148"/>
      <c r="EQ201" s="148"/>
      <c r="ER201" s="148"/>
      <c r="ES201" s="148"/>
      <c r="ET201" s="148"/>
      <c r="EU201" s="148"/>
      <c r="EV201" s="148"/>
      <c r="EW201" s="148"/>
      <c r="EX201" s="148"/>
      <c r="EY201" s="148"/>
      <c r="EZ201" s="148"/>
      <c r="FA201" s="148"/>
      <c r="FB201" s="148"/>
      <c r="FC201" s="148"/>
      <c r="FD201" s="148"/>
      <c r="FE201" s="148"/>
      <c r="FF201" s="148"/>
      <c r="FG201" s="148"/>
      <c r="FH201" s="148"/>
      <c r="FI201" s="148"/>
      <c r="FJ201" s="148"/>
      <c r="FK201" s="148"/>
      <c r="FL201" s="148"/>
      <c r="FM201" s="148"/>
      <c r="FN201" s="148"/>
      <c r="FO201" s="148"/>
      <c r="FP201" s="148"/>
      <c r="FQ201" s="148"/>
      <c r="FR201" s="148"/>
    </row>
    <row r="202" spans="1:174" s="15" customFormat="1" ht="13.5" customHeight="1" x14ac:dyDescent="0.2">
      <c r="A202" s="148"/>
      <c r="B202" s="307">
        <v>202</v>
      </c>
      <c r="C202" s="312" t="s">
        <v>38</v>
      </c>
      <c r="D202" s="562" t="s">
        <v>1825</v>
      </c>
      <c r="E202" s="569" t="s">
        <v>1826</v>
      </c>
      <c r="F202" s="533" t="s">
        <v>45</v>
      </c>
      <c r="G202" s="533" t="s">
        <v>1411</v>
      </c>
      <c r="H202" s="553" t="s">
        <v>1603</v>
      </c>
      <c r="I202" s="534" t="s">
        <v>42</v>
      </c>
      <c r="J202" s="535">
        <v>21010</v>
      </c>
      <c r="K202" s="535">
        <v>4714</v>
      </c>
      <c r="L202" s="535">
        <v>0</v>
      </c>
      <c r="M202" s="535"/>
      <c r="N202" s="535"/>
      <c r="O202" s="535"/>
      <c r="P202" s="547"/>
      <c r="Q202" s="538"/>
      <c r="R202" s="538"/>
      <c r="S202" s="535">
        <f t="shared" si="6"/>
        <v>0</v>
      </c>
      <c r="T202" s="539">
        <v>1</v>
      </c>
      <c r="U202" s="558">
        <v>40</v>
      </c>
      <c r="V202" s="545">
        <v>44294</v>
      </c>
      <c r="W202" s="542">
        <v>44312</v>
      </c>
      <c r="X202" s="539"/>
      <c r="Y202" s="539"/>
      <c r="Z202" s="542"/>
      <c r="AA202" s="542"/>
      <c r="AB202" s="539"/>
      <c r="AC202" s="544"/>
      <c r="AD202" s="540"/>
      <c r="AE202" s="542"/>
      <c r="AF202" s="554"/>
      <c r="AG202" s="542"/>
      <c r="AH202" s="542"/>
      <c r="AI202" s="542"/>
      <c r="AJ202" s="554"/>
      <c r="AK202" s="542"/>
      <c r="AL202" s="542"/>
      <c r="AM202" s="542"/>
      <c r="AN202" s="542"/>
      <c r="AO202" s="542"/>
      <c r="AP202" s="542"/>
      <c r="AQ202" s="542"/>
      <c r="AR202" s="22">
        <f t="shared" si="7"/>
        <v>1</v>
      </c>
      <c r="AS202" s="546">
        <f t="shared" si="9"/>
        <v>1</v>
      </c>
      <c r="AT202" s="148"/>
      <c r="AU202" s="148"/>
      <c r="AV202" s="148"/>
      <c r="AW202" s="148"/>
      <c r="AX202" s="148"/>
      <c r="AY202" s="148"/>
      <c r="AZ202" s="148"/>
      <c r="BA202" s="148"/>
      <c r="BB202" s="148"/>
      <c r="BC202" s="148"/>
      <c r="BD202" s="148"/>
      <c r="BE202" s="148"/>
      <c r="BF202" s="148"/>
      <c r="BG202" s="148"/>
      <c r="BH202" s="148"/>
      <c r="BI202" s="148"/>
      <c r="BJ202" s="148"/>
      <c r="BK202" s="148"/>
      <c r="BL202" s="148"/>
      <c r="BM202" s="148"/>
      <c r="BN202" s="148"/>
      <c r="BO202" s="148"/>
      <c r="BP202" s="148"/>
      <c r="BQ202" s="148"/>
      <c r="BR202" s="148"/>
      <c r="BS202" s="148"/>
      <c r="BT202" s="148"/>
      <c r="BU202" s="148"/>
      <c r="BV202" s="148"/>
      <c r="BW202" s="148"/>
      <c r="BX202" s="148"/>
      <c r="BY202" s="148"/>
      <c r="BZ202" s="148"/>
      <c r="CA202" s="148"/>
      <c r="CB202" s="148"/>
      <c r="CC202" s="148"/>
      <c r="CD202" s="148"/>
      <c r="CE202" s="148"/>
      <c r="CF202" s="148"/>
      <c r="CG202" s="148"/>
      <c r="CH202" s="148"/>
      <c r="CI202" s="148"/>
      <c r="CJ202" s="148"/>
      <c r="CK202" s="148"/>
      <c r="CL202" s="148"/>
      <c r="CM202" s="148"/>
      <c r="CN202" s="148"/>
      <c r="CO202" s="148"/>
      <c r="CP202" s="148"/>
      <c r="CQ202" s="148"/>
      <c r="CR202" s="148"/>
      <c r="CS202" s="148"/>
      <c r="CT202" s="148"/>
      <c r="CU202" s="148"/>
      <c r="CV202" s="148"/>
      <c r="CW202" s="148"/>
      <c r="CX202" s="148"/>
      <c r="CY202" s="148"/>
      <c r="CZ202" s="148"/>
      <c r="DA202" s="148"/>
      <c r="DB202" s="148"/>
      <c r="DC202" s="148"/>
      <c r="DD202" s="148"/>
      <c r="DE202" s="148"/>
      <c r="DF202" s="148"/>
      <c r="DG202" s="148"/>
      <c r="DH202" s="148"/>
      <c r="DI202" s="148"/>
      <c r="DJ202" s="148"/>
      <c r="DK202" s="148"/>
      <c r="DL202" s="148"/>
      <c r="DM202" s="148"/>
      <c r="DN202" s="148"/>
      <c r="DO202" s="148"/>
      <c r="DP202" s="148"/>
      <c r="DQ202" s="148"/>
      <c r="DR202" s="148"/>
      <c r="DS202" s="148"/>
      <c r="DT202" s="148"/>
      <c r="DU202" s="148"/>
      <c r="DV202" s="148"/>
      <c r="DW202" s="148"/>
      <c r="DX202" s="148"/>
      <c r="DY202" s="148"/>
      <c r="DZ202" s="148"/>
      <c r="EA202" s="148"/>
      <c r="EB202" s="148"/>
      <c r="EC202" s="148"/>
      <c r="ED202" s="148"/>
      <c r="EE202" s="148"/>
      <c r="EF202" s="148"/>
      <c r="EG202" s="148"/>
      <c r="EH202" s="148"/>
      <c r="EI202" s="148"/>
      <c r="EJ202" s="148"/>
      <c r="EK202" s="148"/>
      <c r="EL202" s="148"/>
      <c r="EM202" s="148"/>
      <c r="EN202" s="148"/>
      <c r="EO202" s="148"/>
      <c r="EP202" s="148"/>
      <c r="EQ202" s="148"/>
      <c r="ER202" s="148"/>
      <c r="ES202" s="148"/>
      <c r="ET202" s="148"/>
      <c r="EU202" s="148"/>
      <c r="EV202" s="148"/>
      <c r="EW202" s="148"/>
      <c r="EX202" s="148"/>
      <c r="EY202" s="148"/>
      <c r="EZ202" s="148"/>
      <c r="FA202" s="148"/>
      <c r="FB202" s="148"/>
      <c r="FC202" s="148"/>
      <c r="FD202" s="148"/>
      <c r="FE202" s="148"/>
      <c r="FF202" s="148"/>
      <c r="FG202" s="148"/>
      <c r="FH202" s="148"/>
      <c r="FI202" s="148"/>
      <c r="FJ202" s="148"/>
      <c r="FK202" s="148"/>
      <c r="FL202" s="148"/>
      <c r="FM202" s="148"/>
      <c r="FN202" s="148"/>
      <c r="FO202" s="148"/>
      <c r="FP202" s="148"/>
      <c r="FQ202" s="148"/>
      <c r="FR202" s="148"/>
    </row>
    <row r="203" spans="1:174" s="15" customFormat="1" ht="13.5" customHeight="1" x14ac:dyDescent="0.2">
      <c r="A203" s="148"/>
      <c r="B203" s="307">
        <v>203</v>
      </c>
      <c r="C203" s="307" t="s">
        <v>38</v>
      </c>
      <c r="D203" s="562" t="s">
        <v>1827</v>
      </c>
      <c r="E203" s="569" t="s">
        <v>1828</v>
      </c>
      <c r="F203" s="533" t="s">
        <v>204</v>
      </c>
      <c r="G203" s="533" t="s">
        <v>1411</v>
      </c>
      <c r="H203" s="553" t="s">
        <v>1603</v>
      </c>
      <c r="I203" s="534" t="s">
        <v>42</v>
      </c>
      <c r="J203" s="535">
        <v>19037</v>
      </c>
      <c r="K203" s="535">
        <v>8415</v>
      </c>
      <c r="L203" s="535">
        <v>0</v>
      </c>
      <c r="M203" s="535"/>
      <c r="N203" s="535"/>
      <c r="O203" s="535"/>
      <c r="P203" s="547"/>
      <c r="Q203" s="538"/>
      <c r="R203" s="538"/>
      <c r="S203" s="535">
        <f t="shared" si="6"/>
        <v>0</v>
      </c>
      <c r="T203" s="539">
        <v>1</v>
      </c>
      <c r="U203" s="558">
        <v>40</v>
      </c>
      <c r="V203" s="545">
        <v>44294</v>
      </c>
      <c r="W203" s="542">
        <v>44312</v>
      </c>
      <c r="X203" s="539"/>
      <c r="Y203" s="539"/>
      <c r="Z203" s="542"/>
      <c r="AA203" s="542"/>
      <c r="AB203" s="539"/>
      <c r="AC203" s="544"/>
      <c r="AD203" s="540"/>
      <c r="AE203" s="542"/>
      <c r="AF203" s="554"/>
      <c r="AG203" s="542"/>
      <c r="AH203" s="542"/>
      <c r="AI203" s="542"/>
      <c r="AJ203" s="554"/>
      <c r="AK203" s="539"/>
      <c r="AL203" s="542"/>
      <c r="AM203" s="542"/>
      <c r="AN203" s="542"/>
      <c r="AO203" s="542"/>
      <c r="AP203" s="542"/>
      <c r="AQ203" s="542"/>
      <c r="AR203" s="22">
        <f t="shared" si="7"/>
        <v>1</v>
      </c>
      <c r="AS203" s="546">
        <f t="shared" si="9"/>
        <v>1</v>
      </c>
      <c r="AT203" s="148"/>
      <c r="AU203" s="148"/>
      <c r="AV203" s="148"/>
      <c r="AW203" s="148"/>
      <c r="AX203" s="148"/>
      <c r="AY203" s="148"/>
      <c r="AZ203" s="148"/>
      <c r="BA203" s="148"/>
      <c r="BB203" s="148"/>
      <c r="BC203" s="148"/>
      <c r="BD203" s="148"/>
      <c r="BE203" s="148"/>
      <c r="BF203" s="148"/>
      <c r="BG203" s="148"/>
      <c r="BH203" s="148"/>
      <c r="BI203" s="148"/>
      <c r="BJ203" s="148"/>
      <c r="BK203" s="148"/>
      <c r="BL203" s="148"/>
      <c r="BM203" s="148"/>
      <c r="BN203" s="148"/>
      <c r="BO203" s="148"/>
      <c r="BP203" s="148"/>
      <c r="BQ203" s="148"/>
      <c r="BR203" s="148"/>
      <c r="BS203" s="148"/>
      <c r="BT203" s="148"/>
      <c r="BU203" s="148"/>
      <c r="BV203" s="148"/>
      <c r="BW203" s="148"/>
      <c r="BX203" s="148"/>
      <c r="BY203" s="148"/>
      <c r="BZ203" s="148"/>
      <c r="CA203" s="148"/>
      <c r="CB203" s="148"/>
      <c r="CC203" s="148"/>
      <c r="CD203" s="148"/>
      <c r="CE203" s="148"/>
      <c r="CF203" s="148"/>
      <c r="CG203" s="148"/>
      <c r="CH203" s="148"/>
      <c r="CI203" s="148"/>
      <c r="CJ203" s="148"/>
      <c r="CK203" s="148"/>
      <c r="CL203" s="148"/>
      <c r="CM203" s="148"/>
      <c r="CN203" s="148"/>
      <c r="CO203" s="148"/>
      <c r="CP203" s="148"/>
      <c r="CQ203" s="148"/>
      <c r="CR203" s="148"/>
      <c r="CS203" s="148"/>
      <c r="CT203" s="148"/>
      <c r="CU203" s="148"/>
      <c r="CV203" s="148"/>
      <c r="CW203" s="148"/>
      <c r="CX203" s="148"/>
      <c r="CY203" s="148"/>
      <c r="CZ203" s="148"/>
      <c r="DA203" s="148"/>
      <c r="DB203" s="148"/>
      <c r="DC203" s="148"/>
      <c r="DD203" s="148"/>
      <c r="DE203" s="148"/>
      <c r="DF203" s="148"/>
      <c r="DG203" s="148"/>
      <c r="DH203" s="148"/>
      <c r="DI203" s="148"/>
      <c r="DJ203" s="148"/>
      <c r="DK203" s="148"/>
      <c r="DL203" s="148"/>
      <c r="DM203" s="148"/>
      <c r="DN203" s="148"/>
      <c r="DO203" s="148"/>
      <c r="DP203" s="148"/>
      <c r="DQ203" s="148"/>
      <c r="DR203" s="148"/>
      <c r="DS203" s="148"/>
      <c r="DT203" s="148"/>
      <c r="DU203" s="148"/>
      <c r="DV203" s="148"/>
      <c r="DW203" s="148"/>
      <c r="DX203" s="148"/>
      <c r="DY203" s="148"/>
      <c r="DZ203" s="148"/>
      <c r="EA203" s="148"/>
      <c r="EB203" s="148"/>
      <c r="EC203" s="148"/>
      <c r="ED203" s="148"/>
      <c r="EE203" s="148"/>
      <c r="EF203" s="148"/>
      <c r="EG203" s="148"/>
      <c r="EH203" s="148"/>
      <c r="EI203" s="148"/>
      <c r="EJ203" s="148"/>
      <c r="EK203" s="148"/>
      <c r="EL203" s="148"/>
      <c r="EM203" s="148"/>
      <c r="EN203" s="148"/>
      <c r="EO203" s="148"/>
      <c r="EP203" s="148"/>
      <c r="EQ203" s="148"/>
      <c r="ER203" s="148"/>
      <c r="ES203" s="148"/>
      <c r="ET203" s="148"/>
      <c r="EU203" s="148"/>
      <c r="EV203" s="148"/>
      <c r="EW203" s="148"/>
      <c r="EX203" s="148"/>
      <c r="EY203" s="148"/>
      <c r="EZ203" s="148"/>
      <c r="FA203" s="148"/>
      <c r="FB203" s="148"/>
      <c r="FC203" s="148"/>
      <c r="FD203" s="148"/>
      <c r="FE203" s="148"/>
      <c r="FF203" s="148"/>
      <c r="FG203" s="148"/>
      <c r="FH203" s="148"/>
      <c r="FI203" s="148"/>
      <c r="FJ203" s="148"/>
      <c r="FK203" s="148"/>
      <c r="FL203" s="148"/>
      <c r="FM203" s="148"/>
      <c r="FN203" s="148"/>
      <c r="FO203" s="148"/>
      <c r="FP203" s="148"/>
      <c r="FQ203" s="148"/>
      <c r="FR203" s="148"/>
    </row>
    <row r="204" spans="1:174" s="15" customFormat="1" ht="13.5" customHeight="1" x14ac:dyDescent="0.2">
      <c r="A204" s="148"/>
      <c r="B204" s="307">
        <v>204</v>
      </c>
      <c r="C204" s="312" t="s">
        <v>38</v>
      </c>
      <c r="D204" s="562" t="s">
        <v>1829</v>
      </c>
      <c r="E204" s="569" t="s">
        <v>1830</v>
      </c>
      <c r="F204" s="533" t="s">
        <v>45</v>
      </c>
      <c r="G204" s="533" t="s">
        <v>1411</v>
      </c>
      <c r="H204" s="553" t="s">
        <v>1479</v>
      </c>
      <c r="I204" s="534" t="s">
        <v>42</v>
      </c>
      <c r="J204" s="535">
        <v>514343</v>
      </c>
      <c r="K204" s="535">
        <v>507683</v>
      </c>
      <c r="L204" s="535">
        <v>0</v>
      </c>
      <c r="M204" s="535"/>
      <c r="N204" s="535"/>
      <c r="O204" s="535"/>
      <c r="P204" s="547"/>
      <c r="Q204" s="538"/>
      <c r="R204" s="538"/>
      <c r="S204" s="535">
        <f t="shared" si="6"/>
        <v>0</v>
      </c>
      <c r="T204" s="539">
        <v>1</v>
      </c>
      <c r="U204" s="558">
        <v>40</v>
      </c>
      <c r="V204" s="545">
        <v>44294</v>
      </c>
      <c r="W204" s="542">
        <v>44312</v>
      </c>
      <c r="X204" s="539"/>
      <c r="Y204" s="539"/>
      <c r="Z204" s="542"/>
      <c r="AA204" s="542"/>
      <c r="AB204" s="539"/>
      <c r="AC204" s="544"/>
      <c r="AD204" s="540"/>
      <c r="AE204" s="542"/>
      <c r="AF204" s="554"/>
      <c r="AG204" s="542"/>
      <c r="AH204" s="542"/>
      <c r="AI204" s="542"/>
      <c r="AJ204" s="554"/>
      <c r="AK204" s="539"/>
      <c r="AL204" s="542"/>
      <c r="AM204" s="542"/>
      <c r="AN204" s="542"/>
      <c r="AO204" s="542"/>
      <c r="AP204" s="542"/>
      <c r="AQ204" s="542"/>
      <c r="AR204" s="22">
        <f t="shared" si="7"/>
        <v>1</v>
      </c>
      <c r="AS204" s="546">
        <f t="shared" si="9"/>
        <v>1</v>
      </c>
      <c r="AT204" s="148"/>
      <c r="AU204" s="148"/>
      <c r="AV204" s="148"/>
      <c r="AW204" s="148"/>
      <c r="AX204" s="148"/>
      <c r="AY204" s="148"/>
      <c r="AZ204" s="148"/>
      <c r="BA204" s="148"/>
      <c r="BB204" s="148"/>
      <c r="BC204" s="148"/>
      <c r="BD204" s="148"/>
      <c r="BE204" s="148"/>
      <c r="BF204" s="148"/>
      <c r="BG204" s="148"/>
      <c r="BH204" s="148"/>
      <c r="BI204" s="148"/>
      <c r="BJ204" s="148"/>
      <c r="BK204" s="148"/>
      <c r="BL204" s="148"/>
      <c r="BM204" s="148"/>
      <c r="BN204" s="148"/>
      <c r="BO204" s="148"/>
      <c r="BP204" s="148"/>
      <c r="BQ204" s="148"/>
      <c r="BR204" s="148"/>
      <c r="BS204" s="148"/>
      <c r="BT204" s="148"/>
      <c r="BU204" s="148"/>
      <c r="BV204" s="148"/>
      <c r="BW204" s="148"/>
      <c r="BX204" s="148"/>
      <c r="BY204" s="148"/>
      <c r="BZ204" s="148"/>
      <c r="CA204" s="148"/>
      <c r="CB204" s="148"/>
      <c r="CC204" s="148"/>
      <c r="CD204" s="148"/>
      <c r="CE204" s="148"/>
      <c r="CF204" s="148"/>
      <c r="CG204" s="148"/>
      <c r="CH204" s="148"/>
      <c r="CI204" s="148"/>
      <c r="CJ204" s="148"/>
      <c r="CK204" s="148"/>
      <c r="CL204" s="148"/>
      <c r="CM204" s="148"/>
      <c r="CN204" s="148"/>
      <c r="CO204" s="148"/>
      <c r="CP204" s="148"/>
      <c r="CQ204" s="148"/>
      <c r="CR204" s="148"/>
      <c r="CS204" s="148"/>
      <c r="CT204" s="148"/>
      <c r="CU204" s="148"/>
      <c r="CV204" s="148"/>
      <c r="CW204" s="148"/>
      <c r="CX204" s="148"/>
      <c r="CY204" s="148"/>
      <c r="CZ204" s="148"/>
      <c r="DA204" s="148"/>
      <c r="DB204" s="148"/>
      <c r="DC204" s="148"/>
      <c r="DD204" s="148"/>
      <c r="DE204" s="148"/>
      <c r="DF204" s="148"/>
      <c r="DG204" s="148"/>
      <c r="DH204" s="148"/>
      <c r="DI204" s="148"/>
      <c r="DJ204" s="148"/>
      <c r="DK204" s="148"/>
      <c r="DL204" s="148"/>
      <c r="DM204" s="148"/>
      <c r="DN204" s="148"/>
      <c r="DO204" s="148"/>
      <c r="DP204" s="148"/>
      <c r="DQ204" s="148"/>
      <c r="DR204" s="148"/>
      <c r="DS204" s="148"/>
      <c r="DT204" s="148"/>
      <c r="DU204" s="148"/>
      <c r="DV204" s="148"/>
      <c r="DW204" s="148"/>
      <c r="DX204" s="148"/>
      <c r="DY204" s="148"/>
      <c r="DZ204" s="148"/>
      <c r="EA204" s="148"/>
      <c r="EB204" s="148"/>
      <c r="EC204" s="148"/>
      <c r="ED204" s="148"/>
      <c r="EE204" s="148"/>
      <c r="EF204" s="148"/>
      <c r="EG204" s="148"/>
      <c r="EH204" s="148"/>
      <c r="EI204" s="148"/>
      <c r="EJ204" s="148"/>
      <c r="EK204" s="148"/>
      <c r="EL204" s="148"/>
      <c r="EM204" s="148"/>
      <c r="EN204" s="148"/>
      <c r="EO204" s="148"/>
      <c r="EP204" s="148"/>
      <c r="EQ204" s="148"/>
      <c r="ER204" s="148"/>
      <c r="ES204" s="148"/>
      <c r="ET204" s="148"/>
      <c r="EU204" s="148"/>
      <c r="EV204" s="148"/>
      <c r="EW204" s="148"/>
      <c r="EX204" s="148"/>
      <c r="EY204" s="148"/>
      <c r="EZ204" s="148"/>
      <c r="FA204" s="148"/>
      <c r="FB204" s="148"/>
      <c r="FC204" s="148"/>
      <c r="FD204" s="148"/>
      <c r="FE204" s="148"/>
      <c r="FF204" s="148"/>
      <c r="FG204" s="148"/>
      <c r="FH204" s="148"/>
      <c r="FI204" s="148"/>
      <c r="FJ204" s="148"/>
      <c r="FK204" s="148"/>
      <c r="FL204" s="148"/>
      <c r="FM204" s="148"/>
      <c r="FN204" s="148"/>
      <c r="FO204" s="148"/>
      <c r="FP204" s="148"/>
      <c r="FQ204" s="148"/>
      <c r="FR204" s="148"/>
    </row>
    <row r="205" spans="1:174" s="15" customFormat="1" ht="13.5" customHeight="1" x14ac:dyDescent="0.2">
      <c r="A205" s="148"/>
      <c r="B205" s="307">
        <v>205</v>
      </c>
      <c r="C205" s="307" t="s">
        <v>38</v>
      </c>
      <c r="D205" s="562" t="s">
        <v>1831</v>
      </c>
      <c r="E205" s="569" t="s">
        <v>1832</v>
      </c>
      <c r="F205" s="533" t="s">
        <v>45</v>
      </c>
      <c r="G205" s="533" t="s">
        <v>1411</v>
      </c>
      <c r="H205" s="553" t="s">
        <v>1443</v>
      </c>
      <c r="I205" s="534" t="s">
        <v>42</v>
      </c>
      <c r="J205" s="535">
        <v>644029</v>
      </c>
      <c r="K205" s="535">
        <v>321846</v>
      </c>
      <c r="L205" s="535">
        <v>28512</v>
      </c>
      <c r="M205" s="535"/>
      <c r="N205" s="535"/>
      <c r="O205" s="535"/>
      <c r="P205" s="547"/>
      <c r="Q205" s="538"/>
      <c r="R205" s="538"/>
      <c r="S205" s="535">
        <f t="shared" ref="S205:S221" si="10">SUM(M205:R205)</f>
        <v>0</v>
      </c>
      <c r="T205" s="539">
        <v>1</v>
      </c>
      <c r="U205" s="558">
        <v>40</v>
      </c>
      <c r="V205" s="545">
        <v>44294</v>
      </c>
      <c r="W205" s="542">
        <v>44312</v>
      </c>
      <c r="X205" s="539"/>
      <c r="Y205" s="539"/>
      <c r="Z205" s="542"/>
      <c r="AA205" s="542"/>
      <c r="AB205" s="539"/>
      <c r="AC205" s="544"/>
      <c r="AD205" s="540"/>
      <c r="AE205" s="542"/>
      <c r="AF205" s="554"/>
      <c r="AG205" s="542"/>
      <c r="AH205" s="542"/>
      <c r="AI205" s="542"/>
      <c r="AJ205" s="554"/>
      <c r="AK205" s="539"/>
      <c r="AL205" s="542"/>
      <c r="AM205" s="542"/>
      <c r="AN205" s="542"/>
      <c r="AO205" s="542"/>
      <c r="AP205" s="542"/>
      <c r="AQ205" s="542"/>
      <c r="AR205" s="22">
        <f t="shared" ref="AR205:AR221" si="11">+T205+X205+AB205+AF205+AJ205+AN205</f>
        <v>1</v>
      </c>
      <c r="AS205" s="546">
        <f t="shared" si="9"/>
        <v>1</v>
      </c>
      <c r="AT205" s="148"/>
      <c r="AU205" s="148"/>
      <c r="AV205" s="148"/>
      <c r="AW205" s="148"/>
      <c r="AX205" s="148"/>
      <c r="AY205" s="148"/>
      <c r="AZ205" s="148"/>
      <c r="BA205" s="148"/>
      <c r="BB205" s="148"/>
      <c r="BC205" s="148"/>
      <c r="BD205" s="148"/>
      <c r="BE205" s="148"/>
      <c r="BF205" s="148"/>
      <c r="BG205" s="148"/>
      <c r="BH205" s="148"/>
      <c r="BI205" s="148"/>
      <c r="BJ205" s="148"/>
      <c r="BK205" s="148"/>
      <c r="BL205" s="148"/>
      <c r="BM205" s="148"/>
      <c r="BN205" s="148"/>
      <c r="BO205" s="148"/>
      <c r="BP205" s="148"/>
      <c r="BQ205" s="148"/>
      <c r="BR205" s="148"/>
      <c r="BS205" s="148"/>
      <c r="BT205" s="148"/>
      <c r="BU205" s="148"/>
      <c r="BV205" s="148"/>
      <c r="BW205" s="148"/>
      <c r="BX205" s="148"/>
      <c r="BY205" s="148"/>
      <c r="BZ205" s="148"/>
      <c r="CA205" s="148"/>
      <c r="CB205" s="148"/>
      <c r="CC205" s="148"/>
      <c r="CD205" s="148"/>
      <c r="CE205" s="148"/>
      <c r="CF205" s="148"/>
      <c r="CG205" s="148"/>
      <c r="CH205" s="148"/>
      <c r="CI205" s="148"/>
      <c r="CJ205" s="148"/>
      <c r="CK205" s="148"/>
      <c r="CL205" s="148"/>
      <c r="CM205" s="148"/>
      <c r="CN205" s="148"/>
      <c r="CO205" s="148"/>
      <c r="CP205" s="148"/>
      <c r="CQ205" s="148"/>
      <c r="CR205" s="148"/>
      <c r="CS205" s="148"/>
      <c r="CT205" s="148"/>
      <c r="CU205" s="148"/>
      <c r="CV205" s="148"/>
      <c r="CW205" s="148"/>
      <c r="CX205" s="148"/>
      <c r="CY205" s="148"/>
      <c r="CZ205" s="148"/>
      <c r="DA205" s="148"/>
      <c r="DB205" s="148"/>
      <c r="DC205" s="148"/>
      <c r="DD205" s="148"/>
      <c r="DE205" s="148"/>
      <c r="DF205" s="148"/>
      <c r="DG205" s="148"/>
      <c r="DH205" s="148"/>
      <c r="DI205" s="148"/>
      <c r="DJ205" s="148"/>
      <c r="DK205" s="148"/>
      <c r="DL205" s="148"/>
      <c r="DM205" s="148"/>
      <c r="DN205" s="148"/>
      <c r="DO205" s="148"/>
      <c r="DP205" s="148"/>
      <c r="DQ205" s="148"/>
      <c r="DR205" s="148"/>
      <c r="DS205" s="148"/>
      <c r="DT205" s="148"/>
      <c r="DU205" s="148"/>
      <c r="DV205" s="148"/>
      <c r="DW205" s="148"/>
      <c r="DX205" s="148"/>
      <c r="DY205" s="148"/>
      <c r="DZ205" s="148"/>
      <c r="EA205" s="148"/>
      <c r="EB205" s="148"/>
      <c r="EC205" s="148"/>
      <c r="ED205" s="148"/>
      <c r="EE205" s="148"/>
      <c r="EF205" s="148"/>
      <c r="EG205" s="148"/>
      <c r="EH205" s="148"/>
      <c r="EI205" s="148"/>
      <c r="EJ205" s="148"/>
      <c r="EK205" s="148"/>
      <c r="EL205" s="148"/>
      <c r="EM205" s="148"/>
      <c r="EN205" s="148"/>
      <c r="EO205" s="148"/>
      <c r="EP205" s="148"/>
      <c r="EQ205" s="148"/>
      <c r="ER205" s="148"/>
      <c r="ES205" s="148"/>
      <c r="ET205" s="148"/>
      <c r="EU205" s="148"/>
      <c r="EV205" s="148"/>
      <c r="EW205" s="148"/>
      <c r="EX205" s="148"/>
      <c r="EY205" s="148"/>
      <c r="EZ205" s="148"/>
      <c r="FA205" s="148"/>
      <c r="FB205" s="148"/>
      <c r="FC205" s="148"/>
      <c r="FD205" s="148"/>
      <c r="FE205" s="148"/>
      <c r="FF205" s="148"/>
      <c r="FG205" s="148"/>
      <c r="FH205" s="148"/>
      <c r="FI205" s="148"/>
      <c r="FJ205" s="148"/>
      <c r="FK205" s="148"/>
      <c r="FL205" s="148"/>
      <c r="FM205" s="148"/>
      <c r="FN205" s="148"/>
      <c r="FO205" s="148"/>
      <c r="FP205" s="148"/>
      <c r="FQ205" s="148"/>
      <c r="FR205" s="148"/>
    </row>
    <row r="206" spans="1:174" s="15" customFormat="1" ht="13.5" customHeight="1" x14ac:dyDescent="0.2">
      <c r="A206" s="148"/>
      <c r="B206" s="307">
        <v>206</v>
      </c>
      <c r="C206" s="312" t="s">
        <v>38</v>
      </c>
      <c r="D206" s="562" t="s">
        <v>1833</v>
      </c>
      <c r="E206" s="569" t="s">
        <v>1834</v>
      </c>
      <c r="F206" s="533" t="s">
        <v>45</v>
      </c>
      <c r="G206" s="533" t="s">
        <v>46</v>
      </c>
      <c r="H206" s="553" t="s">
        <v>1435</v>
      </c>
      <c r="I206" s="534" t="s">
        <v>42</v>
      </c>
      <c r="J206" s="535">
        <v>101494</v>
      </c>
      <c r="K206" s="535">
        <v>63116</v>
      </c>
      <c r="L206" s="535">
        <v>0</v>
      </c>
      <c r="M206" s="535"/>
      <c r="N206" s="535"/>
      <c r="O206" s="535"/>
      <c r="P206" s="547"/>
      <c r="Q206" s="538"/>
      <c r="R206" s="538">
        <v>38377.35</v>
      </c>
      <c r="S206" s="535">
        <f t="shared" si="10"/>
        <v>38377.35</v>
      </c>
      <c r="T206" s="539">
        <v>1</v>
      </c>
      <c r="U206" s="558">
        <v>40</v>
      </c>
      <c r="V206" s="545">
        <v>44294</v>
      </c>
      <c r="W206" s="542">
        <v>44312</v>
      </c>
      <c r="X206" s="539">
        <v>14760</v>
      </c>
      <c r="Y206" s="539">
        <v>46</v>
      </c>
      <c r="Z206" s="542">
        <v>44295</v>
      </c>
      <c r="AA206" s="542">
        <v>44327</v>
      </c>
      <c r="AB206" s="539">
        <v>23617</v>
      </c>
      <c r="AC206" s="544">
        <v>62</v>
      </c>
      <c r="AD206" s="545">
        <v>44327</v>
      </c>
      <c r="AE206" s="542">
        <v>44355</v>
      </c>
      <c r="AF206" s="554"/>
      <c r="AG206" s="542"/>
      <c r="AH206" s="542"/>
      <c r="AI206" s="542"/>
      <c r="AJ206" s="554"/>
      <c r="AK206" s="539"/>
      <c r="AL206" s="542"/>
      <c r="AM206" s="542"/>
      <c r="AN206" s="542"/>
      <c r="AO206" s="542"/>
      <c r="AP206" s="542"/>
      <c r="AQ206" s="542"/>
      <c r="AR206" s="22">
        <f t="shared" si="11"/>
        <v>38378</v>
      </c>
      <c r="AS206" s="546">
        <f t="shared" si="9"/>
        <v>0.65000000000145519</v>
      </c>
      <c r="AT206" s="148"/>
      <c r="AU206" s="148"/>
      <c r="AV206" s="148"/>
      <c r="AW206" s="148"/>
      <c r="AX206" s="148"/>
      <c r="AY206" s="148"/>
      <c r="AZ206" s="148"/>
      <c r="BA206" s="148"/>
      <c r="BB206" s="148"/>
      <c r="BC206" s="148"/>
      <c r="BD206" s="148"/>
      <c r="BE206" s="148"/>
      <c r="BF206" s="148"/>
      <c r="BG206" s="148"/>
      <c r="BH206" s="148"/>
      <c r="BI206" s="148"/>
      <c r="BJ206" s="148"/>
      <c r="BK206" s="148"/>
      <c r="BL206" s="148"/>
      <c r="BM206" s="148"/>
      <c r="BN206" s="148"/>
      <c r="BO206" s="148"/>
      <c r="BP206" s="148"/>
      <c r="BQ206" s="148"/>
      <c r="BR206" s="148"/>
      <c r="BS206" s="148"/>
      <c r="BT206" s="148"/>
      <c r="BU206" s="148"/>
      <c r="BV206" s="148"/>
      <c r="BW206" s="148"/>
      <c r="BX206" s="148"/>
      <c r="BY206" s="148"/>
      <c r="BZ206" s="148"/>
      <c r="CA206" s="148"/>
      <c r="CB206" s="148"/>
      <c r="CC206" s="148"/>
      <c r="CD206" s="148"/>
      <c r="CE206" s="148"/>
      <c r="CF206" s="148"/>
      <c r="CG206" s="148"/>
      <c r="CH206" s="148"/>
      <c r="CI206" s="148"/>
      <c r="CJ206" s="148"/>
      <c r="CK206" s="148"/>
      <c r="CL206" s="148"/>
      <c r="CM206" s="148"/>
      <c r="CN206" s="148"/>
      <c r="CO206" s="148"/>
      <c r="CP206" s="148"/>
      <c r="CQ206" s="148"/>
      <c r="CR206" s="148"/>
      <c r="CS206" s="148"/>
      <c r="CT206" s="148"/>
      <c r="CU206" s="148"/>
      <c r="CV206" s="148"/>
      <c r="CW206" s="148"/>
      <c r="CX206" s="148"/>
      <c r="CY206" s="148"/>
      <c r="CZ206" s="148"/>
      <c r="DA206" s="148"/>
      <c r="DB206" s="148"/>
      <c r="DC206" s="148"/>
      <c r="DD206" s="148"/>
      <c r="DE206" s="148"/>
      <c r="DF206" s="148"/>
      <c r="DG206" s="148"/>
      <c r="DH206" s="148"/>
      <c r="DI206" s="148"/>
      <c r="DJ206" s="148"/>
      <c r="DK206" s="148"/>
      <c r="DL206" s="148"/>
      <c r="DM206" s="148"/>
      <c r="DN206" s="148"/>
      <c r="DO206" s="148"/>
      <c r="DP206" s="148"/>
      <c r="DQ206" s="148"/>
      <c r="DR206" s="148"/>
      <c r="DS206" s="148"/>
      <c r="DT206" s="148"/>
      <c r="DU206" s="148"/>
      <c r="DV206" s="148"/>
      <c r="DW206" s="148"/>
      <c r="DX206" s="148"/>
      <c r="DY206" s="148"/>
      <c r="DZ206" s="148"/>
      <c r="EA206" s="148"/>
      <c r="EB206" s="148"/>
      <c r="EC206" s="148"/>
      <c r="ED206" s="148"/>
      <c r="EE206" s="148"/>
      <c r="EF206" s="148"/>
      <c r="EG206" s="148"/>
      <c r="EH206" s="148"/>
      <c r="EI206" s="148"/>
      <c r="EJ206" s="148"/>
      <c r="EK206" s="148"/>
      <c r="EL206" s="148"/>
      <c r="EM206" s="148"/>
      <c r="EN206" s="148"/>
      <c r="EO206" s="148"/>
      <c r="EP206" s="148"/>
      <c r="EQ206" s="148"/>
      <c r="ER206" s="148"/>
      <c r="ES206" s="148"/>
      <c r="ET206" s="148"/>
      <c r="EU206" s="148"/>
      <c r="EV206" s="148"/>
      <c r="EW206" s="148"/>
      <c r="EX206" s="148"/>
      <c r="EY206" s="148"/>
      <c r="EZ206" s="148"/>
      <c r="FA206" s="148"/>
      <c r="FB206" s="148"/>
      <c r="FC206" s="148"/>
      <c r="FD206" s="148"/>
      <c r="FE206" s="148"/>
      <c r="FF206" s="148"/>
      <c r="FG206" s="148"/>
      <c r="FH206" s="148"/>
      <c r="FI206" s="148"/>
      <c r="FJ206" s="148"/>
      <c r="FK206" s="148"/>
      <c r="FL206" s="148"/>
      <c r="FM206" s="148"/>
      <c r="FN206" s="148"/>
      <c r="FO206" s="148"/>
      <c r="FP206" s="148"/>
      <c r="FQ206" s="148"/>
      <c r="FR206" s="148"/>
    </row>
    <row r="207" spans="1:174" s="15" customFormat="1" ht="13.5" customHeight="1" x14ac:dyDescent="0.2">
      <c r="A207" s="148"/>
      <c r="B207" s="307">
        <v>207</v>
      </c>
      <c r="C207" s="307" t="s">
        <v>38</v>
      </c>
      <c r="D207" s="562" t="s">
        <v>1835</v>
      </c>
      <c r="E207" s="569" t="s">
        <v>1836</v>
      </c>
      <c r="F207" s="533" t="s">
        <v>45</v>
      </c>
      <c r="G207" s="533" t="s">
        <v>1411</v>
      </c>
      <c r="H207" s="553" t="s">
        <v>1837</v>
      </c>
      <c r="I207" s="534" t="s">
        <v>42</v>
      </c>
      <c r="J207" s="535">
        <v>495661</v>
      </c>
      <c r="K207" s="535">
        <v>473307</v>
      </c>
      <c r="L207" s="535">
        <v>0</v>
      </c>
      <c r="M207" s="535"/>
      <c r="N207" s="535"/>
      <c r="O207" s="535"/>
      <c r="P207" s="547"/>
      <c r="Q207" s="538">
        <f>8333787/1000+14011</f>
        <v>22344.787</v>
      </c>
      <c r="R207" s="538"/>
      <c r="S207" s="535">
        <f t="shared" si="10"/>
        <v>22344.787</v>
      </c>
      <c r="T207" s="539">
        <v>1</v>
      </c>
      <c r="U207" s="558">
        <v>40</v>
      </c>
      <c r="V207" s="545">
        <v>44294</v>
      </c>
      <c r="W207" s="542">
        <v>44312</v>
      </c>
      <c r="X207" s="539">
        <v>22353</v>
      </c>
      <c r="Y207" s="539">
        <v>46</v>
      </c>
      <c r="Z207" s="542">
        <v>44295</v>
      </c>
      <c r="AA207" s="542">
        <v>44327</v>
      </c>
      <c r="AB207" s="539"/>
      <c r="AC207" s="544"/>
      <c r="AD207" s="540"/>
      <c r="AE207" s="542"/>
      <c r="AF207" s="554"/>
      <c r="AG207" s="542"/>
      <c r="AH207" s="542"/>
      <c r="AI207" s="542"/>
      <c r="AJ207" s="554"/>
      <c r="AK207" s="539"/>
      <c r="AL207" s="542"/>
      <c r="AM207" s="542"/>
      <c r="AN207" s="542"/>
      <c r="AO207" s="542"/>
      <c r="AP207" s="542"/>
      <c r="AQ207" s="542"/>
      <c r="AR207" s="22">
        <f t="shared" si="11"/>
        <v>22354</v>
      </c>
      <c r="AS207" s="546">
        <f t="shared" si="9"/>
        <v>9.2129999999997381</v>
      </c>
      <c r="AT207" s="148"/>
      <c r="AU207" s="148"/>
      <c r="AV207" s="148"/>
      <c r="AW207" s="148"/>
      <c r="AX207" s="148"/>
      <c r="AY207" s="148"/>
      <c r="AZ207" s="148"/>
      <c r="BA207" s="148"/>
      <c r="BB207" s="148"/>
      <c r="BC207" s="148"/>
      <c r="BD207" s="148"/>
      <c r="BE207" s="148"/>
      <c r="BF207" s="148"/>
      <c r="BG207" s="148"/>
      <c r="BH207" s="148"/>
      <c r="BI207" s="148"/>
      <c r="BJ207" s="148"/>
      <c r="BK207" s="148"/>
      <c r="BL207" s="148"/>
      <c r="BM207" s="148"/>
      <c r="BN207" s="148"/>
      <c r="BO207" s="148"/>
      <c r="BP207" s="148"/>
      <c r="BQ207" s="148"/>
      <c r="BR207" s="148"/>
      <c r="BS207" s="148"/>
      <c r="BT207" s="148"/>
      <c r="BU207" s="148"/>
      <c r="BV207" s="148"/>
      <c r="BW207" s="148"/>
      <c r="BX207" s="148"/>
      <c r="BY207" s="148"/>
      <c r="BZ207" s="148"/>
      <c r="CA207" s="148"/>
      <c r="CB207" s="148"/>
      <c r="CC207" s="148"/>
      <c r="CD207" s="148"/>
      <c r="CE207" s="148"/>
      <c r="CF207" s="148"/>
      <c r="CG207" s="148"/>
      <c r="CH207" s="148"/>
      <c r="CI207" s="148"/>
      <c r="CJ207" s="148"/>
      <c r="CK207" s="148"/>
      <c r="CL207" s="148"/>
      <c r="CM207" s="148"/>
      <c r="CN207" s="148"/>
      <c r="CO207" s="148"/>
      <c r="CP207" s="148"/>
      <c r="CQ207" s="148"/>
      <c r="CR207" s="148"/>
      <c r="CS207" s="148"/>
      <c r="CT207" s="148"/>
      <c r="CU207" s="148"/>
      <c r="CV207" s="148"/>
      <c r="CW207" s="148"/>
      <c r="CX207" s="148"/>
      <c r="CY207" s="148"/>
      <c r="CZ207" s="148"/>
      <c r="DA207" s="148"/>
      <c r="DB207" s="148"/>
      <c r="DC207" s="148"/>
      <c r="DD207" s="148"/>
      <c r="DE207" s="148"/>
      <c r="DF207" s="148"/>
      <c r="DG207" s="148"/>
      <c r="DH207" s="148"/>
      <c r="DI207" s="148"/>
      <c r="DJ207" s="148"/>
      <c r="DK207" s="148"/>
      <c r="DL207" s="148"/>
      <c r="DM207" s="148"/>
      <c r="DN207" s="148"/>
      <c r="DO207" s="148"/>
      <c r="DP207" s="148"/>
      <c r="DQ207" s="148"/>
      <c r="DR207" s="148"/>
      <c r="DS207" s="148"/>
      <c r="DT207" s="148"/>
      <c r="DU207" s="148"/>
      <c r="DV207" s="148"/>
      <c r="DW207" s="148"/>
      <c r="DX207" s="148"/>
      <c r="DY207" s="148"/>
      <c r="DZ207" s="148"/>
      <c r="EA207" s="148"/>
      <c r="EB207" s="148"/>
      <c r="EC207" s="148"/>
      <c r="ED207" s="148"/>
      <c r="EE207" s="148"/>
      <c r="EF207" s="148"/>
      <c r="EG207" s="148"/>
      <c r="EH207" s="148"/>
      <c r="EI207" s="148"/>
      <c r="EJ207" s="148"/>
      <c r="EK207" s="148"/>
      <c r="EL207" s="148"/>
      <c r="EM207" s="148"/>
      <c r="EN207" s="148"/>
      <c r="EO207" s="148"/>
      <c r="EP207" s="148"/>
      <c r="EQ207" s="148"/>
      <c r="ER207" s="148"/>
      <c r="ES207" s="148"/>
      <c r="ET207" s="148"/>
      <c r="EU207" s="148"/>
      <c r="EV207" s="148"/>
      <c r="EW207" s="148"/>
      <c r="EX207" s="148"/>
      <c r="EY207" s="148"/>
      <c r="EZ207" s="148"/>
      <c r="FA207" s="148"/>
      <c r="FB207" s="148"/>
      <c r="FC207" s="148"/>
      <c r="FD207" s="148"/>
      <c r="FE207" s="148"/>
      <c r="FF207" s="148"/>
      <c r="FG207" s="148"/>
      <c r="FH207" s="148"/>
      <c r="FI207" s="148"/>
      <c r="FJ207" s="148"/>
      <c r="FK207" s="148"/>
      <c r="FL207" s="148"/>
      <c r="FM207" s="148"/>
      <c r="FN207" s="148"/>
      <c r="FO207" s="148"/>
      <c r="FP207" s="148"/>
      <c r="FQ207" s="148"/>
      <c r="FR207" s="148"/>
    </row>
    <row r="208" spans="1:174" s="15" customFormat="1" ht="13.5" customHeight="1" x14ac:dyDescent="0.2">
      <c r="A208" s="148"/>
      <c r="B208" s="307">
        <v>208</v>
      </c>
      <c r="C208" s="312" t="s">
        <v>38</v>
      </c>
      <c r="D208" s="562" t="s">
        <v>1838</v>
      </c>
      <c r="E208" s="569" t="s">
        <v>1839</v>
      </c>
      <c r="F208" s="533" t="s">
        <v>204</v>
      </c>
      <c r="G208" s="533" t="s">
        <v>1411</v>
      </c>
      <c r="H208" s="553" t="s">
        <v>1503</v>
      </c>
      <c r="I208" s="534" t="s">
        <v>42</v>
      </c>
      <c r="J208" s="535">
        <v>47873</v>
      </c>
      <c r="K208" s="535">
        <v>39077</v>
      </c>
      <c r="L208" s="535">
        <v>0</v>
      </c>
      <c r="M208" s="535"/>
      <c r="N208" s="535"/>
      <c r="O208" s="535"/>
      <c r="P208" s="547"/>
      <c r="Q208" s="538"/>
      <c r="R208" s="538"/>
      <c r="S208" s="535">
        <f t="shared" si="10"/>
        <v>0</v>
      </c>
      <c r="T208" s="539">
        <v>1</v>
      </c>
      <c r="U208" s="558">
        <v>40</v>
      </c>
      <c r="V208" s="545">
        <v>44294</v>
      </c>
      <c r="W208" s="542">
        <v>44312</v>
      </c>
      <c r="X208" s="539">
        <v>8795</v>
      </c>
      <c r="Y208" s="539">
        <v>55</v>
      </c>
      <c r="Z208" s="542">
        <v>44323</v>
      </c>
      <c r="AA208" s="542">
        <v>44350</v>
      </c>
      <c r="AB208" s="539"/>
      <c r="AC208" s="544"/>
      <c r="AD208" s="540"/>
      <c r="AE208" s="542"/>
      <c r="AF208" s="554"/>
      <c r="AG208" s="542"/>
      <c r="AH208" s="542"/>
      <c r="AI208" s="542"/>
      <c r="AJ208" s="554"/>
      <c r="AK208" s="539"/>
      <c r="AL208" s="542"/>
      <c r="AM208" s="542"/>
      <c r="AN208" s="542"/>
      <c r="AO208" s="542"/>
      <c r="AP208" s="542"/>
      <c r="AQ208" s="542"/>
      <c r="AR208" s="22">
        <f t="shared" si="11"/>
        <v>8796</v>
      </c>
      <c r="AS208" s="546">
        <f t="shared" si="9"/>
        <v>8796</v>
      </c>
      <c r="AT208" s="148"/>
      <c r="AU208" s="148"/>
      <c r="AV208" s="148"/>
      <c r="AW208" s="148"/>
      <c r="AX208" s="148"/>
      <c r="AY208" s="148"/>
      <c r="AZ208" s="148"/>
      <c r="BA208" s="148"/>
      <c r="BB208" s="148"/>
      <c r="BC208" s="148"/>
      <c r="BD208" s="148"/>
      <c r="BE208" s="148"/>
      <c r="BF208" s="148"/>
      <c r="BG208" s="148"/>
      <c r="BH208" s="148"/>
      <c r="BI208" s="148"/>
      <c r="BJ208" s="148"/>
      <c r="BK208" s="148"/>
      <c r="BL208" s="148"/>
      <c r="BM208" s="148"/>
      <c r="BN208" s="148"/>
      <c r="BO208" s="148"/>
      <c r="BP208" s="148"/>
      <c r="BQ208" s="148"/>
      <c r="BR208" s="148"/>
      <c r="BS208" s="148"/>
      <c r="BT208" s="148"/>
      <c r="BU208" s="148"/>
      <c r="BV208" s="148"/>
      <c r="BW208" s="148"/>
      <c r="BX208" s="148"/>
      <c r="BY208" s="148"/>
      <c r="BZ208" s="148"/>
      <c r="CA208" s="148"/>
      <c r="CB208" s="148"/>
      <c r="CC208" s="148"/>
      <c r="CD208" s="148"/>
      <c r="CE208" s="148"/>
      <c r="CF208" s="148"/>
      <c r="CG208" s="148"/>
      <c r="CH208" s="148"/>
      <c r="CI208" s="148"/>
      <c r="CJ208" s="148"/>
      <c r="CK208" s="148"/>
      <c r="CL208" s="148"/>
      <c r="CM208" s="148"/>
      <c r="CN208" s="148"/>
      <c r="CO208" s="148"/>
      <c r="CP208" s="148"/>
      <c r="CQ208" s="148"/>
      <c r="CR208" s="148"/>
      <c r="CS208" s="148"/>
      <c r="CT208" s="148"/>
      <c r="CU208" s="148"/>
      <c r="CV208" s="148"/>
      <c r="CW208" s="148"/>
      <c r="CX208" s="148"/>
      <c r="CY208" s="148"/>
      <c r="CZ208" s="148"/>
      <c r="DA208" s="148"/>
      <c r="DB208" s="148"/>
      <c r="DC208" s="148"/>
      <c r="DD208" s="148"/>
      <c r="DE208" s="148"/>
      <c r="DF208" s="148"/>
      <c r="DG208" s="148"/>
      <c r="DH208" s="148"/>
      <c r="DI208" s="148"/>
      <c r="DJ208" s="148"/>
      <c r="DK208" s="148"/>
      <c r="DL208" s="148"/>
      <c r="DM208" s="148"/>
      <c r="DN208" s="148"/>
      <c r="DO208" s="148"/>
      <c r="DP208" s="148"/>
      <c r="DQ208" s="148"/>
      <c r="DR208" s="148"/>
      <c r="DS208" s="148"/>
      <c r="DT208" s="148"/>
      <c r="DU208" s="148"/>
      <c r="DV208" s="148"/>
      <c r="DW208" s="148"/>
      <c r="DX208" s="148"/>
      <c r="DY208" s="148"/>
      <c r="DZ208" s="148"/>
      <c r="EA208" s="148"/>
      <c r="EB208" s="148"/>
      <c r="EC208" s="148"/>
      <c r="ED208" s="148"/>
      <c r="EE208" s="148"/>
      <c r="EF208" s="148"/>
      <c r="EG208" s="148"/>
      <c r="EH208" s="148"/>
      <c r="EI208" s="148"/>
      <c r="EJ208" s="148"/>
      <c r="EK208" s="148"/>
      <c r="EL208" s="148"/>
      <c r="EM208" s="148"/>
      <c r="EN208" s="148"/>
      <c r="EO208" s="148"/>
      <c r="EP208" s="148"/>
      <c r="EQ208" s="148"/>
      <c r="ER208" s="148"/>
      <c r="ES208" s="148"/>
      <c r="ET208" s="148"/>
      <c r="EU208" s="148"/>
      <c r="EV208" s="148"/>
      <c r="EW208" s="148"/>
      <c r="EX208" s="148"/>
      <c r="EY208" s="148"/>
      <c r="EZ208" s="148"/>
      <c r="FA208" s="148"/>
      <c r="FB208" s="148"/>
      <c r="FC208" s="148"/>
      <c r="FD208" s="148"/>
      <c r="FE208" s="148"/>
      <c r="FF208" s="148"/>
      <c r="FG208" s="148"/>
      <c r="FH208" s="148"/>
      <c r="FI208" s="148"/>
      <c r="FJ208" s="148"/>
      <c r="FK208" s="148"/>
      <c r="FL208" s="148"/>
      <c r="FM208" s="148"/>
      <c r="FN208" s="148"/>
      <c r="FO208" s="148"/>
      <c r="FP208" s="148"/>
      <c r="FQ208" s="148"/>
      <c r="FR208" s="148"/>
    </row>
    <row r="209" spans="1:174" s="15" customFormat="1" ht="13.5" customHeight="1" x14ac:dyDescent="0.2">
      <c r="A209" s="148"/>
      <c r="B209" s="307">
        <v>209</v>
      </c>
      <c r="C209" s="307" t="s">
        <v>38</v>
      </c>
      <c r="D209" s="562" t="s">
        <v>1840</v>
      </c>
      <c r="E209" s="569" t="s">
        <v>1841</v>
      </c>
      <c r="F209" s="533" t="s">
        <v>45</v>
      </c>
      <c r="G209" s="533" t="s">
        <v>1411</v>
      </c>
      <c r="H209" s="553" t="s">
        <v>1503</v>
      </c>
      <c r="I209" s="534" t="s">
        <v>42</v>
      </c>
      <c r="J209" s="535">
        <v>1253425</v>
      </c>
      <c r="K209" s="535">
        <v>679581</v>
      </c>
      <c r="L209" s="535">
        <v>61216</v>
      </c>
      <c r="M209" s="535"/>
      <c r="N209" s="535"/>
      <c r="O209" s="535"/>
      <c r="P209" s="547"/>
      <c r="Q209" s="538"/>
      <c r="R209" s="538"/>
      <c r="S209" s="535">
        <f t="shared" si="10"/>
        <v>0</v>
      </c>
      <c r="T209" s="539">
        <v>1</v>
      </c>
      <c r="U209" s="558">
        <v>40</v>
      </c>
      <c r="V209" s="545">
        <v>44294</v>
      </c>
      <c r="W209" s="542">
        <v>44312</v>
      </c>
      <c r="X209" s="539"/>
      <c r="Y209" s="539"/>
      <c r="Z209" s="542"/>
      <c r="AA209" s="542"/>
      <c r="AB209" s="539"/>
      <c r="AC209" s="544"/>
      <c r="AD209" s="540"/>
      <c r="AE209" s="542"/>
      <c r="AF209" s="554"/>
      <c r="AG209" s="542"/>
      <c r="AH209" s="542"/>
      <c r="AI209" s="542"/>
      <c r="AJ209" s="554"/>
      <c r="AK209" s="539"/>
      <c r="AL209" s="542"/>
      <c r="AM209" s="542"/>
      <c r="AN209" s="542"/>
      <c r="AO209" s="542"/>
      <c r="AP209" s="542"/>
      <c r="AQ209" s="542"/>
      <c r="AR209" s="22">
        <f t="shared" si="11"/>
        <v>1</v>
      </c>
      <c r="AS209" s="546">
        <f t="shared" si="9"/>
        <v>1</v>
      </c>
      <c r="AT209" s="148"/>
      <c r="AU209" s="148"/>
      <c r="AV209" s="148"/>
      <c r="AW209" s="148"/>
      <c r="AX209" s="148"/>
      <c r="AY209" s="148"/>
      <c r="AZ209" s="148"/>
      <c r="BA209" s="148"/>
      <c r="BB209" s="148"/>
      <c r="BC209" s="148"/>
      <c r="BD209" s="148"/>
      <c r="BE209" s="148"/>
      <c r="BF209" s="148"/>
      <c r="BG209" s="148"/>
      <c r="BH209" s="148"/>
      <c r="BI209" s="148"/>
      <c r="BJ209" s="148"/>
      <c r="BK209" s="148"/>
      <c r="BL209" s="148"/>
      <c r="BM209" s="148"/>
      <c r="BN209" s="148"/>
      <c r="BO209" s="148"/>
      <c r="BP209" s="148"/>
      <c r="BQ209" s="148"/>
      <c r="BR209" s="148"/>
      <c r="BS209" s="148"/>
      <c r="BT209" s="148"/>
      <c r="BU209" s="148"/>
      <c r="BV209" s="148"/>
      <c r="BW209" s="148"/>
      <c r="BX209" s="148"/>
      <c r="BY209" s="148"/>
      <c r="BZ209" s="148"/>
      <c r="CA209" s="148"/>
      <c r="CB209" s="148"/>
      <c r="CC209" s="148"/>
      <c r="CD209" s="148"/>
      <c r="CE209" s="148"/>
      <c r="CF209" s="148"/>
      <c r="CG209" s="148"/>
      <c r="CH209" s="148"/>
      <c r="CI209" s="148"/>
      <c r="CJ209" s="148"/>
      <c r="CK209" s="148"/>
      <c r="CL209" s="148"/>
      <c r="CM209" s="148"/>
      <c r="CN209" s="148"/>
      <c r="CO209" s="148"/>
      <c r="CP209" s="148"/>
      <c r="CQ209" s="148"/>
      <c r="CR209" s="148"/>
      <c r="CS209" s="148"/>
      <c r="CT209" s="148"/>
      <c r="CU209" s="148"/>
      <c r="CV209" s="148"/>
      <c r="CW209" s="148"/>
      <c r="CX209" s="148"/>
      <c r="CY209" s="148"/>
      <c r="CZ209" s="148"/>
      <c r="DA209" s="148"/>
      <c r="DB209" s="148"/>
      <c r="DC209" s="148"/>
      <c r="DD209" s="148"/>
      <c r="DE209" s="148"/>
      <c r="DF209" s="148"/>
      <c r="DG209" s="148"/>
      <c r="DH209" s="148"/>
      <c r="DI209" s="148"/>
      <c r="DJ209" s="148"/>
      <c r="DK209" s="148"/>
      <c r="DL209" s="148"/>
      <c r="DM209" s="148"/>
      <c r="DN209" s="148"/>
      <c r="DO209" s="148"/>
      <c r="DP209" s="148"/>
      <c r="DQ209" s="148"/>
      <c r="DR209" s="148"/>
      <c r="DS209" s="148"/>
      <c r="DT209" s="148"/>
      <c r="DU209" s="148"/>
      <c r="DV209" s="148"/>
      <c r="DW209" s="148"/>
      <c r="DX209" s="148"/>
      <c r="DY209" s="148"/>
      <c r="DZ209" s="148"/>
      <c r="EA209" s="148"/>
      <c r="EB209" s="148"/>
      <c r="EC209" s="148"/>
      <c r="ED209" s="148"/>
      <c r="EE209" s="148"/>
      <c r="EF209" s="148"/>
      <c r="EG209" s="148"/>
      <c r="EH209" s="148"/>
      <c r="EI209" s="148"/>
      <c r="EJ209" s="148"/>
      <c r="EK209" s="148"/>
      <c r="EL209" s="148"/>
      <c r="EM209" s="148"/>
      <c r="EN209" s="148"/>
      <c r="EO209" s="148"/>
      <c r="EP209" s="148"/>
      <c r="EQ209" s="148"/>
      <c r="ER209" s="148"/>
      <c r="ES209" s="148"/>
      <c r="ET209" s="148"/>
      <c r="EU209" s="148"/>
      <c r="EV209" s="148"/>
      <c r="EW209" s="148"/>
      <c r="EX209" s="148"/>
      <c r="EY209" s="148"/>
      <c r="EZ209" s="148"/>
      <c r="FA209" s="148"/>
      <c r="FB209" s="148"/>
      <c r="FC209" s="148"/>
      <c r="FD209" s="148"/>
      <c r="FE209" s="148"/>
      <c r="FF209" s="148"/>
      <c r="FG209" s="148"/>
      <c r="FH209" s="148"/>
      <c r="FI209" s="148"/>
      <c r="FJ209" s="148"/>
      <c r="FK209" s="148"/>
      <c r="FL209" s="148"/>
      <c r="FM209" s="148"/>
      <c r="FN209" s="148"/>
      <c r="FO209" s="148"/>
      <c r="FP209" s="148"/>
      <c r="FQ209" s="148"/>
      <c r="FR209" s="148"/>
    </row>
    <row r="210" spans="1:174" s="15" customFormat="1" ht="13.5" customHeight="1" x14ac:dyDescent="0.2">
      <c r="A210" s="148"/>
      <c r="B210" s="307">
        <v>210</v>
      </c>
      <c r="C210" s="312" t="s">
        <v>38</v>
      </c>
      <c r="D210" s="562" t="s">
        <v>1842</v>
      </c>
      <c r="E210" s="569" t="s">
        <v>1843</v>
      </c>
      <c r="F210" s="533" t="s">
        <v>45</v>
      </c>
      <c r="G210" s="533" t="s">
        <v>1411</v>
      </c>
      <c r="H210" s="553" t="s">
        <v>1844</v>
      </c>
      <c r="I210" s="534" t="s">
        <v>42</v>
      </c>
      <c r="J210" s="535">
        <v>829058</v>
      </c>
      <c r="K210" s="535">
        <v>318634</v>
      </c>
      <c r="L210" s="535">
        <v>509678</v>
      </c>
      <c r="M210" s="535"/>
      <c r="N210" s="535"/>
      <c r="O210" s="535"/>
      <c r="P210" s="547"/>
      <c r="Q210" s="538"/>
      <c r="R210" s="538"/>
      <c r="S210" s="535">
        <f t="shared" si="10"/>
        <v>0</v>
      </c>
      <c r="T210" s="539">
        <v>1</v>
      </c>
      <c r="U210" s="558">
        <v>40</v>
      </c>
      <c r="V210" s="545">
        <v>44294</v>
      </c>
      <c r="W210" s="542">
        <v>44312</v>
      </c>
      <c r="X210" s="539"/>
      <c r="Y210" s="539"/>
      <c r="Z210" s="542"/>
      <c r="AA210" s="542"/>
      <c r="AB210" s="539"/>
      <c r="AC210" s="544"/>
      <c r="AD210" s="540"/>
      <c r="AE210" s="542"/>
      <c r="AF210" s="554"/>
      <c r="AG210" s="542"/>
      <c r="AH210" s="542"/>
      <c r="AI210" s="542"/>
      <c r="AJ210" s="554"/>
      <c r="AK210" s="539"/>
      <c r="AL210" s="542"/>
      <c r="AM210" s="542"/>
      <c r="AN210" s="542"/>
      <c r="AO210" s="542"/>
      <c r="AP210" s="542"/>
      <c r="AQ210" s="542"/>
      <c r="AR210" s="22">
        <f t="shared" si="11"/>
        <v>1</v>
      </c>
      <c r="AS210" s="546">
        <f t="shared" si="9"/>
        <v>1</v>
      </c>
      <c r="AT210" s="148"/>
      <c r="AU210" s="148"/>
      <c r="AV210" s="148"/>
      <c r="AW210" s="148"/>
      <c r="AX210" s="148"/>
      <c r="AY210" s="148"/>
      <c r="AZ210" s="148"/>
      <c r="BA210" s="148"/>
      <c r="BB210" s="148"/>
      <c r="BC210" s="148"/>
      <c r="BD210" s="148"/>
      <c r="BE210" s="148"/>
      <c r="BF210" s="148"/>
      <c r="BG210" s="148"/>
      <c r="BH210" s="148"/>
      <c r="BI210" s="148"/>
      <c r="BJ210" s="148"/>
      <c r="BK210" s="148"/>
      <c r="BL210" s="148"/>
      <c r="BM210" s="148"/>
      <c r="BN210" s="148"/>
      <c r="BO210" s="148"/>
      <c r="BP210" s="148"/>
      <c r="BQ210" s="148"/>
      <c r="BR210" s="148"/>
      <c r="BS210" s="148"/>
      <c r="BT210" s="148"/>
      <c r="BU210" s="148"/>
      <c r="BV210" s="148"/>
      <c r="BW210" s="148"/>
      <c r="BX210" s="148"/>
      <c r="BY210" s="148"/>
      <c r="BZ210" s="148"/>
      <c r="CA210" s="148"/>
      <c r="CB210" s="148"/>
      <c r="CC210" s="148"/>
      <c r="CD210" s="148"/>
      <c r="CE210" s="148"/>
      <c r="CF210" s="148"/>
      <c r="CG210" s="148"/>
      <c r="CH210" s="148"/>
      <c r="CI210" s="148"/>
      <c r="CJ210" s="148"/>
      <c r="CK210" s="148"/>
      <c r="CL210" s="148"/>
      <c r="CM210" s="148"/>
      <c r="CN210" s="148"/>
      <c r="CO210" s="148"/>
      <c r="CP210" s="148"/>
      <c r="CQ210" s="148"/>
      <c r="CR210" s="148"/>
      <c r="CS210" s="148"/>
      <c r="CT210" s="148"/>
      <c r="CU210" s="148"/>
      <c r="CV210" s="148"/>
      <c r="CW210" s="148"/>
      <c r="CX210" s="148"/>
      <c r="CY210" s="148"/>
      <c r="CZ210" s="148"/>
      <c r="DA210" s="148"/>
      <c r="DB210" s="148"/>
      <c r="DC210" s="148"/>
      <c r="DD210" s="148"/>
      <c r="DE210" s="148"/>
      <c r="DF210" s="148"/>
      <c r="DG210" s="148"/>
      <c r="DH210" s="148"/>
      <c r="DI210" s="148"/>
      <c r="DJ210" s="148"/>
      <c r="DK210" s="148"/>
      <c r="DL210" s="148"/>
      <c r="DM210" s="148"/>
      <c r="DN210" s="148"/>
      <c r="DO210" s="148"/>
      <c r="DP210" s="148"/>
      <c r="DQ210" s="148"/>
      <c r="DR210" s="148"/>
      <c r="DS210" s="148"/>
      <c r="DT210" s="148"/>
      <c r="DU210" s="148"/>
      <c r="DV210" s="148"/>
      <c r="DW210" s="148"/>
      <c r="DX210" s="148"/>
      <c r="DY210" s="148"/>
      <c r="DZ210" s="148"/>
      <c r="EA210" s="148"/>
      <c r="EB210" s="148"/>
      <c r="EC210" s="148"/>
      <c r="ED210" s="148"/>
      <c r="EE210" s="148"/>
      <c r="EF210" s="148"/>
      <c r="EG210" s="148"/>
      <c r="EH210" s="148"/>
      <c r="EI210" s="148"/>
      <c r="EJ210" s="148"/>
      <c r="EK210" s="148"/>
      <c r="EL210" s="148"/>
      <c r="EM210" s="148"/>
      <c r="EN210" s="148"/>
      <c r="EO210" s="148"/>
      <c r="EP210" s="148"/>
      <c r="EQ210" s="148"/>
      <c r="ER210" s="148"/>
      <c r="ES210" s="148"/>
      <c r="ET210" s="148"/>
      <c r="EU210" s="148"/>
      <c r="EV210" s="148"/>
      <c r="EW210" s="148"/>
      <c r="EX210" s="148"/>
      <c r="EY210" s="148"/>
      <c r="EZ210" s="148"/>
      <c r="FA210" s="148"/>
      <c r="FB210" s="148"/>
      <c r="FC210" s="148"/>
      <c r="FD210" s="148"/>
      <c r="FE210" s="148"/>
      <c r="FF210" s="148"/>
      <c r="FG210" s="148"/>
      <c r="FH210" s="148"/>
      <c r="FI210" s="148"/>
      <c r="FJ210" s="148"/>
      <c r="FK210" s="148"/>
      <c r="FL210" s="148"/>
      <c r="FM210" s="148"/>
      <c r="FN210" s="148"/>
      <c r="FO210" s="148"/>
      <c r="FP210" s="148"/>
      <c r="FQ210" s="148"/>
      <c r="FR210" s="148"/>
    </row>
    <row r="211" spans="1:174" s="15" customFormat="1" ht="13.5" customHeight="1" x14ac:dyDescent="0.2">
      <c r="A211" s="148"/>
      <c r="B211" s="307">
        <v>211</v>
      </c>
      <c r="C211" s="307" t="s">
        <v>38</v>
      </c>
      <c r="D211" s="562" t="s">
        <v>1845</v>
      </c>
      <c r="E211" s="569" t="s">
        <v>1846</v>
      </c>
      <c r="F211" s="533" t="s">
        <v>45</v>
      </c>
      <c r="G211" s="533" t="s">
        <v>1411</v>
      </c>
      <c r="H211" s="553" t="s">
        <v>1847</v>
      </c>
      <c r="I211" s="534" t="s">
        <v>43</v>
      </c>
      <c r="J211" s="535">
        <v>593859</v>
      </c>
      <c r="K211" s="535">
        <v>0</v>
      </c>
      <c r="L211" s="535">
        <v>570266</v>
      </c>
      <c r="M211" s="535"/>
      <c r="N211" s="535"/>
      <c r="O211" s="535"/>
      <c r="P211" s="547"/>
      <c r="Q211" s="538"/>
      <c r="R211" s="538"/>
      <c r="S211" s="535">
        <f t="shared" si="10"/>
        <v>0</v>
      </c>
      <c r="T211" s="539">
        <v>3</v>
      </c>
      <c r="U211" s="558">
        <v>40</v>
      </c>
      <c r="V211" s="545">
        <v>44294</v>
      </c>
      <c r="W211" s="542">
        <v>44312</v>
      </c>
      <c r="X211" s="539"/>
      <c r="Y211" s="539"/>
      <c r="Z211" s="542"/>
      <c r="AA211" s="542"/>
      <c r="AB211" s="539"/>
      <c r="AC211" s="544"/>
      <c r="AD211" s="540"/>
      <c r="AE211" s="542"/>
      <c r="AF211" s="554"/>
      <c r="AG211" s="542"/>
      <c r="AH211" s="542"/>
      <c r="AI211" s="542"/>
      <c r="AJ211" s="554"/>
      <c r="AK211" s="539"/>
      <c r="AL211" s="542"/>
      <c r="AM211" s="542"/>
      <c r="AN211" s="542"/>
      <c r="AO211" s="542"/>
      <c r="AP211" s="542"/>
      <c r="AQ211" s="542"/>
      <c r="AR211" s="22">
        <f t="shared" si="11"/>
        <v>3</v>
      </c>
      <c r="AS211" s="546">
        <f t="shared" si="9"/>
        <v>3</v>
      </c>
      <c r="AT211" s="148"/>
      <c r="AU211" s="148"/>
      <c r="AV211" s="148"/>
      <c r="AW211" s="148"/>
      <c r="AX211" s="148"/>
      <c r="AY211" s="148"/>
      <c r="AZ211" s="148"/>
      <c r="BA211" s="148"/>
      <c r="BB211" s="148"/>
      <c r="BC211" s="148"/>
      <c r="BD211" s="148"/>
      <c r="BE211" s="148"/>
      <c r="BF211" s="148"/>
      <c r="BG211" s="148"/>
      <c r="BH211" s="148"/>
      <c r="BI211" s="148"/>
      <c r="BJ211" s="148"/>
      <c r="BK211" s="148"/>
      <c r="BL211" s="148"/>
      <c r="BM211" s="148"/>
      <c r="BN211" s="148"/>
      <c r="BO211" s="148"/>
      <c r="BP211" s="148"/>
      <c r="BQ211" s="148"/>
      <c r="BR211" s="148"/>
      <c r="BS211" s="148"/>
      <c r="BT211" s="148"/>
      <c r="BU211" s="148"/>
      <c r="BV211" s="148"/>
      <c r="BW211" s="148"/>
      <c r="BX211" s="148"/>
      <c r="BY211" s="148"/>
      <c r="BZ211" s="148"/>
      <c r="CA211" s="148"/>
      <c r="CB211" s="148"/>
      <c r="CC211" s="148"/>
      <c r="CD211" s="148"/>
      <c r="CE211" s="148"/>
      <c r="CF211" s="148"/>
      <c r="CG211" s="148"/>
      <c r="CH211" s="148"/>
      <c r="CI211" s="148"/>
      <c r="CJ211" s="148"/>
      <c r="CK211" s="148"/>
      <c r="CL211" s="148"/>
      <c r="CM211" s="148"/>
      <c r="CN211" s="148"/>
      <c r="CO211" s="148"/>
      <c r="CP211" s="148"/>
      <c r="CQ211" s="148"/>
      <c r="CR211" s="148"/>
      <c r="CS211" s="148"/>
      <c r="CT211" s="148"/>
      <c r="CU211" s="148"/>
      <c r="CV211" s="148"/>
      <c r="CW211" s="148"/>
      <c r="CX211" s="148"/>
      <c r="CY211" s="148"/>
      <c r="CZ211" s="148"/>
      <c r="DA211" s="148"/>
      <c r="DB211" s="148"/>
      <c r="DC211" s="148"/>
      <c r="DD211" s="148"/>
      <c r="DE211" s="148"/>
      <c r="DF211" s="148"/>
      <c r="DG211" s="148"/>
      <c r="DH211" s="148"/>
      <c r="DI211" s="148"/>
      <c r="DJ211" s="148"/>
      <c r="DK211" s="148"/>
      <c r="DL211" s="148"/>
      <c r="DM211" s="148"/>
      <c r="DN211" s="148"/>
      <c r="DO211" s="148"/>
      <c r="DP211" s="148"/>
      <c r="DQ211" s="148"/>
      <c r="DR211" s="148"/>
      <c r="DS211" s="148"/>
      <c r="DT211" s="148"/>
      <c r="DU211" s="148"/>
      <c r="DV211" s="148"/>
      <c r="DW211" s="148"/>
      <c r="DX211" s="148"/>
      <c r="DY211" s="148"/>
      <c r="DZ211" s="148"/>
      <c r="EA211" s="148"/>
      <c r="EB211" s="148"/>
      <c r="EC211" s="148"/>
      <c r="ED211" s="148"/>
      <c r="EE211" s="148"/>
      <c r="EF211" s="148"/>
      <c r="EG211" s="148"/>
      <c r="EH211" s="148"/>
      <c r="EI211" s="148"/>
      <c r="EJ211" s="148"/>
      <c r="EK211" s="148"/>
      <c r="EL211" s="148"/>
      <c r="EM211" s="148"/>
      <c r="EN211" s="148"/>
      <c r="EO211" s="148"/>
      <c r="EP211" s="148"/>
      <c r="EQ211" s="148"/>
      <c r="ER211" s="148"/>
      <c r="ES211" s="148"/>
      <c r="ET211" s="148"/>
      <c r="EU211" s="148"/>
      <c r="EV211" s="148"/>
      <c r="EW211" s="148"/>
      <c r="EX211" s="148"/>
      <c r="EY211" s="148"/>
      <c r="EZ211" s="148"/>
      <c r="FA211" s="148"/>
      <c r="FB211" s="148"/>
      <c r="FC211" s="148"/>
      <c r="FD211" s="148"/>
      <c r="FE211" s="148"/>
      <c r="FF211" s="148"/>
      <c r="FG211" s="148"/>
      <c r="FH211" s="148"/>
      <c r="FI211" s="148"/>
      <c r="FJ211" s="148"/>
      <c r="FK211" s="148"/>
      <c r="FL211" s="148"/>
      <c r="FM211" s="148"/>
      <c r="FN211" s="148"/>
      <c r="FO211" s="148"/>
      <c r="FP211" s="148"/>
      <c r="FQ211" s="148"/>
      <c r="FR211" s="148"/>
    </row>
    <row r="212" spans="1:174" s="15" customFormat="1" ht="13.5" customHeight="1" x14ac:dyDescent="0.2">
      <c r="A212" s="148"/>
      <c r="B212" s="307">
        <v>212</v>
      </c>
      <c r="C212" s="312" t="s">
        <v>38</v>
      </c>
      <c r="D212" s="562" t="s">
        <v>1848</v>
      </c>
      <c r="E212" s="569" t="s">
        <v>1849</v>
      </c>
      <c r="F212" s="533" t="s">
        <v>45</v>
      </c>
      <c r="G212" s="533" t="s">
        <v>1411</v>
      </c>
      <c r="H212" s="553" t="s">
        <v>1644</v>
      </c>
      <c r="I212" s="534" t="s">
        <v>42</v>
      </c>
      <c r="J212" s="535">
        <v>2496000</v>
      </c>
      <c r="K212" s="535">
        <v>2181728</v>
      </c>
      <c r="L212" s="535">
        <v>0</v>
      </c>
      <c r="M212" s="535"/>
      <c r="N212" s="535"/>
      <c r="O212" s="535"/>
      <c r="P212" s="548">
        <v>165898.81</v>
      </c>
      <c r="Q212" s="538"/>
      <c r="R212" s="538">
        <v>13812.84</v>
      </c>
      <c r="S212" s="535">
        <f t="shared" si="10"/>
        <v>179711.65</v>
      </c>
      <c r="T212" s="539">
        <v>167848</v>
      </c>
      <c r="U212" s="558">
        <v>40</v>
      </c>
      <c r="V212" s="545">
        <v>44294</v>
      </c>
      <c r="W212" s="542">
        <v>44312</v>
      </c>
      <c r="X212" s="539">
        <v>2</v>
      </c>
      <c r="Y212" s="539">
        <v>42</v>
      </c>
      <c r="Z212" s="542">
        <v>44294</v>
      </c>
      <c r="AA212" s="542">
        <v>44313</v>
      </c>
      <c r="AB212" s="539">
        <v>1</v>
      </c>
      <c r="AC212" s="539">
        <v>46</v>
      </c>
      <c r="AD212" s="542">
        <v>44295</v>
      </c>
      <c r="AE212" s="542">
        <v>44327</v>
      </c>
      <c r="AF212" s="539">
        <v>20000</v>
      </c>
      <c r="AG212" s="539">
        <v>48</v>
      </c>
      <c r="AH212" s="542">
        <v>44295</v>
      </c>
      <c r="AI212" s="542">
        <v>44314</v>
      </c>
      <c r="AJ212" s="539">
        <v>23022</v>
      </c>
      <c r="AK212" s="539">
        <v>62</v>
      </c>
      <c r="AL212" s="542">
        <v>44327</v>
      </c>
      <c r="AM212" s="542">
        <v>44355</v>
      </c>
      <c r="AN212" s="542"/>
      <c r="AO212" s="542"/>
      <c r="AP212" s="542"/>
      <c r="AQ212" s="542"/>
      <c r="AR212" s="22">
        <f t="shared" si="11"/>
        <v>210873</v>
      </c>
      <c r="AS212" s="546">
        <f t="shared" si="9"/>
        <v>31161.350000000006</v>
      </c>
      <c r="AT212" s="148"/>
      <c r="AU212" s="148"/>
      <c r="AV212" s="148"/>
      <c r="AW212" s="148"/>
      <c r="AX212" s="148"/>
      <c r="AY212" s="148"/>
      <c r="AZ212" s="148"/>
      <c r="BA212" s="148"/>
      <c r="BB212" s="148"/>
      <c r="BC212" s="148"/>
      <c r="BD212" s="148"/>
      <c r="BE212" s="148"/>
      <c r="BF212" s="148"/>
      <c r="BG212" s="148"/>
      <c r="BH212" s="148"/>
      <c r="BI212" s="148"/>
      <c r="BJ212" s="148"/>
      <c r="BK212" s="148"/>
      <c r="BL212" s="148"/>
      <c r="BM212" s="148"/>
      <c r="BN212" s="148"/>
      <c r="BO212" s="148"/>
      <c r="BP212" s="148"/>
      <c r="BQ212" s="148"/>
      <c r="BR212" s="148"/>
      <c r="BS212" s="148"/>
      <c r="BT212" s="148"/>
      <c r="BU212" s="148"/>
      <c r="BV212" s="148"/>
      <c r="BW212" s="148"/>
      <c r="BX212" s="148"/>
      <c r="BY212" s="148"/>
      <c r="BZ212" s="148"/>
      <c r="CA212" s="148"/>
      <c r="CB212" s="148"/>
      <c r="CC212" s="148"/>
      <c r="CD212" s="148"/>
      <c r="CE212" s="148"/>
      <c r="CF212" s="148"/>
      <c r="CG212" s="148"/>
      <c r="CH212" s="148"/>
      <c r="CI212" s="148"/>
      <c r="CJ212" s="148"/>
      <c r="CK212" s="148"/>
      <c r="CL212" s="148"/>
      <c r="CM212" s="148"/>
      <c r="CN212" s="148"/>
      <c r="CO212" s="148"/>
      <c r="CP212" s="148"/>
      <c r="CQ212" s="148"/>
      <c r="CR212" s="148"/>
      <c r="CS212" s="148"/>
      <c r="CT212" s="148"/>
      <c r="CU212" s="148"/>
      <c r="CV212" s="148"/>
      <c r="CW212" s="148"/>
      <c r="CX212" s="148"/>
      <c r="CY212" s="148"/>
      <c r="CZ212" s="148"/>
      <c r="DA212" s="148"/>
      <c r="DB212" s="148"/>
      <c r="DC212" s="148"/>
      <c r="DD212" s="148"/>
      <c r="DE212" s="148"/>
      <c r="DF212" s="148"/>
      <c r="DG212" s="148"/>
      <c r="DH212" s="148"/>
      <c r="DI212" s="148"/>
      <c r="DJ212" s="148"/>
      <c r="DK212" s="148"/>
      <c r="DL212" s="148"/>
      <c r="DM212" s="148"/>
      <c r="DN212" s="148"/>
      <c r="DO212" s="148"/>
      <c r="DP212" s="148"/>
      <c r="DQ212" s="148"/>
      <c r="DR212" s="148"/>
      <c r="DS212" s="148"/>
      <c r="DT212" s="148"/>
      <c r="DU212" s="148"/>
      <c r="DV212" s="148"/>
      <c r="DW212" s="148"/>
      <c r="DX212" s="148"/>
      <c r="DY212" s="148"/>
      <c r="DZ212" s="148"/>
      <c r="EA212" s="148"/>
      <c r="EB212" s="148"/>
      <c r="EC212" s="148"/>
      <c r="ED212" s="148"/>
      <c r="EE212" s="148"/>
      <c r="EF212" s="148"/>
      <c r="EG212" s="148"/>
      <c r="EH212" s="148"/>
      <c r="EI212" s="148"/>
      <c r="EJ212" s="148"/>
      <c r="EK212" s="148"/>
      <c r="EL212" s="148"/>
      <c r="EM212" s="148"/>
      <c r="EN212" s="148"/>
      <c r="EO212" s="148"/>
      <c r="EP212" s="148"/>
      <c r="EQ212" s="148"/>
      <c r="ER212" s="148"/>
      <c r="ES212" s="148"/>
      <c r="ET212" s="148"/>
      <c r="EU212" s="148"/>
      <c r="EV212" s="148"/>
      <c r="EW212" s="148"/>
      <c r="EX212" s="148"/>
      <c r="EY212" s="148"/>
      <c r="EZ212" s="148"/>
      <c r="FA212" s="148"/>
      <c r="FB212" s="148"/>
      <c r="FC212" s="148"/>
      <c r="FD212" s="148"/>
      <c r="FE212" s="148"/>
      <c r="FF212" s="148"/>
      <c r="FG212" s="148"/>
      <c r="FH212" s="148"/>
      <c r="FI212" s="148"/>
      <c r="FJ212" s="148"/>
      <c r="FK212" s="148"/>
      <c r="FL212" s="148"/>
      <c r="FM212" s="148"/>
      <c r="FN212" s="148"/>
      <c r="FO212" s="148"/>
      <c r="FP212" s="148"/>
      <c r="FQ212" s="148"/>
      <c r="FR212" s="148"/>
    </row>
    <row r="213" spans="1:174" s="15" customFormat="1" ht="13.5" customHeight="1" x14ac:dyDescent="0.2">
      <c r="A213" s="148"/>
      <c r="B213" s="307">
        <v>213</v>
      </c>
      <c r="C213" s="307" t="s">
        <v>38</v>
      </c>
      <c r="D213" s="562" t="s">
        <v>1850</v>
      </c>
      <c r="E213" s="569" t="s">
        <v>1851</v>
      </c>
      <c r="F213" s="533" t="s">
        <v>45</v>
      </c>
      <c r="G213" s="533" t="s">
        <v>1411</v>
      </c>
      <c r="H213" s="553" t="s">
        <v>1847</v>
      </c>
      <c r="I213" s="534" t="s">
        <v>42</v>
      </c>
      <c r="J213" s="535">
        <v>395511</v>
      </c>
      <c r="K213" s="535">
        <v>384988</v>
      </c>
      <c r="L213" s="535">
        <v>0</v>
      </c>
      <c r="M213" s="535"/>
      <c r="N213" s="535"/>
      <c r="O213" s="535"/>
      <c r="P213" s="547"/>
      <c r="Q213" s="538"/>
      <c r="R213" s="538">
        <v>10522.218000000001</v>
      </c>
      <c r="S213" s="535">
        <f t="shared" si="10"/>
        <v>10522.218000000001</v>
      </c>
      <c r="T213" s="539">
        <v>2</v>
      </c>
      <c r="U213" s="558">
        <v>41</v>
      </c>
      <c r="V213" s="545">
        <v>44294</v>
      </c>
      <c r="W213" s="542">
        <v>44315</v>
      </c>
      <c r="X213" s="539">
        <v>10521</v>
      </c>
      <c r="Y213" s="539">
        <v>71</v>
      </c>
      <c r="Z213" s="542">
        <v>44354</v>
      </c>
      <c r="AA213" s="542">
        <v>44376</v>
      </c>
      <c r="AB213" s="539"/>
      <c r="AC213" s="544"/>
      <c r="AD213" s="540"/>
      <c r="AE213" s="542"/>
      <c r="AF213" s="542"/>
      <c r="AG213" s="542"/>
      <c r="AH213" s="542"/>
      <c r="AI213" s="542"/>
      <c r="AJ213" s="554"/>
      <c r="AK213" s="539"/>
      <c r="AL213" s="542"/>
      <c r="AM213" s="542"/>
      <c r="AN213" s="542"/>
      <c r="AO213" s="542"/>
      <c r="AP213" s="542"/>
      <c r="AQ213" s="542"/>
      <c r="AR213" s="22">
        <f t="shared" si="11"/>
        <v>10523</v>
      </c>
      <c r="AS213" s="546">
        <f t="shared" si="9"/>
        <v>0.7819999999992433</v>
      </c>
      <c r="AT213" s="148"/>
      <c r="AU213" s="148"/>
      <c r="AV213" s="148"/>
      <c r="AW213" s="148"/>
      <c r="AX213" s="148"/>
      <c r="AY213" s="148"/>
      <c r="AZ213" s="148"/>
      <c r="BA213" s="148"/>
      <c r="BB213" s="148"/>
      <c r="BC213" s="148"/>
      <c r="BD213" s="148"/>
      <c r="BE213" s="148"/>
      <c r="BF213" s="148"/>
      <c r="BG213" s="148"/>
      <c r="BH213" s="148"/>
      <c r="BI213" s="148"/>
      <c r="BJ213" s="148"/>
      <c r="BK213" s="148"/>
      <c r="BL213" s="148"/>
      <c r="BM213" s="148"/>
      <c r="BN213" s="148"/>
      <c r="BO213" s="148"/>
      <c r="BP213" s="148"/>
      <c r="BQ213" s="148"/>
      <c r="BR213" s="148"/>
      <c r="BS213" s="148"/>
      <c r="BT213" s="148"/>
      <c r="BU213" s="148"/>
      <c r="BV213" s="148"/>
      <c r="BW213" s="148"/>
      <c r="BX213" s="148"/>
      <c r="BY213" s="148"/>
      <c r="BZ213" s="148"/>
      <c r="CA213" s="148"/>
      <c r="CB213" s="148"/>
      <c r="CC213" s="148"/>
      <c r="CD213" s="148"/>
      <c r="CE213" s="148"/>
      <c r="CF213" s="148"/>
      <c r="CG213" s="148"/>
      <c r="CH213" s="148"/>
      <c r="CI213" s="148"/>
      <c r="CJ213" s="148"/>
      <c r="CK213" s="148"/>
      <c r="CL213" s="148"/>
      <c r="CM213" s="148"/>
      <c r="CN213" s="148"/>
      <c r="CO213" s="148"/>
      <c r="CP213" s="148"/>
      <c r="CQ213" s="148"/>
      <c r="CR213" s="148"/>
      <c r="CS213" s="148"/>
      <c r="CT213" s="148"/>
      <c r="CU213" s="148"/>
      <c r="CV213" s="148"/>
      <c r="CW213" s="148"/>
      <c r="CX213" s="148"/>
      <c r="CY213" s="148"/>
      <c r="CZ213" s="148"/>
      <c r="DA213" s="148"/>
      <c r="DB213" s="148"/>
      <c r="DC213" s="148"/>
      <c r="DD213" s="148"/>
      <c r="DE213" s="148"/>
      <c r="DF213" s="148"/>
      <c r="DG213" s="148"/>
      <c r="DH213" s="148"/>
      <c r="DI213" s="148"/>
      <c r="DJ213" s="148"/>
      <c r="DK213" s="148"/>
      <c r="DL213" s="148"/>
      <c r="DM213" s="148"/>
      <c r="DN213" s="148"/>
      <c r="DO213" s="148"/>
      <c r="DP213" s="148"/>
      <c r="DQ213" s="148"/>
      <c r="DR213" s="148"/>
      <c r="DS213" s="148"/>
      <c r="DT213" s="148"/>
      <c r="DU213" s="148"/>
      <c r="DV213" s="148"/>
      <c r="DW213" s="148"/>
      <c r="DX213" s="148"/>
      <c r="DY213" s="148"/>
      <c r="DZ213" s="148"/>
      <c r="EA213" s="148"/>
      <c r="EB213" s="148"/>
      <c r="EC213" s="148"/>
      <c r="ED213" s="148"/>
      <c r="EE213" s="148"/>
      <c r="EF213" s="148"/>
      <c r="EG213" s="148"/>
      <c r="EH213" s="148"/>
      <c r="EI213" s="148"/>
      <c r="EJ213" s="148"/>
      <c r="EK213" s="148"/>
      <c r="EL213" s="148"/>
      <c r="EM213" s="148"/>
      <c r="EN213" s="148"/>
      <c r="EO213" s="148"/>
      <c r="EP213" s="148"/>
      <c r="EQ213" s="148"/>
      <c r="ER213" s="148"/>
      <c r="ES213" s="148"/>
      <c r="ET213" s="148"/>
      <c r="EU213" s="148"/>
      <c r="EV213" s="148"/>
      <c r="EW213" s="148"/>
      <c r="EX213" s="148"/>
      <c r="EY213" s="148"/>
      <c r="EZ213" s="148"/>
      <c r="FA213" s="148"/>
      <c r="FB213" s="148"/>
      <c r="FC213" s="148"/>
      <c r="FD213" s="148"/>
      <c r="FE213" s="148"/>
      <c r="FF213" s="148"/>
      <c r="FG213" s="148"/>
      <c r="FH213" s="148"/>
      <c r="FI213" s="148"/>
      <c r="FJ213" s="148"/>
      <c r="FK213" s="148"/>
      <c r="FL213" s="148"/>
      <c r="FM213" s="148"/>
      <c r="FN213" s="148"/>
      <c r="FO213" s="148"/>
      <c r="FP213" s="148"/>
      <c r="FQ213" s="148"/>
      <c r="FR213" s="148"/>
    </row>
    <row r="214" spans="1:174" s="15" customFormat="1" ht="13.5" customHeight="1" x14ac:dyDescent="0.2">
      <c r="A214" s="148"/>
      <c r="B214" s="307">
        <v>214</v>
      </c>
      <c r="C214" s="312" t="s">
        <v>38</v>
      </c>
      <c r="D214" s="562" t="s">
        <v>1852</v>
      </c>
      <c r="E214" s="569" t="s">
        <v>1853</v>
      </c>
      <c r="F214" s="533" t="s">
        <v>45</v>
      </c>
      <c r="G214" s="533" t="s">
        <v>1411</v>
      </c>
      <c r="H214" s="553" t="s">
        <v>1495</v>
      </c>
      <c r="I214" s="534" t="s">
        <v>42</v>
      </c>
      <c r="J214" s="535">
        <v>237066</v>
      </c>
      <c r="K214" s="535">
        <v>233326</v>
      </c>
      <c r="L214" s="535">
        <v>0</v>
      </c>
      <c r="M214" s="535"/>
      <c r="N214" s="535"/>
      <c r="O214" s="535"/>
      <c r="P214" s="547"/>
      <c r="Q214" s="538"/>
      <c r="R214" s="538"/>
      <c r="S214" s="535">
        <f t="shared" si="10"/>
        <v>0</v>
      </c>
      <c r="T214" s="539">
        <v>2</v>
      </c>
      <c r="U214" s="558">
        <v>41</v>
      </c>
      <c r="V214" s="545">
        <v>44294</v>
      </c>
      <c r="W214" s="542">
        <v>44315</v>
      </c>
      <c r="X214" s="542"/>
      <c r="Y214" s="542"/>
      <c r="Z214" s="542"/>
      <c r="AA214" s="542"/>
      <c r="AB214" s="539"/>
      <c r="AC214" s="544"/>
      <c r="AD214" s="540"/>
      <c r="AE214" s="542"/>
      <c r="AF214" s="542"/>
      <c r="AG214" s="542"/>
      <c r="AH214" s="542"/>
      <c r="AI214" s="542"/>
      <c r="AJ214" s="554"/>
      <c r="AK214" s="539"/>
      <c r="AL214" s="542"/>
      <c r="AM214" s="542"/>
      <c r="AN214" s="542"/>
      <c r="AO214" s="542"/>
      <c r="AP214" s="542"/>
      <c r="AQ214" s="542"/>
      <c r="AR214" s="22">
        <f t="shared" si="11"/>
        <v>2</v>
      </c>
      <c r="AS214" s="546">
        <f t="shared" si="9"/>
        <v>2</v>
      </c>
      <c r="AT214" s="148"/>
      <c r="AU214" s="148"/>
      <c r="AV214" s="148"/>
      <c r="AW214" s="148"/>
      <c r="AX214" s="148"/>
      <c r="AY214" s="148"/>
      <c r="AZ214" s="148"/>
      <c r="BA214" s="148"/>
      <c r="BB214" s="148"/>
      <c r="BC214" s="148"/>
      <c r="BD214" s="148"/>
      <c r="BE214" s="148"/>
      <c r="BF214" s="148"/>
      <c r="BG214" s="148"/>
      <c r="BH214" s="148"/>
      <c r="BI214" s="148"/>
      <c r="BJ214" s="148"/>
      <c r="BK214" s="148"/>
      <c r="BL214" s="148"/>
      <c r="BM214" s="148"/>
      <c r="BN214" s="148"/>
      <c r="BO214" s="148"/>
      <c r="BP214" s="148"/>
      <c r="BQ214" s="148"/>
      <c r="BR214" s="148"/>
      <c r="BS214" s="148"/>
      <c r="BT214" s="148"/>
      <c r="BU214" s="148"/>
      <c r="BV214" s="148"/>
      <c r="BW214" s="148"/>
      <c r="BX214" s="148"/>
      <c r="BY214" s="148"/>
      <c r="BZ214" s="148"/>
      <c r="CA214" s="148"/>
      <c r="CB214" s="148"/>
      <c r="CC214" s="148"/>
      <c r="CD214" s="148"/>
      <c r="CE214" s="148"/>
      <c r="CF214" s="148"/>
      <c r="CG214" s="148"/>
      <c r="CH214" s="148"/>
      <c r="CI214" s="148"/>
      <c r="CJ214" s="148"/>
      <c r="CK214" s="148"/>
      <c r="CL214" s="148"/>
      <c r="CM214" s="148"/>
      <c r="CN214" s="148"/>
      <c r="CO214" s="148"/>
      <c r="CP214" s="148"/>
      <c r="CQ214" s="148"/>
      <c r="CR214" s="148"/>
      <c r="CS214" s="148"/>
      <c r="CT214" s="148"/>
      <c r="CU214" s="148"/>
      <c r="CV214" s="148"/>
      <c r="CW214" s="148"/>
      <c r="CX214" s="148"/>
      <c r="CY214" s="148"/>
      <c r="CZ214" s="148"/>
      <c r="DA214" s="148"/>
      <c r="DB214" s="148"/>
      <c r="DC214" s="148"/>
      <c r="DD214" s="148"/>
      <c r="DE214" s="148"/>
      <c r="DF214" s="148"/>
      <c r="DG214" s="148"/>
      <c r="DH214" s="148"/>
      <c r="DI214" s="148"/>
      <c r="DJ214" s="148"/>
      <c r="DK214" s="148"/>
      <c r="DL214" s="148"/>
      <c r="DM214" s="148"/>
      <c r="DN214" s="148"/>
      <c r="DO214" s="148"/>
      <c r="DP214" s="148"/>
      <c r="DQ214" s="148"/>
      <c r="DR214" s="148"/>
      <c r="DS214" s="148"/>
      <c r="DT214" s="148"/>
      <c r="DU214" s="148"/>
      <c r="DV214" s="148"/>
      <c r="DW214" s="148"/>
      <c r="DX214" s="148"/>
      <c r="DY214" s="148"/>
      <c r="DZ214" s="148"/>
      <c r="EA214" s="148"/>
      <c r="EB214" s="148"/>
      <c r="EC214" s="148"/>
      <c r="ED214" s="148"/>
      <c r="EE214" s="148"/>
      <c r="EF214" s="148"/>
      <c r="EG214" s="148"/>
      <c r="EH214" s="148"/>
      <c r="EI214" s="148"/>
      <c r="EJ214" s="148"/>
      <c r="EK214" s="148"/>
      <c r="EL214" s="148"/>
      <c r="EM214" s="148"/>
      <c r="EN214" s="148"/>
      <c r="EO214" s="148"/>
      <c r="EP214" s="148"/>
      <c r="EQ214" s="148"/>
      <c r="ER214" s="148"/>
      <c r="ES214" s="148"/>
      <c r="ET214" s="148"/>
      <c r="EU214" s="148"/>
      <c r="EV214" s="148"/>
      <c r="EW214" s="148"/>
      <c r="EX214" s="148"/>
      <c r="EY214" s="148"/>
      <c r="EZ214" s="148"/>
      <c r="FA214" s="148"/>
      <c r="FB214" s="148"/>
      <c r="FC214" s="148"/>
      <c r="FD214" s="148"/>
      <c r="FE214" s="148"/>
      <c r="FF214" s="148"/>
      <c r="FG214" s="148"/>
      <c r="FH214" s="148"/>
      <c r="FI214" s="148"/>
      <c r="FJ214" s="148"/>
      <c r="FK214" s="148"/>
      <c r="FL214" s="148"/>
      <c r="FM214" s="148"/>
      <c r="FN214" s="148"/>
      <c r="FO214" s="148"/>
      <c r="FP214" s="148"/>
      <c r="FQ214" s="148"/>
      <c r="FR214" s="148"/>
    </row>
    <row r="215" spans="1:174" s="15" customFormat="1" ht="13.5" customHeight="1" x14ac:dyDescent="0.2">
      <c r="A215" s="148"/>
      <c r="B215" s="307">
        <v>215</v>
      </c>
      <c r="C215" s="312" t="s">
        <v>38</v>
      </c>
      <c r="D215" s="562" t="s">
        <v>1854</v>
      </c>
      <c r="E215" s="569" t="s">
        <v>1855</v>
      </c>
      <c r="F215" s="533" t="s">
        <v>45</v>
      </c>
      <c r="G215" s="533" t="s">
        <v>1411</v>
      </c>
      <c r="H215" s="553" t="s">
        <v>1448</v>
      </c>
      <c r="I215" s="534" t="s">
        <v>42</v>
      </c>
      <c r="J215" s="535">
        <v>2818011</v>
      </c>
      <c r="K215" s="535">
        <v>1135199</v>
      </c>
      <c r="L215" s="535">
        <v>94613</v>
      </c>
      <c r="M215" s="535"/>
      <c r="N215" s="535"/>
      <c r="O215" s="535"/>
      <c r="P215" s="547"/>
      <c r="Q215" s="538"/>
      <c r="R215" s="538"/>
      <c r="S215" s="535">
        <f t="shared" si="10"/>
        <v>0</v>
      </c>
      <c r="T215" s="539">
        <v>1</v>
      </c>
      <c r="U215" s="558">
        <v>48</v>
      </c>
      <c r="V215" s="545">
        <v>44295</v>
      </c>
      <c r="W215" s="542">
        <v>44314</v>
      </c>
      <c r="X215" s="542"/>
      <c r="Y215" s="542"/>
      <c r="Z215" s="542"/>
      <c r="AA215" s="542"/>
      <c r="AB215" s="539"/>
      <c r="AC215" s="544"/>
      <c r="AD215" s="540"/>
      <c r="AE215" s="542"/>
      <c r="AF215" s="542"/>
      <c r="AG215" s="542"/>
      <c r="AH215" s="542"/>
      <c r="AI215" s="542"/>
      <c r="AJ215" s="554"/>
      <c r="AK215" s="539"/>
      <c r="AL215" s="542"/>
      <c r="AM215" s="542"/>
      <c r="AN215" s="542"/>
      <c r="AO215" s="542"/>
      <c r="AP215" s="542"/>
      <c r="AQ215" s="542"/>
      <c r="AR215" s="22">
        <f t="shared" si="11"/>
        <v>1</v>
      </c>
      <c r="AS215" s="546">
        <f t="shared" si="9"/>
        <v>1</v>
      </c>
      <c r="AT215" s="148"/>
      <c r="AU215" s="148"/>
      <c r="AV215" s="148"/>
      <c r="AW215" s="148"/>
      <c r="AX215" s="148"/>
      <c r="AY215" s="148"/>
      <c r="AZ215" s="148"/>
      <c r="BA215" s="148"/>
      <c r="BB215" s="148"/>
      <c r="BC215" s="148"/>
      <c r="BD215" s="148"/>
      <c r="BE215" s="148"/>
      <c r="BF215" s="148"/>
      <c r="BG215" s="148"/>
      <c r="BH215" s="148"/>
      <c r="BI215" s="148"/>
      <c r="BJ215" s="148"/>
      <c r="BK215" s="148"/>
      <c r="BL215" s="148"/>
      <c r="BM215" s="148"/>
      <c r="BN215" s="148"/>
      <c r="BO215" s="148"/>
      <c r="BP215" s="148"/>
      <c r="BQ215" s="148"/>
      <c r="BR215" s="148"/>
      <c r="BS215" s="148"/>
      <c r="BT215" s="148"/>
      <c r="BU215" s="148"/>
      <c r="BV215" s="148"/>
      <c r="BW215" s="148"/>
      <c r="BX215" s="148"/>
      <c r="BY215" s="148"/>
      <c r="BZ215" s="148"/>
      <c r="CA215" s="148"/>
      <c r="CB215" s="148"/>
      <c r="CC215" s="148"/>
      <c r="CD215" s="148"/>
      <c r="CE215" s="148"/>
      <c r="CF215" s="148"/>
      <c r="CG215" s="148"/>
      <c r="CH215" s="148"/>
      <c r="CI215" s="148"/>
      <c r="CJ215" s="148"/>
      <c r="CK215" s="148"/>
      <c r="CL215" s="148"/>
      <c r="CM215" s="148"/>
      <c r="CN215" s="148"/>
      <c r="CO215" s="148"/>
      <c r="CP215" s="148"/>
      <c r="CQ215" s="148"/>
      <c r="CR215" s="148"/>
      <c r="CS215" s="148"/>
      <c r="CT215" s="148"/>
      <c r="CU215" s="148"/>
      <c r="CV215" s="148"/>
      <c r="CW215" s="148"/>
      <c r="CX215" s="148"/>
      <c r="CY215" s="148"/>
      <c r="CZ215" s="148"/>
      <c r="DA215" s="148"/>
      <c r="DB215" s="148"/>
      <c r="DC215" s="148"/>
      <c r="DD215" s="148"/>
      <c r="DE215" s="148"/>
      <c r="DF215" s="148"/>
      <c r="DG215" s="148"/>
      <c r="DH215" s="148"/>
      <c r="DI215" s="148"/>
      <c r="DJ215" s="148"/>
      <c r="DK215" s="148"/>
      <c r="DL215" s="148"/>
      <c r="DM215" s="148"/>
      <c r="DN215" s="148"/>
      <c r="DO215" s="148"/>
      <c r="DP215" s="148"/>
      <c r="DQ215" s="148"/>
      <c r="DR215" s="148"/>
      <c r="DS215" s="148"/>
      <c r="DT215" s="148"/>
      <c r="DU215" s="148"/>
      <c r="DV215" s="148"/>
      <c r="DW215" s="148"/>
      <c r="DX215" s="148"/>
      <c r="DY215" s="148"/>
      <c r="DZ215" s="148"/>
      <c r="EA215" s="148"/>
      <c r="EB215" s="148"/>
      <c r="EC215" s="148"/>
      <c r="ED215" s="148"/>
      <c r="EE215" s="148"/>
      <c r="EF215" s="148"/>
      <c r="EG215" s="148"/>
      <c r="EH215" s="148"/>
      <c r="EI215" s="148"/>
      <c r="EJ215" s="148"/>
      <c r="EK215" s="148"/>
      <c r="EL215" s="148"/>
      <c r="EM215" s="148"/>
      <c r="EN215" s="148"/>
      <c r="EO215" s="148"/>
      <c r="EP215" s="148"/>
      <c r="EQ215" s="148"/>
      <c r="ER215" s="148"/>
      <c r="ES215" s="148"/>
      <c r="ET215" s="148"/>
      <c r="EU215" s="148"/>
      <c r="EV215" s="148"/>
      <c r="EW215" s="148"/>
      <c r="EX215" s="148"/>
      <c r="EY215" s="148"/>
      <c r="EZ215" s="148"/>
      <c r="FA215" s="148"/>
      <c r="FB215" s="148"/>
      <c r="FC215" s="148"/>
      <c r="FD215" s="148"/>
      <c r="FE215" s="148"/>
      <c r="FF215" s="148"/>
      <c r="FG215" s="148"/>
      <c r="FH215" s="148"/>
      <c r="FI215" s="148"/>
      <c r="FJ215" s="148"/>
      <c r="FK215" s="148"/>
      <c r="FL215" s="148"/>
      <c r="FM215" s="148"/>
      <c r="FN215" s="148"/>
      <c r="FO215" s="148"/>
      <c r="FP215" s="148"/>
      <c r="FQ215" s="148"/>
      <c r="FR215" s="148"/>
    </row>
    <row r="216" spans="1:174" s="15" customFormat="1" ht="13.5" customHeight="1" x14ac:dyDescent="0.2">
      <c r="A216" s="148"/>
      <c r="B216" s="307">
        <v>216</v>
      </c>
      <c r="C216" s="312" t="s">
        <v>38</v>
      </c>
      <c r="D216" s="562" t="s">
        <v>1856</v>
      </c>
      <c r="E216" s="569" t="s">
        <v>1857</v>
      </c>
      <c r="F216" s="533" t="s">
        <v>45</v>
      </c>
      <c r="G216" s="533" t="s">
        <v>1411</v>
      </c>
      <c r="H216" s="553" t="s">
        <v>1412</v>
      </c>
      <c r="I216" s="534" t="s">
        <v>43</v>
      </c>
      <c r="J216" s="535">
        <v>171168</v>
      </c>
      <c r="K216" s="535">
        <v>0</v>
      </c>
      <c r="L216" s="535">
        <v>0</v>
      </c>
      <c r="M216" s="535"/>
      <c r="N216" s="535"/>
      <c r="O216" s="535"/>
      <c r="P216" s="547"/>
      <c r="Q216" s="538"/>
      <c r="R216" s="538"/>
      <c r="S216" s="535">
        <f t="shared" si="10"/>
        <v>0</v>
      </c>
      <c r="T216" s="539">
        <v>2</v>
      </c>
      <c r="U216" s="558">
        <v>55</v>
      </c>
      <c r="V216" s="545">
        <v>44323</v>
      </c>
      <c r="W216" s="542">
        <v>44350</v>
      </c>
      <c r="X216" s="542"/>
      <c r="Y216" s="542"/>
      <c r="Z216" s="542"/>
      <c r="AA216" s="542"/>
      <c r="AB216" s="539"/>
      <c r="AC216" s="544"/>
      <c r="AD216" s="540"/>
      <c r="AE216" s="542"/>
      <c r="AF216" s="542"/>
      <c r="AG216" s="542"/>
      <c r="AH216" s="542"/>
      <c r="AI216" s="542"/>
      <c r="AJ216" s="554"/>
      <c r="AK216" s="539"/>
      <c r="AL216" s="542"/>
      <c r="AM216" s="542"/>
      <c r="AN216" s="542"/>
      <c r="AO216" s="542"/>
      <c r="AP216" s="542"/>
      <c r="AQ216" s="542"/>
      <c r="AR216" s="22">
        <f t="shared" si="11"/>
        <v>2</v>
      </c>
      <c r="AS216" s="546">
        <f t="shared" si="9"/>
        <v>2</v>
      </c>
      <c r="AT216" s="148"/>
      <c r="AU216" s="148"/>
      <c r="AV216" s="148"/>
      <c r="AW216" s="148"/>
      <c r="AX216" s="148"/>
      <c r="AY216" s="148"/>
      <c r="AZ216" s="148"/>
      <c r="BA216" s="148"/>
      <c r="BB216" s="148"/>
      <c r="BC216" s="148"/>
      <c r="BD216" s="148"/>
      <c r="BE216" s="148"/>
      <c r="BF216" s="148"/>
      <c r="BG216" s="148"/>
      <c r="BH216" s="148"/>
      <c r="BI216" s="148"/>
      <c r="BJ216" s="148"/>
      <c r="BK216" s="148"/>
      <c r="BL216" s="148"/>
      <c r="BM216" s="148"/>
      <c r="BN216" s="148"/>
      <c r="BO216" s="148"/>
      <c r="BP216" s="148"/>
      <c r="BQ216" s="148"/>
      <c r="BR216" s="148"/>
      <c r="BS216" s="148"/>
      <c r="BT216" s="148"/>
      <c r="BU216" s="148"/>
      <c r="BV216" s="148"/>
      <c r="BW216" s="148"/>
      <c r="BX216" s="148"/>
      <c r="BY216" s="148"/>
      <c r="BZ216" s="148"/>
      <c r="CA216" s="148"/>
      <c r="CB216" s="148"/>
      <c r="CC216" s="148"/>
      <c r="CD216" s="148"/>
      <c r="CE216" s="148"/>
      <c r="CF216" s="148"/>
      <c r="CG216" s="148"/>
      <c r="CH216" s="148"/>
      <c r="CI216" s="148"/>
      <c r="CJ216" s="148"/>
      <c r="CK216" s="148"/>
      <c r="CL216" s="148"/>
      <c r="CM216" s="148"/>
      <c r="CN216" s="148"/>
      <c r="CO216" s="148"/>
      <c r="CP216" s="148"/>
      <c r="CQ216" s="148"/>
      <c r="CR216" s="148"/>
      <c r="CS216" s="148"/>
      <c r="CT216" s="148"/>
      <c r="CU216" s="148"/>
      <c r="CV216" s="148"/>
      <c r="CW216" s="148"/>
      <c r="CX216" s="148"/>
      <c r="CY216" s="148"/>
      <c r="CZ216" s="148"/>
      <c r="DA216" s="148"/>
      <c r="DB216" s="148"/>
      <c r="DC216" s="148"/>
      <c r="DD216" s="148"/>
      <c r="DE216" s="148"/>
      <c r="DF216" s="148"/>
      <c r="DG216" s="148"/>
      <c r="DH216" s="148"/>
      <c r="DI216" s="148"/>
      <c r="DJ216" s="148"/>
      <c r="DK216" s="148"/>
      <c r="DL216" s="148"/>
      <c r="DM216" s="148"/>
      <c r="DN216" s="148"/>
      <c r="DO216" s="148"/>
      <c r="DP216" s="148"/>
      <c r="DQ216" s="148"/>
      <c r="DR216" s="148"/>
      <c r="DS216" s="148"/>
      <c r="DT216" s="148"/>
      <c r="DU216" s="148"/>
      <c r="DV216" s="148"/>
      <c r="DW216" s="148"/>
      <c r="DX216" s="148"/>
      <c r="DY216" s="148"/>
      <c r="DZ216" s="148"/>
      <c r="EA216" s="148"/>
      <c r="EB216" s="148"/>
      <c r="EC216" s="148"/>
      <c r="ED216" s="148"/>
      <c r="EE216" s="148"/>
      <c r="EF216" s="148"/>
      <c r="EG216" s="148"/>
      <c r="EH216" s="148"/>
      <c r="EI216" s="148"/>
      <c r="EJ216" s="148"/>
      <c r="EK216" s="148"/>
      <c r="EL216" s="148"/>
      <c r="EM216" s="148"/>
      <c r="EN216" s="148"/>
      <c r="EO216" s="148"/>
      <c r="EP216" s="148"/>
      <c r="EQ216" s="148"/>
      <c r="ER216" s="148"/>
      <c r="ES216" s="148"/>
      <c r="ET216" s="148"/>
      <c r="EU216" s="148"/>
      <c r="EV216" s="148"/>
      <c r="EW216" s="148"/>
      <c r="EX216" s="148"/>
      <c r="EY216" s="148"/>
      <c r="EZ216" s="148"/>
      <c r="FA216" s="148"/>
      <c r="FB216" s="148"/>
      <c r="FC216" s="148"/>
      <c r="FD216" s="148"/>
      <c r="FE216" s="148"/>
      <c r="FF216" s="148"/>
      <c r="FG216" s="148"/>
      <c r="FH216" s="148"/>
      <c r="FI216" s="148"/>
      <c r="FJ216" s="148"/>
      <c r="FK216" s="148"/>
      <c r="FL216" s="148"/>
      <c r="FM216" s="148"/>
      <c r="FN216" s="148"/>
      <c r="FO216" s="148"/>
      <c r="FP216" s="148"/>
      <c r="FQ216" s="148"/>
      <c r="FR216" s="148"/>
    </row>
    <row r="217" spans="1:174" s="15" customFormat="1" ht="13.5" customHeight="1" x14ac:dyDescent="0.2">
      <c r="A217" s="148"/>
      <c r="B217" s="307">
        <v>217</v>
      </c>
      <c r="C217" s="312" t="s">
        <v>38</v>
      </c>
      <c r="D217" s="562" t="s">
        <v>1858</v>
      </c>
      <c r="E217" s="569" t="s">
        <v>1859</v>
      </c>
      <c r="F217" s="533" t="s">
        <v>45</v>
      </c>
      <c r="G217" s="533" t="s">
        <v>1411</v>
      </c>
      <c r="H217" s="553" t="s">
        <v>1457</v>
      </c>
      <c r="I217" s="534" t="s">
        <v>43</v>
      </c>
      <c r="J217" s="535">
        <v>455585</v>
      </c>
      <c r="K217" s="535">
        <v>0</v>
      </c>
      <c r="L217" s="535">
        <v>350270</v>
      </c>
      <c r="M217" s="535"/>
      <c r="N217" s="535"/>
      <c r="O217" s="535"/>
      <c r="P217" s="547"/>
      <c r="Q217" s="538"/>
      <c r="R217" s="538"/>
      <c r="S217" s="535">
        <f t="shared" si="10"/>
        <v>0</v>
      </c>
      <c r="T217" s="539">
        <v>3</v>
      </c>
      <c r="U217" s="558">
        <v>56</v>
      </c>
      <c r="V217" s="545">
        <v>44323</v>
      </c>
      <c r="W217" s="542">
        <v>44344</v>
      </c>
      <c r="X217" s="542"/>
      <c r="Y217" s="542"/>
      <c r="Z217" s="542"/>
      <c r="AA217" s="542"/>
      <c r="AB217" s="539"/>
      <c r="AC217" s="544"/>
      <c r="AD217" s="540"/>
      <c r="AE217" s="542"/>
      <c r="AF217" s="542"/>
      <c r="AG217" s="542"/>
      <c r="AH217" s="542"/>
      <c r="AI217" s="542"/>
      <c r="AJ217" s="554"/>
      <c r="AK217" s="539"/>
      <c r="AL217" s="542"/>
      <c r="AM217" s="542"/>
      <c r="AN217" s="542"/>
      <c r="AO217" s="542"/>
      <c r="AP217" s="542"/>
      <c r="AQ217" s="542"/>
      <c r="AR217" s="22">
        <f t="shared" si="11"/>
        <v>3</v>
      </c>
      <c r="AS217" s="546">
        <f t="shared" si="9"/>
        <v>3</v>
      </c>
      <c r="AT217" s="148"/>
      <c r="AU217" s="148"/>
      <c r="AV217" s="148"/>
      <c r="AW217" s="148"/>
      <c r="AX217" s="148"/>
      <c r="AY217" s="148"/>
      <c r="AZ217" s="148"/>
      <c r="BA217" s="148"/>
      <c r="BB217" s="148"/>
      <c r="BC217" s="148"/>
      <c r="BD217" s="148"/>
      <c r="BE217" s="148"/>
      <c r="BF217" s="148"/>
      <c r="BG217" s="148"/>
      <c r="BH217" s="148"/>
      <c r="BI217" s="148"/>
      <c r="BJ217" s="148"/>
      <c r="BK217" s="148"/>
      <c r="BL217" s="148"/>
      <c r="BM217" s="148"/>
      <c r="BN217" s="148"/>
      <c r="BO217" s="148"/>
      <c r="BP217" s="148"/>
      <c r="BQ217" s="148"/>
      <c r="BR217" s="148"/>
      <c r="BS217" s="148"/>
      <c r="BT217" s="148"/>
      <c r="BU217" s="148"/>
      <c r="BV217" s="148"/>
      <c r="BW217" s="148"/>
      <c r="BX217" s="148"/>
      <c r="BY217" s="148"/>
      <c r="BZ217" s="148"/>
      <c r="CA217" s="148"/>
      <c r="CB217" s="148"/>
      <c r="CC217" s="148"/>
      <c r="CD217" s="148"/>
      <c r="CE217" s="148"/>
      <c r="CF217" s="148"/>
      <c r="CG217" s="148"/>
      <c r="CH217" s="148"/>
      <c r="CI217" s="148"/>
      <c r="CJ217" s="148"/>
      <c r="CK217" s="148"/>
      <c r="CL217" s="148"/>
      <c r="CM217" s="148"/>
      <c r="CN217" s="148"/>
      <c r="CO217" s="148"/>
      <c r="CP217" s="148"/>
      <c r="CQ217" s="148"/>
      <c r="CR217" s="148"/>
      <c r="CS217" s="148"/>
      <c r="CT217" s="148"/>
      <c r="CU217" s="148"/>
      <c r="CV217" s="148"/>
      <c r="CW217" s="148"/>
      <c r="CX217" s="148"/>
      <c r="CY217" s="148"/>
      <c r="CZ217" s="148"/>
      <c r="DA217" s="148"/>
      <c r="DB217" s="148"/>
      <c r="DC217" s="148"/>
      <c r="DD217" s="148"/>
      <c r="DE217" s="148"/>
      <c r="DF217" s="148"/>
      <c r="DG217" s="148"/>
      <c r="DH217" s="148"/>
      <c r="DI217" s="148"/>
      <c r="DJ217" s="148"/>
      <c r="DK217" s="148"/>
      <c r="DL217" s="148"/>
      <c r="DM217" s="148"/>
      <c r="DN217" s="148"/>
      <c r="DO217" s="148"/>
      <c r="DP217" s="148"/>
      <c r="DQ217" s="148"/>
      <c r="DR217" s="148"/>
      <c r="DS217" s="148"/>
      <c r="DT217" s="148"/>
      <c r="DU217" s="148"/>
      <c r="DV217" s="148"/>
      <c r="DW217" s="148"/>
      <c r="DX217" s="148"/>
      <c r="DY217" s="148"/>
      <c r="DZ217" s="148"/>
      <c r="EA217" s="148"/>
      <c r="EB217" s="148"/>
      <c r="EC217" s="148"/>
      <c r="ED217" s="148"/>
      <c r="EE217" s="148"/>
      <c r="EF217" s="148"/>
      <c r="EG217" s="148"/>
      <c r="EH217" s="148"/>
      <c r="EI217" s="148"/>
      <c r="EJ217" s="148"/>
      <c r="EK217" s="148"/>
      <c r="EL217" s="148"/>
      <c r="EM217" s="148"/>
      <c r="EN217" s="148"/>
      <c r="EO217" s="148"/>
      <c r="EP217" s="148"/>
      <c r="EQ217" s="148"/>
      <c r="ER217" s="148"/>
      <c r="ES217" s="148"/>
      <c r="ET217" s="148"/>
      <c r="EU217" s="148"/>
      <c r="EV217" s="148"/>
      <c r="EW217" s="148"/>
      <c r="EX217" s="148"/>
      <c r="EY217" s="148"/>
      <c r="EZ217" s="148"/>
      <c r="FA217" s="148"/>
      <c r="FB217" s="148"/>
      <c r="FC217" s="148"/>
      <c r="FD217" s="148"/>
      <c r="FE217" s="148"/>
      <c r="FF217" s="148"/>
      <c r="FG217" s="148"/>
      <c r="FH217" s="148"/>
      <c r="FI217" s="148"/>
      <c r="FJ217" s="148"/>
      <c r="FK217" s="148"/>
      <c r="FL217" s="148"/>
      <c r="FM217" s="148"/>
      <c r="FN217" s="148"/>
      <c r="FO217" s="148"/>
      <c r="FP217" s="148"/>
      <c r="FQ217" s="148"/>
      <c r="FR217" s="148"/>
    </row>
    <row r="218" spans="1:174" s="15" customFormat="1" ht="13.5" customHeight="1" x14ac:dyDescent="0.2">
      <c r="A218" s="148"/>
      <c r="B218" s="307">
        <v>218</v>
      </c>
      <c r="C218" s="312" t="s">
        <v>38</v>
      </c>
      <c r="D218" s="562" t="s">
        <v>1860</v>
      </c>
      <c r="E218" s="569" t="s">
        <v>1861</v>
      </c>
      <c r="F218" s="533" t="s">
        <v>45</v>
      </c>
      <c r="G218" s="533" t="s">
        <v>1411</v>
      </c>
      <c r="H218" s="553" t="s">
        <v>1627</v>
      </c>
      <c r="I218" s="534" t="s">
        <v>43</v>
      </c>
      <c r="J218" s="535">
        <v>801023</v>
      </c>
      <c r="K218" s="535">
        <v>0</v>
      </c>
      <c r="L218" s="535">
        <v>104824</v>
      </c>
      <c r="M218" s="535"/>
      <c r="N218" s="535"/>
      <c r="O218" s="535"/>
      <c r="P218" s="547"/>
      <c r="Q218" s="538"/>
      <c r="R218" s="538"/>
      <c r="S218" s="535">
        <f t="shared" si="10"/>
        <v>0</v>
      </c>
      <c r="T218" s="539">
        <v>2</v>
      </c>
      <c r="U218" s="558">
        <v>62</v>
      </c>
      <c r="V218" s="545">
        <v>44327</v>
      </c>
      <c r="W218" s="542">
        <v>44355</v>
      </c>
      <c r="X218" s="542"/>
      <c r="Y218" s="542"/>
      <c r="Z218" s="542"/>
      <c r="AA218" s="542"/>
      <c r="AB218" s="539"/>
      <c r="AC218" s="544"/>
      <c r="AD218" s="540"/>
      <c r="AE218" s="542"/>
      <c r="AF218" s="542"/>
      <c r="AG218" s="542"/>
      <c r="AH218" s="542"/>
      <c r="AI218" s="542"/>
      <c r="AJ218" s="554"/>
      <c r="AK218" s="539"/>
      <c r="AL218" s="542"/>
      <c r="AM218" s="542"/>
      <c r="AN218" s="542"/>
      <c r="AO218" s="542"/>
      <c r="AP218" s="542"/>
      <c r="AQ218" s="542"/>
      <c r="AR218" s="22">
        <f t="shared" si="11"/>
        <v>2</v>
      </c>
      <c r="AS218" s="546">
        <f t="shared" si="9"/>
        <v>2</v>
      </c>
      <c r="AT218" s="148"/>
      <c r="AU218" s="148"/>
      <c r="AV218" s="148"/>
      <c r="AW218" s="148"/>
      <c r="AX218" s="148"/>
      <c r="AY218" s="148"/>
      <c r="AZ218" s="148"/>
      <c r="BA218" s="148"/>
      <c r="BB218" s="148"/>
      <c r="BC218" s="148"/>
      <c r="BD218" s="148"/>
      <c r="BE218" s="148"/>
      <c r="BF218" s="148"/>
      <c r="BG218" s="148"/>
      <c r="BH218" s="148"/>
      <c r="BI218" s="148"/>
      <c r="BJ218" s="148"/>
      <c r="BK218" s="148"/>
      <c r="BL218" s="148"/>
      <c r="BM218" s="148"/>
      <c r="BN218" s="148"/>
      <c r="BO218" s="148"/>
      <c r="BP218" s="148"/>
      <c r="BQ218" s="148"/>
      <c r="BR218" s="148"/>
      <c r="BS218" s="148"/>
      <c r="BT218" s="148"/>
      <c r="BU218" s="148"/>
      <c r="BV218" s="148"/>
      <c r="BW218" s="148"/>
      <c r="BX218" s="148"/>
      <c r="BY218" s="148"/>
      <c r="BZ218" s="148"/>
      <c r="CA218" s="148"/>
      <c r="CB218" s="148"/>
      <c r="CC218" s="148"/>
      <c r="CD218" s="148"/>
      <c r="CE218" s="148"/>
      <c r="CF218" s="148"/>
      <c r="CG218" s="148"/>
      <c r="CH218" s="148"/>
      <c r="CI218" s="148"/>
      <c r="CJ218" s="148"/>
      <c r="CK218" s="148"/>
      <c r="CL218" s="148"/>
      <c r="CM218" s="148"/>
      <c r="CN218" s="148"/>
      <c r="CO218" s="148"/>
      <c r="CP218" s="148"/>
      <c r="CQ218" s="148"/>
      <c r="CR218" s="148"/>
      <c r="CS218" s="148"/>
      <c r="CT218" s="148"/>
      <c r="CU218" s="148"/>
      <c r="CV218" s="148"/>
      <c r="CW218" s="148"/>
      <c r="CX218" s="148"/>
      <c r="CY218" s="148"/>
      <c r="CZ218" s="148"/>
      <c r="DA218" s="148"/>
      <c r="DB218" s="148"/>
      <c r="DC218" s="148"/>
      <c r="DD218" s="148"/>
      <c r="DE218" s="148"/>
      <c r="DF218" s="148"/>
      <c r="DG218" s="148"/>
      <c r="DH218" s="148"/>
      <c r="DI218" s="148"/>
      <c r="DJ218" s="148"/>
      <c r="DK218" s="148"/>
      <c r="DL218" s="148"/>
      <c r="DM218" s="148"/>
      <c r="DN218" s="148"/>
      <c r="DO218" s="148"/>
      <c r="DP218" s="148"/>
      <c r="DQ218" s="148"/>
      <c r="DR218" s="148"/>
      <c r="DS218" s="148"/>
      <c r="DT218" s="148"/>
      <c r="DU218" s="148"/>
      <c r="DV218" s="148"/>
      <c r="DW218" s="148"/>
      <c r="DX218" s="148"/>
      <c r="DY218" s="148"/>
      <c r="DZ218" s="148"/>
      <c r="EA218" s="148"/>
      <c r="EB218" s="148"/>
      <c r="EC218" s="148"/>
      <c r="ED218" s="148"/>
      <c r="EE218" s="148"/>
      <c r="EF218" s="148"/>
      <c r="EG218" s="148"/>
      <c r="EH218" s="148"/>
      <c r="EI218" s="148"/>
      <c r="EJ218" s="148"/>
      <c r="EK218" s="148"/>
      <c r="EL218" s="148"/>
      <c r="EM218" s="148"/>
      <c r="EN218" s="148"/>
      <c r="EO218" s="148"/>
      <c r="EP218" s="148"/>
      <c r="EQ218" s="148"/>
      <c r="ER218" s="148"/>
      <c r="ES218" s="148"/>
      <c r="ET218" s="148"/>
      <c r="EU218" s="148"/>
      <c r="EV218" s="148"/>
      <c r="EW218" s="148"/>
      <c r="EX218" s="148"/>
      <c r="EY218" s="148"/>
      <c r="EZ218" s="148"/>
      <c r="FA218" s="148"/>
      <c r="FB218" s="148"/>
      <c r="FC218" s="148"/>
      <c r="FD218" s="148"/>
      <c r="FE218" s="148"/>
      <c r="FF218" s="148"/>
      <c r="FG218" s="148"/>
      <c r="FH218" s="148"/>
      <c r="FI218" s="148"/>
      <c r="FJ218" s="148"/>
      <c r="FK218" s="148"/>
      <c r="FL218" s="148"/>
      <c r="FM218" s="148"/>
      <c r="FN218" s="148"/>
      <c r="FO218" s="148"/>
      <c r="FP218" s="148"/>
      <c r="FQ218" s="148"/>
      <c r="FR218" s="148"/>
    </row>
    <row r="219" spans="1:174" s="15" customFormat="1" ht="13.5" customHeight="1" x14ac:dyDescent="0.2">
      <c r="A219" s="148"/>
      <c r="B219" s="307">
        <v>219</v>
      </c>
      <c r="C219" s="312" t="s">
        <v>38</v>
      </c>
      <c r="D219" s="562" t="s">
        <v>1862</v>
      </c>
      <c r="E219" s="569" t="s">
        <v>1863</v>
      </c>
      <c r="F219" s="533" t="s">
        <v>45</v>
      </c>
      <c r="G219" s="533" t="s">
        <v>1411</v>
      </c>
      <c r="H219" s="553" t="s">
        <v>1443</v>
      </c>
      <c r="I219" s="534" t="s">
        <v>43</v>
      </c>
      <c r="J219" s="535">
        <v>2914706</v>
      </c>
      <c r="K219" s="535">
        <v>0</v>
      </c>
      <c r="L219" s="535">
        <v>1855442</v>
      </c>
      <c r="M219" s="535"/>
      <c r="N219" s="535"/>
      <c r="O219" s="535"/>
      <c r="P219" s="547"/>
      <c r="Q219" s="538"/>
      <c r="R219" s="538"/>
      <c r="S219" s="535">
        <f t="shared" si="10"/>
        <v>0</v>
      </c>
      <c r="T219" s="539">
        <v>2</v>
      </c>
      <c r="U219" s="558">
        <v>62</v>
      </c>
      <c r="V219" s="545">
        <v>44327</v>
      </c>
      <c r="W219" s="542">
        <v>44355</v>
      </c>
      <c r="X219" s="542"/>
      <c r="Y219" s="542"/>
      <c r="Z219" s="542"/>
      <c r="AA219" s="542"/>
      <c r="AB219" s="539"/>
      <c r="AC219" s="544"/>
      <c r="AD219" s="540"/>
      <c r="AE219" s="542"/>
      <c r="AF219" s="542"/>
      <c r="AG219" s="542"/>
      <c r="AH219" s="542"/>
      <c r="AI219" s="542"/>
      <c r="AJ219" s="554"/>
      <c r="AK219" s="539"/>
      <c r="AL219" s="542"/>
      <c r="AM219" s="542"/>
      <c r="AN219" s="542"/>
      <c r="AO219" s="542"/>
      <c r="AP219" s="542"/>
      <c r="AQ219" s="542"/>
      <c r="AR219" s="22">
        <f t="shared" si="11"/>
        <v>2</v>
      </c>
      <c r="AS219" s="546">
        <f t="shared" si="9"/>
        <v>2</v>
      </c>
      <c r="AT219" s="148"/>
      <c r="AU219" s="148"/>
      <c r="AV219" s="148"/>
      <c r="AW219" s="148"/>
      <c r="AX219" s="148"/>
      <c r="AY219" s="148"/>
      <c r="AZ219" s="148"/>
      <c r="BA219" s="148"/>
      <c r="BB219" s="148"/>
      <c r="BC219" s="148"/>
      <c r="BD219" s="148"/>
      <c r="BE219" s="148"/>
      <c r="BF219" s="148"/>
      <c r="BG219" s="148"/>
      <c r="BH219" s="148"/>
      <c r="BI219" s="148"/>
      <c r="BJ219" s="148"/>
      <c r="BK219" s="148"/>
      <c r="BL219" s="148"/>
      <c r="BM219" s="148"/>
      <c r="BN219" s="148"/>
      <c r="BO219" s="148"/>
      <c r="BP219" s="148"/>
      <c r="BQ219" s="148"/>
      <c r="BR219" s="148"/>
      <c r="BS219" s="148"/>
      <c r="BT219" s="148"/>
      <c r="BU219" s="148"/>
      <c r="BV219" s="148"/>
      <c r="BW219" s="148"/>
      <c r="BX219" s="148"/>
      <c r="BY219" s="148"/>
      <c r="BZ219" s="148"/>
      <c r="CA219" s="148"/>
      <c r="CB219" s="148"/>
      <c r="CC219" s="148"/>
      <c r="CD219" s="148"/>
      <c r="CE219" s="148"/>
      <c r="CF219" s="148"/>
      <c r="CG219" s="148"/>
      <c r="CH219" s="148"/>
      <c r="CI219" s="148"/>
      <c r="CJ219" s="148"/>
      <c r="CK219" s="148"/>
      <c r="CL219" s="148"/>
      <c r="CM219" s="148"/>
      <c r="CN219" s="148"/>
      <c r="CO219" s="148"/>
      <c r="CP219" s="148"/>
      <c r="CQ219" s="148"/>
      <c r="CR219" s="148"/>
      <c r="CS219" s="148"/>
      <c r="CT219" s="148"/>
      <c r="CU219" s="148"/>
      <c r="CV219" s="148"/>
      <c r="CW219" s="148"/>
      <c r="CX219" s="148"/>
      <c r="CY219" s="148"/>
      <c r="CZ219" s="148"/>
      <c r="DA219" s="148"/>
      <c r="DB219" s="148"/>
      <c r="DC219" s="148"/>
      <c r="DD219" s="148"/>
      <c r="DE219" s="148"/>
      <c r="DF219" s="148"/>
      <c r="DG219" s="148"/>
      <c r="DH219" s="148"/>
      <c r="DI219" s="148"/>
      <c r="DJ219" s="148"/>
      <c r="DK219" s="148"/>
      <c r="DL219" s="148"/>
      <c r="DM219" s="148"/>
      <c r="DN219" s="148"/>
      <c r="DO219" s="148"/>
      <c r="DP219" s="148"/>
      <c r="DQ219" s="148"/>
      <c r="DR219" s="148"/>
      <c r="DS219" s="148"/>
      <c r="DT219" s="148"/>
      <c r="DU219" s="148"/>
      <c r="DV219" s="148"/>
      <c r="DW219" s="148"/>
      <c r="DX219" s="148"/>
      <c r="DY219" s="148"/>
      <c r="DZ219" s="148"/>
      <c r="EA219" s="148"/>
      <c r="EB219" s="148"/>
      <c r="EC219" s="148"/>
      <c r="ED219" s="148"/>
      <c r="EE219" s="148"/>
      <c r="EF219" s="148"/>
      <c r="EG219" s="148"/>
      <c r="EH219" s="148"/>
      <c r="EI219" s="148"/>
      <c r="EJ219" s="148"/>
      <c r="EK219" s="148"/>
      <c r="EL219" s="148"/>
      <c r="EM219" s="148"/>
      <c r="EN219" s="148"/>
      <c r="EO219" s="148"/>
      <c r="EP219" s="148"/>
      <c r="EQ219" s="148"/>
      <c r="ER219" s="148"/>
      <c r="ES219" s="148"/>
      <c r="ET219" s="148"/>
      <c r="EU219" s="148"/>
      <c r="EV219" s="148"/>
      <c r="EW219" s="148"/>
      <c r="EX219" s="148"/>
      <c r="EY219" s="148"/>
      <c r="EZ219" s="148"/>
      <c r="FA219" s="148"/>
      <c r="FB219" s="148"/>
      <c r="FC219" s="148"/>
      <c r="FD219" s="148"/>
      <c r="FE219" s="148"/>
      <c r="FF219" s="148"/>
      <c r="FG219" s="148"/>
      <c r="FH219" s="148"/>
      <c r="FI219" s="148"/>
      <c r="FJ219" s="148"/>
      <c r="FK219" s="148"/>
      <c r="FL219" s="148"/>
      <c r="FM219" s="148"/>
      <c r="FN219" s="148"/>
      <c r="FO219" s="148"/>
      <c r="FP219" s="148"/>
      <c r="FQ219" s="148"/>
      <c r="FR219" s="148"/>
    </row>
    <row r="220" spans="1:174" s="15" customFormat="1" ht="13.5" customHeight="1" x14ac:dyDescent="0.2">
      <c r="A220" s="148"/>
      <c r="B220" s="307">
        <v>220</v>
      </c>
      <c r="C220" s="312" t="s">
        <v>38</v>
      </c>
      <c r="D220" s="562" t="s">
        <v>1864</v>
      </c>
      <c r="E220" s="569" t="s">
        <v>1865</v>
      </c>
      <c r="F220" s="533" t="s">
        <v>45</v>
      </c>
      <c r="G220" s="533" t="s">
        <v>1411</v>
      </c>
      <c r="H220" s="553" t="s">
        <v>1427</v>
      </c>
      <c r="I220" s="534" t="s">
        <v>43</v>
      </c>
      <c r="J220" s="535">
        <v>1827557</v>
      </c>
      <c r="K220" s="535">
        <v>0</v>
      </c>
      <c r="L220" s="535">
        <v>1824236</v>
      </c>
      <c r="M220" s="535"/>
      <c r="N220" s="535"/>
      <c r="O220" s="535"/>
      <c r="P220" s="547"/>
      <c r="Q220" s="538"/>
      <c r="R220" s="538"/>
      <c r="S220" s="535">
        <f t="shared" si="10"/>
        <v>0</v>
      </c>
      <c r="T220" s="539">
        <v>3</v>
      </c>
      <c r="U220" s="558">
        <v>62</v>
      </c>
      <c r="V220" s="545">
        <v>44327</v>
      </c>
      <c r="W220" s="542">
        <v>44355</v>
      </c>
      <c r="X220" s="542"/>
      <c r="Y220" s="542"/>
      <c r="Z220" s="542"/>
      <c r="AA220" s="542"/>
      <c r="AB220" s="539"/>
      <c r="AC220" s="544"/>
      <c r="AD220" s="540"/>
      <c r="AE220" s="542"/>
      <c r="AF220" s="542"/>
      <c r="AG220" s="542"/>
      <c r="AH220" s="542"/>
      <c r="AI220" s="542"/>
      <c r="AJ220" s="554"/>
      <c r="AK220" s="539"/>
      <c r="AL220" s="542"/>
      <c r="AM220" s="542"/>
      <c r="AN220" s="542"/>
      <c r="AO220" s="542"/>
      <c r="AP220" s="542"/>
      <c r="AQ220" s="542"/>
      <c r="AR220" s="22">
        <f t="shared" si="11"/>
        <v>3</v>
      </c>
      <c r="AS220" s="546">
        <f t="shared" si="9"/>
        <v>3</v>
      </c>
      <c r="AT220" s="148"/>
      <c r="AU220" s="148"/>
      <c r="AV220" s="148"/>
      <c r="AW220" s="148"/>
      <c r="AX220" s="148"/>
      <c r="AY220" s="148"/>
      <c r="AZ220" s="148"/>
      <c r="BA220" s="148"/>
      <c r="BB220" s="148"/>
      <c r="BC220" s="148"/>
      <c r="BD220" s="148"/>
      <c r="BE220" s="148"/>
      <c r="BF220" s="148"/>
      <c r="BG220" s="148"/>
      <c r="BH220" s="148"/>
      <c r="BI220" s="148"/>
      <c r="BJ220" s="148"/>
      <c r="BK220" s="148"/>
      <c r="BL220" s="148"/>
      <c r="BM220" s="148"/>
      <c r="BN220" s="148"/>
      <c r="BO220" s="148"/>
      <c r="BP220" s="148"/>
      <c r="BQ220" s="148"/>
      <c r="BR220" s="148"/>
      <c r="BS220" s="148"/>
      <c r="BT220" s="148"/>
      <c r="BU220" s="148"/>
      <c r="BV220" s="148"/>
      <c r="BW220" s="148"/>
      <c r="BX220" s="148"/>
      <c r="BY220" s="148"/>
      <c r="BZ220" s="148"/>
      <c r="CA220" s="148"/>
      <c r="CB220" s="148"/>
      <c r="CC220" s="148"/>
      <c r="CD220" s="148"/>
      <c r="CE220" s="148"/>
      <c r="CF220" s="148"/>
      <c r="CG220" s="148"/>
      <c r="CH220" s="148"/>
      <c r="CI220" s="148"/>
      <c r="CJ220" s="148"/>
      <c r="CK220" s="148"/>
      <c r="CL220" s="148"/>
      <c r="CM220" s="148"/>
      <c r="CN220" s="148"/>
      <c r="CO220" s="148"/>
      <c r="CP220" s="148"/>
      <c r="CQ220" s="148"/>
      <c r="CR220" s="148"/>
      <c r="CS220" s="148"/>
      <c r="CT220" s="148"/>
      <c r="CU220" s="148"/>
      <c r="CV220" s="148"/>
      <c r="CW220" s="148"/>
      <c r="CX220" s="148"/>
      <c r="CY220" s="148"/>
      <c r="CZ220" s="148"/>
      <c r="DA220" s="148"/>
      <c r="DB220" s="148"/>
      <c r="DC220" s="148"/>
      <c r="DD220" s="148"/>
      <c r="DE220" s="148"/>
      <c r="DF220" s="148"/>
      <c r="DG220" s="148"/>
      <c r="DH220" s="148"/>
      <c r="DI220" s="148"/>
      <c r="DJ220" s="148"/>
      <c r="DK220" s="148"/>
      <c r="DL220" s="148"/>
      <c r="DM220" s="148"/>
      <c r="DN220" s="148"/>
      <c r="DO220" s="148"/>
      <c r="DP220" s="148"/>
      <c r="DQ220" s="148"/>
      <c r="DR220" s="148"/>
      <c r="DS220" s="148"/>
      <c r="DT220" s="148"/>
      <c r="DU220" s="148"/>
      <c r="DV220" s="148"/>
      <c r="DW220" s="148"/>
      <c r="DX220" s="148"/>
      <c r="DY220" s="148"/>
      <c r="DZ220" s="148"/>
      <c r="EA220" s="148"/>
      <c r="EB220" s="148"/>
      <c r="EC220" s="148"/>
      <c r="ED220" s="148"/>
      <c r="EE220" s="148"/>
      <c r="EF220" s="148"/>
      <c r="EG220" s="148"/>
      <c r="EH220" s="148"/>
      <c r="EI220" s="148"/>
      <c r="EJ220" s="148"/>
      <c r="EK220" s="148"/>
      <c r="EL220" s="148"/>
      <c r="EM220" s="148"/>
      <c r="EN220" s="148"/>
      <c r="EO220" s="148"/>
      <c r="EP220" s="148"/>
      <c r="EQ220" s="148"/>
      <c r="ER220" s="148"/>
      <c r="ES220" s="148"/>
      <c r="ET220" s="148"/>
      <c r="EU220" s="148"/>
      <c r="EV220" s="148"/>
      <c r="EW220" s="148"/>
      <c r="EX220" s="148"/>
      <c r="EY220" s="148"/>
      <c r="EZ220" s="148"/>
      <c r="FA220" s="148"/>
      <c r="FB220" s="148"/>
      <c r="FC220" s="148"/>
      <c r="FD220" s="148"/>
      <c r="FE220" s="148"/>
      <c r="FF220" s="148"/>
      <c r="FG220" s="148"/>
      <c r="FH220" s="148"/>
      <c r="FI220" s="148"/>
      <c r="FJ220" s="148"/>
      <c r="FK220" s="148"/>
      <c r="FL220" s="148"/>
      <c r="FM220" s="148"/>
      <c r="FN220" s="148"/>
      <c r="FO220" s="148"/>
      <c r="FP220" s="148"/>
      <c r="FQ220" s="148"/>
      <c r="FR220" s="148"/>
    </row>
    <row r="221" spans="1:174" s="15" customFormat="1" ht="13.5" customHeight="1" x14ac:dyDescent="0.2">
      <c r="A221" s="148"/>
      <c r="B221" s="307">
        <v>221</v>
      </c>
      <c r="C221" s="312" t="s">
        <v>38</v>
      </c>
      <c r="D221" s="562" t="s">
        <v>1866</v>
      </c>
      <c r="E221" s="569" t="s">
        <v>1867</v>
      </c>
      <c r="F221" s="533" t="s">
        <v>46</v>
      </c>
      <c r="G221" s="533" t="s">
        <v>1411</v>
      </c>
      <c r="H221" s="553" t="s">
        <v>1448</v>
      </c>
      <c r="I221" s="534" t="s">
        <v>43</v>
      </c>
      <c r="J221" s="535">
        <v>89162</v>
      </c>
      <c r="K221" s="535">
        <v>0</v>
      </c>
      <c r="L221" s="535">
        <v>81800</v>
      </c>
      <c r="M221" s="535"/>
      <c r="N221" s="535"/>
      <c r="O221" s="535"/>
      <c r="P221" s="547"/>
      <c r="Q221" s="538"/>
      <c r="R221" s="538"/>
      <c r="S221" s="535">
        <f t="shared" si="10"/>
        <v>0</v>
      </c>
      <c r="T221" s="539">
        <v>1</v>
      </c>
      <c r="U221" s="558">
        <v>65</v>
      </c>
      <c r="V221" s="545">
        <v>44340</v>
      </c>
      <c r="W221" s="542">
        <v>44356</v>
      </c>
      <c r="X221" s="542"/>
      <c r="Y221" s="542"/>
      <c r="Z221" s="542"/>
      <c r="AA221" s="542"/>
      <c r="AB221" s="539"/>
      <c r="AC221" s="544"/>
      <c r="AD221" s="540"/>
      <c r="AE221" s="542"/>
      <c r="AF221" s="542"/>
      <c r="AG221" s="542"/>
      <c r="AH221" s="542"/>
      <c r="AI221" s="542"/>
      <c r="AJ221" s="554"/>
      <c r="AK221" s="539"/>
      <c r="AL221" s="542"/>
      <c r="AM221" s="542"/>
      <c r="AN221" s="542"/>
      <c r="AO221" s="542"/>
      <c r="AP221" s="542"/>
      <c r="AQ221" s="542"/>
      <c r="AR221" s="22">
        <f t="shared" si="11"/>
        <v>1</v>
      </c>
      <c r="AS221" s="546">
        <f t="shared" si="9"/>
        <v>1</v>
      </c>
      <c r="AT221" s="148"/>
      <c r="AU221" s="148"/>
      <c r="AV221" s="148"/>
      <c r="AW221" s="148"/>
      <c r="AX221" s="148"/>
      <c r="AY221" s="148"/>
      <c r="AZ221" s="148"/>
      <c r="BA221" s="148"/>
      <c r="BB221" s="148"/>
      <c r="BC221" s="148"/>
      <c r="BD221" s="148"/>
      <c r="BE221" s="148"/>
      <c r="BF221" s="148"/>
      <c r="BG221" s="148"/>
      <c r="BH221" s="148"/>
      <c r="BI221" s="148"/>
      <c r="BJ221" s="148"/>
      <c r="BK221" s="148"/>
      <c r="BL221" s="148"/>
      <c r="BM221" s="148"/>
      <c r="BN221" s="148"/>
      <c r="BO221" s="148"/>
      <c r="BP221" s="148"/>
      <c r="BQ221" s="148"/>
      <c r="BR221" s="148"/>
      <c r="BS221" s="148"/>
      <c r="BT221" s="148"/>
      <c r="BU221" s="148"/>
      <c r="BV221" s="148"/>
      <c r="BW221" s="148"/>
      <c r="BX221" s="148"/>
      <c r="BY221" s="148"/>
      <c r="BZ221" s="148"/>
      <c r="CA221" s="148"/>
      <c r="CB221" s="148"/>
      <c r="CC221" s="148"/>
      <c r="CD221" s="148"/>
      <c r="CE221" s="148"/>
      <c r="CF221" s="148"/>
      <c r="CG221" s="148"/>
      <c r="CH221" s="148"/>
      <c r="CI221" s="148"/>
      <c r="CJ221" s="148"/>
      <c r="CK221" s="148"/>
      <c r="CL221" s="148"/>
      <c r="CM221" s="148"/>
      <c r="CN221" s="148"/>
      <c r="CO221" s="148"/>
      <c r="CP221" s="148"/>
      <c r="CQ221" s="148"/>
      <c r="CR221" s="148"/>
      <c r="CS221" s="148"/>
      <c r="CT221" s="148"/>
      <c r="CU221" s="148"/>
      <c r="CV221" s="148"/>
      <c r="CW221" s="148"/>
      <c r="CX221" s="148"/>
      <c r="CY221" s="148"/>
      <c r="CZ221" s="148"/>
      <c r="DA221" s="148"/>
      <c r="DB221" s="148"/>
      <c r="DC221" s="148"/>
      <c r="DD221" s="148"/>
      <c r="DE221" s="148"/>
      <c r="DF221" s="148"/>
      <c r="DG221" s="148"/>
      <c r="DH221" s="148"/>
      <c r="DI221" s="148"/>
      <c r="DJ221" s="148"/>
      <c r="DK221" s="148"/>
      <c r="DL221" s="148"/>
      <c r="DM221" s="148"/>
      <c r="DN221" s="148"/>
      <c r="DO221" s="148"/>
      <c r="DP221" s="148"/>
      <c r="DQ221" s="148"/>
      <c r="DR221" s="148"/>
      <c r="DS221" s="148"/>
      <c r="DT221" s="148"/>
      <c r="DU221" s="148"/>
      <c r="DV221" s="148"/>
      <c r="DW221" s="148"/>
      <c r="DX221" s="148"/>
      <c r="DY221" s="148"/>
      <c r="DZ221" s="148"/>
      <c r="EA221" s="148"/>
      <c r="EB221" s="148"/>
      <c r="EC221" s="148"/>
      <c r="ED221" s="148"/>
      <c r="EE221" s="148"/>
      <c r="EF221" s="148"/>
      <c r="EG221" s="148"/>
      <c r="EH221" s="148"/>
      <c r="EI221" s="148"/>
      <c r="EJ221" s="148"/>
      <c r="EK221" s="148"/>
      <c r="EL221" s="148"/>
      <c r="EM221" s="148"/>
      <c r="EN221" s="148"/>
      <c r="EO221" s="148"/>
      <c r="EP221" s="148"/>
      <c r="EQ221" s="148"/>
      <c r="ER221" s="148"/>
      <c r="ES221" s="148"/>
      <c r="ET221" s="148"/>
      <c r="EU221" s="148"/>
      <c r="EV221" s="148"/>
      <c r="EW221" s="148"/>
      <c r="EX221" s="148"/>
      <c r="EY221" s="148"/>
      <c r="EZ221" s="148"/>
      <c r="FA221" s="148"/>
      <c r="FB221" s="148"/>
      <c r="FC221" s="148"/>
      <c r="FD221" s="148"/>
      <c r="FE221" s="148"/>
      <c r="FF221" s="148"/>
      <c r="FG221" s="148"/>
      <c r="FH221" s="148"/>
      <c r="FI221" s="148"/>
      <c r="FJ221" s="148"/>
      <c r="FK221" s="148"/>
      <c r="FL221" s="148"/>
      <c r="FM221" s="148"/>
      <c r="FN221" s="148"/>
      <c r="FO221" s="148"/>
      <c r="FP221" s="148"/>
      <c r="FQ221" s="148"/>
      <c r="FR221" s="148"/>
    </row>
    <row r="222" spans="1:174" ht="13.5" customHeight="1" x14ac:dyDescent="0.25">
      <c r="B222" s="746" t="s">
        <v>39</v>
      </c>
      <c r="C222" s="747"/>
      <c r="D222" s="747"/>
      <c r="E222" s="747"/>
      <c r="F222" s="747"/>
      <c r="G222" s="747"/>
      <c r="H222" s="747"/>
      <c r="I222" s="748"/>
      <c r="J222" s="24">
        <f>SUBTOTAL(9,J12:J221)</f>
        <v>314483240</v>
      </c>
      <c r="K222" s="24">
        <f>SUBTOTAL(9,K12:K221)</f>
        <v>93119155</v>
      </c>
      <c r="L222" s="24">
        <f>SUBTOTAL(9,L12:L221)</f>
        <v>105915012</v>
      </c>
      <c r="M222" s="24">
        <f t="shared" ref="M222:T222" si="12">SUBTOTAL(9,M12:M214)</f>
        <v>5412852</v>
      </c>
      <c r="N222" s="24">
        <f t="shared" si="12"/>
        <v>3392029</v>
      </c>
      <c r="O222" s="24">
        <f t="shared" si="12"/>
        <v>3736454</v>
      </c>
      <c r="P222" s="24">
        <f t="shared" si="12"/>
        <v>5786786.2350000003</v>
      </c>
      <c r="Q222" s="24">
        <f t="shared" si="12"/>
        <v>3932588.8959999997</v>
      </c>
      <c r="R222" s="24">
        <f t="shared" si="12"/>
        <v>4427490.7460000003</v>
      </c>
      <c r="S222" s="24">
        <f>SUBTOTAL(9,S12:S221)</f>
        <v>26688200.876999989</v>
      </c>
      <c r="T222" s="24">
        <f t="shared" si="12"/>
        <v>27490820</v>
      </c>
      <c r="U222" s="24"/>
      <c r="V222" s="24"/>
      <c r="W222" s="24"/>
      <c r="X222" s="24">
        <f>SUBTOTAL(9,X12:X214)</f>
        <v>13897152</v>
      </c>
      <c r="Y222" s="24"/>
      <c r="Z222" s="24"/>
      <c r="AA222" s="24"/>
      <c r="AB222" s="24">
        <f>SUM(AB12:AB221)</f>
        <v>6330883</v>
      </c>
      <c r="AC222" s="24"/>
      <c r="AD222" s="24"/>
      <c r="AE222" s="24"/>
      <c r="AF222" s="24">
        <f>SUM(AF12:AF221)</f>
        <v>7290633</v>
      </c>
      <c r="AG222" s="24"/>
      <c r="AH222" s="24"/>
      <c r="AI222" s="24"/>
      <c r="AJ222" s="24">
        <f>SUM(AJ12:AJ221)</f>
        <v>805893</v>
      </c>
      <c r="AK222" s="24"/>
      <c r="AL222" s="24"/>
      <c r="AM222" s="24"/>
      <c r="AN222" s="24">
        <f>SUM(AN12:AN221)</f>
        <v>64877</v>
      </c>
      <c r="AO222" s="24"/>
      <c r="AP222" s="24"/>
      <c r="AQ222" s="24"/>
      <c r="AR222" s="24">
        <f>SUM(AR12:AR221)</f>
        <v>55880272</v>
      </c>
      <c r="AS222" s="24">
        <f>SUM(AS12:AS221)</f>
        <v>29192071.123000007</v>
      </c>
    </row>
    <row r="223" spans="1:174" s="134" customFormat="1" x14ac:dyDescent="0.2">
      <c r="B223" s="145"/>
      <c r="D223" s="145"/>
      <c r="U223" s="141"/>
      <c r="AC223" s="140"/>
    </row>
    <row r="224" spans="1:174" s="134" customFormat="1" x14ac:dyDescent="0.2">
      <c r="B224" s="145"/>
      <c r="D224" s="145"/>
      <c r="U224" s="141"/>
      <c r="AC224" s="140"/>
    </row>
    <row r="225" spans="2:29" s="134" customFormat="1" x14ac:dyDescent="0.2">
      <c r="B225" s="145"/>
      <c r="D225" s="145"/>
      <c r="U225" s="141"/>
      <c r="AC225" s="140"/>
    </row>
    <row r="226" spans="2:29" s="134" customFormat="1" x14ac:dyDescent="0.2">
      <c r="B226" s="145"/>
      <c r="D226" s="145"/>
      <c r="U226" s="141"/>
      <c r="AC226" s="140"/>
    </row>
    <row r="227" spans="2:29" s="134" customFormat="1" x14ac:dyDescent="0.2">
      <c r="B227" s="145"/>
      <c r="D227" s="145"/>
      <c r="U227" s="141"/>
      <c r="AC227" s="140"/>
    </row>
    <row r="228" spans="2:29" s="134" customFormat="1" x14ac:dyDescent="0.2">
      <c r="B228" s="145"/>
      <c r="D228" s="145"/>
      <c r="U228" s="141"/>
      <c r="AC228" s="140"/>
    </row>
    <row r="229" spans="2:29" s="134" customFormat="1" x14ac:dyDescent="0.2">
      <c r="B229" s="145"/>
      <c r="D229" s="145"/>
      <c r="U229" s="141"/>
      <c r="AC229" s="140"/>
    </row>
    <row r="230" spans="2:29" s="134" customFormat="1" x14ac:dyDescent="0.2">
      <c r="B230" s="145"/>
      <c r="D230" s="145"/>
      <c r="U230" s="141"/>
      <c r="AC230" s="140"/>
    </row>
    <row r="231" spans="2:29" s="134" customFormat="1" x14ac:dyDescent="0.2">
      <c r="B231" s="145"/>
      <c r="D231" s="145"/>
      <c r="U231" s="141"/>
      <c r="AC231" s="140"/>
    </row>
    <row r="232" spans="2:29" s="134" customFormat="1" x14ac:dyDescent="0.2">
      <c r="B232" s="145"/>
      <c r="D232" s="145"/>
      <c r="U232" s="141"/>
      <c r="AC232" s="140"/>
    </row>
    <row r="233" spans="2:29" s="134" customFormat="1" x14ac:dyDescent="0.2">
      <c r="B233" s="145"/>
      <c r="D233" s="145"/>
      <c r="U233" s="141"/>
      <c r="AC233" s="140"/>
    </row>
    <row r="234" spans="2:29" s="134" customFormat="1" x14ac:dyDescent="0.2">
      <c r="B234" s="145"/>
      <c r="D234" s="145"/>
      <c r="U234" s="141"/>
      <c r="AC234" s="140"/>
    </row>
    <row r="235" spans="2:29" s="134" customFormat="1" x14ac:dyDescent="0.2">
      <c r="B235" s="145"/>
      <c r="D235" s="145"/>
      <c r="U235" s="141"/>
      <c r="AC235" s="140"/>
    </row>
    <row r="236" spans="2:29" s="134" customFormat="1" x14ac:dyDescent="0.2">
      <c r="B236" s="145"/>
      <c r="D236" s="145"/>
      <c r="U236" s="141"/>
      <c r="AC236" s="140"/>
    </row>
    <row r="237" spans="2:29" s="134" customFormat="1" x14ac:dyDescent="0.2">
      <c r="B237" s="145"/>
      <c r="D237" s="145"/>
      <c r="U237" s="141"/>
      <c r="AC237" s="140"/>
    </row>
    <row r="238" spans="2:29" s="134" customFormat="1" x14ac:dyDescent="0.2">
      <c r="B238" s="145"/>
      <c r="D238" s="145"/>
      <c r="U238" s="141"/>
      <c r="AC238" s="140"/>
    </row>
    <row r="239" spans="2:29" s="134" customFormat="1" x14ac:dyDescent="0.2">
      <c r="B239" s="145"/>
      <c r="D239" s="145"/>
      <c r="U239" s="141"/>
      <c r="AC239" s="140"/>
    </row>
    <row r="240" spans="2:29" s="134" customFormat="1" x14ac:dyDescent="0.2">
      <c r="B240" s="145"/>
      <c r="D240" s="145"/>
      <c r="U240" s="141"/>
      <c r="AC240" s="140"/>
    </row>
    <row r="241" spans="2:29" s="134" customFormat="1" x14ac:dyDescent="0.2">
      <c r="B241" s="145"/>
      <c r="D241" s="145"/>
      <c r="U241" s="141"/>
      <c r="AC241" s="140"/>
    </row>
    <row r="242" spans="2:29" s="134" customFormat="1" x14ac:dyDescent="0.2">
      <c r="B242" s="145"/>
      <c r="D242" s="145"/>
      <c r="U242" s="141"/>
      <c r="AC242" s="140"/>
    </row>
    <row r="243" spans="2:29" s="134" customFormat="1" x14ac:dyDescent="0.2">
      <c r="B243" s="145"/>
      <c r="D243" s="145"/>
      <c r="U243" s="141"/>
      <c r="AC243" s="140"/>
    </row>
    <row r="244" spans="2:29" s="134" customFormat="1" x14ac:dyDescent="0.2">
      <c r="B244" s="145"/>
      <c r="D244" s="145"/>
      <c r="U244" s="141"/>
      <c r="AC244" s="140"/>
    </row>
    <row r="245" spans="2:29" s="134" customFormat="1" x14ac:dyDescent="0.2">
      <c r="B245" s="145"/>
      <c r="D245" s="145"/>
      <c r="U245" s="141"/>
      <c r="AC245" s="140"/>
    </row>
    <row r="246" spans="2:29" s="134" customFormat="1" x14ac:dyDescent="0.2">
      <c r="B246" s="145"/>
      <c r="D246" s="145"/>
      <c r="U246" s="141"/>
      <c r="AC246" s="140"/>
    </row>
    <row r="247" spans="2:29" s="134" customFormat="1" x14ac:dyDescent="0.2">
      <c r="B247" s="145"/>
      <c r="D247" s="145"/>
      <c r="U247" s="141"/>
      <c r="AC247" s="140"/>
    </row>
    <row r="248" spans="2:29" s="134" customFormat="1" x14ac:dyDescent="0.2">
      <c r="B248" s="145"/>
      <c r="D248" s="145"/>
      <c r="U248" s="141"/>
      <c r="AC248" s="140"/>
    </row>
    <row r="249" spans="2:29" s="134" customFormat="1" x14ac:dyDescent="0.2">
      <c r="B249" s="145"/>
      <c r="D249" s="145"/>
      <c r="U249" s="141"/>
      <c r="AC249" s="140"/>
    </row>
    <row r="250" spans="2:29" s="134" customFormat="1" x14ac:dyDescent="0.2">
      <c r="B250" s="145"/>
      <c r="D250" s="145"/>
      <c r="U250" s="141"/>
      <c r="AC250" s="140"/>
    </row>
    <row r="251" spans="2:29" s="134" customFormat="1" x14ac:dyDescent="0.2">
      <c r="B251" s="145"/>
      <c r="D251" s="145"/>
      <c r="U251" s="141"/>
      <c r="AC251" s="140"/>
    </row>
    <row r="252" spans="2:29" s="134" customFormat="1" x14ac:dyDescent="0.2">
      <c r="B252" s="145"/>
      <c r="D252" s="145"/>
      <c r="U252" s="141"/>
      <c r="AC252" s="140"/>
    </row>
    <row r="253" spans="2:29" s="134" customFormat="1" x14ac:dyDescent="0.2">
      <c r="B253" s="145"/>
      <c r="D253" s="145"/>
      <c r="U253" s="141"/>
      <c r="AC253" s="140"/>
    </row>
    <row r="254" spans="2:29" s="134" customFormat="1" x14ac:dyDescent="0.2">
      <c r="B254" s="145"/>
      <c r="D254" s="145"/>
      <c r="U254" s="141"/>
      <c r="AC254" s="140"/>
    </row>
    <row r="255" spans="2:29" s="134" customFormat="1" x14ac:dyDescent="0.2">
      <c r="B255" s="145"/>
      <c r="D255" s="145"/>
      <c r="U255" s="141"/>
      <c r="AC255" s="140"/>
    </row>
    <row r="256" spans="2:29" s="134" customFormat="1" x14ac:dyDescent="0.2">
      <c r="B256" s="145"/>
      <c r="D256" s="145"/>
      <c r="U256" s="141"/>
      <c r="AC256" s="140"/>
    </row>
    <row r="257" spans="2:29" s="134" customFormat="1" x14ac:dyDescent="0.2">
      <c r="B257" s="145"/>
      <c r="D257" s="145"/>
      <c r="U257" s="141"/>
      <c r="AC257" s="140"/>
    </row>
    <row r="258" spans="2:29" s="134" customFormat="1" x14ac:dyDescent="0.2">
      <c r="B258" s="145"/>
      <c r="D258" s="145"/>
      <c r="U258" s="141"/>
      <c r="AC258" s="140"/>
    </row>
    <row r="259" spans="2:29" s="134" customFormat="1" x14ac:dyDescent="0.2">
      <c r="B259" s="145"/>
      <c r="D259" s="145"/>
      <c r="U259" s="141"/>
      <c r="AC259" s="140"/>
    </row>
    <row r="260" spans="2:29" s="134" customFormat="1" x14ac:dyDescent="0.2">
      <c r="B260" s="145"/>
      <c r="D260" s="145"/>
      <c r="U260" s="141"/>
      <c r="AC260" s="140"/>
    </row>
    <row r="261" spans="2:29" s="134" customFormat="1" x14ac:dyDescent="0.2">
      <c r="B261" s="145"/>
      <c r="D261" s="145"/>
      <c r="U261" s="141"/>
      <c r="AC261" s="140"/>
    </row>
    <row r="262" spans="2:29" s="134" customFormat="1" x14ac:dyDescent="0.2">
      <c r="B262" s="145"/>
      <c r="D262" s="145"/>
      <c r="U262" s="141"/>
      <c r="AC262" s="140"/>
    </row>
    <row r="263" spans="2:29" s="134" customFormat="1" x14ac:dyDescent="0.2">
      <c r="B263" s="145"/>
      <c r="D263" s="145"/>
      <c r="U263" s="141"/>
      <c r="AC263" s="140"/>
    </row>
    <row r="264" spans="2:29" s="134" customFormat="1" x14ac:dyDescent="0.2">
      <c r="B264" s="145"/>
      <c r="D264" s="145"/>
      <c r="U264" s="141"/>
      <c r="AC264" s="140"/>
    </row>
    <row r="265" spans="2:29" s="134" customFormat="1" x14ac:dyDescent="0.2">
      <c r="B265" s="145"/>
      <c r="D265" s="145"/>
      <c r="U265" s="141"/>
      <c r="AC265" s="140"/>
    </row>
    <row r="266" spans="2:29" s="134" customFormat="1" x14ac:dyDescent="0.2">
      <c r="B266" s="145"/>
      <c r="D266" s="145"/>
      <c r="U266" s="141"/>
      <c r="AC266" s="140"/>
    </row>
    <row r="267" spans="2:29" s="134" customFormat="1" x14ac:dyDescent="0.2">
      <c r="B267" s="145"/>
      <c r="D267" s="145"/>
      <c r="U267" s="141"/>
      <c r="AC267" s="140"/>
    </row>
    <row r="268" spans="2:29" s="134" customFormat="1" x14ac:dyDescent="0.2">
      <c r="B268" s="145"/>
      <c r="D268" s="145"/>
      <c r="U268" s="141"/>
      <c r="AC268" s="140"/>
    </row>
    <row r="269" spans="2:29" s="134" customFormat="1" x14ac:dyDescent="0.2">
      <c r="B269" s="145"/>
      <c r="D269" s="145"/>
      <c r="U269" s="141"/>
      <c r="AC269" s="140"/>
    </row>
    <row r="270" spans="2:29" s="134" customFormat="1" x14ac:dyDescent="0.2">
      <c r="B270" s="145"/>
      <c r="D270" s="145"/>
      <c r="U270" s="141"/>
      <c r="AC270" s="140"/>
    </row>
    <row r="271" spans="2:29" s="134" customFormat="1" x14ac:dyDescent="0.2">
      <c r="B271" s="145"/>
      <c r="D271" s="145"/>
      <c r="U271" s="141"/>
      <c r="AC271" s="140"/>
    </row>
    <row r="272" spans="2:29" s="134" customFormat="1" x14ac:dyDescent="0.2">
      <c r="B272" s="145"/>
      <c r="D272" s="145"/>
      <c r="U272" s="141"/>
      <c r="AC272" s="140"/>
    </row>
    <row r="273" spans="2:29" s="134" customFormat="1" x14ac:dyDescent="0.2">
      <c r="B273" s="145"/>
      <c r="D273" s="145"/>
      <c r="U273" s="141"/>
      <c r="AC273" s="140"/>
    </row>
    <row r="274" spans="2:29" s="134" customFormat="1" x14ac:dyDescent="0.2">
      <c r="B274" s="145"/>
      <c r="D274" s="145"/>
      <c r="U274" s="141"/>
      <c r="AC274" s="140"/>
    </row>
    <row r="275" spans="2:29" s="134" customFormat="1" x14ac:dyDescent="0.2">
      <c r="B275" s="145"/>
      <c r="D275" s="145"/>
      <c r="U275" s="141"/>
      <c r="AC275" s="140"/>
    </row>
    <row r="276" spans="2:29" s="134" customFormat="1" x14ac:dyDescent="0.2">
      <c r="B276" s="145"/>
      <c r="D276" s="145"/>
      <c r="U276" s="141"/>
      <c r="AC276" s="140"/>
    </row>
    <row r="277" spans="2:29" s="134" customFormat="1" x14ac:dyDescent="0.2">
      <c r="B277" s="145"/>
      <c r="D277" s="145"/>
      <c r="U277" s="141"/>
      <c r="AC277" s="140"/>
    </row>
    <row r="278" spans="2:29" s="134" customFormat="1" x14ac:dyDescent="0.2">
      <c r="B278" s="145"/>
      <c r="D278" s="145"/>
      <c r="U278" s="141"/>
      <c r="AC278" s="140"/>
    </row>
    <row r="279" spans="2:29" s="134" customFormat="1" x14ac:dyDescent="0.2">
      <c r="B279" s="145"/>
      <c r="D279" s="145"/>
      <c r="U279" s="141"/>
      <c r="AC279" s="140"/>
    </row>
    <row r="280" spans="2:29" s="134" customFormat="1" x14ac:dyDescent="0.2">
      <c r="B280" s="145"/>
      <c r="D280" s="145"/>
      <c r="U280" s="141"/>
      <c r="AC280" s="140"/>
    </row>
    <row r="281" spans="2:29" s="134" customFormat="1" x14ac:dyDescent="0.2">
      <c r="B281" s="145"/>
      <c r="D281" s="145"/>
      <c r="U281" s="141"/>
      <c r="AC281" s="140"/>
    </row>
    <row r="282" spans="2:29" s="134" customFormat="1" x14ac:dyDescent="0.2">
      <c r="B282" s="145"/>
      <c r="D282" s="145"/>
      <c r="U282" s="141"/>
      <c r="AC282" s="140"/>
    </row>
    <row r="283" spans="2:29" s="134" customFormat="1" x14ac:dyDescent="0.2">
      <c r="B283" s="145"/>
      <c r="D283" s="145"/>
      <c r="U283" s="141"/>
      <c r="AC283" s="140"/>
    </row>
    <row r="284" spans="2:29" s="134" customFormat="1" x14ac:dyDescent="0.2">
      <c r="B284" s="145"/>
      <c r="D284" s="145"/>
      <c r="U284" s="141"/>
      <c r="AC284" s="140"/>
    </row>
    <row r="285" spans="2:29" s="134" customFormat="1" x14ac:dyDescent="0.2">
      <c r="B285" s="145"/>
      <c r="D285" s="145"/>
      <c r="U285" s="141"/>
      <c r="AC285" s="140"/>
    </row>
    <row r="286" spans="2:29" s="134" customFormat="1" x14ac:dyDescent="0.2">
      <c r="B286" s="145"/>
      <c r="D286" s="145"/>
      <c r="U286" s="141"/>
      <c r="AC286" s="140"/>
    </row>
    <row r="287" spans="2:29" s="134" customFormat="1" x14ac:dyDescent="0.2">
      <c r="B287" s="145"/>
      <c r="D287" s="145"/>
      <c r="U287" s="141"/>
      <c r="AC287" s="140"/>
    </row>
    <row r="288" spans="2:29" s="134" customFormat="1" x14ac:dyDescent="0.2">
      <c r="B288" s="145"/>
      <c r="D288" s="145"/>
      <c r="U288" s="141"/>
      <c r="AC288" s="140"/>
    </row>
    <row r="289" spans="2:29" s="134" customFormat="1" x14ac:dyDescent="0.2">
      <c r="B289" s="145"/>
      <c r="D289" s="145"/>
      <c r="U289" s="141"/>
      <c r="AC289" s="140"/>
    </row>
    <row r="290" spans="2:29" s="134" customFormat="1" x14ac:dyDescent="0.2">
      <c r="B290" s="145"/>
      <c r="D290" s="145"/>
      <c r="U290" s="141"/>
      <c r="AC290" s="140"/>
    </row>
    <row r="291" spans="2:29" s="134" customFormat="1" x14ac:dyDescent="0.2">
      <c r="B291" s="145"/>
      <c r="D291" s="145"/>
      <c r="U291" s="141"/>
      <c r="AC291" s="140"/>
    </row>
    <row r="292" spans="2:29" s="134" customFormat="1" x14ac:dyDescent="0.2">
      <c r="B292" s="145"/>
      <c r="D292" s="145"/>
      <c r="U292" s="141"/>
      <c r="AC292" s="140"/>
    </row>
    <row r="293" spans="2:29" s="134" customFormat="1" x14ac:dyDescent="0.2">
      <c r="B293" s="145"/>
      <c r="D293" s="145"/>
      <c r="U293" s="141"/>
      <c r="AC293" s="140"/>
    </row>
    <row r="294" spans="2:29" s="134" customFormat="1" x14ac:dyDescent="0.2">
      <c r="B294" s="145"/>
      <c r="D294" s="145"/>
      <c r="U294" s="141"/>
      <c r="AC294" s="140"/>
    </row>
    <row r="295" spans="2:29" s="134" customFormat="1" x14ac:dyDescent="0.2">
      <c r="B295" s="145"/>
      <c r="D295" s="145"/>
      <c r="U295" s="141"/>
      <c r="AC295" s="140"/>
    </row>
    <row r="296" spans="2:29" s="134" customFormat="1" x14ac:dyDescent="0.2">
      <c r="B296" s="145"/>
      <c r="D296" s="145"/>
      <c r="U296" s="141"/>
      <c r="AC296" s="140"/>
    </row>
    <row r="297" spans="2:29" s="134" customFormat="1" x14ac:dyDescent="0.2">
      <c r="B297" s="145"/>
      <c r="D297" s="145"/>
      <c r="U297" s="141"/>
      <c r="AC297" s="140"/>
    </row>
    <row r="298" spans="2:29" s="134" customFormat="1" x14ac:dyDescent="0.2">
      <c r="B298" s="145"/>
      <c r="D298" s="145"/>
      <c r="U298" s="141"/>
      <c r="AC298" s="140"/>
    </row>
    <row r="299" spans="2:29" s="134" customFormat="1" x14ac:dyDescent="0.2">
      <c r="B299" s="145"/>
      <c r="D299" s="145"/>
      <c r="U299" s="141"/>
      <c r="AC299" s="140"/>
    </row>
    <row r="300" spans="2:29" s="134" customFormat="1" x14ac:dyDescent="0.2">
      <c r="B300" s="145"/>
      <c r="D300" s="145"/>
      <c r="U300" s="141"/>
      <c r="AC300" s="140"/>
    </row>
    <row r="301" spans="2:29" s="134" customFormat="1" x14ac:dyDescent="0.2">
      <c r="B301" s="145"/>
      <c r="D301" s="145"/>
      <c r="U301" s="141"/>
      <c r="AC301" s="140"/>
    </row>
    <row r="302" spans="2:29" s="134" customFormat="1" x14ac:dyDescent="0.2">
      <c r="B302" s="145"/>
      <c r="D302" s="145"/>
      <c r="U302" s="141"/>
      <c r="AC302" s="140"/>
    </row>
    <row r="303" spans="2:29" s="134" customFormat="1" x14ac:dyDescent="0.2">
      <c r="B303" s="145"/>
      <c r="D303" s="145"/>
      <c r="U303" s="141"/>
      <c r="AC303" s="140"/>
    </row>
    <row r="304" spans="2:29" s="134" customFormat="1" x14ac:dyDescent="0.2">
      <c r="B304" s="145"/>
      <c r="D304" s="145"/>
      <c r="U304" s="141"/>
      <c r="AC304" s="140"/>
    </row>
    <row r="305" spans="2:29" s="134" customFormat="1" x14ac:dyDescent="0.2">
      <c r="B305" s="145"/>
      <c r="D305" s="145"/>
      <c r="U305" s="141"/>
      <c r="AC305" s="140"/>
    </row>
    <row r="306" spans="2:29" s="134" customFormat="1" x14ac:dyDescent="0.2">
      <c r="B306" s="145"/>
      <c r="D306" s="145"/>
      <c r="U306" s="141"/>
      <c r="AC306" s="140"/>
    </row>
    <row r="307" spans="2:29" s="134" customFormat="1" x14ac:dyDescent="0.2">
      <c r="B307" s="145"/>
      <c r="D307" s="145"/>
      <c r="U307" s="141"/>
      <c r="AC307" s="140"/>
    </row>
    <row r="308" spans="2:29" s="134" customFormat="1" x14ac:dyDescent="0.2">
      <c r="B308" s="145"/>
      <c r="D308" s="145"/>
      <c r="U308" s="141"/>
      <c r="AC308" s="140"/>
    </row>
    <row r="309" spans="2:29" s="134" customFormat="1" x14ac:dyDescent="0.2">
      <c r="B309" s="145"/>
      <c r="D309" s="145"/>
      <c r="U309" s="141"/>
      <c r="AC309" s="140"/>
    </row>
    <row r="310" spans="2:29" s="134" customFormat="1" x14ac:dyDescent="0.2">
      <c r="B310" s="145"/>
      <c r="D310" s="145"/>
      <c r="U310" s="141"/>
      <c r="AC310" s="140"/>
    </row>
    <row r="311" spans="2:29" s="134" customFormat="1" x14ac:dyDescent="0.2">
      <c r="B311" s="145"/>
      <c r="D311" s="145"/>
      <c r="U311" s="141"/>
      <c r="AC311" s="140"/>
    </row>
    <row r="312" spans="2:29" s="134" customFormat="1" x14ac:dyDescent="0.2">
      <c r="B312" s="145"/>
      <c r="D312" s="145"/>
      <c r="U312" s="141"/>
      <c r="AC312" s="140"/>
    </row>
    <row r="313" spans="2:29" s="134" customFormat="1" x14ac:dyDescent="0.2">
      <c r="B313" s="145"/>
      <c r="D313" s="145"/>
      <c r="U313" s="141"/>
      <c r="AC313" s="140"/>
    </row>
    <row r="314" spans="2:29" s="134" customFormat="1" x14ac:dyDescent="0.2">
      <c r="B314" s="145"/>
      <c r="D314" s="145"/>
      <c r="U314" s="141"/>
      <c r="AC314" s="140"/>
    </row>
    <row r="315" spans="2:29" s="134" customFormat="1" x14ac:dyDescent="0.2">
      <c r="B315" s="145"/>
      <c r="D315" s="145"/>
      <c r="U315" s="141"/>
      <c r="AC315" s="140"/>
    </row>
    <row r="316" spans="2:29" s="134" customFormat="1" x14ac:dyDescent="0.2">
      <c r="B316" s="145"/>
      <c r="D316" s="145"/>
      <c r="U316" s="141"/>
      <c r="AC316" s="140"/>
    </row>
    <row r="317" spans="2:29" s="134" customFormat="1" x14ac:dyDescent="0.2">
      <c r="B317" s="145"/>
      <c r="D317" s="145"/>
      <c r="U317" s="141"/>
      <c r="AC317" s="140"/>
    </row>
    <row r="318" spans="2:29" s="134" customFormat="1" x14ac:dyDescent="0.2">
      <c r="B318" s="145"/>
      <c r="D318" s="145"/>
      <c r="U318" s="141"/>
      <c r="AC318" s="140"/>
    </row>
    <row r="319" spans="2:29" s="134" customFormat="1" x14ac:dyDescent="0.2">
      <c r="B319" s="145"/>
      <c r="D319" s="145"/>
      <c r="U319" s="141"/>
      <c r="AC319" s="140"/>
    </row>
    <row r="320" spans="2:29" s="134" customFormat="1" x14ac:dyDescent="0.2">
      <c r="B320" s="145"/>
      <c r="D320" s="145"/>
      <c r="U320" s="141"/>
      <c r="AC320" s="140"/>
    </row>
    <row r="321" spans="2:29" s="134" customFormat="1" x14ac:dyDescent="0.2">
      <c r="B321" s="145"/>
      <c r="D321" s="145"/>
      <c r="U321" s="141"/>
      <c r="AC321" s="140"/>
    </row>
    <row r="322" spans="2:29" s="134" customFormat="1" x14ac:dyDescent="0.2">
      <c r="B322" s="145"/>
      <c r="D322" s="145"/>
      <c r="U322" s="141"/>
      <c r="AC322" s="140"/>
    </row>
    <row r="323" spans="2:29" s="134" customFormat="1" x14ac:dyDescent="0.2">
      <c r="B323" s="145"/>
      <c r="D323" s="145"/>
      <c r="U323" s="141"/>
      <c r="AC323" s="140"/>
    </row>
    <row r="324" spans="2:29" s="134" customFormat="1" x14ac:dyDescent="0.2">
      <c r="B324" s="145"/>
      <c r="D324" s="145"/>
      <c r="U324" s="141"/>
      <c r="AC324" s="140"/>
    </row>
    <row r="325" spans="2:29" s="134" customFormat="1" x14ac:dyDescent="0.2">
      <c r="B325" s="145"/>
      <c r="D325" s="145"/>
      <c r="U325" s="141"/>
      <c r="AC325" s="140"/>
    </row>
    <row r="326" spans="2:29" s="134" customFormat="1" x14ac:dyDescent="0.2">
      <c r="B326" s="145"/>
      <c r="D326" s="145"/>
      <c r="U326" s="141"/>
      <c r="AC326" s="140"/>
    </row>
    <row r="327" spans="2:29" s="134" customFormat="1" x14ac:dyDescent="0.2">
      <c r="B327" s="145"/>
      <c r="D327" s="145"/>
      <c r="U327" s="141"/>
      <c r="AC327" s="140"/>
    </row>
    <row r="328" spans="2:29" s="134" customFormat="1" x14ac:dyDescent="0.2">
      <c r="B328" s="145"/>
      <c r="D328" s="145"/>
      <c r="U328" s="141"/>
      <c r="AC328" s="140"/>
    </row>
    <row r="329" spans="2:29" s="134" customFormat="1" x14ac:dyDescent="0.2">
      <c r="B329" s="145"/>
      <c r="D329" s="145"/>
      <c r="U329" s="141"/>
      <c r="AC329" s="140"/>
    </row>
    <row r="330" spans="2:29" s="134" customFormat="1" x14ac:dyDescent="0.2">
      <c r="B330" s="145"/>
      <c r="D330" s="145"/>
      <c r="U330" s="141"/>
      <c r="AC330" s="140"/>
    </row>
    <row r="331" spans="2:29" s="134" customFormat="1" x14ac:dyDescent="0.2">
      <c r="B331" s="145"/>
      <c r="D331" s="145"/>
      <c r="U331" s="141"/>
      <c r="AC331" s="140"/>
    </row>
    <row r="332" spans="2:29" s="134" customFormat="1" x14ac:dyDescent="0.2">
      <c r="B332" s="145"/>
      <c r="D332" s="145"/>
      <c r="U332" s="141"/>
      <c r="AC332" s="140"/>
    </row>
    <row r="333" spans="2:29" s="134" customFormat="1" x14ac:dyDescent="0.2">
      <c r="B333" s="145"/>
      <c r="D333" s="145"/>
      <c r="U333" s="141"/>
      <c r="AC333" s="140"/>
    </row>
    <row r="334" spans="2:29" s="134" customFormat="1" x14ac:dyDescent="0.2">
      <c r="B334" s="145"/>
      <c r="D334" s="145"/>
      <c r="U334" s="141"/>
      <c r="AC334" s="140"/>
    </row>
    <row r="335" spans="2:29" s="134" customFormat="1" x14ac:dyDescent="0.2">
      <c r="B335" s="145"/>
      <c r="D335" s="145"/>
      <c r="U335" s="141"/>
      <c r="AC335" s="140"/>
    </row>
    <row r="336" spans="2:29" s="134" customFormat="1" x14ac:dyDescent="0.2">
      <c r="B336" s="145"/>
      <c r="D336" s="145"/>
      <c r="U336" s="141"/>
      <c r="AC336" s="140"/>
    </row>
    <row r="337" spans="2:29" s="134" customFormat="1" x14ac:dyDescent="0.2">
      <c r="B337" s="145"/>
      <c r="D337" s="145"/>
      <c r="U337" s="141"/>
      <c r="AC337" s="140"/>
    </row>
    <row r="338" spans="2:29" s="134" customFormat="1" x14ac:dyDescent="0.2">
      <c r="B338" s="145"/>
      <c r="D338" s="145"/>
      <c r="U338" s="141"/>
      <c r="AC338" s="140"/>
    </row>
    <row r="339" spans="2:29" s="134" customFormat="1" x14ac:dyDescent="0.2">
      <c r="B339" s="145"/>
      <c r="D339" s="145"/>
      <c r="U339" s="141"/>
      <c r="AC339" s="140"/>
    </row>
    <row r="340" spans="2:29" s="134" customFormat="1" x14ac:dyDescent="0.2">
      <c r="B340" s="145"/>
      <c r="D340" s="145"/>
      <c r="U340" s="141"/>
      <c r="AC340" s="140"/>
    </row>
    <row r="341" spans="2:29" s="134" customFormat="1" x14ac:dyDescent="0.2">
      <c r="B341" s="145"/>
      <c r="D341" s="145"/>
      <c r="U341" s="141"/>
      <c r="AC341" s="140"/>
    </row>
    <row r="342" spans="2:29" s="134" customFormat="1" x14ac:dyDescent="0.2">
      <c r="B342" s="145"/>
      <c r="D342" s="145"/>
      <c r="U342" s="141"/>
      <c r="AC342" s="140"/>
    </row>
    <row r="343" spans="2:29" s="134" customFormat="1" x14ac:dyDescent="0.2">
      <c r="B343" s="145"/>
      <c r="D343" s="145"/>
      <c r="U343" s="141"/>
      <c r="AC343" s="140"/>
    </row>
    <row r="344" spans="2:29" s="134" customFormat="1" x14ac:dyDescent="0.2">
      <c r="B344" s="145"/>
      <c r="D344" s="145"/>
      <c r="U344" s="141"/>
      <c r="AC344" s="140"/>
    </row>
    <row r="345" spans="2:29" s="134" customFormat="1" x14ac:dyDescent="0.2">
      <c r="B345" s="145"/>
      <c r="D345" s="145"/>
      <c r="U345" s="141"/>
      <c r="AC345" s="140"/>
    </row>
    <row r="346" spans="2:29" s="134" customFormat="1" x14ac:dyDescent="0.2">
      <c r="B346" s="145"/>
      <c r="D346" s="145"/>
      <c r="U346" s="141"/>
      <c r="AC346" s="140"/>
    </row>
    <row r="347" spans="2:29" s="134" customFormat="1" x14ac:dyDescent="0.2">
      <c r="B347" s="145"/>
      <c r="D347" s="145"/>
      <c r="U347" s="141"/>
      <c r="AC347" s="140"/>
    </row>
    <row r="348" spans="2:29" s="134" customFormat="1" x14ac:dyDescent="0.2">
      <c r="B348" s="145"/>
      <c r="D348" s="145"/>
      <c r="U348" s="141"/>
      <c r="AC348" s="140"/>
    </row>
    <row r="349" spans="2:29" s="134" customFormat="1" x14ac:dyDescent="0.2">
      <c r="B349" s="145"/>
      <c r="D349" s="145"/>
      <c r="U349" s="141"/>
      <c r="AC349" s="140"/>
    </row>
    <row r="350" spans="2:29" s="134" customFormat="1" x14ac:dyDescent="0.2">
      <c r="B350" s="145"/>
      <c r="D350" s="145"/>
      <c r="U350" s="141"/>
      <c r="AC350" s="140"/>
    </row>
    <row r="351" spans="2:29" s="134" customFormat="1" x14ac:dyDescent="0.2">
      <c r="B351" s="145"/>
      <c r="D351" s="145"/>
      <c r="U351" s="141"/>
      <c r="AC351" s="140"/>
    </row>
    <row r="352" spans="2:29" s="134" customFormat="1" x14ac:dyDescent="0.2">
      <c r="B352" s="145"/>
      <c r="D352" s="145"/>
      <c r="U352" s="141"/>
      <c r="AC352" s="140"/>
    </row>
    <row r="353" spans="2:29" s="134" customFormat="1" x14ac:dyDescent="0.2">
      <c r="B353" s="145"/>
      <c r="D353" s="145"/>
      <c r="U353" s="141"/>
      <c r="AC353" s="140"/>
    </row>
    <row r="354" spans="2:29" s="134" customFormat="1" x14ac:dyDescent="0.2">
      <c r="B354" s="145"/>
      <c r="D354" s="145"/>
      <c r="U354" s="141"/>
      <c r="AC354" s="140"/>
    </row>
    <row r="355" spans="2:29" s="134" customFormat="1" x14ac:dyDescent="0.2">
      <c r="B355" s="145"/>
      <c r="D355" s="145"/>
      <c r="U355" s="141"/>
      <c r="AC355" s="140"/>
    </row>
    <row r="356" spans="2:29" s="134" customFormat="1" x14ac:dyDescent="0.2">
      <c r="B356" s="145"/>
      <c r="D356" s="145"/>
      <c r="U356" s="141"/>
      <c r="AC356" s="140"/>
    </row>
    <row r="357" spans="2:29" s="134" customFormat="1" x14ac:dyDescent="0.2">
      <c r="B357" s="145"/>
      <c r="D357" s="145"/>
      <c r="U357" s="141"/>
      <c r="AC357" s="140"/>
    </row>
    <row r="358" spans="2:29" s="134" customFormat="1" x14ac:dyDescent="0.2">
      <c r="B358" s="145"/>
      <c r="D358" s="145"/>
      <c r="U358" s="141"/>
      <c r="AC358" s="140"/>
    </row>
    <row r="359" spans="2:29" s="134" customFormat="1" x14ac:dyDescent="0.2">
      <c r="B359" s="145"/>
      <c r="D359" s="145"/>
      <c r="U359" s="141"/>
      <c r="AC359" s="140"/>
    </row>
    <row r="360" spans="2:29" s="134" customFormat="1" x14ac:dyDescent="0.2">
      <c r="B360" s="145"/>
      <c r="D360" s="145"/>
      <c r="U360" s="141"/>
      <c r="AC360" s="140"/>
    </row>
    <row r="361" spans="2:29" s="134" customFormat="1" x14ac:dyDescent="0.2">
      <c r="B361" s="145"/>
      <c r="D361" s="145"/>
      <c r="U361" s="141"/>
      <c r="AC361" s="140"/>
    </row>
    <row r="362" spans="2:29" s="134" customFormat="1" x14ac:dyDescent="0.2">
      <c r="B362" s="145"/>
      <c r="D362" s="145"/>
      <c r="U362" s="141"/>
      <c r="AC362" s="140"/>
    </row>
    <row r="363" spans="2:29" s="134" customFormat="1" x14ac:dyDescent="0.2">
      <c r="B363" s="145"/>
      <c r="D363" s="145"/>
      <c r="U363" s="141"/>
      <c r="AC363" s="140"/>
    </row>
    <row r="364" spans="2:29" s="134" customFormat="1" x14ac:dyDescent="0.2">
      <c r="B364" s="145"/>
      <c r="D364" s="145"/>
      <c r="U364" s="141"/>
      <c r="AC364" s="140"/>
    </row>
    <row r="365" spans="2:29" s="134" customFormat="1" x14ac:dyDescent="0.2">
      <c r="B365" s="145"/>
      <c r="D365" s="145"/>
      <c r="U365" s="141"/>
      <c r="AC365" s="140"/>
    </row>
    <row r="366" spans="2:29" s="134" customFormat="1" x14ac:dyDescent="0.2">
      <c r="B366" s="145"/>
      <c r="D366" s="145"/>
      <c r="U366" s="141"/>
      <c r="AC366" s="140"/>
    </row>
    <row r="367" spans="2:29" s="134" customFormat="1" x14ac:dyDescent="0.2">
      <c r="B367" s="145"/>
      <c r="D367" s="145"/>
      <c r="U367" s="141"/>
      <c r="AC367" s="140"/>
    </row>
    <row r="368" spans="2:29" s="134" customFormat="1" x14ac:dyDescent="0.2">
      <c r="B368" s="145"/>
      <c r="D368" s="145"/>
      <c r="U368" s="141"/>
      <c r="AC368" s="140"/>
    </row>
    <row r="369" spans="2:29" s="134" customFormat="1" x14ac:dyDescent="0.2">
      <c r="B369" s="145"/>
      <c r="D369" s="145"/>
      <c r="U369" s="141"/>
      <c r="AC369" s="140"/>
    </row>
    <row r="370" spans="2:29" s="134" customFormat="1" x14ac:dyDescent="0.2">
      <c r="B370" s="145"/>
      <c r="D370" s="145"/>
      <c r="U370" s="141"/>
      <c r="AC370" s="140"/>
    </row>
    <row r="371" spans="2:29" s="134" customFormat="1" x14ac:dyDescent="0.2">
      <c r="B371" s="145"/>
      <c r="D371" s="145"/>
      <c r="U371" s="141"/>
      <c r="AC371" s="140"/>
    </row>
    <row r="372" spans="2:29" s="134" customFormat="1" x14ac:dyDescent="0.2">
      <c r="B372" s="145"/>
      <c r="D372" s="145"/>
      <c r="U372" s="141"/>
      <c r="AC372" s="140"/>
    </row>
    <row r="373" spans="2:29" s="134" customFormat="1" x14ac:dyDescent="0.2">
      <c r="B373" s="145"/>
      <c r="D373" s="145"/>
      <c r="U373" s="141"/>
      <c r="AC373" s="140"/>
    </row>
    <row r="374" spans="2:29" s="134" customFormat="1" x14ac:dyDescent="0.2">
      <c r="B374" s="145"/>
      <c r="D374" s="145"/>
      <c r="U374" s="141"/>
      <c r="AC374" s="140"/>
    </row>
    <row r="375" spans="2:29" s="134" customFormat="1" x14ac:dyDescent="0.2">
      <c r="B375" s="145"/>
      <c r="D375" s="145"/>
      <c r="U375" s="141"/>
      <c r="AC375" s="140"/>
    </row>
    <row r="376" spans="2:29" s="134" customFormat="1" x14ac:dyDescent="0.2">
      <c r="B376" s="145"/>
      <c r="D376" s="145"/>
      <c r="U376" s="141"/>
      <c r="AC376" s="140"/>
    </row>
    <row r="377" spans="2:29" s="134" customFormat="1" x14ac:dyDescent="0.2">
      <c r="B377" s="145"/>
      <c r="D377" s="145"/>
      <c r="U377" s="141"/>
      <c r="AC377" s="140"/>
    </row>
    <row r="378" spans="2:29" s="134" customFormat="1" x14ac:dyDescent="0.2">
      <c r="B378" s="145"/>
      <c r="D378" s="145"/>
      <c r="U378" s="141"/>
      <c r="AC378" s="140"/>
    </row>
    <row r="379" spans="2:29" s="134" customFormat="1" x14ac:dyDescent="0.2">
      <c r="B379" s="145"/>
      <c r="D379" s="145"/>
      <c r="U379" s="141"/>
      <c r="AC379" s="140"/>
    </row>
    <row r="380" spans="2:29" s="134" customFormat="1" x14ac:dyDescent="0.2">
      <c r="B380" s="145"/>
      <c r="D380" s="145"/>
      <c r="U380" s="141"/>
      <c r="AC380" s="140"/>
    </row>
    <row r="381" spans="2:29" s="134" customFormat="1" x14ac:dyDescent="0.2">
      <c r="B381" s="145"/>
      <c r="D381" s="145"/>
      <c r="U381" s="141"/>
      <c r="AC381" s="140"/>
    </row>
    <row r="382" spans="2:29" s="134" customFormat="1" x14ac:dyDescent="0.2">
      <c r="B382" s="145"/>
      <c r="D382" s="145"/>
      <c r="U382" s="141"/>
      <c r="AC382" s="140"/>
    </row>
    <row r="383" spans="2:29" s="134" customFormat="1" x14ac:dyDescent="0.2">
      <c r="B383" s="145"/>
      <c r="D383" s="145"/>
      <c r="U383" s="141"/>
      <c r="AC383" s="140"/>
    </row>
    <row r="384" spans="2:29" s="134" customFormat="1" x14ac:dyDescent="0.2">
      <c r="B384" s="145"/>
      <c r="D384" s="145"/>
      <c r="U384" s="141"/>
      <c r="AC384" s="140"/>
    </row>
    <row r="385" spans="2:29" s="134" customFormat="1" x14ac:dyDescent="0.2">
      <c r="B385" s="145"/>
      <c r="D385" s="145"/>
      <c r="U385" s="141"/>
      <c r="AC385" s="140"/>
    </row>
    <row r="386" spans="2:29" s="134" customFormat="1" x14ac:dyDescent="0.2">
      <c r="B386" s="145"/>
      <c r="D386" s="145"/>
      <c r="U386" s="141"/>
      <c r="AC386" s="140"/>
    </row>
    <row r="387" spans="2:29" s="134" customFormat="1" x14ac:dyDescent="0.2">
      <c r="B387" s="145"/>
      <c r="D387" s="145"/>
      <c r="U387" s="141"/>
      <c r="AC387" s="140"/>
    </row>
    <row r="388" spans="2:29" s="134" customFormat="1" x14ac:dyDescent="0.2">
      <c r="B388" s="145"/>
      <c r="D388" s="145"/>
      <c r="U388" s="141"/>
      <c r="AC388" s="140"/>
    </row>
    <row r="389" spans="2:29" s="134" customFormat="1" x14ac:dyDescent="0.2">
      <c r="B389" s="145"/>
      <c r="D389" s="145"/>
      <c r="U389" s="141"/>
      <c r="AC389" s="140"/>
    </row>
    <row r="390" spans="2:29" s="134" customFormat="1" x14ac:dyDescent="0.2">
      <c r="B390" s="145"/>
      <c r="D390" s="145"/>
      <c r="U390" s="141"/>
      <c r="AC390" s="140"/>
    </row>
    <row r="391" spans="2:29" s="134" customFormat="1" x14ac:dyDescent="0.2">
      <c r="B391" s="145"/>
      <c r="D391" s="145"/>
      <c r="U391" s="141"/>
      <c r="AC391" s="140"/>
    </row>
    <row r="392" spans="2:29" s="134" customFormat="1" x14ac:dyDescent="0.2">
      <c r="B392" s="145"/>
      <c r="D392" s="145"/>
      <c r="U392" s="141"/>
      <c r="AC392" s="140"/>
    </row>
    <row r="393" spans="2:29" s="134" customFormat="1" x14ac:dyDescent="0.2">
      <c r="B393" s="145"/>
      <c r="D393" s="145"/>
      <c r="U393" s="141"/>
      <c r="AC393" s="140"/>
    </row>
    <row r="394" spans="2:29" s="134" customFormat="1" x14ac:dyDescent="0.2">
      <c r="B394" s="145"/>
      <c r="D394" s="145"/>
      <c r="U394" s="141"/>
      <c r="AC394" s="140"/>
    </row>
    <row r="395" spans="2:29" s="134" customFormat="1" x14ac:dyDescent="0.2">
      <c r="B395" s="145"/>
      <c r="D395" s="145"/>
      <c r="U395" s="141"/>
      <c r="AC395" s="140"/>
    </row>
    <row r="396" spans="2:29" s="134" customFormat="1" x14ac:dyDescent="0.2">
      <c r="B396" s="145"/>
      <c r="D396" s="145"/>
      <c r="U396" s="141"/>
      <c r="AC396" s="140"/>
    </row>
    <row r="397" spans="2:29" s="134" customFormat="1" x14ac:dyDescent="0.2">
      <c r="B397" s="145"/>
      <c r="D397" s="145"/>
      <c r="U397" s="141"/>
      <c r="AC397" s="140"/>
    </row>
    <row r="398" spans="2:29" s="134" customFormat="1" x14ac:dyDescent="0.2">
      <c r="B398" s="145"/>
      <c r="D398" s="145"/>
      <c r="U398" s="141"/>
      <c r="AC398" s="140"/>
    </row>
    <row r="399" spans="2:29" s="134" customFormat="1" x14ac:dyDescent="0.2">
      <c r="B399" s="145"/>
      <c r="D399" s="145"/>
      <c r="U399" s="141"/>
      <c r="AC399" s="140"/>
    </row>
    <row r="400" spans="2:29" s="134" customFormat="1" x14ac:dyDescent="0.2">
      <c r="B400" s="145"/>
      <c r="D400" s="145"/>
      <c r="U400" s="141"/>
      <c r="AC400" s="140"/>
    </row>
    <row r="401" spans="2:29" s="134" customFormat="1" x14ac:dyDescent="0.2">
      <c r="B401" s="145"/>
      <c r="D401" s="145"/>
      <c r="U401" s="141"/>
      <c r="AC401" s="140"/>
    </row>
    <row r="402" spans="2:29" s="134" customFormat="1" x14ac:dyDescent="0.2">
      <c r="B402" s="145"/>
      <c r="D402" s="145"/>
      <c r="U402" s="141"/>
      <c r="AC402" s="140"/>
    </row>
    <row r="403" spans="2:29" s="134" customFormat="1" x14ac:dyDescent="0.2">
      <c r="B403" s="145"/>
      <c r="D403" s="145"/>
      <c r="U403" s="141"/>
      <c r="AC403" s="140"/>
    </row>
    <row r="404" spans="2:29" s="134" customFormat="1" x14ac:dyDescent="0.2">
      <c r="B404" s="145"/>
      <c r="D404" s="145"/>
      <c r="U404" s="141"/>
      <c r="AC404" s="140"/>
    </row>
    <row r="405" spans="2:29" s="134" customFormat="1" x14ac:dyDescent="0.2">
      <c r="B405" s="145"/>
      <c r="D405" s="145"/>
      <c r="U405" s="141"/>
      <c r="AC405" s="140"/>
    </row>
    <row r="406" spans="2:29" s="134" customFormat="1" x14ac:dyDescent="0.2">
      <c r="B406" s="145"/>
      <c r="D406" s="145"/>
      <c r="U406" s="141"/>
      <c r="AC406" s="140"/>
    </row>
    <row r="407" spans="2:29" s="134" customFormat="1" x14ac:dyDescent="0.2">
      <c r="B407" s="145"/>
      <c r="D407" s="145"/>
      <c r="U407" s="141"/>
      <c r="AC407" s="140"/>
    </row>
    <row r="408" spans="2:29" s="134" customFormat="1" x14ac:dyDescent="0.2">
      <c r="B408" s="145"/>
      <c r="D408" s="145"/>
      <c r="U408" s="141"/>
      <c r="AC408" s="140"/>
    </row>
    <row r="409" spans="2:29" s="134" customFormat="1" x14ac:dyDescent="0.2">
      <c r="B409" s="145"/>
      <c r="D409" s="145"/>
      <c r="U409" s="141"/>
      <c r="AC409" s="140"/>
    </row>
    <row r="410" spans="2:29" s="134" customFormat="1" x14ac:dyDescent="0.2">
      <c r="B410" s="145"/>
      <c r="D410" s="145"/>
      <c r="U410" s="141"/>
      <c r="AC410" s="140"/>
    </row>
    <row r="411" spans="2:29" s="134" customFormat="1" x14ac:dyDescent="0.2">
      <c r="B411" s="145"/>
      <c r="D411" s="145"/>
      <c r="U411" s="141"/>
      <c r="AC411" s="140"/>
    </row>
    <row r="412" spans="2:29" s="134" customFormat="1" x14ac:dyDescent="0.2">
      <c r="B412" s="145"/>
      <c r="D412" s="145"/>
      <c r="U412" s="141"/>
      <c r="AC412" s="140"/>
    </row>
    <row r="413" spans="2:29" s="134" customFormat="1" x14ac:dyDescent="0.2">
      <c r="B413" s="145"/>
      <c r="D413" s="145"/>
      <c r="U413" s="141"/>
      <c r="AC413" s="140"/>
    </row>
    <row r="414" spans="2:29" s="134" customFormat="1" x14ac:dyDescent="0.2">
      <c r="B414" s="145"/>
      <c r="D414" s="145"/>
      <c r="U414" s="141"/>
      <c r="AC414" s="140"/>
    </row>
    <row r="415" spans="2:29" s="134" customFormat="1" x14ac:dyDescent="0.2">
      <c r="B415" s="145"/>
      <c r="D415" s="145"/>
      <c r="U415" s="141"/>
      <c r="AC415" s="140"/>
    </row>
    <row r="416" spans="2:29" s="134" customFormat="1" x14ac:dyDescent="0.2">
      <c r="B416" s="145"/>
      <c r="D416" s="145"/>
      <c r="U416" s="141"/>
      <c r="AC416" s="140"/>
    </row>
    <row r="417" spans="2:29" s="134" customFormat="1" x14ac:dyDescent="0.2">
      <c r="B417" s="145"/>
      <c r="D417" s="145"/>
      <c r="U417" s="141"/>
      <c r="AC417" s="140"/>
    </row>
    <row r="418" spans="2:29" s="134" customFormat="1" x14ac:dyDescent="0.2">
      <c r="B418" s="145"/>
      <c r="D418" s="145"/>
      <c r="U418" s="141"/>
      <c r="AC418" s="140"/>
    </row>
    <row r="419" spans="2:29" s="134" customFormat="1" x14ac:dyDescent="0.2">
      <c r="B419" s="145"/>
      <c r="D419" s="145"/>
      <c r="U419" s="141"/>
      <c r="AC419" s="140"/>
    </row>
    <row r="420" spans="2:29" s="134" customFormat="1" x14ac:dyDescent="0.2">
      <c r="B420" s="145"/>
      <c r="D420" s="145"/>
      <c r="U420" s="141"/>
      <c r="AC420" s="140"/>
    </row>
    <row r="421" spans="2:29" s="134" customFormat="1" x14ac:dyDescent="0.2">
      <c r="B421" s="145"/>
      <c r="D421" s="145"/>
      <c r="U421" s="141"/>
      <c r="AC421" s="140"/>
    </row>
    <row r="422" spans="2:29" s="134" customFormat="1" x14ac:dyDescent="0.2">
      <c r="B422" s="145"/>
      <c r="D422" s="145"/>
      <c r="U422" s="141"/>
      <c r="AC422" s="140"/>
    </row>
    <row r="423" spans="2:29" s="134" customFormat="1" x14ac:dyDescent="0.2">
      <c r="B423" s="145"/>
      <c r="D423" s="145"/>
      <c r="U423" s="141"/>
      <c r="AC423" s="140"/>
    </row>
    <row r="424" spans="2:29" s="134" customFormat="1" x14ac:dyDescent="0.2">
      <c r="B424" s="145"/>
      <c r="D424" s="145"/>
      <c r="U424" s="141"/>
      <c r="AC424" s="140"/>
    </row>
    <row r="425" spans="2:29" s="134" customFormat="1" x14ac:dyDescent="0.2">
      <c r="B425" s="145"/>
      <c r="D425" s="145"/>
      <c r="U425" s="141"/>
      <c r="AC425" s="140"/>
    </row>
    <row r="426" spans="2:29" s="134" customFormat="1" x14ac:dyDescent="0.2">
      <c r="B426" s="145"/>
      <c r="D426" s="145"/>
      <c r="U426" s="141"/>
      <c r="AC426" s="140"/>
    </row>
    <row r="427" spans="2:29" s="134" customFormat="1" x14ac:dyDescent="0.2">
      <c r="B427" s="145"/>
      <c r="D427" s="145"/>
      <c r="U427" s="141"/>
      <c r="AC427" s="140"/>
    </row>
    <row r="428" spans="2:29" s="134" customFormat="1" x14ac:dyDescent="0.2">
      <c r="B428" s="145"/>
      <c r="D428" s="145"/>
      <c r="U428" s="141"/>
      <c r="AC428" s="140"/>
    </row>
    <row r="429" spans="2:29" s="134" customFormat="1" x14ac:dyDescent="0.2">
      <c r="B429" s="145"/>
      <c r="D429" s="145"/>
      <c r="U429" s="141"/>
      <c r="AC429" s="140"/>
    </row>
    <row r="430" spans="2:29" s="134" customFormat="1" x14ac:dyDescent="0.2">
      <c r="B430" s="145"/>
      <c r="D430" s="145"/>
      <c r="U430" s="141"/>
      <c r="AC430" s="140"/>
    </row>
    <row r="431" spans="2:29" s="134" customFormat="1" x14ac:dyDescent="0.2">
      <c r="B431" s="145"/>
      <c r="D431" s="145"/>
      <c r="U431" s="141"/>
      <c r="AC431" s="140"/>
    </row>
    <row r="432" spans="2:29" s="134" customFormat="1" x14ac:dyDescent="0.2">
      <c r="B432" s="145"/>
      <c r="D432" s="145"/>
      <c r="U432" s="141"/>
      <c r="AC432" s="140"/>
    </row>
    <row r="433" spans="2:29" s="134" customFormat="1" x14ac:dyDescent="0.2">
      <c r="B433" s="145"/>
      <c r="D433" s="145"/>
      <c r="U433" s="141"/>
      <c r="AC433" s="140"/>
    </row>
    <row r="434" spans="2:29" s="134" customFormat="1" x14ac:dyDescent="0.2">
      <c r="B434" s="145"/>
      <c r="D434" s="145"/>
      <c r="U434" s="141"/>
      <c r="AC434" s="140"/>
    </row>
    <row r="435" spans="2:29" s="134" customFormat="1" x14ac:dyDescent="0.2">
      <c r="B435" s="145"/>
      <c r="D435" s="145"/>
      <c r="U435" s="141"/>
      <c r="AC435" s="140"/>
    </row>
    <row r="436" spans="2:29" s="134" customFormat="1" x14ac:dyDescent="0.2">
      <c r="B436" s="145"/>
      <c r="D436" s="145"/>
      <c r="U436" s="141"/>
      <c r="AC436" s="140"/>
    </row>
    <row r="437" spans="2:29" s="134" customFormat="1" x14ac:dyDescent="0.2">
      <c r="B437" s="145"/>
      <c r="D437" s="145"/>
      <c r="U437" s="141"/>
      <c r="AC437" s="140"/>
    </row>
    <row r="438" spans="2:29" s="134" customFormat="1" x14ac:dyDescent="0.2">
      <c r="B438" s="145"/>
      <c r="D438" s="145"/>
      <c r="U438" s="141"/>
      <c r="AC438" s="140"/>
    </row>
    <row r="439" spans="2:29" s="134" customFormat="1" x14ac:dyDescent="0.2">
      <c r="B439" s="145"/>
      <c r="D439" s="145"/>
      <c r="U439" s="141"/>
      <c r="AC439" s="140"/>
    </row>
    <row r="440" spans="2:29" s="134" customFormat="1" x14ac:dyDescent="0.2">
      <c r="B440" s="145"/>
      <c r="D440" s="145"/>
      <c r="U440" s="141"/>
      <c r="AC440" s="140"/>
    </row>
    <row r="441" spans="2:29" s="134" customFormat="1" x14ac:dyDescent="0.2">
      <c r="B441" s="145"/>
      <c r="D441" s="145"/>
      <c r="U441" s="141"/>
      <c r="AC441" s="140"/>
    </row>
    <row r="442" spans="2:29" s="134" customFormat="1" x14ac:dyDescent="0.2">
      <c r="B442" s="145"/>
      <c r="D442" s="145"/>
      <c r="U442" s="141"/>
      <c r="AC442" s="140"/>
    </row>
    <row r="443" spans="2:29" s="134" customFormat="1" x14ac:dyDescent="0.2">
      <c r="B443" s="145"/>
      <c r="D443" s="145"/>
      <c r="U443" s="141"/>
      <c r="AC443" s="140"/>
    </row>
    <row r="444" spans="2:29" s="134" customFormat="1" x14ac:dyDescent="0.2">
      <c r="B444" s="145"/>
      <c r="D444" s="145"/>
      <c r="U444" s="141"/>
      <c r="AC444" s="140"/>
    </row>
    <row r="445" spans="2:29" s="134" customFormat="1" x14ac:dyDescent="0.2">
      <c r="B445" s="145"/>
      <c r="D445" s="145"/>
      <c r="U445" s="141"/>
      <c r="AC445" s="140"/>
    </row>
    <row r="446" spans="2:29" s="134" customFormat="1" x14ac:dyDescent="0.2">
      <c r="B446" s="145"/>
      <c r="D446" s="145"/>
      <c r="U446" s="141"/>
      <c r="AC446" s="140"/>
    </row>
    <row r="447" spans="2:29" s="134" customFormat="1" x14ac:dyDescent="0.2">
      <c r="B447" s="145"/>
      <c r="D447" s="145"/>
      <c r="U447" s="141"/>
      <c r="AC447" s="140"/>
    </row>
    <row r="448" spans="2:29" s="134" customFormat="1" x14ac:dyDescent="0.2">
      <c r="B448" s="145"/>
      <c r="D448" s="145"/>
      <c r="U448" s="141"/>
      <c r="AC448" s="140"/>
    </row>
    <row r="449" spans="2:29" s="134" customFormat="1" x14ac:dyDescent="0.2">
      <c r="B449" s="145"/>
      <c r="D449" s="145"/>
      <c r="U449" s="141"/>
      <c r="AC449" s="140"/>
    </row>
    <row r="450" spans="2:29" s="134" customFormat="1" x14ac:dyDescent="0.2">
      <c r="B450" s="145"/>
      <c r="D450" s="145"/>
      <c r="U450" s="141"/>
      <c r="AC450" s="140"/>
    </row>
    <row r="451" spans="2:29" s="134" customFormat="1" x14ac:dyDescent="0.2">
      <c r="B451" s="145"/>
      <c r="D451" s="145"/>
      <c r="U451" s="141"/>
      <c r="AC451" s="140"/>
    </row>
    <row r="452" spans="2:29" s="134" customFormat="1" x14ac:dyDescent="0.2">
      <c r="B452" s="145"/>
      <c r="D452" s="145"/>
      <c r="U452" s="141"/>
      <c r="AC452" s="140"/>
    </row>
    <row r="453" spans="2:29" s="134" customFormat="1" x14ac:dyDescent="0.2">
      <c r="B453" s="145"/>
      <c r="D453" s="145"/>
      <c r="U453" s="141"/>
      <c r="AC453" s="140"/>
    </row>
  </sheetData>
  <autoFilter ref="A11:FR221"/>
  <mergeCells count="10">
    <mergeCell ref="X10:AA10"/>
    <mergeCell ref="AB10:AE10"/>
    <mergeCell ref="AR10:AS10"/>
    <mergeCell ref="B222:I222"/>
    <mergeCell ref="B1:W1"/>
    <mergeCell ref="B2:W2"/>
    <mergeCell ref="B3:W3"/>
    <mergeCell ref="B4:W4"/>
    <mergeCell ref="B5:W6"/>
    <mergeCell ref="T10:W10"/>
  </mergeCells>
  <conditionalFormatting sqref="D12:D69">
    <cfRule type="duplicateValues" dxfId="41" priority="10"/>
  </conditionalFormatting>
  <conditionalFormatting sqref="D71:D76">
    <cfRule type="duplicateValues" dxfId="40" priority="9"/>
  </conditionalFormatting>
  <conditionalFormatting sqref="D71:D76">
    <cfRule type="duplicateValues" dxfId="39" priority="8"/>
  </conditionalFormatting>
  <conditionalFormatting sqref="D70">
    <cfRule type="duplicateValues" dxfId="38" priority="11"/>
  </conditionalFormatting>
  <conditionalFormatting sqref="D12:D70">
    <cfRule type="duplicateValues" dxfId="37" priority="12"/>
  </conditionalFormatting>
  <conditionalFormatting sqref="D167">
    <cfRule type="duplicateValues" dxfId="36" priority="6"/>
  </conditionalFormatting>
  <conditionalFormatting sqref="D168:D176">
    <cfRule type="duplicateValues" dxfId="35" priority="7"/>
  </conditionalFormatting>
  <conditionalFormatting sqref="D177:D178">
    <cfRule type="duplicateValues" dxfId="34" priority="5"/>
  </conditionalFormatting>
  <conditionalFormatting sqref="D180">
    <cfRule type="duplicateValues" dxfId="33" priority="4"/>
  </conditionalFormatting>
  <conditionalFormatting sqref="D182:D183">
    <cfRule type="duplicateValues" dxfId="32" priority="3"/>
  </conditionalFormatting>
  <conditionalFormatting sqref="D184:D188">
    <cfRule type="duplicateValues" dxfId="31" priority="2"/>
  </conditionalFormatting>
  <conditionalFormatting sqref="D179 D131:D166 D181">
    <cfRule type="duplicateValues" dxfId="30" priority="13"/>
  </conditionalFormatting>
  <conditionalFormatting sqref="D190:D193">
    <cfRule type="duplicateValues" dxfId="29" priority="1"/>
  </conditionalFormatting>
  <conditionalFormatting sqref="D189 D194:D221">
    <cfRule type="duplicateValues" dxfId="28" priority="14"/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EA918"/>
  <sheetViews>
    <sheetView workbookViewId="0">
      <selection activeCell="C22" sqref="C21:C22"/>
    </sheetView>
  </sheetViews>
  <sheetFormatPr baseColWidth="10" defaultRowHeight="11.25" x14ac:dyDescent="0.2"/>
  <cols>
    <col min="1" max="1" width="5" style="134" customWidth="1"/>
    <col min="2" max="2" width="10.140625" style="12" customWidth="1"/>
    <col min="3" max="3" width="9.85546875" style="3" customWidth="1"/>
    <col min="4" max="4" width="11.42578125" style="12" customWidth="1"/>
    <col min="5" max="5" width="37" style="3" customWidth="1"/>
    <col min="6" max="6" width="13.140625" style="3" customWidth="1"/>
    <col min="7" max="7" width="11.28515625" style="3" customWidth="1"/>
    <col min="8" max="8" width="18.85546875" style="3" customWidth="1"/>
    <col min="9" max="9" width="9.7109375" style="3" customWidth="1"/>
    <col min="10" max="10" width="12.85546875" style="3" customWidth="1"/>
    <col min="11" max="13" width="12" style="3" customWidth="1"/>
    <col min="14" max="15" width="12.85546875" style="3" bestFit="1" customWidth="1"/>
    <col min="16" max="18" width="12" style="3" customWidth="1"/>
    <col min="19" max="19" width="14.140625" style="3" customWidth="1"/>
    <col min="20" max="20" width="12.42578125" style="3" customWidth="1"/>
    <col min="21" max="21" width="10.140625" style="7" customWidth="1"/>
    <col min="22" max="22" width="13.42578125" style="3" customWidth="1"/>
    <col min="23" max="23" width="13" style="3" customWidth="1"/>
    <col min="24" max="24" width="11.85546875" style="3" customWidth="1"/>
    <col min="25" max="25" width="10.140625" style="6" customWidth="1"/>
    <col min="26" max="26" width="13" style="3" customWidth="1"/>
    <col min="27" max="27" width="12.140625" style="3" customWidth="1"/>
    <col min="28" max="28" width="10.140625" style="3" customWidth="1"/>
    <col min="29" max="29" width="10.140625" style="7" customWidth="1"/>
    <col min="30" max="30" width="12.140625" style="3" customWidth="1"/>
    <col min="31" max="31" width="12.7109375" style="3" customWidth="1"/>
    <col min="32" max="32" width="10.140625" style="3" customWidth="1"/>
    <col min="33" max="33" width="10.140625" style="7" customWidth="1"/>
    <col min="34" max="36" width="10.140625" style="3" customWidth="1"/>
    <col min="37" max="37" width="10.140625" style="7" customWidth="1"/>
    <col min="38" max="39" width="10.140625" style="3" customWidth="1"/>
    <col min="40" max="40" width="11.85546875" style="3" bestFit="1" customWidth="1"/>
    <col min="41" max="41" width="12.7109375" style="3" customWidth="1"/>
    <col min="42" max="131" width="11.42578125" style="134"/>
    <col min="132" max="16384" width="11.42578125" style="3"/>
  </cols>
  <sheetData>
    <row r="1" spans="1:131" s="134" customFormat="1" x14ac:dyDescent="0.2">
      <c r="B1" s="742"/>
      <c r="C1" s="742"/>
      <c r="D1" s="742"/>
      <c r="E1" s="742"/>
      <c r="F1" s="742"/>
      <c r="G1" s="742"/>
      <c r="H1" s="742"/>
      <c r="I1" s="742"/>
      <c r="J1" s="742"/>
      <c r="K1" s="742"/>
      <c r="L1" s="742"/>
      <c r="M1" s="742"/>
      <c r="N1" s="742"/>
      <c r="O1" s="742"/>
      <c r="P1" s="742"/>
      <c r="Q1" s="742"/>
      <c r="R1" s="742"/>
      <c r="S1" s="742"/>
      <c r="T1" s="742"/>
      <c r="U1" s="742"/>
      <c r="V1" s="742"/>
      <c r="W1" s="742"/>
      <c r="X1" s="137"/>
      <c r="Y1" s="136"/>
      <c r="Z1" s="137"/>
      <c r="AA1" s="137"/>
      <c r="AB1" s="137"/>
      <c r="AC1" s="138"/>
      <c r="AD1" s="137"/>
      <c r="AE1" s="137"/>
      <c r="AF1" s="137"/>
      <c r="AG1" s="138"/>
      <c r="AH1" s="137"/>
      <c r="AI1" s="137"/>
      <c r="AJ1" s="137"/>
      <c r="AK1" s="138"/>
      <c r="AL1" s="137"/>
      <c r="AM1" s="137"/>
    </row>
    <row r="2" spans="1:131" s="134" customFormat="1" x14ac:dyDescent="0.2">
      <c r="B2" s="742"/>
      <c r="C2" s="742"/>
      <c r="D2" s="742"/>
      <c r="E2" s="742"/>
      <c r="F2" s="742"/>
      <c r="G2" s="742"/>
      <c r="H2" s="742"/>
      <c r="I2" s="742"/>
      <c r="J2" s="742"/>
      <c r="K2" s="742"/>
      <c r="L2" s="742"/>
      <c r="M2" s="742"/>
      <c r="N2" s="742"/>
      <c r="O2" s="742"/>
      <c r="P2" s="742"/>
      <c r="Q2" s="742"/>
      <c r="R2" s="742"/>
      <c r="S2" s="742"/>
      <c r="T2" s="742"/>
      <c r="U2" s="742"/>
      <c r="V2" s="742"/>
      <c r="W2" s="742"/>
      <c r="X2" s="137"/>
      <c r="Y2" s="136"/>
      <c r="Z2" s="137"/>
      <c r="AA2" s="137"/>
      <c r="AB2" s="137"/>
      <c r="AC2" s="138"/>
      <c r="AD2" s="137"/>
      <c r="AE2" s="137"/>
      <c r="AF2" s="137"/>
      <c r="AG2" s="138"/>
      <c r="AH2" s="137"/>
      <c r="AI2" s="137"/>
      <c r="AJ2" s="137"/>
      <c r="AK2" s="138"/>
      <c r="AL2" s="137"/>
      <c r="AM2" s="137"/>
    </row>
    <row r="3" spans="1:131" s="134" customFormat="1" x14ac:dyDescent="0.2">
      <c r="B3" s="742"/>
      <c r="C3" s="742"/>
      <c r="D3" s="742"/>
      <c r="E3" s="742"/>
      <c r="F3" s="742"/>
      <c r="G3" s="742"/>
      <c r="H3" s="742"/>
      <c r="I3" s="742"/>
      <c r="J3" s="742"/>
      <c r="K3" s="742"/>
      <c r="L3" s="742"/>
      <c r="M3" s="742"/>
      <c r="N3" s="742"/>
      <c r="O3" s="742"/>
      <c r="P3" s="742"/>
      <c r="Q3" s="742"/>
      <c r="R3" s="742"/>
      <c r="S3" s="742"/>
      <c r="T3" s="742"/>
      <c r="U3" s="742"/>
      <c r="V3" s="742"/>
      <c r="W3" s="742"/>
      <c r="X3" s="137"/>
      <c r="Y3" s="136"/>
      <c r="Z3" s="137"/>
      <c r="AA3" s="137"/>
      <c r="AB3" s="137"/>
      <c r="AC3" s="138"/>
      <c r="AD3" s="137"/>
      <c r="AE3" s="137"/>
      <c r="AF3" s="137"/>
      <c r="AG3" s="138"/>
      <c r="AH3" s="137"/>
      <c r="AI3" s="137"/>
      <c r="AJ3" s="137"/>
      <c r="AK3" s="138"/>
      <c r="AL3" s="137"/>
      <c r="AM3" s="137"/>
    </row>
    <row r="4" spans="1:131" x14ac:dyDescent="0.2">
      <c r="B4" s="729"/>
      <c r="C4" s="729"/>
      <c r="D4" s="729"/>
      <c r="E4" s="729"/>
      <c r="F4" s="729"/>
      <c r="G4" s="729"/>
      <c r="H4" s="729"/>
      <c r="I4" s="729"/>
      <c r="J4" s="729"/>
      <c r="K4" s="729"/>
      <c r="L4" s="729"/>
      <c r="M4" s="729"/>
      <c r="N4" s="729"/>
      <c r="O4" s="729"/>
      <c r="P4" s="729"/>
      <c r="Q4" s="729"/>
      <c r="R4" s="729"/>
      <c r="S4" s="729"/>
      <c r="T4" s="729"/>
      <c r="U4" s="729"/>
      <c r="V4" s="729"/>
      <c r="W4" s="729"/>
      <c r="X4" s="61"/>
      <c r="Y4" s="4"/>
      <c r="Z4" s="61"/>
      <c r="AA4" s="61"/>
      <c r="AB4" s="61"/>
      <c r="AC4" s="5"/>
      <c r="AD4" s="61"/>
      <c r="AE4" s="61"/>
      <c r="AF4" s="61"/>
      <c r="AG4" s="5"/>
      <c r="AH4" s="61"/>
      <c r="AI4" s="61"/>
      <c r="AJ4" s="61"/>
      <c r="AK4" s="5"/>
      <c r="AL4" s="61"/>
      <c r="AM4" s="61"/>
    </row>
    <row r="5" spans="1:131" s="134" customFormat="1" x14ac:dyDescent="0.2">
      <c r="B5" s="725" t="s">
        <v>0</v>
      </c>
      <c r="C5" s="725"/>
      <c r="D5" s="725"/>
      <c r="E5" s="725"/>
      <c r="F5" s="725"/>
      <c r="G5" s="725"/>
      <c r="H5" s="725"/>
      <c r="I5" s="725"/>
      <c r="J5" s="725"/>
      <c r="K5" s="725"/>
      <c r="L5" s="725"/>
      <c r="M5" s="725"/>
      <c r="N5" s="725"/>
      <c r="O5" s="725"/>
      <c r="P5" s="725"/>
      <c r="Q5" s="725"/>
      <c r="R5" s="725"/>
      <c r="S5" s="725"/>
      <c r="T5" s="725"/>
      <c r="U5" s="725"/>
      <c r="V5" s="725"/>
      <c r="W5" s="725"/>
      <c r="X5" s="137"/>
      <c r="Y5" s="136"/>
      <c r="Z5" s="137"/>
      <c r="AA5" s="137"/>
      <c r="AB5" s="137"/>
      <c r="AC5" s="138"/>
      <c r="AD5" s="137"/>
      <c r="AE5" s="137"/>
      <c r="AF5" s="137"/>
      <c r="AG5" s="138"/>
      <c r="AH5" s="137"/>
      <c r="AI5" s="137"/>
      <c r="AJ5" s="137"/>
      <c r="AK5" s="138"/>
      <c r="AL5" s="137"/>
      <c r="AM5" s="137"/>
    </row>
    <row r="6" spans="1:131" s="134" customFormat="1" x14ac:dyDescent="0.2">
      <c r="B6" s="725"/>
      <c r="C6" s="725"/>
      <c r="D6" s="725"/>
      <c r="E6" s="725"/>
      <c r="F6" s="725"/>
      <c r="G6" s="725"/>
      <c r="H6" s="725"/>
      <c r="I6" s="725"/>
      <c r="J6" s="725"/>
      <c r="K6" s="725"/>
      <c r="L6" s="725"/>
      <c r="M6" s="725"/>
      <c r="N6" s="725"/>
      <c r="O6" s="725"/>
      <c r="P6" s="725"/>
      <c r="Q6" s="725"/>
      <c r="R6" s="725"/>
      <c r="S6" s="725"/>
      <c r="T6" s="725"/>
      <c r="U6" s="725"/>
      <c r="V6" s="725"/>
      <c r="W6" s="725"/>
      <c r="Y6" s="140"/>
      <c r="AC6" s="141"/>
      <c r="AG6" s="141"/>
      <c r="AK6" s="141"/>
    </row>
    <row r="7" spans="1:131" s="134" customFormat="1" ht="18.75" x14ac:dyDescent="0.2">
      <c r="B7" s="142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Y7" s="140"/>
      <c r="AC7" s="141"/>
      <c r="AG7" s="141"/>
      <c r="AK7" s="141"/>
    </row>
    <row r="8" spans="1:131" ht="22.5" x14ac:dyDescent="0.25">
      <c r="B8" s="8" t="s">
        <v>1</v>
      </c>
      <c r="C8" s="8" t="s">
        <v>2</v>
      </c>
      <c r="D8" s="9" t="s">
        <v>3</v>
      </c>
      <c r="E8" s="10" t="s">
        <v>4</v>
      </c>
      <c r="F8" s="119"/>
      <c r="G8" s="142"/>
      <c r="H8" s="142"/>
      <c r="I8" s="142"/>
      <c r="J8" s="142"/>
      <c r="K8" s="142"/>
      <c r="L8" s="142"/>
      <c r="M8" s="142"/>
      <c r="N8" s="210"/>
      <c r="O8" s="142"/>
      <c r="P8" s="210"/>
      <c r="Q8" s="210"/>
      <c r="R8" s="142"/>
      <c r="S8" s="142"/>
      <c r="T8" s="142"/>
      <c r="U8" s="142"/>
      <c r="V8" s="142"/>
      <c r="W8" s="142"/>
      <c r="X8" s="134"/>
      <c r="Y8" s="140"/>
      <c r="Z8" s="134"/>
      <c r="AA8" s="134"/>
      <c r="AB8" s="134"/>
      <c r="AC8" s="141"/>
      <c r="AD8" s="134"/>
      <c r="AE8" s="134"/>
      <c r="AF8" s="134"/>
      <c r="AG8" s="141"/>
      <c r="AH8" s="134"/>
      <c r="AI8" s="134"/>
      <c r="AJ8" s="134"/>
      <c r="AK8" s="141"/>
      <c r="AL8" s="134"/>
      <c r="AM8" s="134"/>
      <c r="AN8" s="134"/>
      <c r="AO8" s="134"/>
    </row>
    <row r="9" spans="1:131" ht="18.75" x14ac:dyDescent="0.2">
      <c r="B9" s="11">
        <v>42725793</v>
      </c>
      <c r="C9" s="11">
        <v>63267044</v>
      </c>
      <c r="D9" s="11">
        <v>34241499</v>
      </c>
      <c r="E9" s="11">
        <f>+S90</f>
        <v>11200057</v>
      </c>
      <c r="F9" s="144"/>
      <c r="G9" s="142"/>
      <c r="H9" s="142"/>
      <c r="I9" s="142"/>
      <c r="J9" s="142"/>
      <c r="K9" s="142"/>
      <c r="L9" s="142"/>
      <c r="M9" s="142"/>
      <c r="N9" s="142"/>
      <c r="O9" s="142"/>
      <c r="P9" s="142"/>
      <c r="Q9" s="142"/>
      <c r="R9" s="142"/>
      <c r="S9" s="142"/>
      <c r="T9" s="142"/>
      <c r="U9" s="142"/>
      <c r="V9" s="142"/>
      <c r="W9" s="142"/>
      <c r="X9" s="134"/>
      <c r="Y9" s="140"/>
      <c r="Z9" s="134"/>
      <c r="AA9" s="134"/>
      <c r="AB9" s="134"/>
      <c r="AC9" s="141"/>
      <c r="AD9" s="134"/>
      <c r="AE9" s="134"/>
      <c r="AF9" s="134"/>
      <c r="AG9" s="141"/>
      <c r="AH9" s="134"/>
      <c r="AI9" s="134"/>
      <c r="AJ9" s="134"/>
      <c r="AK9" s="141"/>
      <c r="AL9" s="134"/>
      <c r="AM9" s="134"/>
      <c r="AN9" s="134"/>
      <c r="AO9" s="134"/>
    </row>
    <row r="10" spans="1:131" ht="15" x14ac:dyDescent="0.2">
      <c r="C10" s="13"/>
      <c r="D10" s="14"/>
      <c r="E10" s="13"/>
      <c r="F10" s="146"/>
      <c r="G10" s="134"/>
      <c r="H10" s="134"/>
      <c r="I10" s="134"/>
      <c r="J10" s="134"/>
      <c r="K10" s="134"/>
      <c r="L10" s="134"/>
      <c r="M10" s="134"/>
      <c r="N10" s="134"/>
      <c r="O10" s="134"/>
      <c r="P10" s="134"/>
      <c r="Q10" s="134"/>
      <c r="R10" s="134"/>
      <c r="S10" s="134"/>
      <c r="T10" s="736" t="s">
        <v>5</v>
      </c>
      <c r="U10" s="737"/>
      <c r="V10" s="737"/>
      <c r="W10" s="738"/>
      <c r="X10" s="739" t="s">
        <v>6</v>
      </c>
      <c r="Y10" s="740"/>
      <c r="Z10" s="740"/>
      <c r="AA10" s="741"/>
      <c r="AB10" s="739" t="s">
        <v>6</v>
      </c>
      <c r="AC10" s="740"/>
      <c r="AD10" s="740"/>
      <c r="AE10" s="741"/>
      <c r="AF10" s="739" t="s">
        <v>6</v>
      </c>
      <c r="AG10" s="740"/>
      <c r="AH10" s="740"/>
      <c r="AI10" s="741"/>
      <c r="AJ10" s="739" t="s">
        <v>6</v>
      </c>
      <c r="AK10" s="740"/>
      <c r="AL10" s="740"/>
      <c r="AM10" s="741"/>
      <c r="AN10" s="723" t="s">
        <v>7</v>
      </c>
      <c r="AO10" s="723"/>
    </row>
    <row r="11" spans="1:131" s="15" customFormat="1" ht="60" x14ac:dyDescent="0.25">
      <c r="A11" s="148"/>
      <c r="B11" s="32" t="s">
        <v>8</v>
      </c>
      <c r="C11" s="32" t="s">
        <v>9</v>
      </c>
      <c r="D11" s="32" t="s">
        <v>10</v>
      </c>
      <c r="E11" s="10" t="s">
        <v>11</v>
      </c>
      <c r="F11" s="10" t="s">
        <v>12</v>
      </c>
      <c r="G11" s="10" t="s">
        <v>13</v>
      </c>
      <c r="H11" s="10" t="s">
        <v>14</v>
      </c>
      <c r="I11" s="10" t="s">
        <v>122</v>
      </c>
      <c r="J11" s="10" t="s">
        <v>15</v>
      </c>
      <c r="K11" s="429" t="s">
        <v>16</v>
      </c>
      <c r="L11" s="429" t="s">
        <v>17</v>
      </c>
      <c r="M11" s="430" t="s">
        <v>18</v>
      </c>
      <c r="N11" s="430" t="s">
        <v>19</v>
      </c>
      <c r="O11" s="430" t="s">
        <v>20</v>
      </c>
      <c r="P11" s="430" t="s">
        <v>21</v>
      </c>
      <c r="Q11" s="430" t="s">
        <v>22</v>
      </c>
      <c r="R11" s="430" t="s">
        <v>23</v>
      </c>
      <c r="S11" s="430" t="s">
        <v>30</v>
      </c>
      <c r="T11" s="36" t="s">
        <v>31</v>
      </c>
      <c r="U11" s="37" t="s">
        <v>32</v>
      </c>
      <c r="V11" s="36" t="s">
        <v>33</v>
      </c>
      <c r="W11" s="36" t="s">
        <v>34</v>
      </c>
      <c r="X11" s="38" t="s">
        <v>35</v>
      </c>
      <c r="Y11" s="39" t="s">
        <v>32</v>
      </c>
      <c r="Z11" s="38" t="s">
        <v>33</v>
      </c>
      <c r="AA11" s="38" t="s">
        <v>34</v>
      </c>
      <c r="AB11" s="38" t="s">
        <v>35</v>
      </c>
      <c r="AC11" s="39" t="s">
        <v>32</v>
      </c>
      <c r="AD11" s="38" t="s">
        <v>33</v>
      </c>
      <c r="AE11" s="38" t="s">
        <v>34</v>
      </c>
      <c r="AF11" s="38" t="s">
        <v>35</v>
      </c>
      <c r="AG11" s="39" t="s">
        <v>32</v>
      </c>
      <c r="AH11" s="38" t="s">
        <v>33</v>
      </c>
      <c r="AI11" s="38" t="s">
        <v>34</v>
      </c>
      <c r="AJ11" s="38" t="s">
        <v>35</v>
      </c>
      <c r="AK11" s="39" t="s">
        <v>32</v>
      </c>
      <c r="AL11" s="38" t="s">
        <v>33</v>
      </c>
      <c r="AM11" s="38" t="s">
        <v>34</v>
      </c>
      <c r="AN11" s="40" t="s">
        <v>36</v>
      </c>
      <c r="AO11" s="40" t="s">
        <v>37</v>
      </c>
      <c r="AP11" s="148"/>
      <c r="AQ11" s="148"/>
      <c r="AR11" s="148"/>
      <c r="AS11" s="148"/>
      <c r="AT11" s="148"/>
      <c r="AU11" s="148"/>
      <c r="AV11" s="148"/>
      <c r="AW11" s="148"/>
      <c r="AX11" s="148"/>
      <c r="AY11" s="148"/>
      <c r="AZ11" s="148"/>
      <c r="BA11" s="148"/>
      <c r="BB11" s="148"/>
      <c r="BC11" s="148"/>
      <c r="BD11" s="148"/>
      <c r="BE11" s="148"/>
      <c r="BF11" s="148"/>
      <c r="BG11" s="148"/>
      <c r="BH11" s="148"/>
      <c r="BI11" s="148"/>
      <c r="BJ11" s="148"/>
      <c r="BK11" s="148"/>
      <c r="BL11" s="148"/>
      <c r="BM11" s="148"/>
      <c r="BN11" s="148"/>
      <c r="BO11" s="148"/>
      <c r="BP11" s="148"/>
      <c r="BQ11" s="148"/>
      <c r="BR11" s="148"/>
      <c r="BS11" s="148"/>
      <c r="BT11" s="148"/>
      <c r="BU11" s="148"/>
      <c r="BV11" s="148"/>
      <c r="BW11" s="148"/>
      <c r="BX11" s="148"/>
      <c r="BY11" s="148"/>
      <c r="BZ11" s="148"/>
      <c r="CA11" s="148"/>
      <c r="CB11" s="148"/>
      <c r="CC11" s="148"/>
      <c r="CD11" s="148"/>
      <c r="CE11" s="148"/>
      <c r="CF11" s="148"/>
      <c r="CG11" s="148"/>
      <c r="CH11" s="148"/>
      <c r="CI11" s="148"/>
      <c r="CJ11" s="148"/>
      <c r="CK11" s="148"/>
      <c r="CL11" s="148"/>
      <c r="CM11" s="148"/>
      <c r="CN11" s="148"/>
      <c r="CO11" s="148"/>
      <c r="CP11" s="148"/>
      <c r="CQ11" s="148"/>
      <c r="CR11" s="148"/>
      <c r="CS11" s="148"/>
      <c r="CT11" s="148"/>
      <c r="CU11" s="148"/>
      <c r="CV11" s="148"/>
      <c r="CW11" s="148"/>
      <c r="CX11" s="148"/>
      <c r="CY11" s="148"/>
      <c r="CZ11" s="148"/>
      <c r="DA11" s="148"/>
      <c r="DB11" s="148"/>
      <c r="DC11" s="148"/>
      <c r="DD11" s="148"/>
      <c r="DE11" s="148"/>
      <c r="DF11" s="148"/>
      <c r="DG11" s="148"/>
      <c r="DH11" s="148"/>
      <c r="DI11" s="148"/>
      <c r="DJ11" s="148"/>
      <c r="DK11" s="148"/>
      <c r="DL11" s="148"/>
      <c r="DM11" s="148"/>
      <c r="DN11" s="148"/>
      <c r="DO11" s="148"/>
      <c r="DP11" s="148"/>
      <c r="DQ11" s="148"/>
      <c r="DR11" s="148"/>
      <c r="DS11" s="148"/>
      <c r="DT11" s="148"/>
      <c r="DU11" s="148"/>
      <c r="DV11" s="148"/>
      <c r="DW11" s="148"/>
      <c r="DX11" s="148"/>
      <c r="DY11" s="148"/>
      <c r="DZ11" s="148"/>
      <c r="EA11" s="148"/>
    </row>
    <row r="12" spans="1:131" s="15" customFormat="1" x14ac:dyDescent="0.2">
      <c r="A12" s="148"/>
      <c r="B12" s="351">
        <v>1</v>
      </c>
      <c r="C12" s="419" t="s">
        <v>40</v>
      </c>
      <c r="D12" s="329">
        <v>30291280</v>
      </c>
      <c r="E12" s="330" t="s">
        <v>1868</v>
      </c>
      <c r="F12" s="420" t="s">
        <v>1869</v>
      </c>
      <c r="G12" s="331" t="s">
        <v>1870</v>
      </c>
      <c r="H12" s="332" t="s">
        <v>1871</v>
      </c>
      <c r="I12" s="333" t="s">
        <v>42</v>
      </c>
      <c r="J12" s="334">
        <v>75059</v>
      </c>
      <c r="K12" s="335">
        <v>32259</v>
      </c>
      <c r="L12" s="335">
        <v>0</v>
      </c>
      <c r="M12" s="421">
        <v>0</v>
      </c>
      <c r="N12" s="421">
        <v>0</v>
      </c>
      <c r="O12" s="421">
        <v>0</v>
      </c>
      <c r="P12" s="421"/>
      <c r="Q12" s="421"/>
      <c r="R12" s="421"/>
      <c r="S12" s="336">
        <f t="shared" ref="S12:S13" si="0">SUM(M12:R12)</f>
        <v>0</v>
      </c>
      <c r="T12" s="337">
        <v>42800</v>
      </c>
      <c r="U12" s="422">
        <v>1</v>
      </c>
      <c r="V12" s="423">
        <v>44218</v>
      </c>
      <c r="W12" s="423">
        <v>44246</v>
      </c>
      <c r="X12" s="336"/>
      <c r="Y12" s="424"/>
      <c r="Z12" s="423"/>
      <c r="AA12" s="425"/>
      <c r="AB12" s="336"/>
      <c r="AC12" s="424"/>
      <c r="AD12" s="424"/>
      <c r="AE12" s="426"/>
      <c r="AF12" s="323"/>
      <c r="AG12" s="424"/>
      <c r="AH12" s="424"/>
      <c r="AI12" s="426"/>
      <c r="AJ12" s="323"/>
      <c r="AK12" s="424"/>
      <c r="AL12" s="424"/>
      <c r="AM12" s="426"/>
      <c r="AN12" s="427">
        <f t="shared" ref="AN12:AN59" si="1">+T12+X12+AB12+AF12+AJ12</f>
        <v>42800</v>
      </c>
      <c r="AO12" s="428">
        <f t="shared" ref="AO12:AO20" si="2">+AN12-S12</f>
        <v>42800</v>
      </c>
      <c r="AP12" s="148"/>
      <c r="AQ12" s="148"/>
      <c r="AR12" s="148"/>
      <c r="AS12" s="148"/>
      <c r="AT12" s="148"/>
      <c r="AU12" s="148"/>
      <c r="AV12" s="148"/>
      <c r="AW12" s="148"/>
      <c r="AX12" s="148"/>
      <c r="AY12" s="148"/>
      <c r="AZ12" s="148"/>
      <c r="BA12" s="148"/>
      <c r="BB12" s="148"/>
      <c r="BC12" s="148"/>
      <c r="BD12" s="148"/>
      <c r="BE12" s="148"/>
      <c r="BF12" s="148"/>
      <c r="BG12" s="148"/>
      <c r="BH12" s="148"/>
      <c r="BI12" s="148"/>
      <c r="BJ12" s="148"/>
      <c r="BK12" s="148"/>
      <c r="BL12" s="148"/>
      <c r="BM12" s="148"/>
      <c r="BN12" s="148"/>
      <c r="BO12" s="148"/>
      <c r="BP12" s="148"/>
      <c r="BQ12" s="148"/>
      <c r="BR12" s="148"/>
      <c r="BS12" s="148"/>
      <c r="BT12" s="148"/>
      <c r="BU12" s="148"/>
      <c r="BV12" s="148"/>
      <c r="BW12" s="148"/>
      <c r="BX12" s="148"/>
      <c r="BY12" s="148"/>
      <c r="BZ12" s="148"/>
      <c r="CA12" s="148"/>
      <c r="CB12" s="148"/>
      <c r="CC12" s="148"/>
      <c r="CD12" s="148"/>
      <c r="CE12" s="148"/>
      <c r="CF12" s="148"/>
      <c r="CG12" s="148"/>
      <c r="CH12" s="148"/>
      <c r="CI12" s="148"/>
      <c r="CJ12" s="148"/>
      <c r="CK12" s="148"/>
      <c r="CL12" s="148"/>
      <c r="CM12" s="148"/>
      <c r="CN12" s="148"/>
      <c r="CO12" s="148"/>
      <c r="CP12" s="148"/>
      <c r="CQ12" s="148"/>
      <c r="CR12" s="148"/>
      <c r="CS12" s="148"/>
      <c r="CT12" s="148"/>
      <c r="CU12" s="148"/>
      <c r="CV12" s="148"/>
      <c r="CW12" s="148"/>
      <c r="CX12" s="148"/>
      <c r="CY12" s="148"/>
      <c r="CZ12" s="148"/>
      <c r="DA12" s="148"/>
      <c r="DB12" s="148"/>
      <c r="DC12" s="148"/>
      <c r="DD12" s="148"/>
      <c r="DE12" s="148"/>
      <c r="DF12" s="148"/>
      <c r="DG12" s="148"/>
      <c r="DH12" s="148"/>
      <c r="DI12" s="148"/>
      <c r="DJ12" s="148"/>
      <c r="DK12" s="148"/>
      <c r="DL12" s="148"/>
      <c r="DM12" s="148"/>
      <c r="DN12" s="148"/>
      <c r="DO12" s="148"/>
      <c r="DP12" s="148"/>
      <c r="DQ12" s="148"/>
      <c r="DR12" s="148"/>
      <c r="DS12" s="148"/>
      <c r="DT12" s="148"/>
      <c r="DU12" s="148"/>
      <c r="DV12" s="148"/>
      <c r="DW12" s="148"/>
      <c r="DX12" s="148"/>
      <c r="DY12" s="148"/>
      <c r="DZ12" s="148"/>
      <c r="EA12" s="148"/>
    </row>
    <row r="13" spans="1:131" s="15" customFormat="1" x14ac:dyDescent="0.2">
      <c r="A13" s="148"/>
      <c r="B13" s="327">
        <v>2</v>
      </c>
      <c r="C13" s="328" t="s">
        <v>40</v>
      </c>
      <c r="D13" s="342">
        <v>40010579</v>
      </c>
      <c r="E13" s="343" t="s">
        <v>1872</v>
      </c>
      <c r="F13" s="344" t="s">
        <v>1869</v>
      </c>
      <c r="G13" s="345" t="s">
        <v>1870</v>
      </c>
      <c r="H13" s="343" t="s">
        <v>1871</v>
      </c>
      <c r="I13" s="346" t="s">
        <v>42</v>
      </c>
      <c r="J13" s="347">
        <v>90162</v>
      </c>
      <c r="K13" s="348">
        <v>35955</v>
      </c>
      <c r="L13" s="335">
        <v>0</v>
      </c>
      <c r="M13" s="57">
        <v>0</v>
      </c>
      <c r="N13" s="57">
        <v>0</v>
      </c>
      <c r="O13" s="57">
        <v>17069</v>
      </c>
      <c r="P13" s="57"/>
      <c r="Q13" s="57"/>
      <c r="R13" s="57"/>
      <c r="S13" s="57">
        <f t="shared" si="0"/>
        <v>17069</v>
      </c>
      <c r="T13" s="349">
        <v>54207</v>
      </c>
      <c r="U13" s="338">
        <v>1</v>
      </c>
      <c r="V13" s="315">
        <v>44218</v>
      </c>
      <c r="W13" s="315">
        <v>44246</v>
      </c>
      <c r="X13" s="57"/>
      <c r="Y13" s="314"/>
      <c r="Z13" s="315"/>
      <c r="AA13" s="316"/>
      <c r="AB13" s="57"/>
      <c r="AC13" s="314"/>
      <c r="AD13" s="314"/>
      <c r="AE13" s="339"/>
      <c r="AF13" s="309"/>
      <c r="AG13" s="314"/>
      <c r="AH13" s="314"/>
      <c r="AI13" s="339"/>
      <c r="AJ13" s="309"/>
      <c r="AK13" s="314"/>
      <c r="AL13" s="314"/>
      <c r="AM13" s="339"/>
      <c r="AN13" s="340">
        <f t="shared" si="1"/>
        <v>54207</v>
      </c>
      <c r="AO13" s="341">
        <f t="shared" si="2"/>
        <v>37138</v>
      </c>
      <c r="AP13" s="148"/>
      <c r="AQ13" s="148"/>
      <c r="AR13" s="148"/>
      <c r="AS13" s="148"/>
      <c r="AT13" s="148"/>
      <c r="AU13" s="148"/>
      <c r="AV13" s="148"/>
      <c r="AW13" s="148"/>
      <c r="AX13" s="148"/>
      <c r="AY13" s="148"/>
      <c r="AZ13" s="148"/>
      <c r="BA13" s="148"/>
      <c r="BB13" s="148"/>
      <c r="BC13" s="148"/>
      <c r="BD13" s="148"/>
      <c r="BE13" s="148"/>
      <c r="BF13" s="148"/>
      <c r="BG13" s="148"/>
      <c r="BH13" s="148"/>
      <c r="BI13" s="148"/>
      <c r="BJ13" s="148"/>
      <c r="BK13" s="148"/>
      <c r="BL13" s="148"/>
      <c r="BM13" s="148"/>
      <c r="BN13" s="148"/>
      <c r="BO13" s="148"/>
      <c r="BP13" s="148"/>
      <c r="BQ13" s="148"/>
      <c r="BR13" s="148"/>
      <c r="BS13" s="148"/>
      <c r="BT13" s="148"/>
      <c r="BU13" s="148"/>
      <c r="BV13" s="148"/>
      <c r="BW13" s="148"/>
      <c r="BX13" s="148"/>
      <c r="BY13" s="148"/>
      <c r="BZ13" s="148"/>
      <c r="CA13" s="148"/>
      <c r="CB13" s="148"/>
      <c r="CC13" s="148"/>
      <c r="CD13" s="148"/>
      <c r="CE13" s="148"/>
      <c r="CF13" s="148"/>
      <c r="CG13" s="148"/>
      <c r="CH13" s="148"/>
      <c r="CI13" s="148"/>
      <c r="CJ13" s="148"/>
      <c r="CK13" s="148"/>
      <c r="CL13" s="148"/>
      <c r="CM13" s="148"/>
      <c r="CN13" s="148"/>
      <c r="CO13" s="148"/>
      <c r="CP13" s="148"/>
      <c r="CQ13" s="148"/>
      <c r="CR13" s="148"/>
      <c r="CS13" s="148"/>
      <c r="CT13" s="148"/>
      <c r="CU13" s="148"/>
      <c r="CV13" s="148"/>
      <c r="CW13" s="148"/>
      <c r="CX13" s="148"/>
      <c r="CY13" s="148"/>
      <c r="CZ13" s="148"/>
      <c r="DA13" s="148"/>
      <c r="DB13" s="148"/>
      <c r="DC13" s="148"/>
      <c r="DD13" s="148"/>
      <c r="DE13" s="148"/>
      <c r="DF13" s="148"/>
      <c r="DG13" s="148"/>
      <c r="DH13" s="148"/>
      <c r="DI13" s="148"/>
      <c r="DJ13" s="148"/>
      <c r="DK13" s="148"/>
      <c r="DL13" s="148"/>
      <c r="DM13" s="148"/>
      <c r="DN13" s="148"/>
      <c r="DO13" s="148"/>
      <c r="DP13" s="148"/>
      <c r="DQ13" s="148"/>
      <c r="DR13" s="148"/>
      <c r="DS13" s="148"/>
      <c r="DT13" s="148"/>
      <c r="DU13" s="148"/>
      <c r="DV13" s="148"/>
      <c r="DW13" s="148"/>
      <c r="DX13" s="148"/>
      <c r="DY13" s="148"/>
      <c r="DZ13" s="148"/>
      <c r="EA13" s="148"/>
    </row>
    <row r="14" spans="1:131" s="15" customFormat="1" x14ac:dyDescent="0.2">
      <c r="A14" s="148"/>
      <c r="B14" s="350">
        <f>+B13+1</f>
        <v>3</v>
      </c>
      <c r="C14" s="351" t="s">
        <v>38</v>
      </c>
      <c r="D14" s="352">
        <v>20189906</v>
      </c>
      <c r="E14" s="330" t="s">
        <v>1873</v>
      </c>
      <c r="F14" s="353" t="s">
        <v>204</v>
      </c>
      <c r="G14" s="354" t="s">
        <v>1870</v>
      </c>
      <c r="H14" s="332" t="s">
        <v>1874</v>
      </c>
      <c r="I14" s="333" t="s">
        <v>42</v>
      </c>
      <c r="J14" s="334">
        <v>170711</v>
      </c>
      <c r="K14" s="355">
        <v>52318</v>
      </c>
      <c r="L14" s="355">
        <v>0</v>
      </c>
      <c r="M14" s="57">
        <v>0</v>
      </c>
      <c r="N14" s="336">
        <v>30900</v>
      </c>
      <c r="O14" s="57">
        <v>0</v>
      </c>
      <c r="P14" s="336"/>
      <c r="Q14" s="336"/>
      <c r="R14" s="336"/>
      <c r="S14" s="336">
        <f t="shared" ref="S14:S45" si="3">SUM(M14:R14)</f>
        <v>30900</v>
      </c>
      <c r="T14" s="337">
        <v>118393</v>
      </c>
      <c r="U14" s="19">
        <v>1</v>
      </c>
      <c r="V14" s="23">
        <v>44218</v>
      </c>
      <c r="W14" s="23">
        <v>44246</v>
      </c>
      <c r="X14" s="57"/>
      <c r="Y14" s="20"/>
      <c r="Z14" s="21"/>
      <c r="AA14" s="23"/>
      <c r="AB14" s="348"/>
      <c r="AC14" s="19"/>
      <c r="AD14" s="21"/>
      <c r="AE14" s="23"/>
      <c r="AF14" s="319"/>
      <c r="AG14" s="19"/>
      <c r="AH14" s="21"/>
      <c r="AI14" s="23"/>
      <c r="AJ14" s="309"/>
      <c r="AK14" s="19"/>
      <c r="AL14" s="21"/>
      <c r="AM14" s="25"/>
      <c r="AN14" s="356">
        <f t="shared" si="1"/>
        <v>118393</v>
      </c>
      <c r="AO14" s="341">
        <f t="shared" si="2"/>
        <v>87493</v>
      </c>
      <c r="AP14" s="148"/>
      <c r="AQ14" s="148"/>
      <c r="AR14" s="148"/>
      <c r="AS14" s="148"/>
      <c r="AT14" s="148"/>
      <c r="AU14" s="148"/>
      <c r="AV14" s="148"/>
      <c r="AW14" s="148"/>
      <c r="AX14" s="148"/>
      <c r="AY14" s="148"/>
      <c r="AZ14" s="148"/>
      <c r="BA14" s="148"/>
      <c r="BB14" s="148"/>
      <c r="BC14" s="148"/>
      <c r="BD14" s="148"/>
      <c r="BE14" s="148"/>
      <c r="BF14" s="148"/>
      <c r="BG14" s="148"/>
      <c r="BH14" s="148"/>
      <c r="BI14" s="148"/>
      <c r="BJ14" s="148"/>
      <c r="BK14" s="148"/>
      <c r="BL14" s="148"/>
      <c r="BM14" s="148"/>
      <c r="BN14" s="148"/>
      <c r="BO14" s="148"/>
      <c r="BP14" s="148"/>
      <c r="BQ14" s="148"/>
      <c r="BR14" s="148"/>
      <c r="BS14" s="148"/>
      <c r="BT14" s="148"/>
      <c r="BU14" s="148"/>
      <c r="BV14" s="148"/>
      <c r="BW14" s="148"/>
      <c r="BX14" s="148"/>
      <c r="BY14" s="148"/>
      <c r="BZ14" s="148"/>
      <c r="CA14" s="148"/>
      <c r="CB14" s="148"/>
      <c r="CC14" s="148"/>
      <c r="CD14" s="148"/>
      <c r="CE14" s="148"/>
      <c r="CF14" s="148"/>
      <c r="CG14" s="148"/>
      <c r="CH14" s="148"/>
      <c r="CI14" s="148"/>
      <c r="CJ14" s="148"/>
      <c r="CK14" s="148"/>
      <c r="CL14" s="148"/>
      <c r="CM14" s="148"/>
      <c r="CN14" s="148"/>
      <c r="CO14" s="148"/>
      <c r="CP14" s="148"/>
      <c r="CQ14" s="148"/>
      <c r="CR14" s="148"/>
      <c r="CS14" s="148"/>
      <c r="CT14" s="148"/>
      <c r="CU14" s="148"/>
      <c r="CV14" s="148"/>
      <c r="CW14" s="148"/>
      <c r="CX14" s="148"/>
      <c r="CY14" s="148"/>
      <c r="CZ14" s="148"/>
      <c r="DA14" s="148"/>
      <c r="DB14" s="148"/>
      <c r="DC14" s="148"/>
      <c r="DD14" s="148"/>
      <c r="DE14" s="148"/>
      <c r="DF14" s="148"/>
      <c r="DG14" s="148"/>
      <c r="DH14" s="148"/>
      <c r="DI14" s="148"/>
      <c r="DJ14" s="148"/>
      <c r="DK14" s="148"/>
      <c r="DL14" s="148"/>
      <c r="DM14" s="148"/>
      <c r="DN14" s="148"/>
      <c r="DO14" s="148"/>
      <c r="DP14" s="148"/>
      <c r="DQ14" s="148"/>
      <c r="DR14" s="148"/>
      <c r="DS14" s="148"/>
      <c r="DT14" s="148"/>
      <c r="DU14" s="148"/>
      <c r="DV14" s="148"/>
      <c r="DW14" s="148"/>
      <c r="DX14" s="148"/>
      <c r="DY14" s="148"/>
      <c r="DZ14" s="148"/>
      <c r="EA14" s="148"/>
    </row>
    <row r="15" spans="1:131" s="15" customFormat="1" x14ac:dyDescent="0.2">
      <c r="A15" s="148"/>
      <c r="B15" s="350">
        <f t="shared" ref="B15:B78" si="4">+B14+1</f>
        <v>4</v>
      </c>
      <c r="C15" s="327" t="s">
        <v>38</v>
      </c>
      <c r="D15" s="357">
        <v>30075319</v>
      </c>
      <c r="E15" s="358" t="s">
        <v>1875</v>
      </c>
      <c r="F15" s="359" t="s">
        <v>200</v>
      </c>
      <c r="G15" s="360" t="s">
        <v>1870</v>
      </c>
      <c r="H15" s="343" t="s">
        <v>1876</v>
      </c>
      <c r="I15" s="346" t="s">
        <v>42</v>
      </c>
      <c r="J15" s="347">
        <v>9256288</v>
      </c>
      <c r="K15" s="361">
        <v>6449697</v>
      </c>
      <c r="L15" s="361">
        <v>0</v>
      </c>
      <c r="M15" s="57">
        <v>0</v>
      </c>
      <c r="N15" s="18">
        <v>0</v>
      </c>
      <c r="O15" s="57">
        <v>0</v>
      </c>
      <c r="P15" s="18"/>
      <c r="Q15" s="18">
        <v>72632</v>
      </c>
      <c r="R15" s="575">
        <v>353024</v>
      </c>
      <c r="S15" s="57">
        <f t="shared" si="3"/>
        <v>425656</v>
      </c>
      <c r="T15" s="349">
        <v>775569</v>
      </c>
      <c r="U15" s="19">
        <v>1</v>
      </c>
      <c r="V15" s="23">
        <v>44218</v>
      </c>
      <c r="W15" s="23">
        <v>44246</v>
      </c>
      <c r="X15" s="57">
        <v>360930</v>
      </c>
      <c r="Y15" s="19">
        <v>31</v>
      </c>
      <c r="Z15" s="23">
        <v>44293</v>
      </c>
      <c r="AA15" s="315">
        <v>44307</v>
      </c>
      <c r="AB15" s="348"/>
      <c r="AC15" s="338"/>
      <c r="AD15" s="362"/>
      <c r="AE15" s="315"/>
      <c r="AF15" s="319"/>
      <c r="AG15" s="19"/>
      <c r="AH15" s="21"/>
      <c r="AI15" s="23"/>
      <c r="AJ15" s="309"/>
      <c r="AK15" s="19"/>
      <c r="AL15" s="21"/>
      <c r="AM15" s="25"/>
      <c r="AN15" s="356">
        <f t="shared" si="1"/>
        <v>1136499</v>
      </c>
      <c r="AO15" s="341">
        <f t="shared" si="2"/>
        <v>710843</v>
      </c>
      <c r="AP15" s="148"/>
      <c r="AQ15" s="148"/>
      <c r="AR15" s="148"/>
      <c r="AS15" s="148"/>
      <c r="AT15" s="148"/>
      <c r="AU15" s="148"/>
      <c r="AV15" s="148"/>
      <c r="AW15" s="148"/>
      <c r="AX15" s="148"/>
      <c r="AY15" s="148"/>
      <c r="AZ15" s="148"/>
      <c r="BA15" s="148"/>
      <c r="BB15" s="148"/>
      <c r="BC15" s="148"/>
      <c r="BD15" s="148"/>
      <c r="BE15" s="148"/>
      <c r="BF15" s="148"/>
      <c r="BG15" s="148"/>
      <c r="BH15" s="148"/>
      <c r="BI15" s="148"/>
      <c r="BJ15" s="148"/>
      <c r="BK15" s="148"/>
      <c r="BL15" s="148"/>
      <c r="BM15" s="148"/>
      <c r="BN15" s="148"/>
      <c r="BO15" s="148"/>
      <c r="BP15" s="148"/>
      <c r="BQ15" s="148"/>
      <c r="BR15" s="148"/>
      <c r="BS15" s="148"/>
      <c r="BT15" s="148"/>
      <c r="BU15" s="148"/>
      <c r="BV15" s="148"/>
      <c r="BW15" s="148"/>
      <c r="BX15" s="148"/>
      <c r="BY15" s="148"/>
      <c r="BZ15" s="148"/>
      <c r="CA15" s="148"/>
      <c r="CB15" s="148"/>
      <c r="CC15" s="148"/>
      <c r="CD15" s="148"/>
      <c r="CE15" s="148"/>
      <c r="CF15" s="148"/>
      <c r="CG15" s="148"/>
      <c r="CH15" s="148"/>
      <c r="CI15" s="148"/>
      <c r="CJ15" s="148"/>
      <c r="CK15" s="148"/>
      <c r="CL15" s="148"/>
      <c r="CM15" s="148"/>
      <c r="CN15" s="148"/>
      <c r="CO15" s="148"/>
      <c r="CP15" s="148"/>
      <c r="CQ15" s="148"/>
      <c r="CR15" s="148"/>
      <c r="CS15" s="148"/>
      <c r="CT15" s="148"/>
      <c r="CU15" s="148"/>
      <c r="CV15" s="148"/>
      <c r="CW15" s="148"/>
      <c r="CX15" s="148"/>
      <c r="CY15" s="148"/>
      <c r="CZ15" s="148"/>
      <c r="DA15" s="148"/>
      <c r="DB15" s="148"/>
      <c r="DC15" s="148"/>
      <c r="DD15" s="148"/>
      <c r="DE15" s="148"/>
      <c r="DF15" s="148"/>
      <c r="DG15" s="148"/>
      <c r="DH15" s="148"/>
      <c r="DI15" s="148"/>
      <c r="DJ15" s="148"/>
      <c r="DK15" s="148"/>
      <c r="DL15" s="148"/>
      <c r="DM15" s="148"/>
      <c r="DN15" s="148"/>
      <c r="DO15" s="148"/>
      <c r="DP15" s="148"/>
      <c r="DQ15" s="148"/>
      <c r="DR15" s="148"/>
      <c r="DS15" s="148"/>
      <c r="DT15" s="148"/>
      <c r="DU15" s="148"/>
      <c r="DV15" s="148"/>
      <c r="DW15" s="148"/>
      <c r="DX15" s="148"/>
      <c r="DY15" s="148"/>
      <c r="DZ15" s="148"/>
      <c r="EA15" s="148"/>
    </row>
    <row r="16" spans="1:131" s="15" customFormat="1" x14ac:dyDescent="0.2">
      <c r="A16" s="148"/>
      <c r="B16" s="350">
        <f t="shared" si="4"/>
        <v>5</v>
      </c>
      <c r="C16" s="327" t="s">
        <v>38</v>
      </c>
      <c r="D16" s="363">
        <v>30081093</v>
      </c>
      <c r="E16" s="330" t="s">
        <v>1877</v>
      </c>
      <c r="F16" s="364" t="s">
        <v>200</v>
      </c>
      <c r="G16" s="354" t="s">
        <v>1870</v>
      </c>
      <c r="H16" s="332" t="s">
        <v>1878</v>
      </c>
      <c r="I16" s="346" t="s">
        <v>42</v>
      </c>
      <c r="J16" s="334">
        <v>8503455</v>
      </c>
      <c r="K16" s="361">
        <v>8412550</v>
      </c>
      <c r="L16" s="361">
        <v>0</v>
      </c>
      <c r="M16" s="57">
        <v>0</v>
      </c>
      <c r="N16" s="18">
        <v>4500</v>
      </c>
      <c r="O16" s="57">
        <v>0</v>
      </c>
      <c r="P16" s="18"/>
      <c r="Q16" s="18"/>
      <c r="R16" s="18"/>
      <c r="S16" s="57">
        <f t="shared" si="3"/>
        <v>4500</v>
      </c>
      <c r="T16" s="365">
        <v>28491</v>
      </c>
      <c r="U16" s="19">
        <v>1</v>
      </c>
      <c r="V16" s="23">
        <v>44218</v>
      </c>
      <c r="W16" s="23">
        <v>44246</v>
      </c>
      <c r="X16" s="57"/>
      <c r="Y16" s="20"/>
      <c r="Z16" s="21"/>
      <c r="AA16" s="315"/>
      <c r="AB16" s="348"/>
      <c r="AC16" s="338"/>
      <c r="AD16" s="362"/>
      <c r="AE16" s="315"/>
      <c r="AF16" s="319"/>
      <c r="AG16" s="19"/>
      <c r="AH16" s="21"/>
      <c r="AI16" s="23"/>
      <c r="AJ16" s="309"/>
      <c r="AK16" s="19"/>
      <c r="AL16" s="21"/>
      <c r="AM16" s="25"/>
      <c r="AN16" s="356">
        <f t="shared" si="1"/>
        <v>28491</v>
      </c>
      <c r="AO16" s="341">
        <f t="shared" si="2"/>
        <v>23991</v>
      </c>
      <c r="AP16" s="148"/>
      <c r="AQ16" s="148"/>
      <c r="AR16" s="148"/>
      <c r="AS16" s="148"/>
      <c r="AT16" s="148"/>
      <c r="AU16" s="148"/>
      <c r="AV16" s="148"/>
      <c r="AW16" s="148"/>
      <c r="AX16" s="148"/>
      <c r="AY16" s="148"/>
      <c r="AZ16" s="148"/>
      <c r="BA16" s="148"/>
      <c r="BB16" s="148"/>
      <c r="BC16" s="148"/>
      <c r="BD16" s="148"/>
      <c r="BE16" s="148"/>
      <c r="BF16" s="148"/>
      <c r="BG16" s="148"/>
      <c r="BH16" s="148"/>
      <c r="BI16" s="148"/>
      <c r="BJ16" s="148"/>
      <c r="BK16" s="148"/>
      <c r="BL16" s="148"/>
      <c r="BM16" s="148"/>
      <c r="BN16" s="148"/>
      <c r="BO16" s="148"/>
      <c r="BP16" s="148"/>
      <c r="BQ16" s="148"/>
      <c r="BR16" s="148"/>
      <c r="BS16" s="148"/>
      <c r="BT16" s="148"/>
      <c r="BU16" s="148"/>
      <c r="BV16" s="148"/>
      <c r="BW16" s="148"/>
      <c r="BX16" s="148"/>
      <c r="BY16" s="148"/>
      <c r="BZ16" s="148"/>
      <c r="CA16" s="148"/>
      <c r="CB16" s="148"/>
      <c r="CC16" s="148"/>
      <c r="CD16" s="148"/>
      <c r="CE16" s="148"/>
      <c r="CF16" s="148"/>
      <c r="CG16" s="148"/>
      <c r="CH16" s="148"/>
      <c r="CI16" s="148"/>
      <c r="CJ16" s="148"/>
      <c r="CK16" s="148"/>
      <c r="CL16" s="148"/>
      <c r="CM16" s="148"/>
      <c r="CN16" s="148"/>
      <c r="CO16" s="148"/>
      <c r="CP16" s="148"/>
      <c r="CQ16" s="148"/>
      <c r="CR16" s="148"/>
      <c r="CS16" s="148"/>
      <c r="CT16" s="148"/>
      <c r="CU16" s="148"/>
      <c r="CV16" s="148"/>
      <c r="CW16" s="148"/>
      <c r="CX16" s="148"/>
      <c r="CY16" s="148"/>
      <c r="CZ16" s="148"/>
      <c r="DA16" s="148"/>
      <c r="DB16" s="148"/>
      <c r="DC16" s="148"/>
      <c r="DD16" s="148"/>
      <c r="DE16" s="148"/>
      <c r="DF16" s="148"/>
      <c r="DG16" s="148"/>
      <c r="DH16" s="148"/>
      <c r="DI16" s="148"/>
      <c r="DJ16" s="148"/>
      <c r="DK16" s="148"/>
      <c r="DL16" s="148"/>
      <c r="DM16" s="148"/>
      <c r="DN16" s="148"/>
      <c r="DO16" s="148"/>
      <c r="DP16" s="148"/>
      <c r="DQ16" s="148"/>
      <c r="DR16" s="148"/>
      <c r="DS16" s="148"/>
      <c r="DT16" s="148"/>
      <c r="DU16" s="148"/>
      <c r="DV16" s="148"/>
      <c r="DW16" s="148"/>
      <c r="DX16" s="148"/>
      <c r="DY16" s="148"/>
      <c r="DZ16" s="148"/>
      <c r="EA16" s="148"/>
    </row>
    <row r="17" spans="1:131" s="15" customFormat="1" x14ac:dyDescent="0.2">
      <c r="A17" s="148"/>
      <c r="B17" s="350">
        <f t="shared" si="4"/>
        <v>6</v>
      </c>
      <c r="C17" s="327" t="s">
        <v>38</v>
      </c>
      <c r="D17" s="357">
        <v>30102353</v>
      </c>
      <c r="E17" s="358" t="s">
        <v>1879</v>
      </c>
      <c r="F17" s="366" t="s">
        <v>204</v>
      </c>
      <c r="G17" s="360" t="s">
        <v>1870</v>
      </c>
      <c r="H17" s="343" t="s">
        <v>1880</v>
      </c>
      <c r="I17" s="346" t="s">
        <v>42</v>
      </c>
      <c r="J17" s="347">
        <v>386188</v>
      </c>
      <c r="K17" s="361">
        <v>356199</v>
      </c>
      <c r="L17" s="361">
        <v>0</v>
      </c>
      <c r="M17" s="57">
        <v>0</v>
      </c>
      <c r="N17" s="18">
        <v>0</v>
      </c>
      <c r="O17" s="57">
        <v>0</v>
      </c>
      <c r="P17" s="18"/>
      <c r="Q17" s="18"/>
      <c r="R17" s="18"/>
      <c r="S17" s="57">
        <f t="shared" si="3"/>
        <v>0</v>
      </c>
      <c r="T17" s="367">
        <v>27000</v>
      </c>
      <c r="U17" s="19">
        <v>1</v>
      </c>
      <c r="V17" s="23">
        <v>44218</v>
      </c>
      <c r="W17" s="23">
        <v>44246</v>
      </c>
      <c r="X17" s="57"/>
      <c r="Y17" s="20"/>
      <c r="Z17" s="21"/>
      <c r="AA17" s="315"/>
      <c r="AB17" s="348"/>
      <c r="AC17" s="338"/>
      <c r="AD17" s="362"/>
      <c r="AE17" s="315"/>
      <c r="AF17" s="319"/>
      <c r="AG17" s="19"/>
      <c r="AH17" s="21"/>
      <c r="AI17" s="23"/>
      <c r="AJ17" s="309"/>
      <c r="AK17" s="19"/>
      <c r="AL17" s="21"/>
      <c r="AM17" s="25"/>
      <c r="AN17" s="356">
        <f t="shared" si="1"/>
        <v>27000</v>
      </c>
      <c r="AO17" s="341">
        <f t="shared" si="2"/>
        <v>27000</v>
      </c>
      <c r="AP17" s="148"/>
      <c r="AQ17" s="148"/>
      <c r="AR17" s="148"/>
      <c r="AS17" s="148"/>
      <c r="AT17" s="148"/>
      <c r="AU17" s="148"/>
      <c r="AV17" s="148"/>
      <c r="AW17" s="148"/>
      <c r="AX17" s="148"/>
      <c r="AY17" s="148"/>
      <c r="AZ17" s="148"/>
      <c r="BA17" s="148"/>
      <c r="BB17" s="148"/>
      <c r="BC17" s="148"/>
      <c r="BD17" s="148"/>
      <c r="BE17" s="148"/>
      <c r="BF17" s="148"/>
      <c r="BG17" s="148"/>
      <c r="BH17" s="148"/>
      <c r="BI17" s="148"/>
      <c r="BJ17" s="148"/>
      <c r="BK17" s="148"/>
      <c r="BL17" s="148"/>
      <c r="BM17" s="148"/>
      <c r="BN17" s="148"/>
      <c r="BO17" s="148"/>
      <c r="BP17" s="148"/>
      <c r="BQ17" s="148"/>
      <c r="BR17" s="148"/>
      <c r="BS17" s="148"/>
      <c r="BT17" s="148"/>
      <c r="BU17" s="148"/>
      <c r="BV17" s="148"/>
      <c r="BW17" s="148"/>
      <c r="BX17" s="148"/>
      <c r="BY17" s="148"/>
      <c r="BZ17" s="148"/>
      <c r="CA17" s="148"/>
      <c r="CB17" s="148"/>
      <c r="CC17" s="148"/>
      <c r="CD17" s="148"/>
      <c r="CE17" s="148"/>
      <c r="CF17" s="148"/>
      <c r="CG17" s="148"/>
      <c r="CH17" s="148"/>
      <c r="CI17" s="148"/>
      <c r="CJ17" s="148"/>
      <c r="CK17" s="148"/>
      <c r="CL17" s="148"/>
      <c r="CM17" s="148"/>
      <c r="CN17" s="148"/>
      <c r="CO17" s="148"/>
      <c r="CP17" s="148"/>
      <c r="CQ17" s="148"/>
      <c r="CR17" s="148"/>
      <c r="CS17" s="148"/>
      <c r="CT17" s="148"/>
      <c r="CU17" s="148"/>
      <c r="CV17" s="148"/>
      <c r="CW17" s="148"/>
      <c r="CX17" s="148"/>
      <c r="CY17" s="148"/>
      <c r="CZ17" s="148"/>
      <c r="DA17" s="148"/>
      <c r="DB17" s="148"/>
      <c r="DC17" s="148"/>
      <c r="DD17" s="148"/>
      <c r="DE17" s="148"/>
      <c r="DF17" s="148"/>
      <c r="DG17" s="148"/>
      <c r="DH17" s="148"/>
      <c r="DI17" s="148"/>
      <c r="DJ17" s="148"/>
      <c r="DK17" s="148"/>
      <c r="DL17" s="148"/>
      <c r="DM17" s="148"/>
      <c r="DN17" s="148"/>
      <c r="DO17" s="148"/>
      <c r="DP17" s="148"/>
      <c r="DQ17" s="148"/>
      <c r="DR17" s="148"/>
      <c r="DS17" s="148"/>
      <c r="DT17" s="148"/>
      <c r="DU17" s="148"/>
      <c r="DV17" s="148"/>
      <c r="DW17" s="148"/>
      <c r="DX17" s="148"/>
      <c r="DY17" s="148"/>
      <c r="DZ17" s="148"/>
      <c r="EA17" s="148"/>
    </row>
    <row r="18" spans="1:131" s="15" customFormat="1" x14ac:dyDescent="0.2">
      <c r="A18" s="148"/>
      <c r="B18" s="350">
        <f t="shared" si="4"/>
        <v>7</v>
      </c>
      <c r="C18" s="327" t="s">
        <v>38</v>
      </c>
      <c r="D18" s="368">
        <v>30106660</v>
      </c>
      <c r="E18" s="358" t="s">
        <v>1881</v>
      </c>
      <c r="F18" s="369" t="s">
        <v>204</v>
      </c>
      <c r="G18" s="370" t="s">
        <v>1870</v>
      </c>
      <c r="H18" s="332" t="s">
        <v>1874</v>
      </c>
      <c r="I18" s="346" t="s">
        <v>42</v>
      </c>
      <c r="J18" s="334">
        <v>183608</v>
      </c>
      <c r="K18" s="361">
        <v>82599</v>
      </c>
      <c r="L18" s="361">
        <v>0</v>
      </c>
      <c r="M18" s="57">
        <v>0</v>
      </c>
      <c r="N18" s="18">
        <v>55987</v>
      </c>
      <c r="O18" s="57">
        <v>0</v>
      </c>
      <c r="P18" s="18">
        <v>23994</v>
      </c>
      <c r="Q18" s="18"/>
      <c r="R18" s="18"/>
      <c r="S18" s="57">
        <f t="shared" si="3"/>
        <v>79981</v>
      </c>
      <c r="T18" s="371">
        <v>94237</v>
      </c>
      <c r="U18" s="19">
        <v>1</v>
      </c>
      <c r="V18" s="23">
        <v>44218</v>
      </c>
      <c r="W18" s="23">
        <v>44246</v>
      </c>
      <c r="X18" s="57"/>
      <c r="Y18" s="20"/>
      <c r="Z18" s="21"/>
      <c r="AA18" s="315"/>
      <c r="AB18" s="348"/>
      <c r="AC18" s="338"/>
      <c r="AD18" s="362"/>
      <c r="AE18" s="315"/>
      <c r="AF18" s="319"/>
      <c r="AG18" s="19"/>
      <c r="AH18" s="21"/>
      <c r="AI18" s="23"/>
      <c r="AJ18" s="309"/>
      <c r="AK18" s="19"/>
      <c r="AL18" s="21"/>
      <c r="AM18" s="25"/>
      <c r="AN18" s="356">
        <f t="shared" si="1"/>
        <v>94237</v>
      </c>
      <c r="AO18" s="341">
        <f t="shared" si="2"/>
        <v>14256</v>
      </c>
      <c r="AP18" s="148"/>
      <c r="AQ18" s="148"/>
      <c r="AR18" s="148"/>
      <c r="AS18" s="148"/>
      <c r="AT18" s="148"/>
      <c r="AU18" s="148"/>
      <c r="AV18" s="148"/>
      <c r="AW18" s="148"/>
      <c r="AX18" s="148"/>
      <c r="AY18" s="148"/>
      <c r="AZ18" s="148"/>
      <c r="BA18" s="148"/>
      <c r="BB18" s="148"/>
      <c r="BC18" s="148"/>
      <c r="BD18" s="148"/>
      <c r="BE18" s="148"/>
      <c r="BF18" s="148"/>
      <c r="BG18" s="148"/>
      <c r="BH18" s="148"/>
      <c r="BI18" s="148"/>
      <c r="BJ18" s="148"/>
      <c r="BK18" s="148"/>
      <c r="BL18" s="148"/>
      <c r="BM18" s="148"/>
      <c r="BN18" s="148"/>
      <c r="BO18" s="148"/>
      <c r="BP18" s="148"/>
      <c r="BQ18" s="148"/>
      <c r="BR18" s="148"/>
      <c r="BS18" s="148"/>
      <c r="BT18" s="148"/>
      <c r="BU18" s="148"/>
      <c r="BV18" s="148"/>
      <c r="BW18" s="148"/>
      <c r="BX18" s="148"/>
      <c r="BY18" s="148"/>
      <c r="BZ18" s="148"/>
      <c r="CA18" s="148"/>
      <c r="CB18" s="148"/>
      <c r="CC18" s="148"/>
      <c r="CD18" s="148"/>
      <c r="CE18" s="148"/>
      <c r="CF18" s="148"/>
      <c r="CG18" s="148"/>
      <c r="CH18" s="148"/>
      <c r="CI18" s="148"/>
      <c r="CJ18" s="148"/>
      <c r="CK18" s="148"/>
      <c r="CL18" s="148"/>
      <c r="CM18" s="148"/>
      <c r="CN18" s="148"/>
      <c r="CO18" s="148"/>
      <c r="CP18" s="148"/>
      <c r="CQ18" s="148"/>
      <c r="CR18" s="148"/>
      <c r="CS18" s="148"/>
      <c r="CT18" s="148"/>
      <c r="CU18" s="148"/>
      <c r="CV18" s="148"/>
      <c r="CW18" s="148"/>
      <c r="CX18" s="148"/>
      <c r="CY18" s="148"/>
      <c r="CZ18" s="148"/>
      <c r="DA18" s="148"/>
      <c r="DB18" s="148"/>
      <c r="DC18" s="148"/>
      <c r="DD18" s="148"/>
      <c r="DE18" s="148"/>
      <c r="DF18" s="148"/>
      <c r="DG18" s="148"/>
      <c r="DH18" s="148"/>
      <c r="DI18" s="148"/>
      <c r="DJ18" s="148"/>
      <c r="DK18" s="148"/>
      <c r="DL18" s="148"/>
      <c r="DM18" s="148"/>
      <c r="DN18" s="148"/>
      <c r="DO18" s="148"/>
      <c r="DP18" s="148"/>
      <c r="DQ18" s="148"/>
      <c r="DR18" s="148"/>
      <c r="DS18" s="148"/>
      <c r="DT18" s="148"/>
      <c r="DU18" s="148"/>
      <c r="DV18" s="148"/>
      <c r="DW18" s="148"/>
      <c r="DX18" s="148"/>
      <c r="DY18" s="148"/>
      <c r="DZ18" s="148"/>
      <c r="EA18" s="148"/>
    </row>
    <row r="19" spans="1:131" s="15" customFormat="1" x14ac:dyDescent="0.2">
      <c r="A19" s="148"/>
      <c r="B19" s="350">
        <f t="shared" si="4"/>
        <v>8</v>
      </c>
      <c r="C19" s="327" t="s">
        <v>38</v>
      </c>
      <c r="D19" s="372">
        <v>30108704</v>
      </c>
      <c r="E19" s="330" t="s">
        <v>1882</v>
      </c>
      <c r="F19" s="353" t="s">
        <v>200</v>
      </c>
      <c r="G19" s="370" t="s">
        <v>1870</v>
      </c>
      <c r="H19" s="343" t="s">
        <v>226</v>
      </c>
      <c r="I19" s="346" t="s">
        <v>43</v>
      </c>
      <c r="J19" s="349">
        <v>50000</v>
      </c>
      <c r="K19" s="361">
        <v>1049</v>
      </c>
      <c r="L19" s="361">
        <v>605</v>
      </c>
      <c r="M19" s="57">
        <v>0</v>
      </c>
      <c r="N19" s="18">
        <v>0</v>
      </c>
      <c r="O19" s="57">
        <v>0</v>
      </c>
      <c r="P19" s="18"/>
      <c r="Q19" s="18"/>
      <c r="R19" s="18"/>
      <c r="S19" s="57">
        <f t="shared" si="3"/>
        <v>0</v>
      </c>
      <c r="T19" s="349">
        <v>50000</v>
      </c>
      <c r="U19" s="19">
        <v>1</v>
      </c>
      <c r="V19" s="23">
        <v>44218</v>
      </c>
      <c r="W19" s="23">
        <v>44246</v>
      </c>
      <c r="X19" s="57"/>
      <c r="Y19" s="20"/>
      <c r="Z19" s="21"/>
      <c r="AA19" s="315"/>
      <c r="AB19" s="348"/>
      <c r="AC19" s="338"/>
      <c r="AD19" s="362"/>
      <c r="AE19" s="315"/>
      <c r="AF19" s="319"/>
      <c r="AG19" s="19"/>
      <c r="AH19" s="21"/>
      <c r="AI19" s="23"/>
      <c r="AJ19" s="309"/>
      <c r="AK19" s="19"/>
      <c r="AL19" s="21"/>
      <c r="AM19" s="25"/>
      <c r="AN19" s="356">
        <f t="shared" si="1"/>
        <v>50000</v>
      </c>
      <c r="AO19" s="341">
        <f t="shared" si="2"/>
        <v>50000</v>
      </c>
      <c r="AP19" s="148"/>
      <c r="AQ19" s="148"/>
      <c r="AR19" s="148"/>
      <c r="AS19" s="148"/>
      <c r="AT19" s="148"/>
      <c r="AU19" s="148"/>
      <c r="AV19" s="148"/>
      <c r="AW19" s="148"/>
      <c r="AX19" s="148"/>
      <c r="AY19" s="148"/>
      <c r="AZ19" s="148"/>
      <c r="BA19" s="148"/>
      <c r="BB19" s="148"/>
      <c r="BC19" s="148"/>
      <c r="BD19" s="148"/>
      <c r="BE19" s="148"/>
      <c r="BF19" s="148"/>
      <c r="BG19" s="148"/>
      <c r="BH19" s="148"/>
      <c r="BI19" s="148"/>
      <c r="BJ19" s="148"/>
      <c r="BK19" s="148"/>
      <c r="BL19" s="148"/>
      <c r="BM19" s="148"/>
      <c r="BN19" s="148"/>
      <c r="BO19" s="148"/>
      <c r="BP19" s="148"/>
      <c r="BQ19" s="148"/>
      <c r="BR19" s="148"/>
      <c r="BS19" s="148"/>
      <c r="BT19" s="148"/>
      <c r="BU19" s="148"/>
      <c r="BV19" s="148"/>
      <c r="BW19" s="148"/>
      <c r="BX19" s="148"/>
      <c r="BY19" s="148"/>
      <c r="BZ19" s="148"/>
      <c r="CA19" s="148"/>
      <c r="CB19" s="148"/>
      <c r="CC19" s="148"/>
      <c r="CD19" s="148"/>
      <c r="CE19" s="148"/>
      <c r="CF19" s="148"/>
      <c r="CG19" s="148"/>
      <c r="CH19" s="148"/>
      <c r="CI19" s="148"/>
      <c r="CJ19" s="148"/>
      <c r="CK19" s="148"/>
      <c r="CL19" s="148"/>
      <c r="CM19" s="148"/>
      <c r="CN19" s="148"/>
      <c r="CO19" s="148"/>
      <c r="CP19" s="148"/>
      <c r="CQ19" s="148"/>
      <c r="CR19" s="148"/>
      <c r="CS19" s="148"/>
      <c r="CT19" s="148"/>
      <c r="CU19" s="148"/>
      <c r="CV19" s="148"/>
      <c r="CW19" s="148"/>
      <c r="CX19" s="148"/>
      <c r="CY19" s="148"/>
      <c r="CZ19" s="148"/>
      <c r="DA19" s="148"/>
      <c r="DB19" s="148"/>
      <c r="DC19" s="148"/>
      <c r="DD19" s="148"/>
      <c r="DE19" s="148"/>
      <c r="DF19" s="148"/>
      <c r="DG19" s="148"/>
      <c r="DH19" s="148"/>
      <c r="DI19" s="148"/>
      <c r="DJ19" s="148"/>
      <c r="DK19" s="148"/>
      <c r="DL19" s="148"/>
      <c r="DM19" s="148"/>
      <c r="DN19" s="148"/>
      <c r="DO19" s="148"/>
      <c r="DP19" s="148"/>
      <c r="DQ19" s="148"/>
      <c r="DR19" s="148"/>
      <c r="DS19" s="148"/>
      <c r="DT19" s="148"/>
      <c r="DU19" s="148"/>
      <c r="DV19" s="148"/>
      <c r="DW19" s="148"/>
      <c r="DX19" s="148"/>
      <c r="DY19" s="148"/>
      <c r="DZ19" s="148"/>
      <c r="EA19" s="148"/>
    </row>
    <row r="20" spans="1:131" s="15" customFormat="1" x14ac:dyDescent="0.2">
      <c r="A20" s="148"/>
      <c r="B20" s="350">
        <f t="shared" si="4"/>
        <v>9</v>
      </c>
      <c r="C20" s="373" t="s">
        <v>38</v>
      </c>
      <c r="D20" s="363">
        <v>30109116</v>
      </c>
      <c r="E20" s="358" t="s">
        <v>1883</v>
      </c>
      <c r="F20" s="359" t="s">
        <v>200</v>
      </c>
      <c r="G20" s="370" t="s">
        <v>1870</v>
      </c>
      <c r="H20" s="332" t="s">
        <v>1884</v>
      </c>
      <c r="I20" s="346" t="s">
        <v>42</v>
      </c>
      <c r="J20" s="365">
        <v>69893</v>
      </c>
      <c r="K20" s="361">
        <v>1184390</v>
      </c>
      <c r="L20" s="361">
        <v>0</v>
      </c>
      <c r="M20" s="57">
        <v>0</v>
      </c>
      <c r="N20" s="18">
        <v>0</v>
      </c>
      <c r="O20" s="57">
        <v>0</v>
      </c>
      <c r="P20" s="18"/>
      <c r="Q20" s="18"/>
      <c r="R20" s="18"/>
      <c r="S20" s="57">
        <f t="shared" si="3"/>
        <v>0</v>
      </c>
      <c r="T20" s="365">
        <v>69893</v>
      </c>
      <c r="U20" s="19">
        <v>1</v>
      </c>
      <c r="V20" s="23">
        <v>44218</v>
      </c>
      <c r="W20" s="23">
        <v>44246</v>
      </c>
      <c r="X20" s="57"/>
      <c r="Y20" s="20"/>
      <c r="Z20" s="21"/>
      <c r="AA20" s="315"/>
      <c r="AB20" s="348"/>
      <c r="AC20" s="338"/>
      <c r="AD20" s="362"/>
      <c r="AE20" s="315"/>
      <c r="AF20" s="319"/>
      <c r="AG20" s="19"/>
      <c r="AH20" s="21"/>
      <c r="AI20" s="23"/>
      <c r="AJ20" s="309"/>
      <c r="AK20" s="19"/>
      <c r="AL20" s="21"/>
      <c r="AM20" s="25"/>
      <c r="AN20" s="356">
        <f t="shared" si="1"/>
        <v>69893</v>
      </c>
      <c r="AO20" s="341">
        <f t="shared" si="2"/>
        <v>69893</v>
      </c>
      <c r="AP20" s="148"/>
      <c r="AQ20" s="148"/>
      <c r="AR20" s="148"/>
      <c r="AS20" s="148"/>
      <c r="AT20" s="148"/>
      <c r="AU20" s="148"/>
      <c r="AV20" s="148"/>
      <c r="AW20" s="148"/>
      <c r="AX20" s="148"/>
      <c r="AY20" s="148"/>
      <c r="AZ20" s="148"/>
      <c r="BA20" s="148"/>
      <c r="BB20" s="148"/>
      <c r="BC20" s="148"/>
      <c r="BD20" s="148"/>
      <c r="BE20" s="148"/>
      <c r="BF20" s="148"/>
      <c r="BG20" s="148"/>
      <c r="BH20" s="148"/>
      <c r="BI20" s="148"/>
      <c r="BJ20" s="148"/>
      <c r="BK20" s="148"/>
      <c r="BL20" s="148"/>
      <c r="BM20" s="148"/>
      <c r="BN20" s="148"/>
      <c r="BO20" s="148"/>
      <c r="BP20" s="148"/>
      <c r="BQ20" s="148"/>
      <c r="BR20" s="148"/>
      <c r="BS20" s="148"/>
      <c r="BT20" s="148"/>
      <c r="BU20" s="148"/>
      <c r="BV20" s="148"/>
      <c r="BW20" s="148"/>
      <c r="BX20" s="148"/>
      <c r="BY20" s="148"/>
      <c r="BZ20" s="148"/>
      <c r="CA20" s="148"/>
      <c r="CB20" s="148"/>
      <c r="CC20" s="148"/>
      <c r="CD20" s="148"/>
      <c r="CE20" s="148"/>
      <c r="CF20" s="148"/>
      <c r="CG20" s="148"/>
      <c r="CH20" s="148"/>
      <c r="CI20" s="148"/>
      <c r="CJ20" s="148"/>
      <c r="CK20" s="148"/>
      <c r="CL20" s="148"/>
      <c r="CM20" s="148"/>
      <c r="CN20" s="148"/>
      <c r="CO20" s="148"/>
      <c r="CP20" s="148"/>
      <c r="CQ20" s="148"/>
      <c r="CR20" s="148"/>
      <c r="CS20" s="148"/>
      <c r="CT20" s="148"/>
      <c r="CU20" s="148"/>
      <c r="CV20" s="148"/>
      <c r="CW20" s="148"/>
      <c r="CX20" s="148"/>
      <c r="CY20" s="148"/>
      <c r="CZ20" s="148"/>
      <c r="DA20" s="148"/>
      <c r="DB20" s="148"/>
      <c r="DC20" s="148"/>
      <c r="DD20" s="148"/>
      <c r="DE20" s="148"/>
      <c r="DF20" s="148"/>
      <c r="DG20" s="148"/>
      <c r="DH20" s="148"/>
      <c r="DI20" s="148"/>
      <c r="DJ20" s="148"/>
      <c r="DK20" s="148"/>
      <c r="DL20" s="148"/>
      <c r="DM20" s="148"/>
      <c r="DN20" s="148"/>
      <c r="DO20" s="148"/>
      <c r="DP20" s="148"/>
      <c r="DQ20" s="148"/>
      <c r="DR20" s="148"/>
      <c r="DS20" s="148"/>
      <c r="DT20" s="148"/>
      <c r="DU20" s="148"/>
      <c r="DV20" s="148"/>
      <c r="DW20" s="148"/>
      <c r="DX20" s="148"/>
      <c r="DY20" s="148"/>
      <c r="DZ20" s="148"/>
      <c r="EA20" s="148"/>
    </row>
    <row r="21" spans="1:131" s="15" customFormat="1" x14ac:dyDescent="0.2">
      <c r="A21" s="148"/>
      <c r="B21" s="350">
        <f t="shared" si="4"/>
        <v>10</v>
      </c>
      <c r="C21" s="351" t="s">
        <v>38</v>
      </c>
      <c r="D21" s="374">
        <v>30111289</v>
      </c>
      <c r="E21" s="375" t="s">
        <v>1885</v>
      </c>
      <c r="F21" s="369" t="s">
        <v>200</v>
      </c>
      <c r="G21" s="370" t="s">
        <v>1870</v>
      </c>
      <c r="H21" s="343" t="s">
        <v>226</v>
      </c>
      <c r="I21" s="346" t="s">
        <v>42</v>
      </c>
      <c r="J21" s="349">
        <v>89448</v>
      </c>
      <c r="K21" s="361">
        <v>2669895</v>
      </c>
      <c r="L21" s="361">
        <v>0</v>
      </c>
      <c r="M21" s="57">
        <v>0</v>
      </c>
      <c r="N21" s="18">
        <v>0</v>
      </c>
      <c r="O21" s="18">
        <v>8949</v>
      </c>
      <c r="P21" s="18"/>
      <c r="Q21" s="18"/>
      <c r="R21" s="18"/>
      <c r="S21" s="57">
        <f t="shared" si="3"/>
        <v>8949</v>
      </c>
      <c r="T21" s="349">
        <v>89448</v>
      </c>
      <c r="U21" s="19">
        <v>1</v>
      </c>
      <c r="V21" s="23">
        <v>44218</v>
      </c>
      <c r="W21" s="23">
        <v>44246</v>
      </c>
      <c r="X21" s="57"/>
      <c r="Y21" s="20"/>
      <c r="Z21" s="21"/>
      <c r="AA21" s="315"/>
      <c r="AB21" s="348"/>
      <c r="AC21" s="338"/>
      <c r="AD21" s="362"/>
      <c r="AE21" s="315"/>
      <c r="AF21" s="319"/>
      <c r="AG21" s="19"/>
      <c r="AH21" s="21"/>
      <c r="AI21" s="23"/>
      <c r="AJ21" s="309"/>
      <c r="AK21" s="19"/>
      <c r="AL21" s="21"/>
      <c r="AM21" s="25"/>
      <c r="AN21" s="356">
        <f t="shared" si="1"/>
        <v>89448</v>
      </c>
      <c r="AO21" s="341">
        <f>+AN21-S21</f>
        <v>80499</v>
      </c>
      <c r="AP21" s="148"/>
      <c r="AQ21" s="148"/>
      <c r="AR21" s="148"/>
      <c r="AS21" s="148"/>
      <c r="AT21" s="148"/>
      <c r="AU21" s="148"/>
      <c r="AV21" s="148"/>
      <c r="AW21" s="148"/>
      <c r="AX21" s="148"/>
      <c r="AY21" s="148"/>
      <c r="AZ21" s="148"/>
      <c r="BA21" s="148"/>
      <c r="BB21" s="148"/>
      <c r="BC21" s="148"/>
      <c r="BD21" s="148"/>
      <c r="BE21" s="148"/>
      <c r="BF21" s="148"/>
      <c r="BG21" s="148"/>
      <c r="BH21" s="148"/>
      <c r="BI21" s="148"/>
      <c r="BJ21" s="148"/>
      <c r="BK21" s="148"/>
      <c r="BL21" s="148"/>
      <c r="BM21" s="148"/>
      <c r="BN21" s="148"/>
      <c r="BO21" s="148"/>
      <c r="BP21" s="148"/>
      <c r="BQ21" s="148"/>
      <c r="BR21" s="148"/>
      <c r="BS21" s="148"/>
      <c r="BT21" s="148"/>
      <c r="BU21" s="148"/>
      <c r="BV21" s="148"/>
      <c r="BW21" s="148"/>
      <c r="BX21" s="148"/>
      <c r="BY21" s="148"/>
      <c r="BZ21" s="148"/>
      <c r="CA21" s="148"/>
      <c r="CB21" s="148"/>
      <c r="CC21" s="148"/>
      <c r="CD21" s="148"/>
      <c r="CE21" s="148"/>
      <c r="CF21" s="148"/>
      <c r="CG21" s="148"/>
      <c r="CH21" s="148"/>
      <c r="CI21" s="148"/>
      <c r="CJ21" s="148"/>
      <c r="CK21" s="148"/>
      <c r="CL21" s="148"/>
      <c r="CM21" s="148"/>
      <c r="CN21" s="148"/>
      <c r="CO21" s="148"/>
      <c r="CP21" s="148"/>
      <c r="CQ21" s="148"/>
      <c r="CR21" s="148"/>
      <c r="CS21" s="148"/>
      <c r="CT21" s="148"/>
      <c r="CU21" s="148"/>
      <c r="CV21" s="148"/>
      <c r="CW21" s="148"/>
      <c r="CX21" s="148"/>
      <c r="CY21" s="148"/>
      <c r="CZ21" s="148"/>
      <c r="DA21" s="148"/>
      <c r="DB21" s="148"/>
      <c r="DC21" s="148"/>
      <c r="DD21" s="148"/>
      <c r="DE21" s="148"/>
      <c r="DF21" s="148"/>
      <c r="DG21" s="148"/>
      <c r="DH21" s="148"/>
      <c r="DI21" s="148"/>
      <c r="DJ21" s="148"/>
      <c r="DK21" s="148"/>
      <c r="DL21" s="148"/>
      <c r="DM21" s="148"/>
      <c r="DN21" s="148"/>
      <c r="DO21" s="148"/>
      <c r="DP21" s="148"/>
      <c r="DQ21" s="148"/>
      <c r="DR21" s="148"/>
      <c r="DS21" s="148"/>
      <c r="DT21" s="148"/>
      <c r="DU21" s="148"/>
      <c r="DV21" s="148"/>
      <c r="DW21" s="148"/>
      <c r="DX21" s="148"/>
      <c r="DY21" s="148"/>
      <c r="DZ21" s="148"/>
      <c r="EA21" s="148"/>
    </row>
    <row r="22" spans="1:131" s="15" customFormat="1" x14ac:dyDescent="0.2">
      <c r="A22" s="148"/>
      <c r="B22" s="350">
        <f t="shared" si="4"/>
        <v>11</v>
      </c>
      <c r="C22" s="327" t="s">
        <v>38</v>
      </c>
      <c r="D22" s="357">
        <v>30231576</v>
      </c>
      <c r="E22" s="358" t="s">
        <v>1886</v>
      </c>
      <c r="F22" s="359" t="s">
        <v>200</v>
      </c>
      <c r="G22" s="370" t="s">
        <v>1870</v>
      </c>
      <c r="H22" s="332" t="s">
        <v>1880</v>
      </c>
      <c r="I22" s="346" t="s">
        <v>42</v>
      </c>
      <c r="J22" s="371">
        <v>5590221</v>
      </c>
      <c r="K22" s="361">
        <v>1064197</v>
      </c>
      <c r="L22" s="361">
        <v>6638</v>
      </c>
      <c r="M22" s="57">
        <v>0</v>
      </c>
      <c r="N22" s="18">
        <v>722552</v>
      </c>
      <c r="O22" s="18">
        <v>583565</v>
      </c>
      <c r="P22" s="18">
        <v>927361</v>
      </c>
      <c r="Q22" s="18">
        <v>578667</v>
      </c>
      <c r="R22" s="18">
        <v>350827</v>
      </c>
      <c r="S22" s="57">
        <f t="shared" si="3"/>
        <v>3162972</v>
      </c>
      <c r="T22" s="371">
        <v>5590221</v>
      </c>
      <c r="U22" s="19">
        <v>1</v>
      </c>
      <c r="V22" s="23">
        <v>44218</v>
      </c>
      <c r="W22" s="23">
        <v>44246</v>
      </c>
      <c r="X22" s="57"/>
      <c r="Y22" s="20"/>
      <c r="Z22" s="21"/>
      <c r="AA22" s="315"/>
      <c r="AB22" s="348"/>
      <c r="AC22" s="338"/>
      <c r="AD22" s="362"/>
      <c r="AE22" s="315"/>
      <c r="AF22" s="319"/>
      <c r="AG22" s="19"/>
      <c r="AH22" s="21"/>
      <c r="AI22" s="23"/>
      <c r="AJ22" s="309"/>
      <c r="AK22" s="19"/>
      <c r="AL22" s="21"/>
      <c r="AM22" s="25"/>
      <c r="AN22" s="356">
        <f t="shared" si="1"/>
        <v>5590221</v>
      </c>
      <c r="AO22" s="341">
        <f>+AN22-S22</f>
        <v>2427249</v>
      </c>
      <c r="AP22" s="148"/>
      <c r="AQ22" s="148"/>
      <c r="AR22" s="148"/>
      <c r="AS22" s="148"/>
      <c r="AT22" s="148"/>
      <c r="AU22" s="148"/>
      <c r="AV22" s="148"/>
      <c r="AW22" s="148"/>
      <c r="AX22" s="148"/>
      <c r="AY22" s="148"/>
      <c r="AZ22" s="148"/>
      <c r="BA22" s="148"/>
      <c r="BB22" s="148"/>
      <c r="BC22" s="148"/>
      <c r="BD22" s="148"/>
      <c r="BE22" s="148"/>
      <c r="BF22" s="148"/>
      <c r="BG22" s="148"/>
      <c r="BH22" s="148"/>
      <c r="BI22" s="148"/>
      <c r="BJ22" s="148"/>
      <c r="BK22" s="148"/>
      <c r="BL22" s="148"/>
      <c r="BM22" s="148"/>
      <c r="BN22" s="148"/>
      <c r="BO22" s="148"/>
      <c r="BP22" s="148"/>
      <c r="BQ22" s="148"/>
      <c r="BR22" s="148"/>
      <c r="BS22" s="148"/>
      <c r="BT22" s="148"/>
      <c r="BU22" s="148"/>
      <c r="BV22" s="148"/>
      <c r="BW22" s="148"/>
      <c r="BX22" s="148"/>
      <c r="BY22" s="148"/>
      <c r="BZ22" s="148"/>
      <c r="CA22" s="148"/>
      <c r="CB22" s="148"/>
      <c r="CC22" s="148"/>
      <c r="CD22" s="148"/>
      <c r="CE22" s="148"/>
      <c r="CF22" s="148"/>
      <c r="CG22" s="148"/>
      <c r="CH22" s="148"/>
      <c r="CI22" s="148"/>
      <c r="CJ22" s="148"/>
      <c r="CK22" s="148"/>
      <c r="CL22" s="148"/>
      <c r="CM22" s="148"/>
      <c r="CN22" s="148"/>
      <c r="CO22" s="148"/>
      <c r="CP22" s="148"/>
      <c r="CQ22" s="148"/>
      <c r="CR22" s="148"/>
      <c r="CS22" s="148"/>
      <c r="CT22" s="148"/>
      <c r="CU22" s="148"/>
      <c r="CV22" s="148"/>
      <c r="CW22" s="148"/>
      <c r="CX22" s="148"/>
      <c r="CY22" s="148"/>
      <c r="CZ22" s="148"/>
      <c r="DA22" s="148"/>
      <c r="DB22" s="148"/>
      <c r="DC22" s="148"/>
      <c r="DD22" s="148"/>
      <c r="DE22" s="148"/>
      <c r="DF22" s="148"/>
      <c r="DG22" s="148"/>
      <c r="DH22" s="148"/>
      <c r="DI22" s="148"/>
      <c r="DJ22" s="148"/>
      <c r="DK22" s="148"/>
      <c r="DL22" s="148"/>
      <c r="DM22" s="148"/>
      <c r="DN22" s="148"/>
      <c r="DO22" s="148"/>
      <c r="DP22" s="148"/>
      <c r="DQ22" s="148"/>
      <c r="DR22" s="148"/>
      <c r="DS22" s="148"/>
      <c r="DT22" s="148"/>
      <c r="DU22" s="148"/>
      <c r="DV22" s="148"/>
      <c r="DW22" s="148"/>
      <c r="DX22" s="148"/>
      <c r="DY22" s="148"/>
      <c r="DZ22" s="148"/>
      <c r="EA22" s="148"/>
    </row>
    <row r="23" spans="1:131" s="15" customFormat="1" x14ac:dyDescent="0.2">
      <c r="A23" s="148"/>
      <c r="B23" s="350">
        <f t="shared" si="4"/>
        <v>12</v>
      </c>
      <c r="C23" s="373" t="s">
        <v>38</v>
      </c>
      <c r="D23" s="357">
        <v>30271072</v>
      </c>
      <c r="E23" s="376" t="s">
        <v>1887</v>
      </c>
      <c r="F23" s="364" t="s">
        <v>200</v>
      </c>
      <c r="G23" s="370" t="s">
        <v>1870</v>
      </c>
      <c r="H23" s="343" t="s">
        <v>1874</v>
      </c>
      <c r="I23" s="346" t="s">
        <v>42</v>
      </c>
      <c r="J23" s="349">
        <f>3233824+32957+55982662</f>
        <v>59249443</v>
      </c>
      <c r="K23" s="361">
        <f>2037249+32957+31010812</f>
        <v>33081018</v>
      </c>
      <c r="L23" s="361">
        <v>0</v>
      </c>
      <c r="M23" s="57">
        <v>0</v>
      </c>
      <c r="N23" s="18">
        <v>39844</v>
      </c>
      <c r="O23" s="18">
        <v>0</v>
      </c>
      <c r="P23" s="18"/>
      <c r="Q23" s="18"/>
      <c r="R23" s="18"/>
      <c r="S23" s="57">
        <f t="shared" si="3"/>
        <v>39844</v>
      </c>
      <c r="T23" s="349">
        <v>1380288</v>
      </c>
      <c r="U23" s="19">
        <v>1</v>
      </c>
      <c r="V23" s="23">
        <v>44218</v>
      </c>
      <c r="W23" s="23">
        <v>44246</v>
      </c>
      <c r="X23" s="57">
        <v>-1340443</v>
      </c>
      <c r="Y23" s="19">
        <v>31</v>
      </c>
      <c r="Z23" s="23">
        <v>44293</v>
      </c>
      <c r="AA23" s="315">
        <v>44307</v>
      </c>
      <c r="AB23" s="348"/>
      <c r="AC23" s="338"/>
      <c r="AD23" s="362"/>
      <c r="AE23" s="315"/>
      <c r="AF23" s="319"/>
      <c r="AG23" s="19"/>
      <c r="AH23" s="21"/>
      <c r="AI23" s="23"/>
      <c r="AJ23" s="309"/>
      <c r="AK23" s="19"/>
      <c r="AL23" s="21"/>
      <c r="AM23" s="25"/>
      <c r="AN23" s="377">
        <f t="shared" si="1"/>
        <v>39845</v>
      </c>
      <c r="AO23" s="341">
        <f>+AN23-S23</f>
        <v>1</v>
      </c>
      <c r="AP23" s="148"/>
      <c r="AQ23" s="148"/>
      <c r="AR23" s="148"/>
      <c r="AS23" s="148"/>
      <c r="AT23" s="148"/>
      <c r="AU23" s="148"/>
      <c r="AV23" s="148"/>
      <c r="AW23" s="148"/>
      <c r="AX23" s="148"/>
      <c r="AY23" s="148"/>
      <c r="AZ23" s="148"/>
      <c r="BA23" s="148"/>
      <c r="BB23" s="148"/>
      <c r="BC23" s="148"/>
      <c r="BD23" s="148"/>
      <c r="BE23" s="148"/>
      <c r="BF23" s="148"/>
      <c r="BG23" s="148"/>
      <c r="BH23" s="148"/>
      <c r="BI23" s="148"/>
      <c r="BJ23" s="148"/>
      <c r="BK23" s="148"/>
      <c r="BL23" s="148"/>
      <c r="BM23" s="148"/>
      <c r="BN23" s="148"/>
      <c r="BO23" s="148"/>
      <c r="BP23" s="148"/>
      <c r="BQ23" s="148"/>
      <c r="BR23" s="148"/>
      <c r="BS23" s="148"/>
      <c r="BT23" s="148"/>
      <c r="BU23" s="148"/>
      <c r="BV23" s="148"/>
      <c r="BW23" s="148"/>
      <c r="BX23" s="148"/>
      <c r="BY23" s="148"/>
      <c r="BZ23" s="148"/>
      <c r="CA23" s="148"/>
      <c r="CB23" s="148"/>
      <c r="CC23" s="148"/>
      <c r="CD23" s="148"/>
      <c r="CE23" s="148"/>
      <c r="CF23" s="148"/>
      <c r="CG23" s="148"/>
      <c r="CH23" s="148"/>
      <c r="CI23" s="148"/>
      <c r="CJ23" s="148"/>
      <c r="CK23" s="148"/>
      <c r="CL23" s="148"/>
      <c r="CM23" s="148"/>
      <c r="CN23" s="148"/>
      <c r="CO23" s="148"/>
      <c r="CP23" s="148"/>
      <c r="CQ23" s="148"/>
      <c r="CR23" s="148"/>
      <c r="CS23" s="148"/>
      <c r="CT23" s="148"/>
      <c r="CU23" s="148"/>
      <c r="CV23" s="148"/>
      <c r="CW23" s="148"/>
      <c r="CX23" s="148"/>
      <c r="CY23" s="148"/>
      <c r="CZ23" s="148"/>
      <c r="DA23" s="148"/>
      <c r="DB23" s="148"/>
      <c r="DC23" s="148"/>
      <c r="DD23" s="148"/>
      <c r="DE23" s="148"/>
      <c r="DF23" s="148"/>
      <c r="DG23" s="148"/>
      <c r="DH23" s="148"/>
      <c r="DI23" s="148"/>
      <c r="DJ23" s="148"/>
      <c r="DK23" s="148"/>
      <c r="DL23" s="148"/>
      <c r="DM23" s="148"/>
      <c r="DN23" s="148"/>
      <c r="DO23" s="148"/>
      <c r="DP23" s="148"/>
      <c r="DQ23" s="148"/>
      <c r="DR23" s="148"/>
      <c r="DS23" s="148"/>
      <c r="DT23" s="148"/>
      <c r="DU23" s="148"/>
      <c r="DV23" s="148"/>
      <c r="DW23" s="148"/>
      <c r="DX23" s="148"/>
      <c r="DY23" s="148"/>
      <c r="DZ23" s="148"/>
      <c r="EA23" s="148"/>
    </row>
    <row r="24" spans="1:131" s="15" customFormat="1" x14ac:dyDescent="0.2">
      <c r="A24" s="148"/>
      <c r="B24" s="350">
        <f t="shared" si="4"/>
        <v>13</v>
      </c>
      <c r="C24" s="351" t="s">
        <v>38</v>
      </c>
      <c r="D24" s="363">
        <v>30314372</v>
      </c>
      <c r="E24" s="378" t="s">
        <v>1888</v>
      </c>
      <c r="F24" s="379" t="s">
        <v>200</v>
      </c>
      <c r="G24" s="354" t="s">
        <v>1870</v>
      </c>
      <c r="H24" s="332" t="s">
        <v>1884</v>
      </c>
      <c r="I24" s="380" t="s">
        <v>42</v>
      </c>
      <c r="J24" s="371">
        <v>1070171</v>
      </c>
      <c r="K24" s="361">
        <v>194510</v>
      </c>
      <c r="L24" s="361">
        <v>0</v>
      </c>
      <c r="M24" s="57">
        <v>0</v>
      </c>
      <c r="N24" s="18">
        <v>0</v>
      </c>
      <c r="O24" s="18">
        <v>0</v>
      </c>
      <c r="P24" s="18"/>
      <c r="Q24" s="18"/>
      <c r="R24" s="18"/>
      <c r="S24" s="57">
        <f t="shared" si="3"/>
        <v>0</v>
      </c>
      <c r="T24" s="371">
        <v>821661</v>
      </c>
      <c r="U24" s="19">
        <v>1</v>
      </c>
      <c r="V24" s="23">
        <v>44218</v>
      </c>
      <c r="W24" s="23">
        <v>44246</v>
      </c>
      <c r="X24" s="57">
        <v>45020</v>
      </c>
      <c r="Y24" s="20">
        <v>11</v>
      </c>
      <c r="Z24" s="23">
        <v>44259</v>
      </c>
      <c r="AA24" s="315">
        <v>44277</v>
      </c>
      <c r="AB24" s="348"/>
      <c r="AC24" s="338"/>
      <c r="AD24" s="362"/>
      <c r="AE24" s="315"/>
      <c r="AF24" s="319"/>
      <c r="AG24" s="19"/>
      <c r="AH24" s="21"/>
      <c r="AI24" s="23"/>
      <c r="AJ24" s="309"/>
      <c r="AK24" s="19"/>
      <c r="AL24" s="21"/>
      <c r="AM24" s="25"/>
      <c r="AN24" s="356">
        <f t="shared" si="1"/>
        <v>866681</v>
      </c>
      <c r="AO24" s="341">
        <f>+AN24-S24</f>
        <v>866681</v>
      </c>
      <c r="AP24" s="148"/>
      <c r="AQ24" s="148"/>
      <c r="AR24" s="148"/>
      <c r="AS24" s="148"/>
      <c r="AT24" s="148"/>
      <c r="AU24" s="148"/>
      <c r="AV24" s="148"/>
      <c r="AW24" s="148"/>
      <c r="AX24" s="148"/>
      <c r="AY24" s="148"/>
      <c r="AZ24" s="148"/>
      <c r="BA24" s="148"/>
      <c r="BB24" s="148"/>
      <c r="BC24" s="148"/>
      <c r="BD24" s="148"/>
      <c r="BE24" s="148"/>
      <c r="BF24" s="148"/>
      <c r="BG24" s="148"/>
      <c r="BH24" s="148"/>
      <c r="BI24" s="148"/>
      <c r="BJ24" s="148"/>
      <c r="BK24" s="148"/>
      <c r="BL24" s="148"/>
      <c r="BM24" s="148"/>
      <c r="BN24" s="148"/>
      <c r="BO24" s="148"/>
      <c r="BP24" s="148"/>
      <c r="BQ24" s="148"/>
      <c r="BR24" s="148"/>
      <c r="BS24" s="148"/>
      <c r="BT24" s="148"/>
      <c r="BU24" s="148"/>
      <c r="BV24" s="148"/>
      <c r="BW24" s="148"/>
      <c r="BX24" s="148"/>
      <c r="BY24" s="148"/>
      <c r="BZ24" s="148"/>
      <c r="CA24" s="148"/>
      <c r="CB24" s="148"/>
      <c r="CC24" s="148"/>
      <c r="CD24" s="148"/>
      <c r="CE24" s="148"/>
      <c r="CF24" s="148"/>
      <c r="CG24" s="148"/>
      <c r="CH24" s="148"/>
      <c r="CI24" s="148"/>
      <c r="CJ24" s="148"/>
      <c r="CK24" s="148"/>
      <c r="CL24" s="148"/>
      <c r="CM24" s="148"/>
      <c r="CN24" s="148"/>
      <c r="CO24" s="148"/>
      <c r="CP24" s="148"/>
      <c r="CQ24" s="148"/>
      <c r="CR24" s="148"/>
      <c r="CS24" s="148"/>
      <c r="CT24" s="148"/>
      <c r="CU24" s="148"/>
      <c r="CV24" s="148"/>
      <c r="CW24" s="148"/>
      <c r="CX24" s="148"/>
      <c r="CY24" s="148"/>
      <c r="CZ24" s="148"/>
      <c r="DA24" s="148"/>
      <c r="DB24" s="148"/>
      <c r="DC24" s="148"/>
      <c r="DD24" s="148"/>
      <c r="DE24" s="148"/>
      <c r="DF24" s="148"/>
      <c r="DG24" s="148"/>
      <c r="DH24" s="148"/>
      <c r="DI24" s="148"/>
      <c r="DJ24" s="148"/>
      <c r="DK24" s="148"/>
      <c r="DL24" s="148"/>
      <c r="DM24" s="148"/>
      <c r="DN24" s="148"/>
      <c r="DO24" s="148"/>
      <c r="DP24" s="148"/>
      <c r="DQ24" s="148"/>
      <c r="DR24" s="148"/>
      <c r="DS24" s="148"/>
      <c r="DT24" s="148"/>
      <c r="DU24" s="148"/>
      <c r="DV24" s="148"/>
      <c r="DW24" s="148"/>
      <c r="DX24" s="148"/>
      <c r="DY24" s="148"/>
      <c r="DZ24" s="148"/>
      <c r="EA24" s="148"/>
    </row>
    <row r="25" spans="1:131" s="15" customFormat="1" x14ac:dyDescent="0.2">
      <c r="A25" s="148"/>
      <c r="B25" s="350">
        <f t="shared" si="4"/>
        <v>14</v>
      </c>
      <c r="C25" s="327" t="s">
        <v>38</v>
      </c>
      <c r="D25" s="357">
        <v>30335122</v>
      </c>
      <c r="E25" s="358" t="s">
        <v>1889</v>
      </c>
      <c r="F25" s="366" t="s">
        <v>200</v>
      </c>
      <c r="G25" s="360" t="s">
        <v>1870</v>
      </c>
      <c r="H25" s="343" t="s">
        <v>1876</v>
      </c>
      <c r="I25" s="346" t="s">
        <v>42</v>
      </c>
      <c r="J25" s="381">
        <v>174080</v>
      </c>
      <c r="K25" s="361">
        <v>169735</v>
      </c>
      <c r="L25" s="361">
        <v>0</v>
      </c>
      <c r="M25" s="57">
        <v>0</v>
      </c>
      <c r="N25" s="18">
        <v>4344</v>
      </c>
      <c r="O25" s="18">
        <v>0</v>
      </c>
      <c r="P25" s="18"/>
      <c r="Q25" s="18"/>
      <c r="R25" s="18"/>
      <c r="S25" s="57">
        <f t="shared" si="3"/>
        <v>4344</v>
      </c>
      <c r="T25" s="367">
        <v>4345</v>
      </c>
      <c r="U25" s="19">
        <v>1</v>
      </c>
      <c r="V25" s="23">
        <v>44218</v>
      </c>
      <c r="W25" s="23">
        <v>44246</v>
      </c>
      <c r="X25" s="57"/>
      <c r="Y25" s="20"/>
      <c r="Z25" s="21"/>
      <c r="AA25" s="315"/>
      <c r="AB25" s="348"/>
      <c r="AC25" s="338"/>
      <c r="AD25" s="362"/>
      <c r="AE25" s="315"/>
      <c r="AF25" s="319"/>
      <c r="AG25" s="19"/>
      <c r="AH25" s="21"/>
      <c r="AI25" s="23"/>
      <c r="AJ25" s="309"/>
      <c r="AK25" s="19"/>
      <c r="AL25" s="21"/>
      <c r="AM25" s="25"/>
      <c r="AN25" s="356">
        <f t="shared" si="1"/>
        <v>4345</v>
      </c>
      <c r="AO25" s="341">
        <f t="shared" ref="AO25:AO87" si="5">+AN25-S25</f>
        <v>1</v>
      </c>
      <c r="AP25" s="148"/>
      <c r="AQ25" s="148"/>
      <c r="AR25" s="148"/>
      <c r="AS25" s="148"/>
      <c r="AT25" s="148"/>
      <c r="AU25" s="148"/>
      <c r="AV25" s="148"/>
      <c r="AW25" s="148"/>
      <c r="AX25" s="148"/>
      <c r="AY25" s="148"/>
      <c r="AZ25" s="148"/>
      <c r="BA25" s="148"/>
      <c r="BB25" s="148"/>
      <c r="BC25" s="148"/>
      <c r="BD25" s="148"/>
      <c r="BE25" s="148"/>
      <c r="BF25" s="148"/>
      <c r="BG25" s="148"/>
      <c r="BH25" s="148"/>
      <c r="BI25" s="148"/>
      <c r="BJ25" s="148"/>
      <c r="BK25" s="148"/>
      <c r="BL25" s="148"/>
      <c r="BM25" s="148"/>
      <c r="BN25" s="148"/>
      <c r="BO25" s="148"/>
      <c r="BP25" s="148"/>
      <c r="BQ25" s="148"/>
      <c r="BR25" s="148"/>
      <c r="BS25" s="148"/>
      <c r="BT25" s="148"/>
      <c r="BU25" s="148"/>
      <c r="BV25" s="148"/>
      <c r="BW25" s="148"/>
      <c r="BX25" s="148"/>
      <c r="BY25" s="148"/>
      <c r="BZ25" s="148"/>
      <c r="CA25" s="148"/>
      <c r="CB25" s="148"/>
      <c r="CC25" s="148"/>
      <c r="CD25" s="148"/>
      <c r="CE25" s="148"/>
      <c r="CF25" s="148"/>
      <c r="CG25" s="148"/>
      <c r="CH25" s="148"/>
      <c r="CI25" s="148"/>
      <c r="CJ25" s="148"/>
      <c r="CK25" s="148"/>
      <c r="CL25" s="148"/>
      <c r="CM25" s="148"/>
      <c r="CN25" s="148"/>
      <c r="CO25" s="148"/>
      <c r="CP25" s="148"/>
      <c r="CQ25" s="148"/>
      <c r="CR25" s="148"/>
      <c r="CS25" s="148"/>
      <c r="CT25" s="148"/>
      <c r="CU25" s="148"/>
      <c r="CV25" s="148"/>
      <c r="CW25" s="148"/>
      <c r="CX25" s="148"/>
      <c r="CY25" s="148"/>
      <c r="CZ25" s="148"/>
      <c r="DA25" s="148"/>
      <c r="DB25" s="148"/>
      <c r="DC25" s="148"/>
      <c r="DD25" s="148"/>
      <c r="DE25" s="148"/>
      <c r="DF25" s="148"/>
      <c r="DG25" s="148"/>
      <c r="DH25" s="148"/>
      <c r="DI25" s="148"/>
      <c r="DJ25" s="148"/>
      <c r="DK25" s="148"/>
      <c r="DL25" s="148"/>
      <c r="DM25" s="148"/>
      <c r="DN25" s="148"/>
      <c r="DO25" s="148"/>
      <c r="DP25" s="148"/>
      <c r="DQ25" s="148"/>
      <c r="DR25" s="148"/>
      <c r="DS25" s="148"/>
      <c r="DT25" s="148"/>
      <c r="DU25" s="148"/>
      <c r="DV25" s="148"/>
      <c r="DW25" s="148"/>
      <c r="DX25" s="148"/>
      <c r="DY25" s="148"/>
      <c r="DZ25" s="148"/>
      <c r="EA25" s="148"/>
    </row>
    <row r="26" spans="1:131" s="15" customFormat="1" x14ac:dyDescent="0.2">
      <c r="A26" s="148"/>
      <c r="B26" s="350">
        <f t="shared" si="4"/>
        <v>15</v>
      </c>
      <c r="C26" s="327" t="s">
        <v>38</v>
      </c>
      <c r="D26" s="363">
        <v>30336023</v>
      </c>
      <c r="E26" s="330" t="s">
        <v>1890</v>
      </c>
      <c r="F26" s="364" t="s">
        <v>200</v>
      </c>
      <c r="G26" s="354" t="s">
        <v>1870</v>
      </c>
      <c r="H26" s="332" t="s">
        <v>1891</v>
      </c>
      <c r="I26" s="382" t="s">
        <v>42</v>
      </c>
      <c r="J26" s="334">
        <v>1011262</v>
      </c>
      <c r="K26" s="361">
        <v>975108</v>
      </c>
      <c r="L26" s="361">
        <v>0</v>
      </c>
      <c r="M26" s="57">
        <v>0</v>
      </c>
      <c r="N26" s="18">
        <v>0</v>
      </c>
      <c r="O26" s="18">
        <v>0</v>
      </c>
      <c r="P26" s="18"/>
      <c r="Q26" s="18"/>
      <c r="R26" s="18"/>
      <c r="S26" s="57">
        <f t="shared" si="3"/>
        <v>0</v>
      </c>
      <c r="T26" s="365">
        <v>36154</v>
      </c>
      <c r="U26" s="19">
        <v>1</v>
      </c>
      <c r="V26" s="23">
        <v>44218</v>
      </c>
      <c r="W26" s="23">
        <v>44246</v>
      </c>
      <c r="X26" s="57"/>
      <c r="Y26" s="20"/>
      <c r="Z26" s="21"/>
      <c r="AA26" s="315"/>
      <c r="AB26" s="348"/>
      <c r="AC26" s="338"/>
      <c r="AD26" s="362"/>
      <c r="AE26" s="315"/>
      <c r="AF26" s="319"/>
      <c r="AG26" s="19"/>
      <c r="AH26" s="21"/>
      <c r="AI26" s="23"/>
      <c r="AJ26" s="309"/>
      <c r="AK26" s="19"/>
      <c r="AL26" s="21"/>
      <c r="AM26" s="25"/>
      <c r="AN26" s="356">
        <f t="shared" si="1"/>
        <v>36154</v>
      </c>
      <c r="AO26" s="341">
        <f t="shared" si="5"/>
        <v>36154</v>
      </c>
      <c r="AP26" s="148"/>
      <c r="AQ26" s="148"/>
      <c r="AR26" s="148"/>
      <c r="AS26" s="148"/>
      <c r="AT26" s="148"/>
      <c r="AU26" s="148"/>
      <c r="AV26" s="148"/>
      <c r="AW26" s="148"/>
      <c r="AX26" s="148"/>
      <c r="AY26" s="148"/>
      <c r="AZ26" s="148"/>
      <c r="BA26" s="148"/>
      <c r="BB26" s="148"/>
      <c r="BC26" s="148"/>
      <c r="BD26" s="148"/>
      <c r="BE26" s="148"/>
      <c r="BF26" s="148"/>
      <c r="BG26" s="148"/>
      <c r="BH26" s="148"/>
      <c r="BI26" s="148"/>
      <c r="BJ26" s="148"/>
      <c r="BK26" s="148"/>
      <c r="BL26" s="148"/>
      <c r="BM26" s="148"/>
      <c r="BN26" s="148"/>
      <c r="BO26" s="148"/>
      <c r="BP26" s="148"/>
      <c r="BQ26" s="148"/>
      <c r="BR26" s="148"/>
      <c r="BS26" s="148"/>
      <c r="BT26" s="148"/>
      <c r="BU26" s="148"/>
      <c r="BV26" s="148"/>
      <c r="BW26" s="148"/>
      <c r="BX26" s="148"/>
      <c r="BY26" s="148"/>
      <c r="BZ26" s="148"/>
      <c r="CA26" s="148"/>
      <c r="CB26" s="148"/>
      <c r="CC26" s="148"/>
      <c r="CD26" s="148"/>
      <c r="CE26" s="148"/>
      <c r="CF26" s="148"/>
      <c r="CG26" s="148"/>
      <c r="CH26" s="148"/>
      <c r="CI26" s="148"/>
      <c r="CJ26" s="148"/>
      <c r="CK26" s="148"/>
      <c r="CL26" s="148"/>
      <c r="CM26" s="148"/>
      <c r="CN26" s="148"/>
      <c r="CO26" s="148"/>
      <c r="CP26" s="148"/>
      <c r="CQ26" s="148"/>
      <c r="CR26" s="148"/>
      <c r="CS26" s="148"/>
      <c r="CT26" s="148"/>
      <c r="CU26" s="148"/>
      <c r="CV26" s="148"/>
      <c r="CW26" s="148"/>
      <c r="CX26" s="148"/>
      <c r="CY26" s="148"/>
      <c r="CZ26" s="148"/>
      <c r="DA26" s="148"/>
      <c r="DB26" s="148"/>
      <c r="DC26" s="148"/>
      <c r="DD26" s="148"/>
      <c r="DE26" s="148"/>
      <c r="DF26" s="148"/>
      <c r="DG26" s="148"/>
      <c r="DH26" s="148"/>
      <c r="DI26" s="148"/>
      <c r="DJ26" s="148"/>
      <c r="DK26" s="148"/>
      <c r="DL26" s="148"/>
      <c r="DM26" s="148"/>
      <c r="DN26" s="148"/>
      <c r="DO26" s="148"/>
      <c r="DP26" s="148"/>
      <c r="DQ26" s="148"/>
      <c r="DR26" s="148"/>
      <c r="DS26" s="148"/>
      <c r="DT26" s="148"/>
      <c r="DU26" s="148"/>
      <c r="DV26" s="148"/>
      <c r="DW26" s="148"/>
      <c r="DX26" s="148"/>
      <c r="DY26" s="148"/>
      <c r="DZ26" s="148"/>
      <c r="EA26" s="148"/>
    </row>
    <row r="27" spans="1:131" s="15" customFormat="1" x14ac:dyDescent="0.2">
      <c r="A27" s="148"/>
      <c r="B27" s="350">
        <f t="shared" si="4"/>
        <v>16</v>
      </c>
      <c r="C27" s="327" t="s">
        <v>38</v>
      </c>
      <c r="D27" s="383">
        <v>30348584</v>
      </c>
      <c r="E27" s="384" t="s">
        <v>1892</v>
      </c>
      <c r="F27" s="366" t="s">
        <v>200</v>
      </c>
      <c r="G27" s="360" t="s">
        <v>1870</v>
      </c>
      <c r="H27" s="343" t="s">
        <v>1878</v>
      </c>
      <c r="I27" s="346" t="s">
        <v>42</v>
      </c>
      <c r="J27" s="385">
        <v>1937115</v>
      </c>
      <c r="K27" s="361">
        <v>1692270</v>
      </c>
      <c r="L27" s="361">
        <v>1001</v>
      </c>
      <c r="M27" s="57">
        <v>0</v>
      </c>
      <c r="N27" s="18">
        <v>0</v>
      </c>
      <c r="O27" s="18">
        <v>0</v>
      </c>
      <c r="P27" s="18"/>
      <c r="Q27" s="18"/>
      <c r="R27" s="18"/>
      <c r="S27" s="57">
        <f t="shared" si="3"/>
        <v>0</v>
      </c>
      <c r="T27" s="349">
        <v>211591</v>
      </c>
      <c r="U27" s="19">
        <v>1</v>
      </c>
      <c r="V27" s="23">
        <v>44218</v>
      </c>
      <c r="W27" s="23">
        <v>44246</v>
      </c>
      <c r="X27" s="57"/>
      <c r="Y27" s="20"/>
      <c r="Z27" s="21"/>
      <c r="AA27" s="315"/>
      <c r="AB27" s="348"/>
      <c r="AC27" s="338"/>
      <c r="AD27" s="362"/>
      <c r="AE27" s="315"/>
      <c r="AF27" s="319"/>
      <c r="AG27" s="19"/>
      <c r="AH27" s="21"/>
      <c r="AI27" s="23"/>
      <c r="AJ27" s="309"/>
      <c r="AK27" s="19"/>
      <c r="AL27" s="21"/>
      <c r="AM27" s="25"/>
      <c r="AN27" s="356">
        <f t="shared" si="1"/>
        <v>211591</v>
      </c>
      <c r="AO27" s="341">
        <f t="shared" si="5"/>
        <v>211591</v>
      </c>
      <c r="AP27" s="148"/>
      <c r="AQ27" s="148"/>
      <c r="AR27" s="148"/>
      <c r="AS27" s="148"/>
      <c r="AT27" s="148"/>
      <c r="AU27" s="148"/>
      <c r="AV27" s="148"/>
      <c r="AW27" s="148"/>
      <c r="AX27" s="148"/>
      <c r="AY27" s="148"/>
      <c r="AZ27" s="148"/>
      <c r="BA27" s="148"/>
      <c r="BB27" s="148"/>
      <c r="BC27" s="148"/>
      <c r="BD27" s="148"/>
      <c r="BE27" s="148"/>
      <c r="BF27" s="148"/>
      <c r="BG27" s="148"/>
      <c r="BH27" s="148"/>
      <c r="BI27" s="148"/>
      <c r="BJ27" s="148"/>
      <c r="BK27" s="148"/>
      <c r="BL27" s="148"/>
      <c r="BM27" s="148"/>
      <c r="BN27" s="148"/>
      <c r="BO27" s="148"/>
      <c r="BP27" s="148"/>
      <c r="BQ27" s="148"/>
      <c r="BR27" s="148"/>
      <c r="BS27" s="148"/>
      <c r="BT27" s="148"/>
      <c r="BU27" s="148"/>
      <c r="BV27" s="148"/>
      <c r="BW27" s="148"/>
      <c r="BX27" s="148"/>
      <c r="BY27" s="148"/>
      <c r="BZ27" s="148"/>
      <c r="CA27" s="148"/>
      <c r="CB27" s="148"/>
      <c r="CC27" s="148"/>
      <c r="CD27" s="148"/>
      <c r="CE27" s="148"/>
      <c r="CF27" s="148"/>
      <c r="CG27" s="148"/>
      <c r="CH27" s="148"/>
      <c r="CI27" s="148"/>
      <c r="CJ27" s="148"/>
      <c r="CK27" s="148"/>
      <c r="CL27" s="148"/>
      <c r="CM27" s="148"/>
      <c r="CN27" s="148"/>
      <c r="CO27" s="148"/>
      <c r="CP27" s="148"/>
      <c r="CQ27" s="148"/>
      <c r="CR27" s="148"/>
      <c r="CS27" s="148"/>
      <c r="CT27" s="148"/>
      <c r="CU27" s="148"/>
      <c r="CV27" s="148"/>
      <c r="CW27" s="148"/>
      <c r="CX27" s="148"/>
      <c r="CY27" s="148"/>
      <c r="CZ27" s="148"/>
      <c r="DA27" s="148"/>
      <c r="DB27" s="148"/>
      <c r="DC27" s="148"/>
      <c r="DD27" s="148"/>
      <c r="DE27" s="148"/>
      <c r="DF27" s="148"/>
      <c r="DG27" s="148"/>
      <c r="DH27" s="148"/>
      <c r="DI27" s="148"/>
      <c r="DJ27" s="148"/>
      <c r="DK27" s="148"/>
      <c r="DL27" s="148"/>
      <c r="DM27" s="148"/>
      <c r="DN27" s="148"/>
      <c r="DO27" s="148"/>
      <c r="DP27" s="148"/>
      <c r="DQ27" s="148"/>
      <c r="DR27" s="148"/>
      <c r="DS27" s="148"/>
      <c r="DT27" s="148"/>
      <c r="DU27" s="148"/>
      <c r="DV27" s="148"/>
      <c r="DW27" s="148"/>
      <c r="DX27" s="148"/>
      <c r="DY27" s="148"/>
      <c r="DZ27" s="148"/>
      <c r="EA27" s="148"/>
    </row>
    <row r="28" spans="1:131" s="15" customFormat="1" x14ac:dyDescent="0.2">
      <c r="A28" s="148"/>
      <c r="B28" s="350">
        <f t="shared" si="4"/>
        <v>17</v>
      </c>
      <c r="C28" s="327" t="s">
        <v>38</v>
      </c>
      <c r="D28" s="386">
        <v>30373723</v>
      </c>
      <c r="E28" s="387" t="s">
        <v>1893</v>
      </c>
      <c r="F28" s="364" t="s">
        <v>200</v>
      </c>
      <c r="G28" s="354" t="s">
        <v>1870</v>
      </c>
      <c r="H28" s="332" t="s">
        <v>1871</v>
      </c>
      <c r="I28" s="382" t="s">
        <v>42</v>
      </c>
      <c r="J28" s="388">
        <v>598646</v>
      </c>
      <c r="K28" s="361">
        <v>577835</v>
      </c>
      <c r="L28" s="361">
        <v>1</v>
      </c>
      <c r="M28" s="57">
        <v>0</v>
      </c>
      <c r="N28" s="18">
        <v>0</v>
      </c>
      <c r="O28" s="18">
        <v>0</v>
      </c>
      <c r="P28" s="18"/>
      <c r="Q28" s="18"/>
      <c r="R28" s="18"/>
      <c r="S28" s="57">
        <f t="shared" si="3"/>
        <v>0</v>
      </c>
      <c r="T28" s="371">
        <v>20810</v>
      </c>
      <c r="U28" s="19">
        <v>1</v>
      </c>
      <c r="V28" s="23">
        <v>44218</v>
      </c>
      <c r="W28" s="23">
        <v>44246</v>
      </c>
      <c r="X28" s="57"/>
      <c r="Y28" s="20"/>
      <c r="Z28" s="21"/>
      <c r="AA28" s="315"/>
      <c r="AB28" s="348"/>
      <c r="AC28" s="338"/>
      <c r="AD28" s="362"/>
      <c r="AE28" s="315"/>
      <c r="AF28" s="319"/>
      <c r="AG28" s="19"/>
      <c r="AH28" s="21"/>
      <c r="AI28" s="23"/>
      <c r="AJ28" s="309"/>
      <c r="AK28" s="19"/>
      <c r="AL28" s="21"/>
      <c r="AM28" s="25"/>
      <c r="AN28" s="356">
        <f t="shared" si="1"/>
        <v>20810</v>
      </c>
      <c r="AO28" s="341">
        <f t="shared" si="5"/>
        <v>20810</v>
      </c>
      <c r="AP28" s="148"/>
      <c r="AQ28" s="148"/>
      <c r="AR28" s="148"/>
      <c r="AS28" s="148"/>
      <c r="AT28" s="148"/>
      <c r="AU28" s="148"/>
      <c r="AV28" s="148"/>
      <c r="AW28" s="148"/>
      <c r="AX28" s="148"/>
      <c r="AY28" s="148"/>
      <c r="AZ28" s="148"/>
      <c r="BA28" s="148"/>
      <c r="BB28" s="148"/>
      <c r="BC28" s="148"/>
      <c r="BD28" s="148"/>
      <c r="BE28" s="148"/>
      <c r="BF28" s="148"/>
      <c r="BG28" s="148"/>
      <c r="BH28" s="148"/>
      <c r="BI28" s="148"/>
      <c r="BJ28" s="148"/>
      <c r="BK28" s="148"/>
      <c r="BL28" s="148"/>
      <c r="BM28" s="148"/>
      <c r="BN28" s="148"/>
      <c r="BO28" s="148"/>
      <c r="BP28" s="148"/>
      <c r="BQ28" s="148"/>
      <c r="BR28" s="148"/>
      <c r="BS28" s="148"/>
      <c r="BT28" s="148"/>
      <c r="BU28" s="148"/>
      <c r="BV28" s="148"/>
      <c r="BW28" s="148"/>
      <c r="BX28" s="148"/>
      <c r="BY28" s="148"/>
      <c r="BZ28" s="148"/>
      <c r="CA28" s="148"/>
      <c r="CB28" s="148"/>
      <c r="CC28" s="148"/>
      <c r="CD28" s="148"/>
      <c r="CE28" s="148"/>
      <c r="CF28" s="148"/>
      <c r="CG28" s="148"/>
      <c r="CH28" s="148"/>
      <c r="CI28" s="148"/>
      <c r="CJ28" s="148"/>
      <c r="CK28" s="148"/>
      <c r="CL28" s="148"/>
      <c r="CM28" s="148"/>
      <c r="CN28" s="148"/>
      <c r="CO28" s="148"/>
      <c r="CP28" s="148"/>
      <c r="CQ28" s="148"/>
      <c r="CR28" s="148"/>
      <c r="CS28" s="148"/>
      <c r="CT28" s="148"/>
      <c r="CU28" s="148"/>
      <c r="CV28" s="148"/>
      <c r="CW28" s="148"/>
      <c r="CX28" s="148"/>
      <c r="CY28" s="148"/>
      <c r="CZ28" s="148"/>
      <c r="DA28" s="148"/>
      <c r="DB28" s="148"/>
      <c r="DC28" s="148"/>
      <c r="DD28" s="148"/>
      <c r="DE28" s="148"/>
      <c r="DF28" s="148"/>
      <c r="DG28" s="148"/>
      <c r="DH28" s="148"/>
      <c r="DI28" s="148"/>
      <c r="DJ28" s="148"/>
      <c r="DK28" s="148"/>
      <c r="DL28" s="148"/>
      <c r="DM28" s="148"/>
      <c r="DN28" s="148"/>
      <c r="DO28" s="148"/>
      <c r="DP28" s="148"/>
      <c r="DQ28" s="148"/>
      <c r="DR28" s="148"/>
      <c r="DS28" s="148"/>
      <c r="DT28" s="148"/>
      <c r="DU28" s="148"/>
      <c r="DV28" s="148"/>
      <c r="DW28" s="148"/>
      <c r="DX28" s="148"/>
      <c r="DY28" s="148"/>
      <c r="DZ28" s="148"/>
      <c r="EA28" s="148"/>
    </row>
    <row r="29" spans="1:131" s="15" customFormat="1" x14ac:dyDescent="0.2">
      <c r="A29" s="148"/>
      <c r="B29" s="350">
        <f t="shared" si="4"/>
        <v>18</v>
      </c>
      <c r="C29" s="327" t="s">
        <v>38</v>
      </c>
      <c r="D29" s="357">
        <v>30378822</v>
      </c>
      <c r="E29" s="358" t="s">
        <v>1894</v>
      </c>
      <c r="F29" s="366" t="s">
        <v>200</v>
      </c>
      <c r="G29" s="360" t="s">
        <v>1870</v>
      </c>
      <c r="H29" s="343" t="s">
        <v>1874</v>
      </c>
      <c r="I29" s="346" t="s">
        <v>42</v>
      </c>
      <c r="J29" s="385">
        <v>709244</v>
      </c>
      <c r="K29" s="361">
        <v>641750</v>
      </c>
      <c r="L29" s="361">
        <v>0</v>
      </c>
      <c r="M29" s="57">
        <v>0</v>
      </c>
      <c r="N29" s="18">
        <v>0</v>
      </c>
      <c r="O29" s="18">
        <v>897</v>
      </c>
      <c r="P29" s="18">
        <v>6029</v>
      </c>
      <c r="Q29" s="18"/>
      <c r="R29" s="18"/>
      <c r="S29" s="57">
        <f t="shared" si="3"/>
        <v>6926</v>
      </c>
      <c r="T29" s="349">
        <v>32485</v>
      </c>
      <c r="U29" s="19">
        <v>1</v>
      </c>
      <c r="V29" s="23">
        <v>44218</v>
      </c>
      <c r="W29" s="23">
        <v>44246</v>
      </c>
      <c r="X29" s="57"/>
      <c r="Y29" s="20"/>
      <c r="Z29" s="21"/>
      <c r="AA29" s="315"/>
      <c r="AB29" s="348"/>
      <c r="AC29" s="338"/>
      <c r="AD29" s="362"/>
      <c r="AE29" s="315"/>
      <c r="AF29" s="319"/>
      <c r="AG29" s="19"/>
      <c r="AH29" s="21"/>
      <c r="AI29" s="23"/>
      <c r="AJ29" s="309"/>
      <c r="AK29" s="19"/>
      <c r="AL29" s="21"/>
      <c r="AM29" s="25"/>
      <c r="AN29" s="356">
        <f t="shared" si="1"/>
        <v>32485</v>
      </c>
      <c r="AO29" s="341">
        <f t="shared" si="5"/>
        <v>25559</v>
      </c>
      <c r="AP29" s="148"/>
      <c r="AQ29" s="148"/>
      <c r="AR29" s="148"/>
      <c r="AS29" s="148"/>
      <c r="AT29" s="148"/>
      <c r="AU29" s="148"/>
      <c r="AV29" s="148"/>
      <c r="AW29" s="148"/>
      <c r="AX29" s="148"/>
      <c r="AY29" s="148"/>
      <c r="AZ29" s="148"/>
      <c r="BA29" s="148"/>
      <c r="BB29" s="148"/>
      <c r="BC29" s="148"/>
      <c r="BD29" s="148"/>
      <c r="BE29" s="148"/>
      <c r="BF29" s="148"/>
      <c r="BG29" s="148"/>
      <c r="BH29" s="148"/>
      <c r="BI29" s="148"/>
      <c r="BJ29" s="148"/>
      <c r="BK29" s="148"/>
      <c r="BL29" s="148"/>
      <c r="BM29" s="148"/>
      <c r="BN29" s="148"/>
      <c r="BO29" s="148"/>
      <c r="BP29" s="148"/>
      <c r="BQ29" s="148"/>
      <c r="BR29" s="148"/>
      <c r="BS29" s="148"/>
      <c r="BT29" s="148"/>
      <c r="BU29" s="148"/>
      <c r="BV29" s="148"/>
      <c r="BW29" s="148"/>
      <c r="BX29" s="148"/>
      <c r="BY29" s="148"/>
      <c r="BZ29" s="148"/>
      <c r="CA29" s="148"/>
      <c r="CB29" s="148"/>
      <c r="CC29" s="148"/>
      <c r="CD29" s="148"/>
      <c r="CE29" s="148"/>
      <c r="CF29" s="148"/>
      <c r="CG29" s="148"/>
      <c r="CH29" s="148"/>
      <c r="CI29" s="148"/>
      <c r="CJ29" s="148"/>
      <c r="CK29" s="148"/>
      <c r="CL29" s="148"/>
      <c r="CM29" s="148"/>
      <c r="CN29" s="148"/>
      <c r="CO29" s="148"/>
      <c r="CP29" s="148"/>
      <c r="CQ29" s="148"/>
      <c r="CR29" s="148"/>
      <c r="CS29" s="148"/>
      <c r="CT29" s="148"/>
      <c r="CU29" s="148"/>
      <c r="CV29" s="148"/>
      <c r="CW29" s="148"/>
      <c r="CX29" s="148"/>
      <c r="CY29" s="148"/>
      <c r="CZ29" s="148"/>
      <c r="DA29" s="148"/>
      <c r="DB29" s="148"/>
      <c r="DC29" s="148"/>
      <c r="DD29" s="148"/>
      <c r="DE29" s="148"/>
      <c r="DF29" s="148"/>
      <c r="DG29" s="148"/>
      <c r="DH29" s="148"/>
      <c r="DI29" s="148"/>
      <c r="DJ29" s="148"/>
      <c r="DK29" s="148"/>
      <c r="DL29" s="148"/>
      <c r="DM29" s="148"/>
      <c r="DN29" s="148"/>
      <c r="DO29" s="148"/>
      <c r="DP29" s="148"/>
      <c r="DQ29" s="148"/>
      <c r="DR29" s="148"/>
      <c r="DS29" s="148"/>
      <c r="DT29" s="148"/>
      <c r="DU29" s="148"/>
      <c r="DV29" s="148"/>
      <c r="DW29" s="148"/>
      <c r="DX29" s="148"/>
      <c r="DY29" s="148"/>
      <c r="DZ29" s="148"/>
      <c r="EA29" s="148"/>
    </row>
    <row r="30" spans="1:131" s="15" customFormat="1" x14ac:dyDescent="0.2">
      <c r="A30" s="148"/>
      <c r="B30" s="350">
        <f t="shared" si="4"/>
        <v>19</v>
      </c>
      <c r="C30" s="327" t="s">
        <v>38</v>
      </c>
      <c r="D30" s="386">
        <v>30385677</v>
      </c>
      <c r="E30" s="387" t="s">
        <v>1895</v>
      </c>
      <c r="F30" s="364" t="s">
        <v>200</v>
      </c>
      <c r="G30" s="354" t="s">
        <v>1870</v>
      </c>
      <c r="H30" s="332" t="s">
        <v>1896</v>
      </c>
      <c r="I30" s="382" t="s">
        <v>42</v>
      </c>
      <c r="J30" s="388">
        <v>701454</v>
      </c>
      <c r="K30" s="361">
        <v>281818</v>
      </c>
      <c r="L30" s="361">
        <v>0</v>
      </c>
      <c r="M30" s="57">
        <v>0</v>
      </c>
      <c r="N30" s="18">
        <v>108322</v>
      </c>
      <c r="O30" s="18">
        <v>23787</v>
      </c>
      <c r="P30" s="18">
        <v>61525</v>
      </c>
      <c r="Q30" s="18">
        <v>2400</v>
      </c>
      <c r="R30" s="18">
        <v>23620</v>
      </c>
      <c r="S30" s="57">
        <f t="shared" si="3"/>
        <v>219654</v>
      </c>
      <c r="T30" s="371">
        <v>404041</v>
      </c>
      <c r="U30" s="19">
        <v>1</v>
      </c>
      <c r="V30" s="23">
        <v>44218</v>
      </c>
      <c r="W30" s="23">
        <v>44246</v>
      </c>
      <c r="X30" s="57">
        <v>15593</v>
      </c>
      <c r="Y30" s="19">
        <v>3</v>
      </c>
      <c r="Z30" s="23">
        <v>44229</v>
      </c>
      <c r="AA30" s="315">
        <v>44252</v>
      </c>
      <c r="AB30" s="348">
        <v>7292</v>
      </c>
      <c r="AC30" s="338">
        <v>33</v>
      </c>
      <c r="AD30" s="315">
        <v>44301</v>
      </c>
      <c r="AE30" s="315">
        <v>44315</v>
      </c>
      <c r="AF30" s="319"/>
      <c r="AG30" s="19"/>
      <c r="AH30" s="21"/>
      <c r="AI30" s="23"/>
      <c r="AJ30" s="309"/>
      <c r="AK30" s="19"/>
      <c r="AL30" s="21"/>
      <c r="AM30" s="25"/>
      <c r="AN30" s="377">
        <f t="shared" si="1"/>
        <v>426926</v>
      </c>
      <c r="AO30" s="341">
        <f t="shared" si="5"/>
        <v>207272</v>
      </c>
      <c r="AP30" s="148"/>
      <c r="AQ30" s="148"/>
      <c r="AR30" s="148"/>
      <c r="AS30" s="148"/>
      <c r="AT30" s="148"/>
      <c r="AU30" s="148"/>
      <c r="AV30" s="148"/>
      <c r="AW30" s="148"/>
      <c r="AX30" s="148"/>
      <c r="AY30" s="148"/>
      <c r="AZ30" s="148"/>
      <c r="BA30" s="148"/>
      <c r="BB30" s="148"/>
      <c r="BC30" s="148"/>
      <c r="BD30" s="148"/>
      <c r="BE30" s="148"/>
      <c r="BF30" s="148"/>
      <c r="BG30" s="148"/>
      <c r="BH30" s="148"/>
      <c r="BI30" s="148"/>
      <c r="BJ30" s="148"/>
      <c r="BK30" s="148"/>
      <c r="BL30" s="148"/>
      <c r="BM30" s="148"/>
      <c r="BN30" s="148"/>
      <c r="BO30" s="148"/>
      <c r="BP30" s="148"/>
      <c r="BQ30" s="148"/>
      <c r="BR30" s="148"/>
      <c r="BS30" s="148"/>
      <c r="BT30" s="148"/>
      <c r="BU30" s="148"/>
      <c r="BV30" s="148"/>
      <c r="BW30" s="148"/>
      <c r="BX30" s="148"/>
      <c r="BY30" s="148"/>
      <c r="BZ30" s="148"/>
      <c r="CA30" s="148"/>
      <c r="CB30" s="148"/>
      <c r="CC30" s="148"/>
      <c r="CD30" s="148"/>
      <c r="CE30" s="148"/>
      <c r="CF30" s="148"/>
      <c r="CG30" s="148"/>
      <c r="CH30" s="148"/>
      <c r="CI30" s="148"/>
      <c r="CJ30" s="148"/>
      <c r="CK30" s="148"/>
      <c r="CL30" s="148"/>
      <c r="CM30" s="148"/>
      <c r="CN30" s="148"/>
      <c r="CO30" s="148"/>
      <c r="CP30" s="148"/>
      <c r="CQ30" s="148"/>
      <c r="CR30" s="148"/>
      <c r="CS30" s="148"/>
      <c r="CT30" s="148"/>
      <c r="CU30" s="148"/>
      <c r="CV30" s="148"/>
      <c r="CW30" s="148"/>
      <c r="CX30" s="148"/>
      <c r="CY30" s="148"/>
      <c r="CZ30" s="148"/>
      <c r="DA30" s="148"/>
      <c r="DB30" s="148"/>
      <c r="DC30" s="148"/>
      <c r="DD30" s="148"/>
      <c r="DE30" s="148"/>
      <c r="DF30" s="148"/>
      <c r="DG30" s="148"/>
      <c r="DH30" s="148"/>
      <c r="DI30" s="148"/>
      <c r="DJ30" s="148"/>
      <c r="DK30" s="148"/>
      <c r="DL30" s="148"/>
      <c r="DM30" s="148"/>
      <c r="DN30" s="148"/>
      <c r="DO30" s="148"/>
      <c r="DP30" s="148"/>
      <c r="DQ30" s="148"/>
      <c r="DR30" s="148"/>
      <c r="DS30" s="148"/>
      <c r="DT30" s="148"/>
      <c r="DU30" s="148"/>
      <c r="DV30" s="148"/>
      <c r="DW30" s="148"/>
      <c r="DX30" s="148"/>
      <c r="DY30" s="148"/>
      <c r="DZ30" s="148"/>
      <c r="EA30" s="148"/>
    </row>
    <row r="31" spans="1:131" s="15" customFormat="1" x14ac:dyDescent="0.2">
      <c r="A31" s="148"/>
      <c r="B31" s="350">
        <f t="shared" si="4"/>
        <v>20</v>
      </c>
      <c r="C31" s="327" t="s">
        <v>38</v>
      </c>
      <c r="D31" s="357">
        <v>30393735</v>
      </c>
      <c r="E31" s="358" t="s">
        <v>1897</v>
      </c>
      <c r="F31" s="366" t="s">
        <v>200</v>
      </c>
      <c r="G31" s="360" t="s">
        <v>1870</v>
      </c>
      <c r="H31" s="343" t="s">
        <v>1884</v>
      </c>
      <c r="I31" s="346" t="s">
        <v>42</v>
      </c>
      <c r="J31" s="385">
        <v>5852197</v>
      </c>
      <c r="K31" s="361">
        <v>5237605</v>
      </c>
      <c r="L31" s="361">
        <v>2903</v>
      </c>
      <c r="M31" s="57">
        <v>0</v>
      </c>
      <c r="N31" s="18">
        <v>2125</v>
      </c>
      <c r="O31" s="18">
        <v>4251</v>
      </c>
      <c r="P31" s="18">
        <v>2125</v>
      </c>
      <c r="Q31" s="18">
        <v>94205</v>
      </c>
      <c r="R31" s="18">
        <v>2125</v>
      </c>
      <c r="S31" s="57">
        <f t="shared" si="3"/>
        <v>104831</v>
      </c>
      <c r="T31" s="349">
        <v>105541</v>
      </c>
      <c r="U31" s="19">
        <v>1</v>
      </c>
      <c r="V31" s="23">
        <v>44218</v>
      </c>
      <c r="W31" s="23">
        <v>44246</v>
      </c>
      <c r="X31" s="57"/>
      <c r="Y31" s="20"/>
      <c r="Z31" s="21"/>
      <c r="AA31" s="315"/>
      <c r="AB31" s="348"/>
      <c r="AC31" s="338"/>
      <c r="AD31" s="362"/>
      <c r="AE31" s="315"/>
      <c r="AF31" s="319"/>
      <c r="AG31" s="19"/>
      <c r="AH31" s="21"/>
      <c r="AI31" s="23"/>
      <c r="AJ31" s="309"/>
      <c r="AK31" s="19"/>
      <c r="AL31" s="21"/>
      <c r="AM31" s="25"/>
      <c r="AN31" s="356">
        <f t="shared" si="1"/>
        <v>105541</v>
      </c>
      <c r="AO31" s="341">
        <f t="shared" si="5"/>
        <v>710</v>
      </c>
      <c r="AP31" s="148"/>
      <c r="AQ31" s="148"/>
      <c r="AR31" s="148"/>
      <c r="AS31" s="148"/>
      <c r="AT31" s="148"/>
      <c r="AU31" s="148"/>
      <c r="AV31" s="148"/>
      <c r="AW31" s="148"/>
      <c r="AX31" s="148"/>
      <c r="AY31" s="148"/>
      <c r="AZ31" s="148"/>
      <c r="BA31" s="148"/>
      <c r="BB31" s="148"/>
      <c r="BC31" s="148"/>
      <c r="BD31" s="148"/>
      <c r="BE31" s="148"/>
      <c r="BF31" s="148"/>
      <c r="BG31" s="148"/>
      <c r="BH31" s="148"/>
      <c r="BI31" s="148"/>
      <c r="BJ31" s="148"/>
      <c r="BK31" s="148"/>
      <c r="BL31" s="148"/>
      <c r="BM31" s="148"/>
      <c r="BN31" s="148"/>
      <c r="BO31" s="148"/>
      <c r="BP31" s="148"/>
      <c r="BQ31" s="148"/>
      <c r="BR31" s="148"/>
      <c r="BS31" s="148"/>
      <c r="BT31" s="148"/>
      <c r="BU31" s="148"/>
      <c r="BV31" s="148"/>
      <c r="BW31" s="148"/>
      <c r="BX31" s="148"/>
      <c r="BY31" s="148"/>
      <c r="BZ31" s="148"/>
      <c r="CA31" s="148"/>
      <c r="CB31" s="148"/>
      <c r="CC31" s="148"/>
      <c r="CD31" s="148"/>
      <c r="CE31" s="148"/>
      <c r="CF31" s="148"/>
      <c r="CG31" s="148"/>
      <c r="CH31" s="148"/>
      <c r="CI31" s="148"/>
      <c r="CJ31" s="148"/>
      <c r="CK31" s="148"/>
      <c r="CL31" s="148"/>
      <c r="CM31" s="148"/>
      <c r="CN31" s="148"/>
      <c r="CO31" s="148"/>
      <c r="CP31" s="148"/>
      <c r="CQ31" s="148"/>
      <c r="CR31" s="148"/>
      <c r="CS31" s="148"/>
      <c r="CT31" s="148"/>
      <c r="CU31" s="148"/>
      <c r="CV31" s="148"/>
      <c r="CW31" s="148"/>
      <c r="CX31" s="148"/>
      <c r="CY31" s="148"/>
      <c r="CZ31" s="148"/>
      <c r="DA31" s="148"/>
      <c r="DB31" s="148"/>
      <c r="DC31" s="148"/>
      <c r="DD31" s="148"/>
      <c r="DE31" s="148"/>
      <c r="DF31" s="148"/>
      <c r="DG31" s="148"/>
      <c r="DH31" s="148"/>
      <c r="DI31" s="148"/>
      <c r="DJ31" s="148"/>
      <c r="DK31" s="148"/>
      <c r="DL31" s="148"/>
      <c r="DM31" s="148"/>
      <c r="DN31" s="148"/>
      <c r="DO31" s="148"/>
      <c r="DP31" s="148"/>
      <c r="DQ31" s="148"/>
      <c r="DR31" s="148"/>
      <c r="DS31" s="148"/>
      <c r="DT31" s="148"/>
      <c r="DU31" s="148"/>
      <c r="DV31" s="148"/>
      <c r="DW31" s="148"/>
      <c r="DX31" s="148"/>
      <c r="DY31" s="148"/>
      <c r="DZ31" s="148"/>
      <c r="EA31" s="148"/>
    </row>
    <row r="32" spans="1:131" s="15" customFormat="1" x14ac:dyDescent="0.2">
      <c r="A32" s="148"/>
      <c r="B32" s="350">
        <f t="shared" si="4"/>
        <v>21</v>
      </c>
      <c r="C32" s="327" t="s">
        <v>38</v>
      </c>
      <c r="D32" s="389">
        <v>30418427</v>
      </c>
      <c r="E32" s="390" t="s">
        <v>1898</v>
      </c>
      <c r="F32" s="353" t="s">
        <v>204</v>
      </c>
      <c r="G32" s="354" t="s">
        <v>1870</v>
      </c>
      <c r="H32" s="391" t="s">
        <v>226</v>
      </c>
      <c r="I32" s="382" t="s">
        <v>43</v>
      </c>
      <c r="J32" s="392">
        <f>18356+9392+3226547</f>
        <v>3254295</v>
      </c>
      <c r="K32" s="361">
        <v>3067</v>
      </c>
      <c r="L32" s="361">
        <f>12732+6325+2662398</f>
        <v>2681455</v>
      </c>
      <c r="M32" s="57">
        <v>0</v>
      </c>
      <c r="N32" s="18">
        <v>0</v>
      </c>
      <c r="O32" s="18">
        <v>0</v>
      </c>
      <c r="P32" s="18"/>
      <c r="Q32" s="18"/>
      <c r="R32" s="18"/>
      <c r="S32" s="57">
        <f t="shared" si="3"/>
        <v>0</v>
      </c>
      <c r="T32" s="371">
        <v>569773</v>
      </c>
      <c r="U32" s="19">
        <v>1</v>
      </c>
      <c r="V32" s="23">
        <v>44218</v>
      </c>
      <c r="W32" s="23">
        <v>44246</v>
      </c>
      <c r="X32" s="57"/>
      <c r="Y32" s="20"/>
      <c r="Z32" s="21"/>
      <c r="AA32" s="315"/>
      <c r="AB32" s="348"/>
      <c r="AC32" s="338"/>
      <c r="AD32" s="362"/>
      <c r="AE32" s="315"/>
      <c r="AF32" s="319"/>
      <c r="AG32" s="19"/>
      <c r="AH32" s="21"/>
      <c r="AI32" s="23"/>
      <c r="AJ32" s="309"/>
      <c r="AK32" s="19"/>
      <c r="AL32" s="21"/>
      <c r="AM32" s="25"/>
      <c r="AN32" s="356">
        <f t="shared" si="1"/>
        <v>569773</v>
      </c>
      <c r="AO32" s="341">
        <f t="shared" si="5"/>
        <v>569773</v>
      </c>
      <c r="AP32" s="148"/>
      <c r="AQ32" s="148"/>
      <c r="AR32" s="148"/>
      <c r="AS32" s="148"/>
      <c r="AT32" s="148"/>
      <c r="AU32" s="148"/>
      <c r="AV32" s="148"/>
      <c r="AW32" s="148"/>
      <c r="AX32" s="148"/>
      <c r="AY32" s="148"/>
      <c r="AZ32" s="148"/>
      <c r="BA32" s="148"/>
      <c r="BB32" s="148"/>
      <c r="BC32" s="148"/>
      <c r="BD32" s="148"/>
      <c r="BE32" s="148"/>
      <c r="BF32" s="148"/>
      <c r="BG32" s="148"/>
      <c r="BH32" s="148"/>
      <c r="BI32" s="148"/>
      <c r="BJ32" s="148"/>
      <c r="BK32" s="148"/>
      <c r="BL32" s="148"/>
      <c r="BM32" s="148"/>
      <c r="BN32" s="148"/>
      <c r="BO32" s="148"/>
      <c r="BP32" s="148"/>
      <c r="BQ32" s="148"/>
      <c r="BR32" s="148"/>
      <c r="BS32" s="148"/>
      <c r="BT32" s="148"/>
      <c r="BU32" s="148"/>
      <c r="BV32" s="148"/>
      <c r="BW32" s="148"/>
      <c r="BX32" s="148"/>
      <c r="BY32" s="148"/>
      <c r="BZ32" s="148"/>
      <c r="CA32" s="148"/>
      <c r="CB32" s="148"/>
      <c r="CC32" s="148"/>
      <c r="CD32" s="148"/>
      <c r="CE32" s="148"/>
      <c r="CF32" s="148"/>
      <c r="CG32" s="148"/>
      <c r="CH32" s="148"/>
      <c r="CI32" s="148"/>
      <c r="CJ32" s="148"/>
      <c r="CK32" s="148"/>
      <c r="CL32" s="148"/>
      <c r="CM32" s="148"/>
      <c r="CN32" s="148"/>
      <c r="CO32" s="148"/>
      <c r="CP32" s="148"/>
      <c r="CQ32" s="148"/>
      <c r="CR32" s="148"/>
      <c r="CS32" s="148"/>
      <c r="CT32" s="148"/>
      <c r="CU32" s="148"/>
      <c r="CV32" s="148"/>
      <c r="CW32" s="148"/>
      <c r="CX32" s="148"/>
      <c r="CY32" s="148"/>
      <c r="CZ32" s="148"/>
      <c r="DA32" s="148"/>
      <c r="DB32" s="148"/>
      <c r="DC32" s="148"/>
      <c r="DD32" s="148"/>
      <c r="DE32" s="148"/>
      <c r="DF32" s="148"/>
      <c r="DG32" s="148"/>
      <c r="DH32" s="148"/>
      <c r="DI32" s="148"/>
      <c r="DJ32" s="148"/>
      <c r="DK32" s="148"/>
      <c r="DL32" s="148"/>
      <c r="DM32" s="148"/>
      <c r="DN32" s="148"/>
      <c r="DO32" s="148"/>
      <c r="DP32" s="148"/>
      <c r="DQ32" s="148"/>
      <c r="DR32" s="148"/>
      <c r="DS32" s="148"/>
      <c r="DT32" s="148"/>
      <c r="DU32" s="148"/>
      <c r="DV32" s="148"/>
      <c r="DW32" s="148"/>
      <c r="DX32" s="148"/>
      <c r="DY32" s="148"/>
      <c r="DZ32" s="148"/>
      <c r="EA32" s="148"/>
    </row>
    <row r="33" spans="1:131" s="15" customFormat="1" x14ac:dyDescent="0.2">
      <c r="A33" s="148"/>
      <c r="B33" s="350">
        <f t="shared" si="4"/>
        <v>22</v>
      </c>
      <c r="C33" s="327" t="s">
        <v>38</v>
      </c>
      <c r="D33" s="357">
        <v>30436139</v>
      </c>
      <c r="E33" s="358" t="s">
        <v>1899</v>
      </c>
      <c r="F33" s="366" t="s">
        <v>204</v>
      </c>
      <c r="G33" s="360" t="s">
        <v>1870</v>
      </c>
      <c r="H33" s="343" t="s">
        <v>1884</v>
      </c>
      <c r="I33" s="346" t="s">
        <v>42</v>
      </c>
      <c r="J33" s="385">
        <v>95409</v>
      </c>
      <c r="K33" s="361">
        <v>86409</v>
      </c>
      <c r="L33" s="361">
        <v>0</v>
      </c>
      <c r="M33" s="57">
        <v>0</v>
      </c>
      <c r="N33" s="18">
        <v>0</v>
      </c>
      <c r="O33" s="18">
        <v>0</v>
      </c>
      <c r="P33" s="18"/>
      <c r="Q33" s="18"/>
      <c r="R33" s="18"/>
      <c r="S33" s="57">
        <f t="shared" si="3"/>
        <v>0</v>
      </c>
      <c r="T33" s="349">
        <v>8800</v>
      </c>
      <c r="U33" s="19">
        <v>1</v>
      </c>
      <c r="V33" s="23">
        <v>44218</v>
      </c>
      <c r="W33" s="23">
        <v>44246</v>
      </c>
      <c r="X33" s="57"/>
      <c r="Y33" s="20"/>
      <c r="Z33" s="21"/>
      <c r="AA33" s="315"/>
      <c r="AB33" s="348"/>
      <c r="AC33" s="338"/>
      <c r="AD33" s="362"/>
      <c r="AE33" s="315"/>
      <c r="AF33" s="319"/>
      <c r="AG33" s="19"/>
      <c r="AH33" s="21"/>
      <c r="AI33" s="23"/>
      <c r="AJ33" s="309"/>
      <c r="AK33" s="19"/>
      <c r="AL33" s="21"/>
      <c r="AM33" s="25"/>
      <c r="AN33" s="356">
        <f t="shared" si="1"/>
        <v>8800</v>
      </c>
      <c r="AO33" s="341">
        <f t="shared" si="5"/>
        <v>8800</v>
      </c>
      <c r="AP33" s="148"/>
      <c r="AQ33" s="148"/>
      <c r="AR33" s="148"/>
      <c r="AS33" s="148"/>
      <c r="AT33" s="148"/>
      <c r="AU33" s="148"/>
      <c r="AV33" s="148"/>
      <c r="AW33" s="148"/>
      <c r="AX33" s="148"/>
      <c r="AY33" s="148"/>
      <c r="AZ33" s="148"/>
      <c r="BA33" s="148"/>
      <c r="BB33" s="148"/>
      <c r="BC33" s="148"/>
      <c r="BD33" s="148"/>
      <c r="BE33" s="148"/>
      <c r="BF33" s="148"/>
      <c r="BG33" s="148"/>
      <c r="BH33" s="148"/>
      <c r="BI33" s="148"/>
      <c r="BJ33" s="148"/>
      <c r="BK33" s="148"/>
      <c r="BL33" s="148"/>
      <c r="BM33" s="148"/>
      <c r="BN33" s="148"/>
      <c r="BO33" s="148"/>
      <c r="BP33" s="148"/>
      <c r="BQ33" s="148"/>
      <c r="BR33" s="148"/>
      <c r="BS33" s="148"/>
      <c r="BT33" s="148"/>
      <c r="BU33" s="148"/>
      <c r="BV33" s="148"/>
      <c r="BW33" s="148"/>
      <c r="BX33" s="148"/>
      <c r="BY33" s="148"/>
      <c r="BZ33" s="148"/>
      <c r="CA33" s="148"/>
      <c r="CB33" s="148"/>
      <c r="CC33" s="148"/>
      <c r="CD33" s="148"/>
      <c r="CE33" s="148"/>
      <c r="CF33" s="148"/>
      <c r="CG33" s="148"/>
      <c r="CH33" s="148"/>
      <c r="CI33" s="148"/>
      <c r="CJ33" s="148"/>
      <c r="CK33" s="148"/>
      <c r="CL33" s="148"/>
      <c r="CM33" s="148"/>
      <c r="CN33" s="148"/>
      <c r="CO33" s="148"/>
      <c r="CP33" s="148"/>
      <c r="CQ33" s="148"/>
      <c r="CR33" s="148"/>
      <c r="CS33" s="148"/>
      <c r="CT33" s="148"/>
      <c r="CU33" s="148"/>
      <c r="CV33" s="148"/>
      <c r="CW33" s="148"/>
      <c r="CX33" s="148"/>
      <c r="CY33" s="148"/>
      <c r="CZ33" s="148"/>
      <c r="DA33" s="148"/>
      <c r="DB33" s="148"/>
      <c r="DC33" s="148"/>
      <c r="DD33" s="148"/>
      <c r="DE33" s="148"/>
      <c r="DF33" s="148"/>
      <c r="DG33" s="148"/>
      <c r="DH33" s="148"/>
      <c r="DI33" s="148"/>
      <c r="DJ33" s="148"/>
      <c r="DK33" s="148"/>
      <c r="DL33" s="148"/>
      <c r="DM33" s="148"/>
      <c r="DN33" s="148"/>
      <c r="DO33" s="148"/>
      <c r="DP33" s="148"/>
      <c r="DQ33" s="148"/>
      <c r="DR33" s="148"/>
      <c r="DS33" s="148"/>
      <c r="DT33" s="148"/>
      <c r="DU33" s="148"/>
      <c r="DV33" s="148"/>
      <c r="DW33" s="148"/>
      <c r="DX33" s="148"/>
      <c r="DY33" s="148"/>
      <c r="DZ33" s="148"/>
      <c r="EA33" s="148"/>
    </row>
    <row r="34" spans="1:131" s="15" customFormat="1" x14ac:dyDescent="0.2">
      <c r="A34" s="148"/>
      <c r="B34" s="350">
        <f t="shared" si="4"/>
        <v>23</v>
      </c>
      <c r="C34" s="327" t="s">
        <v>38</v>
      </c>
      <c r="D34" s="363">
        <v>30453228</v>
      </c>
      <c r="E34" s="330" t="s">
        <v>1900</v>
      </c>
      <c r="F34" s="364" t="s">
        <v>204</v>
      </c>
      <c r="G34" s="354" t="s">
        <v>1870</v>
      </c>
      <c r="H34" s="332" t="s">
        <v>1878</v>
      </c>
      <c r="I34" s="382" t="s">
        <v>42</v>
      </c>
      <c r="J34" s="388">
        <v>132995</v>
      </c>
      <c r="K34" s="361">
        <v>100884</v>
      </c>
      <c r="L34" s="361">
        <v>0</v>
      </c>
      <c r="M34" s="57">
        <v>0</v>
      </c>
      <c r="N34" s="18">
        <v>0</v>
      </c>
      <c r="O34" s="18">
        <v>0</v>
      </c>
      <c r="P34" s="18"/>
      <c r="Q34" s="18">
        <v>16875</v>
      </c>
      <c r="R34" s="18"/>
      <c r="S34" s="57">
        <f t="shared" si="3"/>
        <v>16875</v>
      </c>
      <c r="T34" s="371">
        <v>16875</v>
      </c>
      <c r="U34" s="19">
        <v>1</v>
      </c>
      <c r="V34" s="23">
        <v>44218</v>
      </c>
      <c r="W34" s="23">
        <v>44246</v>
      </c>
      <c r="X34" s="57"/>
      <c r="Y34" s="20"/>
      <c r="Z34" s="21"/>
      <c r="AA34" s="315"/>
      <c r="AB34" s="348"/>
      <c r="AC34" s="338"/>
      <c r="AD34" s="362"/>
      <c r="AE34" s="315"/>
      <c r="AF34" s="319"/>
      <c r="AG34" s="19"/>
      <c r="AH34" s="21"/>
      <c r="AI34" s="23"/>
      <c r="AJ34" s="309"/>
      <c r="AK34" s="19"/>
      <c r="AL34" s="21"/>
      <c r="AM34" s="25"/>
      <c r="AN34" s="356">
        <f t="shared" si="1"/>
        <v>16875</v>
      </c>
      <c r="AO34" s="341">
        <f t="shared" si="5"/>
        <v>0</v>
      </c>
      <c r="AP34" s="148"/>
      <c r="AQ34" s="148"/>
      <c r="AR34" s="148"/>
      <c r="AS34" s="148"/>
      <c r="AT34" s="148"/>
      <c r="AU34" s="148"/>
      <c r="AV34" s="148"/>
      <c r="AW34" s="148"/>
      <c r="AX34" s="148"/>
      <c r="AY34" s="148"/>
      <c r="AZ34" s="148"/>
      <c r="BA34" s="148"/>
      <c r="BB34" s="148"/>
      <c r="BC34" s="148"/>
      <c r="BD34" s="148"/>
      <c r="BE34" s="148"/>
      <c r="BF34" s="148"/>
      <c r="BG34" s="148"/>
      <c r="BH34" s="148"/>
      <c r="BI34" s="148"/>
      <c r="BJ34" s="148"/>
      <c r="BK34" s="148"/>
      <c r="BL34" s="148"/>
      <c r="BM34" s="148"/>
      <c r="BN34" s="148"/>
      <c r="BO34" s="148"/>
      <c r="BP34" s="148"/>
      <c r="BQ34" s="148"/>
      <c r="BR34" s="148"/>
      <c r="BS34" s="148"/>
      <c r="BT34" s="148"/>
      <c r="BU34" s="148"/>
      <c r="BV34" s="148"/>
      <c r="BW34" s="148"/>
      <c r="BX34" s="148"/>
      <c r="BY34" s="148"/>
      <c r="BZ34" s="148"/>
      <c r="CA34" s="148"/>
      <c r="CB34" s="148"/>
      <c r="CC34" s="148"/>
      <c r="CD34" s="148"/>
      <c r="CE34" s="148"/>
      <c r="CF34" s="148"/>
      <c r="CG34" s="148"/>
      <c r="CH34" s="148"/>
      <c r="CI34" s="148"/>
      <c r="CJ34" s="148"/>
      <c r="CK34" s="148"/>
      <c r="CL34" s="148"/>
      <c r="CM34" s="148"/>
      <c r="CN34" s="148"/>
      <c r="CO34" s="148"/>
      <c r="CP34" s="148"/>
      <c r="CQ34" s="148"/>
      <c r="CR34" s="148"/>
      <c r="CS34" s="148"/>
      <c r="CT34" s="148"/>
      <c r="CU34" s="148"/>
      <c r="CV34" s="148"/>
      <c r="CW34" s="148"/>
      <c r="CX34" s="148"/>
      <c r="CY34" s="148"/>
      <c r="CZ34" s="148"/>
      <c r="DA34" s="148"/>
      <c r="DB34" s="148"/>
      <c r="DC34" s="148"/>
      <c r="DD34" s="148"/>
      <c r="DE34" s="148"/>
      <c r="DF34" s="148"/>
      <c r="DG34" s="148"/>
      <c r="DH34" s="148"/>
      <c r="DI34" s="148"/>
      <c r="DJ34" s="148"/>
      <c r="DK34" s="148"/>
      <c r="DL34" s="148"/>
      <c r="DM34" s="148"/>
      <c r="DN34" s="148"/>
      <c r="DO34" s="148"/>
      <c r="DP34" s="148"/>
      <c r="DQ34" s="148"/>
      <c r="DR34" s="148"/>
      <c r="DS34" s="148"/>
      <c r="DT34" s="148"/>
      <c r="DU34" s="148"/>
      <c r="DV34" s="148"/>
      <c r="DW34" s="148"/>
      <c r="DX34" s="148"/>
      <c r="DY34" s="148"/>
      <c r="DZ34" s="148"/>
      <c r="EA34" s="148"/>
    </row>
    <row r="35" spans="1:131" s="15" customFormat="1" x14ac:dyDescent="0.2">
      <c r="A35" s="148"/>
      <c r="B35" s="350">
        <f t="shared" si="4"/>
        <v>24</v>
      </c>
      <c r="C35" s="327" t="s">
        <v>38</v>
      </c>
      <c r="D35" s="383">
        <v>30458727</v>
      </c>
      <c r="E35" s="384" t="s">
        <v>1901</v>
      </c>
      <c r="F35" s="366" t="s">
        <v>204</v>
      </c>
      <c r="G35" s="360" t="s">
        <v>1870</v>
      </c>
      <c r="H35" s="343" t="s">
        <v>1902</v>
      </c>
      <c r="I35" s="346" t="s">
        <v>42</v>
      </c>
      <c r="J35" s="385">
        <v>29115</v>
      </c>
      <c r="K35" s="361">
        <v>17357</v>
      </c>
      <c r="L35" s="361">
        <v>0</v>
      </c>
      <c r="M35" s="57">
        <v>0</v>
      </c>
      <c r="N35" s="18">
        <v>0</v>
      </c>
      <c r="O35" s="18">
        <v>0</v>
      </c>
      <c r="P35" s="18"/>
      <c r="Q35" s="18"/>
      <c r="R35" s="18"/>
      <c r="S35" s="57">
        <f t="shared" si="3"/>
        <v>0</v>
      </c>
      <c r="T35" s="349">
        <v>7091</v>
      </c>
      <c r="U35" s="19">
        <v>1</v>
      </c>
      <c r="V35" s="23">
        <v>44218</v>
      </c>
      <c r="W35" s="23">
        <v>44246</v>
      </c>
      <c r="X35" s="57"/>
      <c r="Y35" s="20"/>
      <c r="Z35" s="21"/>
      <c r="AA35" s="315"/>
      <c r="AB35" s="348"/>
      <c r="AC35" s="338"/>
      <c r="AD35" s="362"/>
      <c r="AE35" s="315"/>
      <c r="AF35" s="319"/>
      <c r="AG35" s="19"/>
      <c r="AH35" s="21"/>
      <c r="AI35" s="23"/>
      <c r="AJ35" s="309"/>
      <c r="AK35" s="19"/>
      <c r="AL35" s="21"/>
      <c r="AM35" s="25"/>
      <c r="AN35" s="356">
        <f t="shared" si="1"/>
        <v>7091</v>
      </c>
      <c r="AO35" s="341">
        <f t="shared" si="5"/>
        <v>7091</v>
      </c>
      <c r="AP35" s="148"/>
      <c r="AQ35" s="148"/>
      <c r="AR35" s="148"/>
      <c r="AS35" s="148"/>
      <c r="AT35" s="148"/>
      <c r="AU35" s="148"/>
      <c r="AV35" s="148"/>
      <c r="AW35" s="148"/>
      <c r="AX35" s="148"/>
      <c r="AY35" s="148"/>
      <c r="AZ35" s="148"/>
      <c r="BA35" s="148"/>
      <c r="BB35" s="148"/>
      <c r="BC35" s="148"/>
      <c r="BD35" s="148"/>
      <c r="BE35" s="148"/>
      <c r="BF35" s="148"/>
      <c r="BG35" s="148"/>
      <c r="BH35" s="148"/>
      <c r="BI35" s="148"/>
      <c r="BJ35" s="148"/>
      <c r="BK35" s="148"/>
      <c r="BL35" s="148"/>
      <c r="BM35" s="148"/>
      <c r="BN35" s="148"/>
      <c r="BO35" s="148"/>
      <c r="BP35" s="148"/>
      <c r="BQ35" s="148"/>
      <c r="BR35" s="148"/>
      <c r="BS35" s="148"/>
      <c r="BT35" s="148"/>
      <c r="BU35" s="148"/>
      <c r="BV35" s="148"/>
      <c r="BW35" s="148"/>
      <c r="BX35" s="148"/>
      <c r="BY35" s="148"/>
      <c r="BZ35" s="148"/>
      <c r="CA35" s="148"/>
      <c r="CB35" s="148"/>
      <c r="CC35" s="148"/>
      <c r="CD35" s="148"/>
      <c r="CE35" s="148"/>
      <c r="CF35" s="148"/>
      <c r="CG35" s="148"/>
      <c r="CH35" s="148"/>
      <c r="CI35" s="148"/>
      <c r="CJ35" s="148"/>
      <c r="CK35" s="148"/>
      <c r="CL35" s="148"/>
      <c r="CM35" s="148"/>
      <c r="CN35" s="148"/>
      <c r="CO35" s="148"/>
      <c r="CP35" s="148"/>
      <c r="CQ35" s="148"/>
      <c r="CR35" s="148"/>
      <c r="CS35" s="148"/>
      <c r="CT35" s="148"/>
      <c r="CU35" s="148"/>
      <c r="CV35" s="148"/>
      <c r="CW35" s="148"/>
      <c r="CX35" s="148"/>
      <c r="CY35" s="148"/>
      <c r="CZ35" s="148"/>
      <c r="DA35" s="148"/>
      <c r="DB35" s="148"/>
      <c r="DC35" s="148"/>
      <c r="DD35" s="148"/>
      <c r="DE35" s="148"/>
      <c r="DF35" s="148"/>
      <c r="DG35" s="148"/>
      <c r="DH35" s="148"/>
      <c r="DI35" s="148"/>
      <c r="DJ35" s="148"/>
      <c r="DK35" s="148"/>
      <c r="DL35" s="148"/>
      <c r="DM35" s="148"/>
      <c r="DN35" s="148"/>
      <c r="DO35" s="148"/>
      <c r="DP35" s="148"/>
      <c r="DQ35" s="148"/>
      <c r="DR35" s="148"/>
      <c r="DS35" s="148"/>
      <c r="DT35" s="148"/>
      <c r="DU35" s="148"/>
      <c r="DV35" s="148"/>
      <c r="DW35" s="148"/>
      <c r="DX35" s="148"/>
      <c r="DY35" s="148"/>
      <c r="DZ35" s="148"/>
      <c r="EA35" s="148"/>
    </row>
    <row r="36" spans="1:131" s="15" customFormat="1" x14ac:dyDescent="0.2">
      <c r="A36" s="148"/>
      <c r="B36" s="350">
        <f t="shared" si="4"/>
        <v>25</v>
      </c>
      <c r="C36" s="327" t="s">
        <v>38</v>
      </c>
      <c r="D36" s="363">
        <v>30459191</v>
      </c>
      <c r="E36" s="330" t="s">
        <v>1903</v>
      </c>
      <c r="F36" s="353" t="s">
        <v>200</v>
      </c>
      <c r="G36" s="354" t="s">
        <v>1870</v>
      </c>
      <c r="H36" s="332" t="s">
        <v>1871</v>
      </c>
      <c r="I36" s="382" t="s">
        <v>42</v>
      </c>
      <c r="J36" s="388">
        <v>217845</v>
      </c>
      <c r="K36" s="361">
        <v>71499</v>
      </c>
      <c r="L36" s="361">
        <v>0</v>
      </c>
      <c r="M36" s="57">
        <v>0</v>
      </c>
      <c r="N36" s="18">
        <v>20681</v>
      </c>
      <c r="O36" s="18">
        <v>45669</v>
      </c>
      <c r="P36" s="18"/>
      <c r="Q36" s="18"/>
      <c r="R36" s="18">
        <v>30090</v>
      </c>
      <c r="S36" s="57">
        <f t="shared" si="3"/>
        <v>96440</v>
      </c>
      <c r="T36" s="371">
        <v>144864</v>
      </c>
      <c r="U36" s="19">
        <v>1</v>
      </c>
      <c r="V36" s="23">
        <v>44218</v>
      </c>
      <c r="W36" s="23">
        <v>44246</v>
      </c>
      <c r="X36" s="57"/>
      <c r="Y36" s="20"/>
      <c r="Z36" s="21"/>
      <c r="AA36" s="315"/>
      <c r="AB36" s="348"/>
      <c r="AC36" s="338"/>
      <c r="AD36" s="362"/>
      <c r="AE36" s="315"/>
      <c r="AF36" s="319"/>
      <c r="AG36" s="19"/>
      <c r="AH36" s="21"/>
      <c r="AI36" s="23"/>
      <c r="AJ36" s="309"/>
      <c r="AK36" s="19"/>
      <c r="AL36" s="21"/>
      <c r="AM36" s="25"/>
      <c r="AN36" s="356">
        <f t="shared" si="1"/>
        <v>144864</v>
      </c>
      <c r="AO36" s="341">
        <f t="shared" si="5"/>
        <v>48424</v>
      </c>
      <c r="AP36" s="148"/>
      <c r="AQ36" s="148"/>
      <c r="AR36" s="148"/>
      <c r="AS36" s="148"/>
      <c r="AT36" s="148"/>
      <c r="AU36" s="148"/>
      <c r="AV36" s="148"/>
      <c r="AW36" s="148"/>
      <c r="AX36" s="148"/>
      <c r="AY36" s="148"/>
      <c r="AZ36" s="148"/>
      <c r="BA36" s="148"/>
      <c r="BB36" s="148"/>
      <c r="BC36" s="148"/>
      <c r="BD36" s="148"/>
      <c r="BE36" s="148"/>
      <c r="BF36" s="148"/>
      <c r="BG36" s="148"/>
      <c r="BH36" s="148"/>
      <c r="BI36" s="148"/>
      <c r="BJ36" s="148"/>
      <c r="BK36" s="148"/>
      <c r="BL36" s="148"/>
      <c r="BM36" s="148"/>
      <c r="BN36" s="148"/>
      <c r="BO36" s="148"/>
      <c r="BP36" s="148"/>
      <c r="BQ36" s="148"/>
      <c r="BR36" s="148"/>
      <c r="BS36" s="148"/>
      <c r="BT36" s="148"/>
      <c r="BU36" s="148"/>
      <c r="BV36" s="148"/>
      <c r="BW36" s="148"/>
      <c r="BX36" s="148"/>
      <c r="BY36" s="148"/>
      <c r="BZ36" s="148"/>
      <c r="CA36" s="148"/>
      <c r="CB36" s="148"/>
      <c r="CC36" s="148"/>
      <c r="CD36" s="148"/>
      <c r="CE36" s="148"/>
      <c r="CF36" s="148"/>
      <c r="CG36" s="148"/>
      <c r="CH36" s="148"/>
      <c r="CI36" s="148"/>
      <c r="CJ36" s="148"/>
      <c r="CK36" s="148"/>
      <c r="CL36" s="148"/>
      <c r="CM36" s="148"/>
      <c r="CN36" s="148"/>
      <c r="CO36" s="148"/>
      <c r="CP36" s="148"/>
      <c r="CQ36" s="148"/>
      <c r="CR36" s="148"/>
      <c r="CS36" s="148"/>
      <c r="CT36" s="148"/>
      <c r="CU36" s="148"/>
      <c r="CV36" s="148"/>
      <c r="CW36" s="148"/>
      <c r="CX36" s="148"/>
      <c r="CY36" s="148"/>
      <c r="CZ36" s="148"/>
      <c r="DA36" s="148"/>
      <c r="DB36" s="148"/>
      <c r="DC36" s="148"/>
      <c r="DD36" s="148"/>
      <c r="DE36" s="148"/>
      <c r="DF36" s="148"/>
      <c r="DG36" s="148"/>
      <c r="DH36" s="148"/>
      <c r="DI36" s="148"/>
      <c r="DJ36" s="148"/>
      <c r="DK36" s="148"/>
      <c r="DL36" s="148"/>
      <c r="DM36" s="148"/>
      <c r="DN36" s="148"/>
      <c r="DO36" s="148"/>
      <c r="DP36" s="148"/>
      <c r="DQ36" s="148"/>
      <c r="DR36" s="148"/>
      <c r="DS36" s="148"/>
      <c r="DT36" s="148"/>
      <c r="DU36" s="148"/>
      <c r="DV36" s="148"/>
      <c r="DW36" s="148"/>
      <c r="DX36" s="148"/>
      <c r="DY36" s="148"/>
      <c r="DZ36" s="148"/>
      <c r="EA36" s="148"/>
    </row>
    <row r="37" spans="1:131" s="15" customFormat="1" x14ac:dyDescent="0.2">
      <c r="A37" s="148"/>
      <c r="B37" s="350">
        <f t="shared" si="4"/>
        <v>26</v>
      </c>
      <c r="C37" s="327" t="s">
        <v>38</v>
      </c>
      <c r="D37" s="357">
        <v>30459765</v>
      </c>
      <c r="E37" s="358" t="s">
        <v>1904</v>
      </c>
      <c r="F37" s="366" t="s">
        <v>200</v>
      </c>
      <c r="G37" s="360" t="s">
        <v>1870</v>
      </c>
      <c r="H37" s="343" t="s">
        <v>1878</v>
      </c>
      <c r="I37" s="346" t="s">
        <v>42</v>
      </c>
      <c r="J37" s="385">
        <v>2311954</v>
      </c>
      <c r="K37" s="361">
        <v>33273</v>
      </c>
      <c r="L37" s="361">
        <v>0</v>
      </c>
      <c r="M37" s="57">
        <v>0</v>
      </c>
      <c r="N37" s="18">
        <v>0</v>
      </c>
      <c r="O37" s="18">
        <v>0</v>
      </c>
      <c r="P37" s="18"/>
      <c r="Q37" s="18"/>
      <c r="R37" s="18"/>
      <c r="S37" s="57">
        <f t="shared" si="3"/>
        <v>0</v>
      </c>
      <c r="T37" s="349">
        <v>2053288</v>
      </c>
      <c r="U37" s="19">
        <v>1</v>
      </c>
      <c r="V37" s="23">
        <v>44218</v>
      </c>
      <c r="W37" s="23">
        <v>44246</v>
      </c>
      <c r="X37" s="57">
        <v>-800000</v>
      </c>
      <c r="Y37" s="20">
        <v>51</v>
      </c>
      <c r="Z37" s="23">
        <v>44334</v>
      </c>
      <c r="AA37" s="315">
        <v>44350</v>
      </c>
      <c r="AB37" s="348"/>
      <c r="AC37" s="338"/>
      <c r="AD37" s="362"/>
      <c r="AE37" s="315"/>
      <c r="AF37" s="319"/>
      <c r="AG37" s="19"/>
      <c r="AH37" s="21"/>
      <c r="AI37" s="23"/>
      <c r="AJ37" s="309"/>
      <c r="AK37" s="19"/>
      <c r="AL37" s="21"/>
      <c r="AM37" s="25"/>
      <c r="AN37" s="356">
        <f t="shared" si="1"/>
        <v>1253288</v>
      </c>
      <c r="AO37" s="341">
        <f t="shared" si="5"/>
        <v>1253288</v>
      </c>
      <c r="AP37" s="148"/>
      <c r="AQ37" s="148"/>
      <c r="AR37" s="148"/>
      <c r="AS37" s="148"/>
      <c r="AT37" s="148"/>
      <c r="AU37" s="148"/>
      <c r="AV37" s="148"/>
      <c r="AW37" s="148"/>
      <c r="AX37" s="148"/>
      <c r="AY37" s="148"/>
      <c r="AZ37" s="148"/>
      <c r="BA37" s="148"/>
      <c r="BB37" s="148"/>
      <c r="BC37" s="148"/>
      <c r="BD37" s="148"/>
      <c r="BE37" s="148"/>
      <c r="BF37" s="148"/>
      <c r="BG37" s="148"/>
      <c r="BH37" s="148"/>
      <c r="BI37" s="148"/>
      <c r="BJ37" s="148"/>
      <c r="BK37" s="148"/>
      <c r="BL37" s="148"/>
      <c r="BM37" s="148"/>
      <c r="BN37" s="148"/>
      <c r="BO37" s="148"/>
      <c r="BP37" s="148"/>
      <c r="BQ37" s="148"/>
      <c r="BR37" s="148"/>
      <c r="BS37" s="148"/>
      <c r="BT37" s="148"/>
      <c r="BU37" s="148"/>
      <c r="BV37" s="148"/>
      <c r="BW37" s="148"/>
      <c r="BX37" s="148"/>
      <c r="BY37" s="148"/>
      <c r="BZ37" s="148"/>
      <c r="CA37" s="148"/>
      <c r="CB37" s="148"/>
      <c r="CC37" s="148"/>
      <c r="CD37" s="148"/>
      <c r="CE37" s="148"/>
      <c r="CF37" s="148"/>
      <c r="CG37" s="148"/>
      <c r="CH37" s="148"/>
      <c r="CI37" s="148"/>
      <c r="CJ37" s="148"/>
      <c r="CK37" s="148"/>
      <c r="CL37" s="148"/>
      <c r="CM37" s="148"/>
      <c r="CN37" s="148"/>
      <c r="CO37" s="148"/>
      <c r="CP37" s="148"/>
      <c r="CQ37" s="148"/>
      <c r="CR37" s="148"/>
      <c r="CS37" s="148"/>
      <c r="CT37" s="148"/>
      <c r="CU37" s="148"/>
      <c r="CV37" s="148"/>
      <c r="CW37" s="148"/>
      <c r="CX37" s="148"/>
      <c r="CY37" s="148"/>
      <c r="CZ37" s="148"/>
      <c r="DA37" s="148"/>
      <c r="DB37" s="148"/>
      <c r="DC37" s="148"/>
      <c r="DD37" s="148"/>
      <c r="DE37" s="148"/>
      <c r="DF37" s="148"/>
      <c r="DG37" s="148"/>
      <c r="DH37" s="148"/>
      <c r="DI37" s="148"/>
      <c r="DJ37" s="148"/>
      <c r="DK37" s="148"/>
      <c r="DL37" s="148"/>
      <c r="DM37" s="148"/>
      <c r="DN37" s="148"/>
      <c r="DO37" s="148"/>
      <c r="DP37" s="148"/>
      <c r="DQ37" s="148"/>
      <c r="DR37" s="148"/>
      <c r="DS37" s="148"/>
      <c r="DT37" s="148"/>
      <c r="DU37" s="148"/>
      <c r="DV37" s="148"/>
      <c r="DW37" s="148"/>
      <c r="DX37" s="148"/>
      <c r="DY37" s="148"/>
      <c r="DZ37" s="148"/>
      <c r="EA37" s="148"/>
    </row>
    <row r="38" spans="1:131" s="15" customFormat="1" x14ac:dyDescent="0.2">
      <c r="A38" s="148"/>
      <c r="B38" s="350">
        <f t="shared" si="4"/>
        <v>27</v>
      </c>
      <c r="C38" s="327" t="s">
        <v>38</v>
      </c>
      <c r="D38" s="363">
        <v>30464223</v>
      </c>
      <c r="E38" s="330" t="s">
        <v>1905</v>
      </c>
      <c r="F38" s="364" t="s">
        <v>200</v>
      </c>
      <c r="G38" s="354" t="s">
        <v>1870</v>
      </c>
      <c r="H38" s="332" t="s">
        <v>1880</v>
      </c>
      <c r="I38" s="382" t="s">
        <v>42</v>
      </c>
      <c r="J38" s="334">
        <v>702323</v>
      </c>
      <c r="K38" s="361">
        <v>12195</v>
      </c>
      <c r="L38" s="361">
        <v>0</v>
      </c>
      <c r="M38" s="57">
        <v>0</v>
      </c>
      <c r="N38" s="18">
        <v>0</v>
      </c>
      <c r="O38" s="18">
        <v>0</v>
      </c>
      <c r="P38" s="18">
        <v>30059</v>
      </c>
      <c r="Q38" s="18">
        <v>23987</v>
      </c>
      <c r="R38" s="18">
        <v>33732</v>
      </c>
      <c r="S38" s="57">
        <f t="shared" si="3"/>
        <v>87778</v>
      </c>
      <c r="T38" s="337">
        <v>607659</v>
      </c>
      <c r="U38" s="19">
        <v>1</v>
      </c>
      <c r="V38" s="23">
        <v>44218</v>
      </c>
      <c r="W38" s="23">
        <v>44246</v>
      </c>
      <c r="X38" s="57"/>
      <c r="Y38" s="20"/>
      <c r="Z38" s="21"/>
      <c r="AA38" s="315"/>
      <c r="AB38" s="348"/>
      <c r="AC38" s="338"/>
      <c r="AD38" s="362"/>
      <c r="AE38" s="315"/>
      <c r="AF38" s="319"/>
      <c r="AG38" s="19"/>
      <c r="AH38" s="21"/>
      <c r="AI38" s="23"/>
      <c r="AJ38" s="309"/>
      <c r="AK38" s="19"/>
      <c r="AL38" s="21"/>
      <c r="AM38" s="25"/>
      <c r="AN38" s="356">
        <f t="shared" si="1"/>
        <v>607659</v>
      </c>
      <c r="AO38" s="341">
        <f t="shared" si="5"/>
        <v>519881</v>
      </c>
      <c r="AP38" s="148"/>
      <c r="AQ38" s="148"/>
      <c r="AR38" s="148"/>
      <c r="AS38" s="148"/>
      <c r="AT38" s="148"/>
      <c r="AU38" s="148"/>
      <c r="AV38" s="148"/>
      <c r="AW38" s="148"/>
      <c r="AX38" s="148"/>
      <c r="AY38" s="148"/>
      <c r="AZ38" s="148"/>
      <c r="BA38" s="148"/>
      <c r="BB38" s="148"/>
      <c r="BC38" s="148"/>
      <c r="BD38" s="148"/>
      <c r="BE38" s="148"/>
      <c r="BF38" s="148"/>
      <c r="BG38" s="148"/>
      <c r="BH38" s="148"/>
      <c r="BI38" s="148"/>
      <c r="BJ38" s="148"/>
      <c r="BK38" s="148"/>
      <c r="BL38" s="148"/>
      <c r="BM38" s="148"/>
      <c r="BN38" s="148"/>
      <c r="BO38" s="148"/>
      <c r="BP38" s="148"/>
      <c r="BQ38" s="148"/>
      <c r="BR38" s="148"/>
      <c r="BS38" s="148"/>
      <c r="BT38" s="148"/>
      <c r="BU38" s="148"/>
      <c r="BV38" s="148"/>
      <c r="BW38" s="148"/>
      <c r="BX38" s="148"/>
      <c r="BY38" s="148"/>
      <c r="BZ38" s="148"/>
      <c r="CA38" s="148"/>
      <c r="CB38" s="148"/>
      <c r="CC38" s="148"/>
      <c r="CD38" s="148"/>
      <c r="CE38" s="148"/>
      <c r="CF38" s="148"/>
      <c r="CG38" s="148"/>
      <c r="CH38" s="148"/>
      <c r="CI38" s="148"/>
      <c r="CJ38" s="148"/>
      <c r="CK38" s="148"/>
      <c r="CL38" s="148"/>
      <c r="CM38" s="148"/>
      <c r="CN38" s="148"/>
      <c r="CO38" s="148"/>
      <c r="CP38" s="148"/>
      <c r="CQ38" s="148"/>
      <c r="CR38" s="148"/>
      <c r="CS38" s="148"/>
      <c r="CT38" s="148"/>
      <c r="CU38" s="148"/>
      <c r="CV38" s="148"/>
      <c r="CW38" s="148"/>
      <c r="CX38" s="148"/>
      <c r="CY38" s="148"/>
      <c r="CZ38" s="148"/>
      <c r="DA38" s="148"/>
      <c r="DB38" s="148"/>
      <c r="DC38" s="148"/>
      <c r="DD38" s="148"/>
      <c r="DE38" s="148"/>
      <c r="DF38" s="148"/>
      <c r="DG38" s="148"/>
      <c r="DH38" s="148"/>
      <c r="DI38" s="148"/>
      <c r="DJ38" s="148"/>
      <c r="DK38" s="148"/>
      <c r="DL38" s="148"/>
      <c r="DM38" s="148"/>
      <c r="DN38" s="148"/>
      <c r="DO38" s="148"/>
      <c r="DP38" s="148"/>
      <c r="DQ38" s="148"/>
      <c r="DR38" s="148"/>
      <c r="DS38" s="148"/>
      <c r="DT38" s="148"/>
      <c r="DU38" s="148"/>
      <c r="DV38" s="148"/>
      <c r="DW38" s="148"/>
      <c r="DX38" s="148"/>
      <c r="DY38" s="148"/>
      <c r="DZ38" s="148"/>
      <c r="EA38" s="148"/>
    </row>
    <row r="39" spans="1:131" s="15" customFormat="1" x14ac:dyDescent="0.2">
      <c r="A39" s="148"/>
      <c r="B39" s="350">
        <f t="shared" si="4"/>
        <v>28</v>
      </c>
      <c r="C39" s="327" t="s">
        <v>38</v>
      </c>
      <c r="D39" s="357">
        <v>30471034</v>
      </c>
      <c r="E39" s="393" t="s">
        <v>1906</v>
      </c>
      <c r="F39" s="359" t="s">
        <v>200</v>
      </c>
      <c r="G39" s="360" t="s">
        <v>1870</v>
      </c>
      <c r="H39" s="343" t="s">
        <v>1878</v>
      </c>
      <c r="I39" s="346" t="s">
        <v>43</v>
      </c>
      <c r="J39" s="385">
        <v>597637</v>
      </c>
      <c r="K39" s="361">
        <v>5244</v>
      </c>
      <c r="L39" s="361">
        <v>0</v>
      </c>
      <c r="M39" s="57">
        <v>0</v>
      </c>
      <c r="N39" s="18">
        <v>0</v>
      </c>
      <c r="O39" s="18">
        <v>0</v>
      </c>
      <c r="P39" s="18"/>
      <c r="Q39" s="18"/>
      <c r="R39" s="18"/>
      <c r="S39" s="57">
        <f t="shared" si="3"/>
        <v>0</v>
      </c>
      <c r="T39" s="349">
        <v>564676</v>
      </c>
      <c r="U39" s="19">
        <v>1</v>
      </c>
      <c r="V39" s="23">
        <v>44218</v>
      </c>
      <c r="W39" s="23">
        <v>44246</v>
      </c>
      <c r="X39" s="57"/>
      <c r="Y39" s="20"/>
      <c r="Z39" s="21"/>
      <c r="AA39" s="315"/>
      <c r="AB39" s="348"/>
      <c r="AC39" s="338"/>
      <c r="AD39" s="362"/>
      <c r="AE39" s="315"/>
      <c r="AF39" s="319"/>
      <c r="AG39" s="19"/>
      <c r="AH39" s="21"/>
      <c r="AI39" s="23"/>
      <c r="AJ39" s="309"/>
      <c r="AK39" s="19"/>
      <c r="AL39" s="21"/>
      <c r="AM39" s="25"/>
      <c r="AN39" s="356">
        <f t="shared" si="1"/>
        <v>564676</v>
      </c>
      <c r="AO39" s="341">
        <f t="shared" si="5"/>
        <v>564676</v>
      </c>
      <c r="AP39" s="148"/>
      <c r="AQ39" s="148"/>
      <c r="AR39" s="148"/>
      <c r="AS39" s="148"/>
      <c r="AT39" s="148"/>
      <c r="AU39" s="148"/>
      <c r="AV39" s="148"/>
      <c r="AW39" s="148"/>
      <c r="AX39" s="148"/>
      <c r="AY39" s="148"/>
      <c r="AZ39" s="148"/>
      <c r="BA39" s="148"/>
      <c r="BB39" s="148"/>
      <c r="BC39" s="148"/>
      <c r="BD39" s="148"/>
      <c r="BE39" s="148"/>
      <c r="BF39" s="148"/>
      <c r="BG39" s="148"/>
      <c r="BH39" s="148"/>
      <c r="BI39" s="148"/>
      <c r="BJ39" s="148"/>
      <c r="BK39" s="148"/>
      <c r="BL39" s="148"/>
      <c r="BM39" s="148"/>
      <c r="BN39" s="148"/>
      <c r="BO39" s="148"/>
      <c r="BP39" s="148"/>
      <c r="BQ39" s="148"/>
      <c r="BR39" s="148"/>
      <c r="BS39" s="148"/>
      <c r="BT39" s="148"/>
      <c r="BU39" s="148"/>
      <c r="BV39" s="148"/>
      <c r="BW39" s="148"/>
      <c r="BX39" s="148"/>
      <c r="BY39" s="148"/>
      <c r="BZ39" s="148"/>
      <c r="CA39" s="148"/>
      <c r="CB39" s="148"/>
      <c r="CC39" s="148"/>
      <c r="CD39" s="148"/>
      <c r="CE39" s="148"/>
      <c r="CF39" s="148"/>
      <c r="CG39" s="148"/>
      <c r="CH39" s="148"/>
      <c r="CI39" s="148"/>
      <c r="CJ39" s="148"/>
      <c r="CK39" s="148"/>
      <c r="CL39" s="148"/>
      <c r="CM39" s="148"/>
      <c r="CN39" s="148"/>
      <c r="CO39" s="148"/>
      <c r="CP39" s="148"/>
      <c r="CQ39" s="148"/>
      <c r="CR39" s="148"/>
      <c r="CS39" s="148"/>
      <c r="CT39" s="148"/>
      <c r="CU39" s="148"/>
      <c r="CV39" s="148"/>
      <c r="CW39" s="148"/>
      <c r="CX39" s="148"/>
      <c r="CY39" s="148"/>
      <c r="CZ39" s="148"/>
      <c r="DA39" s="148"/>
      <c r="DB39" s="148"/>
      <c r="DC39" s="148"/>
      <c r="DD39" s="148"/>
      <c r="DE39" s="148"/>
      <c r="DF39" s="148"/>
      <c r="DG39" s="148"/>
      <c r="DH39" s="148"/>
      <c r="DI39" s="148"/>
      <c r="DJ39" s="148"/>
      <c r="DK39" s="148"/>
      <c r="DL39" s="148"/>
      <c r="DM39" s="148"/>
      <c r="DN39" s="148"/>
      <c r="DO39" s="148"/>
      <c r="DP39" s="148"/>
      <c r="DQ39" s="148"/>
      <c r="DR39" s="148"/>
      <c r="DS39" s="148"/>
      <c r="DT39" s="148"/>
      <c r="DU39" s="148"/>
      <c r="DV39" s="148"/>
      <c r="DW39" s="148"/>
      <c r="DX39" s="148"/>
      <c r="DY39" s="148"/>
      <c r="DZ39" s="148"/>
      <c r="EA39" s="148"/>
    </row>
    <row r="40" spans="1:131" s="15" customFormat="1" x14ac:dyDescent="0.2">
      <c r="A40" s="148"/>
      <c r="B40" s="350">
        <f t="shared" si="4"/>
        <v>29</v>
      </c>
      <c r="C40" s="327" t="s">
        <v>38</v>
      </c>
      <c r="D40" s="363">
        <v>30473024</v>
      </c>
      <c r="E40" s="330" t="s">
        <v>1907</v>
      </c>
      <c r="F40" s="364" t="s">
        <v>200</v>
      </c>
      <c r="G40" s="354" t="s">
        <v>1870</v>
      </c>
      <c r="H40" s="332" t="s">
        <v>1871</v>
      </c>
      <c r="I40" s="382" t="s">
        <v>42</v>
      </c>
      <c r="J40" s="334">
        <v>216689</v>
      </c>
      <c r="K40" s="361">
        <v>210563</v>
      </c>
      <c r="L40" s="361">
        <v>0</v>
      </c>
      <c r="M40" s="57">
        <v>0</v>
      </c>
      <c r="N40" s="18">
        <v>0</v>
      </c>
      <c r="O40" s="18">
        <v>0</v>
      </c>
      <c r="P40" s="18"/>
      <c r="Q40" s="18"/>
      <c r="R40" s="18"/>
      <c r="S40" s="57">
        <f t="shared" si="3"/>
        <v>0</v>
      </c>
      <c r="T40" s="337">
        <v>6126</v>
      </c>
      <c r="U40" s="19">
        <v>1</v>
      </c>
      <c r="V40" s="23">
        <v>44218</v>
      </c>
      <c r="W40" s="23">
        <v>44246</v>
      </c>
      <c r="X40" s="57"/>
      <c r="Y40" s="20"/>
      <c r="Z40" s="21"/>
      <c r="AA40" s="315"/>
      <c r="AB40" s="348"/>
      <c r="AC40" s="338"/>
      <c r="AD40" s="362"/>
      <c r="AE40" s="315"/>
      <c r="AF40" s="319"/>
      <c r="AG40" s="19"/>
      <c r="AH40" s="21"/>
      <c r="AI40" s="23"/>
      <c r="AJ40" s="309"/>
      <c r="AK40" s="19"/>
      <c r="AL40" s="21"/>
      <c r="AM40" s="25"/>
      <c r="AN40" s="356">
        <f t="shared" si="1"/>
        <v>6126</v>
      </c>
      <c r="AO40" s="341">
        <f t="shared" si="5"/>
        <v>6126</v>
      </c>
      <c r="AP40" s="148"/>
      <c r="AQ40" s="148"/>
      <c r="AR40" s="148"/>
      <c r="AS40" s="148"/>
      <c r="AT40" s="148"/>
      <c r="AU40" s="148"/>
      <c r="AV40" s="148"/>
      <c r="AW40" s="148"/>
      <c r="AX40" s="148"/>
      <c r="AY40" s="148"/>
      <c r="AZ40" s="148"/>
      <c r="BA40" s="148"/>
      <c r="BB40" s="148"/>
      <c r="BC40" s="148"/>
      <c r="BD40" s="148"/>
      <c r="BE40" s="148"/>
      <c r="BF40" s="148"/>
      <c r="BG40" s="148"/>
      <c r="BH40" s="148"/>
      <c r="BI40" s="148"/>
      <c r="BJ40" s="148"/>
      <c r="BK40" s="148"/>
      <c r="BL40" s="148"/>
      <c r="BM40" s="148"/>
      <c r="BN40" s="148"/>
      <c r="BO40" s="148"/>
      <c r="BP40" s="148"/>
      <c r="BQ40" s="148"/>
      <c r="BR40" s="148"/>
      <c r="BS40" s="148"/>
      <c r="BT40" s="148"/>
      <c r="BU40" s="148"/>
      <c r="BV40" s="148"/>
      <c r="BW40" s="148"/>
      <c r="BX40" s="148"/>
      <c r="BY40" s="148"/>
      <c r="BZ40" s="148"/>
      <c r="CA40" s="148"/>
      <c r="CB40" s="148"/>
      <c r="CC40" s="148"/>
      <c r="CD40" s="148"/>
      <c r="CE40" s="148"/>
      <c r="CF40" s="148"/>
      <c r="CG40" s="148"/>
      <c r="CH40" s="148"/>
      <c r="CI40" s="148"/>
      <c r="CJ40" s="148"/>
      <c r="CK40" s="148"/>
      <c r="CL40" s="148"/>
      <c r="CM40" s="148"/>
      <c r="CN40" s="148"/>
      <c r="CO40" s="148"/>
      <c r="CP40" s="148"/>
      <c r="CQ40" s="148"/>
      <c r="CR40" s="148"/>
      <c r="CS40" s="148"/>
      <c r="CT40" s="148"/>
      <c r="CU40" s="148"/>
      <c r="CV40" s="148"/>
      <c r="CW40" s="148"/>
      <c r="CX40" s="148"/>
      <c r="CY40" s="148"/>
      <c r="CZ40" s="148"/>
      <c r="DA40" s="148"/>
      <c r="DB40" s="148"/>
      <c r="DC40" s="148"/>
      <c r="DD40" s="148"/>
      <c r="DE40" s="148"/>
      <c r="DF40" s="148"/>
      <c r="DG40" s="148"/>
      <c r="DH40" s="148"/>
      <c r="DI40" s="148"/>
      <c r="DJ40" s="148"/>
      <c r="DK40" s="148"/>
      <c r="DL40" s="148"/>
      <c r="DM40" s="148"/>
      <c r="DN40" s="148"/>
      <c r="DO40" s="148"/>
      <c r="DP40" s="148"/>
      <c r="DQ40" s="148"/>
      <c r="DR40" s="148"/>
      <c r="DS40" s="148"/>
      <c r="DT40" s="148"/>
      <c r="DU40" s="148"/>
      <c r="DV40" s="148"/>
      <c r="DW40" s="148"/>
      <c r="DX40" s="148"/>
      <c r="DY40" s="148"/>
      <c r="DZ40" s="148"/>
      <c r="EA40" s="148"/>
    </row>
    <row r="41" spans="1:131" s="15" customFormat="1" x14ac:dyDescent="0.2">
      <c r="A41" s="148"/>
      <c r="B41" s="350">
        <f t="shared" si="4"/>
        <v>30</v>
      </c>
      <c r="C41" s="327" t="s">
        <v>38</v>
      </c>
      <c r="D41" s="357">
        <v>30473025</v>
      </c>
      <c r="E41" s="358" t="s">
        <v>1908</v>
      </c>
      <c r="F41" s="366" t="s">
        <v>200</v>
      </c>
      <c r="G41" s="360" t="s">
        <v>1870</v>
      </c>
      <c r="H41" s="343" t="s">
        <v>1871</v>
      </c>
      <c r="I41" s="346" t="s">
        <v>42</v>
      </c>
      <c r="J41" s="381">
        <v>236182</v>
      </c>
      <c r="K41" s="361">
        <v>230057</v>
      </c>
      <c r="L41" s="361">
        <v>2</v>
      </c>
      <c r="M41" s="57">
        <v>0</v>
      </c>
      <c r="N41" s="18">
        <v>0</v>
      </c>
      <c r="O41" s="18">
        <v>0</v>
      </c>
      <c r="P41" s="18"/>
      <c r="Q41" s="18"/>
      <c r="R41" s="18">
        <v>492</v>
      </c>
      <c r="S41" s="57">
        <f t="shared" si="3"/>
        <v>492</v>
      </c>
      <c r="T41" s="347">
        <v>6123</v>
      </c>
      <c r="U41" s="19">
        <v>1</v>
      </c>
      <c r="V41" s="23">
        <v>44218</v>
      </c>
      <c r="W41" s="23">
        <v>44246</v>
      </c>
      <c r="X41" s="57">
        <v>493</v>
      </c>
      <c r="Y41" s="20">
        <v>51</v>
      </c>
      <c r="Z41" s="23">
        <v>44334</v>
      </c>
      <c r="AA41" s="315">
        <v>44350</v>
      </c>
      <c r="AB41" s="348"/>
      <c r="AC41" s="338"/>
      <c r="AD41" s="362"/>
      <c r="AE41" s="315"/>
      <c r="AF41" s="319"/>
      <c r="AG41" s="19"/>
      <c r="AH41" s="21"/>
      <c r="AI41" s="23"/>
      <c r="AJ41" s="309"/>
      <c r="AK41" s="19"/>
      <c r="AL41" s="21"/>
      <c r="AM41" s="25"/>
      <c r="AN41" s="356">
        <f t="shared" si="1"/>
        <v>6616</v>
      </c>
      <c r="AO41" s="341">
        <f t="shared" si="5"/>
        <v>6124</v>
      </c>
      <c r="AP41" s="148"/>
      <c r="AQ41" s="148"/>
      <c r="AR41" s="148"/>
      <c r="AS41" s="148"/>
      <c r="AT41" s="148"/>
      <c r="AU41" s="148"/>
      <c r="AV41" s="148"/>
      <c r="AW41" s="148"/>
      <c r="AX41" s="148"/>
      <c r="AY41" s="148"/>
      <c r="AZ41" s="148"/>
      <c r="BA41" s="148"/>
      <c r="BB41" s="148"/>
      <c r="BC41" s="148"/>
      <c r="BD41" s="148"/>
      <c r="BE41" s="148"/>
      <c r="BF41" s="148"/>
      <c r="BG41" s="148"/>
      <c r="BH41" s="148"/>
      <c r="BI41" s="148"/>
      <c r="BJ41" s="148"/>
      <c r="BK41" s="148"/>
      <c r="BL41" s="148"/>
      <c r="BM41" s="148"/>
      <c r="BN41" s="148"/>
      <c r="BO41" s="148"/>
      <c r="BP41" s="148"/>
      <c r="BQ41" s="148"/>
      <c r="BR41" s="148"/>
      <c r="BS41" s="148"/>
      <c r="BT41" s="148"/>
      <c r="BU41" s="148"/>
      <c r="BV41" s="148"/>
      <c r="BW41" s="148"/>
      <c r="BX41" s="148"/>
      <c r="BY41" s="148"/>
      <c r="BZ41" s="148"/>
      <c r="CA41" s="148"/>
      <c r="CB41" s="148"/>
      <c r="CC41" s="148"/>
      <c r="CD41" s="148"/>
      <c r="CE41" s="148"/>
      <c r="CF41" s="148"/>
      <c r="CG41" s="148"/>
      <c r="CH41" s="148"/>
      <c r="CI41" s="148"/>
      <c r="CJ41" s="148"/>
      <c r="CK41" s="148"/>
      <c r="CL41" s="148"/>
      <c r="CM41" s="148"/>
      <c r="CN41" s="148"/>
      <c r="CO41" s="148"/>
      <c r="CP41" s="148"/>
      <c r="CQ41" s="148"/>
      <c r="CR41" s="148"/>
      <c r="CS41" s="148"/>
      <c r="CT41" s="148"/>
      <c r="CU41" s="148"/>
      <c r="CV41" s="148"/>
      <c r="CW41" s="148"/>
      <c r="CX41" s="148"/>
      <c r="CY41" s="148"/>
      <c r="CZ41" s="148"/>
      <c r="DA41" s="148"/>
      <c r="DB41" s="148"/>
      <c r="DC41" s="148"/>
      <c r="DD41" s="148"/>
      <c r="DE41" s="148"/>
      <c r="DF41" s="148"/>
      <c r="DG41" s="148"/>
      <c r="DH41" s="148"/>
      <c r="DI41" s="148"/>
      <c r="DJ41" s="148"/>
      <c r="DK41" s="148"/>
      <c r="DL41" s="148"/>
      <c r="DM41" s="148"/>
      <c r="DN41" s="148"/>
      <c r="DO41" s="148"/>
      <c r="DP41" s="148"/>
      <c r="DQ41" s="148"/>
      <c r="DR41" s="148"/>
      <c r="DS41" s="148"/>
      <c r="DT41" s="148"/>
      <c r="DU41" s="148"/>
      <c r="DV41" s="148"/>
      <c r="DW41" s="148"/>
      <c r="DX41" s="148"/>
      <c r="DY41" s="148"/>
      <c r="DZ41" s="148"/>
      <c r="EA41" s="148"/>
    </row>
    <row r="42" spans="1:131" s="15" customFormat="1" x14ac:dyDescent="0.2">
      <c r="A42" s="148"/>
      <c r="B42" s="350">
        <f t="shared" si="4"/>
        <v>31</v>
      </c>
      <c r="C42" s="327" t="s">
        <v>38</v>
      </c>
      <c r="D42" s="363">
        <v>30474635</v>
      </c>
      <c r="E42" s="330" t="s">
        <v>1909</v>
      </c>
      <c r="F42" s="353" t="s">
        <v>204</v>
      </c>
      <c r="G42" s="354" t="s">
        <v>1870</v>
      </c>
      <c r="H42" s="332" t="s">
        <v>1878</v>
      </c>
      <c r="I42" s="382" t="s">
        <v>43</v>
      </c>
      <c r="J42" s="388">
        <v>463920</v>
      </c>
      <c r="K42" s="361">
        <v>1324</v>
      </c>
      <c r="L42" s="361">
        <v>0</v>
      </c>
      <c r="M42" s="57">
        <v>0</v>
      </c>
      <c r="N42" s="18">
        <v>0</v>
      </c>
      <c r="O42" s="18">
        <v>20000</v>
      </c>
      <c r="P42" s="18"/>
      <c r="Q42" s="18">
        <v>60000</v>
      </c>
      <c r="R42" s="18"/>
      <c r="S42" s="57">
        <f t="shared" si="3"/>
        <v>80000</v>
      </c>
      <c r="T42" s="371">
        <v>80000</v>
      </c>
      <c r="U42" s="19">
        <v>1</v>
      </c>
      <c r="V42" s="23">
        <v>44218</v>
      </c>
      <c r="W42" s="23">
        <v>44246</v>
      </c>
      <c r="X42" s="57"/>
      <c r="Y42" s="20"/>
      <c r="Z42" s="21"/>
      <c r="AA42" s="315"/>
      <c r="AB42" s="348"/>
      <c r="AC42" s="338"/>
      <c r="AD42" s="362"/>
      <c r="AE42" s="315"/>
      <c r="AF42" s="319"/>
      <c r="AG42" s="19"/>
      <c r="AH42" s="21"/>
      <c r="AI42" s="23"/>
      <c r="AJ42" s="309"/>
      <c r="AK42" s="19"/>
      <c r="AL42" s="21"/>
      <c r="AM42" s="25"/>
      <c r="AN42" s="356">
        <f t="shared" si="1"/>
        <v>80000</v>
      </c>
      <c r="AO42" s="341">
        <f t="shared" si="5"/>
        <v>0</v>
      </c>
      <c r="AP42" s="148"/>
      <c r="AQ42" s="148"/>
      <c r="AR42" s="148"/>
      <c r="AS42" s="148"/>
      <c r="AT42" s="148"/>
      <c r="AU42" s="148"/>
      <c r="AV42" s="148"/>
      <c r="AW42" s="148"/>
      <c r="AX42" s="148"/>
      <c r="AY42" s="148"/>
      <c r="AZ42" s="148"/>
      <c r="BA42" s="148"/>
      <c r="BB42" s="148"/>
      <c r="BC42" s="148"/>
      <c r="BD42" s="148"/>
      <c r="BE42" s="148"/>
      <c r="BF42" s="148"/>
      <c r="BG42" s="148"/>
      <c r="BH42" s="148"/>
      <c r="BI42" s="148"/>
      <c r="BJ42" s="148"/>
      <c r="BK42" s="148"/>
      <c r="BL42" s="148"/>
      <c r="BM42" s="148"/>
      <c r="BN42" s="148"/>
      <c r="BO42" s="148"/>
      <c r="BP42" s="148"/>
      <c r="BQ42" s="148"/>
      <c r="BR42" s="148"/>
      <c r="BS42" s="148"/>
      <c r="BT42" s="148"/>
      <c r="BU42" s="148"/>
      <c r="BV42" s="148"/>
      <c r="BW42" s="148"/>
      <c r="BX42" s="148"/>
      <c r="BY42" s="148"/>
      <c r="BZ42" s="148"/>
      <c r="CA42" s="148"/>
      <c r="CB42" s="148"/>
      <c r="CC42" s="148"/>
      <c r="CD42" s="148"/>
      <c r="CE42" s="148"/>
      <c r="CF42" s="148"/>
      <c r="CG42" s="148"/>
      <c r="CH42" s="148"/>
      <c r="CI42" s="148"/>
      <c r="CJ42" s="148"/>
      <c r="CK42" s="148"/>
      <c r="CL42" s="148"/>
      <c r="CM42" s="148"/>
      <c r="CN42" s="148"/>
      <c r="CO42" s="148"/>
      <c r="CP42" s="148"/>
      <c r="CQ42" s="148"/>
      <c r="CR42" s="148"/>
      <c r="CS42" s="148"/>
      <c r="CT42" s="148"/>
      <c r="CU42" s="148"/>
      <c r="CV42" s="148"/>
      <c r="CW42" s="148"/>
      <c r="CX42" s="148"/>
      <c r="CY42" s="148"/>
      <c r="CZ42" s="148"/>
      <c r="DA42" s="148"/>
      <c r="DB42" s="148"/>
      <c r="DC42" s="148"/>
      <c r="DD42" s="148"/>
      <c r="DE42" s="148"/>
      <c r="DF42" s="148"/>
      <c r="DG42" s="148"/>
      <c r="DH42" s="148"/>
      <c r="DI42" s="148"/>
      <c r="DJ42" s="148"/>
      <c r="DK42" s="148"/>
      <c r="DL42" s="148"/>
      <c r="DM42" s="148"/>
      <c r="DN42" s="148"/>
      <c r="DO42" s="148"/>
      <c r="DP42" s="148"/>
      <c r="DQ42" s="148"/>
      <c r="DR42" s="148"/>
      <c r="DS42" s="148"/>
      <c r="DT42" s="148"/>
      <c r="DU42" s="148"/>
      <c r="DV42" s="148"/>
      <c r="DW42" s="148"/>
      <c r="DX42" s="148"/>
      <c r="DY42" s="148"/>
      <c r="DZ42" s="148"/>
      <c r="EA42" s="148"/>
    </row>
    <row r="43" spans="1:131" s="15" customFormat="1" x14ac:dyDescent="0.2">
      <c r="A43" s="148"/>
      <c r="B43" s="350">
        <f t="shared" si="4"/>
        <v>32</v>
      </c>
      <c r="C43" s="327" t="s">
        <v>38</v>
      </c>
      <c r="D43" s="357">
        <v>30486557</v>
      </c>
      <c r="E43" s="393" t="s">
        <v>1910</v>
      </c>
      <c r="F43" s="359" t="s">
        <v>200</v>
      </c>
      <c r="G43" s="360" t="s">
        <v>1870</v>
      </c>
      <c r="H43" s="343" t="s">
        <v>1884</v>
      </c>
      <c r="I43" s="346" t="s">
        <v>42</v>
      </c>
      <c r="J43" s="385">
        <v>739831</v>
      </c>
      <c r="K43" s="361">
        <v>642046</v>
      </c>
      <c r="L43" s="361">
        <v>0</v>
      </c>
      <c r="M43" s="57">
        <v>0</v>
      </c>
      <c r="N43" s="18">
        <v>0</v>
      </c>
      <c r="O43" s="18">
        <v>0</v>
      </c>
      <c r="P43" s="18">
        <v>4739</v>
      </c>
      <c r="Q43" s="18">
        <v>129</v>
      </c>
      <c r="R43" s="18"/>
      <c r="S43" s="57">
        <f t="shared" si="3"/>
        <v>4868</v>
      </c>
      <c r="T43" s="349">
        <v>18279</v>
      </c>
      <c r="U43" s="19">
        <v>1</v>
      </c>
      <c r="V43" s="23">
        <v>44218</v>
      </c>
      <c r="W43" s="23">
        <v>44246</v>
      </c>
      <c r="X43" s="57"/>
      <c r="Y43" s="20"/>
      <c r="Z43" s="21"/>
      <c r="AA43" s="315"/>
      <c r="AB43" s="348"/>
      <c r="AC43" s="338"/>
      <c r="AD43" s="362"/>
      <c r="AE43" s="315"/>
      <c r="AF43" s="319"/>
      <c r="AG43" s="19"/>
      <c r="AH43" s="21"/>
      <c r="AI43" s="23"/>
      <c r="AJ43" s="309"/>
      <c r="AK43" s="19"/>
      <c r="AL43" s="21"/>
      <c r="AM43" s="25"/>
      <c r="AN43" s="356">
        <f t="shared" si="1"/>
        <v>18279</v>
      </c>
      <c r="AO43" s="341">
        <f t="shared" si="5"/>
        <v>13411</v>
      </c>
      <c r="AP43" s="148"/>
      <c r="AQ43" s="148"/>
      <c r="AR43" s="148"/>
      <c r="AS43" s="148"/>
      <c r="AT43" s="148"/>
      <c r="AU43" s="148"/>
      <c r="AV43" s="148"/>
      <c r="AW43" s="148"/>
      <c r="AX43" s="148"/>
      <c r="AY43" s="148"/>
      <c r="AZ43" s="148"/>
      <c r="BA43" s="148"/>
      <c r="BB43" s="148"/>
      <c r="BC43" s="148"/>
      <c r="BD43" s="148"/>
      <c r="BE43" s="148"/>
      <c r="BF43" s="148"/>
      <c r="BG43" s="148"/>
      <c r="BH43" s="148"/>
      <c r="BI43" s="148"/>
      <c r="BJ43" s="148"/>
      <c r="BK43" s="148"/>
      <c r="BL43" s="148"/>
      <c r="BM43" s="148"/>
      <c r="BN43" s="148"/>
      <c r="BO43" s="148"/>
      <c r="BP43" s="148"/>
      <c r="BQ43" s="148"/>
      <c r="BR43" s="148"/>
      <c r="BS43" s="148"/>
      <c r="BT43" s="148"/>
      <c r="BU43" s="148"/>
      <c r="BV43" s="148"/>
      <c r="BW43" s="148"/>
      <c r="BX43" s="148"/>
      <c r="BY43" s="148"/>
      <c r="BZ43" s="148"/>
      <c r="CA43" s="148"/>
      <c r="CB43" s="148"/>
      <c r="CC43" s="148"/>
      <c r="CD43" s="148"/>
      <c r="CE43" s="148"/>
      <c r="CF43" s="148"/>
      <c r="CG43" s="148"/>
      <c r="CH43" s="148"/>
      <c r="CI43" s="148"/>
      <c r="CJ43" s="148"/>
      <c r="CK43" s="148"/>
      <c r="CL43" s="148"/>
      <c r="CM43" s="148"/>
      <c r="CN43" s="148"/>
      <c r="CO43" s="148"/>
      <c r="CP43" s="148"/>
      <c r="CQ43" s="148"/>
      <c r="CR43" s="148"/>
      <c r="CS43" s="148"/>
      <c r="CT43" s="148"/>
      <c r="CU43" s="148"/>
      <c r="CV43" s="148"/>
      <c r="CW43" s="148"/>
      <c r="CX43" s="148"/>
      <c r="CY43" s="148"/>
      <c r="CZ43" s="148"/>
      <c r="DA43" s="148"/>
      <c r="DB43" s="148"/>
      <c r="DC43" s="148"/>
      <c r="DD43" s="148"/>
      <c r="DE43" s="148"/>
      <c r="DF43" s="148"/>
      <c r="DG43" s="148"/>
      <c r="DH43" s="148"/>
      <c r="DI43" s="148"/>
      <c r="DJ43" s="148"/>
      <c r="DK43" s="148"/>
      <c r="DL43" s="148"/>
      <c r="DM43" s="148"/>
      <c r="DN43" s="148"/>
      <c r="DO43" s="148"/>
      <c r="DP43" s="148"/>
      <c r="DQ43" s="148"/>
      <c r="DR43" s="148"/>
      <c r="DS43" s="148"/>
      <c r="DT43" s="148"/>
      <c r="DU43" s="148"/>
      <c r="DV43" s="148"/>
      <c r="DW43" s="148"/>
      <c r="DX43" s="148"/>
      <c r="DY43" s="148"/>
      <c r="DZ43" s="148"/>
      <c r="EA43" s="148"/>
    </row>
    <row r="44" spans="1:131" s="15" customFormat="1" x14ac:dyDescent="0.2">
      <c r="A44" s="148"/>
      <c r="B44" s="350">
        <f t="shared" si="4"/>
        <v>33</v>
      </c>
      <c r="C44" s="327" t="s">
        <v>38</v>
      </c>
      <c r="D44" s="363">
        <v>30486617</v>
      </c>
      <c r="E44" s="330" t="s">
        <v>1911</v>
      </c>
      <c r="F44" s="353" t="s">
        <v>200</v>
      </c>
      <c r="G44" s="354" t="s">
        <v>1870</v>
      </c>
      <c r="H44" s="332" t="s">
        <v>1878</v>
      </c>
      <c r="I44" s="382" t="s">
        <v>43</v>
      </c>
      <c r="J44" s="388">
        <v>775480</v>
      </c>
      <c r="K44" s="361">
        <v>5661</v>
      </c>
      <c r="L44" s="361">
        <v>76159</v>
      </c>
      <c r="M44" s="57">
        <v>0</v>
      </c>
      <c r="N44" s="18">
        <v>0</v>
      </c>
      <c r="O44" s="18">
        <v>0</v>
      </c>
      <c r="P44" s="18"/>
      <c r="Q44" s="18">
        <v>93690</v>
      </c>
      <c r="R44" s="18">
        <v>100632</v>
      </c>
      <c r="S44" s="57">
        <f t="shared" si="3"/>
        <v>194322</v>
      </c>
      <c r="T44" s="371">
        <v>692922</v>
      </c>
      <c r="U44" s="19">
        <v>1</v>
      </c>
      <c r="V44" s="23">
        <v>44218</v>
      </c>
      <c r="W44" s="23">
        <v>44246</v>
      </c>
      <c r="X44" s="57"/>
      <c r="Y44" s="20"/>
      <c r="Z44" s="21"/>
      <c r="AA44" s="315"/>
      <c r="AB44" s="348"/>
      <c r="AC44" s="338"/>
      <c r="AD44" s="362"/>
      <c r="AE44" s="315"/>
      <c r="AF44" s="319"/>
      <c r="AG44" s="19"/>
      <c r="AH44" s="21"/>
      <c r="AI44" s="23"/>
      <c r="AJ44" s="309"/>
      <c r="AK44" s="19"/>
      <c r="AL44" s="21"/>
      <c r="AM44" s="25"/>
      <c r="AN44" s="356">
        <f t="shared" si="1"/>
        <v>692922</v>
      </c>
      <c r="AO44" s="341">
        <f t="shared" si="5"/>
        <v>498600</v>
      </c>
      <c r="AP44" s="148"/>
      <c r="AQ44" s="148"/>
      <c r="AR44" s="148"/>
      <c r="AS44" s="148"/>
      <c r="AT44" s="148"/>
      <c r="AU44" s="148"/>
      <c r="AV44" s="148"/>
      <c r="AW44" s="148"/>
      <c r="AX44" s="148"/>
      <c r="AY44" s="148"/>
      <c r="AZ44" s="148"/>
      <c r="BA44" s="148"/>
      <c r="BB44" s="148"/>
      <c r="BC44" s="148"/>
      <c r="BD44" s="148"/>
      <c r="BE44" s="148"/>
      <c r="BF44" s="148"/>
      <c r="BG44" s="148"/>
      <c r="BH44" s="148"/>
      <c r="BI44" s="148"/>
      <c r="BJ44" s="148"/>
      <c r="BK44" s="148"/>
      <c r="BL44" s="148"/>
      <c r="BM44" s="148"/>
      <c r="BN44" s="148"/>
      <c r="BO44" s="148"/>
      <c r="BP44" s="148"/>
      <c r="BQ44" s="148"/>
      <c r="BR44" s="148"/>
      <c r="BS44" s="148"/>
      <c r="BT44" s="148"/>
      <c r="BU44" s="148"/>
      <c r="BV44" s="148"/>
      <c r="BW44" s="148"/>
      <c r="BX44" s="148"/>
      <c r="BY44" s="148"/>
      <c r="BZ44" s="148"/>
      <c r="CA44" s="148"/>
      <c r="CB44" s="148"/>
      <c r="CC44" s="148"/>
      <c r="CD44" s="148"/>
      <c r="CE44" s="148"/>
      <c r="CF44" s="148"/>
      <c r="CG44" s="148"/>
      <c r="CH44" s="148"/>
      <c r="CI44" s="148"/>
      <c r="CJ44" s="148"/>
      <c r="CK44" s="148"/>
      <c r="CL44" s="148"/>
      <c r="CM44" s="148"/>
      <c r="CN44" s="148"/>
      <c r="CO44" s="148"/>
      <c r="CP44" s="148"/>
      <c r="CQ44" s="148"/>
      <c r="CR44" s="148"/>
      <c r="CS44" s="148"/>
      <c r="CT44" s="148"/>
      <c r="CU44" s="148"/>
      <c r="CV44" s="148"/>
      <c r="CW44" s="148"/>
      <c r="CX44" s="148"/>
      <c r="CY44" s="148"/>
      <c r="CZ44" s="148"/>
      <c r="DA44" s="148"/>
      <c r="DB44" s="148"/>
      <c r="DC44" s="148"/>
      <c r="DD44" s="148"/>
      <c r="DE44" s="148"/>
      <c r="DF44" s="148"/>
      <c r="DG44" s="148"/>
      <c r="DH44" s="148"/>
      <c r="DI44" s="148"/>
      <c r="DJ44" s="148"/>
      <c r="DK44" s="148"/>
      <c r="DL44" s="148"/>
      <c r="DM44" s="148"/>
      <c r="DN44" s="148"/>
      <c r="DO44" s="148"/>
      <c r="DP44" s="148"/>
      <c r="DQ44" s="148"/>
      <c r="DR44" s="148"/>
      <c r="DS44" s="148"/>
      <c r="DT44" s="148"/>
      <c r="DU44" s="148"/>
      <c r="DV44" s="148"/>
      <c r="DW44" s="148"/>
      <c r="DX44" s="148"/>
      <c r="DY44" s="148"/>
      <c r="DZ44" s="148"/>
      <c r="EA44" s="148"/>
    </row>
    <row r="45" spans="1:131" s="15" customFormat="1" x14ac:dyDescent="0.2">
      <c r="A45" s="148"/>
      <c r="B45" s="350">
        <f t="shared" si="4"/>
        <v>34</v>
      </c>
      <c r="C45" s="327" t="s">
        <v>38</v>
      </c>
      <c r="D45" s="357">
        <v>40000471</v>
      </c>
      <c r="E45" s="358" t="s">
        <v>1912</v>
      </c>
      <c r="F45" s="366" t="s">
        <v>200</v>
      </c>
      <c r="G45" s="360" t="s">
        <v>1870</v>
      </c>
      <c r="H45" s="343" t="s">
        <v>1884</v>
      </c>
      <c r="I45" s="346" t="s">
        <v>43</v>
      </c>
      <c r="J45" s="381">
        <v>423385</v>
      </c>
      <c r="K45" s="361">
        <v>0</v>
      </c>
      <c r="L45" s="361">
        <v>0</v>
      </c>
      <c r="M45" s="57">
        <v>0</v>
      </c>
      <c r="N45" s="18">
        <v>0</v>
      </c>
      <c r="O45" s="18">
        <v>0</v>
      </c>
      <c r="P45" s="18"/>
      <c r="Q45" s="18"/>
      <c r="R45" s="18"/>
      <c r="S45" s="57">
        <f t="shared" si="3"/>
        <v>0</v>
      </c>
      <c r="T45" s="347">
        <v>403578</v>
      </c>
      <c r="U45" s="19">
        <v>1</v>
      </c>
      <c r="V45" s="23">
        <v>44218</v>
      </c>
      <c r="W45" s="23">
        <v>44246</v>
      </c>
      <c r="X45" s="57"/>
      <c r="Y45" s="20"/>
      <c r="Z45" s="21"/>
      <c r="AA45" s="315"/>
      <c r="AB45" s="348"/>
      <c r="AC45" s="338"/>
      <c r="AD45" s="362"/>
      <c r="AE45" s="315"/>
      <c r="AF45" s="319"/>
      <c r="AG45" s="19"/>
      <c r="AH45" s="21"/>
      <c r="AI45" s="23"/>
      <c r="AJ45" s="309"/>
      <c r="AK45" s="19"/>
      <c r="AL45" s="21"/>
      <c r="AM45" s="25"/>
      <c r="AN45" s="356">
        <f t="shared" si="1"/>
        <v>403578</v>
      </c>
      <c r="AO45" s="341">
        <f t="shared" si="5"/>
        <v>403578</v>
      </c>
      <c r="AP45" s="148"/>
      <c r="AQ45" s="148"/>
      <c r="AR45" s="148"/>
      <c r="AS45" s="148"/>
      <c r="AT45" s="148"/>
      <c r="AU45" s="148"/>
      <c r="AV45" s="148"/>
      <c r="AW45" s="148"/>
      <c r="AX45" s="148"/>
      <c r="AY45" s="148"/>
      <c r="AZ45" s="148"/>
      <c r="BA45" s="148"/>
      <c r="BB45" s="148"/>
      <c r="BC45" s="148"/>
      <c r="BD45" s="148"/>
      <c r="BE45" s="148"/>
      <c r="BF45" s="148"/>
      <c r="BG45" s="148"/>
      <c r="BH45" s="148"/>
      <c r="BI45" s="148"/>
      <c r="BJ45" s="148"/>
      <c r="BK45" s="148"/>
      <c r="BL45" s="148"/>
      <c r="BM45" s="148"/>
      <c r="BN45" s="148"/>
      <c r="BO45" s="148"/>
      <c r="BP45" s="148"/>
      <c r="BQ45" s="148"/>
      <c r="BR45" s="148"/>
      <c r="BS45" s="148"/>
      <c r="BT45" s="148"/>
      <c r="BU45" s="148"/>
      <c r="BV45" s="148"/>
      <c r="BW45" s="148"/>
      <c r="BX45" s="148"/>
      <c r="BY45" s="148"/>
      <c r="BZ45" s="148"/>
      <c r="CA45" s="148"/>
      <c r="CB45" s="148"/>
      <c r="CC45" s="148"/>
      <c r="CD45" s="148"/>
      <c r="CE45" s="148"/>
      <c r="CF45" s="148"/>
      <c r="CG45" s="148"/>
      <c r="CH45" s="148"/>
      <c r="CI45" s="148"/>
      <c r="CJ45" s="148"/>
      <c r="CK45" s="148"/>
      <c r="CL45" s="148"/>
      <c r="CM45" s="148"/>
      <c r="CN45" s="148"/>
      <c r="CO45" s="148"/>
      <c r="CP45" s="148"/>
      <c r="CQ45" s="148"/>
      <c r="CR45" s="148"/>
      <c r="CS45" s="148"/>
      <c r="CT45" s="148"/>
      <c r="CU45" s="148"/>
      <c r="CV45" s="148"/>
      <c r="CW45" s="148"/>
      <c r="CX45" s="148"/>
      <c r="CY45" s="148"/>
      <c r="CZ45" s="148"/>
      <c r="DA45" s="148"/>
      <c r="DB45" s="148"/>
      <c r="DC45" s="148"/>
      <c r="DD45" s="148"/>
      <c r="DE45" s="148"/>
      <c r="DF45" s="148"/>
      <c r="DG45" s="148"/>
      <c r="DH45" s="148"/>
      <c r="DI45" s="148"/>
      <c r="DJ45" s="148"/>
      <c r="DK45" s="148"/>
      <c r="DL45" s="148"/>
      <c r="DM45" s="148"/>
      <c r="DN45" s="148"/>
      <c r="DO45" s="148"/>
      <c r="DP45" s="148"/>
      <c r="DQ45" s="148"/>
      <c r="DR45" s="148"/>
      <c r="DS45" s="148"/>
      <c r="DT45" s="148"/>
      <c r="DU45" s="148"/>
      <c r="DV45" s="148"/>
      <c r="DW45" s="148"/>
      <c r="DX45" s="148"/>
      <c r="DY45" s="148"/>
      <c r="DZ45" s="148"/>
      <c r="EA45" s="148"/>
    </row>
    <row r="46" spans="1:131" s="15" customFormat="1" x14ac:dyDescent="0.2">
      <c r="A46" s="148"/>
      <c r="B46" s="350">
        <f t="shared" si="4"/>
        <v>35</v>
      </c>
      <c r="C46" s="394" t="s">
        <v>38</v>
      </c>
      <c r="D46" s="363">
        <v>40000771</v>
      </c>
      <c r="E46" s="330" t="s">
        <v>1913</v>
      </c>
      <c r="F46" s="353" t="s">
        <v>200</v>
      </c>
      <c r="G46" s="354" t="s">
        <v>1870</v>
      </c>
      <c r="H46" s="332" t="s">
        <v>1884</v>
      </c>
      <c r="I46" s="382" t="s">
        <v>43</v>
      </c>
      <c r="J46" s="334">
        <v>149573</v>
      </c>
      <c r="K46" s="361">
        <v>0</v>
      </c>
      <c r="L46" s="361">
        <v>18550</v>
      </c>
      <c r="M46" s="57">
        <v>0</v>
      </c>
      <c r="N46" s="18">
        <v>0</v>
      </c>
      <c r="O46" s="18">
        <v>0</v>
      </c>
      <c r="P46" s="18"/>
      <c r="Q46" s="18"/>
      <c r="R46" s="18"/>
      <c r="S46" s="57">
        <f t="shared" ref="S46:S89" si="6">SUM(M46:R46)</f>
        <v>0</v>
      </c>
      <c r="T46" s="337">
        <v>131023</v>
      </c>
      <c r="U46" s="19">
        <v>1</v>
      </c>
      <c r="V46" s="23">
        <v>44218</v>
      </c>
      <c r="W46" s="23">
        <v>44246</v>
      </c>
      <c r="X46" s="57"/>
      <c r="Y46" s="20"/>
      <c r="Z46" s="21"/>
      <c r="AA46" s="315"/>
      <c r="AB46" s="348"/>
      <c r="AC46" s="338"/>
      <c r="AD46" s="362"/>
      <c r="AE46" s="315"/>
      <c r="AF46" s="319"/>
      <c r="AG46" s="19"/>
      <c r="AH46" s="21"/>
      <c r="AI46" s="23"/>
      <c r="AJ46" s="309"/>
      <c r="AK46" s="19"/>
      <c r="AL46" s="21"/>
      <c r="AM46" s="25"/>
      <c r="AN46" s="356">
        <f t="shared" si="1"/>
        <v>131023</v>
      </c>
      <c r="AO46" s="341">
        <f t="shared" si="5"/>
        <v>131023</v>
      </c>
      <c r="AP46" s="148"/>
      <c r="AQ46" s="148"/>
      <c r="AR46" s="148"/>
      <c r="AS46" s="148"/>
      <c r="AT46" s="148"/>
      <c r="AU46" s="148"/>
      <c r="AV46" s="148"/>
      <c r="AW46" s="148"/>
      <c r="AX46" s="148"/>
      <c r="AY46" s="148"/>
      <c r="AZ46" s="148"/>
      <c r="BA46" s="148"/>
      <c r="BB46" s="148"/>
      <c r="BC46" s="148"/>
      <c r="BD46" s="148"/>
      <c r="BE46" s="148"/>
      <c r="BF46" s="148"/>
      <c r="BG46" s="148"/>
      <c r="BH46" s="148"/>
      <c r="BI46" s="148"/>
      <c r="BJ46" s="148"/>
      <c r="BK46" s="148"/>
      <c r="BL46" s="148"/>
      <c r="BM46" s="148"/>
      <c r="BN46" s="148"/>
      <c r="BO46" s="148"/>
      <c r="BP46" s="148"/>
      <c r="BQ46" s="148"/>
      <c r="BR46" s="148"/>
      <c r="BS46" s="148"/>
      <c r="BT46" s="148"/>
      <c r="BU46" s="148"/>
      <c r="BV46" s="148"/>
      <c r="BW46" s="148"/>
      <c r="BX46" s="148"/>
      <c r="BY46" s="148"/>
      <c r="BZ46" s="148"/>
      <c r="CA46" s="148"/>
      <c r="CB46" s="148"/>
      <c r="CC46" s="148"/>
      <c r="CD46" s="148"/>
      <c r="CE46" s="148"/>
      <c r="CF46" s="148"/>
      <c r="CG46" s="148"/>
      <c r="CH46" s="148"/>
      <c r="CI46" s="148"/>
      <c r="CJ46" s="148"/>
      <c r="CK46" s="148"/>
      <c r="CL46" s="148"/>
      <c r="CM46" s="148"/>
      <c r="CN46" s="148"/>
      <c r="CO46" s="148"/>
      <c r="CP46" s="148"/>
      <c r="CQ46" s="148"/>
      <c r="CR46" s="148"/>
      <c r="CS46" s="148"/>
      <c r="CT46" s="148"/>
      <c r="CU46" s="148"/>
      <c r="CV46" s="148"/>
      <c r="CW46" s="148"/>
      <c r="CX46" s="148"/>
      <c r="CY46" s="148"/>
      <c r="CZ46" s="148"/>
      <c r="DA46" s="148"/>
      <c r="DB46" s="148"/>
      <c r="DC46" s="148"/>
      <c r="DD46" s="148"/>
      <c r="DE46" s="148"/>
      <c r="DF46" s="148"/>
      <c r="DG46" s="148"/>
      <c r="DH46" s="148"/>
      <c r="DI46" s="148"/>
      <c r="DJ46" s="148"/>
      <c r="DK46" s="148"/>
      <c r="DL46" s="148"/>
      <c r="DM46" s="148"/>
      <c r="DN46" s="148"/>
      <c r="DO46" s="148"/>
      <c r="DP46" s="148"/>
      <c r="DQ46" s="148"/>
      <c r="DR46" s="148"/>
      <c r="DS46" s="148"/>
      <c r="DT46" s="148"/>
      <c r="DU46" s="148"/>
      <c r="DV46" s="148"/>
      <c r="DW46" s="148"/>
      <c r="DX46" s="148"/>
      <c r="DY46" s="148"/>
      <c r="DZ46" s="148"/>
      <c r="EA46" s="148"/>
    </row>
    <row r="47" spans="1:131" s="15" customFormat="1" x14ac:dyDescent="0.2">
      <c r="A47" s="148"/>
      <c r="B47" s="350">
        <f t="shared" si="4"/>
        <v>36</v>
      </c>
      <c r="C47" s="373" t="s">
        <v>38</v>
      </c>
      <c r="D47" s="395">
        <v>40001061</v>
      </c>
      <c r="E47" s="396" t="s">
        <v>1914</v>
      </c>
      <c r="F47" s="359" t="s">
        <v>1915</v>
      </c>
      <c r="G47" s="360" t="s">
        <v>1870</v>
      </c>
      <c r="H47" s="397" t="s">
        <v>1891</v>
      </c>
      <c r="I47" s="346" t="s">
        <v>43</v>
      </c>
      <c r="J47" s="398">
        <v>881379</v>
      </c>
      <c r="K47" s="361">
        <v>0</v>
      </c>
      <c r="L47" s="361">
        <v>19318</v>
      </c>
      <c r="M47" s="57">
        <v>0</v>
      </c>
      <c r="N47" s="18">
        <v>0</v>
      </c>
      <c r="O47" s="18">
        <v>0</v>
      </c>
      <c r="P47" s="18"/>
      <c r="Q47" s="18"/>
      <c r="R47" s="18"/>
      <c r="S47" s="57">
        <f t="shared" si="6"/>
        <v>0</v>
      </c>
      <c r="T47" s="349">
        <v>858672</v>
      </c>
      <c r="U47" s="19">
        <v>1</v>
      </c>
      <c r="V47" s="23">
        <v>44218</v>
      </c>
      <c r="W47" s="23">
        <v>44246</v>
      </c>
      <c r="X47" s="57"/>
      <c r="Y47" s="20"/>
      <c r="Z47" s="21"/>
      <c r="AA47" s="315"/>
      <c r="AB47" s="348"/>
      <c r="AC47" s="338"/>
      <c r="AD47" s="362"/>
      <c r="AE47" s="315"/>
      <c r="AF47" s="319"/>
      <c r="AG47" s="19"/>
      <c r="AH47" s="21"/>
      <c r="AI47" s="23"/>
      <c r="AJ47" s="309"/>
      <c r="AK47" s="19"/>
      <c r="AL47" s="21"/>
      <c r="AM47" s="25"/>
      <c r="AN47" s="356">
        <f t="shared" si="1"/>
        <v>858672</v>
      </c>
      <c r="AO47" s="341">
        <f t="shared" si="5"/>
        <v>858672</v>
      </c>
      <c r="AP47" s="148"/>
      <c r="AQ47" s="148"/>
      <c r="AR47" s="148"/>
      <c r="AS47" s="148"/>
      <c r="AT47" s="148"/>
      <c r="AU47" s="148"/>
      <c r="AV47" s="148"/>
      <c r="AW47" s="148"/>
      <c r="AX47" s="148"/>
      <c r="AY47" s="148"/>
      <c r="AZ47" s="148"/>
      <c r="BA47" s="148"/>
      <c r="BB47" s="148"/>
      <c r="BC47" s="148"/>
      <c r="BD47" s="148"/>
      <c r="BE47" s="148"/>
      <c r="BF47" s="148"/>
      <c r="BG47" s="148"/>
      <c r="BH47" s="148"/>
      <c r="BI47" s="148"/>
      <c r="BJ47" s="148"/>
      <c r="BK47" s="148"/>
      <c r="BL47" s="148"/>
      <c r="BM47" s="148"/>
      <c r="BN47" s="148"/>
      <c r="BO47" s="148"/>
      <c r="BP47" s="148"/>
      <c r="BQ47" s="148"/>
      <c r="BR47" s="148"/>
      <c r="BS47" s="148"/>
      <c r="BT47" s="148"/>
      <c r="BU47" s="148"/>
      <c r="BV47" s="148"/>
      <c r="BW47" s="148"/>
      <c r="BX47" s="148"/>
      <c r="BY47" s="148"/>
      <c r="BZ47" s="148"/>
      <c r="CA47" s="148"/>
      <c r="CB47" s="148"/>
      <c r="CC47" s="148"/>
      <c r="CD47" s="148"/>
      <c r="CE47" s="148"/>
      <c r="CF47" s="148"/>
      <c r="CG47" s="148"/>
      <c r="CH47" s="148"/>
      <c r="CI47" s="148"/>
      <c r="CJ47" s="148"/>
      <c r="CK47" s="148"/>
      <c r="CL47" s="148"/>
      <c r="CM47" s="148"/>
      <c r="CN47" s="148"/>
      <c r="CO47" s="148"/>
      <c r="CP47" s="148"/>
      <c r="CQ47" s="148"/>
      <c r="CR47" s="148"/>
      <c r="CS47" s="148"/>
      <c r="CT47" s="148"/>
      <c r="CU47" s="148"/>
      <c r="CV47" s="148"/>
      <c r="CW47" s="148"/>
      <c r="CX47" s="148"/>
      <c r="CY47" s="148"/>
      <c r="CZ47" s="148"/>
      <c r="DA47" s="148"/>
      <c r="DB47" s="148"/>
      <c r="DC47" s="148"/>
      <c r="DD47" s="148"/>
      <c r="DE47" s="148"/>
      <c r="DF47" s="148"/>
      <c r="DG47" s="148"/>
      <c r="DH47" s="148"/>
      <c r="DI47" s="148"/>
      <c r="DJ47" s="148"/>
      <c r="DK47" s="148"/>
      <c r="DL47" s="148"/>
      <c r="DM47" s="148"/>
      <c r="DN47" s="148"/>
      <c r="DO47" s="148"/>
      <c r="DP47" s="148"/>
      <c r="DQ47" s="148"/>
      <c r="DR47" s="148"/>
      <c r="DS47" s="148"/>
      <c r="DT47" s="148"/>
      <c r="DU47" s="148"/>
      <c r="DV47" s="148"/>
      <c r="DW47" s="148"/>
      <c r="DX47" s="148"/>
      <c r="DY47" s="148"/>
      <c r="DZ47" s="148"/>
      <c r="EA47" s="148"/>
    </row>
    <row r="48" spans="1:131" s="15" customFormat="1" x14ac:dyDescent="0.2">
      <c r="A48" s="148"/>
      <c r="B48" s="350">
        <f t="shared" si="4"/>
        <v>37</v>
      </c>
      <c r="C48" s="328" t="s">
        <v>40</v>
      </c>
      <c r="D48" s="342">
        <v>40004633</v>
      </c>
      <c r="E48" s="343" t="s">
        <v>1916</v>
      </c>
      <c r="F48" s="344" t="s">
        <v>1869</v>
      </c>
      <c r="G48" s="345" t="s">
        <v>1870</v>
      </c>
      <c r="H48" s="343" t="s">
        <v>1884</v>
      </c>
      <c r="I48" s="346" t="s">
        <v>42</v>
      </c>
      <c r="J48" s="347">
        <v>140350</v>
      </c>
      <c r="K48" s="348">
        <v>0</v>
      </c>
      <c r="L48" s="335">
        <v>0</v>
      </c>
      <c r="M48" s="57">
        <v>0</v>
      </c>
      <c r="N48" s="57">
        <v>0</v>
      </c>
      <c r="O48" s="57">
        <v>0</v>
      </c>
      <c r="P48" s="57"/>
      <c r="Q48" s="57"/>
      <c r="R48" s="399"/>
      <c r="S48" s="57">
        <f t="shared" ref="S48" si="7">SUM(M48:R48)</f>
        <v>0</v>
      </c>
      <c r="T48" s="367">
        <v>140350</v>
      </c>
      <c r="U48" s="338">
        <v>1</v>
      </c>
      <c r="V48" s="315">
        <v>44218</v>
      </c>
      <c r="W48" s="315">
        <v>44246</v>
      </c>
      <c r="X48" s="57">
        <v>-140350</v>
      </c>
      <c r="Y48" s="314">
        <v>10</v>
      </c>
      <c r="Z48" s="315">
        <v>44252</v>
      </c>
      <c r="AA48" s="315">
        <v>44277</v>
      </c>
      <c r="AB48" s="348"/>
      <c r="AC48" s="338"/>
      <c r="AD48" s="362"/>
      <c r="AE48" s="315"/>
      <c r="AF48" s="319"/>
      <c r="AG48" s="19"/>
      <c r="AH48" s="21"/>
      <c r="AI48" s="23"/>
      <c r="AJ48" s="309"/>
      <c r="AK48" s="19"/>
      <c r="AL48" s="21"/>
      <c r="AM48" s="25"/>
      <c r="AN48" s="356">
        <f t="shared" si="1"/>
        <v>0</v>
      </c>
      <c r="AO48" s="341">
        <f t="shared" si="5"/>
        <v>0</v>
      </c>
      <c r="AP48" s="148"/>
      <c r="AQ48" s="148"/>
      <c r="AR48" s="148"/>
      <c r="AS48" s="148"/>
      <c r="AT48" s="148"/>
      <c r="AU48" s="148"/>
      <c r="AV48" s="148"/>
      <c r="AW48" s="148"/>
      <c r="AX48" s="148"/>
      <c r="AY48" s="148"/>
      <c r="AZ48" s="148"/>
      <c r="BA48" s="148"/>
      <c r="BB48" s="148"/>
      <c r="BC48" s="148"/>
      <c r="BD48" s="148"/>
      <c r="BE48" s="148"/>
      <c r="BF48" s="148"/>
      <c r="BG48" s="148"/>
      <c r="BH48" s="148"/>
      <c r="BI48" s="148"/>
      <c r="BJ48" s="148"/>
      <c r="BK48" s="148"/>
      <c r="BL48" s="148"/>
      <c r="BM48" s="148"/>
      <c r="BN48" s="148"/>
      <c r="BO48" s="148"/>
      <c r="BP48" s="148"/>
      <c r="BQ48" s="148"/>
      <c r="BR48" s="148"/>
      <c r="BS48" s="148"/>
      <c r="BT48" s="148"/>
      <c r="BU48" s="148"/>
      <c r="BV48" s="148"/>
      <c r="BW48" s="148"/>
      <c r="BX48" s="148"/>
      <c r="BY48" s="148"/>
      <c r="BZ48" s="148"/>
      <c r="CA48" s="148"/>
      <c r="CB48" s="148"/>
      <c r="CC48" s="148"/>
      <c r="CD48" s="148"/>
      <c r="CE48" s="148"/>
      <c r="CF48" s="148"/>
      <c r="CG48" s="148"/>
      <c r="CH48" s="148"/>
      <c r="CI48" s="148"/>
      <c r="CJ48" s="148"/>
      <c r="CK48" s="148"/>
      <c r="CL48" s="148"/>
      <c r="CM48" s="148"/>
      <c r="CN48" s="148"/>
      <c r="CO48" s="148"/>
      <c r="CP48" s="148"/>
      <c r="CQ48" s="148"/>
      <c r="CR48" s="148"/>
      <c r="CS48" s="148"/>
      <c r="CT48" s="148"/>
      <c r="CU48" s="148"/>
      <c r="CV48" s="148"/>
      <c r="CW48" s="148"/>
      <c r="CX48" s="148"/>
      <c r="CY48" s="148"/>
      <c r="CZ48" s="148"/>
      <c r="DA48" s="148"/>
      <c r="DB48" s="148"/>
      <c r="DC48" s="148"/>
      <c r="DD48" s="148"/>
      <c r="DE48" s="148"/>
      <c r="DF48" s="148"/>
      <c r="DG48" s="148"/>
      <c r="DH48" s="148"/>
      <c r="DI48" s="148"/>
      <c r="DJ48" s="148"/>
      <c r="DK48" s="148"/>
      <c r="DL48" s="148"/>
      <c r="DM48" s="148"/>
      <c r="DN48" s="148"/>
      <c r="DO48" s="148"/>
      <c r="DP48" s="148"/>
      <c r="DQ48" s="148"/>
      <c r="DR48" s="148"/>
      <c r="DS48" s="148"/>
      <c r="DT48" s="148"/>
      <c r="DU48" s="148"/>
      <c r="DV48" s="148"/>
      <c r="DW48" s="148"/>
      <c r="DX48" s="148"/>
      <c r="DY48" s="148"/>
      <c r="DZ48" s="148"/>
      <c r="EA48" s="148"/>
    </row>
    <row r="49" spans="1:131" s="15" customFormat="1" x14ac:dyDescent="0.2">
      <c r="A49" s="148"/>
      <c r="B49" s="350">
        <f t="shared" si="4"/>
        <v>38</v>
      </c>
      <c r="C49" s="351" t="s">
        <v>38</v>
      </c>
      <c r="D49" s="363">
        <v>40006757</v>
      </c>
      <c r="E49" s="330" t="s">
        <v>1917</v>
      </c>
      <c r="F49" s="364" t="s">
        <v>204</v>
      </c>
      <c r="G49" s="354" t="s">
        <v>1870</v>
      </c>
      <c r="H49" s="332" t="s">
        <v>1896</v>
      </c>
      <c r="I49" s="382" t="s">
        <v>43</v>
      </c>
      <c r="J49" s="334">
        <v>188388</v>
      </c>
      <c r="K49" s="361">
        <v>0</v>
      </c>
      <c r="L49" s="361">
        <v>2</v>
      </c>
      <c r="M49" s="57">
        <v>0</v>
      </c>
      <c r="N49" s="18">
        <v>0</v>
      </c>
      <c r="O49" s="18">
        <v>0</v>
      </c>
      <c r="P49" s="18"/>
      <c r="Q49" s="18">
        <v>50275</v>
      </c>
      <c r="R49" s="18"/>
      <c r="S49" s="57">
        <f t="shared" si="6"/>
        <v>50275</v>
      </c>
      <c r="T49" s="371">
        <v>177904</v>
      </c>
      <c r="U49" s="19">
        <v>1</v>
      </c>
      <c r="V49" s="23">
        <v>44218</v>
      </c>
      <c r="W49" s="23">
        <v>44246</v>
      </c>
      <c r="X49" s="57"/>
      <c r="Y49" s="20"/>
      <c r="Z49" s="21"/>
      <c r="AA49" s="315"/>
      <c r="AB49" s="348"/>
      <c r="AC49" s="338"/>
      <c r="AD49" s="362"/>
      <c r="AE49" s="315"/>
      <c r="AF49" s="319"/>
      <c r="AG49" s="19"/>
      <c r="AH49" s="21"/>
      <c r="AI49" s="23"/>
      <c r="AJ49" s="309"/>
      <c r="AK49" s="19"/>
      <c r="AL49" s="21"/>
      <c r="AM49" s="25"/>
      <c r="AN49" s="356">
        <f t="shared" si="1"/>
        <v>177904</v>
      </c>
      <c r="AO49" s="341">
        <f t="shared" si="5"/>
        <v>127629</v>
      </c>
      <c r="AP49" s="148"/>
      <c r="AQ49" s="148"/>
      <c r="AR49" s="148"/>
      <c r="AS49" s="148"/>
      <c r="AT49" s="148"/>
      <c r="AU49" s="148"/>
      <c r="AV49" s="148"/>
      <c r="AW49" s="148"/>
      <c r="AX49" s="148"/>
      <c r="AY49" s="148"/>
      <c r="AZ49" s="148"/>
      <c r="BA49" s="148"/>
      <c r="BB49" s="148"/>
      <c r="BC49" s="148"/>
      <c r="BD49" s="148"/>
      <c r="BE49" s="148"/>
      <c r="BF49" s="148"/>
      <c r="BG49" s="148"/>
      <c r="BH49" s="148"/>
      <c r="BI49" s="148"/>
      <c r="BJ49" s="148"/>
      <c r="BK49" s="148"/>
      <c r="BL49" s="148"/>
      <c r="BM49" s="148"/>
      <c r="BN49" s="148"/>
      <c r="BO49" s="148"/>
      <c r="BP49" s="148"/>
      <c r="BQ49" s="148"/>
      <c r="BR49" s="148"/>
      <c r="BS49" s="148"/>
      <c r="BT49" s="148"/>
      <c r="BU49" s="148"/>
      <c r="BV49" s="148"/>
      <c r="BW49" s="148"/>
      <c r="BX49" s="148"/>
      <c r="BY49" s="148"/>
      <c r="BZ49" s="148"/>
      <c r="CA49" s="148"/>
      <c r="CB49" s="148"/>
      <c r="CC49" s="148"/>
      <c r="CD49" s="148"/>
      <c r="CE49" s="148"/>
      <c r="CF49" s="148"/>
      <c r="CG49" s="148"/>
      <c r="CH49" s="148"/>
      <c r="CI49" s="148"/>
      <c r="CJ49" s="148"/>
      <c r="CK49" s="148"/>
      <c r="CL49" s="148"/>
      <c r="CM49" s="148"/>
      <c r="CN49" s="148"/>
      <c r="CO49" s="148"/>
      <c r="CP49" s="148"/>
      <c r="CQ49" s="148"/>
      <c r="CR49" s="148"/>
      <c r="CS49" s="148"/>
      <c r="CT49" s="148"/>
      <c r="CU49" s="148"/>
      <c r="CV49" s="148"/>
      <c r="CW49" s="148"/>
      <c r="CX49" s="148"/>
      <c r="CY49" s="148"/>
      <c r="CZ49" s="148"/>
      <c r="DA49" s="148"/>
      <c r="DB49" s="148"/>
      <c r="DC49" s="148"/>
      <c r="DD49" s="148"/>
      <c r="DE49" s="148"/>
      <c r="DF49" s="148"/>
      <c r="DG49" s="148"/>
      <c r="DH49" s="148"/>
      <c r="DI49" s="148"/>
      <c r="DJ49" s="148"/>
      <c r="DK49" s="148"/>
      <c r="DL49" s="148"/>
      <c r="DM49" s="148"/>
      <c r="DN49" s="148"/>
      <c r="DO49" s="148"/>
      <c r="DP49" s="148"/>
      <c r="DQ49" s="148"/>
      <c r="DR49" s="148"/>
      <c r="DS49" s="148"/>
      <c r="DT49" s="148"/>
      <c r="DU49" s="148"/>
      <c r="DV49" s="148"/>
      <c r="DW49" s="148"/>
      <c r="DX49" s="148"/>
      <c r="DY49" s="148"/>
      <c r="DZ49" s="148"/>
      <c r="EA49" s="148"/>
    </row>
    <row r="50" spans="1:131" s="15" customFormat="1" x14ac:dyDescent="0.2">
      <c r="A50" s="148"/>
      <c r="B50" s="350">
        <f t="shared" si="4"/>
        <v>39</v>
      </c>
      <c r="C50" s="327" t="s">
        <v>38</v>
      </c>
      <c r="D50" s="357">
        <v>40009556</v>
      </c>
      <c r="E50" s="358" t="s">
        <v>1918</v>
      </c>
      <c r="F50" s="359" t="s">
        <v>1915</v>
      </c>
      <c r="G50" s="360" t="s">
        <v>1870</v>
      </c>
      <c r="H50" s="343" t="s">
        <v>1902</v>
      </c>
      <c r="I50" s="346" t="s">
        <v>43</v>
      </c>
      <c r="J50" s="385">
        <v>148332</v>
      </c>
      <c r="K50" s="361">
        <v>0</v>
      </c>
      <c r="L50" s="361">
        <v>1</v>
      </c>
      <c r="M50" s="57">
        <v>0</v>
      </c>
      <c r="N50" s="18">
        <v>0</v>
      </c>
      <c r="O50" s="18">
        <v>0</v>
      </c>
      <c r="P50" s="18"/>
      <c r="Q50" s="18"/>
      <c r="R50" s="18"/>
      <c r="S50" s="57">
        <f t="shared" si="6"/>
        <v>0</v>
      </c>
      <c r="T50" s="349">
        <v>141393</v>
      </c>
      <c r="U50" s="19">
        <v>1</v>
      </c>
      <c r="V50" s="23">
        <v>44218</v>
      </c>
      <c r="W50" s="23">
        <v>44246</v>
      </c>
      <c r="X50" s="57"/>
      <c r="Y50" s="20"/>
      <c r="Z50" s="21"/>
      <c r="AA50" s="315"/>
      <c r="AB50" s="348"/>
      <c r="AC50" s="338"/>
      <c r="AD50" s="362"/>
      <c r="AE50" s="315"/>
      <c r="AF50" s="319"/>
      <c r="AG50" s="19"/>
      <c r="AH50" s="21"/>
      <c r="AI50" s="23"/>
      <c r="AJ50" s="309"/>
      <c r="AK50" s="19"/>
      <c r="AL50" s="21"/>
      <c r="AM50" s="25"/>
      <c r="AN50" s="356">
        <f t="shared" si="1"/>
        <v>141393</v>
      </c>
      <c r="AO50" s="341">
        <f t="shared" si="5"/>
        <v>141393</v>
      </c>
      <c r="AP50" s="148"/>
      <c r="AQ50" s="148"/>
      <c r="AR50" s="148"/>
      <c r="AS50" s="148"/>
      <c r="AT50" s="148"/>
      <c r="AU50" s="148"/>
      <c r="AV50" s="148"/>
      <c r="AW50" s="148"/>
      <c r="AX50" s="148"/>
      <c r="AY50" s="148"/>
      <c r="AZ50" s="148"/>
      <c r="BA50" s="148"/>
      <c r="BB50" s="148"/>
      <c r="BC50" s="148"/>
      <c r="BD50" s="148"/>
      <c r="BE50" s="148"/>
      <c r="BF50" s="148"/>
      <c r="BG50" s="148"/>
      <c r="BH50" s="148"/>
      <c r="BI50" s="148"/>
      <c r="BJ50" s="148"/>
      <c r="BK50" s="148"/>
      <c r="BL50" s="148"/>
      <c r="BM50" s="148"/>
      <c r="BN50" s="148"/>
      <c r="BO50" s="148"/>
      <c r="BP50" s="148"/>
      <c r="BQ50" s="148"/>
      <c r="BR50" s="148"/>
      <c r="BS50" s="148"/>
      <c r="BT50" s="148"/>
      <c r="BU50" s="148"/>
      <c r="BV50" s="148"/>
      <c r="BW50" s="148"/>
      <c r="BX50" s="148"/>
      <c r="BY50" s="148"/>
      <c r="BZ50" s="148"/>
      <c r="CA50" s="148"/>
      <c r="CB50" s="148"/>
      <c r="CC50" s="148"/>
      <c r="CD50" s="148"/>
      <c r="CE50" s="148"/>
      <c r="CF50" s="148"/>
      <c r="CG50" s="148"/>
      <c r="CH50" s="148"/>
      <c r="CI50" s="148"/>
      <c r="CJ50" s="148"/>
      <c r="CK50" s="148"/>
      <c r="CL50" s="148"/>
      <c r="CM50" s="148"/>
      <c r="CN50" s="148"/>
      <c r="CO50" s="148"/>
      <c r="CP50" s="148"/>
      <c r="CQ50" s="148"/>
      <c r="CR50" s="148"/>
      <c r="CS50" s="148"/>
      <c r="CT50" s="148"/>
      <c r="CU50" s="148"/>
      <c r="CV50" s="148"/>
      <c r="CW50" s="148"/>
      <c r="CX50" s="148"/>
      <c r="CY50" s="148"/>
      <c r="CZ50" s="148"/>
      <c r="DA50" s="148"/>
      <c r="DB50" s="148"/>
      <c r="DC50" s="148"/>
      <c r="DD50" s="148"/>
      <c r="DE50" s="148"/>
      <c r="DF50" s="148"/>
      <c r="DG50" s="148"/>
      <c r="DH50" s="148"/>
      <c r="DI50" s="148"/>
      <c r="DJ50" s="148"/>
      <c r="DK50" s="148"/>
      <c r="DL50" s="148"/>
      <c r="DM50" s="148"/>
      <c r="DN50" s="148"/>
      <c r="DO50" s="148"/>
      <c r="DP50" s="148"/>
      <c r="DQ50" s="148"/>
      <c r="DR50" s="148"/>
      <c r="DS50" s="148"/>
      <c r="DT50" s="148"/>
      <c r="DU50" s="148"/>
      <c r="DV50" s="148"/>
      <c r="DW50" s="148"/>
      <c r="DX50" s="148"/>
      <c r="DY50" s="148"/>
      <c r="DZ50" s="148"/>
      <c r="EA50" s="148"/>
    </row>
    <row r="51" spans="1:131" s="15" customFormat="1" x14ac:dyDescent="0.2">
      <c r="A51" s="148"/>
      <c r="B51" s="350">
        <f t="shared" si="4"/>
        <v>40</v>
      </c>
      <c r="C51" s="327" t="s">
        <v>38</v>
      </c>
      <c r="D51" s="363">
        <v>40010007</v>
      </c>
      <c r="E51" s="330" t="s">
        <v>1919</v>
      </c>
      <c r="F51" s="353" t="s">
        <v>200</v>
      </c>
      <c r="G51" s="354" t="s">
        <v>1870</v>
      </c>
      <c r="H51" s="332" t="s">
        <v>1871</v>
      </c>
      <c r="I51" s="382" t="s">
        <v>42</v>
      </c>
      <c r="J51" s="388">
        <v>10552681</v>
      </c>
      <c r="K51" s="361">
        <v>3278484</v>
      </c>
      <c r="L51" s="361">
        <v>1</v>
      </c>
      <c r="M51" s="57">
        <v>0</v>
      </c>
      <c r="N51" s="18">
        <v>1253010</v>
      </c>
      <c r="O51" s="18">
        <v>1143762</v>
      </c>
      <c r="P51" s="18">
        <v>1336815</v>
      </c>
      <c r="Q51" s="18">
        <v>309233</v>
      </c>
      <c r="R51" s="18">
        <v>1096174</v>
      </c>
      <c r="S51" s="57">
        <f t="shared" si="6"/>
        <v>5138994</v>
      </c>
      <c r="T51" s="371">
        <v>6841384</v>
      </c>
      <c r="U51" s="19">
        <v>1</v>
      </c>
      <c r="V51" s="23">
        <v>44218</v>
      </c>
      <c r="W51" s="23">
        <v>44246</v>
      </c>
      <c r="X51" s="57">
        <v>691560</v>
      </c>
      <c r="Y51" s="20">
        <v>51</v>
      </c>
      <c r="Z51" s="23">
        <v>44334</v>
      </c>
      <c r="AA51" s="315">
        <v>44350</v>
      </c>
      <c r="AB51" s="348"/>
      <c r="AC51" s="338"/>
      <c r="AD51" s="362"/>
      <c r="AE51" s="315"/>
      <c r="AF51" s="319"/>
      <c r="AG51" s="19"/>
      <c r="AH51" s="21"/>
      <c r="AI51" s="23"/>
      <c r="AJ51" s="309"/>
      <c r="AK51" s="19"/>
      <c r="AL51" s="21"/>
      <c r="AM51" s="25"/>
      <c r="AN51" s="356">
        <f t="shared" si="1"/>
        <v>7532944</v>
      </c>
      <c r="AO51" s="341">
        <f t="shared" si="5"/>
        <v>2393950</v>
      </c>
      <c r="AP51" s="148"/>
      <c r="AQ51" s="148"/>
      <c r="AR51" s="148"/>
      <c r="AS51" s="148"/>
      <c r="AT51" s="148"/>
      <c r="AU51" s="148"/>
      <c r="AV51" s="148"/>
      <c r="AW51" s="148"/>
      <c r="AX51" s="148"/>
      <c r="AY51" s="148"/>
      <c r="AZ51" s="148"/>
      <c r="BA51" s="148"/>
      <c r="BB51" s="148"/>
      <c r="BC51" s="148"/>
      <c r="BD51" s="148"/>
      <c r="BE51" s="148"/>
      <c r="BF51" s="148"/>
      <c r="BG51" s="148"/>
      <c r="BH51" s="148"/>
      <c r="BI51" s="148"/>
      <c r="BJ51" s="148"/>
      <c r="BK51" s="148"/>
      <c r="BL51" s="148"/>
      <c r="BM51" s="148"/>
      <c r="BN51" s="148"/>
      <c r="BO51" s="148"/>
      <c r="BP51" s="148"/>
      <c r="BQ51" s="148"/>
      <c r="BR51" s="148"/>
      <c r="BS51" s="148"/>
      <c r="BT51" s="148"/>
      <c r="BU51" s="148"/>
      <c r="BV51" s="148"/>
      <c r="BW51" s="148"/>
      <c r="BX51" s="148"/>
      <c r="BY51" s="148"/>
      <c r="BZ51" s="148"/>
      <c r="CA51" s="148"/>
      <c r="CB51" s="148"/>
      <c r="CC51" s="148"/>
      <c r="CD51" s="148"/>
      <c r="CE51" s="148"/>
      <c r="CF51" s="148"/>
      <c r="CG51" s="148"/>
      <c r="CH51" s="148"/>
      <c r="CI51" s="148"/>
      <c r="CJ51" s="148"/>
      <c r="CK51" s="148"/>
      <c r="CL51" s="148"/>
      <c r="CM51" s="148"/>
      <c r="CN51" s="148"/>
      <c r="CO51" s="148"/>
      <c r="CP51" s="148"/>
      <c r="CQ51" s="148"/>
      <c r="CR51" s="148"/>
      <c r="CS51" s="148"/>
      <c r="CT51" s="148"/>
      <c r="CU51" s="148"/>
      <c r="CV51" s="148"/>
      <c r="CW51" s="148"/>
      <c r="CX51" s="148"/>
      <c r="CY51" s="148"/>
      <c r="CZ51" s="148"/>
      <c r="DA51" s="148"/>
      <c r="DB51" s="148"/>
      <c r="DC51" s="148"/>
      <c r="DD51" s="148"/>
      <c r="DE51" s="148"/>
      <c r="DF51" s="148"/>
      <c r="DG51" s="148"/>
      <c r="DH51" s="148"/>
      <c r="DI51" s="148"/>
      <c r="DJ51" s="148"/>
      <c r="DK51" s="148"/>
      <c r="DL51" s="148"/>
      <c r="DM51" s="148"/>
      <c r="DN51" s="148"/>
      <c r="DO51" s="148"/>
      <c r="DP51" s="148"/>
      <c r="DQ51" s="148"/>
      <c r="DR51" s="148"/>
      <c r="DS51" s="148"/>
      <c r="DT51" s="148"/>
      <c r="DU51" s="148"/>
      <c r="DV51" s="148"/>
      <c r="DW51" s="148"/>
      <c r="DX51" s="148"/>
      <c r="DY51" s="148"/>
      <c r="DZ51" s="148"/>
      <c r="EA51" s="148"/>
    </row>
    <row r="52" spans="1:131" s="15" customFormat="1" x14ac:dyDescent="0.2">
      <c r="A52" s="148"/>
      <c r="B52" s="350">
        <f t="shared" si="4"/>
        <v>41</v>
      </c>
      <c r="C52" s="327" t="s">
        <v>38</v>
      </c>
      <c r="D52" s="357">
        <v>40011384</v>
      </c>
      <c r="E52" s="358" t="s">
        <v>1920</v>
      </c>
      <c r="F52" s="366" t="s">
        <v>200</v>
      </c>
      <c r="G52" s="360" t="s">
        <v>1870</v>
      </c>
      <c r="H52" s="343" t="s">
        <v>1878</v>
      </c>
      <c r="I52" s="346" t="s">
        <v>43</v>
      </c>
      <c r="J52" s="381">
        <v>224219</v>
      </c>
      <c r="K52" s="361">
        <v>745</v>
      </c>
      <c r="L52" s="361">
        <v>0</v>
      </c>
      <c r="M52" s="57">
        <v>0</v>
      </c>
      <c r="N52" s="18">
        <v>37982</v>
      </c>
      <c r="O52" s="18">
        <v>0</v>
      </c>
      <c r="P52" s="18"/>
      <c r="Q52" s="18"/>
      <c r="R52" s="18"/>
      <c r="S52" s="57">
        <f t="shared" si="6"/>
        <v>37982</v>
      </c>
      <c r="T52" s="347">
        <v>189911</v>
      </c>
      <c r="U52" s="19">
        <v>1</v>
      </c>
      <c r="V52" s="23">
        <v>44218</v>
      </c>
      <c r="W52" s="23">
        <v>44246</v>
      </c>
      <c r="X52" s="57"/>
      <c r="Y52" s="20"/>
      <c r="Z52" s="21"/>
      <c r="AA52" s="315"/>
      <c r="AB52" s="348"/>
      <c r="AC52" s="338"/>
      <c r="AD52" s="362"/>
      <c r="AE52" s="315"/>
      <c r="AF52" s="319"/>
      <c r="AG52" s="19"/>
      <c r="AH52" s="21"/>
      <c r="AI52" s="23"/>
      <c r="AJ52" s="309"/>
      <c r="AK52" s="19"/>
      <c r="AL52" s="21"/>
      <c r="AM52" s="25"/>
      <c r="AN52" s="356">
        <f t="shared" si="1"/>
        <v>189911</v>
      </c>
      <c r="AO52" s="341">
        <f t="shared" si="5"/>
        <v>151929</v>
      </c>
      <c r="AP52" s="148"/>
      <c r="AQ52" s="148"/>
      <c r="AR52" s="148"/>
      <c r="AS52" s="148"/>
      <c r="AT52" s="148"/>
      <c r="AU52" s="148"/>
      <c r="AV52" s="148"/>
      <c r="AW52" s="148"/>
      <c r="AX52" s="148"/>
      <c r="AY52" s="148"/>
      <c r="AZ52" s="148"/>
      <c r="BA52" s="148"/>
      <c r="BB52" s="148"/>
      <c r="BC52" s="148"/>
      <c r="BD52" s="148"/>
      <c r="BE52" s="148"/>
      <c r="BF52" s="148"/>
      <c r="BG52" s="148"/>
      <c r="BH52" s="148"/>
      <c r="BI52" s="148"/>
      <c r="BJ52" s="148"/>
      <c r="BK52" s="148"/>
      <c r="BL52" s="148"/>
      <c r="BM52" s="148"/>
      <c r="BN52" s="148"/>
      <c r="BO52" s="148"/>
      <c r="BP52" s="148"/>
      <c r="BQ52" s="148"/>
      <c r="BR52" s="148"/>
      <c r="BS52" s="148"/>
      <c r="BT52" s="148"/>
      <c r="BU52" s="148"/>
      <c r="BV52" s="148"/>
      <c r="BW52" s="148"/>
      <c r="BX52" s="148"/>
      <c r="BY52" s="148"/>
      <c r="BZ52" s="148"/>
      <c r="CA52" s="148"/>
      <c r="CB52" s="148"/>
      <c r="CC52" s="148"/>
      <c r="CD52" s="148"/>
      <c r="CE52" s="148"/>
      <c r="CF52" s="148"/>
      <c r="CG52" s="148"/>
      <c r="CH52" s="148"/>
      <c r="CI52" s="148"/>
      <c r="CJ52" s="148"/>
      <c r="CK52" s="148"/>
      <c r="CL52" s="148"/>
      <c r="CM52" s="148"/>
      <c r="CN52" s="148"/>
      <c r="CO52" s="148"/>
      <c r="CP52" s="148"/>
      <c r="CQ52" s="148"/>
      <c r="CR52" s="148"/>
      <c r="CS52" s="148"/>
      <c r="CT52" s="148"/>
      <c r="CU52" s="148"/>
      <c r="CV52" s="148"/>
      <c r="CW52" s="148"/>
      <c r="CX52" s="148"/>
      <c r="CY52" s="148"/>
      <c r="CZ52" s="148"/>
      <c r="DA52" s="148"/>
      <c r="DB52" s="148"/>
      <c r="DC52" s="148"/>
      <c r="DD52" s="148"/>
      <c r="DE52" s="148"/>
      <c r="DF52" s="148"/>
      <c r="DG52" s="148"/>
      <c r="DH52" s="148"/>
      <c r="DI52" s="148"/>
      <c r="DJ52" s="148"/>
      <c r="DK52" s="148"/>
      <c r="DL52" s="148"/>
      <c r="DM52" s="148"/>
      <c r="DN52" s="148"/>
      <c r="DO52" s="148"/>
      <c r="DP52" s="148"/>
      <c r="DQ52" s="148"/>
      <c r="DR52" s="148"/>
      <c r="DS52" s="148"/>
      <c r="DT52" s="148"/>
      <c r="DU52" s="148"/>
      <c r="DV52" s="148"/>
      <c r="DW52" s="148"/>
      <c r="DX52" s="148"/>
      <c r="DY52" s="148"/>
      <c r="DZ52" s="148"/>
      <c r="EA52" s="148"/>
    </row>
    <row r="53" spans="1:131" s="15" customFormat="1" x14ac:dyDescent="0.2">
      <c r="A53" s="148"/>
      <c r="B53" s="350">
        <f t="shared" si="4"/>
        <v>42</v>
      </c>
      <c r="C53" s="400" t="s">
        <v>38</v>
      </c>
      <c r="D53" s="363">
        <v>40012071</v>
      </c>
      <c r="E53" s="330" t="s">
        <v>1921</v>
      </c>
      <c r="F53" s="364" t="s">
        <v>1915</v>
      </c>
      <c r="G53" s="331" t="s">
        <v>1870</v>
      </c>
      <c r="H53" s="332" t="s">
        <v>1884</v>
      </c>
      <c r="I53" s="382" t="s">
        <v>43</v>
      </c>
      <c r="J53" s="334">
        <v>513860</v>
      </c>
      <c r="K53" s="361">
        <v>0</v>
      </c>
      <c r="L53" s="361">
        <v>0</v>
      </c>
      <c r="M53" s="57">
        <v>0</v>
      </c>
      <c r="N53" s="18">
        <v>0</v>
      </c>
      <c r="O53" s="18">
        <v>0</v>
      </c>
      <c r="P53" s="18"/>
      <c r="Q53" s="18"/>
      <c r="R53" s="18"/>
      <c r="S53" s="57">
        <f t="shared" si="6"/>
        <v>0</v>
      </c>
      <c r="T53" s="337">
        <v>502554</v>
      </c>
      <c r="U53" s="19">
        <v>1</v>
      </c>
      <c r="V53" s="23">
        <v>44218</v>
      </c>
      <c r="W53" s="23">
        <v>44246</v>
      </c>
      <c r="X53" s="57"/>
      <c r="Y53" s="20"/>
      <c r="Z53" s="21"/>
      <c r="AA53" s="315"/>
      <c r="AB53" s="348"/>
      <c r="AC53" s="338"/>
      <c r="AD53" s="362"/>
      <c r="AE53" s="315"/>
      <c r="AF53" s="319"/>
      <c r="AG53" s="19"/>
      <c r="AH53" s="21"/>
      <c r="AI53" s="23"/>
      <c r="AJ53" s="309"/>
      <c r="AK53" s="19"/>
      <c r="AL53" s="21"/>
      <c r="AM53" s="25"/>
      <c r="AN53" s="356">
        <f t="shared" si="1"/>
        <v>502554</v>
      </c>
      <c r="AO53" s="341">
        <f t="shared" si="5"/>
        <v>502554</v>
      </c>
      <c r="AP53" s="148"/>
      <c r="AQ53" s="148"/>
      <c r="AR53" s="148"/>
      <c r="AS53" s="148"/>
      <c r="AT53" s="148"/>
      <c r="AU53" s="148"/>
      <c r="AV53" s="148"/>
      <c r="AW53" s="148"/>
      <c r="AX53" s="148"/>
      <c r="AY53" s="148"/>
      <c r="AZ53" s="148"/>
      <c r="BA53" s="148"/>
      <c r="BB53" s="148"/>
      <c r="BC53" s="148"/>
      <c r="BD53" s="148"/>
      <c r="BE53" s="148"/>
      <c r="BF53" s="148"/>
      <c r="BG53" s="148"/>
      <c r="BH53" s="148"/>
      <c r="BI53" s="148"/>
      <c r="BJ53" s="148"/>
      <c r="BK53" s="148"/>
      <c r="BL53" s="148"/>
      <c r="BM53" s="148"/>
      <c r="BN53" s="148"/>
      <c r="BO53" s="148"/>
      <c r="BP53" s="148"/>
      <c r="BQ53" s="148"/>
      <c r="BR53" s="148"/>
      <c r="BS53" s="148"/>
      <c r="BT53" s="148"/>
      <c r="BU53" s="148"/>
      <c r="BV53" s="148"/>
      <c r="BW53" s="148"/>
      <c r="BX53" s="148"/>
      <c r="BY53" s="148"/>
      <c r="BZ53" s="148"/>
      <c r="CA53" s="148"/>
      <c r="CB53" s="148"/>
      <c r="CC53" s="148"/>
      <c r="CD53" s="148"/>
      <c r="CE53" s="148"/>
      <c r="CF53" s="148"/>
      <c r="CG53" s="148"/>
      <c r="CH53" s="148"/>
      <c r="CI53" s="148"/>
      <c r="CJ53" s="148"/>
      <c r="CK53" s="148"/>
      <c r="CL53" s="148"/>
      <c r="CM53" s="148"/>
      <c r="CN53" s="148"/>
      <c r="CO53" s="148"/>
      <c r="CP53" s="148"/>
      <c r="CQ53" s="148"/>
      <c r="CR53" s="148"/>
      <c r="CS53" s="148"/>
      <c r="CT53" s="148"/>
      <c r="CU53" s="148"/>
      <c r="CV53" s="148"/>
      <c r="CW53" s="148"/>
      <c r="CX53" s="148"/>
      <c r="CY53" s="148"/>
      <c r="CZ53" s="148"/>
      <c r="DA53" s="148"/>
      <c r="DB53" s="148"/>
      <c r="DC53" s="148"/>
      <c r="DD53" s="148"/>
      <c r="DE53" s="148"/>
      <c r="DF53" s="148"/>
      <c r="DG53" s="148"/>
      <c r="DH53" s="148"/>
      <c r="DI53" s="148"/>
      <c r="DJ53" s="148"/>
      <c r="DK53" s="148"/>
      <c r="DL53" s="148"/>
      <c r="DM53" s="148"/>
      <c r="DN53" s="148"/>
      <c r="DO53" s="148"/>
      <c r="DP53" s="148"/>
      <c r="DQ53" s="148"/>
      <c r="DR53" s="148"/>
      <c r="DS53" s="148"/>
      <c r="DT53" s="148"/>
      <c r="DU53" s="148"/>
      <c r="DV53" s="148"/>
      <c r="DW53" s="148"/>
      <c r="DX53" s="148"/>
      <c r="DY53" s="148"/>
      <c r="DZ53" s="148"/>
      <c r="EA53" s="148"/>
    </row>
    <row r="54" spans="1:131" s="15" customFormat="1" x14ac:dyDescent="0.2">
      <c r="A54" s="148"/>
      <c r="B54" s="350">
        <f t="shared" si="4"/>
        <v>43</v>
      </c>
      <c r="C54" s="400" t="s">
        <v>38</v>
      </c>
      <c r="D54" s="357">
        <v>40012594</v>
      </c>
      <c r="E54" s="358" t="s">
        <v>1922</v>
      </c>
      <c r="F54" s="359" t="s">
        <v>200</v>
      </c>
      <c r="G54" s="345" t="s">
        <v>1870</v>
      </c>
      <c r="H54" s="343" t="s">
        <v>1871</v>
      </c>
      <c r="I54" s="346" t="s">
        <v>43</v>
      </c>
      <c r="J54" s="385">
        <v>17218250</v>
      </c>
      <c r="K54" s="361">
        <v>15337</v>
      </c>
      <c r="L54" s="361">
        <v>11867693</v>
      </c>
      <c r="M54" s="57">
        <v>0</v>
      </c>
      <c r="N54" s="18">
        <v>0</v>
      </c>
      <c r="O54" s="18">
        <v>15220</v>
      </c>
      <c r="P54" s="18"/>
      <c r="Q54" s="18">
        <v>299900</v>
      </c>
      <c r="R54" s="18">
        <v>195059</v>
      </c>
      <c r="S54" s="57">
        <f t="shared" si="6"/>
        <v>510179</v>
      </c>
      <c r="T54" s="349">
        <v>615220</v>
      </c>
      <c r="U54" s="19">
        <v>1</v>
      </c>
      <c r="V54" s="23">
        <v>44218</v>
      </c>
      <c r="W54" s="23">
        <v>44246</v>
      </c>
      <c r="X54" s="57">
        <v>600000</v>
      </c>
      <c r="Y54" s="20">
        <v>51</v>
      </c>
      <c r="Z54" s="23">
        <v>44334</v>
      </c>
      <c r="AA54" s="315">
        <v>44350</v>
      </c>
      <c r="AB54" s="348"/>
      <c r="AC54" s="338"/>
      <c r="AD54" s="362"/>
      <c r="AE54" s="315"/>
      <c r="AF54" s="319"/>
      <c r="AG54" s="19"/>
      <c r="AH54" s="21"/>
      <c r="AI54" s="23"/>
      <c r="AJ54" s="309"/>
      <c r="AK54" s="19"/>
      <c r="AL54" s="21"/>
      <c r="AM54" s="25"/>
      <c r="AN54" s="356">
        <f t="shared" si="1"/>
        <v>1215220</v>
      </c>
      <c r="AO54" s="341">
        <f t="shared" si="5"/>
        <v>705041</v>
      </c>
      <c r="AP54" s="148"/>
      <c r="AQ54" s="148"/>
      <c r="AR54" s="148"/>
      <c r="AS54" s="148"/>
      <c r="AT54" s="148"/>
      <c r="AU54" s="148"/>
      <c r="AV54" s="148"/>
      <c r="AW54" s="148"/>
      <c r="AX54" s="148"/>
      <c r="AY54" s="148"/>
      <c r="AZ54" s="148"/>
      <c r="BA54" s="148"/>
      <c r="BB54" s="148"/>
      <c r="BC54" s="148"/>
      <c r="BD54" s="148"/>
      <c r="BE54" s="148"/>
      <c r="BF54" s="148"/>
      <c r="BG54" s="148"/>
      <c r="BH54" s="148"/>
      <c r="BI54" s="148"/>
      <c r="BJ54" s="148"/>
      <c r="BK54" s="148"/>
      <c r="BL54" s="148"/>
      <c r="BM54" s="148"/>
      <c r="BN54" s="148"/>
      <c r="BO54" s="148"/>
      <c r="BP54" s="148"/>
      <c r="BQ54" s="148"/>
      <c r="BR54" s="148"/>
      <c r="BS54" s="148"/>
      <c r="BT54" s="148"/>
      <c r="BU54" s="148"/>
      <c r="BV54" s="148"/>
      <c r="BW54" s="148"/>
      <c r="BX54" s="148"/>
      <c r="BY54" s="148"/>
      <c r="BZ54" s="148"/>
      <c r="CA54" s="148"/>
      <c r="CB54" s="148"/>
      <c r="CC54" s="148"/>
      <c r="CD54" s="148"/>
      <c r="CE54" s="148"/>
      <c r="CF54" s="148"/>
      <c r="CG54" s="148"/>
      <c r="CH54" s="148"/>
      <c r="CI54" s="148"/>
      <c r="CJ54" s="148"/>
      <c r="CK54" s="148"/>
      <c r="CL54" s="148"/>
      <c r="CM54" s="148"/>
      <c r="CN54" s="148"/>
      <c r="CO54" s="148"/>
      <c r="CP54" s="148"/>
      <c r="CQ54" s="148"/>
      <c r="CR54" s="148"/>
      <c r="CS54" s="148"/>
      <c r="CT54" s="148"/>
      <c r="CU54" s="148"/>
      <c r="CV54" s="148"/>
      <c r="CW54" s="148"/>
      <c r="CX54" s="148"/>
      <c r="CY54" s="148"/>
      <c r="CZ54" s="148"/>
      <c r="DA54" s="148"/>
      <c r="DB54" s="148"/>
      <c r="DC54" s="148"/>
      <c r="DD54" s="148"/>
      <c r="DE54" s="148"/>
      <c r="DF54" s="148"/>
      <c r="DG54" s="148"/>
      <c r="DH54" s="148"/>
      <c r="DI54" s="148"/>
      <c r="DJ54" s="148"/>
      <c r="DK54" s="148"/>
      <c r="DL54" s="148"/>
      <c r="DM54" s="148"/>
      <c r="DN54" s="148"/>
      <c r="DO54" s="148"/>
      <c r="DP54" s="148"/>
      <c r="DQ54" s="148"/>
      <c r="DR54" s="148"/>
      <c r="DS54" s="148"/>
      <c r="DT54" s="148"/>
      <c r="DU54" s="148"/>
      <c r="DV54" s="148"/>
      <c r="DW54" s="148"/>
      <c r="DX54" s="148"/>
      <c r="DY54" s="148"/>
      <c r="DZ54" s="148"/>
      <c r="EA54" s="148"/>
    </row>
    <row r="55" spans="1:131" s="15" customFormat="1" x14ac:dyDescent="0.2">
      <c r="A55" s="148"/>
      <c r="B55" s="350">
        <f t="shared" si="4"/>
        <v>44</v>
      </c>
      <c r="C55" s="400" t="s">
        <v>38</v>
      </c>
      <c r="D55" s="363">
        <v>40015402</v>
      </c>
      <c r="E55" s="330" t="s">
        <v>1923</v>
      </c>
      <c r="F55" s="353" t="s">
        <v>200</v>
      </c>
      <c r="G55" s="331" t="s">
        <v>1870</v>
      </c>
      <c r="H55" s="332" t="s">
        <v>1878</v>
      </c>
      <c r="I55" s="382" t="s">
        <v>42</v>
      </c>
      <c r="J55" s="388">
        <v>639642</v>
      </c>
      <c r="K55" s="361">
        <v>313642</v>
      </c>
      <c r="L55" s="361">
        <v>0</v>
      </c>
      <c r="M55" s="57">
        <v>0</v>
      </c>
      <c r="N55" s="18">
        <v>0</v>
      </c>
      <c r="O55" s="18">
        <v>78594</v>
      </c>
      <c r="P55" s="57">
        <v>46067</v>
      </c>
      <c r="Q55" s="57">
        <v>19818</v>
      </c>
      <c r="R55" s="18">
        <v>38957</v>
      </c>
      <c r="S55" s="57">
        <f t="shared" si="6"/>
        <v>183436</v>
      </c>
      <c r="T55" s="371">
        <v>325900</v>
      </c>
      <c r="U55" s="19">
        <v>1</v>
      </c>
      <c r="V55" s="23">
        <v>44218</v>
      </c>
      <c r="W55" s="23">
        <v>44246</v>
      </c>
      <c r="X55" s="57"/>
      <c r="Y55" s="20"/>
      <c r="Z55" s="21"/>
      <c r="AA55" s="315"/>
      <c r="AB55" s="348"/>
      <c r="AC55" s="338"/>
      <c r="AD55" s="362"/>
      <c r="AE55" s="315"/>
      <c r="AF55" s="319"/>
      <c r="AG55" s="19"/>
      <c r="AH55" s="21"/>
      <c r="AI55" s="23"/>
      <c r="AJ55" s="309"/>
      <c r="AK55" s="19"/>
      <c r="AL55" s="21"/>
      <c r="AM55" s="25"/>
      <c r="AN55" s="356">
        <f t="shared" si="1"/>
        <v>325900</v>
      </c>
      <c r="AO55" s="341">
        <f t="shared" si="5"/>
        <v>142464</v>
      </c>
      <c r="AP55" s="148"/>
      <c r="AQ55" s="148"/>
      <c r="AR55" s="148"/>
      <c r="AS55" s="148"/>
      <c r="AT55" s="148"/>
      <c r="AU55" s="148"/>
      <c r="AV55" s="148"/>
      <c r="AW55" s="148"/>
      <c r="AX55" s="148"/>
      <c r="AY55" s="148"/>
      <c r="AZ55" s="148"/>
      <c r="BA55" s="148"/>
      <c r="BB55" s="148"/>
      <c r="BC55" s="148"/>
      <c r="BD55" s="148"/>
      <c r="BE55" s="148"/>
      <c r="BF55" s="148"/>
      <c r="BG55" s="148"/>
      <c r="BH55" s="148"/>
      <c r="BI55" s="148"/>
      <c r="BJ55" s="148"/>
      <c r="BK55" s="148"/>
      <c r="BL55" s="148"/>
      <c r="BM55" s="148"/>
      <c r="BN55" s="148"/>
      <c r="BO55" s="148"/>
      <c r="BP55" s="148"/>
      <c r="BQ55" s="148"/>
      <c r="BR55" s="148"/>
      <c r="BS55" s="148"/>
      <c r="BT55" s="148"/>
      <c r="BU55" s="148"/>
      <c r="BV55" s="148"/>
      <c r="BW55" s="148"/>
      <c r="BX55" s="148"/>
      <c r="BY55" s="148"/>
      <c r="BZ55" s="148"/>
      <c r="CA55" s="148"/>
      <c r="CB55" s="148"/>
      <c r="CC55" s="148"/>
      <c r="CD55" s="148"/>
      <c r="CE55" s="148"/>
      <c r="CF55" s="148"/>
      <c r="CG55" s="148"/>
      <c r="CH55" s="148"/>
      <c r="CI55" s="148"/>
      <c r="CJ55" s="148"/>
      <c r="CK55" s="148"/>
      <c r="CL55" s="148"/>
      <c r="CM55" s="148"/>
      <c r="CN55" s="148"/>
      <c r="CO55" s="148"/>
      <c r="CP55" s="148"/>
      <c r="CQ55" s="148"/>
      <c r="CR55" s="148"/>
      <c r="CS55" s="148"/>
      <c r="CT55" s="148"/>
      <c r="CU55" s="148"/>
      <c r="CV55" s="148"/>
      <c r="CW55" s="148"/>
      <c r="CX55" s="148"/>
      <c r="CY55" s="148"/>
      <c r="CZ55" s="148"/>
      <c r="DA55" s="148"/>
      <c r="DB55" s="148"/>
      <c r="DC55" s="148"/>
      <c r="DD55" s="148"/>
      <c r="DE55" s="148"/>
      <c r="DF55" s="148"/>
      <c r="DG55" s="148"/>
      <c r="DH55" s="148"/>
      <c r="DI55" s="148"/>
      <c r="DJ55" s="148"/>
      <c r="DK55" s="148"/>
      <c r="DL55" s="148"/>
      <c r="DM55" s="148"/>
      <c r="DN55" s="148"/>
      <c r="DO55" s="148"/>
      <c r="DP55" s="148"/>
      <c r="DQ55" s="148"/>
      <c r="DR55" s="148"/>
      <c r="DS55" s="148"/>
      <c r="DT55" s="148"/>
      <c r="DU55" s="148"/>
      <c r="DV55" s="148"/>
      <c r="DW55" s="148"/>
      <c r="DX55" s="148"/>
      <c r="DY55" s="148"/>
      <c r="DZ55" s="148"/>
      <c r="EA55" s="148"/>
    </row>
    <row r="56" spans="1:131" s="15" customFormat="1" x14ac:dyDescent="0.2">
      <c r="A56" s="148"/>
      <c r="B56" s="350">
        <f t="shared" si="4"/>
        <v>45</v>
      </c>
      <c r="C56" s="400" t="s">
        <v>38</v>
      </c>
      <c r="D56" s="357">
        <v>40015449</v>
      </c>
      <c r="E56" s="358" t="s">
        <v>1924</v>
      </c>
      <c r="F56" s="366" t="s">
        <v>200</v>
      </c>
      <c r="G56" s="345" t="s">
        <v>1870</v>
      </c>
      <c r="H56" s="343" t="s">
        <v>1874</v>
      </c>
      <c r="I56" s="346" t="s">
        <v>43</v>
      </c>
      <c r="J56" s="381">
        <v>330810</v>
      </c>
      <c r="K56" s="361">
        <v>0</v>
      </c>
      <c r="L56" s="361">
        <v>0</v>
      </c>
      <c r="M56" s="57">
        <v>0</v>
      </c>
      <c r="N56" s="18">
        <v>0</v>
      </c>
      <c r="O56" s="18">
        <v>0</v>
      </c>
      <c r="P56" s="18"/>
      <c r="Q56" s="18"/>
      <c r="R56" s="18"/>
      <c r="S56" s="57">
        <f t="shared" si="6"/>
        <v>0</v>
      </c>
      <c r="T56" s="347">
        <v>2</v>
      </c>
      <c r="U56" s="19">
        <v>1</v>
      </c>
      <c r="V56" s="23">
        <v>44218</v>
      </c>
      <c r="W56" s="23">
        <v>44246</v>
      </c>
      <c r="X56" s="57"/>
      <c r="Y56" s="20"/>
      <c r="Z56" s="21"/>
      <c r="AA56" s="315"/>
      <c r="AB56" s="348"/>
      <c r="AC56" s="338"/>
      <c r="AD56" s="362"/>
      <c r="AE56" s="315"/>
      <c r="AF56" s="319"/>
      <c r="AG56" s="19"/>
      <c r="AH56" s="21"/>
      <c r="AI56" s="23"/>
      <c r="AJ56" s="309"/>
      <c r="AK56" s="19"/>
      <c r="AL56" s="21"/>
      <c r="AM56" s="25"/>
      <c r="AN56" s="356">
        <f t="shared" si="1"/>
        <v>2</v>
      </c>
      <c r="AO56" s="341">
        <f t="shared" si="5"/>
        <v>2</v>
      </c>
      <c r="AP56" s="148"/>
      <c r="AQ56" s="148"/>
      <c r="AR56" s="148"/>
      <c r="AS56" s="148"/>
      <c r="AT56" s="148"/>
      <c r="AU56" s="148"/>
      <c r="AV56" s="148"/>
      <c r="AW56" s="148"/>
      <c r="AX56" s="148"/>
      <c r="AY56" s="148"/>
      <c r="AZ56" s="148"/>
      <c r="BA56" s="148"/>
      <c r="BB56" s="148"/>
      <c r="BC56" s="148"/>
      <c r="BD56" s="148"/>
      <c r="BE56" s="148"/>
      <c r="BF56" s="148"/>
      <c r="BG56" s="148"/>
      <c r="BH56" s="148"/>
      <c r="BI56" s="148"/>
      <c r="BJ56" s="148"/>
      <c r="BK56" s="148"/>
      <c r="BL56" s="148"/>
      <c r="BM56" s="148"/>
      <c r="BN56" s="148"/>
      <c r="BO56" s="148"/>
      <c r="BP56" s="148"/>
      <c r="BQ56" s="148"/>
      <c r="BR56" s="148"/>
      <c r="BS56" s="148"/>
      <c r="BT56" s="148"/>
      <c r="BU56" s="148"/>
      <c r="BV56" s="148"/>
      <c r="BW56" s="148"/>
      <c r="BX56" s="148"/>
      <c r="BY56" s="148"/>
      <c r="BZ56" s="148"/>
      <c r="CA56" s="148"/>
      <c r="CB56" s="148"/>
      <c r="CC56" s="148"/>
      <c r="CD56" s="148"/>
      <c r="CE56" s="148"/>
      <c r="CF56" s="148"/>
      <c r="CG56" s="148"/>
      <c r="CH56" s="148"/>
      <c r="CI56" s="148"/>
      <c r="CJ56" s="148"/>
      <c r="CK56" s="148"/>
      <c r="CL56" s="148"/>
      <c r="CM56" s="148"/>
      <c r="CN56" s="148"/>
      <c r="CO56" s="148"/>
      <c r="CP56" s="148"/>
      <c r="CQ56" s="148"/>
      <c r="CR56" s="148"/>
      <c r="CS56" s="148"/>
      <c r="CT56" s="148"/>
      <c r="CU56" s="148"/>
      <c r="CV56" s="148"/>
      <c r="CW56" s="148"/>
      <c r="CX56" s="148"/>
      <c r="CY56" s="148"/>
      <c r="CZ56" s="148"/>
      <c r="DA56" s="148"/>
      <c r="DB56" s="148"/>
      <c r="DC56" s="148"/>
      <c r="DD56" s="148"/>
      <c r="DE56" s="148"/>
      <c r="DF56" s="148"/>
      <c r="DG56" s="148"/>
      <c r="DH56" s="148"/>
      <c r="DI56" s="148"/>
      <c r="DJ56" s="148"/>
      <c r="DK56" s="148"/>
      <c r="DL56" s="148"/>
      <c r="DM56" s="148"/>
      <c r="DN56" s="148"/>
      <c r="DO56" s="148"/>
      <c r="DP56" s="148"/>
      <c r="DQ56" s="148"/>
      <c r="DR56" s="148"/>
      <c r="DS56" s="148"/>
      <c r="DT56" s="148"/>
      <c r="DU56" s="148"/>
      <c r="DV56" s="148"/>
      <c r="DW56" s="148"/>
      <c r="DX56" s="148"/>
      <c r="DY56" s="148"/>
      <c r="DZ56" s="148"/>
      <c r="EA56" s="148"/>
    </row>
    <row r="57" spans="1:131" s="15" customFormat="1" x14ac:dyDescent="0.2">
      <c r="A57" s="148"/>
      <c r="B57" s="350">
        <f t="shared" si="4"/>
        <v>46</v>
      </c>
      <c r="C57" s="400" t="s">
        <v>38</v>
      </c>
      <c r="D57" s="389">
        <v>40021623</v>
      </c>
      <c r="E57" s="390" t="s">
        <v>1925</v>
      </c>
      <c r="F57" s="353" t="s">
        <v>200</v>
      </c>
      <c r="G57" s="331" t="s">
        <v>1870</v>
      </c>
      <c r="H57" s="401" t="s">
        <v>1884</v>
      </c>
      <c r="I57" s="382" t="s">
        <v>43</v>
      </c>
      <c r="J57" s="392">
        <v>318304</v>
      </c>
      <c r="K57" s="361">
        <v>0</v>
      </c>
      <c r="L57" s="361">
        <v>0</v>
      </c>
      <c r="M57" s="57">
        <v>0</v>
      </c>
      <c r="N57" s="18">
        <v>0</v>
      </c>
      <c r="O57" s="18">
        <v>0</v>
      </c>
      <c r="P57" s="18"/>
      <c r="Q57" s="18"/>
      <c r="R57" s="18"/>
      <c r="S57" s="57">
        <f t="shared" si="6"/>
        <v>0</v>
      </c>
      <c r="T57" s="371">
        <v>2</v>
      </c>
      <c r="U57" s="19">
        <v>1</v>
      </c>
      <c r="V57" s="23">
        <v>44218</v>
      </c>
      <c r="W57" s="23">
        <v>44246</v>
      </c>
      <c r="X57" s="57"/>
      <c r="Y57" s="20"/>
      <c r="Z57" s="21"/>
      <c r="AA57" s="315"/>
      <c r="AB57" s="348"/>
      <c r="AC57" s="338"/>
      <c r="AD57" s="362"/>
      <c r="AE57" s="315"/>
      <c r="AF57" s="319"/>
      <c r="AG57" s="19"/>
      <c r="AH57" s="21"/>
      <c r="AI57" s="23"/>
      <c r="AJ57" s="309"/>
      <c r="AK57" s="19"/>
      <c r="AL57" s="21"/>
      <c r="AM57" s="25"/>
      <c r="AN57" s="356">
        <f t="shared" si="1"/>
        <v>2</v>
      </c>
      <c r="AO57" s="341">
        <f t="shared" si="5"/>
        <v>2</v>
      </c>
      <c r="AP57" s="148"/>
      <c r="AQ57" s="148"/>
      <c r="AR57" s="148"/>
      <c r="AS57" s="148"/>
      <c r="AT57" s="148"/>
      <c r="AU57" s="148"/>
      <c r="AV57" s="148"/>
      <c r="AW57" s="148"/>
      <c r="AX57" s="148"/>
      <c r="AY57" s="148"/>
      <c r="AZ57" s="148"/>
      <c r="BA57" s="148"/>
      <c r="BB57" s="148"/>
      <c r="BC57" s="148"/>
      <c r="BD57" s="148"/>
      <c r="BE57" s="148"/>
      <c r="BF57" s="148"/>
      <c r="BG57" s="148"/>
      <c r="BH57" s="148"/>
      <c r="BI57" s="148"/>
      <c r="BJ57" s="148"/>
      <c r="BK57" s="148"/>
      <c r="BL57" s="148"/>
      <c r="BM57" s="148"/>
      <c r="BN57" s="148"/>
      <c r="BO57" s="148"/>
      <c r="BP57" s="148"/>
      <c r="BQ57" s="148"/>
      <c r="BR57" s="148"/>
      <c r="BS57" s="148"/>
      <c r="BT57" s="148"/>
      <c r="BU57" s="148"/>
      <c r="BV57" s="148"/>
      <c r="BW57" s="148"/>
      <c r="BX57" s="148"/>
      <c r="BY57" s="148"/>
      <c r="BZ57" s="148"/>
      <c r="CA57" s="148"/>
      <c r="CB57" s="148"/>
      <c r="CC57" s="148"/>
      <c r="CD57" s="148"/>
      <c r="CE57" s="148"/>
      <c r="CF57" s="148"/>
      <c r="CG57" s="148"/>
      <c r="CH57" s="148"/>
      <c r="CI57" s="148"/>
      <c r="CJ57" s="148"/>
      <c r="CK57" s="148"/>
      <c r="CL57" s="148"/>
      <c r="CM57" s="148"/>
      <c r="CN57" s="148"/>
      <c r="CO57" s="148"/>
      <c r="CP57" s="148"/>
      <c r="CQ57" s="148"/>
      <c r="CR57" s="148"/>
      <c r="CS57" s="148"/>
      <c r="CT57" s="148"/>
      <c r="CU57" s="148"/>
      <c r="CV57" s="148"/>
      <c r="CW57" s="148"/>
      <c r="CX57" s="148"/>
      <c r="CY57" s="148"/>
      <c r="CZ57" s="148"/>
      <c r="DA57" s="148"/>
      <c r="DB57" s="148"/>
      <c r="DC57" s="148"/>
      <c r="DD57" s="148"/>
      <c r="DE57" s="148"/>
      <c r="DF57" s="148"/>
      <c r="DG57" s="148"/>
      <c r="DH57" s="148"/>
      <c r="DI57" s="148"/>
      <c r="DJ57" s="148"/>
      <c r="DK57" s="148"/>
      <c r="DL57" s="148"/>
      <c r="DM57" s="148"/>
      <c r="DN57" s="148"/>
      <c r="DO57" s="148"/>
      <c r="DP57" s="148"/>
      <c r="DQ57" s="148"/>
      <c r="DR57" s="148"/>
      <c r="DS57" s="148"/>
      <c r="DT57" s="148"/>
      <c r="DU57" s="148"/>
      <c r="DV57" s="148"/>
      <c r="DW57" s="148"/>
      <c r="DX57" s="148"/>
      <c r="DY57" s="148"/>
      <c r="DZ57" s="148"/>
      <c r="EA57" s="148"/>
    </row>
    <row r="58" spans="1:131" s="15" customFormat="1" x14ac:dyDescent="0.2">
      <c r="A58" s="148"/>
      <c r="B58" s="350">
        <f t="shared" si="4"/>
        <v>47</v>
      </c>
      <c r="C58" s="400" t="s">
        <v>38</v>
      </c>
      <c r="D58" s="357">
        <v>40021742</v>
      </c>
      <c r="E58" s="358" t="s">
        <v>1926</v>
      </c>
      <c r="F58" s="366" t="s">
        <v>200</v>
      </c>
      <c r="G58" s="345" t="s">
        <v>1870</v>
      </c>
      <c r="H58" s="343" t="s">
        <v>1878</v>
      </c>
      <c r="I58" s="346" t="s">
        <v>42</v>
      </c>
      <c r="J58" s="381">
        <v>99345</v>
      </c>
      <c r="K58" s="361">
        <v>94143</v>
      </c>
      <c r="L58" s="361">
        <v>0</v>
      </c>
      <c r="M58" s="57">
        <v>0</v>
      </c>
      <c r="N58" s="18">
        <v>5202</v>
      </c>
      <c r="O58" s="18">
        <v>0</v>
      </c>
      <c r="P58" s="18"/>
      <c r="Q58" s="18"/>
      <c r="R58" s="18"/>
      <c r="S58" s="57">
        <f t="shared" si="6"/>
        <v>5202</v>
      </c>
      <c r="T58" s="347">
        <v>5202</v>
      </c>
      <c r="U58" s="19">
        <v>1</v>
      </c>
      <c r="V58" s="23">
        <v>44218</v>
      </c>
      <c r="W58" s="23">
        <v>44246</v>
      </c>
      <c r="X58" s="57"/>
      <c r="Y58" s="20"/>
      <c r="Z58" s="21"/>
      <c r="AA58" s="315"/>
      <c r="AB58" s="348"/>
      <c r="AC58" s="338"/>
      <c r="AD58" s="362"/>
      <c r="AE58" s="315"/>
      <c r="AF58" s="319"/>
      <c r="AG58" s="19"/>
      <c r="AH58" s="21"/>
      <c r="AI58" s="23"/>
      <c r="AJ58" s="309"/>
      <c r="AK58" s="19"/>
      <c r="AL58" s="21"/>
      <c r="AM58" s="25"/>
      <c r="AN58" s="356">
        <f t="shared" si="1"/>
        <v>5202</v>
      </c>
      <c r="AO58" s="341">
        <f t="shared" si="5"/>
        <v>0</v>
      </c>
      <c r="AP58" s="148"/>
      <c r="AQ58" s="148"/>
      <c r="AR58" s="148"/>
      <c r="AS58" s="148"/>
      <c r="AT58" s="148"/>
      <c r="AU58" s="148"/>
      <c r="AV58" s="148"/>
      <c r="AW58" s="148"/>
      <c r="AX58" s="148"/>
      <c r="AY58" s="148"/>
      <c r="AZ58" s="148"/>
      <c r="BA58" s="148"/>
      <c r="BB58" s="148"/>
      <c r="BC58" s="148"/>
      <c r="BD58" s="148"/>
      <c r="BE58" s="148"/>
      <c r="BF58" s="148"/>
      <c r="BG58" s="148"/>
      <c r="BH58" s="148"/>
      <c r="BI58" s="148"/>
      <c r="BJ58" s="148"/>
      <c r="BK58" s="148"/>
      <c r="BL58" s="148"/>
      <c r="BM58" s="148"/>
      <c r="BN58" s="148"/>
      <c r="BO58" s="148"/>
      <c r="BP58" s="148"/>
      <c r="BQ58" s="148"/>
      <c r="BR58" s="148"/>
      <c r="BS58" s="148"/>
      <c r="BT58" s="148"/>
      <c r="BU58" s="148"/>
      <c r="BV58" s="148"/>
      <c r="BW58" s="148"/>
      <c r="BX58" s="148"/>
      <c r="BY58" s="148"/>
      <c r="BZ58" s="148"/>
      <c r="CA58" s="148"/>
      <c r="CB58" s="148"/>
      <c r="CC58" s="148"/>
      <c r="CD58" s="148"/>
      <c r="CE58" s="148"/>
      <c r="CF58" s="148"/>
      <c r="CG58" s="148"/>
      <c r="CH58" s="148"/>
      <c r="CI58" s="148"/>
      <c r="CJ58" s="148"/>
      <c r="CK58" s="148"/>
      <c r="CL58" s="148"/>
      <c r="CM58" s="148"/>
      <c r="CN58" s="148"/>
      <c r="CO58" s="148"/>
      <c r="CP58" s="148"/>
      <c r="CQ58" s="148"/>
      <c r="CR58" s="148"/>
      <c r="CS58" s="148"/>
      <c r="CT58" s="148"/>
      <c r="CU58" s="148"/>
      <c r="CV58" s="148"/>
      <c r="CW58" s="148"/>
      <c r="CX58" s="148"/>
      <c r="CY58" s="148"/>
      <c r="CZ58" s="148"/>
      <c r="DA58" s="148"/>
      <c r="DB58" s="148"/>
      <c r="DC58" s="148"/>
      <c r="DD58" s="148"/>
      <c r="DE58" s="148"/>
      <c r="DF58" s="148"/>
      <c r="DG58" s="148"/>
      <c r="DH58" s="148"/>
      <c r="DI58" s="148"/>
      <c r="DJ58" s="148"/>
      <c r="DK58" s="148"/>
      <c r="DL58" s="148"/>
      <c r="DM58" s="148"/>
      <c r="DN58" s="148"/>
      <c r="DO58" s="148"/>
      <c r="DP58" s="148"/>
      <c r="DQ58" s="148"/>
      <c r="DR58" s="148"/>
      <c r="DS58" s="148"/>
      <c r="DT58" s="148"/>
      <c r="DU58" s="148"/>
      <c r="DV58" s="148"/>
      <c r="DW58" s="148"/>
      <c r="DX58" s="148"/>
      <c r="DY58" s="148"/>
      <c r="DZ58" s="148"/>
      <c r="EA58" s="148"/>
    </row>
    <row r="59" spans="1:131" s="15" customFormat="1" x14ac:dyDescent="0.2">
      <c r="A59" s="148"/>
      <c r="B59" s="350">
        <f t="shared" si="4"/>
        <v>48</v>
      </c>
      <c r="C59" s="400" t="s">
        <v>38</v>
      </c>
      <c r="D59" s="389">
        <v>40022151</v>
      </c>
      <c r="E59" s="390" t="s">
        <v>1927</v>
      </c>
      <c r="F59" s="353" t="s">
        <v>200</v>
      </c>
      <c r="G59" s="331" t="s">
        <v>1870</v>
      </c>
      <c r="H59" s="332" t="s">
        <v>226</v>
      </c>
      <c r="I59" s="382" t="s">
        <v>43</v>
      </c>
      <c r="J59" s="392">
        <v>309818</v>
      </c>
      <c r="K59" s="361">
        <v>0</v>
      </c>
      <c r="L59" s="361">
        <v>0</v>
      </c>
      <c r="M59" s="57">
        <v>0</v>
      </c>
      <c r="N59" s="18">
        <v>0</v>
      </c>
      <c r="O59" s="18">
        <v>0</v>
      </c>
      <c r="P59" s="18"/>
      <c r="Q59" s="18"/>
      <c r="R59" s="18"/>
      <c r="S59" s="57">
        <f t="shared" si="6"/>
        <v>0</v>
      </c>
      <c r="T59" s="371">
        <v>2</v>
      </c>
      <c r="U59" s="19">
        <v>1</v>
      </c>
      <c r="V59" s="23">
        <v>44218</v>
      </c>
      <c r="W59" s="23">
        <v>44246</v>
      </c>
      <c r="X59" s="57"/>
      <c r="Y59" s="20"/>
      <c r="Z59" s="21"/>
      <c r="AA59" s="315"/>
      <c r="AB59" s="348"/>
      <c r="AC59" s="338"/>
      <c r="AD59" s="362"/>
      <c r="AE59" s="315"/>
      <c r="AF59" s="319"/>
      <c r="AG59" s="19"/>
      <c r="AH59" s="21"/>
      <c r="AI59" s="23"/>
      <c r="AJ59" s="309"/>
      <c r="AK59" s="19"/>
      <c r="AL59" s="21"/>
      <c r="AM59" s="25"/>
      <c r="AN59" s="356">
        <f t="shared" si="1"/>
        <v>2</v>
      </c>
      <c r="AO59" s="341">
        <f t="shared" si="5"/>
        <v>2</v>
      </c>
      <c r="AP59" s="148"/>
      <c r="AQ59" s="148"/>
      <c r="AR59" s="148"/>
      <c r="AS59" s="148"/>
      <c r="AT59" s="148"/>
      <c r="AU59" s="148"/>
      <c r="AV59" s="148"/>
      <c r="AW59" s="148"/>
      <c r="AX59" s="148"/>
      <c r="AY59" s="148"/>
      <c r="AZ59" s="148"/>
      <c r="BA59" s="148"/>
      <c r="BB59" s="148"/>
      <c r="BC59" s="148"/>
      <c r="BD59" s="148"/>
      <c r="BE59" s="148"/>
      <c r="BF59" s="148"/>
      <c r="BG59" s="148"/>
      <c r="BH59" s="148"/>
      <c r="BI59" s="148"/>
      <c r="BJ59" s="148"/>
      <c r="BK59" s="148"/>
      <c r="BL59" s="148"/>
      <c r="BM59" s="148"/>
      <c r="BN59" s="148"/>
      <c r="BO59" s="148"/>
      <c r="BP59" s="148"/>
      <c r="BQ59" s="148"/>
      <c r="BR59" s="148"/>
      <c r="BS59" s="148"/>
      <c r="BT59" s="148"/>
      <c r="BU59" s="148"/>
      <c r="BV59" s="148"/>
      <c r="BW59" s="148"/>
      <c r="BX59" s="148"/>
      <c r="BY59" s="148"/>
      <c r="BZ59" s="148"/>
      <c r="CA59" s="148"/>
      <c r="CB59" s="148"/>
      <c r="CC59" s="148"/>
      <c r="CD59" s="148"/>
      <c r="CE59" s="148"/>
      <c r="CF59" s="148"/>
      <c r="CG59" s="148"/>
      <c r="CH59" s="148"/>
      <c r="CI59" s="148"/>
      <c r="CJ59" s="148"/>
      <c r="CK59" s="148"/>
      <c r="CL59" s="148"/>
      <c r="CM59" s="148"/>
      <c r="CN59" s="148"/>
      <c r="CO59" s="148"/>
      <c r="CP59" s="148"/>
      <c r="CQ59" s="148"/>
      <c r="CR59" s="148"/>
      <c r="CS59" s="148"/>
      <c r="CT59" s="148"/>
      <c r="CU59" s="148"/>
      <c r="CV59" s="148"/>
      <c r="CW59" s="148"/>
      <c r="CX59" s="148"/>
      <c r="CY59" s="148"/>
      <c r="CZ59" s="148"/>
      <c r="DA59" s="148"/>
      <c r="DB59" s="148"/>
      <c r="DC59" s="148"/>
      <c r="DD59" s="148"/>
      <c r="DE59" s="148"/>
      <c r="DF59" s="148"/>
      <c r="DG59" s="148"/>
      <c r="DH59" s="148"/>
      <c r="DI59" s="148"/>
      <c r="DJ59" s="148"/>
      <c r="DK59" s="148"/>
      <c r="DL59" s="148"/>
      <c r="DM59" s="148"/>
      <c r="DN59" s="148"/>
      <c r="DO59" s="148"/>
      <c r="DP59" s="148"/>
      <c r="DQ59" s="148"/>
      <c r="DR59" s="148"/>
      <c r="DS59" s="148"/>
      <c r="DT59" s="148"/>
      <c r="DU59" s="148"/>
      <c r="DV59" s="148"/>
      <c r="DW59" s="148"/>
      <c r="DX59" s="148"/>
      <c r="DY59" s="148"/>
      <c r="DZ59" s="148"/>
      <c r="EA59" s="148"/>
    </row>
    <row r="60" spans="1:131" s="15" customFormat="1" x14ac:dyDescent="0.2">
      <c r="A60" s="148"/>
      <c r="B60" s="350">
        <f t="shared" si="4"/>
        <v>49</v>
      </c>
      <c r="C60" s="400" t="s">
        <v>38</v>
      </c>
      <c r="D60" s="395">
        <v>40028090</v>
      </c>
      <c r="E60" s="396" t="s">
        <v>1928</v>
      </c>
      <c r="F60" s="359" t="s">
        <v>1915</v>
      </c>
      <c r="G60" s="345" t="s">
        <v>1870</v>
      </c>
      <c r="H60" s="343" t="s">
        <v>226</v>
      </c>
      <c r="I60" s="346" t="s">
        <v>43</v>
      </c>
      <c r="J60" s="398">
        <v>507565</v>
      </c>
      <c r="K60" s="361">
        <v>0</v>
      </c>
      <c r="L60" s="361">
        <v>293566</v>
      </c>
      <c r="M60" s="57">
        <v>0</v>
      </c>
      <c r="N60" s="18">
        <v>0</v>
      </c>
      <c r="O60" s="18">
        <v>0</v>
      </c>
      <c r="P60" s="18"/>
      <c r="Q60" s="18"/>
      <c r="R60" s="18"/>
      <c r="S60" s="57">
        <f t="shared" si="6"/>
        <v>0</v>
      </c>
      <c r="T60" s="349">
        <v>110000</v>
      </c>
      <c r="U60" s="19">
        <v>1</v>
      </c>
      <c r="V60" s="23">
        <v>44218</v>
      </c>
      <c r="W60" s="23">
        <v>44246</v>
      </c>
      <c r="X60" s="57">
        <v>386399</v>
      </c>
      <c r="Y60" s="19">
        <v>31</v>
      </c>
      <c r="Z60" s="23">
        <v>44293</v>
      </c>
      <c r="AA60" s="315">
        <v>44307</v>
      </c>
      <c r="AB60" s="348"/>
      <c r="AC60" s="338"/>
      <c r="AD60" s="362"/>
      <c r="AE60" s="315"/>
      <c r="AF60" s="319"/>
      <c r="AG60" s="19"/>
      <c r="AH60" s="21"/>
      <c r="AI60" s="23"/>
      <c r="AJ60" s="309"/>
      <c r="AK60" s="19"/>
      <c r="AL60" s="21"/>
      <c r="AM60" s="25"/>
      <c r="AN60" s="356">
        <f>+T60+X60+AB60+AF60+AJ60</f>
        <v>496399</v>
      </c>
      <c r="AO60" s="341">
        <f t="shared" si="5"/>
        <v>496399</v>
      </c>
      <c r="AP60" s="148"/>
      <c r="AQ60" s="148"/>
      <c r="AR60" s="148"/>
      <c r="AS60" s="148"/>
      <c r="AT60" s="148"/>
      <c r="AU60" s="148"/>
      <c r="AV60" s="148"/>
      <c r="AW60" s="148"/>
      <c r="AX60" s="148"/>
      <c r="AY60" s="148"/>
      <c r="AZ60" s="148"/>
      <c r="BA60" s="148"/>
      <c r="BB60" s="148"/>
      <c r="BC60" s="148"/>
      <c r="BD60" s="148"/>
      <c r="BE60" s="148"/>
      <c r="BF60" s="148"/>
      <c r="BG60" s="148"/>
      <c r="BH60" s="148"/>
      <c r="BI60" s="148"/>
      <c r="BJ60" s="148"/>
      <c r="BK60" s="148"/>
      <c r="BL60" s="148"/>
      <c r="BM60" s="148"/>
      <c r="BN60" s="148"/>
      <c r="BO60" s="148"/>
      <c r="BP60" s="148"/>
      <c r="BQ60" s="148"/>
      <c r="BR60" s="148"/>
      <c r="BS60" s="148"/>
      <c r="BT60" s="148"/>
      <c r="BU60" s="148"/>
      <c r="BV60" s="148"/>
      <c r="BW60" s="148"/>
      <c r="BX60" s="148"/>
      <c r="BY60" s="148"/>
      <c r="BZ60" s="148"/>
      <c r="CA60" s="148"/>
      <c r="CB60" s="148"/>
      <c r="CC60" s="148"/>
      <c r="CD60" s="148"/>
      <c r="CE60" s="148"/>
      <c r="CF60" s="148"/>
      <c r="CG60" s="148"/>
      <c r="CH60" s="148"/>
      <c r="CI60" s="148"/>
      <c r="CJ60" s="148"/>
      <c r="CK60" s="148"/>
      <c r="CL60" s="148"/>
      <c r="CM60" s="148"/>
      <c r="CN60" s="148"/>
      <c r="CO60" s="148"/>
      <c r="CP60" s="148"/>
      <c r="CQ60" s="148"/>
      <c r="CR60" s="148"/>
      <c r="CS60" s="148"/>
      <c r="CT60" s="148"/>
      <c r="CU60" s="148"/>
      <c r="CV60" s="148"/>
      <c r="CW60" s="148"/>
      <c r="CX60" s="148"/>
      <c r="CY60" s="148"/>
      <c r="CZ60" s="148"/>
      <c r="DA60" s="148"/>
      <c r="DB60" s="148"/>
      <c r="DC60" s="148"/>
      <c r="DD60" s="148"/>
      <c r="DE60" s="148"/>
      <c r="DF60" s="148"/>
      <c r="DG60" s="148"/>
      <c r="DH60" s="148"/>
      <c r="DI60" s="148"/>
      <c r="DJ60" s="148"/>
      <c r="DK60" s="148"/>
      <c r="DL60" s="148"/>
      <c r="DM60" s="148"/>
      <c r="DN60" s="148"/>
      <c r="DO60" s="148"/>
      <c r="DP60" s="148"/>
      <c r="DQ60" s="148"/>
      <c r="DR60" s="148"/>
      <c r="DS60" s="148"/>
      <c r="DT60" s="148"/>
      <c r="DU60" s="148"/>
      <c r="DV60" s="148"/>
      <c r="DW60" s="148"/>
      <c r="DX60" s="148"/>
      <c r="DY60" s="148"/>
      <c r="DZ60" s="148"/>
      <c r="EA60" s="148"/>
    </row>
    <row r="61" spans="1:131" s="15" customFormat="1" x14ac:dyDescent="0.2">
      <c r="A61" s="148"/>
      <c r="B61" s="350">
        <f t="shared" si="4"/>
        <v>50</v>
      </c>
      <c r="C61" s="327" t="s">
        <v>38</v>
      </c>
      <c r="D61" s="363">
        <v>30067992</v>
      </c>
      <c r="E61" s="330" t="s">
        <v>1929</v>
      </c>
      <c r="F61" s="353" t="s">
        <v>200</v>
      </c>
      <c r="G61" s="331" t="s">
        <v>1870</v>
      </c>
      <c r="H61" s="332" t="s">
        <v>1891</v>
      </c>
      <c r="I61" s="382" t="s">
        <v>42</v>
      </c>
      <c r="J61" s="334">
        <v>20315415</v>
      </c>
      <c r="K61" s="361">
        <v>19317723</v>
      </c>
      <c r="L61" s="361">
        <v>286184</v>
      </c>
      <c r="M61" s="57">
        <v>0</v>
      </c>
      <c r="N61" s="18">
        <v>0</v>
      </c>
      <c r="O61" s="18">
        <v>3600</v>
      </c>
      <c r="P61" s="18">
        <v>106</v>
      </c>
      <c r="Q61" s="18"/>
      <c r="R61" s="18"/>
      <c r="S61" s="57">
        <f t="shared" si="6"/>
        <v>3706</v>
      </c>
      <c r="T61" s="371">
        <v>286184</v>
      </c>
      <c r="U61" s="19">
        <v>3</v>
      </c>
      <c r="V61" s="23">
        <v>44229</v>
      </c>
      <c r="W61" s="23">
        <v>44252</v>
      </c>
      <c r="X61" s="57">
        <v>568776</v>
      </c>
      <c r="Y61" s="19">
        <v>31</v>
      </c>
      <c r="Z61" s="23">
        <v>44293</v>
      </c>
      <c r="AA61" s="315">
        <v>44307</v>
      </c>
      <c r="AB61" s="348"/>
      <c r="AC61" s="338"/>
      <c r="AD61" s="362"/>
      <c r="AE61" s="315"/>
      <c r="AF61" s="319"/>
      <c r="AG61" s="19"/>
      <c r="AH61" s="21"/>
      <c r="AI61" s="23"/>
      <c r="AJ61" s="309"/>
      <c r="AK61" s="19"/>
      <c r="AL61" s="21"/>
      <c r="AM61" s="25"/>
      <c r="AN61" s="356">
        <f t="shared" ref="AN61:AN87" si="8">+T61+X61+AB61+AF61+AJ61</f>
        <v>854960</v>
      </c>
      <c r="AO61" s="341">
        <f t="shared" si="5"/>
        <v>851254</v>
      </c>
      <c r="AP61" s="148"/>
      <c r="AQ61" s="148"/>
      <c r="AR61" s="148"/>
      <c r="AS61" s="148"/>
      <c r="AT61" s="148"/>
      <c r="AU61" s="148"/>
      <c r="AV61" s="148"/>
      <c r="AW61" s="148"/>
      <c r="AX61" s="148"/>
      <c r="AY61" s="148"/>
      <c r="AZ61" s="148"/>
      <c r="BA61" s="148"/>
      <c r="BB61" s="148"/>
      <c r="BC61" s="148"/>
      <c r="BD61" s="148"/>
      <c r="BE61" s="148"/>
      <c r="BF61" s="148"/>
      <c r="BG61" s="148"/>
      <c r="BH61" s="148"/>
      <c r="BI61" s="148"/>
      <c r="BJ61" s="148"/>
      <c r="BK61" s="148"/>
      <c r="BL61" s="148"/>
      <c r="BM61" s="148"/>
      <c r="BN61" s="148"/>
      <c r="BO61" s="148"/>
      <c r="BP61" s="148"/>
      <c r="BQ61" s="148"/>
      <c r="BR61" s="148"/>
      <c r="BS61" s="148"/>
      <c r="BT61" s="148"/>
      <c r="BU61" s="148"/>
      <c r="BV61" s="148"/>
      <c r="BW61" s="148"/>
      <c r="BX61" s="148"/>
      <c r="BY61" s="148"/>
      <c r="BZ61" s="148"/>
      <c r="CA61" s="148"/>
      <c r="CB61" s="148"/>
      <c r="CC61" s="148"/>
      <c r="CD61" s="148"/>
      <c r="CE61" s="148"/>
      <c r="CF61" s="148"/>
      <c r="CG61" s="148"/>
      <c r="CH61" s="148"/>
      <c r="CI61" s="148"/>
      <c r="CJ61" s="148"/>
      <c r="CK61" s="148"/>
      <c r="CL61" s="148"/>
      <c r="CM61" s="148"/>
      <c r="CN61" s="148"/>
      <c r="CO61" s="148"/>
      <c r="CP61" s="148"/>
      <c r="CQ61" s="148"/>
      <c r="CR61" s="148"/>
      <c r="CS61" s="148"/>
      <c r="CT61" s="148"/>
      <c r="CU61" s="148"/>
      <c r="CV61" s="148"/>
      <c r="CW61" s="148"/>
      <c r="CX61" s="148"/>
      <c r="CY61" s="148"/>
      <c r="CZ61" s="148"/>
      <c r="DA61" s="148"/>
      <c r="DB61" s="148"/>
      <c r="DC61" s="148"/>
      <c r="DD61" s="148"/>
      <c r="DE61" s="148"/>
      <c r="DF61" s="148"/>
      <c r="DG61" s="148"/>
      <c r="DH61" s="148"/>
      <c r="DI61" s="148"/>
      <c r="DJ61" s="148"/>
      <c r="DK61" s="148"/>
      <c r="DL61" s="148"/>
      <c r="DM61" s="148"/>
      <c r="DN61" s="148"/>
      <c r="DO61" s="148"/>
      <c r="DP61" s="148"/>
      <c r="DQ61" s="148"/>
      <c r="DR61" s="148"/>
      <c r="DS61" s="148"/>
      <c r="DT61" s="148"/>
      <c r="DU61" s="148"/>
      <c r="DV61" s="148"/>
      <c r="DW61" s="148"/>
      <c r="DX61" s="148"/>
      <c r="DY61" s="148"/>
      <c r="DZ61" s="148"/>
      <c r="EA61" s="148"/>
    </row>
    <row r="62" spans="1:131" s="15" customFormat="1" x14ac:dyDescent="0.2">
      <c r="A62" s="148"/>
      <c r="B62" s="350">
        <f t="shared" si="4"/>
        <v>51</v>
      </c>
      <c r="C62" s="327" t="s">
        <v>38</v>
      </c>
      <c r="D62" s="357">
        <v>30124722</v>
      </c>
      <c r="E62" s="358" t="s">
        <v>1930</v>
      </c>
      <c r="F62" s="366" t="s">
        <v>200</v>
      </c>
      <c r="G62" s="345" t="s">
        <v>1870</v>
      </c>
      <c r="H62" s="343" t="s">
        <v>1880</v>
      </c>
      <c r="I62" s="346" t="s">
        <v>43</v>
      </c>
      <c r="J62" s="381">
        <v>2482935</v>
      </c>
      <c r="K62" s="361">
        <v>0</v>
      </c>
      <c r="L62" s="361">
        <v>1362008</v>
      </c>
      <c r="M62" s="57">
        <v>0</v>
      </c>
      <c r="N62" s="18">
        <v>0</v>
      </c>
      <c r="O62" s="18">
        <v>0</v>
      </c>
      <c r="P62" s="18">
        <v>96257</v>
      </c>
      <c r="Q62" s="18"/>
      <c r="R62" s="18"/>
      <c r="S62" s="57">
        <f t="shared" si="6"/>
        <v>96257</v>
      </c>
      <c r="T62" s="349">
        <v>1118707</v>
      </c>
      <c r="U62" s="19">
        <v>3</v>
      </c>
      <c r="V62" s="23">
        <v>44229</v>
      </c>
      <c r="W62" s="23">
        <v>44252</v>
      </c>
      <c r="X62" s="57">
        <v>-950000</v>
      </c>
      <c r="Y62" s="20">
        <v>51</v>
      </c>
      <c r="Z62" s="23">
        <v>44334</v>
      </c>
      <c r="AA62" s="315">
        <v>44350</v>
      </c>
      <c r="AB62" s="348"/>
      <c r="AC62" s="338"/>
      <c r="AD62" s="362"/>
      <c r="AE62" s="315"/>
      <c r="AF62" s="319"/>
      <c r="AG62" s="19"/>
      <c r="AH62" s="21"/>
      <c r="AI62" s="23"/>
      <c r="AJ62" s="309"/>
      <c r="AK62" s="19"/>
      <c r="AL62" s="21"/>
      <c r="AM62" s="25"/>
      <c r="AN62" s="356">
        <f t="shared" si="8"/>
        <v>168707</v>
      </c>
      <c r="AO62" s="341">
        <f t="shared" si="5"/>
        <v>72450</v>
      </c>
      <c r="AP62" s="148"/>
      <c r="AQ62" s="148"/>
      <c r="AR62" s="148"/>
      <c r="AS62" s="148"/>
      <c r="AT62" s="148"/>
      <c r="AU62" s="148"/>
      <c r="AV62" s="148"/>
      <c r="AW62" s="148"/>
      <c r="AX62" s="148"/>
      <c r="AY62" s="148"/>
      <c r="AZ62" s="148"/>
      <c r="BA62" s="148"/>
      <c r="BB62" s="148"/>
      <c r="BC62" s="148"/>
      <c r="BD62" s="148"/>
      <c r="BE62" s="148"/>
      <c r="BF62" s="148"/>
      <c r="BG62" s="148"/>
      <c r="BH62" s="148"/>
      <c r="BI62" s="148"/>
      <c r="BJ62" s="148"/>
      <c r="BK62" s="148"/>
      <c r="BL62" s="148"/>
      <c r="BM62" s="148"/>
      <c r="BN62" s="148"/>
      <c r="BO62" s="148"/>
      <c r="BP62" s="148"/>
      <c r="BQ62" s="148"/>
      <c r="BR62" s="148"/>
      <c r="BS62" s="148"/>
      <c r="BT62" s="148"/>
      <c r="BU62" s="148"/>
      <c r="BV62" s="148"/>
      <c r="BW62" s="148"/>
      <c r="BX62" s="148"/>
      <c r="BY62" s="148"/>
      <c r="BZ62" s="148"/>
      <c r="CA62" s="148"/>
      <c r="CB62" s="148"/>
      <c r="CC62" s="148"/>
      <c r="CD62" s="148"/>
      <c r="CE62" s="148"/>
      <c r="CF62" s="148"/>
      <c r="CG62" s="148"/>
      <c r="CH62" s="148"/>
      <c r="CI62" s="148"/>
      <c r="CJ62" s="148"/>
      <c r="CK62" s="148"/>
      <c r="CL62" s="148"/>
      <c r="CM62" s="148"/>
      <c r="CN62" s="148"/>
      <c r="CO62" s="148"/>
      <c r="CP62" s="148"/>
      <c r="CQ62" s="148"/>
      <c r="CR62" s="148"/>
      <c r="CS62" s="148"/>
      <c r="CT62" s="148"/>
      <c r="CU62" s="148"/>
      <c r="CV62" s="148"/>
      <c r="CW62" s="148"/>
      <c r="CX62" s="148"/>
      <c r="CY62" s="148"/>
      <c r="CZ62" s="148"/>
      <c r="DA62" s="148"/>
      <c r="DB62" s="148"/>
      <c r="DC62" s="148"/>
      <c r="DD62" s="148"/>
      <c r="DE62" s="148"/>
      <c r="DF62" s="148"/>
      <c r="DG62" s="148"/>
      <c r="DH62" s="148"/>
      <c r="DI62" s="148"/>
      <c r="DJ62" s="148"/>
      <c r="DK62" s="148"/>
      <c r="DL62" s="148"/>
      <c r="DM62" s="148"/>
      <c r="DN62" s="148"/>
      <c r="DO62" s="148"/>
      <c r="DP62" s="148"/>
      <c r="DQ62" s="148"/>
      <c r="DR62" s="148"/>
      <c r="DS62" s="148"/>
      <c r="DT62" s="148"/>
      <c r="DU62" s="148"/>
      <c r="DV62" s="148"/>
      <c r="DW62" s="148"/>
      <c r="DX62" s="148"/>
      <c r="DY62" s="148"/>
      <c r="DZ62" s="148"/>
      <c r="EA62" s="148"/>
    </row>
    <row r="63" spans="1:131" s="15" customFormat="1" x14ac:dyDescent="0.2">
      <c r="A63" s="148"/>
      <c r="B63" s="350">
        <f t="shared" si="4"/>
        <v>52</v>
      </c>
      <c r="C63" s="400" t="s">
        <v>38</v>
      </c>
      <c r="D63" s="363">
        <v>30392925</v>
      </c>
      <c r="E63" s="330" t="s">
        <v>1931</v>
      </c>
      <c r="F63" s="364" t="s">
        <v>200</v>
      </c>
      <c r="G63" s="331" t="s">
        <v>1870</v>
      </c>
      <c r="H63" s="332" t="s">
        <v>226</v>
      </c>
      <c r="I63" s="382" t="s">
        <v>43</v>
      </c>
      <c r="J63" s="334">
        <v>7643453</v>
      </c>
      <c r="K63" s="361">
        <v>0</v>
      </c>
      <c r="L63" s="361">
        <v>7638343</v>
      </c>
      <c r="M63" s="57">
        <v>0</v>
      </c>
      <c r="N63" s="18">
        <v>0</v>
      </c>
      <c r="O63" s="18">
        <v>0</v>
      </c>
      <c r="P63" s="18"/>
      <c r="Q63" s="18"/>
      <c r="R63" s="18"/>
      <c r="S63" s="57">
        <f t="shared" si="6"/>
        <v>0</v>
      </c>
      <c r="T63" s="371">
        <v>5088</v>
      </c>
      <c r="U63" s="19">
        <v>3</v>
      </c>
      <c r="V63" s="23">
        <v>44229</v>
      </c>
      <c r="W63" s="23">
        <v>44252</v>
      </c>
      <c r="X63" s="57"/>
      <c r="Y63" s="20"/>
      <c r="Z63" s="21"/>
      <c r="AA63" s="315"/>
      <c r="AB63" s="348"/>
      <c r="AC63" s="338"/>
      <c r="AD63" s="362"/>
      <c r="AE63" s="315"/>
      <c r="AF63" s="319"/>
      <c r="AG63" s="19"/>
      <c r="AH63" s="21"/>
      <c r="AI63" s="23"/>
      <c r="AJ63" s="309"/>
      <c r="AK63" s="19"/>
      <c r="AL63" s="21"/>
      <c r="AM63" s="25"/>
      <c r="AN63" s="356">
        <f t="shared" si="8"/>
        <v>5088</v>
      </c>
      <c r="AO63" s="341">
        <f t="shared" si="5"/>
        <v>5088</v>
      </c>
      <c r="AP63" s="148"/>
      <c r="AQ63" s="148"/>
      <c r="AR63" s="148"/>
      <c r="AS63" s="148"/>
      <c r="AT63" s="148"/>
      <c r="AU63" s="148"/>
      <c r="AV63" s="148"/>
      <c r="AW63" s="148"/>
      <c r="AX63" s="148"/>
      <c r="AY63" s="148"/>
      <c r="AZ63" s="148"/>
      <c r="BA63" s="148"/>
      <c r="BB63" s="148"/>
      <c r="BC63" s="148"/>
      <c r="BD63" s="148"/>
      <c r="BE63" s="148"/>
      <c r="BF63" s="148"/>
      <c r="BG63" s="148"/>
      <c r="BH63" s="148"/>
      <c r="BI63" s="148"/>
      <c r="BJ63" s="148"/>
      <c r="BK63" s="148"/>
      <c r="BL63" s="148"/>
      <c r="BM63" s="148"/>
      <c r="BN63" s="148"/>
      <c r="BO63" s="148"/>
      <c r="BP63" s="148"/>
      <c r="BQ63" s="148"/>
      <c r="BR63" s="148"/>
      <c r="BS63" s="148"/>
      <c r="BT63" s="148"/>
      <c r="BU63" s="148"/>
      <c r="BV63" s="148"/>
      <c r="BW63" s="148"/>
      <c r="BX63" s="148"/>
      <c r="BY63" s="148"/>
      <c r="BZ63" s="148"/>
      <c r="CA63" s="148"/>
      <c r="CB63" s="148"/>
      <c r="CC63" s="148"/>
      <c r="CD63" s="148"/>
      <c r="CE63" s="148"/>
      <c r="CF63" s="148"/>
      <c r="CG63" s="148"/>
      <c r="CH63" s="148"/>
      <c r="CI63" s="148"/>
      <c r="CJ63" s="148"/>
      <c r="CK63" s="148"/>
      <c r="CL63" s="148"/>
      <c r="CM63" s="148"/>
      <c r="CN63" s="148"/>
      <c r="CO63" s="148"/>
      <c r="CP63" s="148"/>
      <c r="CQ63" s="148"/>
      <c r="CR63" s="148"/>
      <c r="CS63" s="148"/>
      <c r="CT63" s="148"/>
      <c r="CU63" s="148"/>
      <c r="CV63" s="148"/>
      <c r="CW63" s="148"/>
      <c r="CX63" s="148"/>
      <c r="CY63" s="148"/>
      <c r="CZ63" s="148"/>
      <c r="DA63" s="148"/>
      <c r="DB63" s="148"/>
      <c r="DC63" s="148"/>
      <c r="DD63" s="148"/>
      <c r="DE63" s="148"/>
      <c r="DF63" s="148"/>
      <c r="DG63" s="148"/>
      <c r="DH63" s="148"/>
      <c r="DI63" s="148"/>
      <c r="DJ63" s="148"/>
      <c r="DK63" s="148"/>
      <c r="DL63" s="148"/>
      <c r="DM63" s="148"/>
      <c r="DN63" s="148"/>
      <c r="DO63" s="148"/>
      <c r="DP63" s="148"/>
      <c r="DQ63" s="148"/>
      <c r="DR63" s="148"/>
      <c r="DS63" s="148"/>
      <c r="DT63" s="148"/>
      <c r="DU63" s="148"/>
      <c r="DV63" s="148"/>
      <c r="DW63" s="148"/>
      <c r="DX63" s="148"/>
      <c r="DY63" s="148"/>
      <c r="DZ63" s="148"/>
      <c r="EA63" s="148"/>
    </row>
    <row r="64" spans="1:131" s="15" customFormat="1" x14ac:dyDescent="0.2">
      <c r="A64" s="148"/>
      <c r="B64" s="350">
        <f t="shared" si="4"/>
        <v>53</v>
      </c>
      <c r="C64" s="400" t="s">
        <v>38</v>
      </c>
      <c r="D64" s="357">
        <v>30423990</v>
      </c>
      <c r="E64" s="358" t="s">
        <v>1932</v>
      </c>
      <c r="F64" s="359" t="s">
        <v>200</v>
      </c>
      <c r="G64" s="345" t="s">
        <v>1870</v>
      </c>
      <c r="H64" s="343" t="s">
        <v>1878</v>
      </c>
      <c r="I64" s="346" t="s">
        <v>43</v>
      </c>
      <c r="J64" s="381">
        <v>817983</v>
      </c>
      <c r="K64" s="361">
        <v>0</v>
      </c>
      <c r="L64" s="361">
        <v>492983</v>
      </c>
      <c r="M64" s="57">
        <v>0</v>
      </c>
      <c r="N64" s="18">
        <v>0</v>
      </c>
      <c r="O64" s="18">
        <v>0</v>
      </c>
      <c r="P64" s="18"/>
      <c r="Q64" s="18"/>
      <c r="R64" s="18"/>
      <c r="S64" s="57">
        <f t="shared" si="6"/>
        <v>0</v>
      </c>
      <c r="T64" s="349">
        <v>325000</v>
      </c>
      <c r="U64" s="19">
        <v>3</v>
      </c>
      <c r="V64" s="23">
        <v>44229</v>
      </c>
      <c r="W64" s="23">
        <v>44252</v>
      </c>
      <c r="X64" s="57"/>
      <c r="Y64" s="20"/>
      <c r="Z64" s="21"/>
      <c r="AA64" s="315"/>
      <c r="AB64" s="348"/>
      <c r="AC64" s="338"/>
      <c r="AD64" s="362"/>
      <c r="AE64" s="315"/>
      <c r="AF64" s="319"/>
      <c r="AG64" s="19"/>
      <c r="AH64" s="21"/>
      <c r="AI64" s="23"/>
      <c r="AJ64" s="309"/>
      <c r="AK64" s="19"/>
      <c r="AL64" s="21"/>
      <c r="AM64" s="25"/>
      <c r="AN64" s="356">
        <f t="shared" si="8"/>
        <v>325000</v>
      </c>
      <c r="AO64" s="341">
        <f t="shared" si="5"/>
        <v>325000</v>
      </c>
      <c r="AP64" s="148"/>
      <c r="AQ64" s="148"/>
      <c r="AR64" s="148"/>
      <c r="AS64" s="148"/>
      <c r="AT64" s="148"/>
      <c r="AU64" s="148"/>
      <c r="AV64" s="148"/>
      <c r="AW64" s="148"/>
      <c r="AX64" s="148"/>
      <c r="AY64" s="148"/>
      <c r="AZ64" s="148"/>
      <c r="BA64" s="148"/>
      <c r="BB64" s="148"/>
      <c r="BC64" s="148"/>
      <c r="BD64" s="148"/>
      <c r="BE64" s="148"/>
      <c r="BF64" s="148"/>
      <c r="BG64" s="148"/>
      <c r="BH64" s="148"/>
      <c r="BI64" s="148"/>
      <c r="BJ64" s="148"/>
      <c r="BK64" s="148"/>
      <c r="BL64" s="148"/>
      <c r="BM64" s="148"/>
      <c r="BN64" s="148"/>
      <c r="BO64" s="148"/>
      <c r="BP64" s="148"/>
      <c r="BQ64" s="148"/>
      <c r="BR64" s="148"/>
      <c r="BS64" s="148"/>
      <c r="BT64" s="148"/>
      <c r="BU64" s="148"/>
      <c r="BV64" s="148"/>
      <c r="BW64" s="148"/>
      <c r="BX64" s="148"/>
      <c r="BY64" s="148"/>
      <c r="BZ64" s="148"/>
      <c r="CA64" s="148"/>
      <c r="CB64" s="148"/>
      <c r="CC64" s="148"/>
      <c r="CD64" s="148"/>
      <c r="CE64" s="148"/>
      <c r="CF64" s="148"/>
      <c r="CG64" s="148"/>
      <c r="CH64" s="148"/>
      <c r="CI64" s="148"/>
      <c r="CJ64" s="148"/>
      <c r="CK64" s="148"/>
      <c r="CL64" s="148"/>
      <c r="CM64" s="148"/>
      <c r="CN64" s="148"/>
      <c r="CO64" s="148"/>
      <c r="CP64" s="148"/>
      <c r="CQ64" s="148"/>
      <c r="CR64" s="148"/>
      <c r="CS64" s="148"/>
      <c r="CT64" s="148"/>
      <c r="CU64" s="148"/>
      <c r="CV64" s="148"/>
      <c r="CW64" s="148"/>
      <c r="CX64" s="148"/>
      <c r="CY64" s="148"/>
      <c r="CZ64" s="148"/>
      <c r="DA64" s="148"/>
      <c r="DB64" s="148"/>
      <c r="DC64" s="148"/>
      <c r="DD64" s="148"/>
      <c r="DE64" s="148"/>
      <c r="DF64" s="148"/>
      <c r="DG64" s="148"/>
      <c r="DH64" s="148"/>
      <c r="DI64" s="148"/>
      <c r="DJ64" s="148"/>
      <c r="DK64" s="148"/>
      <c r="DL64" s="148"/>
      <c r="DM64" s="148"/>
      <c r="DN64" s="148"/>
      <c r="DO64" s="148"/>
      <c r="DP64" s="148"/>
      <c r="DQ64" s="148"/>
      <c r="DR64" s="148"/>
      <c r="DS64" s="148"/>
      <c r="DT64" s="148"/>
      <c r="DU64" s="148"/>
      <c r="DV64" s="148"/>
      <c r="DW64" s="148"/>
      <c r="DX64" s="148"/>
      <c r="DY64" s="148"/>
      <c r="DZ64" s="148"/>
      <c r="EA64" s="148"/>
    </row>
    <row r="65" spans="1:131" s="15" customFormat="1" x14ac:dyDescent="0.2">
      <c r="A65" s="148"/>
      <c r="B65" s="350">
        <f t="shared" si="4"/>
        <v>54</v>
      </c>
      <c r="C65" s="400" t="s">
        <v>38</v>
      </c>
      <c r="D65" s="363">
        <v>30424073</v>
      </c>
      <c r="E65" s="330" t="s">
        <v>1933</v>
      </c>
      <c r="F65" s="364" t="s">
        <v>200</v>
      </c>
      <c r="G65" s="331" t="s">
        <v>1870</v>
      </c>
      <c r="H65" s="332" t="s">
        <v>1874</v>
      </c>
      <c r="I65" s="382" t="s">
        <v>43</v>
      </c>
      <c r="J65" s="334">
        <v>837396</v>
      </c>
      <c r="K65" s="361">
        <v>0</v>
      </c>
      <c r="L65" s="361">
        <v>528604</v>
      </c>
      <c r="M65" s="57">
        <v>0</v>
      </c>
      <c r="N65" s="18">
        <v>0</v>
      </c>
      <c r="O65" s="18">
        <v>0</v>
      </c>
      <c r="P65" s="18">
        <v>5000</v>
      </c>
      <c r="Q65" s="18"/>
      <c r="R65" s="18"/>
      <c r="S65" s="57">
        <f t="shared" si="6"/>
        <v>5000</v>
      </c>
      <c r="T65" s="371">
        <v>308438</v>
      </c>
      <c r="U65" s="19">
        <v>3</v>
      </c>
      <c r="V65" s="23">
        <v>44229</v>
      </c>
      <c r="W65" s="23">
        <v>44252</v>
      </c>
      <c r="X65" s="57"/>
      <c r="Y65" s="20"/>
      <c r="Z65" s="21"/>
      <c r="AA65" s="315"/>
      <c r="AB65" s="348"/>
      <c r="AC65" s="338"/>
      <c r="AD65" s="362"/>
      <c r="AE65" s="315"/>
      <c r="AF65" s="319"/>
      <c r="AG65" s="19"/>
      <c r="AH65" s="21"/>
      <c r="AI65" s="23"/>
      <c r="AJ65" s="309"/>
      <c r="AK65" s="19"/>
      <c r="AL65" s="21"/>
      <c r="AM65" s="25"/>
      <c r="AN65" s="356">
        <f t="shared" si="8"/>
        <v>308438</v>
      </c>
      <c r="AO65" s="341">
        <f t="shared" si="5"/>
        <v>303438</v>
      </c>
      <c r="AP65" s="148"/>
      <c r="AQ65" s="148"/>
      <c r="AR65" s="148"/>
      <c r="AS65" s="148"/>
      <c r="AT65" s="148"/>
      <c r="AU65" s="148"/>
      <c r="AV65" s="148"/>
      <c r="AW65" s="148"/>
      <c r="AX65" s="148"/>
      <c r="AY65" s="148"/>
      <c r="AZ65" s="148"/>
      <c r="BA65" s="148"/>
      <c r="BB65" s="148"/>
      <c r="BC65" s="148"/>
      <c r="BD65" s="148"/>
      <c r="BE65" s="148"/>
      <c r="BF65" s="148"/>
      <c r="BG65" s="148"/>
      <c r="BH65" s="148"/>
      <c r="BI65" s="148"/>
      <c r="BJ65" s="148"/>
      <c r="BK65" s="148"/>
      <c r="BL65" s="148"/>
      <c r="BM65" s="148"/>
      <c r="BN65" s="148"/>
      <c r="BO65" s="148"/>
      <c r="BP65" s="148"/>
      <c r="BQ65" s="148"/>
      <c r="BR65" s="148"/>
      <c r="BS65" s="148"/>
      <c r="BT65" s="148"/>
      <c r="BU65" s="148"/>
      <c r="BV65" s="148"/>
      <c r="BW65" s="148"/>
      <c r="BX65" s="148"/>
      <c r="BY65" s="148"/>
      <c r="BZ65" s="148"/>
      <c r="CA65" s="148"/>
      <c r="CB65" s="148"/>
      <c r="CC65" s="148"/>
      <c r="CD65" s="148"/>
      <c r="CE65" s="148"/>
      <c r="CF65" s="148"/>
      <c r="CG65" s="148"/>
      <c r="CH65" s="148"/>
      <c r="CI65" s="148"/>
      <c r="CJ65" s="148"/>
      <c r="CK65" s="148"/>
      <c r="CL65" s="148"/>
      <c r="CM65" s="148"/>
      <c r="CN65" s="148"/>
      <c r="CO65" s="148"/>
      <c r="CP65" s="148"/>
      <c r="CQ65" s="148"/>
      <c r="CR65" s="148"/>
      <c r="CS65" s="148"/>
      <c r="CT65" s="148"/>
      <c r="CU65" s="148"/>
      <c r="CV65" s="148"/>
      <c r="CW65" s="148"/>
      <c r="CX65" s="148"/>
      <c r="CY65" s="148"/>
      <c r="CZ65" s="148"/>
      <c r="DA65" s="148"/>
      <c r="DB65" s="148"/>
      <c r="DC65" s="148"/>
      <c r="DD65" s="148"/>
      <c r="DE65" s="148"/>
      <c r="DF65" s="148"/>
      <c r="DG65" s="148"/>
      <c r="DH65" s="148"/>
      <c r="DI65" s="148"/>
      <c r="DJ65" s="148"/>
      <c r="DK65" s="148"/>
      <c r="DL65" s="148"/>
      <c r="DM65" s="148"/>
      <c r="DN65" s="148"/>
      <c r="DO65" s="148"/>
      <c r="DP65" s="148"/>
      <c r="DQ65" s="148"/>
      <c r="DR65" s="148"/>
      <c r="DS65" s="148"/>
      <c r="DT65" s="148"/>
      <c r="DU65" s="148"/>
      <c r="DV65" s="148"/>
      <c r="DW65" s="148"/>
      <c r="DX65" s="148"/>
      <c r="DY65" s="148"/>
      <c r="DZ65" s="148"/>
      <c r="EA65" s="148"/>
    </row>
    <row r="66" spans="1:131" s="15" customFormat="1" x14ac:dyDescent="0.2">
      <c r="A66" s="148"/>
      <c r="B66" s="350">
        <f t="shared" si="4"/>
        <v>55</v>
      </c>
      <c r="C66" s="400" t="s">
        <v>38</v>
      </c>
      <c r="D66" s="357">
        <v>30487374</v>
      </c>
      <c r="E66" s="358" t="s">
        <v>1934</v>
      </c>
      <c r="F66" s="359" t="s">
        <v>200</v>
      </c>
      <c r="G66" s="345" t="s">
        <v>1870</v>
      </c>
      <c r="H66" s="343" t="s">
        <v>1884</v>
      </c>
      <c r="I66" s="346" t="s">
        <v>43</v>
      </c>
      <c r="J66" s="381">
        <v>440929</v>
      </c>
      <c r="K66" s="361">
        <v>270</v>
      </c>
      <c r="L66" s="361">
        <v>62954</v>
      </c>
      <c r="M66" s="57">
        <v>0</v>
      </c>
      <c r="N66" s="18">
        <v>0</v>
      </c>
      <c r="O66" s="18">
        <v>0</v>
      </c>
      <c r="P66" s="18">
        <v>5000</v>
      </c>
      <c r="Q66" s="18"/>
      <c r="R66" s="18"/>
      <c r="S66" s="57">
        <f t="shared" si="6"/>
        <v>5000</v>
      </c>
      <c r="T66" s="349">
        <v>376320</v>
      </c>
      <c r="U66" s="19">
        <v>3</v>
      </c>
      <c r="V66" s="23">
        <v>44229</v>
      </c>
      <c r="W66" s="23">
        <v>44252</v>
      </c>
      <c r="X66" s="57"/>
      <c r="Y66" s="20"/>
      <c r="Z66" s="21"/>
      <c r="AA66" s="315"/>
      <c r="AB66" s="348"/>
      <c r="AC66" s="338"/>
      <c r="AD66" s="362"/>
      <c r="AE66" s="315"/>
      <c r="AF66" s="319"/>
      <c r="AG66" s="19"/>
      <c r="AH66" s="21"/>
      <c r="AI66" s="23"/>
      <c r="AJ66" s="309"/>
      <c r="AK66" s="19"/>
      <c r="AL66" s="21"/>
      <c r="AM66" s="25"/>
      <c r="AN66" s="356">
        <f t="shared" si="8"/>
        <v>376320</v>
      </c>
      <c r="AO66" s="341">
        <f t="shared" si="5"/>
        <v>371320</v>
      </c>
      <c r="AP66" s="148"/>
      <c r="AQ66" s="148"/>
      <c r="AR66" s="148"/>
      <c r="AS66" s="148"/>
      <c r="AT66" s="148"/>
      <c r="AU66" s="148"/>
      <c r="AV66" s="148"/>
      <c r="AW66" s="148"/>
      <c r="AX66" s="148"/>
      <c r="AY66" s="148"/>
      <c r="AZ66" s="148"/>
      <c r="BA66" s="148"/>
      <c r="BB66" s="148"/>
      <c r="BC66" s="148"/>
      <c r="BD66" s="148"/>
      <c r="BE66" s="148"/>
      <c r="BF66" s="148"/>
      <c r="BG66" s="148"/>
      <c r="BH66" s="148"/>
      <c r="BI66" s="148"/>
      <c r="BJ66" s="148"/>
      <c r="BK66" s="148"/>
      <c r="BL66" s="148"/>
      <c r="BM66" s="148"/>
      <c r="BN66" s="148"/>
      <c r="BO66" s="148"/>
      <c r="BP66" s="148"/>
      <c r="BQ66" s="148"/>
      <c r="BR66" s="148"/>
      <c r="BS66" s="148"/>
      <c r="BT66" s="148"/>
      <c r="BU66" s="148"/>
      <c r="BV66" s="148"/>
      <c r="BW66" s="148"/>
      <c r="BX66" s="148"/>
      <c r="BY66" s="148"/>
      <c r="BZ66" s="148"/>
      <c r="CA66" s="148"/>
      <c r="CB66" s="148"/>
      <c r="CC66" s="148"/>
      <c r="CD66" s="148"/>
      <c r="CE66" s="148"/>
      <c r="CF66" s="148"/>
      <c r="CG66" s="148"/>
      <c r="CH66" s="148"/>
      <c r="CI66" s="148"/>
      <c r="CJ66" s="148"/>
      <c r="CK66" s="148"/>
      <c r="CL66" s="148"/>
      <c r="CM66" s="148"/>
      <c r="CN66" s="148"/>
      <c r="CO66" s="148"/>
      <c r="CP66" s="148"/>
      <c r="CQ66" s="148"/>
      <c r="CR66" s="148"/>
      <c r="CS66" s="148"/>
      <c r="CT66" s="148"/>
      <c r="CU66" s="148"/>
      <c r="CV66" s="148"/>
      <c r="CW66" s="148"/>
      <c r="CX66" s="148"/>
      <c r="CY66" s="148"/>
      <c r="CZ66" s="148"/>
      <c r="DA66" s="148"/>
      <c r="DB66" s="148"/>
      <c r="DC66" s="148"/>
      <c r="DD66" s="148"/>
      <c r="DE66" s="148"/>
      <c r="DF66" s="148"/>
      <c r="DG66" s="148"/>
      <c r="DH66" s="148"/>
      <c r="DI66" s="148"/>
      <c r="DJ66" s="148"/>
      <c r="DK66" s="148"/>
      <c r="DL66" s="148"/>
      <c r="DM66" s="148"/>
      <c r="DN66" s="148"/>
      <c r="DO66" s="148"/>
      <c r="DP66" s="148"/>
      <c r="DQ66" s="148"/>
      <c r="DR66" s="148"/>
      <c r="DS66" s="148"/>
      <c r="DT66" s="148"/>
      <c r="DU66" s="148"/>
      <c r="DV66" s="148"/>
      <c r="DW66" s="148"/>
      <c r="DX66" s="148"/>
      <c r="DY66" s="148"/>
      <c r="DZ66" s="148"/>
      <c r="EA66" s="148"/>
    </row>
    <row r="67" spans="1:131" s="15" customFormat="1" x14ac:dyDescent="0.2">
      <c r="A67" s="148"/>
      <c r="B67" s="350">
        <f t="shared" si="4"/>
        <v>56</v>
      </c>
      <c r="C67" s="400" t="s">
        <v>38</v>
      </c>
      <c r="D67" s="363">
        <v>40009760</v>
      </c>
      <c r="E67" s="330" t="s">
        <v>1935</v>
      </c>
      <c r="F67" s="364" t="s">
        <v>204</v>
      </c>
      <c r="G67" s="331" t="s">
        <v>1870</v>
      </c>
      <c r="H67" s="332" t="s">
        <v>226</v>
      </c>
      <c r="I67" s="382" t="s">
        <v>43</v>
      </c>
      <c r="J67" s="334">
        <v>838373</v>
      </c>
      <c r="K67" s="361">
        <v>0</v>
      </c>
      <c r="L67" s="361">
        <v>121601</v>
      </c>
      <c r="M67" s="57">
        <v>0</v>
      </c>
      <c r="N67" s="18">
        <v>0</v>
      </c>
      <c r="O67" s="18">
        <v>0</v>
      </c>
      <c r="P67" s="18">
        <v>500000</v>
      </c>
      <c r="Q67" s="18"/>
      <c r="R67" s="18"/>
      <c r="S67" s="57">
        <f t="shared" si="6"/>
        <v>500000</v>
      </c>
      <c r="T67" s="371">
        <v>705500</v>
      </c>
      <c r="U67" s="19">
        <v>3</v>
      </c>
      <c r="V67" s="23">
        <v>44229</v>
      </c>
      <c r="W67" s="23">
        <v>44252</v>
      </c>
      <c r="X67" s="57"/>
      <c r="Y67" s="20"/>
      <c r="Z67" s="21"/>
      <c r="AA67" s="315"/>
      <c r="AB67" s="348"/>
      <c r="AC67" s="338"/>
      <c r="AD67" s="362"/>
      <c r="AE67" s="315"/>
      <c r="AF67" s="319"/>
      <c r="AG67" s="19"/>
      <c r="AH67" s="21"/>
      <c r="AI67" s="23"/>
      <c r="AJ67" s="309"/>
      <c r="AK67" s="19"/>
      <c r="AL67" s="21"/>
      <c r="AM67" s="25"/>
      <c r="AN67" s="356">
        <f t="shared" si="8"/>
        <v>705500</v>
      </c>
      <c r="AO67" s="341">
        <f t="shared" si="5"/>
        <v>205500</v>
      </c>
      <c r="AP67" s="148"/>
      <c r="AQ67" s="148"/>
      <c r="AR67" s="148"/>
      <c r="AS67" s="148"/>
      <c r="AT67" s="148"/>
      <c r="AU67" s="148"/>
      <c r="AV67" s="148"/>
      <c r="AW67" s="148"/>
      <c r="AX67" s="148"/>
      <c r="AY67" s="148"/>
      <c r="AZ67" s="148"/>
      <c r="BA67" s="148"/>
      <c r="BB67" s="148"/>
      <c r="BC67" s="148"/>
      <c r="BD67" s="148"/>
      <c r="BE67" s="148"/>
      <c r="BF67" s="148"/>
      <c r="BG67" s="148"/>
      <c r="BH67" s="148"/>
      <c r="BI67" s="148"/>
      <c r="BJ67" s="148"/>
      <c r="BK67" s="148"/>
      <c r="BL67" s="148"/>
      <c r="BM67" s="148"/>
      <c r="BN67" s="148"/>
      <c r="BO67" s="148"/>
      <c r="BP67" s="148"/>
      <c r="BQ67" s="148"/>
      <c r="BR67" s="148"/>
      <c r="BS67" s="148"/>
      <c r="BT67" s="148"/>
      <c r="BU67" s="148"/>
      <c r="BV67" s="148"/>
      <c r="BW67" s="148"/>
      <c r="BX67" s="148"/>
      <c r="BY67" s="148"/>
      <c r="BZ67" s="148"/>
      <c r="CA67" s="148"/>
      <c r="CB67" s="148"/>
      <c r="CC67" s="148"/>
      <c r="CD67" s="148"/>
      <c r="CE67" s="148"/>
      <c r="CF67" s="148"/>
      <c r="CG67" s="148"/>
      <c r="CH67" s="148"/>
      <c r="CI67" s="148"/>
      <c r="CJ67" s="148"/>
      <c r="CK67" s="148"/>
      <c r="CL67" s="148"/>
      <c r="CM67" s="148"/>
      <c r="CN67" s="148"/>
      <c r="CO67" s="148"/>
      <c r="CP67" s="148"/>
      <c r="CQ67" s="148"/>
      <c r="CR67" s="148"/>
      <c r="CS67" s="148"/>
      <c r="CT67" s="148"/>
      <c r="CU67" s="148"/>
      <c r="CV67" s="148"/>
      <c r="CW67" s="148"/>
      <c r="CX67" s="148"/>
      <c r="CY67" s="148"/>
      <c r="CZ67" s="148"/>
      <c r="DA67" s="148"/>
      <c r="DB67" s="148"/>
      <c r="DC67" s="148"/>
      <c r="DD67" s="148"/>
      <c r="DE67" s="148"/>
      <c r="DF67" s="148"/>
      <c r="DG67" s="148"/>
      <c r="DH67" s="148"/>
      <c r="DI67" s="148"/>
      <c r="DJ67" s="148"/>
      <c r="DK67" s="148"/>
      <c r="DL67" s="148"/>
      <c r="DM67" s="148"/>
      <c r="DN67" s="148"/>
      <c r="DO67" s="148"/>
      <c r="DP67" s="148"/>
      <c r="DQ67" s="148"/>
      <c r="DR67" s="148"/>
      <c r="DS67" s="148"/>
      <c r="DT67" s="148"/>
      <c r="DU67" s="148"/>
      <c r="DV67" s="148"/>
      <c r="DW67" s="148"/>
      <c r="DX67" s="148"/>
      <c r="DY67" s="148"/>
      <c r="DZ67" s="148"/>
      <c r="EA67" s="148"/>
    </row>
    <row r="68" spans="1:131" s="15" customFormat="1" x14ac:dyDescent="0.2">
      <c r="A68" s="148"/>
      <c r="B68" s="350">
        <f t="shared" si="4"/>
        <v>57</v>
      </c>
      <c r="C68" s="400" t="s">
        <v>38</v>
      </c>
      <c r="D68" s="357">
        <v>40018374</v>
      </c>
      <c r="E68" s="358" t="s">
        <v>1936</v>
      </c>
      <c r="F68" s="366" t="s">
        <v>200</v>
      </c>
      <c r="G68" s="345" t="s">
        <v>1870</v>
      </c>
      <c r="H68" s="343" t="s">
        <v>1884</v>
      </c>
      <c r="I68" s="346" t="s">
        <v>43</v>
      </c>
      <c r="J68" s="385">
        <v>473507</v>
      </c>
      <c r="K68" s="361">
        <v>0</v>
      </c>
      <c r="L68" s="361">
        <v>238333</v>
      </c>
      <c r="M68" s="57">
        <v>0</v>
      </c>
      <c r="N68" s="18">
        <v>0</v>
      </c>
      <c r="O68" s="18">
        <v>0</v>
      </c>
      <c r="P68" s="18"/>
      <c r="Q68" s="18">
        <v>1000</v>
      </c>
      <c r="R68" s="18"/>
      <c r="S68" s="57">
        <f t="shared" si="6"/>
        <v>1000</v>
      </c>
      <c r="T68" s="349">
        <v>235152</v>
      </c>
      <c r="U68" s="19">
        <v>3</v>
      </c>
      <c r="V68" s="23">
        <v>44229</v>
      </c>
      <c r="W68" s="23">
        <v>44252</v>
      </c>
      <c r="X68" s="57"/>
      <c r="Y68" s="20"/>
      <c r="Z68" s="21"/>
      <c r="AA68" s="315"/>
      <c r="AB68" s="348"/>
      <c r="AC68" s="338"/>
      <c r="AD68" s="362"/>
      <c r="AE68" s="315"/>
      <c r="AF68" s="319"/>
      <c r="AG68" s="19"/>
      <c r="AH68" s="21"/>
      <c r="AI68" s="23"/>
      <c r="AJ68" s="309"/>
      <c r="AK68" s="19"/>
      <c r="AL68" s="21"/>
      <c r="AM68" s="25"/>
      <c r="AN68" s="356">
        <f t="shared" si="8"/>
        <v>235152</v>
      </c>
      <c r="AO68" s="341">
        <f t="shared" si="5"/>
        <v>234152</v>
      </c>
      <c r="AP68" s="148"/>
      <c r="AQ68" s="148"/>
      <c r="AR68" s="148"/>
      <c r="AS68" s="148"/>
      <c r="AT68" s="148"/>
      <c r="AU68" s="148"/>
      <c r="AV68" s="148"/>
      <c r="AW68" s="148"/>
      <c r="AX68" s="148"/>
      <c r="AY68" s="148"/>
      <c r="AZ68" s="148"/>
      <c r="BA68" s="148"/>
      <c r="BB68" s="148"/>
      <c r="BC68" s="148"/>
      <c r="BD68" s="148"/>
      <c r="BE68" s="148"/>
      <c r="BF68" s="148"/>
      <c r="BG68" s="148"/>
      <c r="BH68" s="148"/>
      <c r="BI68" s="148"/>
      <c r="BJ68" s="148"/>
      <c r="BK68" s="148"/>
      <c r="BL68" s="148"/>
      <c r="BM68" s="148"/>
      <c r="BN68" s="148"/>
      <c r="BO68" s="148"/>
      <c r="BP68" s="148"/>
      <c r="BQ68" s="148"/>
      <c r="BR68" s="148"/>
      <c r="BS68" s="148"/>
      <c r="BT68" s="148"/>
      <c r="BU68" s="148"/>
      <c r="BV68" s="148"/>
      <c r="BW68" s="148"/>
      <c r="BX68" s="148"/>
      <c r="BY68" s="148"/>
      <c r="BZ68" s="148"/>
      <c r="CA68" s="148"/>
      <c r="CB68" s="148"/>
      <c r="CC68" s="148"/>
      <c r="CD68" s="148"/>
      <c r="CE68" s="148"/>
      <c r="CF68" s="148"/>
      <c r="CG68" s="148"/>
      <c r="CH68" s="148"/>
      <c r="CI68" s="148"/>
      <c r="CJ68" s="148"/>
      <c r="CK68" s="148"/>
      <c r="CL68" s="148"/>
      <c r="CM68" s="148"/>
      <c r="CN68" s="148"/>
      <c r="CO68" s="148"/>
      <c r="CP68" s="148"/>
      <c r="CQ68" s="148"/>
      <c r="CR68" s="148"/>
      <c r="CS68" s="148"/>
      <c r="CT68" s="148"/>
      <c r="CU68" s="148"/>
      <c r="CV68" s="148"/>
      <c r="CW68" s="148"/>
      <c r="CX68" s="148"/>
      <c r="CY68" s="148"/>
      <c r="CZ68" s="148"/>
      <c r="DA68" s="148"/>
      <c r="DB68" s="148"/>
      <c r="DC68" s="148"/>
      <c r="DD68" s="148"/>
      <c r="DE68" s="148"/>
      <c r="DF68" s="148"/>
      <c r="DG68" s="148"/>
      <c r="DH68" s="148"/>
      <c r="DI68" s="148"/>
      <c r="DJ68" s="148"/>
      <c r="DK68" s="148"/>
      <c r="DL68" s="148"/>
      <c r="DM68" s="148"/>
      <c r="DN68" s="148"/>
      <c r="DO68" s="148"/>
      <c r="DP68" s="148"/>
      <c r="DQ68" s="148"/>
      <c r="DR68" s="148"/>
      <c r="DS68" s="148"/>
      <c r="DT68" s="148"/>
      <c r="DU68" s="148"/>
      <c r="DV68" s="148"/>
      <c r="DW68" s="148"/>
      <c r="DX68" s="148"/>
      <c r="DY68" s="148"/>
      <c r="DZ68" s="148"/>
      <c r="EA68" s="148"/>
    </row>
    <row r="69" spans="1:131" s="15" customFormat="1" x14ac:dyDescent="0.2">
      <c r="A69" s="148"/>
      <c r="B69" s="350">
        <f t="shared" si="4"/>
        <v>58</v>
      </c>
      <c r="C69" s="400" t="s">
        <v>38</v>
      </c>
      <c r="D69" s="363">
        <v>40023066</v>
      </c>
      <c r="E69" s="330" t="s">
        <v>1937</v>
      </c>
      <c r="F69" s="364" t="s">
        <v>204</v>
      </c>
      <c r="G69" s="331" t="s">
        <v>1870</v>
      </c>
      <c r="H69" s="332" t="s">
        <v>1878</v>
      </c>
      <c r="I69" s="382" t="s">
        <v>43</v>
      </c>
      <c r="J69" s="388">
        <v>89839</v>
      </c>
      <c r="K69" s="361">
        <v>0</v>
      </c>
      <c r="L69" s="361">
        <v>70634</v>
      </c>
      <c r="M69" s="57">
        <v>0</v>
      </c>
      <c r="N69" s="18">
        <v>0</v>
      </c>
      <c r="O69" s="18">
        <v>0</v>
      </c>
      <c r="P69" s="18"/>
      <c r="Q69" s="18">
        <v>1762</v>
      </c>
      <c r="R69" s="18"/>
      <c r="S69" s="57">
        <f t="shared" si="6"/>
        <v>1762</v>
      </c>
      <c r="T69" s="371">
        <v>19165</v>
      </c>
      <c r="U69" s="19">
        <v>3</v>
      </c>
      <c r="V69" s="23">
        <v>44229</v>
      </c>
      <c r="W69" s="23">
        <v>44252</v>
      </c>
      <c r="X69" s="57"/>
      <c r="Y69" s="20"/>
      <c r="Z69" s="21"/>
      <c r="AA69" s="315"/>
      <c r="AB69" s="348"/>
      <c r="AC69" s="338"/>
      <c r="AD69" s="362"/>
      <c r="AE69" s="315"/>
      <c r="AF69" s="319"/>
      <c r="AG69" s="19"/>
      <c r="AH69" s="21"/>
      <c r="AI69" s="23"/>
      <c r="AJ69" s="309"/>
      <c r="AK69" s="19"/>
      <c r="AL69" s="21"/>
      <c r="AM69" s="25"/>
      <c r="AN69" s="356">
        <f t="shared" si="8"/>
        <v>19165</v>
      </c>
      <c r="AO69" s="341">
        <f t="shared" si="5"/>
        <v>17403</v>
      </c>
      <c r="AP69" s="148"/>
      <c r="AQ69" s="148"/>
      <c r="AR69" s="148"/>
      <c r="AS69" s="148"/>
      <c r="AT69" s="148"/>
      <c r="AU69" s="148"/>
      <c r="AV69" s="148"/>
      <c r="AW69" s="148"/>
      <c r="AX69" s="148"/>
      <c r="AY69" s="148"/>
      <c r="AZ69" s="148"/>
      <c r="BA69" s="148"/>
      <c r="BB69" s="148"/>
      <c r="BC69" s="148"/>
      <c r="BD69" s="148"/>
      <c r="BE69" s="148"/>
      <c r="BF69" s="148"/>
      <c r="BG69" s="148"/>
      <c r="BH69" s="148"/>
      <c r="BI69" s="148"/>
      <c r="BJ69" s="148"/>
      <c r="BK69" s="148"/>
      <c r="BL69" s="148"/>
      <c r="BM69" s="148"/>
      <c r="BN69" s="148"/>
      <c r="BO69" s="148"/>
      <c r="BP69" s="148"/>
      <c r="BQ69" s="148"/>
      <c r="BR69" s="148"/>
      <c r="BS69" s="148"/>
      <c r="BT69" s="148"/>
      <c r="BU69" s="148"/>
      <c r="BV69" s="148"/>
      <c r="BW69" s="148"/>
      <c r="BX69" s="148"/>
      <c r="BY69" s="148"/>
      <c r="BZ69" s="148"/>
      <c r="CA69" s="148"/>
      <c r="CB69" s="148"/>
      <c r="CC69" s="148"/>
      <c r="CD69" s="148"/>
      <c r="CE69" s="148"/>
      <c r="CF69" s="148"/>
      <c r="CG69" s="148"/>
      <c r="CH69" s="148"/>
      <c r="CI69" s="148"/>
      <c r="CJ69" s="148"/>
      <c r="CK69" s="148"/>
      <c r="CL69" s="148"/>
      <c r="CM69" s="148"/>
      <c r="CN69" s="148"/>
      <c r="CO69" s="148"/>
      <c r="CP69" s="148"/>
      <c r="CQ69" s="148"/>
      <c r="CR69" s="148"/>
      <c r="CS69" s="148"/>
      <c r="CT69" s="148"/>
      <c r="CU69" s="148"/>
      <c r="CV69" s="148"/>
      <c r="CW69" s="148"/>
      <c r="CX69" s="148"/>
      <c r="CY69" s="148"/>
      <c r="CZ69" s="148"/>
      <c r="DA69" s="148"/>
      <c r="DB69" s="148"/>
      <c r="DC69" s="148"/>
      <c r="DD69" s="148"/>
      <c r="DE69" s="148"/>
      <c r="DF69" s="148"/>
      <c r="DG69" s="148"/>
      <c r="DH69" s="148"/>
      <c r="DI69" s="148"/>
      <c r="DJ69" s="148"/>
      <c r="DK69" s="148"/>
      <c r="DL69" s="148"/>
      <c r="DM69" s="148"/>
      <c r="DN69" s="148"/>
      <c r="DO69" s="148"/>
      <c r="DP69" s="148"/>
      <c r="DQ69" s="148"/>
      <c r="DR69" s="148"/>
      <c r="DS69" s="148"/>
      <c r="DT69" s="148"/>
      <c r="DU69" s="148"/>
      <c r="DV69" s="148"/>
      <c r="DW69" s="148"/>
      <c r="DX69" s="148"/>
      <c r="DY69" s="148"/>
      <c r="DZ69" s="148"/>
      <c r="EA69" s="148"/>
    </row>
    <row r="70" spans="1:131" s="15" customFormat="1" x14ac:dyDescent="0.2">
      <c r="A70" s="148"/>
      <c r="B70" s="350">
        <f t="shared" si="4"/>
        <v>59</v>
      </c>
      <c r="C70" s="400" t="s">
        <v>38</v>
      </c>
      <c r="D70" s="357">
        <v>40026579</v>
      </c>
      <c r="E70" s="358" t="s">
        <v>1938</v>
      </c>
      <c r="F70" s="366" t="s">
        <v>204</v>
      </c>
      <c r="G70" s="345" t="s">
        <v>1870</v>
      </c>
      <c r="H70" s="343" t="s">
        <v>1880</v>
      </c>
      <c r="I70" s="346" t="s">
        <v>43</v>
      </c>
      <c r="J70" s="385">
        <v>96146</v>
      </c>
      <c r="K70" s="361">
        <v>0</v>
      </c>
      <c r="L70" s="361">
        <v>0</v>
      </c>
      <c r="M70" s="57">
        <v>0</v>
      </c>
      <c r="N70" s="18">
        <v>0</v>
      </c>
      <c r="O70" s="18">
        <v>0</v>
      </c>
      <c r="P70" s="18"/>
      <c r="Q70" s="18"/>
      <c r="R70" s="18"/>
      <c r="S70" s="57">
        <f t="shared" si="6"/>
        <v>0</v>
      </c>
      <c r="T70" s="349">
        <v>94030</v>
      </c>
      <c r="U70" s="19">
        <v>3</v>
      </c>
      <c r="V70" s="23">
        <v>44229</v>
      </c>
      <c r="W70" s="23">
        <v>44252</v>
      </c>
      <c r="X70" s="57"/>
      <c r="Y70" s="20"/>
      <c r="Z70" s="21"/>
      <c r="AA70" s="315"/>
      <c r="AB70" s="348"/>
      <c r="AC70" s="338"/>
      <c r="AD70" s="362"/>
      <c r="AE70" s="315"/>
      <c r="AF70" s="319"/>
      <c r="AG70" s="19"/>
      <c r="AH70" s="21"/>
      <c r="AI70" s="23"/>
      <c r="AJ70" s="309"/>
      <c r="AK70" s="19"/>
      <c r="AL70" s="21"/>
      <c r="AM70" s="25"/>
      <c r="AN70" s="356">
        <f t="shared" si="8"/>
        <v>94030</v>
      </c>
      <c r="AO70" s="341">
        <f t="shared" si="5"/>
        <v>94030</v>
      </c>
      <c r="AP70" s="148"/>
      <c r="AQ70" s="148"/>
      <c r="AR70" s="148"/>
      <c r="AS70" s="148"/>
      <c r="AT70" s="148"/>
      <c r="AU70" s="148"/>
      <c r="AV70" s="148"/>
      <c r="AW70" s="148"/>
      <c r="AX70" s="148"/>
      <c r="AY70" s="148"/>
      <c r="AZ70" s="148"/>
      <c r="BA70" s="148"/>
      <c r="BB70" s="148"/>
      <c r="BC70" s="148"/>
      <c r="BD70" s="148"/>
      <c r="BE70" s="148"/>
      <c r="BF70" s="148"/>
      <c r="BG70" s="148"/>
      <c r="BH70" s="148"/>
      <c r="BI70" s="148"/>
      <c r="BJ70" s="148"/>
      <c r="BK70" s="148"/>
      <c r="BL70" s="148"/>
      <c r="BM70" s="148"/>
      <c r="BN70" s="148"/>
      <c r="BO70" s="148"/>
      <c r="BP70" s="148"/>
      <c r="BQ70" s="148"/>
      <c r="BR70" s="148"/>
      <c r="BS70" s="148"/>
      <c r="BT70" s="148"/>
      <c r="BU70" s="148"/>
      <c r="BV70" s="148"/>
      <c r="BW70" s="148"/>
      <c r="BX70" s="148"/>
      <c r="BY70" s="148"/>
      <c r="BZ70" s="148"/>
      <c r="CA70" s="148"/>
      <c r="CB70" s="148"/>
      <c r="CC70" s="148"/>
      <c r="CD70" s="148"/>
      <c r="CE70" s="148"/>
      <c r="CF70" s="148"/>
      <c r="CG70" s="148"/>
      <c r="CH70" s="148"/>
      <c r="CI70" s="148"/>
      <c r="CJ70" s="148"/>
      <c r="CK70" s="148"/>
      <c r="CL70" s="148"/>
      <c r="CM70" s="148"/>
      <c r="CN70" s="148"/>
      <c r="CO70" s="148"/>
      <c r="CP70" s="148"/>
      <c r="CQ70" s="148"/>
      <c r="CR70" s="148"/>
      <c r="CS70" s="148"/>
      <c r="CT70" s="148"/>
      <c r="CU70" s="148"/>
      <c r="CV70" s="148"/>
      <c r="CW70" s="148"/>
      <c r="CX70" s="148"/>
      <c r="CY70" s="148"/>
      <c r="CZ70" s="148"/>
      <c r="DA70" s="148"/>
      <c r="DB70" s="148"/>
      <c r="DC70" s="148"/>
      <c r="DD70" s="148"/>
      <c r="DE70" s="148"/>
      <c r="DF70" s="148"/>
      <c r="DG70" s="148"/>
      <c r="DH70" s="148"/>
      <c r="DI70" s="148"/>
      <c r="DJ70" s="148"/>
      <c r="DK70" s="148"/>
      <c r="DL70" s="148"/>
      <c r="DM70" s="148"/>
      <c r="DN70" s="148"/>
      <c r="DO70" s="148"/>
      <c r="DP70" s="148"/>
      <c r="DQ70" s="148"/>
      <c r="DR70" s="148"/>
      <c r="DS70" s="148"/>
      <c r="DT70" s="148"/>
      <c r="DU70" s="148"/>
      <c r="DV70" s="148"/>
      <c r="DW70" s="148"/>
      <c r="DX70" s="148"/>
      <c r="DY70" s="148"/>
      <c r="DZ70" s="148"/>
      <c r="EA70" s="148"/>
    </row>
    <row r="71" spans="1:131" s="15" customFormat="1" ht="22.5" x14ac:dyDescent="0.2">
      <c r="A71" s="148"/>
      <c r="B71" s="350">
        <f t="shared" si="4"/>
        <v>60</v>
      </c>
      <c r="C71" s="328" t="s">
        <v>40</v>
      </c>
      <c r="D71" s="402">
        <v>30323673</v>
      </c>
      <c r="E71" s="403" t="s">
        <v>1939</v>
      </c>
      <c r="F71" s="404" t="s">
        <v>1869</v>
      </c>
      <c r="G71" s="331" t="s">
        <v>1870</v>
      </c>
      <c r="H71" s="332" t="s">
        <v>226</v>
      </c>
      <c r="I71" s="346" t="s">
        <v>43</v>
      </c>
      <c r="J71" s="385">
        <v>179057</v>
      </c>
      <c r="K71" s="348">
        <v>91386</v>
      </c>
      <c r="L71" s="348">
        <v>46360</v>
      </c>
      <c r="M71" s="57">
        <v>0</v>
      </c>
      <c r="N71" s="18">
        <v>0</v>
      </c>
      <c r="O71" s="18">
        <v>0</v>
      </c>
      <c r="P71" s="18"/>
      <c r="Q71" s="18"/>
      <c r="R71" s="18"/>
      <c r="S71" s="57">
        <f t="shared" si="6"/>
        <v>0</v>
      </c>
      <c r="T71" s="348">
        <v>41311</v>
      </c>
      <c r="U71" s="338">
        <v>31</v>
      </c>
      <c r="V71" s="315">
        <v>44293</v>
      </c>
      <c r="W71" s="315">
        <v>44307</v>
      </c>
      <c r="X71" s="57"/>
      <c r="Y71" s="20"/>
      <c r="Z71" s="21"/>
      <c r="AA71" s="315"/>
      <c r="AB71" s="348"/>
      <c r="AC71" s="338"/>
      <c r="AD71" s="362"/>
      <c r="AE71" s="315"/>
      <c r="AF71" s="319"/>
      <c r="AG71" s="19"/>
      <c r="AH71" s="21"/>
      <c r="AI71" s="23"/>
      <c r="AJ71" s="309"/>
      <c r="AK71" s="19"/>
      <c r="AL71" s="21"/>
      <c r="AM71" s="25"/>
      <c r="AN71" s="405">
        <f t="shared" si="8"/>
        <v>41311</v>
      </c>
      <c r="AO71" s="405">
        <f t="shared" si="5"/>
        <v>41311</v>
      </c>
      <c r="AP71" s="148"/>
      <c r="AQ71" s="148"/>
      <c r="AR71" s="148"/>
      <c r="AS71" s="148"/>
      <c r="AT71" s="148"/>
      <c r="AU71" s="148"/>
      <c r="AV71" s="148"/>
      <c r="AW71" s="148"/>
      <c r="AX71" s="148"/>
      <c r="AY71" s="148"/>
      <c r="AZ71" s="148"/>
      <c r="BA71" s="148"/>
      <c r="BB71" s="148"/>
      <c r="BC71" s="148"/>
      <c r="BD71" s="148"/>
      <c r="BE71" s="148"/>
      <c r="BF71" s="148"/>
      <c r="BG71" s="148"/>
      <c r="BH71" s="148"/>
      <c r="BI71" s="148"/>
      <c r="BJ71" s="148"/>
      <c r="BK71" s="148"/>
      <c r="BL71" s="148"/>
      <c r="BM71" s="148"/>
      <c r="BN71" s="148"/>
      <c r="BO71" s="148"/>
      <c r="BP71" s="148"/>
      <c r="BQ71" s="148"/>
      <c r="BR71" s="148"/>
      <c r="BS71" s="148"/>
      <c r="BT71" s="148"/>
      <c r="BU71" s="148"/>
      <c r="BV71" s="148"/>
      <c r="BW71" s="148"/>
      <c r="BX71" s="148"/>
      <c r="BY71" s="148"/>
      <c r="BZ71" s="148"/>
      <c r="CA71" s="148"/>
      <c r="CB71" s="148"/>
      <c r="CC71" s="148"/>
      <c r="CD71" s="148"/>
      <c r="CE71" s="148"/>
      <c r="CF71" s="148"/>
      <c r="CG71" s="148"/>
      <c r="CH71" s="148"/>
      <c r="CI71" s="148"/>
      <c r="CJ71" s="148"/>
      <c r="CK71" s="148"/>
      <c r="CL71" s="148"/>
      <c r="CM71" s="148"/>
      <c r="CN71" s="148"/>
      <c r="CO71" s="148"/>
      <c r="CP71" s="148"/>
      <c r="CQ71" s="148"/>
      <c r="CR71" s="148"/>
      <c r="CS71" s="148"/>
      <c r="CT71" s="148"/>
      <c r="CU71" s="148"/>
      <c r="CV71" s="148"/>
      <c r="CW71" s="148"/>
      <c r="CX71" s="148"/>
      <c r="CY71" s="148"/>
      <c r="CZ71" s="148"/>
      <c r="DA71" s="148"/>
      <c r="DB71" s="148"/>
      <c r="DC71" s="148"/>
      <c r="DD71" s="148"/>
      <c r="DE71" s="148"/>
      <c r="DF71" s="148"/>
      <c r="DG71" s="148"/>
      <c r="DH71" s="148"/>
      <c r="DI71" s="148"/>
      <c r="DJ71" s="148"/>
      <c r="DK71" s="148"/>
      <c r="DL71" s="148"/>
      <c r="DM71" s="148"/>
      <c r="DN71" s="148"/>
      <c r="DO71" s="148"/>
      <c r="DP71" s="148"/>
      <c r="DQ71" s="148"/>
      <c r="DR71" s="148"/>
      <c r="DS71" s="148"/>
      <c r="DT71" s="148"/>
      <c r="DU71" s="148"/>
      <c r="DV71" s="148"/>
      <c r="DW71" s="148"/>
      <c r="DX71" s="148"/>
      <c r="DY71" s="148"/>
      <c r="DZ71" s="148"/>
      <c r="EA71" s="148"/>
    </row>
    <row r="72" spans="1:131" s="15" customFormat="1" ht="22.5" x14ac:dyDescent="0.2">
      <c r="A72" s="148"/>
      <c r="B72" s="350">
        <f t="shared" si="4"/>
        <v>61</v>
      </c>
      <c r="C72" s="328" t="s">
        <v>40</v>
      </c>
      <c r="D72" s="402">
        <v>40004633</v>
      </c>
      <c r="E72" s="403" t="s">
        <v>1916</v>
      </c>
      <c r="F72" s="406" t="s">
        <v>1869</v>
      </c>
      <c r="G72" s="345" t="s">
        <v>1870</v>
      </c>
      <c r="H72" s="343" t="s">
        <v>1884</v>
      </c>
      <c r="I72" s="346" t="s">
        <v>43</v>
      </c>
      <c r="J72" s="385">
        <v>140350</v>
      </c>
      <c r="K72" s="348">
        <v>0</v>
      </c>
      <c r="L72" s="348">
        <v>90170</v>
      </c>
      <c r="M72" s="57">
        <v>0</v>
      </c>
      <c r="N72" s="18">
        <v>0</v>
      </c>
      <c r="O72" s="18">
        <v>0</v>
      </c>
      <c r="P72" s="18"/>
      <c r="Q72" s="18"/>
      <c r="R72" s="57">
        <v>21026</v>
      </c>
      <c r="S72" s="57">
        <f t="shared" ref="S72" si="9">SUM(M72:R72)</f>
        <v>21026</v>
      </c>
      <c r="T72" s="348">
        <v>50180</v>
      </c>
      <c r="U72" s="338">
        <v>31</v>
      </c>
      <c r="V72" s="315">
        <v>44293</v>
      </c>
      <c r="W72" s="315">
        <v>44307</v>
      </c>
      <c r="X72" s="348"/>
      <c r="Y72" s="338"/>
      <c r="Z72" s="315"/>
      <c r="AA72" s="315"/>
      <c r="AB72" s="348"/>
      <c r="AC72" s="338"/>
      <c r="AD72" s="362"/>
      <c r="AE72" s="315"/>
      <c r="AF72" s="319"/>
      <c r="AG72" s="19"/>
      <c r="AH72" s="21"/>
      <c r="AI72" s="23"/>
      <c r="AJ72" s="309"/>
      <c r="AK72" s="19"/>
      <c r="AL72" s="21"/>
      <c r="AM72" s="25"/>
      <c r="AN72" s="407">
        <f t="shared" si="8"/>
        <v>50180</v>
      </c>
      <c r="AO72" s="407">
        <f t="shared" si="5"/>
        <v>29154</v>
      </c>
      <c r="AP72" s="148"/>
      <c r="AQ72" s="148"/>
      <c r="AR72" s="148"/>
      <c r="AS72" s="148"/>
      <c r="AT72" s="148"/>
      <c r="AU72" s="148"/>
      <c r="AV72" s="148"/>
      <c r="AW72" s="148"/>
      <c r="AX72" s="148"/>
      <c r="AY72" s="148"/>
      <c r="AZ72" s="148"/>
      <c r="BA72" s="148"/>
      <c r="BB72" s="148"/>
      <c r="BC72" s="148"/>
      <c r="BD72" s="148"/>
      <c r="BE72" s="148"/>
      <c r="BF72" s="148"/>
      <c r="BG72" s="148"/>
      <c r="BH72" s="148"/>
      <c r="BI72" s="148"/>
      <c r="BJ72" s="148"/>
      <c r="BK72" s="148"/>
      <c r="BL72" s="148"/>
      <c r="BM72" s="148"/>
      <c r="BN72" s="148"/>
      <c r="BO72" s="148"/>
      <c r="BP72" s="148"/>
      <c r="BQ72" s="148"/>
      <c r="BR72" s="148"/>
      <c r="BS72" s="148"/>
      <c r="BT72" s="148"/>
      <c r="BU72" s="148"/>
      <c r="BV72" s="148"/>
      <c r="BW72" s="148"/>
      <c r="BX72" s="148"/>
      <c r="BY72" s="148"/>
      <c r="BZ72" s="148"/>
      <c r="CA72" s="148"/>
      <c r="CB72" s="148"/>
      <c r="CC72" s="148"/>
      <c r="CD72" s="148"/>
      <c r="CE72" s="148"/>
      <c r="CF72" s="148"/>
      <c r="CG72" s="148"/>
      <c r="CH72" s="148"/>
      <c r="CI72" s="148"/>
      <c r="CJ72" s="148"/>
      <c r="CK72" s="148"/>
      <c r="CL72" s="148"/>
      <c r="CM72" s="148"/>
      <c r="CN72" s="148"/>
      <c r="CO72" s="148"/>
      <c r="CP72" s="148"/>
      <c r="CQ72" s="148"/>
      <c r="CR72" s="148"/>
      <c r="CS72" s="148"/>
      <c r="CT72" s="148"/>
      <c r="CU72" s="148"/>
      <c r="CV72" s="148"/>
      <c r="CW72" s="148"/>
      <c r="CX72" s="148"/>
      <c r="CY72" s="148"/>
      <c r="CZ72" s="148"/>
      <c r="DA72" s="148"/>
      <c r="DB72" s="148"/>
      <c r="DC72" s="148"/>
      <c r="DD72" s="148"/>
      <c r="DE72" s="148"/>
      <c r="DF72" s="148"/>
      <c r="DG72" s="148"/>
      <c r="DH72" s="148"/>
      <c r="DI72" s="148"/>
      <c r="DJ72" s="148"/>
      <c r="DK72" s="148"/>
      <c r="DL72" s="148"/>
      <c r="DM72" s="148"/>
      <c r="DN72" s="148"/>
      <c r="DO72" s="148"/>
      <c r="DP72" s="148"/>
      <c r="DQ72" s="148"/>
      <c r="DR72" s="148"/>
      <c r="DS72" s="148"/>
      <c r="DT72" s="148"/>
      <c r="DU72" s="148"/>
      <c r="DV72" s="148"/>
      <c r="DW72" s="148"/>
      <c r="DX72" s="148"/>
      <c r="DY72" s="148"/>
      <c r="DZ72" s="148"/>
      <c r="EA72" s="148"/>
    </row>
    <row r="73" spans="1:131" s="15" customFormat="1" ht="22.5" x14ac:dyDescent="0.2">
      <c r="A73" s="148"/>
      <c r="B73" s="350">
        <f t="shared" si="4"/>
        <v>62</v>
      </c>
      <c r="C73" s="400" t="s">
        <v>38</v>
      </c>
      <c r="D73" s="402">
        <v>30120147</v>
      </c>
      <c r="E73" s="403" t="s">
        <v>1940</v>
      </c>
      <c r="F73" s="404" t="s">
        <v>200</v>
      </c>
      <c r="G73" s="345" t="s">
        <v>1870</v>
      </c>
      <c r="H73" s="332" t="s">
        <v>1874</v>
      </c>
      <c r="I73" s="346" t="s">
        <v>43</v>
      </c>
      <c r="J73" s="385">
        <v>4031630</v>
      </c>
      <c r="K73" s="361">
        <v>0</v>
      </c>
      <c r="L73" s="361">
        <v>3480958</v>
      </c>
      <c r="M73" s="57">
        <v>0</v>
      </c>
      <c r="N73" s="18">
        <v>0</v>
      </c>
      <c r="O73" s="18">
        <v>0</v>
      </c>
      <c r="P73" s="18"/>
      <c r="Q73" s="18"/>
      <c r="R73" s="18">
        <v>30674</v>
      </c>
      <c r="S73" s="57">
        <f t="shared" si="6"/>
        <v>30674</v>
      </c>
      <c r="T73" s="348">
        <v>550672</v>
      </c>
      <c r="U73" s="338">
        <v>31</v>
      </c>
      <c r="V73" s="315">
        <v>44293</v>
      </c>
      <c r="W73" s="315">
        <v>44307</v>
      </c>
      <c r="X73" s="57"/>
      <c r="Y73" s="20"/>
      <c r="Z73" s="21"/>
      <c r="AA73" s="315"/>
      <c r="AB73" s="348"/>
      <c r="AC73" s="338"/>
      <c r="AD73" s="362"/>
      <c r="AE73" s="315"/>
      <c r="AF73" s="319"/>
      <c r="AG73" s="19"/>
      <c r="AH73" s="21"/>
      <c r="AI73" s="23"/>
      <c r="AJ73" s="309"/>
      <c r="AK73" s="19"/>
      <c r="AL73" s="21"/>
      <c r="AM73" s="25"/>
      <c r="AN73" s="407">
        <f t="shared" si="8"/>
        <v>550672</v>
      </c>
      <c r="AO73" s="407">
        <f t="shared" si="5"/>
        <v>519998</v>
      </c>
      <c r="AP73" s="148"/>
      <c r="AQ73" s="148"/>
      <c r="AR73" s="148"/>
      <c r="AS73" s="148"/>
      <c r="AT73" s="148"/>
      <c r="AU73" s="148"/>
      <c r="AV73" s="148"/>
      <c r="AW73" s="148"/>
      <c r="AX73" s="148"/>
      <c r="AY73" s="148"/>
      <c r="AZ73" s="148"/>
      <c r="BA73" s="148"/>
      <c r="BB73" s="148"/>
      <c r="BC73" s="148"/>
      <c r="BD73" s="148"/>
      <c r="BE73" s="148"/>
      <c r="BF73" s="148"/>
      <c r="BG73" s="148"/>
      <c r="BH73" s="148"/>
      <c r="BI73" s="148"/>
      <c r="BJ73" s="148"/>
      <c r="BK73" s="148"/>
      <c r="BL73" s="148"/>
      <c r="BM73" s="148"/>
      <c r="BN73" s="148"/>
      <c r="BO73" s="148"/>
      <c r="BP73" s="148"/>
      <c r="BQ73" s="148"/>
      <c r="BR73" s="148"/>
      <c r="BS73" s="148"/>
      <c r="BT73" s="148"/>
      <c r="BU73" s="148"/>
      <c r="BV73" s="148"/>
      <c r="BW73" s="148"/>
      <c r="BX73" s="148"/>
      <c r="BY73" s="148"/>
      <c r="BZ73" s="148"/>
      <c r="CA73" s="148"/>
      <c r="CB73" s="148"/>
      <c r="CC73" s="148"/>
      <c r="CD73" s="148"/>
      <c r="CE73" s="148"/>
      <c r="CF73" s="148"/>
      <c r="CG73" s="148"/>
      <c r="CH73" s="148"/>
      <c r="CI73" s="148"/>
      <c r="CJ73" s="148"/>
      <c r="CK73" s="148"/>
      <c r="CL73" s="148"/>
      <c r="CM73" s="148"/>
      <c r="CN73" s="148"/>
      <c r="CO73" s="148"/>
      <c r="CP73" s="148"/>
      <c r="CQ73" s="148"/>
      <c r="CR73" s="148"/>
      <c r="CS73" s="148"/>
      <c r="CT73" s="148"/>
      <c r="CU73" s="148"/>
      <c r="CV73" s="148"/>
      <c r="CW73" s="148"/>
      <c r="CX73" s="148"/>
      <c r="CY73" s="148"/>
      <c r="CZ73" s="148"/>
      <c r="DA73" s="148"/>
      <c r="DB73" s="148"/>
      <c r="DC73" s="148"/>
      <c r="DD73" s="148"/>
      <c r="DE73" s="148"/>
      <c r="DF73" s="148"/>
      <c r="DG73" s="148"/>
      <c r="DH73" s="148"/>
      <c r="DI73" s="148"/>
      <c r="DJ73" s="148"/>
      <c r="DK73" s="148"/>
      <c r="DL73" s="148"/>
      <c r="DM73" s="148"/>
      <c r="DN73" s="148"/>
      <c r="DO73" s="148"/>
      <c r="DP73" s="148"/>
      <c r="DQ73" s="148"/>
      <c r="DR73" s="148"/>
      <c r="DS73" s="148"/>
      <c r="DT73" s="148"/>
      <c r="DU73" s="148"/>
      <c r="DV73" s="148"/>
      <c r="DW73" s="148"/>
      <c r="DX73" s="148"/>
      <c r="DY73" s="148"/>
      <c r="DZ73" s="148"/>
      <c r="EA73" s="148"/>
    </row>
    <row r="74" spans="1:131" s="15" customFormat="1" ht="22.5" x14ac:dyDescent="0.2">
      <c r="A74" s="148"/>
      <c r="B74" s="350">
        <f t="shared" si="4"/>
        <v>63</v>
      </c>
      <c r="C74" s="327" t="s">
        <v>38</v>
      </c>
      <c r="D74" s="402">
        <v>30371072</v>
      </c>
      <c r="E74" s="403" t="s">
        <v>1941</v>
      </c>
      <c r="F74" s="406" t="s">
        <v>200</v>
      </c>
      <c r="G74" s="345" t="s">
        <v>1870</v>
      </c>
      <c r="H74" s="343" t="s">
        <v>1871</v>
      </c>
      <c r="I74" s="346" t="s">
        <v>43</v>
      </c>
      <c r="J74" s="385">
        <v>770766</v>
      </c>
      <c r="K74" s="361">
        <v>0</v>
      </c>
      <c r="L74" s="361">
        <v>338760</v>
      </c>
      <c r="M74" s="57">
        <v>0</v>
      </c>
      <c r="N74" s="18">
        <v>0</v>
      </c>
      <c r="O74" s="18">
        <v>0</v>
      </c>
      <c r="P74" s="18"/>
      <c r="Q74" s="18"/>
      <c r="R74" s="18"/>
      <c r="S74" s="57">
        <f t="shared" si="6"/>
        <v>0</v>
      </c>
      <c r="T74" s="348">
        <v>432006</v>
      </c>
      <c r="U74" s="338">
        <v>31</v>
      </c>
      <c r="V74" s="315">
        <v>44293</v>
      </c>
      <c r="W74" s="315">
        <v>44307</v>
      </c>
      <c r="X74" s="57"/>
      <c r="Y74" s="20"/>
      <c r="Z74" s="21"/>
      <c r="AA74" s="315"/>
      <c r="AB74" s="348"/>
      <c r="AC74" s="338"/>
      <c r="AD74" s="362"/>
      <c r="AE74" s="315"/>
      <c r="AF74" s="319"/>
      <c r="AG74" s="19"/>
      <c r="AH74" s="21"/>
      <c r="AI74" s="23"/>
      <c r="AJ74" s="309"/>
      <c r="AK74" s="19"/>
      <c r="AL74" s="21"/>
      <c r="AM74" s="25"/>
      <c r="AN74" s="407">
        <f t="shared" si="8"/>
        <v>432006</v>
      </c>
      <c r="AO74" s="407">
        <f t="shared" si="5"/>
        <v>432006</v>
      </c>
      <c r="AP74" s="148"/>
      <c r="AQ74" s="148"/>
      <c r="AR74" s="148"/>
      <c r="AS74" s="148"/>
      <c r="AT74" s="148"/>
      <c r="AU74" s="148"/>
      <c r="AV74" s="148"/>
      <c r="AW74" s="148"/>
      <c r="AX74" s="148"/>
      <c r="AY74" s="148"/>
      <c r="AZ74" s="148"/>
      <c r="BA74" s="148"/>
      <c r="BB74" s="148"/>
      <c r="BC74" s="148"/>
      <c r="BD74" s="148"/>
      <c r="BE74" s="148"/>
      <c r="BF74" s="148"/>
      <c r="BG74" s="148"/>
      <c r="BH74" s="148"/>
      <c r="BI74" s="148"/>
      <c r="BJ74" s="148"/>
      <c r="BK74" s="148"/>
      <c r="BL74" s="148"/>
      <c r="BM74" s="148"/>
      <c r="BN74" s="148"/>
      <c r="BO74" s="148"/>
      <c r="BP74" s="148"/>
      <c r="BQ74" s="148"/>
      <c r="BR74" s="148"/>
      <c r="BS74" s="148"/>
      <c r="BT74" s="148"/>
      <c r="BU74" s="148"/>
      <c r="BV74" s="148"/>
      <c r="BW74" s="148"/>
      <c r="BX74" s="148"/>
      <c r="BY74" s="148"/>
      <c r="BZ74" s="148"/>
      <c r="CA74" s="148"/>
      <c r="CB74" s="148"/>
      <c r="CC74" s="148"/>
      <c r="CD74" s="148"/>
      <c r="CE74" s="148"/>
      <c r="CF74" s="148"/>
      <c r="CG74" s="148"/>
      <c r="CH74" s="148"/>
      <c r="CI74" s="148"/>
      <c r="CJ74" s="148"/>
      <c r="CK74" s="148"/>
      <c r="CL74" s="148"/>
      <c r="CM74" s="148"/>
      <c r="CN74" s="148"/>
      <c r="CO74" s="148"/>
      <c r="CP74" s="148"/>
      <c r="CQ74" s="148"/>
      <c r="CR74" s="148"/>
      <c r="CS74" s="148"/>
      <c r="CT74" s="148"/>
      <c r="CU74" s="148"/>
      <c r="CV74" s="148"/>
      <c r="CW74" s="148"/>
      <c r="CX74" s="148"/>
      <c r="CY74" s="148"/>
      <c r="CZ74" s="148"/>
      <c r="DA74" s="148"/>
      <c r="DB74" s="148"/>
      <c r="DC74" s="148"/>
      <c r="DD74" s="148"/>
      <c r="DE74" s="148"/>
      <c r="DF74" s="148"/>
      <c r="DG74" s="148"/>
      <c r="DH74" s="148"/>
      <c r="DI74" s="148"/>
      <c r="DJ74" s="148"/>
      <c r="DK74" s="148"/>
      <c r="DL74" s="148"/>
      <c r="DM74" s="148"/>
      <c r="DN74" s="148"/>
      <c r="DO74" s="148"/>
      <c r="DP74" s="148"/>
      <c r="DQ74" s="148"/>
      <c r="DR74" s="148"/>
      <c r="DS74" s="148"/>
      <c r="DT74" s="148"/>
      <c r="DU74" s="148"/>
      <c r="DV74" s="148"/>
      <c r="DW74" s="148"/>
      <c r="DX74" s="148"/>
      <c r="DY74" s="148"/>
      <c r="DZ74" s="148"/>
      <c r="EA74" s="148"/>
    </row>
    <row r="75" spans="1:131" s="15" customFormat="1" x14ac:dyDescent="0.2">
      <c r="A75" s="148"/>
      <c r="B75" s="350">
        <f t="shared" si="4"/>
        <v>64</v>
      </c>
      <c r="C75" s="327" t="s">
        <v>38</v>
      </c>
      <c r="D75" s="402">
        <v>30405923</v>
      </c>
      <c r="E75" s="403" t="s">
        <v>1942</v>
      </c>
      <c r="F75" s="404" t="s">
        <v>200</v>
      </c>
      <c r="G75" s="408" t="s">
        <v>1870</v>
      </c>
      <c r="H75" s="332" t="s">
        <v>226</v>
      </c>
      <c r="I75" s="346" t="s">
        <v>43</v>
      </c>
      <c r="J75" s="385">
        <v>328643</v>
      </c>
      <c r="K75" s="361">
        <v>6405</v>
      </c>
      <c r="L75" s="361">
        <v>0</v>
      </c>
      <c r="M75" s="57">
        <v>0</v>
      </c>
      <c r="N75" s="18">
        <v>0</v>
      </c>
      <c r="O75" s="18">
        <v>0</v>
      </c>
      <c r="P75" s="18"/>
      <c r="Q75" s="18"/>
      <c r="R75" s="18"/>
      <c r="S75" s="57">
        <f t="shared" si="6"/>
        <v>0</v>
      </c>
      <c r="T75" s="348">
        <v>207912</v>
      </c>
      <c r="U75" s="338">
        <v>31</v>
      </c>
      <c r="V75" s="315">
        <v>44293</v>
      </c>
      <c r="W75" s="315">
        <v>44307</v>
      </c>
      <c r="X75" s="57"/>
      <c r="Y75" s="20"/>
      <c r="Z75" s="21"/>
      <c r="AA75" s="315"/>
      <c r="AB75" s="348"/>
      <c r="AC75" s="338"/>
      <c r="AD75" s="362"/>
      <c r="AE75" s="315"/>
      <c r="AF75" s="319"/>
      <c r="AG75" s="19"/>
      <c r="AH75" s="21"/>
      <c r="AI75" s="23"/>
      <c r="AJ75" s="309"/>
      <c r="AK75" s="19"/>
      <c r="AL75" s="21"/>
      <c r="AM75" s="25"/>
      <c r="AN75" s="407">
        <f t="shared" si="8"/>
        <v>207912</v>
      </c>
      <c r="AO75" s="407">
        <f t="shared" si="5"/>
        <v>207912</v>
      </c>
      <c r="AP75" s="148"/>
      <c r="AQ75" s="148"/>
      <c r="AR75" s="148"/>
      <c r="AS75" s="148"/>
      <c r="AT75" s="148"/>
      <c r="AU75" s="148"/>
      <c r="AV75" s="148"/>
      <c r="AW75" s="148"/>
      <c r="AX75" s="148"/>
      <c r="AY75" s="148"/>
      <c r="AZ75" s="148"/>
      <c r="BA75" s="148"/>
      <c r="BB75" s="148"/>
      <c r="BC75" s="148"/>
      <c r="BD75" s="148"/>
      <c r="BE75" s="148"/>
      <c r="BF75" s="148"/>
      <c r="BG75" s="148"/>
      <c r="BH75" s="148"/>
      <c r="BI75" s="148"/>
      <c r="BJ75" s="148"/>
      <c r="BK75" s="148"/>
      <c r="BL75" s="148"/>
      <c r="BM75" s="148"/>
      <c r="BN75" s="148"/>
      <c r="BO75" s="148"/>
      <c r="BP75" s="148"/>
      <c r="BQ75" s="148"/>
      <c r="BR75" s="148"/>
      <c r="BS75" s="148"/>
      <c r="BT75" s="148"/>
      <c r="BU75" s="148"/>
      <c r="BV75" s="148"/>
      <c r="BW75" s="148"/>
      <c r="BX75" s="148"/>
      <c r="BY75" s="148"/>
      <c r="BZ75" s="148"/>
      <c r="CA75" s="148"/>
      <c r="CB75" s="148"/>
      <c r="CC75" s="148"/>
      <c r="CD75" s="148"/>
      <c r="CE75" s="148"/>
      <c r="CF75" s="148"/>
      <c r="CG75" s="148"/>
      <c r="CH75" s="148"/>
      <c r="CI75" s="148"/>
      <c r="CJ75" s="148"/>
      <c r="CK75" s="148"/>
      <c r="CL75" s="148"/>
      <c r="CM75" s="148"/>
      <c r="CN75" s="148"/>
      <c r="CO75" s="148"/>
      <c r="CP75" s="148"/>
      <c r="CQ75" s="148"/>
      <c r="CR75" s="148"/>
      <c r="CS75" s="148"/>
      <c r="CT75" s="148"/>
      <c r="CU75" s="148"/>
      <c r="CV75" s="148"/>
      <c r="CW75" s="148"/>
      <c r="CX75" s="148"/>
      <c r="CY75" s="148"/>
      <c r="CZ75" s="148"/>
      <c r="DA75" s="148"/>
      <c r="DB75" s="148"/>
      <c r="DC75" s="148"/>
      <c r="DD75" s="148"/>
      <c r="DE75" s="148"/>
      <c r="DF75" s="148"/>
      <c r="DG75" s="148"/>
      <c r="DH75" s="148"/>
      <c r="DI75" s="148"/>
      <c r="DJ75" s="148"/>
      <c r="DK75" s="148"/>
      <c r="DL75" s="148"/>
      <c r="DM75" s="148"/>
      <c r="DN75" s="148"/>
      <c r="DO75" s="148"/>
      <c r="DP75" s="148"/>
      <c r="DQ75" s="148"/>
      <c r="DR75" s="148"/>
      <c r="DS75" s="148"/>
      <c r="DT75" s="148"/>
      <c r="DU75" s="148"/>
      <c r="DV75" s="148"/>
      <c r="DW75" s="148"/>
      <c r="DX75" s="148"/>
      <c r="DY75" s="148"/>
      <c r="DZ75" s="148"/>
      <c r="EA75" s="148"/>
    </row>
    <row r="76" spans="1:131" s="15" customFormat="1" ht="22.5" x14ac:dyDescent="0.2">
      <c r="A76" s="148"/>
      <c r="B76" s="350">
        <f t="shared" si="4"/>
        <v>65</v>
      </c>
      <c r="C76" s="400" t="s">
        <v>38</v>
      </c>
      <c r="D76" s="402">
        <v>30474284</v>
      </c>
      <c r="E76" s="403" t="s">
        <v>1943</v>
      </c>
      <c r="F76" s="366" t="s">
        <v>200</v>
      </c>
      <c r="G76" s="345" t="s">
        <v>1870</v>
      </c>
      <c r="H76" s="343" t="s">
        <v>1874</v>
      </c>
      <c r="I76" s="346" t="s">
        <v>43</v>
      </c>
      <c r="J76" s="385">
        <v>100540</v>
      </c>
      <c r="K76" s="361">
        <v>3257</v>
      </c>
      <c r="L76" s="361">
        <v>0</v>
      </c>
      <c r="M76" s="57">
        <v>0</v>
      </c>
      <c r="N76" s="18">
        <v>0</v>
      </c>
      <c r="O76" s="18">
        <v>0</v>
      </c>
      <c r="P76" s="18"/>
      <c r="Q76" s="18"/>
      <c r="R76" s="18"/>
      <c r="S76" s="57">
        <f t="shared" si="6"/>
        <v>0</v>
      </c>
      <c r="T76" s="348">
        <v>92650</v>
      </c>
      <c r="U76" s="338">
        <v>31</v>
      </c>
      <c r="V76" s="315">
        <v>44293</v>
      </c>
      <c r="W76" s="315">
        <v>44307</v>
      </c>
      <c r="X76" s="57"/>
      <c r="Y76" s="20"/>
      <c r="Z76" s="21"/>
      <c r="AA76" s="315"/>
      <c r="AB76" s="348"/>
      <c r="AC76" s="338"/>
      <c r="AD76" s="362"/>
      <c r="AE76" s="315"/>
      <c r="AF76" s="319"/>
      <c r="AG76" s="19"/>
      <c r="AH76" s="21"/>
      <c r="AI76" s="23"/>
      <c r="AJ76" s="309"/>
      <c r="AK76" s="19"/>
      <c r="AL76" s="21"/>
      <c r="AM76" s="25"/>
      <c r="AN76" s="407">
        <f t="shared" si="8"/>
        <v>92650</v>
      </c>
      <c r="AO76" s="407">
        <f t="shared" si="5"/>
        <v>92650</v>
      </c>
      <c r="AP76" s="148"/>
      <c r="AQ76" s="148"/>
      <c r="AR76" s="148"/>
      <c r="AS76" s="148"/>
      <c r="AT76" s="148"/>
      <c r="AU76" s="148"/>
      <c r="AV76" s="148"/>
      <c r="AW76" s="148"/>
      <c r="AX76" s="148"/>
      <c r="AY76" s="148"/>
      <c r="AZ76" s="148"/>
      <c r="BA76" s="148"/>
      <c r="BB76" s="148"/>
      <c r="BC76" s="148"/>
      <c r="BD76" s="148"/>
      <c r="BE76" s="148"/>
      <c r="BF76" s="148"/>
      <c r="BG76" s="148"/>
      <c r="BH76" s="148"/>
      <c r="BI76" s="148"/>
      <c r="BJ76" s="148"/>
      <c r="BK76" s="148"/>
      <c r="BL76" s="148"/>
      <c r="BM76" s="148"/>
      <c r="BN76" s="148"/>
      <c r="BO76" s="148"/>
      <c r="BP76" s="148"/>
      <c r="BQ76" s="148"/>
      <c r="BR76" s="148"/>
      <c r="BS76" s="148"/>
      <c r="BT76" s="148"/>
      <c r="BU76" s="148"/>
      <c r="BV76" s="148"/>
      <c r="BW76" s="148"/>
      <c r="BX76" s="148"/>
      <c r="BY76" s="148"/>
      <c r="BZ76" s="148"/>
      <c r="CA76" s="148"/>
      <c r="CB76" s="148"/>
      <c r="CC76" s="148"/>
      <c r="CD76" s="148"/>
      <c r="CE76" s="148"/>
      <c r="CF76" s="148"/>
      <c r="CG76" s="148"/>
      <c r="CH76" s="148"/>
      <c r="CI76" s="148"/>
      <c r="CJ76" s="148"/>
      <c r="CK76" s="148"/>
      <c r="CL76" s="148"/>
      <c r="CM76" s="148"/>
      <c r="CN76" s="148"/>
      <c r="CO76" s="148"/>
      <c r="CP76" s="148"/>
      <c r="CQ76" s="148"/>
      <c r="CR76" s="148"/>
      <c r="CS76" s="148"/>
      <c r="CT76" s="148"/>
      <c r="CU76" s="148"/>
      <c r="CV76" s="148"/>
      <c r="CW76" s="148"/>
      <c r="CX76" s="148"/>
      <c r="CY76" s="148"/>
      <c r="CZ76" s="148"/>
      <c r="DA76" s="148"/>
      <c r="DB76" s="148"/>
      <c r="DC76" s="148"/>
      <c r="DD76" s="148"/>
      <c r="DE76" s="148"/>
      <c r="DF76" s="148"/>
      <c r="DG76" s="148"/>
      <c r="DH76" s="148"/>
      <c r="DI76" s="148"/>
      <c r="DJ76" s="148"/>
      <c r="DK76" s="148"/>
      <c r="DL76" s="148"/>
      <c r="DM76" s="148"/>
      <c r="DN76" s="148"/>
      <c r="DO76" s="148"/>
      <c r="DP76" s="148"/>
      <c r="DQ76" s="148"/>
      <c r="DR76" s="148"/>
      <c r="DS76" s="148"/>
      <c r="DT76" s="148"/>
      <c r="DU76" s="148"/>
      <c r="DV76" s="148"/>
      <c r="DW76" s="148"/>
      <c r="DX76" s="148"/>
      <c r="DY76" s="148"/>
      <c r="DZ76" s="148"/>
      <c r="EA76" s="148"/>
    </row>
    <row r="77" spans="1:131" s="15" customFormat="1" ht="22.5" x14ac:dyDescent="0.2">
      <c r="A77" s="148"/>
      <c r="B77" s="350">
        <f t="shared" si="4"/>
        <v>66</v>
      </c>
      <c r="C77" s="400" t="s">
        <v>38</v>
      </c>
      <c r="D77" s="402">
        <v>30482630</v>
      </c>
      <c r="E77" s="403" t="s">
        <v>1944</v>
      </c>
      <c r="F77" s="330" t="s">
        <v>200</v>
      </c>
      <c r="G77" s="409" t="s">
        <v>1870</v>
      </c>
      <c r="H77" s="332" t="s">
        <v>1884</v>
      </c>
      <c r="I77" s="346" t="s">
        <v>43</v>
      </c>
      <c r="J77" s="385">
        <v>384286</v>
      </c>
      <c r="K77" s="361">
        <v>12727</v>
      </c>
      <c r="L77" s="361">
        <v>371558</v>
      </c>
      <c r="M77" s="57">
        <v>0</v>
      </c>
      <c r="N77" s="18">
        <v>0</v>
      </c>
      <c r="O77" s="18">
        <v>0</v>
      </c>
      <c r="P77" s="18"/>
      <c r="Q77" s="18"/>
      <c r="R77" s="18"/>
      <c r="S77" s="57">
        <f t="shared" si="6"/>
        <v>0</v>
      </c>
      <c r="T77" s="348">
        <v>1</v>
      </c>
      <c r="U77" s="338">
        <v>31</v>
      </c>
      <c r="V77" s="315">
        <v>44293</v>
      </c>
      <c r="W77" s="315">
        <v>44307</v>
      </c>
      <c r="X77" s="57"/>
      <c r="Y77" s="20"/>
      <c r="Z77" s="21"/>
      <c r="AA77" s="315"/>
      <c r="AB77" s="348"/>
      <c r="AC77" s="338"/>
      <c r="AD77" s="362"/>
      <c r="AE77" s="315"/>
      <c r="AF77" s="319"/>
      <c r="AG77" s="19"/>
      <c r="AH77" s="21"/>
      <c r="AI77" s="23"/>
      <c r="AJ77" s="309"/>
      <c r="AK77" s="19"/>
      <c r="AL77" s="21"/>
      <c r="AM77" s="25"/>
      <c r="AN77" s="407">
        <f t="shared" si="8"/>
        <v>1</v>
      </c>
      <c r="AO77" s="407">
        <f t="shared" si="5"/>
        <v>1</v>
      </c>
      <c r="AP77" s="148"/>
      <c r="AQ77" s="148"/>
      <c r="AR77" s="148"/>
      <c r="AS77" s="148"/>
      <c r="AT77" s="148"/>
      <c r="AU77" s="148"/>
      <c r="AV77" s="148"/>
      <c r="AW77" s="148"/>
      <c r="AX77" s="148"/>
      <c r="AY77" s="148"/>
      <c r="AZ77" s="148"/>
      <c r="BA77" s="148"/>
      <c r="BB77" s="148"/>
      <c r="BC77" s="148"/>
      <c r="BD77" s="148"/>
      <c r="BE77" s="148"/>
      <c r="BF77" s="148"/>
      <c r="BG77" s="148"/>
      <c r="BH77" s="148"/>
      <c r="BI77" s="148"/>
      <c r="BJ77" s="148"/>
      <c r="BK77" s="148"/>
      <c r="BL77" s="148"/>
      <c r="BM77" s="148"/>
      <c r="BN77" s="148"/>
      <c r="BO77" s="148"/>
      <c r="BP77" s="148"/>
      <c r="BQ77" s="148"/>
      <c r="BR77" s="148"/>
      <c r="BS77" s="148"/>
      <c r="BT77" s="148"/>
      <c r="BU77" s="148"/>
      <c r="BV77" s="148"/>
      <c r="BW77" s="148"/>
      <c r="BX77" s="148"/>
      <c r="BY77" s="148"/>
      <c r="BZ77" s="148"/>
      <c r="CA77" s="148"/>
      <c r="CB77" s="148"/>
      <c r="CC77" s="148"/>
      <c r="CD77" s="148"/>
      <c r="CE77" s="148"/>
      <c r="CF77" s="148"/>
      <c r="CG77" s="148"/>
      <c r="CH77" s="148"/>
      <c r="CI77" s="148"/>
      <c r="CJ77" s="148"/>
      <c r="CK77" s="148"/>
      <c r="CL77" s="148"/>
      <c r="CM77" s="148"/>
      <c r="CN77" s="148"/>
      <c r="CO77" s="148"/>
      <c r="CP77" s="148"/>
      <c r="CQ77" s="148"/>
      <c r="CR77" s="148"/>
      <c r="CS77" s="148"/>
      <c r="CT77" s="148"/>
      <c r="CU77" s="148"/>
      <c r="CV77" s="148"/>
      <c r="CW77" s="148"/>
      <c r="CX77" s="148"/>
      <c r="CY77" s="148"/>
      <c r="CZ77" s="148"/>
      <c r="DA77" s="148"/>
      <c r="DB77" s="148"/>
      <c r="DC77" s="148"/>
      <c r="DD77" s="148"/>
      <c r="DE77" s="148"/>
      <c r="DF77" s="148"/>
      <c r="DG77" s="148"/>
      <c r="DH77" s="148"/>
      <c r="DI77" s="148"/>
      <c r="DJ77" s="148"/>
      <c r="DK77" s="148"/>
      <c r="DL77" s="148"/>
      <c r="DM77" s="148"/>
      <c r="DN77" s="148"/>
      <c r="DO77" s="148"/>
      <c r="DP77" s="148"/>
      <c r="DQ77" s="148"/>
      <c r="DR77" s="148"/>
      <c r="DS77" s="148"/>
      <c r="DT77" s="148"/>
      <c r="DU77" s="148"/>
      <c r="DV77" s="148"/>
      <c r="DW77" s="148"/>
      <c r="DX77" s="148"/>
      <c r="DY77" s="148"/>
      <c r="DZ77" s="148"/>
      <c r="EA77" s="148"/>
    </row>
    <row r="78" spans="1:131" s="15" customFormat="1" ht="22.5" x14ac:dyDescent="0.2">
      <c r="A78" s="148"/>
      <c r="B78" s="350">
        <f t="shared" si="4"/>
        <v>67</v>
      </c>
      <c r="C78" s="400" t="s">
        <v>38</v>
      </c>
      <c r="D78" s="402">
        <v>30487163</v>
      </c>
      <c r="E78" s="403" t="s">
        <v>1945</v>
      </c>
      <c r="F78" s="410" t="s">
        <v>200</v>
      </c>
      <c r="G78" s="345" t="s">
        <v>1870</v>
      </c>
      <c r="H78" s="343" t="s">
        <v>1884</v>
      </c>
      <c r="I78" s="346" t="s">
        <v>43</v>
      </c>
      <c r="J78" s="385">
        <v>123211</v>
      </c>
      <c r="K78" s="361">
        <v>511</v>
      </c>
      <c r="L78" s="361">
        <v>122700</v>
      </c>
      <c r="M78" s="57">
        <v>0</v>
      </c>
      <c r="N78" s="18">
        <v>0</v>
      </c>
      <c r="O78" s="18">
        <v>0</v>
      </c>
      <c r="P78" s="18"/>
      <c r="Q78" s="18"/>
      <c r="R78" s="18">
        <v>20641</v>
      </c>
      <c r="S78" s="57">
        <f t="shared" si="6"/>
        <v>20641</v>
      </c>
      <c r="T78" s="348">
        <v>120000</v>
      </c>
      <c r="U78" s="338">
        <v>31</v>
      </c>
      <c r="V78" s="315">
        <v>44293</v>
      </c>
      <c r="W78" s="315">
        <v>44307</v>
      </c>
      <c r="X78" s="57"/>
      <c r="Y78" s="20"/>
      <c r="Z78" s="21"/>
      <c r="AA78" s="315"/>
      <c r="AB78" s="348"/>
      <c r="AC78" s="338"/>
      <c r="AD78" s="362"/>
      <c r="AE78" s="315"/>
      <c r="AF78" s="319"/>
      <c r="AG78" s="19"/>
      <c r="AH78" s="21"/>
      <c r="AI78" s="23"/>
      <c r="AJ78" s="309"/>
      <c r="AK78" s="19"/>
      <c r="AL78" s="21"/>
      <c r="AM78" s="25"/>
      <c r="AN78" s="407">
        <f t="shared" si="8"/>
        <v>120000</v>
      </c>
      <c r="AO78" s="407">
        <f t="shared" si="5"/>
        <v>99359</v>
      </c>
      <c r="AP78" s="148"/>
      <c r="AQ78" s="148"/>
      <c r="AR78" s="148"/>
      <c r="AS78" s="148"/>
      <c r="AT78" s="148"/>
      <c r="AU78" s="148"/>
      <c r="AV78" s="148"/>
      <c r="AW78" s="148"/>
      <c r="AX78" s="148"/>
      <c r="AY78" s="148"/>
      <c r="AZ78" s="148"/>
      <c r="BA78" s="148"/>
      <c r="BB78" s="148"/>
      <c r="BC78" s="148"/>
      <c r="BD78" s="148"/>
      <c r="BE78" s="148"/>
      <c r="BF78" s="148"/>
      <c r="BG78" s="148"/>
      <c r="BH78" s="148"/>
      <c r="BI78" s="148"/>
      <c r="BJ78" s="148"/>
      <c r="BK78" s="148"/>
      <c r="BL78" s="148"/>
      <c r="BM78" s="148"/>
      <c r="BN78" s="148"/>
      <c r="BO78" s="148"/>
      <c r="BP78" s="148"/>
      <c r="BQ78" s="148"/>
      <c r="BR78" s="148"/>
      <c r="BS78" s="148"/>
      <c r="BT78" s="148"/>
      <c r="BU78" s="148"/>
      <c r="BV78" s="148"/>
      <c r="BW78" s="148"/>
      <c r="BX78" s="148"/>
      <c r="BY78" s="148"/>
      <c r="BZ78" s="148"/>
      <c r="CA78" s="148"/>
      <c r="CB78" s="148"/>
      <c r="CC78" s="148"/>
      <c r="CD78" s="148"/>
      <c r="CE78" s="148"/>
      <c r="CF78" s="148"/>
      <c r="CG78" s="148"/>
      <c r="CH78" s="148"/>
      <c r="CI78" s="148"/>
      <c r="CJ78" s="148"/>
      <c r="CK78" s="148"/>
      <c r="CL78" s="148"/>
      <c r="CM78" s="148"/>
      <c r="CN78" s="148"/>
      <c r="CO78" s="148"/>
      <c r="CP78" s="148"/>
      <c r="CQ78" s="148"/>
      <c r="CR78" s="148"/>
      <c r="CS78" s="148"/>
      <c r="CT78" s="148"/>
      <c r="CU78" s="148"/>
      <c r="CV78" s="148"/>
      <c r="CW78" s="148"/>
      <c r="CX78" s="148"/>
      <c r="CY78" s="148"/>
      <c r="CZ78" s="148"/>
      <c r="DA78" s="148"/>
      <c r="DB78" s="148"/>
      <c r="DC78" s="148"/>
      <c r="DD78" s="148"/>
      <c r="DE78" s="148"/>
      <c r="DF78" s="148"/>
      <c r="DG78" s="148"/>
      <c r="DH78" s="148"/>
      <c r="DI78" s="148"/>
      <c r="DJ78" s="148"/>
      <c r="DK78" s="148"/>
      <c r="DL78" s="148"/>
      <c r="DM78" s="148"/>
      <c r="DN78" s="148"/>
      <c r="DO78" s="148"/>
      <c r="DP78" s="148"/>
      <c r="DQ78" s="148"/>
      <c r="DR78" s="148"/>
      <c r="DS78" s="148"/>
      <c r="DT78" s="148"/>
      <c r="DU78" s="148"/>
      <c r="DV78" s="148"/>
      <c r="DW78" s="148"/>
      <c r="DX78" s="148"/>
      <c r="DY78" s="148"/>
      <c r="DZ78" s="148"/>
      <c r="EA78" s="148"/>
    </row>
    <row r="79" spans="1:131" s="15" customFormat="1" ht="33.75" x14ac:dyDescent="0.2">
      <c r="A79" s="148"/>
      <c r="B79" s="350">
        <f t="shared" ref="B79:B87" si="10">+B78+1</f>
        <v>68</v>
      </c>
      <c r="C79" s="400" t="s">
        <v>38</v>
      </c>
      <c r="D79" s="402">
        <v>40000083</v>
      </c>
      <c r="E79" s="403" t="s">
        <v>1946</v>
      </c>
      <c r="F79" s="406" t="s">
        <v>200</v>
      </c>
      <c r="G79" s="345" t="s">
        <v>1870</v>
      </c>
      <c r="H79" s="343" t="s">
        <v>226</v>
      </c>
      <c r="I79" s="346" t="s">
        <v>43</v>
      </c>
      <c r="J79" s="385">
        <v>433408</v>
      </c>
      <c r="K79" s="361">
        <v>0</v>
      </c>
      <c r="L79" s="361">
        <v>301007</v>
      </c>
      <c r="M79" s="57">
        <v>0</v>
      </c>
      <c r="N79" s="18">
        <v>0</v>
      </c>
      <c r="O79" s="18">
        <v>0</v>
      </c>
      <c r="P79" s="18"/>
      <c r="Q79" s="18"/>
      <c r="R79" s="18"/>
      <c r="S79" s="57">
        <f t="shared" si="6"/>
        <v>0</v>
      </c>
      <c r="T79" s="348">
        <v>4090</v>
      </c>
      <c r="U79" s="338">
        <v>31</v>
      </c>
      <c r="V79" s="315">
        <v>44293</v>
      </c>
      <c r="W79" s="315">
        <v>44307</v>
      </c>
      <c r="X79" s="57"/>
      <c r="Y79" s="20"/>
      <c r="Z79" s="21"/>
      <c r="AA79" s="315"/>
      <c r="AB79" s="348"/>
      <c r="AC79" s="338"/>
      <c r="AD79" s="362"/>
      <c r="AE79" s="315"/>
      <c r="AF79" s="319"/>
      <c r="AG79" s="19"/>
      <c r="AH79" s="21"/>
      <c r="AI79" s="23"/>
      <c r="AJ79" s="309"/>
      <c r="AK79" s="19"/>
      <c r="AL79" s="21"/>
      <c r="AM79" s="25"/>
      <c r="AN79" s="407">
        <f t="shared" si="8"/>
        <v>4090</v>
      </c>
      <c r="AO79" s="407">
        <f t="shared" si="5"/>
        <v>4090</v>
      </c>
      <c r="AP79" s="148"/>
      <c r="AQ79" s="148"/>
      <c r="AR79" s="148"/>
      <c r="AS79" s="148"/>
      <c r="AT79" s="148"/>
      <c r="AU79" s="148"/>
      <c r="AV79" s="148"/>
      <c r="AW79" s="148"/>
      <c r="AX79" s="148"/>
      <c r="AY79" s="148"/>
      <c r="AZ79" s="148"/>
      <c r="BA79" s="148"/>
      <c r="BB79" s="148"/>
      <c r="BC79" s="148"/>
      <c r="BD79" s="148"/>
      <c r="BE79" s="148"/>
      <c r="BF79" s="148"/>
      <c r="BG79" s="148"/>
      <c r="BH79" s="148"/>
      <c r="BI79" s="148"/>
      <c r="BJ79" s="148"/>
      <c r="BK79" s="148"/>
      <c r="BL79" s="148"/>
      <c r="BM79" s="148"/>
      <c r="BN79" s="148"/>
      <c r="BO79" s="148"/>
      <c r="BP79" s="148"/>
      <c r="BQ79" s="148"/>
      <c r="BR79" s="148"/>
      <c r="BS79" s="148"/>
      <c r="BT79" s="148"/>
      <c r="BU79" s="148"/>
      <c r="BV79" s="148"/>
      <c r="BW79" s="148"/>
      <c r="BX79" s="148"/>
      <c r="BY79" s="148"/>
      <c r="BZ79" s="148"/>
      <c r="CA79" s="148"/>
      <c r="CB79" s="148"/>
      <c r="CC79" s="148"/>
      <c r="CD79" s="148"/>
      <c r="CE79" s="148"/>
      <c r="CF79" s="148"/>
      <c r="CG79" s="148"/>
      <c r="CH79" s="148"/>
      <c r="CI79" s="148"/>
      <c r="CJ79" s="148"/>
      <c r="CK79" s="148"/>
      <c r="CL79" s="148"/>
      <c r="CM79" s="148"/>
      <c r="CN79" s="148"/>
      <c r="CO79" s="148"/>
      <c r="CP79" s="148"/>
      <c r="CQ79" s="148"/>
      <c r="CR79" s="148"/>
      <c r="CS79" s="148"/>
      <c r="CT79" s="148"/>
      <c r="CU79" s="148"/>
      <c r="CV79" s="148"/>
      <c r="CW79" s="148"/>
      <c r="CX79" s="148"/>
      <c r="CY79" s="148"/>
      <c r="CZ79" s="148"/>
      <c r="DA79" s="148"/>
      <c r="DB79" s="148"/>
      <c r="DC79" s="148"/>
      <c r="DD79" s="148"/>
      <c r="DE79" s="148"/>
      <c r="DF79" s="148"/>
      <c r="DG79" s="148"/>
      <c r="DH79" s="148"/>
      <c r="DI79" s="148"/>
      <c r="DJ79" s="148"/>
      <c r="DK79" s="148"/>
      <c r="DL79" s="148"/>
      <c r="DM79" s="148"/>
      <c r="DN79" s="148"/>
      <c r="DO79" s="148"/>
      <c r="DP79" s="148"/>
      <c r="DQ79" s="148"/>
      <c r="DR79" s="148"/>
      <c r="DS79" s="148"/>
      <c r="DT79" s="148"/>
      <c r="DU79" s="148"/>
      <c r="DV79" s="148"/>
      <c r="DW79" s="148"/>
      <c r="DX79" s="148"/>
      <c r="DY79" s="148"/>
      <c r="DZ79" s="148"/>
      <c r="EA79" s="148"/>
    </row>
    <row r="80" spans="1:131" s="15" customFormat="1" ht="22.5" x14ac:dyDescent="0.2">
      <c r="A80" s="148"/>
      <c r="B80" s="350">
        <f t="shared" si="10"/>
        <v>69</v>
      </c>
      <c r="C80" s="400" t="s">
        <v>38</v>
      </c>
      <c r="D80" s="402">
        <v>40000423</v>
      </c>
      <c r="E80" s="403" t="s">
        <v>1947</v>
      </c>
      <c r="F80" s="404" t="s">
        <v>200</v>
      </c>
      <c r="G80" s="331" t="s">
        <v>1870</v>
      </c>
      <c r="H80" s="332" t="s">
        <v>1874</v>
      </c>
      <c r="I80" s="346" t="s">
        <v>43</v>
      </c>
      <c r="J80" s="385">
        <v>462754</v>
      </c>
      <c r="K80" s="361">
        <v>0</v>
      </c>
      <c r="L80" s="361">
        <v>257802</v>
      </c>
      <c r="M80" s="57">
        <v>0</v>
      </c>
      <c r="N80" s="18">
        <v>0</v>
      </c>
      <c r="O80" s="18">
        <v>0</v>
      </c>
      <c r="P80" s="18"/>
      <c r="Q80" s="18"/>
      <c r="R80" s="18"/>
      <c r="S80" s="57">
        <f t="shared" si="6"/>
        <v>0</v>
      </c>
      <c r="T80" s="348">
        <v>204499</v>
      </c>
      <c r="U80" s="338">
        <v>31</v>
      </c>
      <c r="V80" s="315">
        <v>44293</v>
      </c>
      <c r="W80" s="315">
        <v>44307</v>
      </c>
      <c r="X80" s="57"/>
      <c r="Y80" s="20"/>
      <c r="Z80" s="21"/>
      <c r="AA80" s="315"/>
      <c r="AB80" s="348"/>
      <c r="AC80" s="338"/>
      <c r="AD80" s="362"/>
      <c r="AE80" s="315"/>
      <c r="AF80" s="319"/>
      <c r="AG80" s="19"/>
      <c r="AH80" s="21"/>
      <c r="AI80" s="23"/>
      <c r="AJ80" s="309"/>
      <c r="AK80" s="19"/>
      <c r="AL80" s="21"/>
      <c r="AM80" s="25"/>
      <c r="AN80" s="407">
        <f t="shared" si="8"/>
        <v>204499</v>
      </c>
      <c r="AO80" s="407">
        <f t="shared" si="5"/>
        <v>204499</v>
      </c>
      <c r="AP80" s="148"/>
      <c r="AQ80" s="148"/>
      <c r="AR80" s="148"/>
      <c r="AS80" s="148"/>
      <c r="AT80" s="148"/>
      <c r="AU80" s="148"/>
      <c r="AV80" s="148"/>
      <c r="AW80" s="148"/>
      <c r="AX80" s="148"/>
      <c r="AY80" s="148"/>
      <c r="AZ80" s="148"/>
      <c r="BA80" s="148"/>
      <c r="BB80" s="148"/>
      <c r="BC80" s="148"/>
      <c r="BD80" s="148"/>
      <c r="BE80" s="148"/>
      <c r="BF80" s="148"/>
      <c r="BG80" s="148"/>
      <c r="BH80" s="148"/>
      <c r="BI80" s="148"/>
      <c r="BJ80" s="148"/>
      <c r="BK80" s="148"/>
      <c r="BL80" s="148"/>
      <c r="BM80" s="148"/>
      <c r="BN80" s="148"/>
      <c r="BO80" s="148"/>
      <c r="BP80" s="148"/>
      <c r="BQ80" s="148"/>
      <c r="BR80" s="148"/>
      <c r="BS80" s="148"/>
      <c r="BT80" s="148"/>
      <c r="BU80" s="148"/>
      <c r="BV80" s="148"/>
      <c r="BW80" s="148"/>
      <c r="BX80" s="148"/>
      <c r="BY80" s="148"/>
      <c r="BZ80" s="148"/>
      <c r="CA80" s="148"/>
      <c r="CB80" s="148"/>
      <c r="CC80" s="148"/>
      <c r="CD80" s="148"/>
      <c r="CE80" s="148"/>
      <c r="CF80" s="148"/>
      <c r="CG80" s="148"/>
      <c r="CH80" s="148"/>
      <c r="CI80" s="148"/>
      <c r="CJ80" s="148"/>
      <c r="CK80" s="148"/>
      <c r="CL80" s="148"/>
      <c r="CM80" s="148"/>
      <c r="CN80" s="148"/>
      <c r="CO80" s="148"/>
      <c r="CP80" s="148"/>
      <c r="CQ80" s="148"/>
      <c r="CR80" s="148"/>
      <c r="CS80" s="148"/>
      <c r="CT80" s="148"/>
      <c r="CU80" s="148"/>
      <c r="CV80" s="148"/>
      <c r="CW80" s="148"/>
      <c r="CX80" s="148"/>
      <c r="CY80" s="148"/>
      <c r="CZ80" s="148"/>
      <c r="DA80" s="148"/>
      <c r="DB80" s="148"/>
      <c r="DC80" s="148"/>
      <c r="DD80" s="148"/>
      <c r="DE80" s="148"/>
      <c r="DF80" s="148"/>
      <c r="DG80" s="148"/>
      <c r="DH80" s="148"/>
      <c r="DI80" s="148"/>
      <c r="DJ80" s="148"/>
      <c r="DK80" s="148"/>
      <c r="DL80" s="148"/>
      <c r="DM80" s="148"/>
      <c r="DN80" s="148"/>
      <c r="DO80" s="148"/>
      <c r="DP80" s="148"/>
      <c r="DQ80" s="148"/>
      <c r="DR80" s="148"/>
      <c r="DS80" s="148"/>
      <c r="DT80" s="148"/>
      <c r="DU80" s="148"/>
      <c r="DV80" s="148"/>
      <c r="DW80" s="148"/>
      <c r="DX80" s="148"/>
      <c r="DY80" s="148"/>
      <c r="DZ80" s="148"/>
      <c r="EA80" s="148"/>
    </row>
    <row r="81" spans="1:131" s="15" customFormat="1" ht="22.5" x14ac:dyDescent="0.2">
      <c r="A81" s="148"/>
      <c r="B81" s="350">
        <f t="shared" si="10"/>
        <v>70</v>
      </c>
      <c r="C81" s="400" t="s">
        <v>38</v>
      </c>
      <c r="D81" s="402">
        <v>40005327</v>
      </c>
      <c r="E81" s="403" t="s">
        <v>1948</v>
      </c>
      <c r="F81" s="410" t="s">
        <v>200</v>
      </c>
      <c r="G81" s="345" t="s">
        <v>1870</v>
      </c>
      <c r="H81" s="343" t="s">
        <v>1878</v>
      </c>
      <c r="I81" s="346" t="s">
        <v>43</v>
      </c>
      <c r="J81" s="385">
        <v>163084</v>
      </c>
      <c r="K81" s="361">
        <v>511</v>
      </c>
      <c r="L81" s="361">
        <v>62561</v>
      </c>
      <c r="M81" s="57">
        <v>0</v>
      </c>
      <c r="N81" s="18">
        <v>0</v>
      </c>
      <c r="O81" s="18">
        <v>0</v>
      </c>
      <c r="P81" s="18"/>
      <c r="Q81" s="18"/>
      <c r="R81" s="18"/>
      <c r="S81" s="57">
        <f t="shared" si="6"/>
        <v>0</v>
      </c>
      <c r="T81" s="348">
        <v>99999</v>
      </c>
      <c r="U81" s="338">
        <v>31</v>
      </c>
      <c r="V81" s="315">
        <v>44293</v>
      </c>
      <c r="W81" s="315">
        <v>44307</v>
      </c>
      <c r="X81" s="57"/>
      <c r="Y81" s="20"/>
      <c r="Z81" s="21"/>
      <c r="AA81" s="315"/>
      <c r="AB81" s="348"/>
      <c r="AC81" s="338"/>
      <c r="AD81" s="362"/>
      <c r="AE81" s="315"/>
      <c r="AF81" s="319"/>
      <c r="AG81" s="19"/>
      <c r="AH81" s="21"/>
      <c r="AI81" s="23"/>
      <c r="AJ81" s="309"/>
      <c r="AK81" s="19"/>
      <c r="AL81" s="21"/>
      <c r="AM81" s="25"/>
      <c r="AN81" s="407">
        <f t="shared" si="8"/>
        <v>99999</v>
      </c>
      <c r="AO81" s="407">
        <f t="shared" si="5"/>
        <v>99999</v>
      </c>
      <c r="AP81" s="148"/>
      <c r="AQ81" s="148"/>
      <c r="AR81" s="148"/>
      <c r="AS81" s="148"/>
      <c r="AT81" s="148"/>
      <c r="AU81" s="148"/>
      <c r="AV81" s="148"/>
      <c r="AW81" s="148"/>
      <c r="AX81" s="148"/>
      <c r="AY81" s="148"/>
      <c r="AZ81" s="148"/>
      <c r="BA81" s="148"/>
      <c r="BB81" s="148"/>
      <c r="BC81" s="148"/>
      <c r="BD81" s="148"/>
      <c r="BE81" s="148"/>
      <c r="BF81" s="148"/>
      <c r="BG81" s="148"/>
      <c r="BH81" s="148"/>
      <c r="BI81" s="148"/>
      <c r="BJ81" s="148"/>
      <c r="BK81" s="148"/>
      <c r="BL81" s="148"/>
      <c r="BM81" s="148"/>
      <c r="BN81" s="148"/>
      <c r="BO81" s="148"/>
      <c r="BP81" s="148"/>
      <c r="BQ81" s="148"/>
      <c r="BR81" s="148"/>
      <c r="BS81" s="148"/>
      <c r="BT81" s="148"/>
      <c r="BU81" s="148"/>
      <c r="BV81" s="148"/>
      <c r="BW81" s="148"/>
      <c r="BX81" s="148"/>
      <c r="BY81" s="148"/>
      <c r="BZ81" s="148"/>
      <c r="CA81" s="148"/>
      <c r="CB81" s="148"/>
      <c r="CC81" s="148"/>
      <c r="CD81" s="148"/>
      <c r="CE81" s="148"/>
      <c r="CF81" s="148"/>
      <c r="CG81" s="148"/>
      <c r="CH81" s="148"/>
      <c r="CI81" s="148"/>
      <c r="CJ81" s="148"/>
      <c r="CK81" s="148"/>
      <c r="CL81" s="148"/>
      <c r="CM81" s="148"/>
      <c r="CN81" s="148"/>
      <c r="CO81" s="148"/>
      <c r="CP81" s="148"/>
      <c r="CQ81" s="148"/>
      <c r="CR81" s="148"/>
      <c r="CS81" s="148"/>
      <c r="CT81" s="148"/>
      <c r="CU81" s="148"/>
      <c r="CV81" s="148"/>
      <c r="CW81" s="148"/>
      <c r="CX81" s="148"/>
      <c r="CY81" s="148"/>
      <c r="CZ81" s="148"/>
      <c r="DA81" s="148"/>
      <c r="DB81" s="148"/>
      <c r="DC81" s="148"/>
      <c r="DD81" s="148"/>
      <c r="DE81" s="148"/>
      <c r="DF81" s="148"/>
      <c r="DG81" s="148"/>
      <c r="DH81" s="148"/>
      <c r="DI81" s="148"/>
      <c r="DJ81" s="148"/>
      <c r="DK81" s="148"/>
      <c r="DL81" s="148"/>
      <c r="DM81" s="148"/>
      <c r="DN81" s="148"/>
      <c r="DO81" s="148"/>
      <c r="DP81" s="148"/>
      <c r="DQ81" s="148"/>
      <c r="DR81" s="148"/>
      <c r="DS81" s="148"/>
      <c r="DT81" s="148"/>
      <c r="DU81" s="148"/>
      <c r="DV81" s="148"/>
      <c r="DW81" s="148"/>
      <c r="DX81" s="148"/>
      <c r="DY81" s="148"/>
      <c r="DZ81" s="148"/>
      <c r="EA81" s="148"/>
    </row>
    <row r="82" spans="1:131" s="15" customFormat="1" ht="22.5" x14ac:dyDescent="0.2">
      <c r="A82" s="148"/>
      <c r="B82" s="350">
        <f t="shared" si="10"/>
        <v>71</v>
      </c>
      <c r="C82" s="400" t="s">
        <v>38</v>
      </c>
      <c r="D82" s="402">
        <v>40014177</v>
      </c>
      <c r="E82" s="403" t="s">
        <v>1949</v>
      </c>
      <c r="F82" s="330" t="s">
        <v>200</v>
      </c>
      <c r="G82" s="331" t="s">
        <v>1870</v>
      </c>
      <c r="H82" s="332" t="s">
        <v>1884</v>
      </c>
      <c r="I82" s="346" t="s">
        <v>43</v>
      </c>
      <c r="J82" s="385">
        <v>642100</v>
      </c>
      <c r="K82" s="361">
        <v>0</v>
      </c>
      <c r="L82" s="361">
        <v>320539</v>
      </c>
      <c r="M82" s="57">
        <v>0</v>
      </c>
      <c r="N82" s="18">
        <v>0</v>
      </c>
      <c r="O82" s="18">
        <v>0</v>
      </c>
      <c r="P82" s="18"/>
      <c r="Q82" s="18"/>
      <c r="R82" s="18"/>
      <c r="S82" s="57">
        <f t="shared" si="6"/>
        <v>0</v>
      </c>
      <c r="T82" s="348">
        <v>321561</v>
      </c>
      <c r="U82" s="338">
        <v>31</v>
      </c>
      <c r="V82" s="315">
        <v>44293</v>
      </c>
      <c r="W82" s="315">
        <v>44307</v>
      </c>
      <c r="X82" s="57"/>
      <c r="Y82" s="20"/>
      <c r="Z82" s="21"/>
      <c r="AA82" s="315"/>
      <c r="AB82" s="348"/>
      <c r="AC82" s="338"/>
      <c r="AD82" s="362"/>
      <c r="AE82" s="315"/>
      <c r="AF82" s="319"/>
      <c r="AG82" s="19"/>
      <c r="AH82" s="21"/>
      <c r="AI82" s="23"/>
      <c r="AJ82" s="309"/>
      <c r="AK82" s="19"/>
      <c r="AL82" s="21"/>
      <c r="AM82" s="25"/>
      <c r="AN82" s="407">
        <f t="shared" si="8"/>
        <v>321561</v>
      </c>
      <c r="AO82" s="407">
        <f t="shared" si="5"/>
        <v>321561</v>
      </c>
      <c r="AP82" s="148"/>
      <c r="AQ82" s="148"/>
      <c r="AR82" s="148"/>
      <c r="AS82" s="148"/>
      <c r="AT82" s="148"/>
      <c r="AU82" s="148"/>
      <c r="AV82" s="148"/>
      <c r="AW82" s="148"/>
      <c r="AX82" s="148"/>
      <c r="AY82" s="148"/>
      <c r="AZ82" s="148"/>
      <c r="BA82" s="148"/>
      <c r="BB82" s="148"/>
      <c r="BC82" s="148"/>
      <c r="BD82" s="148"/>
      <c r="BE82" s="148"/>
      <c r="BF82" s="148"/>
      <c r="BG82" s="148"/>
      <c r="BH82" s="148"/>
      <c r="BI82" s="148"/>
      <c r="BJ82" s="148"/>
      <c r="BK82" s="148"/>
      <c r="BL82" s="148"/>
      <c r="BM82" s="148"/>
      <c r="BN82" s="148"/>
      <c r="BO82" s="148"/>
      <c r="BP82" s="148"/>
      <c r="BQ82" s="148"/>
      <c r="BR82" s="148"/>
      <c r="BS82" s="148"/>
      <c r="BT82" s="148"/>
      <c r="BU82" s="148"/>
      <c r="BV82" s="148"/>
      <c r="BW82" s="148"/>
      <c r="BX82" s="148"/>
      <c r="BY82" s="148"/>
      <c r="BZ82" s="148"/>
      <c r="CA82" s="148"/>
      <c r="CB82" s="148"/>
      <c r="CC82" s="148"/>
      <c r="CD82" s="148"/>
      <c r="CE82" s="148"/>
      <c r="CF82" s="148"/>
      <c r="CG82" s="148"/>
      <c r="CH82" s="148"/>
      <c r="CI82" s="148"/>
      <c r="CJ82" s="148"/>
      <c r="CK82" s="148"/>
      <c r="CL82" s="148"/>
      <c r="CM82" s="148"/>
      <c r="CN82" s="148"/>
      <c r="CO82" s="148"/>
      <c r="CP82" s="148"/>
      <c r="CQ82" s="148"/>
      <c r="CR82" s="148"/>
      <c r="CS82" s="148"/>
      <c r="CT82" s="148"/>
      <c r="CU82" s="148"/>
      <c r="CV82" s="148"/>
      <c r="CW82" s="148"/>
      <c r="CX82" s="148"/>
      <c r="CY82" s="148"/>
      <c r="CZ82" s="148"/>
      <c r="DA82" s="148"/>
      <c r="DB82" s="148"/>
      <c r="DC82" s="148"/>
      <c r="DD82" s="148"/>
      <c r="DE82" s="148"/>
      <c r="DF82" s="148"/>
      <c r="DG82" s="148"/>
      <c r="DH82" s="148"/>
      <c r="DI82" s="148"/>
      <c r="DJ82" s="148"/>
      <c r="DK82" s="148"/>
      <c r="DL82" s="148"/>
      <c r="DM82" s="148"/>
      <c r="DN82" s="148"/>
      <c r="DO82" s="148"/>
      <c r="DP82" s="148"/>
      <c r="DQ82" s="148"/>
      <c r="DR82" s="148"/>
      <c r="DS82" s="148"/>
      <c r="DT82" s="148"/>
      <c r="DU82" s="148"/>
      <c r="DV82" s="148"/>
      <c r="DW82" s="148"/>
      <c r="DX82" s="148"/>
      <c r="DY82" s="148"/>
      <c r="DZ82" s="148"/>
      <c r="EA82" s="148"/>
    </row>
    <row r="83" spans="1:131" s="15" customFormat="1" ht="22.5" x14ac:dyDescent="0.2">
      <c r="A83" s="148"/>
      <c r="B83" s="350">
        <f t="shared" si="10"/>
        <v>72</v>
      </c>
      <c r="C83" s="400" t="s">
        <v>38</v>
      </c>
      <c r="D83" s="402">
        <v>40015395</v>
      </c>
      <c r="E83" s="403" t="s">
        <v>1950</v>
      </c>
      <c r="F83" s="410" t="s">
        <v>200</v>
      </c>
      <c r="G83" s="345" t="s">
        <v>1870</v>
      </c>
      <c r="H83" s="343" t="s">
        <v>1878</v>
      </c>
      <c r="I83" s="346" t="s">
        <v>43</v>
      </c>
      <c r="J83" s="385">
        <v>174444</v>
      </c>
      <c r="K83" s="361">
        <v>0</v>
      </c>
      <c r="L83" s="361">
        <v>174444</v>
      </c>
      <c r="M83" s="57">
        <v>0</v>
      </c>
      <c r="N83" s="18">
        <v>0</v>
      </c>
      <c r="O83" s="18">
        <v>0</v>
      </c>
      <c r="P83" s="18"/>
      <c r="Q83" s="18"/>
      <c r="R83" s="18">
        <v>2522</v>
      </c>
      <c r="S83" s="57">
        <f t="shared" si="6"/>
        <v>2522</v>
      </c>
      <c r="T83" s="348">
        <v>170606</v>
      </c>
      <c r="U83" s="338">
        <v>31</v>
      </c>
      <c r="V83" s="315">
        <v>44293</v>
      </c>
      <c r="W83" s="315">
        <v>44307</v>
      </c>
      <c r="X83" s="57"/>
      <c r="Y83" s="20"/>
      <c r="Z83" s="21"/>
      <c r="AA83" s="315"/>
      <c r="AB83" s="348"/>
      <c r="AC83" s="338"/>
      <c r="AD83" s="362"/>
      <c r="AE83" s="315"/>
      <c r="AF83" s="319"/>
      <c r="AG83" s="19"/>
      <c r="AH83" s="21"/>
      <c r="AI83" s="23"/>
      <c r="AJ83" s="309"/>
      <c r="AK83" s="19"/>
      <c r="AL83" s="21"/>
      <c r="AM83" s="25"/>
      <c r="AN83" s="407">
        <f t="shared" si="8"/>
        <v>170606</v>
      </c>
      <c r="AO83" s="407">
        <f t="shared" si="5"/>
        <v>168084</v>
      </c>
      <c r="AP83" s="148"/>
      <c r="AQ83" s="148"/>
      <c r="AR83" s="148"/>
      <c r="AS83" s="148"/>
      <c r="AT83" s="148"/>
      <c r="AU83" s="148"/>
      <c r="AV83" s="148"/>
      <c r="AW83" s="148"/>
      <c r="AX83" s="148"/>
      <c r="AY83" s="148"/>
      <c r="AZ83" s="148"/>
      <c r="BA83" s="148"/>
      <c r="BB83" s="148"/>
      <c r="BC83" s="148"/>
      <c r="BD83" s="148"/>
      <c r="BE83" s="148"/>
      <c r="BF83" s="148"/>
      <c r="BG83" s="148"/>
      <c r="BH83" s="148"/>
      <c r="BI83" s="148"/>
      <c r="BJ83" s="148"/>
      <c r="BK83" s="148"/>
      <c r="BL83" s="148"/>
      <c r="BM83" s="148"/>
      <c r="BN83" s="148"/>
      <c r="BO83" s="148"/>
      <c r="BP83" s="148"/>
      <c r="BQ83" s="148"/>
      <c r="BR83" s="148"/>
      <c r="BS83" s="148"/>
      <c r="BT83" s="148"/>
      <c r="BU83" s="148"/>
      <c r="BV83" s="148"/>
      <c r="BW83" s="148"/>
      <c r="BX83" s="148"/>
      <c r="BY83" s="148"/>
      <c r="BZ83" s="148"/>
      <c r="CA83" s="148"/>
      <c r="CB83" s="148"/>
      <c r="CC83" s="148"/>
      <c r="CD83" s="148"/>
      <c r="CE83" s="148"/>
      <c r="CF83" s="148"/>
      <c r="CG83" s="148"/>
      <c r="CH83" s="148"/>
      <c r="CI83" s="148"/>
      <c r="CJ83" s="148"/>
      <c r="CK83" s="148"/>
      <c r="CL83" s="148"/>
      <c r="CM83" s="148"/>
      <c r="CN83" s="148"/>
      <c r="CO83" s="148"/>
      <c r="CP83" s="148"/>
      <c r="CQ83" s="148"/>
      <c r="CR83" s="148"/>
      <c r="CS83" s="148"/>
      <c r="CT83" s="148"/>
      <c r="CU83" s="148"/>
      <c r="CV83" s="148"/>
      <c r="CW83" s="148"/>
      <c r="CX83" s="148"/>
      <c r="CY83" s="148"/>
      <c r="CZ83" s="148"/>
      <c r="DA83" s="148"/>
      <c r="DB83" s="148"/>
      <c r="DC83" s="148"/>
      <c r="DD83" s="148"/>
      <c r="DE83" s="148"/>
      <c r="DF83" s="148"/>
      <c r="DG83" s="148"/>
      <c r="DH83" s="148"/>
      <c r="DI83" s="148"/>
      <c r="DJ83" s="148"/>
      <c r="DK83" s="148"/>
      <c r="DL83" s="148"/>
      <c r="DM83" s="148"/>
      <c r="DN83" s="148"/>
      <c r="DO83" s="148"/>
      <c r="DP83" s="148"/>
      <c r="DQ83" s="148"/>
      <c r="DR83" s="148"/>
      <c r="DS83" s="148"/>
      <c r="DT83" s="148"/>
      <c r="DU83" s="148"/>
      <c r="DV83" s="148"/>
      <c r="DW83" s="148"/>
      <c r="DX83" s="148"/>
      <c r="DY83" s="148"/>
      <c r="DZ83" s="148"/>
      <c r="EA83" s="148"/>
    </row>
    <row r="84" spans="1:131" s="15" customFormat="1" ht="22.5" x14ac:dyDescent="0.2">
      <c r="A84" s="148"/>
      <c r="B84" s="350">
        <f t="shared" si="10"/>
        <v>73</v>
      </c>
      <c r="C84" s="400" t="s">
        <v>38</v>
      </c>
      <c r="D84" s="402">
        <v>30480610</v>
      </c>
      <c r="E84" s="403" t="s">
        <v>1951</v>
      </c>
      <c r="F84" s="410" t="s">
        <v>200</v>
      </c>
      <c r="G84" s="345" t="s">
        <v>1870</v>
      </c>
      <c r="H84" s="343" t="s">
        <v>1884</v>
      </c>
      <c r="I84" s="346" t="s">
        <v>42</v>
      </c>
      <c r="J84" s="385">
        <v>180444</v>
      </c>
      <c r="K84" s="361">
        <v>12912</v>
      </c>
      <c r="L84" s="361">
        <v>0</v>
      </c>
      <c r="M84" s="57">
        <v>0</v>
      </c>
      <c r="N84" s="18">
        <v>0</v>
      </c>
      <c r="O84" s="18">
        <v>0</v>
      </c>
      <c r="P84" s="18"/>
      <c r="Q84" s="18"/>
      <c r="R84" s="18"/>
      <c r="S84" s="57">
        <f t="shared" si="6"/>
        <v>0</v>
      </c>
      <c r="T84" s="348">
        <v>162924</v>
      </c>
      <c r="U84" s="338">
        <v>33</v>
      </c>
      <c r="V84" s="315">
        <v>44301</v>
      </c>
      <c r="W84" s="315">
        <v>44315</v>
      </c>
      <c r="X84" s="57"/>
      <c r="Y84" s="20"/>
      <c r="Z84" s="21"/>
      <c r="AA84" s="315"/>
      <c r="AB84" s="348"/>
      <c r="AC84" s="338"/>
      <c r="AD84" s="362"/>
      <c r="AE84" s="315"/>
      <c r="AF84" s="319"/>
      <c r="AG84" s="19"/>
      <c r="AH84" s="21"/>
      <c r="AI84" s="23"/>
      <c r="AJ84" s="309"/>
      <c r="AK84" s="19"/>
      <c r="AL84" s="21"/>
      <c r="AM84" s="25"/>
      <c r="AN84" s="407">
        <f t="shared" si="8"/>
        <v>162924</v>
      </c>
      <c r="AO84" s="407">
        <f t="shared" si="5"/>
        <v>162924</v>
      </c>
      <c r="AP84" s="148"/>
      <c r="AQ84" s="148"/>
      <c r="AR84" s="148"/>
      <c r="AS84" s="148"/>
      <c r="AT84" s="148"/>
      <c r="AU84" s="148"/>
      <c r="AV84" s="148"/>
      <c r="AW84" s="148"/>
      <c r="AX84" s="148"/>
      <c r="AY84" s="148"/>
      <c r="AZ84" s="148"/>
      <c r="BA84" s="148"/>
      <c r="BB84" s="148"/>
      <c r="BC84" s="148"/>
      <c r="BD84" s="148"/>
      <c r="BE84" s="148"/>
      <c r="BF84" s="148"/>
      <c r="BG84" s="148"/>
      <c r="BH84" s="148"/>
      <c r="BI84" s="148"/>
      <c r="BJ84" s="148"/>
      <c r="BK84" s="148"/>
      <c r="BL84" s="148"/>
      <c r="BM84" s="148"/>
      <c r="BN84" s="148"/>
      <c r="BO84" s="148"/>
      <c r="BP84" s="148"/>
      <c r="BQ84" s="148"/>
      <c r="BR84" s="148"/>
      <c r="BS84" s="148"/>
      <c r="BT84" s="148"/>
      <c r="BU84" s="148"/>
      <c r="BV84" s="148"/>
      <c r="BW84" s="148"/>
      <c r="BX84" s="148"/>
      <c r="BY84" s="148"/>
      <c r="BZ84" s="148"/>
      <c r="CA84" s="148"/>
      <c r="CB84" s="148"/>
      <c r="CC84" s="148"/>
      <c r="CD84" s="148"/>
      <c r="CE84" s="148"/>
      <c r="CF84" s="148"/>
      <c r="CG84" s="148"/>
      <c r="CH84" s="148"/>
      <c r="CI84" s="148"/>
      <c r="CJ84" s="148"/>
      <c r="CK84" s="148"/>
      <c r="CL84" s="148"/>
      <c r="CM84" s="148"/>
      <c r="CN84" s="148"/>
      <c r="CO84" s="148"/>
      <c r="CP84" s="148"/>
      <c r="CQ84" s="148"/>
      <c r="CR84" s="148"/>
      <c r="CS84" s="148"/>
      <c r="CT84" s="148"/>
      <c r="CU84" s="148"/>
      <c r="CV84" s="148"/>
      <c r="CW84" s="148"/>
      <c r="CX84" s="148"/>
      <c r="CY84" s="148"/>
      <c r="CZ84" s="148"/>
      <c r="DA84" s="148"/>
      <c r="DB84" s="148"/>
      <c r="DC84" s="148"/>
      <c r="DD84" s="148"/>
      <c r="DE84" s="148"/>
      <c r="DF84" s="148"/>
      <c r="DG84" s="148"/>
      <c r="DH84" s="148"/>
      <c r="DI84" s="148"/>
      <c r="DJ84" s="148"/>
      <c r="DK84" s="148"/>
      <c r="DL84" s="148"/>
      <c r="DM84" s="148"/>
      <c r="DN84" s="148"/>
      <c r="DO84" s="148"/>
      <c r="DP84" s="148"/>
      <c r="DQ84" s="148"/>
      <c r="DR84" s="148"/>
      <c r="DS84" s="148"/>
      <c r="DT84" s="148"/>
      <c r="DU84" s="148"/>
      <c r="DV84" s="148"/>
      <c r="DW84" s="148"/>
      <c r="DX84" s="148"/>
      <c r="DY84" s="148"/>
      <c r="DZ84" s="148"/>
      <c r="EA84" s="148"/>
    </row>
    <row r="85" spans="1:131" s="15" customFormat="1" ht="22.5" x14ac:dyDescent="0.2">
      <c r="A85" s="148"/>
      <c r="B85" s="350">
        <f t="shared" si="10"/>
        <v>74</v>
      </c>
      <c r="C85" s="400" t="s">
        <v>38</v>
      </c>
      <c r="D85" s="402">
        <v>30316123</v>
      </c>
      <c r="E85" s="403" t="s">
        <v>1952</v>
      </c>
      <c r="F85" s="410" t="s">
        <v>200</v>
      </c>
      <c r="G85" s="345" t="s">
        <v>1870</v>
      </c>
      <c r="H85" s="317" t="s">
        <v>226</v>
      </c>
      <c r="I85" s="346" t="s">
        <v>42</v>
      </c>
      <c r="J85" s="361">
        <v>9209075</v>
      </c>
      <c r="K85" s="361">
        <v>33543</v>
      </c>
      <c r="L85" s="361">
        <v>6103116</v>
      </c>
      <c r="M85" s="57">
        <v>0</v>
      </c>
      <c r="N85" s="18">
        <v>0</v>
      </c>
      <c r="O85" s="18">
        <v>0</v>
      </c>
      <c r="P85" s="18"/>
      <c r="Q85" s="18"/>
      <c r="R85" s="18"/>
      <c r="S85" s="57">
        <f t="shared" si="6"/>
        <v>0</v>
      </c>
      <c r="T85" s="348">
        <v>210000</v>
      </c>
      <c r="U85" s="19">
        <v>51</v>
      </c>
      <c r="V85" s="23">
        <v>44334</v>
      </c>
      <c r="W85" s="315">
        <v>44350</v>
      </c>
      <c r="X85" s="318"/>
      <c r="Y85" s="20"/>
      <c r="Z85" s="21"/>
      <c r="AA85" s="315"/>
      <c r="AB85" s="348"/>
      <c r="AC85" s="338"/>
      <c r="AD85" s="362"/>
      <c r="AE85" s="315"/>
      <c r="AF85" s="319"/>
      <c r="AG85" s="19"/>
      <c r="AH85" s="21"/>
      <c r="AI85" s="23"/>
      <c r="AJ85" s="309"/>
      <c r="AK85" s="19"/>
      <c r="AL85" s="21"/>
      <c r="AM85" s="25"/>
      <c r="AN85" s="407">
        <f t="shared" si="8"/>
        <v>210000</v>
      </c>
      <c r="AO85" s="407">
        <f t="shared" si="5"/>
        <v>210000</v>
      </c>
      <c r="AP85" s="148"/>
      <c r="AQ85" s="148"/>
      <c r="AR85" s="148"/>
      <c r="AS85" s="148"/>
      <c r="AT85" s="148"/>
      <c r="AU85" s="148"/>
      <c r="AV85" s="148"/>
      <c r="AW85" s="148"/>
      <c r="AX85" s="148"/>
      <c r="AY85" s="148"/>
      <c r="AZ85" s="148"/>
      <c r="BA85" s="148"/>
      <c r="BB85" s="148"/>
      <c r="BC85" s="148"/>
      <c r="BD85" s="148"/>
      <c r="BE85" s="148"/>
      <c r="BF85" s="148"/>
      <c r="BG85" s="148"/>
      <c r="BH85" s="148"/>
      <c r="BI85" s="148"/>
      <c r="BJ85" s="148"/>
      <c r="BK85" s="148"/>
      <c r="BL85" s="148"/>
      <c r="BM85" s="148"/>
      <c r="BN85" s="148"/>
      <c r="BO85" s="148"/>
      <c r="BP85" s="148"/>
      <c r="BQ85" s="148"/>
      <c r="BR85" s="148"/>
      <c r="BS85" s="148"/>
      <c r="BT85" s="148"/>
      <c r="BU85" s="148"/>
      <c r="BV85" s="148"/>
      <c r="BW85" s="148"/>
      <c r="BX85" s="148"/>
      <c r="BY85" s="148"/>
      <c r="BZ85" s="148"/>
      <c r="CA85" s="148"/>
      <c r="CB85" s="148"/>
      <c r="CC85" s="148"/>
      <c r="CD85" s="148"/>
      <c r="CE85" s="148"/>
      <c r="CF85" s="148"/>
      <c r="CG85" s="148"/>
      <c r="CH85" s="148"/>
      <c r="CI85" s="148"/>
      <c r="CJ85" s="148"/>
      <c r="CK85" s="148"/>
      <c r="CL85" s="148"/>
      <c r="CM85" s="148"/>
      <c r="CN85" s="148"/>
      <c r="CO85" s="148"/>
      <c r="CP85" s="148"/>
      <c r="CQ85" s="148"/>
      <c r="CR85" s="148"/>
      <c r="CS85" s="148"/>
      <c r="CT85" s="148"/>
      <c r="CU85" s="148"/>
      <c r="CV85" s="148"/>
      <c r="CW85" s="148"/>
      <c r="CX85" s="148"/>
      <c r="CY85" s="148"/>
      <c r="CZ85" s="148"/>
      <c r="DA85" s="148"/>
      <c r="DB85" s="148"/>
      <c r="DC85" s="148"/>
      <c r="DD85" s="148"/>
      <c r="DE85" s="148"/>
      <c r="DF85" s="148"/>
      <c r="DG85" s="148"/>
      <c r="DH85" s="148"/>
      <c r="DI85" s="148"/>
      <c r="DJ85" s="148"/>
      <c r="DK85" s="148"/>
      <c r="DL85" s="148"/>
      <c r="DM85" s="148"/>
      <c r="DN85" s="148"/>
      <c r="DO85" s="148"/>
      <c r="DP85" s="148"/>
      <c r="DQ85" s="148"/>
      <c r="DR85" s="148"/>
      <c r="DS85" s="148"/>
      <c r="DT85" s="148"/>
      <c r="DU85" s="148"/>
      <c r="DV85" s="148"/>
      <c r="DW85" s="148"/>
      <c r="DX85" s="148"/>
      <c r="DY85" s="148"/>
      <c r="DZ85" s="148"/>
      <c r="EA85" s="148"/>
    </row>
    <row r="86" spans="1:131" s="15" customFormat="1" ht="33.75" x14ac:dyDescent="0.2">
      <c r="A86" s="148"/>
      <c r="B86" s="350">
        <f t="shared" si="10"/>
        <v>75</v>
      </c>
      <c r="C86" s="400" t="s">
        <v>38</v>
      </c>
      <c r="D86" s="402">
        <v>40003760</v>
      </c>
      <c r="E86" s="403" t="s">
        <v>1953</v>
      </c>
      <c r="F86" s="410" t="s">
        <v>200</v>
      </c>
      <c r="G86" s="345" t="s">
        <v>1870</v>
      </c>
      <c r="H86" s="343" t="s">
        <v>1896</v>
      </c>
      <c r="I86" s="346" t="s">
        <v>43</v>
      </c>
      <c r="J86" s="361">
        <v>216236</v>
      </c>
      <c r="K86" s="361">
        <v>0</v>
      </c>
      <c r="L86" s="361">
        <v>214188</v>
      </c>
      <c r="M86" s="57">
        <v>0</v>
      </c>
      <c r="N86" s="18">
        <v>0</v>
      </c>
      <c r="O86" s="18">
        <v>0</v>
      </c>
      <c r="P86" s="18"/>
      <c r="Q86" s="18"/>
      <c r="R86" s="18"/>
      <c r="S86" s="57">
        <f t="shared" si="6"/>
        <v>0</v>
      </c>
      <c r="T86" s="348">
        <v>2048</v>
      </c>
      <c r="U86" s="19">
        <v>51</v>
      </c>
      <c r="V86" s="23">
        <v>44334</v>
      </c>
      <c r="W86" s="315">
        <v>44350</v>
      </c>
      <c r="X86" s="57"/>
      <c r="Y86" s="20"/>
      <c r="Z86" s="21"/>
      <c r="AA86" s="315"/>
      <c r="AB86" s="348"/>
      <c r="AC86" s="338"/>
      <c r="AD86" s="362"/>
      <c r="AE86" s="315"/>
      <c r="AF86" s="319"/>
      <c r="AG86" s="19"/>
      <c r="AH86" s="21"/>
      <c r="AI86" s="23"/>
      <c r="AJ86" s="309"/>
      <c r="AK86" s="19"/>
      <c r="AL86" s="21"/>
      <c r="AM86" s="25"/>
      <c r="AN86" s="407">
        <f t="shared" si="8"/>
        <v>2048</v>
      </c>
      <c r="AO86" s="407">
        <f t="shared" si="5"/>
        <v>2048</v>
      </c>
      <c r="AP86" s="148"/>
      <c r="AQ86" s="148"/>
      <c r="AR86" s="148"/>
      <c r="AS86" s="148"/>
      <c r="AT86" s="148"/>
      <c r="AU86" s="148"/>
      <c r="AV86" s="148"/>
      <c r="AW86" s="148"/>
      <c r="AX86" s="148"/>
      <c r="AY86" s="148"/>
      <c r="AZ86" s="148"/>
      <c r="BA86" s="148"/>
      <c r="BB86" s="148"/>
      <c r="BC86" s="148"/>
      <c r="BD86" s="148"/>
      <c r="BE86" s="148"/>
      <c r="BF86" s="148"/>
      <c r="BG86" s="148"/>
      <c r="BH86" s="148"/>
      <c r="BI86" s="148"/>
      <c r="BJ86" s="148"/>
      <c r="BK86" s="148"/>
      <c r="BL86" s="148"/>
      <c r="BM86" s="148"/>
      <c r="BN86" s="148"/>
      <c r="BO86" s="148"/>
      <c r="BP86" s="148"/>
      <c r="BQ86" s="148"/>
      <c r="BR86" s="148"/>
      <c r="BS86" s="148"/>
      <c r="BT86" s="148"/>
      <c r="BU86" s="148"/>
      <c r="BV86" s="148"/>
      <c r="BW86" s="148"/>
      <c r="BX86" s="148"/>
      <c r="BY86" s="148"/>
      <c r="BZ86" s="148"/>
      <c r="CA86" s="148"/>
      <c r="CB86" s="148"/>
      <c r="CC86" s="148"/>
      <c r="CD86" s="148"/>
      <c r="CE86" s="148"/>
      <c r="CF86" s="148"/>
      <c r="CG86" s="148"/>
      <c r="CH86" s="148"/>
      <c r="CI86" s="148"/>
      <c r="CJ86" s="148"/>
      <c r="CK86" s="148"/>
      <c r="CL86" s="148"/>
      <c r="CM86" s="148"/>
      <c r="CN86" s="148"/>
      <c r="CO86" s="148"/>
      <c r="CP86" s="148"/>
      <c r="CQ86" s="148"/>
      <c r="CR86" s="148"/>
      <c r="CS86" s="148"/>
      <c r="CT86" s="148"/>
      <c r="CU86" s="148"/>
      <c r="CV86" s="148"/>
      <c r="CW86" s="148"/>
      <c r="CX86" s="148"/>
      <c r="CY86" s="148"/>
      <c r="CZ86" s="148"/>
      <c r="DA86" s="148"/>
      <c r="DB86" s="148"/>
      <c r="DC86" s="148"/>
      <c r="DD86" s="148"/>
      <c r="DE86" s="148"/>
      <c r="DF86" s="148"/>
      <c r="DG86" s="148"/>
      <c r="DH86" s="148"/>
      <c r="DI86" s="148"/>
      <c r="DJ86" s="148"/>
      <c r="DK86" s="148"/>
      <c r="DL86" s="148"/>
      <c r="DM86" s="148"/>
      <c r="DN86" s="148"/>
      <c r="DO86" s="148"/>
      <c r="DP86" s="148"/>
      <c r="DQ86" s="148"/>
      <c r="DR86" s="148"/>
      <c r="DS86" s="148"/>
      <c r="DT86" s="148"/>
      <c r="DU86" s="148"/>
      <c r="DV86" s="148"/>
      <c r="DW86" s="148"/>
      <c r="DX86" s="148"/>
      <c r="DY86" s="148"/>
      <c r="DZ86" s="148"/>
      <c r="EA86" s="148"/>
    </row>
    <row r="87" spans="1:131" s="15" customFormat="1" ht="22.5" x14ac:dyDescent="0.2">
      <c r="A87" s="148"/>
      <c r="B87" s="350">
        <f t="shared" si="10"/>
        <v>76</v>
      </c>
      <c r="C87" s="400" t="s">
        <v>38</v>
      </c>
      <c r="D87" s="402">
        <v>40027250</v>
      </c>
      <c r="E87" s="403" t="s">
        <v>1954</v>
      </c>
      <c r="F87" s="410" t="s">
        <v>200</v>
      </c>
      <c r="G87" s="345" t="s">
        <v>1870</v>
      </c>
      <c r="H87" s="343" t="s">
        <v>1884</v>
      </c>
      <c r="I87" s="346" t="s">
        <v>43</v>
      </c>
      <c r="J87" s="361">
        <v>488820</v>
      </c>
      <c r="K87" s="361">
        <v>0</v>
      </c>
      <c r="L87" s="361">
        <v>447020</v>
      </c>
      <c r="M87" s="57">
        <v>0</v>
      </c>
      <c r="N87" s="18">
        <v>0</v>
      </c>
      <c r="O87" s="18">
        <v>0</v>
      </c>
      <c r="P87" s="18"/>
      <c r="Q87" s="18"/>
      <c r="R87" s="18"/>
      <c r="S87" s="57">
        <f t="shared" si="6"/>
        <v>0</v>
      </c>
      <c r="T87" s="348">
        <v>41800</v>
      </c>
      <c r="U87" s="19">
        <v>51</v>
      </c>
      <c r="V87" s="23">
        <v>44334</v>
      </c>
      <c r="W87" s="315">
        <v>44350</v>
      </c>
      <c r="X87" s="57"/>
      <c r="Y87" s="20"/>
      <c r="Z87" s="21"/>
      <c r="AA87" s="315"/>
      <c r="AB87" s="348"/>
      <c r="AC87" s="338"/>
      <c r="AD87" s="362"/>
      <c r="AE87" s="315"/>
      <c r="AF87" s="319"/>
      <c r="AG87" s="19"/>
      <c r="AH87" s="21"/>
      <c r="AI87" s="23"/>
      <c r="AJ87" s="309"/>
      <c r="AK87" s="19"/>
      <c r="AL87" s="21"/>
      <c r="AM87" s="25"/>
      <c r="AN87" s="407">
        <f t="shared" si="8"/>
        <v>41800</v>
      </c>
      <c r="AO87" s="407">
        <f t="shared" si="5"/>
        <v>41800</v>
      </c>
      <c r="AP87" s="148"/>
      <c r="AQ87" s="148"/>
      <c r="AR87" s="148"/>
      <c r="AS87" s="148"/>
      <c r="AT87" s="148"/>
      <c r="AU87" s="148"/>
      <c r="AV87" s="148"/>
      <c r="AW87" s="148"/>
      <c r="AX87" s="148"/>
      <c r="AY87" s="148"/>
      <c r="AZ87" s="148"/>
      <c r="BA87" s="148"/>
      <c r="BB87" s="148"/>
      <c r="BC87" s="148"/>
      <c r="BD87" s="148"/>
      <c r="BE87" s="148"/>
      <c r="BF87" s="148"/>
      <c r="BG87" s="148"/>
      <c r="BH87" s="148"/>
      <c r="BI87" s="148"/>
      <c r="BJ87" s="148"/>
      <c r="BK87" s="148"/>
      <c r="BL87" s="148"/>
      <c r="BM87" s="148"/>
      <c r="BN87" s="148"/>
      <c r="BO87" s="148"/>
      <c r="BP87" s="148"/>
      <c r="BQ87" s="148"/>
      <c r="BR87" s="148"/>
      <c r="BS87" s="148"/>
      <c r="BT87" s="148"/>
      <c r="BU87" s="148"/>
      <c r="BV87" s="148"/>
      <c r="BW87" s="148"/>
      <c r="BX87" s="148"/>
      <c r="BY87" s="148"/>
      <c r="BZ87" s="148"/>
      <c r="CA87" s="148"/>
      <c r="CB87" s="148"/>
      <c r="CC87" s="148"/>
      <c r="CD87" s="148"/>
      <c r="CE87" s="148"/>
      <c r="CF87" s="148"/>
      <c r="CG87" s="148"/>
      <c r="CH87" s="148"/>
      <c r="CI87" s="148"/>
      <c r="CJ87" s="148"/>
      <c r="CK87" s="148"/>
      <c r="CL87" s="148"/>
      <c r="CM87" s="148"/>
      <c r="CN87" s="148"/>
      <c r="CO87" s="148"/>
      <c r="CP87" s="148"/>
      <c r="CQ87" s="148"/>
      <c r="CR87" s="148"/>
      <c r="CS87" s="148"/>
      <c r="CT87" s="148"/>
      <c r="CU87" s="148"/>
      <c r="CV87" s="148"/>
      <c r="CW87" s="148"/>
      <c r="CX87" s="148"/>
      <c r="CY87" s="148"/>
      <c r="CZ87" s="148"/>
      <c r="DA87" s="148"/>
      <c r="DB87" s="148"/>
      <c r="DC87" s="148"/>
      <c r="DD87" s="148"/>
      <c r="DE87" s="148"/>
      <c r="DF87" s="148"/>
      <c r="DG87" s="148"/>
      <c r="DH87" s="148"/>
      <c r="DI87" s="148"/>
      <c r="DJ87" s="148"/>
      <c r="DK87" s="148"/>
      <c r="DL87" s="148"/>
      <c r="DM87" s="148"/>
      <c r="DN87" s="148"/>
      <c r="DO87" s="148"/>
      <c r="DP87" s="148"/>
      <c r="DQ87" s="148"/>
      <c r="DR87" s="148"/>
      <c r="DS87" s="148"/>
      <c r="DT87" s="148"/>
      <c r="DU87" s="148"/>
      <c r="DV87" s="148"/>
      <c r="DW87" s="148"/>
      <c r="DX87" s="148"/>
      <c r="DY87" s="148"/>
      <c r="DZ87" s="148"/>
      <c r="EA87" s="148"/>
    </row>
    <row r="88" spans="1:131" s="15" customFormat="1" x14ac:dyDescent="0.25">
      <c r="A88" s="148"/>
      <c r="B88" s="350"/>
      <c r="C88" s="327"/>
      <c r="D88" s="16"/>
      <c r="E88" s="574"/>
      <c r="F88" s="344"/>
      <c r="G88" s="17"/>
      <c r="H88" s="317"/>
      <c r="I88" s="346"/>
      <c r="J88" s="346"/>
      <c r="K88" s="18"/>
      <c r="L88" s="18"/>
      <c r="M88" s="18"/>
      <c r="N88" s="18"/>
      <c r="O88" s="18"/>
      <c r="P88" s="18"/>
      <c r="Q88" s="18"/>
      <c r="R88" s="18"/>
      <c r="S88" s="57">
        <f t="shared" si="6"/>
        <v>0</v>
      </c>
      <c r="T88" s="319"/>
      <c r="U88" s="19"/>
      <c r="V88" s="21"/>
      <c r="W88" s="23"/>
      <c r="X88" s="309"/>
      <c r="Y88" s="20"/>
      <c r="Z88" s="21"/>
      <c r="AA88" s="25"/>
      <c r="AB88" s="309"/>
      <c r="AC88" s="19"/>
      <c r="AD88" s="21"/>
      <c r="AE88" s="25"/>
      <c r="AF88" s="309"/>
      <c r="AG88" s="19"/>
      <c r="AH88" s="21"/>
      <c r="AI88" s="25"/>
      <c r="AJ88" s="309"/>
      <c r="AK88" s="19"/>
      <c r="AL88" s="21"/>
      <c r="AM88" s="25"/>
      <c r="AN88" s="407"/>
      <c r="AO88" s="407"/>
      <c r="AP88" s="148"/>
      <c r="AQ88" s="148"/>
      <c r="AR88" s="148"/>
      <c r="AS88" s="148"/>
      <c r="AT88" s="148"/>
      <c r="AU88" s="148"/>
      <c r="AV88" s="148"/>
      <c r="AW88" s="148"/>
      <c r="AX88" s="148"/>
      <c r="AY88" s="148"/>
      <c r="AZ88" s="148"/>
      <c r="BA88" s="148"/>
      <c r="BB88" s="148"/>
      <c r="BC88" s="148"/>
      <c r="BD88" s="148"/>
      <c r="BE88" s="148"/>
      <c r="BF88" s="148"/>
      <c r="BG88" s="148"/>
      <c r="BH88" s="148"/>
      <c r="BI88" s="148"/>
      <c r="BJ88" s="148"/>
      <c r="BK88" s="148"/>
      <c r="BL88" s="148"/>
      <c r="BM88" s="148"/>
      <c r="BN88" s="148"/>
      <c r="BO88" s="148"/>
      <c r="BP88" s="148"/>
      <c r="BQ88" s="148"/>
      <c r="BR88" s="148"/>
      <c r="BS88" s="148"/>
      <c r="BT88" s="148"/>
      <c r="BU88" s="148"/>
      <c r="BV88" s="148"/>
      <c r="BW88" s="148"/>
      <c r="BX88" s="148"/>
      <c r="BY88" s="148"/>
      <c r="BZ88" s="148"/>
      <c r="CA88" s="148"/>
      <c r="CB88" s="148"/>
      <c r="CC88" s="148"/>
      <c r="CD88" s="148"/>
      <c r="CE88" s="148"/>
      <c r="CF88" s="148"/>
      <c r="CG88" s="148"/>
      <c r="CH88" s="148"/>
      <c r="CI88" s="148"/>
      <c r="CJ88" s="148"/>
      <c r="CK88" s="148"/>
      <c r="CL88" s="148"/>
      <c r="CM88" s="148"/>
      <c r="CN88" s="148"/>
      <c r="CO88" s="148"/>
      <c r="CP88" s="148"/>
      <c r="CQ88" s="148"/>
      <c r="CR88" s="148"/>
      <c r="CS88" s="148"/>
      <c r="CT88" s="148"/>
      <c r="CU88" s="148"/>
      <c r="CV88" s="148"/>
      <c r="CW88" s="148"/>
      <c r="CX88" s="148"/>
      <c r="CY88" s="148"/>
      <c r="CZ88" s="148"/>
      <c r="DA88" s="148"/>
      <c r="DB88" s="148"/>
      <c r="DC88" s="148"/>
      <c r="DD88" s="148"/>
      <c r="DE88" s="148"/>
      <c r="DF88" s="148"/>
      <c r="DG88" s="148"/>
      <c r="DH88" s="148"/>
      <c r="DI88" s="148"/>
      <c r="DJ88" s="148"/>
      <c r="DK88" s="148"/>
      <c r="DL88" s="148"/>
      <c r="DM88" s="148"/>
      <c r="DN88" s="148"/>
      <c r="DO88" s="148"/>
      <c r="DP88" s="148"/>
      <c r="DQ88" s="148"/>
      <c r="DR88" s="148"/>
      <c r="DS88" s="148"/>
      <c r="DT88" s="148"/>
      <c r="DU88" s="148"/>
      <c r="DV88" s="148"/>
      <c r="DW88" s="148"/>
      <c r="DX88" s="148"/>
      <c r="DY88" s="148"/>
      <c r="DZ88" s="148"/>
      <c r="EA88" s="148"/>
    </row>
    <row r="89" spans="1:131" s="15" customFormat="1" x14ac:dyDescent="0.25">
      <c r="A89" s="148"/>
      <c r="B89" s="350"/>
      <c r="C89" s="411"/>
      <c r="D89" s="16"/>
      <c r="E89" s="325"/>
      <c r="F89" s="326"/>
      <c r="G89" s="17"/>
      <c r="H89" s="317"/>
      <c r="I89" s="308"/>
      <c r="J89" s="308"/>
      <c r="K89" s="18"/>
      <c r="L89" s="18"/>
      <c r="M89" s="18"/>
      <c r="N89" s="18"/>
      <c r="O89" s="18"/>
      <c r="P89" s="18"/>
      <c r="Q89" s="18"/>
      <c r="R89" s="18"/>
      <c r="S89" s="57">
        <f t="shared" si="6"/>
        <v>0</v>
      </c>
      <c r="T89" s="319"/>
      <c r="U89" s="19"/>
      <c r="V89" s="21"/>
      <c r="W89" s="23"/>
      <c r="X89" s="309"/>
      <c r="Y89" s="20"/>
      <c r="Z89" s="21"/>
      <c r="AA89" s="25"/>
      <c r="AB89" s="309"/>
      <c r="AC89" s="19"/>
      <c r="AD89" s="21"/>
      <c r="AE89" s="25"/>
      <c r="AF89" s="309"/>
      <c r="AG89" s="19"/>
      <c r="AH89" s="21"/>
      <c r="AI89" s="25"/>
      <c r="AJ89" s="309"/>
      <c r="AK89" s="19"/>
      <c r="AL89" s="21"/>
      <c r="AM89" s="25"/>
      <c r="AN89" s="407"/>
      <c r="AO89" s="407"/>
      <c r="AP89" s="148"/>
      <c r="AQ89" s="148"/>
      <c r="AR89" s="148"/>
      <c r="AS89" s="148"/>
      <c r="AT89" s="148"/>
      <c r="AU89" s="148"/>
      <c r="AV89" s="148"/>
      <c r="AW89" s="148"/>
      <c r="AX89" s="148"/>
      <c r="AY89" s="148"/>
      <c r="AZ89" s="148"/>
      <c r="BA89" s="148"/>
      <c r="BB89" s="148"/>
      <c r="BC89" s="148"/>
      <c r="BD89" s="148"/>
      <c r="BE89" s="148"/>
      <c r="BF89" s="148"/>
      <c r="BG89" s="148"/>
      <c r="BH89" s="148"/>
      <c r="BI89" s="148"/>
      <c r="BJ89" s="148"/>
      <c r="BK89" s="148"/>
      <c r="BL89" s="148"/>
      <c r="BM89" s="148"/>
      <c r="BN89" s="148"/>
      <c r="BO89" s="148"/>
      <c r="BP89" s="148"/>
      <c r="BQ89" s="148"/>
      <c r="BR89" s="148"/>
      <c r="BS89" s="148"/>
      <c r="BT89" s="148"/>
      <c r="BU89" s="148"/>
      <c r="BV89" s="148"/>
      <c r="BW89" s="148"/>
      <c r="BX89" s="148"/>
      <c r="BY89" s="148"/>
      <c r="BZ89" s="148"/>
      <c r="CA89" s="148"/>
      <c r="CB89" s="148"/>
      <c r="CC89" s="148"/>
      <c r="CD89" s="148"/>
      <c r="CE89" s="148"/>
      <c r="CF89" s="148"/>
      <c r="CG89" s="148"/>
      <c r="CH89" s="148"/>
      <c r="CI89" s="148"/>
      <c r="CJ89" s="148"/>
      <c r="CK89" s="148"/>
      <c r="CL89" s="148"/>
      <c r="CM89" s="148"/>
      <c r="CN89" s="148"/>
      <c r="CO89" s="148"/>
      <c r="CP89" s="148"/>
      <c r="CQ89" s="148"/>
      <c r="CR89" s="148"/>
      <c r="CS89" s="148"/>
      <c r="CT89" s="148"/>
      <c r="CU89" s="148"/>
      <c r="CV89" s="148"/>
      <c r="CW89" s="148"/>
      <c r="CX89" s="148"/>
      <c r="CY89" s="148"/>
      <c r="CZ89" s="148"/>
      <c r="DA89" s="148"/>
      <c r="DB89" s="148"/>
      <c r="DC89" s="148"/>
      <c r="DD89" s="148"/>
      <c r="DE89" s="148"/>
      <c r="DF89" s="148"/>
      <c r="DG89" s="148"/>
      <c r="DH89" s="148"/>
      <c r="DI89" s="148"/>
      <c r="DJ89" s="148"/>
      <c r="DK89" s="148"/>
      <c r="DL89" s="148"/>
      <c r="DM89" s="148"/>
      <c r="DN89" s="148"/>
      <c r="DO89" s="148"/>
      <c r="DP89" s="148"/>
      <c r="DQ89" s="148"/>
      <c r="DR89" s="148"/>
      <c r="DS89" s="148"/>
      <c r="DT89" s="148"/>
      <c r="DU89" s="148"/>
      <c r="DV89" s="148"/>
      <c r="DW89" s="148"/>
      <c r="DX89" s="148"/>
      <c r="DY89" s="148"/>
      <c r="DZ89" s="148"/>
      <c r="EA89" s="148"/>
    </row>
    <row r="90" spans="1:131" ht="15" x14ac:dyDescent="0.25">
      <c r="B90" s="732" t="s">
        <v>39</v>
      </c>
      <c r="C90" s="732"/>
      <c r="D90" s="732"/>
      <c r="E90" s="732"/>
      <c r="F90" s="732"/>
      <c r="G90" s="732"/>
      <c r="H90" s="732"/>
      <c r="I90" s="732"/>
      <c r="J90" s="107">
        <f t="shared" ref="J90:T90" si="11">SUBTOTAL(9,J12:J87)</f>
        <v>190253045</v>
      </c>
      <c r="K90" s="107">
        <f t="shared" si="11"/>
        <v>87793932</v>
      </c>
      <c r="L90" s="107">
        <f t="shared" si="11"/>
        <v>38100722</v>
      </c>
      <c r="M90" s="107">
        <f t="shared" si="11"/>
        <v>0</v>
      </c>
      <c r="N90" s="107">
        <f t="shared" si="11"/>
        <v>2285449</v>
      </c>
      <c r="O90" s="107">
        <f t="shared" si="11"/>
        <v>1945363</v>
      </c>
      <c r="P90" s="107">
        <f t="shared" si="11"/>
        <v>3045077</v>
      </c>
      <c r="Q90" s="107">
        <f t="shared" si="11"/>
        <v>1624573</v>
      </c>
      <c r="R90" s="107">
        <f t="shared" si="11"/>
        <v>2299595</v>
      </c>
      <c r="S90" s="107">
        <f t="shared" si="11"/>
        <v>11200057</v>
      </c>
      <c r="T90" s="107">
        <f t="shared" si="11"/>
        <v>31362591</v>
      </c>
      <c r="U90" s="107">
        <v>0</v>
      </c>
      <c r="V90" s="107">
        <v>0</v>
      </c>
      <c r="W90" s="107">
        <v>0</v>
      </c>
      <c r="X90" s="107">
        <f>SUBTOTAL(9,X12:X87)</f>
        <v>-562022</v>
      </c>
      <c r="Y90" s="107">
        <v>0</v>
      </c>
      <c r="Z90" s="107">
        <v>0</v>
      </c>
      <c r="AA90" s="107">
        <v>0</v>
      </c>
      <c r="AB90" s="107">
        <f>SUBTOTAL(9,AB12:AB87)</f>
        <v>7292</v>
      </c>
      <c r="AC90" s="107">
        <v>0</v>
      </c>
      <c r="AD90" s="107">
        <v>0</v>
      </c>
      <c r="AE90" s="107">
        <v>0</v>
      </c>
      <c r="AF90" s="107">
        <f t="shared" ref="AF90:AM90" si="12">SUBTOTAL(9,AF12:AF89)</f>
        <v>0</v>
      </c>
      <c r="AG90" s="107">
        <f t="shared" si="12"/>
        <v>0</v>
      </c>
      <c r="AH90" s="107">
        <f t="shared" si="12"/>
        <v>0</v>
      </c>
      <c r="AI90" s="107">
        <f t="shared" si="12"/>
        <v>0</v>
      </c>
      <c r="AJ90" s="107">
        <f t="shared" si="12"/>
        <v>0</v>
      </c>
      <c r="AK90" s="107">
        <f t="shared" si="12"/>
        <v>0</v>
      </c>
      <c r="AL90" s="107">
        <f t="shared" si="12"/>
        <v>0</v>
      </c>
      <c r="AM90" s="107">
        <f t="shared" si="12"/>
        <v>0</v>
      </c>
      <c r="AN90" s="107">
        <f>SUBTOTAL(9,AN12:AN87)</f>
        <v>30807861</v>
      </c>
      <c r="AO90" s="107">
        <f>SUBTOTAL(9,AO12:AO87)</f>
        <v>19607804</v>
      </c>
    </row>
    <row r="91" spans="1:131" s="134" customFormat="1" x14ac:dyDescent="0.2">
      <c r="B91" s="145"/>
      <c r="D91" s="145"/>
      <c r="U91" s="141"/>
      <c r="Y91" s="140"/>
      <c r="AC91" s="141"/>
      <c r="AG91" s="141"/>
      <c r="AK91" s="141"/>
    </row>
    <row r="92" spans="1:131" s="134" customFormat="1" x14ac:dyDescent="0.2">
      <c r="B92" s="145"/>
      <c r="D92" s="145"/>
      <c r="U92" s="141"/>
      <c r="Y92" s="140"/>
      <c r="AC92" s="141"/>
      <c r="AG92" s="141"/>
      <c r="AK92" s="141"/>
    </row>
    <row r="93" spans="1:131" s="134" customFormat="1" x14ac:dyDescent="0.2">
      <c r="B93" s="145"/>
      <c r="D93" s="145"/>
      <c r="U93" s="141"/>
      <c r="Y93" s="140"/>
      <c r="AC93" s="141"/>
      <c r="AG93" s="141"/>
      <c r="AK93" s="141"/>
    </row>
    <row r="94" spans="1:131" s="134" customFormat="1" x14ac:dyDescent="0.2">
      <c r="B94" s="145"/>
      <c r="D94" s="145"/>
      <c r="U94" s="141"/>
      <c r="Y94" s="140"/>
      <c r="AC94" s="141"/>
      <c r="AG94" s="141"/>
      <c r="AK94" s="141"/>
    </row>
    <row r="95" spans="1:131" s="134" customFormat="1" x14ac:dyDescent="0.2">
      <c r="B95" s="145"/>
      <c r="D95" s="145"/>
      <c r="U95" s="141"/>
      <c r="Y95" s="140"/>
      <c r="AC95" s="141"/>
      <c r="AG95" s="141"/>
      <c r="AK95" s="141"/>
    </row>
    <row r="96" spans="1:131" s="134" customFormat="1" x14ac:dyDescent="0.2">
      <c r="B96" s="145"/>
      <c r="D96" s="145"/>
      <c r="U96" s="141"/>
      <c r="Y96" s="140"/>
      <c r="AC96" s="141"/>
      <c r="AG96" s="141"/>
      <c r="AK96" s="141"/>
    </row>
    <row r="97" spans="2:37" s="134" customFormat="1" x14ac:dyDescent="0.2">
      <c r="B97" s="145"/>
      <c r="D97" s="145"/>
      <c r="U97" s="141"/>
      <c r="Y97" s="140"/>
      <c r="AC97" s="141"/>
      <c r="AG97" s="141"/>
      <c r="AK97" s="141"/>
    </row>
    <row r="98" spans="2:37" s="134" customFormat="1" x14ac:dyDescent="0.2">
      <c r="B98" s="145"/>
      <c r="D98" s="145"/>
      <c r="U98" s="141"/>
      <c r="Y98" s="140"/>
      <c r="AC98" s="141"/>
      <c r="AG98" s="141"/>
      <c r="AK98" s="141"/>
    </row>
    <row r="99" spans="2:37" s="134" customFormat="1" x14ac:dyDescent="0.2">
      <c r="B99" s="145"/>
      <c r="D99" s="145"/>
      <c r="U99" s="141"/>
      <c r="Y99" s="140"/>
      <c r="AC99" s="141"/>
      <c r="AG99" s="141"/>
      <c r="AK99" s="141"/>
    </row>
    <row r="100" spans="2:37" s="134" customFormat="1" x14ac:dyDescent="0.2">
      <c r="B100" s="145"/>
      <c r="D100" s="145"/>
      <c r="U100" s="141"/>
      <c r="Y100" s="140"/>
      <c r="AC100" s="141"/>
      <c r="AG100" s="141"/>
      <c r="AK100" s="141"/>
    </row>
    <row r="101" spans="2:37" s="134" customFormat="1" x14ac:dyDescent="0.2">
      <c r="B101" s="145"/>
      <c r="D101" s="145"/>
      <c r="U101" s="141"/>
      <c r="Y101" s="140"/>
      <c r="AC101" s="141"/>
      <c r="AG101" s="141"/>
      <c r="AK101" s="141"/>
    </row>
    <row r="102" spans="2:37" s="134" customFormat="1" x14ac:dyDescent="0.2">
      <c r="B102" s="145"/>
      <c r="D102" s="145"/>
      <c r="U102" s="141"/>
      <c r="Y102" s="140"/>
      <c r="AC102" s="141"/>
      <c r="AG102" s="141"/>
      <c r="AK102" s="141"/>
    </row>
    <row r="103" spans="2:37" s="134" customFormat="1" x14ac:dyDescent="0.2">
      <c r="B103" s="145"/>
      <c r="D103" s="145"/>
      <c r="U103" s="141"/>
      <c r="Y103" s="140"/>
      <c r="AC103" s="141"/>
      <c r="AG103" s="141"/>
      <c r="AK103" s="141"/>
    </row>
    <row r="104" spans="2:37" s="134" customFormat="1" x14ac:dyDescent="0.2">
      <c r="B104" s="145"/>
      <c r="D104" s="145"/>
      <c r="U104" s="141"/>
      <c r="Y104" s="140"/>
      <c r="AC104" s="141"/>
      <c r="AG104" s="141"/>
      <c r="AK104" s="141"/>
    </row>
    <row r="105" spans="2:37" s="134" customFormat="1" x14ac:dyDescent="0.2">
      <c r="B105" s="145"/>
      <c r="D105" s="145"/>
      <c r="U105" s="141"/>
      <c r="Y105" s="140"/>
      <c r="AC105" s="141"/>
      <c r="AG105" s="141"/>
      <c r="AK105" s="141"/>
    </row>
    <row r="106" spans="2:37" s="134" customFormat="1" x14ac:dyDescent="0.2">
      <c r="B106" s="145"/>
      <c r="D106" s="145"/>
      <c r="U106" s="141"/>
      <c r="Y106" s="140"/>
      <c r="AC106" s="141"/>
      <c r="AG106" s="141"/>
      <c r="AK106" s="141"/>
    </row>
    <row r="107" spans="2:37" s="134" customFormat="1" x14ac:dyDescent="0.2">
      <c r="B107" s="145"/>
      <c r="D107" s="145"/>
      <c r="U107" s="141"/>
      <c r="Y107" s="140"/>
      <c r="AC107" s="141"/>
      <c r="AG107" s="141"/>
      <c r="AK107" s="141"/>
    </row>
    <row r="108" spans="2:37" s="134" customFormat="1" x14ac:dyDescent="0.2">
      <c r="B108" s="145"/>
      <c r="D108" s="145"/>
      <c r="U108" s="141"/>
      <c r="Y108" s="140"/>
      <c r="AC108" s="141"/>
      <c r="AG108" s="141"/>
      <c r="AK108" s="141"/>
    </row>
    <row r="109" spans="2:37" s="134" customFormat="1" x14ac:dyDescent="0.2">
      <c r="B109" s="145"/>
      <c r="D109" s="145"/>
      <c r="U109" s="141"/>
      <c r="Y109" s="140"/>
      <c r="AC109" s="141"/>
      <c r="AG109" s="141"/>
      <c r="AK109" s="141"/>
    </row>
    <row r="110" spans="2:37" s="134" customFormat="1" x14ac:dyDescent="0.2">
      <c r="B110" s="145"/>
      <c r="D110" s="145"/>
      <c r="U110" s="141"/>
      <c r="Y110" s="140"/>
      <c r="AC110" s="141"/>
      <c r="AG110" s="141"/>
      <c r="AK110" s="141"/>
    </row>
    <row r="111" spans="2:37" s="134" customFormat="1" x14ac:dyDescent="0.2">
      <c r="B111" s="145"/>
      <c r="D111" s="145"/>
      <c r="U111" s="141"/>
      <c r="Y111" s="140"/>
      <c r="AC111" s="141"/>
      <c r="AG111" s="141"/>
      <c r="AK111" s="141"/>
    </row>
    <row r="112" spans="2:37" s="134" customFormat="1" x14ac:dyDescent="0.2">
      <c r="B112" s="145"/>
      <c r="D112" s="145"/>
      <c r="U112" s="141"/>
      <c r="Y112" s="140"/>
      <c r="AC112" s="141"/>
      <c r="AG112" s="141"/>
      <c r="AK112" s="141"/>
    </row>
    <row r="113" spans="2:37" s="134" customFormat="1" x14ac:dyDescent="0.2">
      <c r="B113" s="145"/>
      <c r="D113" s="145"/>
      <c r="U113" s="141"/>
      <c r="Y113" s="140"/>
      <c r="AC113" s="141"/>
      <c r="AG113" s="141"/>
      <c r="AK113" s="141"/>
    </row>
    <row r="114" spans="2:37" s="134" customFormat="1" x14ac:dyDescent="0.2">
      <c r="B114" s="145"/>
      <c r="D114" s="145"/>
      <c r="U114" s="141"/>
      <c r="Y114" s="140"/>
      <c r="AC114" s="141"/>
      <c r="AG114" s="141"/>
      <c r="AK114" s="141"/>
    </row>
    <row r="115" spans="2:37" s="134" customFormat="1" x14ac:dyDescent="0.2">
      <c r="B115" s="145"/>
      <c r="D115" s="145"/>
      <c r="U115" s="141"/>
      <c r="Y115" s="140"/>
      <c r="AC115" s="141"/>
      <c r="AG115" s="141"/>
      <c r="AK115" s="141"/>
    </row>
    <row r="116" spans="2:37" s="134" customFormat="1" x14ac:dyDescent="0.2">
      <c r="B116" s="145"/>
      <c r="D116" s="145"/>
      <c r="U116" s="141"/>
      <c r="Y116" s="140"/>
      <c r="AC116" s="141"/>
      <c r="AG116" s="141"/>
      <c r="AK116" s="141"/>
    </row>
    <row r="117" spans="2:37" s="134" customFormat="1" x14ac:dyDescent="0.2">
      <c r="B117" s="145"/>
      <c r="D117" s="145"/>
      <c r="U117" s="141"/>
      <c r="Y117" s="140"/>
      <c r="AC117" s="141"/>
      <c r="AG117" s="141"/>
      <c r="AK117" s="141"/>
    </row>
    <row r="118" spans="2:37" s="134" customFormat="1" x14ac:dyDescent="0.2">
      <c r="B118" s="145"/>
      <c r="D118" s="145"/>
      <c r="U118" s="141"/>
      <c r="Y118" s="140"/>
      <c r="AC118" s="141"/>
      <c r="AG118" s="141"/>
      <c r="AK118" s="141"/>
    </row>
    <row r="119" spans="2:37" s="134" customFormat="1" x14ac:dyDescent="0.2">
      <c r="B119" s="145"/>
      <c r="D119" s="145"/>
      <c r="U119" s="141"/>
      <c r="Y119" s="140"/>
      <c r="AC119" s="141"/>
      <c r="AG119" s="141"/>
      <c r="AK119" s="141"/>
    </row>
    <row r="120" spans="2:37" s="134" customFormat="1" x14ac:dyDescent="0.2">
      <c r="B120" s="145"/>
      <c r="D120" s="145"/>
      <c r="U120" s="141"/>
      <c r="Y120" s="140"/>
      <c r="AC120" s="141"/>
      <c r="AG120" s="141"/>
      <c r="AK120" s="141"/>
    </row>
    <row r="121" spans="2:37" s="134" customFormat="1" x14ac:dyDescent="0.2">
      <c r="B121" s="145"/>
      <c r="D121" s="145"/>
      <c r="U121" s="141"/>
      <c r="Y121" s="140"/>
      <c r="AC121" s="141"/>
      <c r="AG121" s="141"/>
      <c r="AK121" s="141"/>
    </row>
    <row r="122" spans="2:37" s="134" customFormat="1" x14ac:dyDescent="0.2">
      <c r="B122" s="145"/>
      <c r="D122" s="145"/>
      <c r="U122" s="141"/>
      <c r="Y122" s="140"/>
      <c r="AC122" s="141"/>
      <c r="AG122" s="141"/>
      <c r="AK122" s="141"/>
    </row>
    <row r="123" spans="2:37" s="134" customFormat="1" x14ac:dyDescent="0.2">
      <c r="B123" s="145"/>
      <c r="D123" s="145"/>
      <c r="U123" s="141"/>
      <c r="Y123" s="140"/>
      <c r="AC123" s="141"/>
      <c r="AG123" s="141"/>
      <c r="AK123" s="141"/>
    </row>
    <row r="124" spans="2:37" s="134" customFormat="1" x14ac:dyDescent="0.2">
      <c r="B124" s="145"/>
      <c r="D124" s="145"/>
      <c r="U124" s="141"/>
      <c r="Y124" s="140"/>
      <c r="AC124" s="141"/>
      <c r="AG124" s="141"/>
      <c r="AK124" s="141"/>
    </row>
    <row r="125" spans="2:37" s="134" customFormat="1" x14ac:dyDescent="0.2">
      <c r="B125" s="145"/>
      <c r="D125" s="145"/>
      <c r="U125" s="141"/>
      <c r="Y125" s="140"/>
      <c r="AC125" s="141"/>
      <c r="AG125" s="141"/>
      <c r="AK125" s="141"/>
    </row>
    <row r="126" spans="2:37" s="134" customFormat="1" x14ac:dyDescent="0.2">
      <c r="B126" s="145"/>
      <c r="D126" s="145"/>
      <c r="U126" s="141"/>
      <c r="Y126" s="140"/>
      <c r="AC126" s="141"/>
      <c r="AG126" s="141"/>
      <c r="AK126" s="141"/>
    </row>
    <row r="127" spans="2:37" s="134" customFormat="1" x14ac:dyDescent="0.2">
      <c r="B127" s="145"/>
      <c r="D127" s="145"/>
      <c r="U127" s="141"/>
      <c r="Y127" s="140"/>
      <c r="AC127" s="141"/>
      <c r="AG127" s="141"/>
      <c r="AK127" s="141"/>
    </row>
    <row r="128" spans="2:37" s="134" customFormat="1" x14ac:dyDescent="0.2">
      <c r="B128" s="145"/>
      <c r="D128" s="145"/>
      <c r="U128" s="141"/>
      <c r="Y128" s="140"/>
      <c r="AC128" s="141"/>
      <c r="AG128" s="141"/>
      <c r="AK128" s="141"/>
    </row>
    <row r="129" spans="2:37" s="134" customFormat="1" x14ac:dyDescent="0.2">
      <c r="B129" s="145"/>
      <c r="D129" s="145"/>
      <c r="U129" s="141"/>
      <c r="Y129" s="140"/>
      <c r="AC129" s="141"/>
      <c r="AG129" s="141"/>
      <c r="AK129" s="141"/>
    </row>
    <row r="130" spans="2:37" s="134" customFormat="1" x14ac:dyDescent="0.2">
      <c r="B130" s="145"/>
      <c r="D130" s="145"/>
      <c r="U130" s="141"/>
      <c r="Y130" s="140"/>
      <c r="AC130" s="141"/>
      <c r="AG130" s="141"/>
      <c r="AK130" s="141"/>
    </row>
    <row r="131" spans="2:37" s="134" customFormat="1" x14ac:dyDescent="0.2">
      <c r="B131" s="145"/>
      <c r="D131" s="145"/>
      <c r="U131" s="141"/>
      <c r="Y131" s="140"/>
      <c r="AC131" s="141"/>
      <c r="AG131" s="141"/>
      <c r="AK131" s="141"/>
    </row>
    <row r="132" spans="2:37" s="134" customFormat="1" x14ac:dyDescent="0.2">
      <c r="B132" s="145"/>
      <c r="D132" s="145"/>
      <c r="U132" s="141"/>
      <c r="Y132" s="140"/>
      <c r="AC132" s="141"/>
      <c r="AG132" s="141"/>
      <c r="AK132" s="141"/>
    </row>
    <row r="133" spans="2:37" s="134" customFormat="1" x14ac:dyDescent="0.2">
      <c r="B133" s="145"/>
      <c r="D133" s="145"/>
      <c r="U133" s="141"/>
      <c r="Y133" s="140"/>
      <c r="AC133" s="141"/>
      <c r="AG133" s="141"/>
      <c r="AK133" s="141"/>
    </row>
    <row r="134" spans="2:37" s="134" customFormat="1" x14ac:dyDescent="0.2">
      <c r="B134" s="145"/>
      <c r="D134" s="145"/>
      <c r="U134" s="141"/>
      <c r="Y134" s="140"/>
      <c r="AC134" s="141"/>
      <c r="AG134" s="141"/>
      <c r="AK134" s="141"/>
    </row>
    <row r="135" spans="2:37" s="134" customFormat="1" x14ac:dyDescent="0.2">
      <c r="B135" s="145"/>
      <c r="D135" s="145"/>
      <c r="U135" s="141"/>
      <c r="Y135" s="140"/>
      <c r="AC135" s="141"/>
      <c r="AG135" s="141"/>
      <c r="AK135" s="141"/>
    </row>
    <row r="136" spans="2:37" s="134" customFormat="1" x14ac:dyDescent="0.2">
      <c r="B136" s="145"/>
      <c r="D136" s="145"/>
      <c r="U136" s="141"/>
      <c r="Y136" s="140"/>
      <c r="AC136" s="141"/>
      <c r="AG136" s="141"/>
      <c r="AK136" s="141"/>
    </row>
    <row r="137" spans="2:37" s="134" customFormat="1" x14ac:dyDescent="0.2">
      <c r="B137" s="145"/>
      <c r="D137" s="145"/>
      <c r="U137" s="141"/>
      <c r="Y137" s="140"/>
      <c r="AC137" s="141"/>
      <c r="AG137" s="141"/>
      <c r="AK137" s="141"/>
    </row>
    <row r="138" spans="2:37" s="134" customFormat="1" x14ac:dyDescent="0.2">
      <c r="B138" s="145"/>
      <c r="D138" s="145"/>
      <c r="U138" s="141"/>
      <c r="Y138" s="140"/>
      <c r="AC138" s="141"/>
      <c r="AG138" s="141"/>
      <c r="AK138" s="141"/>
    </row>
    <row r="139" spans="2:37" s="134" customFormat="1" x14ac:dyDescent="0.2">
      <c r="B139" s="145"/>
      <c r="D139" s="145"/>
      <c r="U139" s="141"/>
      <c r="Y139" s="140"/>
      <c r="AC139" s="141"/>
      <c r="AG139" s="141"/>
      <c r="AK139" s="141"/>
    </row>
    <row r="140" spans="2:37" s="134" customFormat="1" x14ac:dyDescent="0.2">
      <c r="B140" s="145"/>
      <c r="D140" s="145"/>
      <c r="U140" s="141"/>
      <c r="Y140" s="140"/>
      <c r="AC140" s="141"/>
      <c r="AG140" s="141"/>
      <c r="AK140" s="141"/>
    </row>
    <row r="141" spans="2:37" s="134" customFormat="1" x14ac:dyDescent="0.2">
      <c r="B141" s="145"/>
      <c r="D141" s="145"/>
      <c r="U141" s="141"/>
      <c r="Y141" s="140"/>
      <c r="AC141" s="141"/>
      <c r="AG141" s="141"/>
      <c r="AK141" s="141"/>
    </row>
    <row r="142" spans="2:37" s="134" customFormat="1" x14ac:dyDescent="0.2">
      <c r="B142" s="145"/>
      <c r="D142" s="145"/>
      <c r="U142" s="141"/>
      <c r="Y142" s="140"/>
      <c r="AC142" s="141"/>
      <c r="AG142" s="141"/>
      <c r="AK142" s="141"/>
    </row>
    <row r="143" spans="2:37" s="134" customFormat="1" x14ac:dyDescent="0.2">
      <c r="B143" s="145"/>
      <c r="D143" s="145"/>
      <c r="U143" s="141"/>
      <c r="Y143" s="140"/>
      <c r="AC143" s="141"/>
      <c r="AG143" s="141"/>
      <c r="AK143" s="141"/>
    </row>
    <row r="144" spans="2:37" s="134" customFormat="1" x14ac:dyDescent="0.2">
      <c r="B144" s="145"/>
      <c r="D144" s="145"/>
      <c r="U144" s="141"/>
      <c r="Y144" s="140"/>
      <c r="AC144" s="141"/>
      <c r="AG144" s="141"/>
      <c r="AK144" s="141"/>
    </row>
    <row r="145" spans="2:37" s="134" customFormat="1" x14ac:dyDescent="0.2">
      <c r="B145" s="145"/>
      <c r="D145" s="145"/>
      <c r="U145" s="141"/>
      <c r="Y145" s="140"/>
      <c r="AC145" s="141"/>
      <c r="AG145" s="141"/>
      <c r="AK145" s="141"/>
    </row>
    <row r="146" spans="2:37" s="134" customFormat="1" x14ac:dyDescent="0.2">
      <c r="B146" s="145"/>
      <c r="D146" s="145"/>
      <c r="U146" s="141"/>
      <c r="Y146" s="140"/>
      <c r="AC146" s="141"/>
      <c r="AG146" s="141"/>
      <c r="AK146" s="141"/>
    </row>
    <row r="147" spans="2:37" s="134" customFormat="1" x14ac:dyDescent="0.2">
      <c r="B147" s="145"/>
      <c r="D147" s="145"/>
      <c r="U147" s="141"/>
      <c r="Y147" s="140"/>
      <c r="AC147" s="141"/>
      <c r="AG147" s="141"/>
      <c r="AK147" s="141"/>
    </row>
    <row r="148" spans="2:37" s="134" customFormat="1" x14ac:dyDescent="0.2">
      <c r="B148" s="145"/>
      <c r="D148" s="145"/>
      <c r="U148" s="141"/>
      <c r="Y148" s="140"/>
      <c r="AC148" s="141"/>
      <c r="AG148" s="141"/>
      <c r="AK148" s="141"/>
    </row>
    <row r="149" spans="2:37" s="134" customFormat="1" x14ac:dyDescent="0.2">
      <c r="B149" s="145"/>
      <c r="D149" s="145"/>
      <c r="U149" s="141"/>
      <c r="Y149" s="140"/>
      <c r="AC149" s="141"/>
      <c r="AG149" s="141"/>
      <c r="AK149" s="141"/>
    </row>
    <row r="150" spans="2:37" s="134" customFormat="1" x14ac:dyDescent="0.2">
      <c r="B150" s="145"/>
      <c r="D150" s="145"/>
      <c r="U150" s="141"/>
      <c r="Y150" s="140"/>
      <c r="AC150" s="141"/>
      <c r="AG150" s="141"/>
      <c r="AK150" s="141"/>
    </row>
    <row r="151" spans="2:37" s="134" customFormat="1" x14ac:dyDescent="0.2">
      <c r="B151" s="145"/>
      <c r="D151" s="145"/>
      <c r="U151" s="141"/>
      <c r="Y151" s="140"/>
      <c r="AC151" s="141"/>
      <c r="AG151" s="141"/>
      <c r="AK151" s="141"/>
    </row>
    <row r="152" spans="2:37" s="134" customFormat="1" x14ac:dyDescent="0.2">
      <c r="B152" s="145"/>
      <c r="D152" s="145"/>
      <c r="U152" s="141"/>
      <c r="Y152" s="140"/>
      <c r="AC152" s="141"/>
      <c r="AG152" s="141"/>
      <c r="AK152" s="141"/>
    </row>
    <row r="153" spans="2:37" s="134" customFormat="1" x14ac:dyDescent="0.2">
      <c r="B153" s="145"/>
      <c r="D153" s="145"/>
      <c r="U153" s="141"/>
      <c r="Y153" s="140"/>
      <c r="AC153" s="141"/>
      <c r="AG153" s="141"/>
      <c r="AK153" s="141"/>
    </row>
    <row r="154" spans="2:37" s="134" customFormat="1" x14ac:dyDescent="0.2">
      <c r="B154" s="145"/>
      <c r="D154" s="145"/>
      <c r="U154" s="141"/>
      <c r="Y154" s="140"/>
      <c r="AC154" s="141"/>
      <c r="AG154" s="141"/>
      <c r="AK154" s="141"/>
    </row>
    <row r="155" spans="2:37" s="134" customFormat="1" x14ac:dyDescent="0.2">
      <c r="B155" s="145"/>
      <c r="D155" s="145"/>
      <c r="U155" s="141"/>
      <c r="Y155" s="140"/>
      <c r="AC155" s="141"/>
      <c r="AG155" s="141"/>
      <c r="AK155" s="141"/>
    </row>
    <row r="156" spans="2:37" s="134" customFormat="1" x14ac:dyDescent="0.2">
      <c r="B156" s="145"/>
      <c r="D156" s="145"/>
      <c r="U156" s="141"/>
      <c r="Y156" s="140"/>
      <c r="AC156" s="141"/>
      <c r="AG156" s="141"/>
      <c r="AK156" s="141"/>
    </row>
    <row r="157" spans="2:37" s="134" customFormat="1" x14ac:dyDescent="0.2">
      <c r="B157" s="145"/>
      <c r="D157" s="145"/>
      <c r="U157" s="141"/>
      <c r="Y157" s="140"/>
      <c r="AC157" s="141"/>
      <c r="AG157" s="141"/>
      <c r="AK157" s="141"/>
    </row>
    <row r="158" spans="2:37" s="134" customFormat="1" x14ac:dyDescent="0.2">
      <c r="B158" s="145"/>
      <c r="D158" s="145"/>
      <c r="U158" s="141"/>
      <c r="Y158" s="140"/>
      <c r="AC158" s="141"/>
      <c r="AG158" s="141"/>
      <c r="AK158" s="141"/>
    </row>
    <row r="159" spans="2:37" s="134" customFormat="1" x14ac:dyDescent="0.2">
      <c r="B159" s="145"/>
      <c r="D159" s="145"/>
      <c r="U159" s="141"/>
      <c r="Y159" s="140"/>
      <c r="AC159" s="141"/>
      <c r="AG159" s="141"/>
      <c r="AK159" s="141"/>
    </row>
    <row r="160" spans="2:37" s="134" customFormat="1" x14ac:dyDescent="0.2">
      <c r="B160" s="145"/>
      <c r="D160" s="145"/>
      <c r="U160" s="141"/>
      <c r="Y160" s="140"/>
      <c r="AC160" s="141"/>
      <c r="AG160" s="141"/>
      <c r="AK160" s="141"/>
    </row>
    <row r="161" spans="2:37" s="134" customFormat="1" x14ac:dyDescent="0.2">
      <c r="B161" s="145"/>
      <c r="D161" s="145"/>
      <c r="U161" s="141"/>
      <c r="Y161" s="140"/>
      <c r="AC161" s="141"/>
      <c r="AG161" s="141"/>
      <c r="AK161" s="141"/>
    </row>
    <row r="162" spans="2:37" s="134" customFormat="1" x14ac:dyDescent="0.2">
      <c r="B162" s="145"/>
      <c r="D162" s="145"/>
      <c r="U162" s="141"/>
      <c r="Y162" s="140"/>
      <c r="AC162" s="141"/>
      <c r="AG162" s="141"/>
      <c r="AK162" s="141"/>
    </row>
    <row r="163" spans="2:37" s="134" customFormat="1" x14ac:dyDescent="0.2">
      <c r="B163" s="145"/>
      <c r="D163" s="145"/>
      <c r="U163" s="141"/>
      <c r="Y163" s="140"/>
      <c r="AC163" s="141"/>
      <c r="AG163" s="141"/>
      <c r="AK163" s="141"/>
    </row>
    <row r="164" spans="2:37" s="134" customFormat="1" x14ac:dyDescent="0.2">
      <c r="B164" s="145"/>
      <c r="D164" s="145"/>
      <c r="U164" s="141"/>
      <c r="Y164" s="140"/>
      <c r="AC164" s="141"/>
      <c r="AG164" s="141"/>
      <c r="AK164" s="141"/>
    </row>
    <row r="165" spans="2:37" s="134" customFormat="1" x14ac:dyDescent="0.2">
      <c r="B165" s="145"/>
      <c r="D165" s="145"/>
      <c r="U165" s="141"/>
      <c r="Y165" s="140"/>
      <c r="AC165" s="141"/>
      <c r="AG165" s="141"/>
      <c r="AK165" s="141"/>
    </row>
    <row r="166" spans="2:37" s="134" customFormat="1" x14ac:dyDescent="0.2">
      <c r="B166" s="145"/>
      <c r="D166" s="145"/>
      <c r="U166" s="141"/>
      <c r="Y166" s="140"/>
      <c r="AC166" s="141"/>
      <c r="AG166" s="141"/>
      <c r="AK166" s="141"/>
    </row>
    <row r="167" spans="2:37" s="134" customFormat="1" x14ac:dyDescent="0.2">
      <c r="B167" s="145"/>
      <c r="D167" s="145"/>
      <c r="U167" s="141"/>
      <c r="Y167" s="140"/>
      <c r="AC167" s="141"/>
      <c r="AG167" s="141"/>
      <c r="AK167" s="141"/>
    </row>
    <row r="168" spans="2:37" s="134" customFormat="1" x14ac:dyDescent="0.2">
      <c r="B168" s="145"/>
      <c r="D168" s="145"/>
      <c r="U168" s="141"/>
      <c r="Y168" s="140"/>
      <c r="AC168" s="141"/>
      <c r="AG168" s="141"/>
      <c r="AK168" s="141"/>
    </row>
    <row r="169" spans="2:37" s="134" customFormat="1" x14ac:dyDescent="0.2">
      <c r="B169" s="145"/>
      <c r="D169" s="145"/>
      <c r="U169" s="141"/>
      <c r="Y169" s="140"/>
      <c r="AC169" s="141"/>
      <c r="AG169" s="141"/>
      <c r="AK169" s="141"/>
    </row>
    <row r="170" spans="2:37" s="134" customFormat="1" x14ac:dyDescent="0.2">
      <c r="B170" s="145"/>
      <c r="D170" s="145"/>
      <c r="U170" s="141"/>
      <c r="Y170" s="140"/>
      <c r="AC170" s="141"/>
      <c r="AG170" s="141"/>
      <c r="AK170" s="141"/>
    </row>
    <row r="171" spans="2:37" s="134" customFormat="1" x14ac:dyDescent="0.2">
      <c r="B171" s="145"/>
      <c r="D171" s="145"/>
      <c r="U171" s="141"/>
      <c r="Y171" s="140"/>
      <c r="AC171" s="141"/>
      <c r="AG171" s="141"/>
      <c r="AK171" s="141"/>
    </row>
    <row r="172" spans="2:37" s="134" customFormat="1" x14ac:dyDescent="0.2">
      <c r="B172" s="145"/>
      <c r="D172" s="145"/>
      <c r="U172" s="141"/>
      <c r="Y172" s="140"/>
      <c r="AC172" s="141"/>
      <c r="AG172" s="141"/>
      <c r="AK172" s="141"/>
    </row>
    <row r="173" spans="2:37" s="134" customFormat="1" x14ac:dyDescent="0.2">
      <c r="B173" s="145"/>
      <c r="D173" s="145"/>
      <c r="U173" s="141"/>
      <c r="Y173" s="140"/>
      <c r="AC173" s="141"/>
      <c r="AG173" s="141"/>
      <c r="AK173" s="141"/>
    </row>
    <row r="174" spans="2:37" s="134" customFormat="1" x14ac:dyDescent="0.2">
      <c r="B174" s="145"/>
      <c r="D174" s="145"/>
      <c r="U174" s="141"/>
      <c r="Y174" s="140"/>
      <c r="AC174" s="141"/>
      <c r="AG174" s="141"/>
      <c r="AK174" s="141"/>
    </row>
    <row r="175" spans="2:37" s="134" customFormat="1" x14ac:dyDescent="0.2">
      <c r="B175" s="145"/>
      <c r="D175" s="145"/>
      <c r="U175" s="141"/>
      <c r="Y175" s="140"/>
      <c r="AC175" s="141"/>
      <c r="AG175" s="141"/>
      <c r="AK175" s="141"/>
    </row>
    <row r="176" spans="2:37" s="134" customFormat="1" x14ac:dyDescent="0.2">
      <c r="B176" s="145"/>
      <c r="D176" s="145"/>
      <c r="U176" s="141"/>
      <c r="Y176" s="140"/>
      <c r="AC176" s="141"/>
      <c r="AG176" s="141"/>
      <c r="AK176" s="141"/>
    </row>
    <row r="177" spans="2:37" s="134" customFormat="1" x14ac:dyDescent="0.2">
      <c r="B177" s="145"/>
      <c r="D177" s="145"/>
      <c r="U177" s="141"/>
      <c r="Y177" s="140"/>
      <c r="AC177" s="141"/>
      <c r="AG177" s="141"/>
      <c r="AK177" s="141"/>
    </row>
    <row r="178" spans="2:37" s="134" customFormat="1" x14ac:dyDescent="0.2">
      <c r="B178" s="145"/>
      <c r="D178" s="145"/>
      <c r="U178" s="141"/>
      <c r="Y178" s="140"/>
      <c r="AC178" s="141"/>
      <c r="AG178" s="141"/>
      <c r="AK178" s="141"/>
    </row>
    <row r="179" spans="2:37" s="134" customFormat="1" x14ac:dyDescent="0.2">
      <c r="B179" s="145"/>
      <c r="D179" s="145"/>
      <c r="U179" s="141"/>
      <c r="Y179" s="140"/>
      <c r="AC179" s="141"/>
      <c r="AG179" s="141"/>
      <c r="AK179" s="141"/>
    </row>
    <row r="180" spans="2:37" s="134" customFormat="1" x14ac:dyDescent="0.2">
      <c r="B180" s="145"/>
      <c r="D180" s="145"/>
      <c r="U180" s="141"/>
      <c r="Y180" s="140"/>
      <c r="AC180" s="141"/>
      <c r="AG180" s="141"/>
      <c r="AK180" s="141"/>
    </row>
    <row r="181" spans="2:37" s="134" customFormat="1" x14ac:dyDescent="0.2">
      <c r="B181" s="145"/>
      <c r="D181" s="145"/>
      <c r="U181" s="141"/>
      <c r="Y181" s="140"/>
      <c r="AC181" s="141"/>
      <c r="AG181" s="141"/>
      <c r="AK181" s="141"/>
    </row>
    <row r="182" spans="2:37" s="134" customFormat="1" x14ac:dyDescent="0.2">
      <c r="B182" s="145"/>
      <c r="D182" s="145"/>
      <c r="U182" s="141"/>
      <c r="Y182" s="140"/>
      <c r="AC182" s="141"/>
      <c r="AG182" s="141"/>
      <c r="AK182" s="141"/>
    </row>
    <row r="183" spans="2:37" s="134" customFormat="1" x14ac:dyDescent="0.2">
      <c r="B183" s="145"/>
      <c r="D183" s="145"/>
      <c r="U183" s="141"/>
      <c r="Y183" s="140"/>
      <c r="AC183" s="141"/>
      <c r="AG183" s="141"/>
      <c r="AK183" s="141"/>
    </row>
    <row r="184" spans="2:37" s="134" customFormat="1" x14ac:dyDescent="0.2">
      <c r="B184" s="145"/>
      <c r="D184" s="145"/>
      <c r="U184" s="141"/>
      <c r="Y184" s="140"/>
      <c r="AC184" s="141"/>
      <c r="AG184" s="141"/>
      <c r="AK184" s="141"/>
    </row>
    <row r="185" spans="2:37" s="134" customFormat="1" x14ac:dyDescent="0.2">
      <c r="B185" s="145"/>
      <c r="D185" s="145"/>
      <c r="U185" s="141"/>
      <c r="Y185" s="140"/>
      <c r="AC185" s="141"/>
      <c r="AG185" s="141"/>
      <c r="AK185" s="141"/>
    </row>
    <row r="186" spans="2:37" s="134" customFormat="1" x14ac:dyDescent="0.2">
      <c r="B186" s="145"/>
      <c r="D186" s="145"/>
      <c r="U186" s="141"/>
      <c r="Y186" s="140"/>
      <c r="AC186" s="141"/>
      <c r="AG186" s="141"/>
      <c r="AK186" s="141"/>
    </row>
    <row r="187" spans="2:37" s="134" customFormat="1" x14ac:dyDescent="0.2">
      <c r="B187" s="145"/>
      <c r="D187" s="145"/>
      <c r="U187" s="141"/>
      <c r="Y187" s="140"/>
      <c r="AC187" s="141"/>
      <c r="AG187" s="141"/>
      <c r="AK187" s="141"/>
    </row>
    <row r="188" spans="2:37" s="134" customFormat="1" x14ac:dyDescent="0.2">
      <c r="B188" s="145"/>
      <c r="D188" s="145"/>
      <c r="U188" s="141"/>
      <c r="Y188" s="140"/>
      <c r="AC188" s="141"/>
      <c r="AG188" s="141"/>
      <c r="AK188" s="141"/>
    </row>
    <row r="189" spans="2:37" s="134" customFormat="1" x14ac:dyDescent="0.2">
      <c r="B189" s="145"/>
      <c r="D189" s="145"/>
      <c r="U189" s="141"/>
      <c r="Y189" s="140"/>
      <c r="AC189" s="141"/>
      <c r="AG189" s="141"/>
      <c r="AK189" s="141"/>
    </row>
    <row r="190" spans="2:37" s="134" customFormat="1" x14ac:dyDescent="0.2">
      <c r="B190" s="145"/>
      <c r="D190" s="145"/>
      <c r="U190" s="141"/>
      <c r="Y190" s="140"/>
      <c r="AC190" s="141"/>
      <c r="AG190" s="141"/>
      <c r="AK190" s="141"/>
    </row>
    <row r="191" spans="2:37" s="134" customFormat="1" x14ac:dyDescent="0.2">
      <c r="B191" s="145"/>
      <c r="D191" s="145"/>
      <c r="U191" s="141"/>
      <c r="Y191" s="140"/>
      <c r="AC191" s="141"/>
      <c r="AG191" s="141"/>
      <c r="AK191" s="141"/>
    </row>
    <row r="192" spans="2:37" s="134" customFormat="1" x14ac:dyDescent="0.2">
      <c r="B192" s="145"/>
      <c r="D192" s="145"/>
      <c r="U192" s="141"/>
      <c r="Y192" s="140"/>
      <c r="AC192" s="141"/>
      <c r="AG192" s="141"/>
      <c r="AK192" s="141"/>
    </row>
    <row r="193" spans="2:37" s="134" customFormat="1" x14ac:dyDescent="0.2">
      <c r="B193" s="145"/>
      <c r="D193" s="145"/>
      <c r="U193" s="141"/>
      <c r="Y193" s="140"/>
      <c r="AC193" s="141"/>
      <c r="AG193" s="141"/>
      <c r="AK193" s="141"/>
    </row>
    <row r="194" spans="2:37" s="134" customFormat="1" x14ac:dyDescent="0.2">
      <c r="B194" s="145"/>
      <c r="D194" s="145"/>
      <c r="U194" s="141"/>
      <c r="Y194" s="140"/>
      <c r="AC194" s="141"/>
      <c r="AG194" s="141"/>
      <c r="AK194" s="141"/>
    </row>
    <row r="195" spans="2:37" s="134" customFormat="1" x14ac:dyDescent="0.2">
      <c r="B195" s="145"/>
      <c r="D195" s="145"/>
      <c r="U195" s="141"/>
      <c r="Y195" s="140"/>
      <c r="AC195" s="141"/>
      <c r="AG195" s="141"/>
      <c r="AK195" s="141"/>
    </row>
    <row r="196" spans="2:37" s="134" customFormat="1" x14ac:dyDescent="0.2">
      <c r="B196" s="145"/>
      <c r="D196" s="145"/>
      <c r="U196" s="141"/>
      <c r="Y196" s="140"/>
      <c r="AC196" s="141"/>
      <c r="AG196" s="141"/>
      <c r="AK196" s="141"/>
    </row>
    <row r="197" spans="2:37" s="134" customFormat="1" x14ac:dyDescent="0.2">
      <c r="B197" s="145"/>
      <c r="D197" s="145"/>
      <c r="U197" s="141"/>
      <c r="Y197" s="140"/>
      <c r="AC197" s="141"/>
      <c r="AG197" s="141"/>
      <c r="AK197" s="141"/>
    </row>
    <row r="198" spans="2:37" s="134" customFormat="1" x14ac:dyDescent="0.2">
      <c r="B198" s="145"/>
      <c r="D198" s="145"/>
      <c r="U198" s="141"/>
      <c r="Y198" s="140"/>
      <c r="AC198" s="141"/>
      <c r="AG198" s="141"/>
      <c r="AK198" s="141"/>
    </row>
    <row r="199" spans="2:37" s="134" customFormat="1" x14ac:dyDescent="0.2">
      <c r="B199" s="145"/>
      <c r="D199" s="145"/>
      <c r="U199" s="141"/>
      <c r="Y199" s="140"/>
      <c r="AC199" s="141"/>
      <c r="AG199" s="141"/>
      <c r="AK199" s="141"/>
    </row>
    <row r="200" spans="2:37" s="134" customFormat="1" x14ac:dyDescent="0.2">
      <c r="B200" s="145"/>
      <c r="D200" s="145"/>
      <c r="U200" s="141"/>
      <c r="Y200" s="140"/>
      <c r="AC200" s="141"/>
      <c r="AG200" s="141"/>
      <c r="AK200" s="141"/>
    </row>
    <row r="201" spans="2:37" s="134" customFormat="1" x14ac:dyDescent="0.2">
      <c r="B201" s="145"/>
      <c r="D201" s="145"/>
      <c r="U201" s="141"/>
      <c r="Y201" s="140"/>
      <c r="AC201" s="141"/>
      <c r="AG201" s="141"/>
      <c r="AK201" s="141"/>
    </row>
    <row r="202" spans="2:37" s="134" customFormat="1" x14ac:dyDescent="0.2">
      <c r="B202" s="145"/>
      <c r="D202" s="145"/>
      <c r="U202" s="141"/>
      <c r="Y202" s="140"/>
      <c r="AC202" s="141"/>
      <c r="AG202" s="141"/>
      <c r="AK202" s="141"/>
    </row>
    <row r="203" spans="2:37" s="134" customFormat="1" x14ac:dyDescent="0.2">
      <c r="B203" s="145"/>
      <c r="D203" s="145"/>
      <c r="U203" s="141"/>
      <c r="Y203" s="140"/>
      <c r="AC203" s="141"/>
      <c r="AG203" s="141"/>
      <c r="AK203" s="141"/>
    </row>
    <row r="204" spans="2:37" s="134" customFormat="1" x14ac:dyDescent="0.2">
      <c r="B204" s="145"/>
      <c r="D204" s="145"/>
      <c r="U204" s="141"/>
      <c r="Y204" s="140"/>
      <c r="AC204" s="141"/>
      <c r="AG204" s="141"/>
      <c r="AK204" s="141"/>
    </row>
    <row r="205" spans="2:37" s="134" customFormat="1" x14ac:dyDescent="0.2">
      <c r="B205" s="145"/>
      <c r="D205" s="145"/>
      <c r="U205" s="141"/>
      <c r="Y205" s="140"/>
      <c r="AC205" s="141"/>
      <c r="AG205" s="141"/>
      <c r="AK205" s="141"/>
    </row>
    <row r="206" spans="2:37" s="134" customFormat="1" x14ac:dyDescent="0.2">
      <c r="B206" s="145"/>
      <c r="D206" s="145"/>
      <c r="U206" s="141"/>
      <c r="Y206" s="140"/>
      <c r="AC206" s="141"/>
      <c r="AG206" s="141"/>
      <c r="AK206" s="141"/>
    </row>
    <row r="207" spans="2:37" s="134" customFormat="1" x14ac:dyDescent="0.2">
      <c r="B207" s="145"/>
      <c r="D207" s="145"/>
      <c r="U207" s="141"/>
      <c r="Y207" s="140"/>
      <c r="AC207" s="141"/>
      <c r="AG207" s="141"/>
      <c r="AK207" s="141"/>
    </row>
    <row r="208" spans="2:37" s="134" customFormat="1" x14ac:dyDescent="0.2">
      <c r="B208" s="145"/>
      <c r="D208" s="145"/>
      <c r="U208" s="141"/>
      <c r="Y208" s="140"/>
      <c r="AC208" s="141"/>
      <c r="AG208" s="141"/>
      <c r="AK208" s="141"/>
    </row>
    <row r="209" spans="2:37" s="134" customFormat="1" x14ac:dyDescent="0.2">
      <c r="B209" s="145"/>
      <c r="D209" s="145"/>
      <c r="U209" s="141"/>
      <c r="Y209" s="140"/>
      <c r="AC209" s="141"/>
      <c r="AG209" s="141"/>
      <c r="AK209" s="141"/>
    </row>
    <row r="210" spans="2:37" s="134" customFormat="1" x14ac:dyDescent="0.2">
      <c r="B210" s="145"/>
      <c r="D210" s="145"/>
      <c r="U210" s="141"/>
      <c r="Y210" s="140"/>
      <c r="AC210" s="141"/>
      <c r="AG210" s="141"/>
      <c r="AK210" s="141"/>
    </row>
    <row r="211" spans="2:37" s="134" customFormat="1" x14ac:dyDescent="0.2">
      <c r="B211" s="145"/>
      <c r="D211" s="145"/>
      <c r="U211" s="141"/>
      <c r="Y211" s="140"/>
      <c r="AC211" s="141"/>
      <c r="AG211" s="141"/>
      <c r="AK211" s="141"/>
    </row>
    <row r="212" spans="2:37" s="134" customFormat="1" x14ac:dyDescent="0.2">
      <c r="B212" s="145"/>
      <c r="D212" s="145"/>
      <c r="U212" s="141"/>
      <c r="Y212" s="140"/>
      <c r="AC212" s="141"/>
      <c r="AG212" s="141"/>
      <c r="AK212" s="141"/>
    </row>
    <row r="213" spans="2:37" s="134" customFormat="1" x14ac:dyDescent="0.2">
      <c r="B213" s="145"/>
      <c r="D213" s="145"/>
      <c r="U213" s="141"/>
      <c r="Y213" s="140"/>
      <c r="AC213" s="141"/>
      <c r="AG213" s="141"/>
      <c r="AK213" s="141"/>
    </row>
    <row r="214" spans="2:37" s="134" customFormat="1" x14ac:dyDescent="0.2">
      <c r="B214" s="145"/>
      <c r="D214" s="145"/>
      <c r="U214" s="141"/>
      <c r="Y214" s="140"/>
      <c r="AC214" s="141"/>
      <c r="AG214" s="141"/>
      <c r="AK214" s="141"/>
    </row>
    <row r="215" spans="2:37" s="134" customFormat="1" x14ac:dyDescent="0.2">
      <c r="B215" s="145"/>
      <c r="D215" s="145"/>
      <c r="U215" s="141"/>
      <c r="Y215" s="140"/>
      <c r="AC215" s="141"/>
      <c r="AG215" s="141"/>
      <c r="AK215" s="141"/>
    </row>
    <row r="216" spans="2:37" s="134" customFormat="1" x14ac:dyDescent="0.2">
      <c r="B216" s="145"/>
      <c r="D216" s="145"/>
      <c r="U216" s="141"/>
      <c r="Y216" s="140"/>
      <c r="AC216" s="141"/>
      <c r="AG216" s="141"/>
      <c r="AK216" s="141"/>
    </row>
    <row r="217" spans="2:37" s="134" customFormat="1" x14ac:dyDescent="0.2">
      <c r="B217" s="145"/>
      <c r="D217" s="145"/>
      <c r="U217" s="141"/>
      <c r="Y217" s="140"/>
      <c r="AC217" s="141"/>
      <c r="AG217" s="141"/>
      <c r="AK217" s="141"/>
    </row>
    <row r="218" spans="2:37" s="134" customFormat="1" x14ac:dyDescent="0.2">
      <c r="B218" s="145"/>
      <c r="D218" s="145"/>
      <c r="U218" s="141"/>
      <c r="Y218" s="140"/>
      <c r="AC218" s="141"/>
      <c r="AG218" s="141"/>
      <c r="AK218" s="141"/>
    </row>
    <row r="219" spans="2:37" s="134" customFormat="1" x14ac:dyDescent="0.2">
      <c r="B219" s="145"/>
      <c r="D219" s="145"/>
      <c r="U219" s="141"/>
      <c r="Y219" s="140"/>
      <c r="AC219" s="141"/>
      <c r="AG219" s="141"/>
      <c r="AK219" s="141"/>
    </row>
    <row r="220" spans="2:37" s="134" customFormat="1" x14ac:dyDescent="0.2">
      <c r="B220" s="145"/>
      <c r="D220" s="145"/>
      <c r="U220" s="141"/>
      <c r="Y220" s="140"/>
      <c r="AC220" s="141"/>
      <c r="AG220" s="141"/>
      <c r="AK220" s="141"/>
    </row>
    <row r="221" spans="2:37" s="134" customFormat="1" x14ac:dyDescent="0.2">
      <c r="B221" s="145"/>
      <c r="D221" s="145"/>
      <c r="U221" s="141"/>
      <c r="Y221" s="140"/>
      <c r="AC221" s="141"/>
      <c r="AG221" s="141"/>
      <c r="AK221" s="141"/>
    </row>
    <row r="222" spans="2:37" s="134" customFormat="1" x14ac:dyDescent="0.2">
      <c r="B222" s="145"/>
      <c r="D222" s="145"/>
      <c r="U222" s="141"/>
      <c r="Y222" s="140"/>
      <c r="AC222" s="141"/>
      <c r="AG222" s="141"/>
      <c r="AK222" s="141"/>
    </row>
    <row r="223" spans="2:37" s="134" customFormat="1" x14ac:dyDescent="0.2">
      <c r="B223" s="145"/>
      <c r="D223" s="145"/>
      <c r="U223" s="141"/>
      <c r="Y223" s="140"/>
      <c r="AC223" s="141"/>
      <c r="AG223" s="141"/>
      <c r="AK223" s="141"/>
    </row>
    <row r="224" spans="2:37" s="134" customFormat="1" x14ac:dyDescent="0.2">
      <c r="B224" s="145"/>
      <c r="D224" s="145"/>
      <c r="U224" s="141"/>
      <c r="Y224" s="140"/>
      <c r="AC224" s="141"/>
      <c r="AG224" s="141"/>
      <c r="AK224" s="141"/>
    </row>
    <row r="225" spans="2:37" s="134" customFormat="1" x14ac:dyDescent="0.2">
      <c r="B225" s="145"/>
      <c r="D225" s="145"/>
      <c r="U225" s="141"/>
      <c r="Y225" s="140"/>
      <c r="AC225" s="141"/>
      <c r="AG225" s="141"/>
      <c r="AK225" s="141"/>
    </row>
    <row r="226" spans="2:37" s="134" customFormat="1" x14ac:dyDescent="0.2">
      <c r="B226" s="145"/>
      <c r="D226" s="145"/>
      <c r="U226" s="141"/>
      <c r="Y226" s="140"/>
      <c r="AC226" s="141"/>
      <c r="AG226" s="141"/>
      <c r="AK226" s="141"/>
    </row>
    <row r="227" spans="2:37" s="134" customFormat="1" x14ac:dyDescent="0.2">
      <c r="B227" s="145"/>
      <c r="D227" s="145"/>
      <c r="U227" s="141"/>
      <c r="Y227" s="140"/>
      <c r="AC227" s="141"/>
      <c r="AG227" s="141"/>
      <c r="AK227" s="141"/>
    </row>
    <row r="228" spans="2:37" s="134" customFormat="1" x14ac:dyDescent="0.2">
      <c r="B228" s="145"/>
      <c r="D228" s="145"/>
      <c r="U228" s="141"/>
      <c r="Y228" s="140"/>
      <c r="AC228" s="141"/>
      <c r="AG228" s="141"/>
      <c r="AK228" s="141"/>
    </row>
    <row r="229" spans="2:37" s="134" customFormat="1" x14ac:dyDescent="0.2">
      <c r="B229" s="145"/>
      <c r="D229" s="145"/>
      <c r="U229" s="141"/>
      <c r="Y229" s="140"/>
      <c r="AC229" s="141"/>
      <c r="AG229" s="141"/>
      <c r="AK229" s="141"/>
    </row>
    <row r="230" spans="2:37" s="134" customFormat="1" x14ac:dyDescent="0.2">
      <c r="B230" s="145"/>
      <c r="D230" s="145"/>
      <c r="U230" s="141"/>
      <c r="Y230" s="140"/>
      <c r="AC230" s="141"/>
      <c r="AG230" s="141"/>
      <c r="AK230" s="141"/>
    </row>
    <row r="231" spans="2:37" s="134" customFormat="1" x14ac:dyDescent="0.2">
      <c r="B231" s="145"/>
      <c r="D231" s="145"/>
      <c r="U231" s="141"/>
      <c r="Y231" s="140"/>
      <c r="AC231" s="141"/>
      <c r="AG231" s="141"/>
      <c r="AK231" s="141"/>
    </row>
    <row r="232" spans="2:37" s="134" customFormat="1" x14ac:dyDescent="0.2">
      <c r="B232" s="145"/>
      <c r="D232" s="145"/>
      <c r="U232" s="141"/>
      <c r="Y232" s="140"/>
      <c r="AC232" s="141"/>
      <c r="AG232" s="141"/>
      <c r="AK232" s="141"/>
    </row>
    <row r="233" spans="2:37" s="134" customFormat="1" x14ac:dyDescent="0.2">
      <c r="B233" s="145"/>
      <c r="D233" s="145"/>
      <c r="U233" s="141"/>
      <c r="Y233" s="140"/>
      <c r="AC233" s="141"/>
      <c r="AG233" s="141"/>
      <c r="AK233" s="141"/>
    </row>
    <row r="234" spans="2:37" s="134" customFormat="1" x14ac:dyDescent="0.2">
      <c r="B234" s="145"/>
      <c r="D234" s="145"/>
      <c r="U234" s="141"/>
      <c r="Y234" s="140"/>
      <c r="AC234" s="141"/>
      <c r="AG234" s="141"/>
      <c r="AK234" s="141"/>
    </row>
    <row r="235" spans="2:37" s="134" customFormat="1" x14ac:dyDescent="0.2">
      <c r="B235" s="145"/>
      <c r="D235" s="145"/>
      <c r="U235" s="141"/>
      <c r="Y235" s="140"/>
      <c r="AC235" s="141"/>
      <c r="AG235" s="141"/>
      <c r="AK235" s="141"/>
    </row>
    <row r="236" spans="2:37" s="134" customFormat="1" x14ac:dyDescent="0.2">
      <c r="B236" s="145"/>
      <c r="D236" s="145"/>
      <c r="U236" s="141"/>
      <c r="Y236" s="140"/>
      <c r="AC236" s="141"/>
      <c r="AG236" s="141"/>
      <c r="AK236" s="141"/>
    </row>
    <row r="237" spans="2:37" s="134" customFormat="1" x14ac:dyDescent="0.2">
      <c r="B237" s="145"/>
      <c r="D237" s="145"/>
      <c r="U237" s="141"/>
      <c r="Y237" s="140"/>
      <c r="AC237" s="141"/>
      <c r="AG237" s="141"/>
      <c r="AK237" s="141"/>
    </row>
    <row r="238" spans="2:37" s="134" customFormat="1" x14ac:dyDescent="0.2">
      <c r="B238" s="145"/>
      <c r="D238" s="145"/>
      <c r="U238" s="141"/>
      <c r="Y238" s="140"/>
      <c r="AC238" s="141"/>
      <c r="AG238" s="141"/>
      <c r="AK238" s="141"/>
    </row>
    <row r="239" spans="2:37" s="134" customFormat="1" x14ac:dyDescent="0.2">
      <c r="B239" s="145"/>
      <c r="D239" s="145"/>
      <c r="U239" s="141"/>
      <c r="Y239" s="140"/>
      <c r="AC239" s="141"/>
      <c r="AG239" s="141"/>
      <c r="AK239" s="141"/>
    </row>
    <row r="240" spans="2:37" s="134" customFormat="1" x14ac:dyDescent="0.2">
      <c r="B240" s="145"/>
      <c r="D240" s="145"/>
      <c r="U240" s="141"/>
      <c r="Y240" s="140"/>
      <c r="AC240" s="141"/>
      <c r="AG240" s="141"/>
      <c r="AK240" s="141"/>
    </row>
    <row r="241" spans="2:37" s="134" customFormat="1" x14ac:dyDescent="0.2">
      <c r="B241" s="145"/>
      <c r="D241" s="145"/>
      <c r="U241" s="141"/>
      <c r="Y241" s="140"/>
      <c r="AC241" s="141"/>
      <c r="AG241" s="141"/>
      <c r="AK241" s="141"/>
    </row>
    <row r="242" spans="2:37" s="134" customFormat="1" x14ac:dyDescent="0.2">
      <c r="B242" s="145"/>
      <c r="D242" s="145"/>
      <c r="U242" s="141"/>
      <c r="Y242" s="140"/>
      <c r="AC242" s="141"/>
      <c r="AG242" s="141"/>
      <c r="AK242" s="141"/>
    </row>
    <row r="243" spans="2:37" s="134" customFormat="1" x14ac:dyDescent="0.2">
      <c r="B243" s="145"/>
      <c r="D243" s="145"/>
      <c r="U243" s="141"/>
      <c r="Y243" s="140"/>
      <c r="AC243" s="141"/>
      <c r="AG243" s="141"/>
      <c r="AK243" s="141"/>
    </row>
    <row r="244" spans="2:37" s="134" customFormat="1" x14ac:dyDescent="0.2">
      <c r="B244" s="145"/>
      <c r="D244" s="145"/>
      <c r="U244" s="141"/>
      <c r="Y244" s="140"/>
      <c r="AC244" s="141"/>
      <c r="AG244" s="141"/>
      <c r="AK244" s="141"/>
    </row>
    <row r="245" spans="2:37" s="134" customFormat="1" x14ac:dyDescent="0.2">
      <c r="B245" s="145"/>
      <c r="D245" s="145"/>
      <c r="U245" s="141"/>
      <c r="Y245" s="140"/>
      <c r="AC245" s="141"/>
      <c r="AG245" s="141"/>
      <c r="AK245" s="141"/>
    </row>
    <row r="246" spans="2:37" s="134" customFormat="1" x14ac:dyDescent="0.2">
      <c r="B246" s="145"/>
      <c r="D246" s="145"/>
      <c r="U246" s="141"/>
      <c r="Y246" s="140"/>
      <c r="AC246" s="141"/>
      <c r="AG246" s="141"/>
      <c r="AK246" s="141"/>
    </row>
    <row r="247" spans="2:37" s="134" customFormat="1" x14ac:dyDescent="0.2">
      <c r="B247" s="145"/>
      <c r="D247" s="145"/>
      <c r="U247" s="141"/>
      <c r="Y247" s="140"/>
      <c r="AC247" s="141"/>
      <c r="AG247" s="141"/>
      <c r="AK247" s="141"/>
    </row>
    <row r="248" spans="2:37" s="134" customFormat="1" x14ac:dyDescent="0.2">
      <c r="B248" s="145"/>
      <c r="D248" s="145"/>
      <c r="U248" s="141"/>
      <c r="Y248" s="140"/>
      <c r="AC248" s="141"/>
      <c r="AG248" s="141"/>
      <c r="AK248" s="141"/>
    </row>
    <row r="249" spans="2:37" s="134" customFormat="1" x14ac:dyDescent="0.2">
      <c r="B249" s="145"/>
      <c r="D249" s="145"/>
      <c r="U249" s="141"/>
      <c r="Y249" s="140"/>
      <c r="AC249" s="141"/>
      <c r="AG249" s="141"/>
      <c r="AK249" s="141"/>
    </row>
    <row r="250" spans="2:37" s="134" customFormat="1" x14ac:dyDescent="0.2">
      <c r="B250" s="145"/>
      <c r="D250" s="145"/>
      <c r="U250" s="141"/>
      <c r="Y250" s="140"/>
      <c r="AC250" s="141"/>
      <c r="AG250" s="141"/>
      <c r="AK250" s="141"/>
    </row>
    <row r="251" spans="2:37" s="134" customFormat="1" x14ac:dyDescent="0.2">
      <c r="B251" s="145"/>
      <c r="D251" s="145"/>
      <c r="U251" s="141"/>
      <c r="Y251" s="140"/>
      <c r="AC251" s="141"/>
      <c r="AG251" s="141"/>
      <c r="AK251" s="141"/>
    </row>
    <row r="252" spans="2:37" s="134" customFormat="1" x14ac:dyDescent="0.2">
      <c r="B252" s="145"/>
      <c r="D252" s="145"/>
      <c r="U252" s="141"/>
      <c r="Y252" s="140"/>
      <c r="AC252" s="141"/>
      <c r="AG252" s="141"/>
      <c r="AK252" s="141"/>
    </row>
    <row r="253" spans="2:37" s="134" customFormat="1" x14ac:dyDescent="0.2">
      <c r="B253" s="145"/>
      <c r="D253" s="145"/>
      <c r="U253" s="141"/>
      <c r="Y253" s="140"/>
      <c r="AC253" s="141"/>
      <c r="AG253" s="141"/>
      <c r="AK253" s="141"/>
    </row>
    <row r="254" spans="2:37" s="134" customFormat="1" x14ac:dyDescent="0.2">
      <c r="B254" s="145"/>
      <c r="D254" s="145"/>
      <c r="U254" s="141"/>
      <c r="Y254" s="140"/>
      <c r="AC254" s="141"/>
      <c r="AG254" s="141"/>
      <c r="AK254" s="141"/>
    </row>
    <row r="255" spans="2:37" s="134" customFormat="1" x14ac:dyDescent="0.2">
      <c r="B255" s="145"/>
      <c r="D255" s="145"/>
      <c r="U255" s="141"/>
      <c r="Y255" s="140"/>
      <c r="AC255" s="141"/>
      <c r="AG255" s="141"/>
      <c r="AK255" s="141"/>
    </row>
    <row r="256" spans="2:37" s="134" customFormat="1" x14ac:dyDescent="0.2">
      <c r="B256" s="145"/>
      <c r="D256" s="145"/>
      <c r="U256" s="141"/>
      <c r="Y256" s="140"/>
      <c r="AC256" s="141"/>
      <c r="AG256" s="141"/>
      <c r="AK256" s="141"/>
    </row>
    <row r="257" spans="2:37" s="134" customFormat="1" x14ac:dyDescent="0.2">
      <c r="B257" s="145"/>
      <c r="D257" s="145"/>
      <c r="U257" s="141"/>
      <c r="Y257" s="140"/>
      <c r="AC257" s="141"/>
      <c r="AG257" s="141"/>
      <c r="AK257" s="141"/>
    </row>
    <row r="258" spans="2:37" s="134" customFormat="1" x14ac:dyDescent="0.2">
      <c r="B258" s="145"/>
      <c r="D258" s="145"/>
      <c r="U258" s="141"/>
      <c r="Y258" s="140"/>
      <c r="AC258" s="141"/>
      <c r="AG258" s="141"/>
      <c r="AK258" s="141"/>
    </row>
    <row r="259" spans="2:37" s="134" customFormat="1" x14ac:dyDescent="0.2">
      <c r="B259" s="145"/>
      <c r="D259" s="145"/>
      <c r="U259" s="141"/>
      <c r="Y259" s="140"/>
      <c r="AC259" s="141"/>
      <c r="AG259" s="141"/>
      <c r="AK259" s="141"/>
    </row>
    <row r="260" spans="2:37" s="134" customFormat="1" x14ac:dyDescent="0.2">
      <c r="B260" s="145"/>
      <c r="D260" s="145"/>
      <c r="U260" s="141"/>
      <c r="Y260" s="140"/>
      <c r="AC260" s="141"/>
      <c r="AG260" s="141"/>
      <c r="AK260" s="141"/>
    </row>
    <row r="261" spans="2:37" s="134" customFormat="1" x14ac:dyDescent="0.2">
      <c r="B261" s="145"/>
      <c r="D261" s="145"/>
      <c r="U261" s="141"/>
      <c r="Y261" s="140"/>
      <c r="AC261" s="141"/>
      <c r="AG261" s="141"/>
      <c r="AK261" s="141"/>
    </row>
    <row r="262" spans="2:37" s="134" customFormat="1" x14ac:dyDescent="0.2">
      <c r="B262" s="145"/>
      <c r="D262" s="145"/>
      <c r="U262" s="141"/>
      <c r="Y262" s="140"/>
      <c r="AC262" s="141"/>
      <c r="AG262" s="141"/>
      <c r="AK262" s="141"/>
    </row>
    <row r="263" spans="2:37" s="134" customFormat="1" x14ac:dyDescent="0.2">
      <c r="B263" s="145"/>
      <c r="D263" s="145"/>
      <c r="U263" s="141"/>
      <c r="Y263" s="140"/>
      <c r="AC263" s="141"/>
      <c r="AG263" s="141"/>
      <c r="AK263" s="141"/>
    </row>
    <row r="264" spans="2:37" s="134" customFormat="1" x14ac:dyDescent="0.2">
      <c r="B264" s="145"/>
      <c r="D264" s="145"/>
      <c r="U264" s="141"/>
      <c r="Y264" s="140"/>
      <c r="AC264" s="141"/>
      <c r="AG264" s="141"/>
      <c r="AK264" s="141"/>
    </row>
    <row r="265" spans="2:37" s="134" customFormat="1" x14ac:dyDescent="0.2">
      <c r="B265" s="145"/>
      <c r="D265" s="145"/>
      <c r="U265" s="141"/>
      <c r="Y265" s="140"/>
      <c r="AC265" s="141"/>
      <c r="AG265" s="141"/>
      <c r="AK265" s="141"/>
    </row>
    <row r="266" spans="2:37" s="134" customFormat="1" x14ac:dyDescent="0.2">
      <c r="B266" s="145"/>
      <c r="D266" s="145"/>
      <c r="U266" s="141"/>
      <c r="Y266" s="140"/>
      <c r="AC266" s="141"/>
      <c r="AG266" s="141"/>
      <c r="AK266" s="141"/>
    </row>
    <row r="267" spans="2:37" s="134" customFormat="1" x14ac:dyDescent="0.2">
      <c r="B267" s="145"/>
      <c r="D267" s="145"/>
      <c r="U267" s="141"/>
      <c r="Y267" s="140"/>
      <c r="AC267" s="141"/>
      <c r="AG267" s="141"/>
      <c r="AK267" s="141"/>
    </row>
    <row r="268" spans="2:37" s="134" customFormat="1" x14ac:dyDescent="0.2">
      <c r="B268" s="145"/>
      <c r="D268" s="145"/>
      <c r="U268" s="141"/>
      <c r="Y268" s="140"/>
      <c r="AC268" s="141"/>
      <c r="AG268" s="141"/>
      <c r="AK268" s="141"/>
    </row>
    <row r="269" spans="2:37" s="134" customFormat="1" x14ac:dyDescent="0.2">
      <c r="B269" s="145"/>
      <c r="D269" s="145"/>
      <c r="U269" s="141"/>
      <c r="Y269" s="140"/>
      <c r="AC269" s="141"/>
      <c r="AG269" s="141"/>
      <c r="AK269" s="141"/>
    </row>
    <row r="270" spans="2:37" s="134" customFormat="1" x14ac:dyDescent="0.2">
      <c r="B270" s="145"/>
      <c r="D270" s="145"/>
      <c r="U270" s="141"/>
      <c r="Y270" s="140"/>
      <c r="AC270" s="141"/>
      <c r="AG270" s="141"/>
      <c r="AK270" s="141"/>
    </row>
    <row r="271" spans="2:37" s="134" customFormat="1" x14ac:dyDescent="0.2">
      <c r="B271" s="145"/>
      <c r="D271" s="145"/>
      <c r="U271" s="141"/>
      <c r="Y271" s="140"/>
      <c r="AC271" s="141"/>
      <c r="AG271" s="141"/>
      <c r="AK271" s="141"/>
    </row>
    <row r="272" spans="2:37" s="134" customFormat="1" x14ac:dyDescent="0.2">
      <c r="B272" s="145"/>
      <c r="D272" s="145"/>
      <c r="U272" s="141"/>
      <c r="Y272" s="140"/>
      <c r="AC272" s="141"/>
      <c r="AG272" s="141"/>
      <c r="AK272" s="141"/>
    </row>
    <row r="273" spans="2:37" s="134" customFormat="1" x14ac:dyDescent="0.2">
      <c r="B273" s="145"/>
      <c r="D273" s="145"/>
      <c r="U273" s="141"/>
      <c r="Y273" s="140"/>
      <c r="AC273" s="141"/>
      <c r="AG273" s="141"/>
      <c r="AK273" s="141"/>
    </row>
    <row r="274" spans="2:37" s="134" customFormat="1" x14ac:dyDescent="0.2">
      <c r="B274" s="145"/>
      <c r="D274" s="145"/>
      <c r="U274" s="141"/>
      <c r="Y274" s="140"/>
      <c r="AC274" s="141"/>
      <c r="AG274" s="141"/>
      <c r="AK274" s="141"/>
    </row>
    <row r="275" spans="2:37" s="134" customFormat="1" x14ac:dyDescent="0.2">
      <c r="B275" s="145"/>
      <c r="D275" s="145"/>
      <c r="U275" s="141"/>
      <c r="Y275" s="140"/>
      <c r="AC275" s="141"/>
      <c r="AG275" s="141"/>
      <c r="AK275" s="141"/>
    </row>
    <row r="276" spans="2:37" s="134" customFormat="1" x14ac:dyDescent="0.2">
      <c r="B276" s="145"/>
      <c r="D276" s="145"/>
      <c r="U276" s="141"/>
      <c r="Y276" s="140"/>
      <c r="AC276" s="141"/>
      <c r="AG276" s="141"/>
      <c r="AK276" s="141"/>
    </row>
    <row r="277" spans="2:37" s="134" customFormat="1" x14ac:dyDescent="0.2">
      <c r="B277" s="145"/>
      <c r="D277" s="145"/>
      <c r="U277" s="141"/>
      <c r="Y277" s="140"/>
      <c r="AC277" s="141"/>
      <c r="AG277" s="141"/>
      <c r="AK277" s="141"/>
    </row>
    <row r="278" spans="2:37" s="134" customFormat="1" x14ac:dyDescent="0.2">
      <c r="B278" s="145"/>
      <c r="D278" s="145"/>
      <c r="U278" s="141"/>
      <c r="Y278" s="140"/>
      <c r="AC278" s="141"/>
      <c r="AG278" s="141"/>
      <c r="AK278" s="141"/>
    </row>
    <row r="279" spans="2:37" s="134" customFormat="1" x14ac:dyDescent="0.2">
      <c r="B279" s="145"/>
      <c r="D279" s="145"/>
      <c r="U279" s="141"/>
      <c r="Y279" s="140"/>
      <c r="AC279" s="141"/>
      <c r="AG279" s="141"/>
      <c r="AK279" s="141"/>
    </row>
    <row r="280" spans="2:37" s="134" customFormat="1" x14ac:dyDescent="0.2">
      <c r="B280" s="145"/>
      <c r="D280" s="145"/>
      <c r="U280" s="141"/>
      <c r="Y280" s="140"/>
      <c r="AC280" s="141"/>
      <c r="AG280" s="141"/>
      <c r="AK280" s="141"/>
    </row>
    <row r="281" spans="2:37" s="134" customFormat="1" x14ac:dyDescent="0.2">
      <c r="B281" s="145"/>
      <c r="D281" s="145"/>
      <c r="U281" s="141"/>
      <c r="Y281" s="140"/>
      <c r="AC281" s="141"/>
      <c r="AG281" s="141"/>
      <c r="AK281" s="141"/>
    </row>
    <row r="282" spans="2:37" s="134" customFormat="1" x14ac:dyDescent="0.2">
      <c r="B282" s="145"/>
      <c r="D282" s="145"/>
      <c r="U282" s="141"/>
      <c r="Y282" s="140"/>
      <c r="AC282" s="141"/>
      <c r="AG282" s="141"/>
      <c r="AK282" s="141"/>
    </row>
    <row r="283" spans="2:37" s="134" customFormat="1" x14ac:dyDescent="0.2">
      <c r="B283" s="145"/>
      <c r="D283" s="145"/>
      <c r="U283" s="141"/>
      <c r="Y283" s="140"/>
      <c r="AC283" s="141"/>
      <c r="AG283" s="141"/>
      <c r="AK283" s="141"/>
    </row>
    <row r="284" spans="2:37" s="134" customFormat="1" x14ac:dyDescent="0.2">
      <c r="B284" s="145"/>
      <c r="D284" s="145"/>
      <c r="U284" s="141"/>
      <c r="Y284" s="140"/>
      <c r="AC284" s="141"/>
      <c r="AG284" s="141"/>
      <c r="AK284" s="141"/>
    </row>
    <row r="285" spans="2:37" s="134" customFormat="1" x14ac:dyDescent="0.2">
      <c r="B285" s="145"/>
      <c r="D285" s="145"/>
      <c r="U285" s="141"/>
      <c r="Y285" s="140"/>
      <c r="AC285" s="141"/>
      <c r="AG285" s="141"/>
      <c r="AK285" s="141"/>
    </row>
    <row r="286" spans="2:37" s="134" customFormat="1" x14ac:dyDescent="0.2">
      <c r="B286" s="145"/>
      <c r="D286" s="145"/>
      <c r="U286" s="141"/>
      <c r="Y286" s="140"/>
      <c r="AC286" s="141"/>
      <c r="AG286" s="141"/>
      <c r="AK286" s="141"/>
    </row>
    <row r="287" spans="2:37" s="134" customFormat="1" x14ac:dyDescent="0.2">
      <c r="B287" s="145"/>
      <c r="D287" s="145"/>
      <c r="U287" s="141"/>
      <c r="Y287" s="140"/>
      <c r="AC287" s="141"/>
      <c r="AG287" s="141"/>
      <c r="AK287" s="141"/>
    </row>
    <row r="288" spans="2:37" s="134" customFormat="1" x14ac:dyDescent="0.2">
      <c r="B288" s="145"/>
      <c r="D288" s="145"/>
      <c r="U288" s="141"/>
      <c r="Y288" s="140"/>
      <c r="AC288" s="141"/>
      <c r="AG288" s="141"/>
      <c r="AK288" s="141"/>
    </row>
    <row r="289" spans="2:37" s="134" customFormat="1" x14ac:dyDescent="0.2">
      <c r="B289" s="145"/>
      <c r="D289" s="145"/>
      <c r="U289" s="141"/>
      <c r="Y289" s="140"/>
      <c r="AC289" s="141"/>
      <c r="AG289" s="141"/>
      <c r="AK289" s="141"/>
    </row>
    <row r="290" spans="2:37" s="134" customFormat="1" x14ac:dyDescent="0.2">
      <c r="B290" s="145"/>
      <c r="D290" s="145"/>
      <c r="U290" s="141"/>
      <c r="Y290" s="140"/>
      <c r="AC290" s="141"/>
      <c r="AG290" s="141"/>
      <c r="AK290" s="141"/>
    </row>
    <row r="291" spans="2:37" s="134" customFormat="1" x14ac:dyDescent="0.2">
      <c r="B291" s="145"/>
      <c r="D291" s="145"/>
      <c r="U291" s="141"/>
      <c r="Y291" s="140"/>
      <c r="AC291" s="141"/>
      <c r="AG291" s="141"/>
      <c r="AK291" s="141"/>
    </row>
    <row r="292" spans="2:37" s="134" customFormat="1" x14ac:dyDescent="0.2">
      <c r="B292" s="145"/>
      <c r="D292" s="145"/>
      <c r="U292" s="141"/>
      <c r="Y292" s="140"/>
      <c r="AC292" s="141"/>
      <c r="AG292" s="141"/>
      <c r="AK292" s="141"/>
    </row>
    <row r="293" spans="2:37" s="134" customFormat="1" x14ac:dyDescent="0.2">
      <c r="B293" s="145"/>
      <c r="D293" s="145"/>
      <c r="U293" s="141"/>
      <c r="Y293" s="140"/>
      <c r="AC293" s="141"/>
      <c r="AG293" s="141"/>
      <c r="AK293" s="141"/>
    </row>
    <row r="294" spans="2:37" s="134" customFormat="1" x14ac:dyDescent="0.2">
      <c r="B294" s="145"/>
      <c r="D294" s="145"/>
      <c r="U294" s="141"/>
      <c r="Y294" s="140"/>
      <c r="AC294" s="141"/>
      <c r="AG294" s="141"/>
      <c r="AK294" s="141"/>
    </row>
    <row r="295" spans="2:37" s="134" customFormat="1" x14ac:dyDescent="0.2">
      <c r="B295" s="145"/>
      <c r="D295" s="145"/>
      <c r="U295" s="141"/>
      <c r="Y295" s="140"/>
      <c r="AC295" s="141"/>
      <c r="AG295" s="141"/>
      <c r="AK295" s="141"/>
    </row>
    <row r="296" spans="2:37" s="134" customFormat="1" x14ac:dyDescent="0.2">
      <c r="B296" s="145"/>
      <c r="D296" s="145"/>
      <c r="U296" s="141"/>
      <c r="Y296" s="140"/>
      <c r="AC296" s="141"/>
      <c r="AG296" s="141"/>
      <c r="AK296" s="141"/>
    </row>
    <row r="297" spans="2:37" s="134" customFormat="1" x14ac:dyDescent="0.2">
      <c r="B297" s="145"/>
      <c r="D297" s="145"/>
      <c r="U297" s="141"/>
      <c r="Y297" s="140"/>
      <c r="AC297" s="141"/>
      <c r="AG297" s="141"/>
      <c r="AK297" s="141"/>
    </row>
    <row r="298" spans="2:37" s="134" customFormat="1" x14ac:dyDescent="0.2">
      <c r="B298" s="145"/>
      <c r="D298" s="145"/>
      <c r="U298" s="141"/>
      <c r="Y298" s="140"/>
      <c r="AC298" s="141"/>
      <c r="AG298" s="141"/>
      <c r="AK298" s="141"/>
    </row>
    <row r="299" spans="2:37" s="134" customFormat="1" x14ac:dyDescent="0.2">
      <c r="B299" s="145"/>
      <c r="D299" s="145"/>
      <c r="U299" s="141"/>
      <c r="Y299" s="140"/>
      <c r="AC299" s="141"/>
      <c r="AG299" s="141"/>
      <c r="AK299" s="141"/>
    </row>
    <row r="300" spans="2:37" s="134" customFormat="1" x14ac:dyDescent="0.2">
      <c r="B300" s="145"/>
      <c r="D300" s="145"/>
      <c r="U300" s="141"/>
      <c r="Y300" s="140"/>
      <c r="AC300" s="141"/>
      <c r="AG300" s="141"/>
      <c r="AK300" s="141"/>
    </row>
    <row r="301" spans="2:37" s="134" customFormat="1" x14ac:dyDescent="0.2">
      <c r="B301" s="145"/>
      <c r="D301" s="145"/>
      <c r="U301" s="141"/>
      <c r="Y301" s="140"/>
      <c r="AC301" s="141"/>
      <c r="AG301" s="141"/>
      <c r="AK301" s="141"/>
    </row>
    <row r="302" spans="2:37" s="134" customFormat="1" x14ac:dyDescent="0.2">
      <c r="B302" s="145"/>
      <c r="D302" s="145"/>
      <c r="U302" s="141"/>
      <c r="Y302" s="140"/>
      <c r="AC302" s="141"/>
      <c r="AG302" s="141"/>
      <c r="AK302" s="141"/>
    </row>
    <row r="303" spans="2:37" s="134" customFormat="1" x14ac:dyDescent="0.2">
      <c r="B303" s="145"/>
      <c r="D303" s="145"/>
      <c r="U303" s="141"/>
      <c r="Y303" s="140"/>
      <c r="AC303" s="141"/>
      <c r="AG303" s="141"/>
      <c r="AK303" s="141"/>
    </row>
    <row r="304" spans="2:37" s="134" customFormat="1" x14ac:dyDescent="0.2">
      <c r="B304" s="145"/>
      <c r="D304" s="145"/>
      <c r="U304" s="141"/>
      <c r="Y304" s="140"/>
      <c r="AC304" s="141"/>
      <c r="AG304" s="141"/>
      <c r="AK304" s="141"/>
    </row>
    <row r="305" spans="2:37" s="134" customFormat="1" x14ac:dyDescent="0.2">
      <c r="B305" s="145"/>
      <c r="D305" s="145"/>
      <c r="U305" s="141"/>
      <c r="Y305" s="140"/>
      <c r="AC305" s="141"/>
      <c r="AG305" s="141"/>
      <c r="AK305" s="141"/>
    </row>
    <row r="306" spans="2:37" s="134" customFormat="1" x14ac:dyDescent="0.2">
      <c r="B306" s="145"/>
      <c r="D306" s="145"/>
      <c r="U306" s="141"/>
      <c r="Y306" s="140"/>
      <c r="AC306" s="141"/>
      <c r="AG306" s="141"/>
      <c r="AK306" s="141"/>
    </row>
    <row r="307" spans="2:37" s="134" customFormat="1" x14ac:dyDescent="0.2">
      <c r="B307" s="145"/>
      <c r="D307" s="145"/>
      <c r="U307" s="141"/>
      <c r="Y307" s="140"/>
      <c r="AC307" s="141"/>
      <c r="AG307" s="141"/>
      <c r="AK307" s="141"/>
    </row>
    <row r="308" spans="2:37" s="134" customFormat="1" x14ac:dyDescent="0.2">
      <c r="B308" s="145"/>
      <c r="D308" s="145"/>
      <c r="U308" s="141"/>
      <c r="Y308" s="140"/>
      <c r="AC308" s="141"/>
      <c r="AG308" s="141"/>
      <c r="AK308" s="141"/>
    </row>
    <row r="309" spans="2:37" s="134" customFormat="1" x14ac:dyDescent="0.2">
      <c r="B309" s="145"/>
      <c r="D309" s="145"/>
      <c r="U309" s="141"/>
      <c r="Y309" s="140"/>
      <c r="AC309" s="141"/>
      <c r="AG309" s="141"/>
      <c r="AK309" s="141"/>
    </row>
    <row r="310" spans="2:37" s="134" customFormat="1" x14ac:dyDescent="0.2">
      <c r="B310" s="145"/>
      <c r="D310" s="145"/>
      <c r="U310" s="141"/>
      <c r="Y310" s="140"/>
      <c r="AC310" s="141"/>
      <c r="AG310" s="141"/>
      <c r="AK310" s="141"/>
    </row>
    <row r="311" spans="2:37" s="134" customFormat="1" x14ac:dyDescent="0.2">
      <c r="B311" s="145"/>
      <c r="D311" s="145"/>
      <c r="U311" s="141"/>
      <c r="Y311" s="140"/>
      <c r="AC311" s="141"/>
      <c r="AG311" s="141"/>
      <c r="AK311" s="141"/>
    </row>
    <row r="312" spans="2:37" s="134" customFormat="1" x14ac:dyDescent="0.2">
      <c r="B312" s="145"/>
      <c r="D312" s="145"/>
      <c r="U312" s="141"/>
      <c r="Y312" s="140"/>
      <c r="AC312" s="141"/>
      <c r="AG312" s="141"/>
      <c r="AK312" s="141"/>
    </row>
    <row r="313" spans="2:37" s="134" customFormat="1" x14ac:dyDescent="0.2">
      <c r="B313" s="145"/>
      <c r="D313" s="145"/>
      <c r="U313" s="141"/>
      <c r="Y313" s="140"/>
      <c r="AC313" s="141"/>
      <c r="AG313" s="141"/>
      <c r="AK313" s="141"/>
    </row>
    <row r="314" spans="2:37" s="134" customFormat="1" x14ac:dyDescent="0.2">
      <c r="B314" s="145"/>
      <c r="D314" s="145"/>
      <c r="U314" s="141"/>
      <c r="Y314" s="140"/>
      <c r="AC314" s="141"/>
      <c r="AG314" s="141"/>
      <c r="AK314" s="141"/>
    </row>
    <row r="315" spans="2:37" s="134" customFormat="1" x14ac:dyDescent="0.2">
      <c r="B315" s="145"/>
      <c r="D315" s="145"/>
      <c r="U315" s="141"/>
      <c r="Y315" s="140"/>
      <c r="AC315" s="141"/>
      <c r="AG315" s="141"/>
      <c r="AK315" s="141"/>
    </row>
    <row r="316" spans="2:37" s="134" customFormat="1" x14ac:dyDescent="0.2">
      <c r="B316" s="145"/>
      <c r="D316" s="145"/>
      <c r="U316" s="141"/>
      <c r="Y316" s="140"/>
      <c r="AC316" s="141"/>
      <c r="AG316" s="141"/>
      <c r="AK316" s="141"/>
    </row>
    <row r="317" spans="2:37" s="134" customFormat="1" x14ac:dyDescent="0.2">
      <c r="B317" s="145"/>
      <c r="D317" s="145"/>
      <c r="U317" s="141"/>
      <c r="Y317" s="140"/>
      <c r="AC317" s="141"/>
      <c r="AG317" s="141"/>
      <c r="AK317" s="141"/>
    </row>
    <row r="318" spans="2:37" s="134" customFormat="1" x14ac:dyDescent="0.2">
      <c r="B318" s="145"/>
      <c r="D318" s="145"/>
      <c r="U318" s="141"/>
      <c r="Y318" s="140"/>
      <c r="AC318" s="141"/>
      <c r="AG318" s="141"/>
      <c r="AK318" s="141"/>
    </row>
    <row r="319" spans="2:37" s="134" customFormat="1" x14ac:dyDescent="0.2">
      <c r="B319" s="145"/>
      <c r="D319" s="145"/>
      <c r="U319" s="141"/>
      <c r="Y319" s="140"/>
      <c r="AC319" s="141"/>
      <c r="AG319" s="141"/>
      <c r="AK319" s="141"/>
    </row>
    <row r="320" spans="2:37" s="134" customFormat="1" x14ac:dyDescent="0.2">
      <c r="B320" s="145"/>
      <c r="D320" s="145"/>
      <c r="U320" s="141"/>
      <c r="Y320" s="140"/>
      <c r="AC320" s="141"/>
      <c r="AG320" s="141"/>
      <c r="AK320" s="141"/>
    </row>
    <row r="321" spans="2:37" s="134" customFormat="1" x14ac:dyDescent="0.2">
      <c r="B321" s="145"/>
      <c r="D321" s="145"/>
      <c r="U321" s="141"/>
      <c r="Y321" s="140"/>
      <c r="AC321" s="141"/>
      <c r="AG321" s="141"/>
      <c r="AK321" s="141"/>
    </row>
    <row r="322" spans="2:37" s="134" customFormat="1" x14ac:dyDescent="0.2">
      <c r="B322" s="145"/>
      <c r="D322" s="145"/>
      <c r="U322" s="141"/>
      <c r="Y322" s="140"/>
      <c r="AC322" s="141"/>
      <c r="AG322" s="141"/>
      <c r="AK322" s="141"/>
    </row>
    <row r="323" spans="2:37" s="134" customFormat="1" x14ac:dyDescent="0.2">
      <c r="B323" s="145"/>
      <c r="D323" s="145"/>
      <c r="U323" s="141"/>
      <c r="Y323" s="140"/>
      <c r="AC323" s="141"/>
      <c r="AG323" s="141"/>
      <c r="AK323" s="141"/>
    </row>
    <row r="324" spans="2:37" s="134" customFormat="1" x14ac:dyDescent="0.2">
      <c r="B324" s="145"/>
      <c r="D324" s="145"/>
      <c r="U324" s="141"/>
      <c r="Y324" s="140"/>
      <c r="AC324" s="141"/>
      <c r="AG324" s="141"/>
      <c r="AK324" s="141"/>
    </row>
    <row r="325" spans="2:37" s="134" customFormat="1" x14ac:dyDescent="0.2">
      <c r="B325" s="145"/>
      <c r="D325" s="145"/>
      <c r="U325" s="141"/>
      <c r="Y325" s="140"/>
      <c r="AC325" s="141"/>
      <c r="AG325" s="141"/>
      <c r="AK325" s="141"/>
    </row>
    <row r="326" spans="2:37" s="134" customFormat="1" x14ac:dyDescent="0.2">
      <c r="B326" s="145"/>
      <c r="D326" s="145"/>
      <c r="U326" s="141"/>
      <c r="Y326" s="140"/>
      <c r="AC326" s="141"/>
      <c r="AG326" s="141"/>
      <c r="AK326" s="141"/>
    </row>
    <row r="327" spans="2:37" s="134" customFormat="1" x14ac:dyDescent="0.2">
      <c r="B327" s="145"/>
      <c r="D327" s="145"/>
      <c r="U327" s="141"/>
      <c r="Y327" s="140"/>
      <c r="AC327" s="141"/>
      <c r="AG327" s="141"/>
      <c r="AK327" s="141"/>
    </row>
    <row r="328" spans="2:37" s="134" customFormat="1" x14ac:dyDescent="0.2">
      <c r="B328" s="145"/>
      <c r="D328" s="145"/>
      <c r="U328" s="141"/>
      <c r="Y328" s="140"/>
      <c r="AC328" s="141"/>
      <c r="AG328" s="141"/>
      <c r="AK328" s="141"/>
    </row>
    <row r="329" spans="2:37" s="134" customFormat="1" x14ac:dyDescent="0.2">
      <c r="B329" s="145"/>
      <c r="D329" s="145"/>
      <c r="U329" s="141"/>
      <c r="Y329" s="140"/>
      <c r="AC329" s="141"/>
      <c r="AG329" s="141"/>
      <c r="AK329" s="141"/>
    </row>
    <row r="330" spans="2:37" s="134" customFormat="1" x14ac:dyDescent="0.2">
      <c r="B330" s="145"/>
      <c r="D330" s="145"/>
      <c r="U330" s="141"/>
      <c r="Y330" s="140"/>
      <c r="AC330" s="141"/>
      <c r="AG330" s="141"/>
      <c r="AK330" s="141"/>
    </row>
    <row r="331" spans="2:37" s="134" customFormat="1" x14ac:dyDescent="0.2">
      <c r="B331" s="145"/>
      <c r="D331" s="145"/>
      <c r="U331" s="141"/>
      <c r="Y331" s="140"/>
      <c r="AC331" s="141"/>
      <c r="AG331" s="141"/>
      <c r="AK331" s="141"/>
    </row>
    <row r="332" spans="2:37" s="134" customFormat="1" x14ac:dyDescent="0.2">
      <c r="B332" s="145"/>
      <c r="D332" s="145"/>
      <c r="U332" s="141"/>
      <c r="Y332" s="140"/>
      <c r="AC332" s="141"/>
      <c r="AG332" s="141"/>
      <c r="AK332" s="141"/>
    </row>
    <row r="333" spans="2:37" s="134" customFormat="1" x14ac:dyDescent="0.2">
      <c r="B333" s="145"/>
      <c r="D333" s="145"/>
      <c r="U333" s="141"/>
      <c r="Y333" s="140"/>
      <c r="AC333" s="141"/>
      <c r="AG333" s="141"/>
      <c r="AK333" s="141"/>
    </row>
    <row r="334" spans="2:37" s="134" customFormat="1" x14ac:dyDescent="0.2">
      <c r="B334" s="145"/>
      <c r="D334" s="145"/>
      <c r="U334" s="141"/>
      <c r="Y334" s="140"/>
      <c r="AC334" s="141"/>
      <c r="AG334" s="141"/>
      <c r="AK334" s="141"/>
    </row>
    <row r="335" spans="2:37" s="134" customFormat="1" x14ac:dyDescent="0.2">
      <c r="B335" s="145"/>
      <c r="D335" s="145"/>
      <c r="U335" s="141"/>
      <c r="Y335" s="140"/>
      <c r="AC335" s="141"/>
      <c r="AG335" s="141"/>
      <c r="AK335" s="141"/>
    </row>
    <row r="336" spans="2:37" s="134" customFormat="1" x14ac:dyDescent="0.2">
      <c r="B336" s="145"/>
      <c r="D336" s="145"/>
      <c r="U336" s="141"/>
      <c r="Y336" s="140"/>
      <c r="AC336" s="141"/>
      <c r="AG336" s="141"/>
      <c r="AK336" s="141"/>
    </row>
    <row r="337" spans="2:37" s="134" customFormat="1" x14ac:dyDescent="0.2">
      <c r="B337" s="145"/>
      <c r="D337" s="145"/>
      <c r="U337" s="141"/>
      <c r="Y337" s="140"/>
      <c r="AC337" s="141"/>
      <c r="AG337" s="141"/>
      <c r="AK337" s="141"/>
    </row>
    <row r="338" spans="2:37" s="134" customFormat="1" x14ac:dyDescent="0.2">
      <c r="B338" s="145"/>
      <c r="D338" s="145"/>
      <c r="U338" s="141"/>
      <c r="Y338" s="140"/>
      <c r="AC338" s="141"/>
      <c r="AG338" s="141"/>
      <c r="AK338" s="141"/>
    </row>
    <row r="339" spans="2:37" s="134" customFormat="1" x14ac:dyDescent="0.2">
      <c r="B339" s="145"/>
      <c r="D339" s="145"/>
      <c r="U339" s="141"/>
      <c r="Y339" s="140"/>
      <c r="AC339" s="141"/>
      <c r="AG339" s="141"/>
      <c r="AK339" s="141"/>
    </row>
    <row r="340" spans="2:37" s="134" customFormat="1" x14ac:dyDescent="0.2">
      <c r="B340" s="145"/>
      <c r="D340" s="145"/>
      <c r="U340" s="141"/>
      <c r="Y340" s="140"/>
      <c r="AC340" s="141"/>
      <c r="AG340" s="141"/>
      <c r="AK340" s="141"/>
    </row>
    <row r="341" spans="2:37" s="134" customFormat="1" x14ac:dyDescent="0.2">
      <c r="B341" s="145"/>
      <c r="D341" s="145"/>
      <c r="U341" s="141"/>
      <c r="Y341" s="140"/>
      <c r="AC341" s="141"/>
      <c r="AG341" s="141"/>
      <c r="AK341" s="141"/>
    </row>
    <row r="342" spans="2:37" s="134" customFormat="1" x14ac:dyDescent="0.2">
      <c r="B342" s="145"/>
      <c r="D342" s="145"/>
      <c r="U342" s="141"/>
      <c r="Y342" s="140"/>
      <c r="AC342" s="141"/>
      <c r="AG342" s="141"/>
      <c r="AK342" s="141"/>
    </row>
    <row r="343" spans="2:37" s="134" customFormat="1" x14ac:dyDescent="0.2">
      <c r="B343" s="145"/>
      <c r="D343" s="145"/>
      <c r="U343" s="141"/>
      <c r="Y343" s="140"/>
      <c r="AC343" s="141"/>
      <c r="AG343" s="141"/>
      <c r="AK343" s="141"/>
    </row>
    <row r="344" spans="2:37" s="134" customFormat="1" x14ac:dyDescent="0.2">
      <c r="B344" s="145"/>
      <c r="D344" s="145"/>
      <c r="U344" s="141"/>
      <c r="Y344" s="140"/>
      <c r="AC344" s="141"/>
      <c r="AG344" s="141"/>
      <c r="AK344" s="141"/>
    </row>
    <row r="345" spans="2:37" s="134" customFormat="1" x14ac:dyDescent="0.2">
      <c r="B345" s="145"/>
      <c r="D345" s="145"/>
      <c r="U345" s="141"/>
      <c r="Y345" s="140"/>
      <c r="AC345" s="141"/>
      <c r="AG345" s="141"/>
      <c r="AK345" s="141"/>
    </row>
    <row r="346" spans="2:37" s="134" customFormat="1" x14ac:dyDescent="0.2">
      <c r="B346" s="145"/>
      <c r="D346" s="145"/>
      <c r="U346" s="141"/>
      <c r="Y346" s="140"/>
      <c r="AC346" s="141"/>
      <c r="AG346" s="141"/>
      <c r="AK346" s="141"/>
    </row>
    <row r="347" spans="2:37" s="134" customFormat="1" x14ac:dyDescent="0.2">
      <c r="B347" s="145"/>
      <c r="D347" s="145"/>
      <c r="U347" s="141"/>
      <c r="Y347" s="140"/>
      <c r="AC347" s="141"/>
      <c r="AG347" s="141"/>
      <c r="AK347" s="141"/>
    </row>
    <row r="348" spans="2:37" s="134" customFormat="1" x14ac:dyDescent="0.2">
      <c r="B348" s="145"/>
      <c r="D348" s="145"/>
      <c r="U348" s="141"/>
      <c r="Y348" s="140"/>
      <c r="AC348" s="141"/>
      <c r="AG348" s="141"/>
      <c r="AK348" s="141"/>
    </row>
    <row r="349" spans="2:37" s="134" customFormat="1" x14ac:dyDescent="0.2">
      <c r="B349" s="145"/>
      <c r="D349" s="145"/>
      <c r="U349" s="141"/>
      <c r="Y349" s="140"/>
      <c r="AC349" s="141"/>
      <c r="AG349" s="141"/>
      <c r="AK349" s="141"/>
    </row>
    <row r="350" spans="2:37" s="134" customFormat="1" x14ac:dyDescent="0.2">
      <c r="B350" s="145"/>
      <c r="D350" s="145"/>
      <c r="U350" s="141"/>
      <c r="Y350" s="140"/>
      <c r="AC350" s="141"/>
      <c r="AG350" s="141"/>
      <c r="AK350" s="141"/>
    </row>
    <row r="351" spans="2:37" s="134" customFormat="1" x14ac:dyDescent="0.2">
      <c r="B351" s="145"/>
      <c r="D351" s="145"/>
      <c r="U351" s="141"/>
      <c r="Y351" s="140"/>
      <c r="AC351" s="141"/>
      <c r="AG351" s="141"/>
      <c r="AK351" s="141"/>
    </row>
    <row r="352" spans="2:37" s="134" customFormat="1" x14ac:dyDescent="0.2">
      <c r="B352" s="145"/>
      <c r="D352" s="145"/>
      <c r="U352" s="141"/>
      <c r="Y352" s="140"/>
      <c r="AC352" s="141"/>
      <c r="AG352" s="141"/>
      <c r="AK352" s="141"/>
    </row>
    <row r="353" spans="2:37" s="134" customFormat="1" x14ac:dyDescent="0.2">
      <c r="B353" s="145"/>
      <c r="D353" s="145"/>
      <c r="U353" s="141"/>
      <c r="Y353" s="140"/>
      <c r="AC353" s="141"/>
      <c r="AG353" s="141"/>
      <c r="AK353" s="141"/>
    </row>
    <row r="354" spans="2:37" s="134" customFormat="1" x14ac:dyDescent="0.2">
      <c r="B354" s="145"/>
      <c r="D354" s="145"/>
      <c r="U354" s="141"/>
      <c r="Y354" s="140"/>
      <c r="AC354" s="141"/>
      <c r="AG354" s="141"/>
      <c r="AK354" s="141"/>
    </row>
    <row r="355" spans="2:37" s="134" customFormat="1" x14ac:dyDescent="0.2">
      <c r="B355" s="145"/>
      <c r="D355" s="145"/>
      <c r="U355" s="141"/>
      <c r="Y355" s="140"/>
      <c r="AC355" s="141"/>
      <c r="AG355" s="141"/>
      <c r="AK355" s="141"/>
    </row>
    <row r="356" spans="2:37" s="134" customFormat="1" x14ac:dyDescent="0.2">
      <c r="B356" s="145"/>
      <c r="D356" s="145"/>
      <c r="U356" s="141"/>
      <c r="Y356" s="140"/>
      <c r="AC356" s="141"/>
      <c r="AG356" s="141"/>
      <c r="AK356" s="141"/>
    </row>
    <row r="357" spans="2:37" s="134" customFormat="1" x14ac:dyDescent="0.2">
      <c r="B357" s="145"/>
      <c r="D357" s="145"/>
      <c r="U357" s="141"/>
      <c r="Y357" s="140"/>
      <c r="AC357" s="141"/>
      <c r="AG357" s="141"/>
      <c r="AK357" s="141"/>
    </row>
    <row r="358" spans="2:37" s="134" customFormat="1" x14ac:dyDescent="0.2">
      <c r="B358" s="145"/>
      <c r="D358" s="145"/>
      <c r="U358" s="141"/>
      <c r="Y358" s="140"/>
      <c r="AC358" s="141"/>
      <c r="AG358" s="141"/>
      <c r="AK358" s="141"/>
    </row>
    <row r="359" spans="2:37" s="134" customFormat="1" x14ac:dyDescent="0.2">
      <c r="B359" s="145"/>
      <c r="D359" s="145"/>
      <c r="U359" s="141"/>
      <c r="Y359" s="140"/>
      <c r="AC359" s="141"/>
      <c r="AG359" s="141"/>
      <c r="AK359" s="141"/>
    </row>
    <row r="360" spans="2:37" s="134" customFormat="1" x14ac:dyDescent="0.2">
      <c r="B360" s="145"/>
      <c r="D360" s="145"/>
      <c r="U360" s="141"/>
      <c r="Y360" s="140"/>
      <c r="AC360" s="141"/>
      <c r="AG360" s="141"/>
      <c r="AK360" s="141"/>
    </row>
    <row r="361" spans="2:37" s="134" customFormat="1" x14ac:dyDescent="0.2">
      <c r="B361" s="145"/>
      <c r="D361" s="145"/>
      <c r="U361" s="141"/>
      <c r="Y361" s="140"/>
      <c r="AC361" s="141"/>
      <c r="AG361" s="141"/>
      <c r="AK361" s="141"/>
    </row>
    <row r="362" spans="2:37" s="134" customFormat="1" x14ac:dyDescent="0.2">
      <c r="B362" s="145"/>
      <c r="D362" s="145"/>
      <c r="U362" s="141"/>
      <c r="Y362" s="140"/>
      <c r="AC362" s="141"/>
      <c r="AG362" s="141"/>
      <c r="AK362" s="141"/>
    </row>
    <row r="363" spans="2:37" s="134" customFormat="1" x14ac:dyDescent="0.2">
      <c r="B363" s="145"/>
      <c r="D363" s="145"/>
      <c r="U363" s="141"/>
      <c r="Y363" s="140"/>
      <c r="AC363" s="141"/>
      <c r="AG363" s="141"/>
      <c r="AK363" s="141"/>
    </row>
    <row r="364" spans="2:37" s="134" customFormat="1" x14ac:dyDescent="0.2">
      <c r="B364" s="145"/>
      <c r="D364" s="145"/>
      <c r="U364" s="141"/>
      <c r="Y364" s="140"/>
      <c r="AC364" s="141"/>
      <c r="AG364" s="141"/>
      <c r="AK364" s="141"/>
    </row>
    <row r="365" spans="2:37" s="134" customFormat="1" x14ac:dyDescent="0.2">
      <c r="B365" s="145"/>
      <c r="D365" s="145"/>
      <c r="U365" s="141"/>
      <c r="Y365" s="140"/>
      <c r="AC365" s="141"/>
      <c r="AG365" s="141"/>
      <c r="AK365" s="141"/>
    </row>
    <row r="366" spans="2:37" s="134" customFormat="1" x14ac:dyDescent="0.2">
      <c r="B366" s="145"/>
      <c r="D366" s="145"/>
      <c r="U366" s="141"/>
      <c r="Y366" s="140"/>
      <c r="AC366" s="141"/>
      <c r="AG366" s="141"/>
      <c r="AK366" s="141"/>
    </row>
    <row r="367" spans="2:37" s="134" customFormat="1" x14ac:dyDescent="0.2">
      <c r="B367" s="145"/>
      <c r="D367" s="145"/>
      <c r="U367" s="141"/>
      <c r="Y367" s="140"/>
      <c r="AC367" s="141"/>
      <c r="AG367" s="141"/>
      <c r="AK367" s="141"/>
    </row>
    <row r="368" spans="2:37" s="134" customFormat="1" x14ac:dyDescent="0.2">
      <c r="B368" s="145"/>
      <c r="D368" s="145"/>
      <c r="U368" s="141"/>
      <c r="Y368" s="140"/>
      <c r="AC368" s="141"/>
      <c r="AG368" s="141"/>
      <c r="AK368" s="141"/>
    </row>
    <row r="369" spans="2:37" s="134" customFormat="1" x14ac:dyDescent="0.2">
      <c r="B369" s="145"/>
      <c r="D369" s="145"/>
      <c r="U369" s="141"/>
      <c r="Y369" s="140"/>
      <c r="AC369" s="141"/>
      <c r="AG369" s="141"/>
      <c r="AK369" s="141"/>
    </row>
    <row r="370" spans="2:37" s="134" customFormat="1" x14ac:dyDescent="0.2">
      <c r="B370" s="145"/>
      <c r="D370" s="145"/>
      <c r="U370" s="141"/>
      <c r="Y370" s="140"/>
      <c r="AC370" s="141"/>
      <c r="AG370" s="141"/>
      <c r="AK370" s="141"/>
    </row>
    <row r="371" spans="2:37" s="134" customFormat="1" x14ac:dyDescent="0.2">
      <c r="B371" s="145"/>
      <c r="D371" s="145"/>
      <c r="U371" s="141"/>
      <c r="Y371" s="140"/>
      <c r="AC371" s="141"/>
      <c r="AG371" s="141"/>
      <c r="AK371" s="141"/>
    </row>
    <row r="372" spans="2:37" s="134" customFormat="1" x14ac:dyDescent="0.2">
      <c r="B372" s="145"/>
      <c r="D372" s="145"/>
      <c r="U372" s="141"/>
      <c r="Y372" s="140"/>
      <c r="AC372" s="141"/>
      <c r="AG372" s="141"/>
      <c r="AK372" s="141"/>
    </row>
    <row r="373" spans="2:37" s="134" customFormat="1" x14ac:dyDescent="0.2">
      <c r="B373" s="145"/>
      <c r="D373" s="145"/>
      <c r="U373" s="141"/>
      <c r="Y373" s="140"/>
      <c r="AC373" s="141"/>
      <c r="AG373" s="141"/>
      <c r="AK373" s="141"/>
    </row>
    <row r="374" spans="2:37" s="134" customFormat="1" x14ac:dyDescent="0.2">
      <c r="B374" s="145"/>
      <c r="D374" s="145"/>
      <c r="U374" s="141"/>
      <c r="Y374" s="140"/>
      <c r="AC374" s="141"/>
      <c r="AG374" s="141"/>
      <c r="AK374" s="141"/>
    </row>
    <row r="375" spans="2:37" s="134" customFormat="1" x14ac:dyDescent="0.2">
      <c r="B375" s="145"/>
      <c r="D375" s="145"/>
      <c r="U375" s="141"/>
      <c r="Y375" s="140"/>
      <c r="AC375" s="141"/>
      <c r="AG375" s="141"/>
      <c r="AK375" s="141"/>
    </row>
    <row r="376" spans="2:37" s="134" customFormat="1" x14ac:dyDescent="0.2">
      <c r="B376" s="145"/>
      <c r="D376" s="145"/>
      <c r="U376" s="141"/>
      <c r="Y376" s="140"/>
      <c r="AC376" s="141"/>
      <c r="AG376" s="141"/>
      <c r="AK376" s="141"/>
    </row>
    <row r="377" spans="2:37" s="134" customFormat="1" x14ac:dyDescent="0.2">
      <c r="B377" s="145"/>
      <c r="D377" s="145"/>
      <c r="U377" s="141"/>
      <c r="Y377" s="140"/>
      <c r="AC377" s="141"/>
      <c r="AG377" s="141"/>
      <c r="AK377" s="141"/>
    </row>
    <row r="378" spans="2:37" s="134" customFormat="1" x14ac:dyDescent="0.2">
      <c r="B378" s="145"/>
      <c r="D378" s="145"/>
      <c r="U378" s="141"/>
      <c r="Y378" s="140"/>
      <c r="AC378" s="141"/>
      <c r="AG378" s="141"/>
      <c r="AK378" s="141"/>
    </row>
    <row r="379" spans="2:37" s="134" customFormat="1" x14ac:dyDescent="0.2">
      <c r="B379" s="145"/>
      <c r="D379" s="145"/>
      <c r="U379" s="141"/>
      <c r="Y379" s="140"/>
      <c r="AC379" s="141"/>
      <c r="AG379" s="141"/>
      <c r="AK379" s="141"/>
    </row>
    <row r="380" spans="2:37" s="134" customFormat="1" x14ac:dyDescent="0.2">
      <c r="B380" s="145"/>
      <c r="D380" s="145"/>
      <c r="U380" s="141"/>
      <c r="Y380" s="140"/>
      <c r="AC380" s="141"/>
      <c r="AG380" s="141"/>
      <c r="AK380" s="141"/>
    </row>
    <row r="381" spans="2:37" s="134" customFormat="1" x14ac:dyDescent="0.2">
      <c r="B381" s="145"/>
      <c r="D381" s="145"/>
      <c r="U381" s="141"/>
      <c r="Y381" s="140"/>
      <c r="AC381" s="141"/>
      <c r="AG381" s="141"/>
      <c r="AK381" s="141"/>
    </row>
    <row r="382" spans="2:37" s="134" customFormat="1" x14ac:dyDescent="0.2">
      <c r="B382" s="145"/>
      <c r="D382" s="145"/>
      <c r="U382" s="141"/>
      <c r="Y382" s="140"/>
      <c r="AC382" s="141"/>
      <c r="AG382" s="141"/>
      <c r="AK382" s="141"/>
    </row>
    <row r="383" spans="2:37" s="134" customFormat="1" x14ac:dyDescent="0.2">
      <c r="B383" s="145"/>
      <c r="D383" s="145"/>
      <c r="U383" s="141"/>
      <c r="Y383" s="140"/>
      <c r="AC383" s="141"/>
      <c r="AG383" s="141"/>
      <c r="AK383" s="141"/>
    </row>
    <row r="384" spans="2:37" s="134" customFormat="1" x14ac:dyDescent="0.2">
      <c r="B384" s="145"/>
      <c r="D384" s="145"/>
      <c r="U384" s="141"/>
      <c r="Y384" s="140"/>
      <c r="AC384" s="141"/>
      <c r="AG384" s="141"/>
      <c r="AK384" s="141"/>
    </row>
    <row r="385" spans="2:37" s="134" customFormat="1" x14ac:dyDescent="0.2">
      <c r="B385" s="145"/>
      <c r="D385" s="145"/>
      <c r="U385" s="141"/>
      <c r="Y385" s="140"/>
      <c r="AC385" s="141"/>
      <c r="AG385" s="141"/>
      <c r="AK385" s="141"/>
    </row>
    <row r="386" spans="2:37" s="134" customFormat="1" x14ac:dyDescent="0.2">
      <c r="B386" s="145"/>
      <c r="D386" s="145"/>
      <c r="U386" s="141"/>
      <c r="Y386" s="140"/>
      <c r="AC386" s="141"/>
      <c r="AG386" s="141"/>
      <c r="AK386" s="141"/>
    </row>
    <row r="387" spans="2:37" s="134" customFormat="1" x14ac:dyDescent="0.2">
      <c r="B387" s="145"/>
      <c r="D387" s="145"/>
      <c r="U387" s="141"/>
      <c r="Y387" s="140"/>
      <c r="AC387" s="141"/>
      <c r="AG387" s="141"/>
      <c r="AK387" s="141"/>
    </row>
    <row r="388" spans="2:37" s="134" customFormat="1" x14ac:dyDescent="0.2">
      <c r="B388" s="145"/>
      <c r="D388" s="145"/>
      <c r="U388" s="141"/>
      <c r="Y388" s="140"/>
      <c r="AC388" s="141"/>
      <c r="AG388" s="141"/>
      <c r="AK388" s="141"/>
    </row>
    <row r="389" spans="2:37" s="134" customFormat="1" x14ac:dyDescent="0.2">
      <c r="B389" s="145"/>
      <c r="D389" s="145"/>
      <c r="U389" s="141"/>
      <c r="Y389" s="140"/>
      <c r="AC389" s="141"/>
      <c r="AG389" s="141"/>
      <c r="AK389" s="141"/>
    </row>
    <row r="390" spans="2:37" s="134" customFormat="1" x14ac:dyDescent="0.2">
      <c r="B390" s="145"/>
      <c r="D390" s="145"/>
      <c r="U390" s="141"/>
      <c r="Y390" s="140"/>
      <c r="AC390" s="141"/>
      <c r="AG390" s="141"/>
      <c r="AK390" s="141"/>
    </row>
    <row r="391" spans="2:37" s="134" customFormat="1" x14ac:dyDescent="0.2">
      <c r="B391" s="145"/>
      <c r="D391" s="145"/>
      <c r="U391" s="141"/>
      <c r="Y391" s="140"/>
      <c r="AC391" s="141"/>
      <c r="AG391" s="141"/>
      <c r="AK391" s="141"/>
    </row>
    <row r="392" spans="2:37" s="134" customFormat="1" x14ac:dyDescent="0.2">
      <c r="B392" s="145"/>
      <c r="D392" s="145"/>
      <c r="U392" s="141"/>
      <c r="Y392" s="140"/>
      <c r="AC392" s="141"/>
      <c r="AG392" s="141"/>
      <c r="AK392" s="141"/>
    </row>
    <row r="393" spans="2:37" s="134" customFormat="1" x14ac:dyDescent="0.2">
      <c r="B393" s="145"/>
      <c r="D393" s="145"/>
      <c r="U393" s="141"/>
      <c r="Y393" s="140"/>
      <c r="AC393" s="141"/>
      <c r="AG393" s="141"/>
      <c r="AK393" s="141"/>
    </row>
    <row r="394" spans="2:37" s="134" customFormat="1" x14ac:dyDescent="0.2">
      <c r="B394" s="145"/>
      <c r="D394" s="145"/>
      <c r="U394" s="141"/>
      <c r="Y394" s="140"/>
      <c r="AC394" s="141"/>
      <c r="AG394" s="141"/>
      <c r="AK394" s="141"/>
    </row>
    <row r="395" spans="2:37" s="134" customFormat="1" x14ac:dyDescent="0.2">
      <c r="B395" s="145"/>
      <c r="D395" s="145"/>
      <c r="U395" s="141"/>
      <c r="Y395" s="140"/>
      <c r="AC395" s="141"/>
      <c r="AG395" s="141"/>
      <c r="AK395" s="141"/>
    </row>
    <row r="396" spans="2:37" s="134" customFormat="1" x14ac:dyDescent="0.2">
      <c r="B396" s="145"/>
      <c r="D396" s="145"/>
      <c r="U396" s="141"/>
      <c r="Y396" s="140"/>
      <c r="AC396" s="141"/>
      <c r="AG396" s="141"/>
      <c r="AK396" s="141"/>
    </row>
    <row r="397" spans="2:37" s="134" customFormat="1" x14ac:dyDescent="0.2">
      <c r="B397" s="145"/>
      <c r="D397" s="145"/>
      <c r="U397" s="141"/>
      <c r="Y397" s="140"/>
      <c r="AC397" s="141"/>
      <c r="AG397" s="141"/>
      <c r="AK397" s="141"/>
    </row>
    <row r="398" spans="2:37" s="134" customFormat="1" x14ac:dyDescent="0.2">
      <c r="B398" s="145"/>
      <c r="D398" s="145"/>
      <c r="U398" s="141"/>
      <c r="Y398" s="140"/>
      <c r="AC398" s="141"/>
      <c r="AG398" s="141"/>
      <c r="AK398" s="141"/>
    </row>
    <row r="399" spans="2:37" s="134" customFormat="1" x14ac:dyDescent="0.2">
      <c r="B399" s="145"/>
      <c r="D399" s="145"/>
      <c r="U399" s="141"/>
      <c r="Y399" s="140"/>
      <c r="AC399" s="141"/>
      <c r="AG399" s="141"/>
      <c r="AK399" s="141"/>
    </row>
    <row r="400" spans="2:37" s="134" customFormat="1" x14ac:dyDescent="0.2">
      <c r="B400" s="145"/>
      <c r="D400" s="145"/>
      <c r="U400" s="141"/>
      <c r="Y400" s="140"/>
      <c r="AC400" s="141"/>
      <c r="AG400" s="141"/>
      <c r="AK400" s="141"/>
    </row>
    <row r="401" spans="2:37" s="134" customFormat="1" x14ac:dyDescent="0.2">
      <c r="B401" s="145"/>
      <c r="D401" s="145"/>
      <c r="U401" s="141"/>
      <c r="Y401" s="140"/>
      <c r="AC401" s="141"/>
      <c r="AG401" s="141"/>
      <c r="AK401" s="141"/>
    </row>
    <row r="402" spans="2:37" s="134" customFormat="1" x14ac:dyDescent="0.2">
      <c r="B402" s="145"/>
      <c r="D402" s="145"/>
      <c r="U402" s="141"/>
      <c r="Y402" s="140"/>
      <c r="AC402" s="141"/>
      <c r="AG402" s="141"/>
      <c r="AK402" s="141"/>
    </row>
    <row r="403" spans="2:37" s="134" customFormat="1" x14ac:dyDescent="0.2">
      <c r="B403" s="145"/>
      <c r="D403" s="145"/>
      <c r="U403" s="141"/>
      <c r="Y403" s="140"/>
      <c r="AC403" s="141"/>
      <c r="AG403" s="141"/>
      <c r="AK403" s="141"/>
    </row>
    <row r="404" spans="2:37" s="134" customFormat="1" x14ac:dyDescent="0.2">
      <c r="B404" s="145"/>
      <c r="D404" s="145"/>
      <c r="U404" s="141"/>
      <c r="Y404" s="140"/>
      <c r="AC404" s="141"/>
      <c r="AG404" s="141"/>
      <c r="AK404" s="141"/>
    </row>
    <row r="405" spans="2:37" s="134" customFormat="1" x14ac:dyDescent="0.2">
      <c r="B405" s="145"/>
      <c r="D405" s="145"/>
      <c r="U405" s="141"/>
      <c r="Y405" s="140"/>
      <c r="AC405" s="141"/>
      <c r="AG405" s="141"/>
      <c r="AK405" s="141"/>
    </row>
    <row r="406" spans="2:37" s="134" customFormat="1" x14ac:dyDescent="0.2">
      <c r="B406" s="145"/>
      <c r="D406" s="145"/>
      <c r="U406" s="141"/>
      <c r="Y406" s="140"/>
      <c r="AC406" s="141"/>
      <c r="AG406" s="141"/>
      <c r="AK406" s="141"/>
    </row>
    <row r="407" spans="2:37" s="134" customFormat="1" x14ac:dyDescent="0.2">
      <c r="B407" s="145"/>
      <c r="D407" s="145"/>
      <c r="U407" s="141"/>
      <c r="Y407" s="140"/>
      <c r="AC407" s="141"/>
      <c r="AG407" s="141"/>
      <c r="AK407" s="141"/>
    </row>
    <row r="408" spans="2:37" s="134" customFormat="1" x14ac:dyDescent="0.2">
      <c r="B408" s="145"/>
      <c r="D408" s="145"/>
      <c r="U408" s="141"/>
      <c r="Y408" s="140"/>
      <c r="AC408" s="141"/>
      <c r="AG408" s="141"/>
      <c r="AK408" s="141"/>
    </row>
    <row r="409" spans="2:37" s="134" customFormat="1" x14ac:dyDescent="0.2">
      <c r="B409" s="145"/>
      <c r="D409" s="145"/>
      <c r="U409" s="141"/>
      <c r="Y409" s="140"/>
      <c r="AC409" s="141"/>
      <c r="AG409" s="141"/>
      <c r="AK409" s="141"/>
    </row>
    <row r="410" spans="2:37" s="134" customFormat="1" x14ac:dyDescent="0.2">
      <c r="B410" s="145"/>
      <c r="D410" s="145"/>
      <c r="U410" s="141"/>
      <c r="Y410" s="140"/>
      <c r="AC410" s="141"/>
      <c r="AG410" s="141"/>
      <c r="AK410" s="141"/>
    </row>
    <row r="411" spans="2:37" s="134" customFormat="1" x14ac:dyDescent="0.2">
      <c r="B411" s="145"/>
      <c r="D411" s="145"/>
      <c r="U411" s="141"/>
      <c r="Y411" s="140"/>
      <c r="AC411" s="141"/>
      <c r="AG411" s="141"/>
      <c r="AK411" s="141"/>
    </row>
    <row r="412" spans="2:37" s="134" customFormat="1" x14ac:dyDescent="0.2">
      <c r="B412" s="145"/>
      <c r="D412" s="145"/>
      <c r="U412" s="141"/>
      <c r="Y412" s="140"/>
      <c r="AC412" s="141"/>
      <c r="AG412" s="141"/>
      <c r="AK412" s="141"/>
    </row>
    <row r="413" spans="2:37" s="134" customFormat="1" x14ac:dyDescent="0.2">
      <c r="B413" s="145"/>
      <c r="D413" s="145"/>
      <c r="U413" s="141"/>
      <c r="Y413" s="140"/>
      <c r="AC413" s="141"/>
      <c r="AG413" s="141"/>
      <c r="AK413" s="141"/>
    </row>
    <row r="414" spans="2:37" s="134" customFormat="1" x14ac:dyDescent="0.2">
      <c r="B414" s="145"/>
      <c r="D414" s="145"/>
      <c r="U414" s="141"/>
      <c r="Y414" s="140"/>
      <c r="AC414" s="141"/>
      <c r="AG414" s="141"/>
      <c r="AK414" s="141"/>
    </row>
    <row r="415" spans="2:37" s="134" customFormat="1" x14ac:dyDescent="0.2">
      <c r="B415" s="145"/>
      <c r="D415" s="145"/>
      <c r="U415" s="141"/>
      <c r="Y415" s="140"/>
      <c r="AC415" s="141"/>
      <c r="AG415" s="141"/>
      <c r="AK415" s="141"/>
    </row>
    <row r="416" spans="2:37" s="134" customFormat="1" x14ac:dyDescent="0.2">
      <c r="B416" s="145"/>
      <c r="D416" s="145"/>
      <c r="U416" s="141"/>
      <c r="Y416" s="140"/>
      <c r="AC416" s="141"/>
      <c r="AG416" s="141"/>
      <c r="AK416" s="141"/>
    </row>
    <row r="417" spans="2:37" s="134" customFormat="1" x14ac:dyDescent="0.2">
      <c r="B417" s="145"/>
      <c r="D417" s="145"/>
      <c r="U417" s="141"/>
      <c r="Y417" s="140"/>
      <c r="AC417" s="141"/>
      <c r="AG417" s="141"/>
      <c r="AK417" s="141"/>
    </row>
    <row r="418" spans="2:37" s="134" customFormat="1" x14ac:dyDescent="0.2">
      <c r="B418" s="145"/>
      <c r="D418" s="145"/>
      <c r="U418" s="141"/>
      <c r="Y418" s="140"/>
      <c r="AC418" s="141"/>
      <c r="AG418" s="141"/>
      <c r="AK418" s="141"/>
    </row>
    <row r="419" spans="2:37" s="134" customFormat="1" x14ac:dyDescent="0.2">
      <c r="B419" s="145"/>
      <c r="D419" s="145"/>
      <c r="U419" s="141"/>
      <c r="Y419" s="140"/>
      <c r="AC419" s="141"/>
      <c r="AG419" s="141"/>
      <c r="AK419" s="141"/>
    </row>
    <row r="420" spans="2:37" s="134" customFormat="1" x14ac:dyDescent="0.2">
      <c r="B420" s="145"/>
      <c r="D420" s="145"/>
      <c r="U420" s="141"/>
      <c r="Y420" s="140"/>
      <c r="AC420" s="141"/>
      <c r="AG420" s="141"/>
      <c r="AK420" s="141"/>
    </row>
    <row r="421" spans="2:37" s="134" customFormat="1" x14ac:dyDescent="0.2">
      <c r="B421" s="145"/>
      <c r="D421" s="145"/>
      <c r="U421" s="141"/>
      <c r="Y421" s="140"/>
      <c r="AC421" s="141"/>
      <c r="AG421" s="141"/>
      <c r="AK421" s="141"/>
    </row>
    <row r="422" spans="2:37" s="134" customFormat="1" x14ac:dyDescent="0.2">
      <c r="B422" s="145"/>
      <c r="D422" s="145"/>
      <c r="U422" s="141"/>
      <c r="Y422" s="140"/>
      <c r="AC422" s="141"/>
      <c r="AG422" s="141"/>
      <c r="AK422" s="141"/>
    </row>
    <row r="423" spans="2:37" s="134" customFormat="1" x14ac:dyDescent="0.2">
      <c r="B423" s="145"/>
      <c r="D423" s="145"/>
      <c r="U423" s="141"/>
      <c r="Y423" s="140"/>
      <c r="AC423" s="141"/>
      <c r="AG423" s="141"/>
      <c r="AK423" s="141"/>
    </row>
    <row r="424" spans="2:37" s="134" customFormat="1" x14ac:dyDescent="0.2">
      <c r="B424" s="145"/>
      <c r="D424" s="145"/>
      <c r="U424" s="141"/>
      <c r="Y424" s="140"/>
      <c r="AC424" s="141"/>
      <c r="AG424" s="141"/>
      <c r="AK424" s="141"/>
    </row>
    <row r="425" spans="2:37" s="134" customFormat="1" x14ac:dyDescent="0.2">
      <c r="B425" s="145"/>
      <c r="D425" s="145"/>
      <c r="U425" s="141"/>
      <c r="Y425" s="140"/>
      <c r="AC425" s="141"/>
      <c r="AG425" s="141"/>
      <c r="AK425" s="141"/>
    </row>
    <row r="426" spans="2:37" s="134" customFormat="1" x14ac:dyDescent="0.2">
      <c r="B426" s="145"/>
      <c r="D426" s="145"/>
      <c r="U426" s="141"/>
      <c r="Y426" s="140"/>
      <c r="AC426" s="141"/>
      <c r="AG426" s="141"/>
      <c r="AK426" s="141"/>
    </row>
    <row r="427" spans="2:37" s="134" customFormat="1" x14ac:dyDescent="0.2">
      <c r="B427" s="145"/>
      <c r="D427" s="145"/>
      <c r="U427" s="141"/>
      <c r="Y427" s="140"/>
      <c r="AC427" s="141"/>
      <c r="AG427" s="141"/>
      <c r="AK427" s="141"/>
    </row>
    <row r="428" spans="2:37" s="134" customFormat="1" x14ac:dyDescent="0.2">
      <c r="B428" s="145"/>
      <c r="D428" s="145"/>
      <c r="U428" s="141"/>
      <c r="Y428" s="140"/>
      <c r="AC428" s="141"/>
      <c r="AG428" s="141"/>
      <c r="AK428" s="141"/>
    </row>
    <row r="429" spans="2:37" s="134" customFormat="1" x14ac:dyDescent="0.2">
      <c r="B429" s="145"/>
      <c r="D429" s="145"/>
      <c r="U429" s="141"/>
      <c r="Y429" s="140"/>
      <c r="AC429" s="141"/>
      <c r="AG429" s="141"/>
      <c r="AK429" s="141"/>
    </row>
    <row r="430" spans="2:37" s="134" customFormat="1" x14ac:dyDescent="0.2">
      <c r="B430" s="145"/>
      <c r="D430" s="145"/>
      <c r="U430" s="141"/>
      <c r="Y430" s="140"/>
      <c r="AC430" s="141"/>
      <c r="AG430" s="141"/>
      <c r="AK430" s="141"/>
    </row>
    <row r="431" spans="2:37" s="134" customFormat="1" x14ac:dyDescent="0.2">
      <c r="B431" s="145"/>
      <c r="D431" s="145"/>
      <c r="U431" s="141"/>
      <c r="Y431" s="140"/>
      <c r="AC431" s="141"/>
      <c r="AG431" s="141"/>
      <c r="AK431" s="141"/>
    </row>
    <row r="432" spans="2:37" s="134" customFormat="1" x14ac:dyDescent="0.2">
      <c r="B432" s="145"/>
      <c r="D432" s="145"/>
      <c r="U432" s="141"/>
      <c r="Y432" s="140"/>
      <c r="AC432" s="141"/>
      <c r="AG432" s="141"/>
      <c r="AK432" s="141"/>
    </row>
    <row r="433" spans="2:37" s="134" customFormat="1" x14ac:dyDescent="0.2">
      <c r="B433" s="145"/>
      <c r="D433" s="145"/>
      <c r="U433" s="141"/>
      <c r="Y433" s="140"/>
      <c r="AC433" s="141"/>
      <c r="AG433" s="141"/>
      <c r="AK433" s="141"/>
    </row>
    <row r="434" spans="2:37" s="134" customFormat="1" x14ac:dyDescent="0.2">
      <c r="B434" s="145"/>
      <c r="D434" s="145"/>
      <c r="U434" s="141"/>
      <c r="Y434" s="140"/>
      <c r="AC434" s="141"/>
      <c r="AG434" s="141"/>
      <c r="AK434" s="141"/>
    </row>
    <row r="435" spans="2:37" s="134" customFormat="1" x14ac:dyDescent="0.2">
      <c r="B435" s="145"/>
      <c r="D435" s="145"/>
      <c r="U435" s="141"/>
      <c r="Y435" s="140"/>
      <c r="AC435" s="141"/>
      <c r="AG435" s="141"/>
      <c r="AK435" s="141"/>
    </row>
    <row r="436" spans="2:37" s="134" customFormat="1" x14ac:dyDescent="0.2">
      <c r="B436" s="145"/>
      <c r="D436" s="145"/>
      <c r="U436" s="141"/>
      <c r="Y436" s="140"/>
      <c r="AC436" s="141"/>
      <c r="AG436" s="141"/>
      <c r="AK436" s="141"/>
    </row>
    <row r="437" spans="2:37" s="134" customFormat="1" x14ac:dyDescent="0.2">
      <c r="B437" s="145"/>
      <c r="D437" s="145"/>
      <c r="U437" s="141"/>
      <c r="Y437" s="140"/>
      <c r="AC437" s="141"/>
      <c r="AG437" s="141"/>
      <c r="AK437" s="141"/>
    </row>
    <row r="438" spans="2:37" s="134" customFormat="1" x14ac:dyDescent="0.2">
      <c r="B438" s="145"/>
      <c r="D438" s="145"/>
      <c r="U438" s="141"/>
      <c r="Y438" s="140"/>
      <c r="AC438" s="141"/>
      <c r="AG438" s="141"/>
      <c r="AK438" s="141"/>
    </row>
    <row r="439" spans="2:37" s="134" customFormat="1" x14ac:dyDescent="0.2">
      <c r="B439" s="145"/>
      <c r="D439" s="145"/>
      <c r="U439" s="141"/>
      <c r="Y439" s="140"/>
      <c r="AC439" s="141"/>
      <c r="AG439" s="141"/>
      <c r="AK439" s="141"/>
    </row>
    <row r="440" spans="2:37" s="134" customFormat="1" x14ac:dyDescent="0.2">
      <c r="B440" s="145"/>
      <c r="D440" s="145"/>
      <c r="U440" s="141"/>
      <c r="Y440" s="140"/>
      <c r="AC440" s="141"/>
      <c r="AG440" s="141"/>
      <c r="AK440" s="141"/>
    </row>
    <row r="441" spans="2:37" s="134" customFormat="1" x14ac:dyDescent="0.2">
      <c r="B441" s="145"/>
      <c r="D441" s="145"/>
      <c r="U441" s="141"/>
      <c r="Y441" s="140"/>
      <c r="AC441" s="141"/>
      <c r="AG441" s="141"/>
      <c r="AK441" s="141"/>
    </row>
    <row r="442" spans="2:37" s="134" customFormat="1" x14ac:dyDescent="0.2">
      <c r="B442" s="145"/>
      <c r="D442" s="145"/>
      <c r="U442" s="141"/>
      <c r="Y442" s="140"/>
      <c r="AC442" s="141"/>
      <c r="AG442" s="141"/>
      <c r="AK442" s="141"/>
    </row>
    <row r="443" spans="2:37" s="134" customFormat="1" x14ac:dyDescent="0.2">
      <c r="B443" s="145"/>
      <c r="D443" s="145"/>
      <c r="U443" s="141"/>
      <c r="Y443" s="140"/>
      <c r="AC443" s="141"/>
      <c r="AG443" s="141"/>
      <c r="AK443" s="141"/>
    </row>
    <row r="444" spans="2:37" s="134" customFormat="1" x14ac:dyDescent="0.2">
      <c r="B444" s="145"/>
      <c r="D444" s="145"/>
      <c r="U444" s="141"/>
      <c r="Y444" s="140"/>
      <c r="AC444" s="141"/>
      <c r="AG444" s="141"/>
      <c r="AK444" s="141"/>
    </row>
    <row r="445" spans="2:37" s="134" customFormat="1" x14ac:dyDescent="0.2">
      <c r="B445" s="145"/>
      <c r="D445" s="145"/>
      <c r="U445" s="141"/>
      <c r="Y445" s="140"/>
      <c r="AC445" s="141"/>
      <c r="AG445" s="141"/>
      <c r="AK445" s="141"/>
    </row>
    <row r="446" spans="2:37" s="134" customFormat="1" x14ac:dyDescent="0.2">
      <c r="B446" s="145"/>
      <c r="D446" s="145"/>
      <c r="U446" s="141"/>
      <c r="Y446" s="140"/>
      <c r="AC446" s="141"/>
      <c r="AG446" s="141"/>
      <c r="AK446" s="141"/>
    </row>
    <row r="447" spans="2:37" s="134" customFormat="1" x14ac:dyDescent="0.2">
      <c r="B447" s="145"/>
      <c r="D447" s="145"/>
      <c r="U447" s="141"/>
      <c r="Y447" s="140"/>
      <c r="AC447" s="141"/>
      <c r="AG447" s="141"/>
      <c r="AK447" s="141"/>
    </row>
    <row r="448" spans="2:37" s="134" customFormat="1" x14ac:dyDescent="0.2">
      <c r="B448" s="145"/>
      <c r="D448" s="145"/>
      <c r="U448" s="141"/>
      <c r="Y448" s="140"/>
      <c r="AC448" s="141"/>
      <c r="AG448" s="141"/>
      <c r="AK448" s="141"/>
    </row>
    <row r="449" spans="2:37" s="134" customFormat="1" x14ac:dyDescent="0.2">
      <c r="B449" s="145"/>
      <c r="D449" s="145"/>
      <c r="U449" s="141"/>
      <c r="Y449" s="140"/>
      <c r="AC449" s="141"/>
      <c r="AG449" s="141"/>
      <c r="AK449" s="141"/>
    </row>
    <row r="450" spans="2:37" s="134" customFormat="1" x14ac:dyDescent="0.2">
      <c r="B450" s="145"/>
      <c r="D450" s="145"/>
      <c r="U450" s="141"/>
      <c r="Y450" s="140"/>
      <c r="AC450" s="141"/>
      <c r="AG450" s="141"/>
      <c r="AK450" s="141"/>
    </row>
    <row r="451" spans="2:37" s="134" customFormat="1" x14ac:dyDescent="0.2">
      <c r="B451" s="145"/>
      <c r="D451" s="145"/>
      <c r="U451" s="141"/>
      <c r="Y451" s="140"/>
      <c r="AC451" s="141"/>
      <c r="AG451" s="141"/>
      <c r="AK451" s="141"/>
    </row>
    <row r="452" spans="2:37" s="134" customFormat="1" x14ac:dyDescent="0.2">
      <c r="B452" s="145"/>
      <c r="D452" s="145"/>
      <c r="U452" s="141"/>
      <c r="Y452" s="140"/>
      <c r="AC452" s="141"/>
      <c r="AG452" s="141"/>
      <c r="AK452" s="141"/>
    </row>
    <row r="453" spans="2:37" s="134" customFormat="1" x14ac:dyDescent="0.2">
      <c r="B453" s="145"/>
      <c r="D453" s="145"/>
      <c r="U453" s="141"/>
      <c r="Y453" s="140"/>
      <c r="AC453" s="141"/>
      <c r="AG453" s="141"/>
      <c r="AK453" s="141"/>
    </row>
    <row r="454" spans="2:37" s="134" customFormat="1" x14ac:dyDescent="0.2">
      <c r="B454" s="145"/>
      <c r="D454" s="145"/>
      <c r="U454" s="141"/>
      <c r="Y454" s="140"/>
      <c r="AC454" s="141"/>
      <c r="AG454" s="141"/>
      <c r="AK454" s="141"/>
    </row>
    <row r="455" spans="2:37" s="134" customFormat="1" x14ac:dyDescent="0.2">
      <c r="B455" s="145"/>
      <c r="D455" s="145"/>
      <c r="U455" s="141"/>
      <c r="Y455" s="140"/>
      <c r="AC455" s="141"/>
      <c r="AG455" s="141"/>
      <c r="AK455" s="141"/>
    </row>
    <row r="456" spans="2:37" s="134" customFormat="1" x14ac:dyDescent="0.2">
      <c r="B456" s="145"/>
      <c r="D456" s="145"/>
      <c r="U456" s="141"/>
      <c r="Y456" s="140"/>
      <c r="AC456" s="141"/>
      <c r="AG456" s="141"/>
      <c r="AK456" s="141"/>
    </row>
    <row r="457" spans="2:37" s="134" customFormat="1" x14ac:dyDescent="0.2">
      <c r="B457" s="145"/>
      <c r="D457" s="145"/>
      <c r="U457" s="141"/>
      <c r="Y457" s="140"/>
      <c r="AC457" s="141"/>
      <c r="AG457" s="141"/>
      <c r="AK457" s="141"/>
    </row>
    <row r="458" spans="2:37" s="134" customFormat="1" x14ac:dyDescent="0.2">
      <c r="B458" s="145"/>
      <c r="D458" s="145"/>
      <c r="U458" s="141"/>
      <c r="Y458" s="140"/>
      <c r="AC458" s="141"/>
      <c r="AG458" s="141"/>
      <c r="AK458" s="141"/>
    </row>
    <row r="459" spans="2:37" s="134" customFormat="1" x14ac:dyDescent="0.2">
      <c r="B459" s="145"/>
      <c r="D459" s="145"/>
      <c r="U459" s="141"/>
      <c r="Y459" s="140"/>
      <c r="AC459" s="141"/>
      <c r="AG459" s="141"/>
      <c r="AK459" s="141"/>
    </row>
    <row r="460" spans="2:37" s="134" customFormat="1" x14ac:dyDescent="0.2">
      <c r="B460" s="145"/>
      <c r="D460" s="145"/>
      <c r="U460" s="141"/>
      <c r="Y460" s="140"/>
      <c r="AC460" s="141"/>
      <c r="AG460" s="141"/>
      <c r="AK460" s="141"/>
    </row>
    <row r="461" spans="2:37" s="134" customFormat="1" x14ac:dyDescent="0.2">
      <c r="B461" s="145"/>
      <c r="D461" s="145"/>
      <c r="U461" s="141"/>
      <c r="Y461" s="140"/>
      <c r="AC461" s="141"/>
      <c r="AG461" s="141"/>
      <c r="AK461" s="141"/>
    </row>
    <row r="462" spans="2:37" s="134" customFormat="1" x14ac:dyDescent="0.2">
      <c r="B462" s="145"/>
      <c r="D462" s="145"/>
      <c r="U462" s="141"/>
      <c r="Y462" s="140"/>
      <c r="AC462" s="141"/>
      <c r="AG462" s="141"/>
      <c r="AK462" s="141"/>
    </row>
    <row r="463" spans="2:37" s="134" customFormat="1" x14ac:dyDescent="0.2">
      <c r="B463" s="145"/>
      <c r="D463" s="145"/>
      <c r="U463" s="141"/>
      <c r="Y463" s="140"/>
      <c r="AC463" s="141"/>
      <c r="AG463" s="141"/>
      <c r="AK463" s="141"/>
    </row>
    <row r="464" spans="2:37" s="134" customFormat="1" x14ac:dyDescent="0.2">
      <c r="B464" s="145"/>
      <c r="D464" s="145"/>
      <c r="U464" s="141"/>
      <c r="Y464" s="140"/>
      <c r="AC464" s="141"/>
      <c r="AG464" s="141"/>
      <c r="AK464" s="141"/>
    </row>
    <row r="465" spans="2:37" s="134" customFormat="1" x14ac:dyDescent="0.2">
      <c r="B465" s="145"/>
      <c r="D465" s="145"/>
      <c r="U465" s="141"/>
      <c r="Y465" s="140"/>
      <c r="AC465" s="141"/>
      <c r="AG465" s="141"/>
      <c r="AK465" s="141"/>
    </row>
    <row r="466" spans="2:37" s="134" customFormat="1" x14ac:dyDescent="0.2">
      <c r="B466" s="145"/>
      <c r="D466" s="145"/>
      <c r="U466" s="141"/>
      <c r="Y466" s="140"/>
      <c r="AC466" s="141"/>
      <c r="AG466" s="141"/>
      <c r="AK466" s="141"/>
    </row>
    <row r="467" spans="2:37" s="134" customFormat="1" x14ac:dyDescent="0.2">
      <c r="B467" s="145"/>
      <c r="D467" s="145"/>
      <c r="U467" s="141"/>
      <c r="Y467" s="140"/>
      <c r="AC467" s="141"/>
      <c r="AG467" s="141"/>
      <c r="AK467" s="141"/>
    </row>
    <row r="468" spans="2:37" s="134" customFormat="1" x14ac:dyDescent="0.2">
      <c r="B468" s="145"/>
      <c r="D468" s="145"/>
      <c r="U468" s="141"/>
      <c r="Y468" s="140"/>
      <c r="AC468" s="141"/>
      <c r="AG468" s="141"/>
      <c r="AK468" s="141"/>
    </row>
    <row r="469" spans="2:37" s="134" customFormat="1" x14ac:dyDescent="0.2">
      <c r="B469" s="145"/>
      <c r="D469" s="145"/>
      <c r="U469" s="141"/>
      <c r="Y469" s="140"/>
      <c r="AC469" s="141"/>
      <c r="AG469" s="141"/>
      <c r="AK469" s="141"/>
    </row>
    <row r="470" spans="2:37" s="134" customFormat="1" x14ac:dyDescent="0.2">
      <c r="B470" s="145"/>
      <c r="D470" s="145"/>
      <c r="U470" s="141"/>
      <c r="Y470" s="140"/>
      <c r="AC470" s="141"/>
      <c r="AG470" s="141"/>
      <c r="AK470" s="141"/>
    </row>
    <row r="471" spans="2:37" s="134" customFormat="1" x14ac:dyDescent="0.2">
      <c r="B471" s="145"/>
      <c r="D471" s="145"/>
      <c r="U471" s="141"/>
      <c r="Y471" s="140"/>
      <c r="AC471" s="141"/>
      <c r="AG471" s="141"/>
      <c r="AK471" s="141"/>
    </row>
    <row r="472" spans="2:37" s="134" customFormat="1" x14ac:dyDescent="0.2">
      <c r="B472" s="145"/>
      <c r="D472" s="145"/>
      <c r="U472" s="141"/>
      <c r="Y472" s="140"/>
      <c r="AC472" s="141"/>
      <c r="AG472" s="141"/>
      <c r="AK472" s="141"/>
    </row>
    <row r="473" spans="2:37" s="134" customFormat="1" x14ac:dyDescent="0.2">
      <c r="B473" s="145"/>
      <c r="D473" s="145"/>
      <c r="U473" s="141"/>
      <c r="Y473" s="140"/>
      <c r="AC473" s="141"/>
      <c r="AG473" s="141"/>
      <c r="AK473" s="141"/>
    </row>
    <row r="474" spans="2:37" s="134" customFormat="1" x14ac:dyDescent="0.2">
      <c r="B474" s="145"/>
      <c r="D474" s="145"/>
      <c r="U474" s="141"/>
      <c r="Y474" s="140"/>
      <c r="AC474" s="141"/>
      <c r="AG474" s="141"/>
      <c r="AK474" s="141"/>
    </row>
    <row r="475" spans="2:37" s="134" customFormat="1" x14ac:dyDescent="0.2">
      <c r="B475" s="145"/>
      <c r="D475" s="145"/>
      <c r="U475" s="141"/>
      <c r="Y475" s="140"/>
      <c r="AC475" s="141"/>
      <c r="AG475" s="141"/>
      <c r="AK475" s="141"/>
    </row>
    <row r="476" spans="2:37" s="134" customFormat="1" x14ac:dyDescent="0.2">
      <c r="B476" s="145"/>
      <c r="D476" s="145"/>
      <c r="U476" s="141"/>
      <c r="Y476" s="140"/>
      <c r="AC476" s="141"/>
      <c r="AG476" s="141"/>
      <c r="AK476" s="141"/>
    </row>
    <row r="477" spans="2:37" s="134" customFormat="1" x14ac:dyDescent="0.2">
      <c r="B477" s="145"/>
      <c r="D477" s="145"/>
      <c r="U477" s="141"/>
      <c r="Y477" s="140"/>
      <c r="AC477" s="141"/>
      <c r="AG477" s="141"/>
      <c r="AK477" s="141"/>
    </row>
    <row r="478" spans="2:37" s="134" customFormat="1" x14ac:dyDescent="0.2">
      <c r="B478" s="145"/>
      <c r="D478" s="145"/>
      <c r="U478" s="141"/>
      <c r="Y478" s="140"/>
      <c r="AC478" s="141"/>
      <c r="AG478" s="141"/>
      <c r="AK478" s="141"/>
    </row>
    <row r="479" spans="2:37" s="134" customFormat="1" x14ac:dyDescent="0.2">
      <c r="B479" s="145"/>
      <c r="D479" s="145"/>
      <c r="U479" s="141"/>
      <c r="Y479" s="140"/>
      <c r="AC479" s="141"/>
      <c r="AG479" s="141"/>
      <c r="AK479" s="141"/>
    </row>
    <row r="480" spans="2:37" s="134" customFormat="1" x14ac:dyDescent="0.2">
      <c r="B480" s="145"/>
      <c r="D480" s="145"/>
      <c r="U480" s="141"/>
      <c r="Y480" s="140"/>
      <c r="AC480" s="141"/>
      <c r="AG480" s="141"/>
      <c r="AK480" s="141"/>
    </row>
    <row r="481" spans="2:37" s="134" customFormat="1" x14ac:dyDescent="0.2">
      <c r="B481" s="145"/>
      <c r="D481" s="145"/>
      <c r="U481" s="141"/>
      <c r="Y481" s="140"/>
      <c r="AC481" s="141"/>
      <c r="AG481" s="141"/>
      <c r="AK481" s="141"/>
    </row>
    <row r="482" spans="2:37" s="134" customFormat="1" x14ac:dyDescent="0.2">
      <c r="B482" s="145"/>
      <c r="D482" s="145"/>
      <c r="U482" s="141"/>
      <c r="Y482" s="140"/>
      <c r="AC482" s="141"/>
      <c r="AG482" s="141"/>
      <c r="AK482" s="141"/>
    </row>
    <row r="483" spans="2:37" s="134" customFormat="1" x14ac:dyDescent="0.2">
      <c r="B483" s="145"/>
      <c r="D483" s="145"/>
      <c r="U483" s="141"/>
      <c r="Y483" s="140"/>
      <c r="AC483" s="141"/>
      <c r="AG483" s="141"/>
      <c r="AK483" s="141"/>
    </row>
    <row r="484" spans="2:37" s="134" customFormat="1" x14ac:dyDescent="0.2">
      <c r="B484" s="145"/>
      <c r="D484" s="145"/>
      <c r="U484" s="141"/>
      <c r="Y484" s="140"/>
      <c r="AC484" s="141"/>
      <c r="AG484" s="141"/>
      <c r="AK484" s="141"/>
    </row>
    <row r="485" spans="2:37" s="134" customFormat="1" x14ac:dyDescent="0.2">
      <c r="B485" s="145"/>
      <c r="D485" s="145"/>
      <c r="U485" s="141"/>
      <c r="Y485" s="140"/>
      <c r="AC485" s="141"/>
      <c r="AG485" s="141"/>
      <c r="AK485" s="141"/>
    </row>
    <row r="486" spans="2:37" s="134" customFormat="1" x14ac:dyDescent="0.2">
      <c r="B486" s="145"/>
      <c r="D486" s="145"/>
      <c r="U486" s="141"/>
      <c r="Y486" s="140"/>
      <c r="AC486" s="141"/>
      <c r="AG486" s="141"/>
      <c r="AK486" s="141"/>
    </row>
    <row r="487" spans="2:37" s="134" customFormat="1" x14ac:dyDescent="0.2">
      <c r="B487" s="145"/>
      <c r="D487" s="145"/>
      <c r="U487" s="141"/>
      <c r="Y487" s="140"/>
      <c r="AC487" s="141"/>
      <c r="AG487" s="141"/>
      <c r="AK487" s="141"/>
    </row>
    <row r="488" spans="2:37" s="134" customFormat="1" x14ac:dyDescent="0.2">
      <c r="B488" s="145"/>
      <c r="D488" s="145"/>
      <c r="U488" s="141"/>
      <c r="Y488" s="140"/>
      <c r="AC488" s="141"/>
      <c r="AG488" s="141"/>
      <c r="AK488" s="141"/>
    </row>
    <row r="489" spans="2:37" s="134" customFormat="1" x14ac:dyDescent="0.2">
      <c r="B489" s="145"/>
      <c r="D489" s="145"/>
      <c r="U489" s="141"/>
      <c r="Y489" s="140"/>
      <c r="AC489" s="141"/>
      <c r="AG489" s="141"/>
      <c r="AK489" s="141"/>
    </row>
    <row r="490" spans="2:37" s="134" customFormat="1" x14ac:dyDescent="0.2">
      <c r="B490" s="145"/>
      <c r="D490" s="145"/>
      <c r="U490" s="141"/>
      <c r="Y490" s="140"/>
      <c r="AC490" s="141"/>
      <c r="AG490" s="141"/>
      <c r="AK490" s="141"/>
    </row>
    <row r="491" spans="2:37" s="134" customFormat="1" x14ac:dyDescent="0.2">
      <c r="B491" s="145"/>
      <c r="D491" s="145"/>
      <c r="U491" s="141"/>
      <c r="Y491" s="140"/>
      <c r="AC491" s="141"/>
      <c r="AG491" s="141"/>
      <c r="AK491" s="141"/>
    </row>
    <row r="492" spans="2:37" s="134" customFormat="1" x14ac:dyDescent="0.2">
      <c r="B492" s="145"/>
      <c r="D492" s="145"/>
      <c r="U492" s="141"/>
      <c r="Y492" s="140"/>
      <c r="AC492" s="141"/>
      <c r="AG492" s="141"/>
      <c r="AK492" s="141"/>
    </row>
    <row r="493" spans="2:37" s="134" customFormat="1" x14ac:dyDescent="0.2">
      <c r="B493" s="145"/>
      <c r="D493" s="145"/>
      <c r="U493" s="141"/>
      <c r="Y493" s="140"/>
      <c r="AC493" s="141"/>
      <c r="AG493" s="141"/>
      <c r="AK493" s="141"/>
    </row>
    <row r="494" spans="2:37" s="134" customFormat="1" x14ac:dyDescent="0.2">
      <c r="B494" s="145"/>
      <c r="D494" s="145"/>
      <c r="U494" s="141"/>
      <c r="Y494" s="140"/>
      <c r="AC494" s="141"/>
      <c r="AG494" s="141"/>
      <c r="AK494" s="141"/>
    </row>
    <row r="495" spans="2:37" s="134" customFormat="1" x14ac:dyDescent="0.2">
      <c r="B495" s="145"/>
      <c r="D495" s="145"/>
      <c r="U495" s="141"/>
      <c r="Y495" s="140"/>
      <c r="AC495" s="141"/>
      <c r="AG495" s="141"/>
      <c r="AK495" s="141"/>
    </row>
    <row r="496" spans="2:37" s="134" customFormat="1" x14ac:dyDescent="0.2">
      <c r="B496" s="145"/>
      <c r="D496" s="145"/>
      <c r="U496" s="141"/>
      <c r="Y496" s="140"/>
      <c r="AC496" s="141"/>
      <c r="AG496" s="141"/>
      <c r="AK496" s="141"/>
    </row>
    <row r="497" spans="2:37" s="134" customFormat="1" x14ac:dyDescent="0.2">
      <c r="B497" s="145"/>
      <c r="D497" s="145"/>
      <c r="U497" s="141"/>
      <c r="Y497" s="140"/>
      <c r="AC497" s="141"/>
      <c r="AG497" s="141"/>
      <c r="AK497" s="141"/>
    </row>
    <row r="498" spans="2:37" s="134" customFormat="1" x14ac:dyDescent="0.2">
      <c r="B498" s="145"/>
      <c r="D498" s="145"/>
      <c r="U498" s="141"/>
      <c r="Y498" s="140"/>
      <c r="AC498" s="141"/>
      <c r="AG498" s="141"/>
      <c r="AK498" s="141"/>
    </row>
    <row r="499" spans="2:37" s="134" customFormat="1" x14ac:dyDescent="0.2">
      <c r="B499" s="145"/>
      <c r="D499" s="145"/>
      <c r="U499" s="141"/>
      <c r="Y499" s="140"/>
      <c r="AC499" s="141"/>
      <c r="AG499" s="141"/>
      <c r="AK499" s="141"/>
    </row>
    <row r="500" spans="2:37" s="134" customFormat="1" x14ac:dyDescent="0.2">
      <c r="B500" s="145"/>
      <c r="D500" s="145"/>
      <c r="U500" s="141"/>
      <c r="Y500" s="140"/>
      <c r="AC500" s="141"/>
      <c r="AG500" s="141"/>
      <c r="AK500" s="141"/>
    </row>
    <row r="501" spans="2:37" s="134" customFormat="1" x14ac:dyDescent="0.2">
      <c r="B501" s="145"/>
      <c r="D501" s="145"/>
      <c r="U501" s="141"/>
      <c r="Y501" s="140"/>
      <c r="AC501" s="141"/>
      <c r="AG501" s="141"/>
      <c r="AK501" s="141"/>
    </row>
    <row r="502" spans="2:37" s="134" customFormat="1" x14ac:dyDescent="0.2">
      <c r="B502" s="145"/>
      <c r="D502" s="145"/>
      <c r="U502" s="141"/>
      <c r="Y502" s="140"/>
      <c r="AC502" s="141"/>
      <c r="AG502" s="141"/>
      <c r="AK502" s="141"/>
    </row>
    <row r="503" spans="2:37" s="134" customFormat="1" x14ac:dyDescent="0.2">
      <c r="B503" s="145"/>
      <c r="D503" s="145"/>
      <c r="U503" s="141"/>
      <c r="Y503" s="140"/>
      <c r="AC503" s="141"/>
      <c r="AG503" s="141"/>
      <c r="AK503" s="141"/>
    </row>
    <row r="504" spans="2:37" s="134" customFormat="1" x14ac:dyDescent="0.2">
      <c r="B504" s="145"/>
      <c r="D504" s="145"/>
      <c r="U504" s="141"/>
      <c r="Y504" s="140"/>
      <c r="AC504" s="141"/>
      <c r="AG504" s="141"/>
      <c r="AK504" s="141"/>
    </row>
    <row r="505" spans="2:37" s="134" customFormat="1" x14ac:dyDescent="0.2">
      <c r="B505" s="145"/>
      <c r="D505" s="145"/>
      <c r="U505" s="141"/>
      <c r="Y505" s="140"/>
      <c r="AC505" s="141"/>
      <c r="AG505" s="141"/>
      <c r="AK505" s="141"/>
    </row>
    <row r="506" spans="2:37" s="134" customFormat="1" x14ac:dyDescent="0.2">
      <c r="B506" s="145"/>
      <c r="D506" s="145"/>
      <c r="U506" s="141"/>
      <c r="Y506" s="140"/>
      <c r="AC506" s="141"/>
      <c r="AG506" s="141"/>
      <c r="AK506" s="141"/>
    </row>
    <row r="507" spans="2:37" s="134" customFormat="1" x14ac:dyDescent="0.2">
      <c r="B507" s="145"/>
      <c r="D507" s="145"/>
      <c r="U507" s="141"/>
      <c r="Y507" s="140"/>
      <c r="AC507" s="141"/>
      <c r="AG507" s="141"/>
      <c r="AK507" s="141"/>
    </row>
    <row r="508" spans="2:37" s="134" customFormat="1" x14ac:dyDescent="0.2">
      <c r="B508" s="145"/>
      <c r="D508" s="145"/>
      <c r="U508" s="141"/>
      <c r="Y508" s="140"/>
      <c r="AC508" s="141"/>
      <c r="AG508" s="141"/>
      <c r="AK508" s="141"/>
    </row>
    <row r="509" spans="2:37" s="134" customFormat="1" x14ac:dyDescent="0.2">
      <c r="B509" s="145"/>
      <c r="D509" s="145"/>
      <c r="U509" s="141"/>
      <c r="Y509" s="140"/>
      <c r="AC509" s="141"/>
      <c r="AG509" s="141"/>
      <c r="AK509" s="141"/>
    </row>
    <row r="510" spans="2:37" s="134" customFormat="1" x14ac:dyDescent="0.2">
      <c r="B510" s="145"/>
      <c r="D510" s="145"/>
      <c r="U510" s="141"/>
      <c r="Y510" s="140"/>
      <c r="AC510" s="141"/>
      <c r="AG510" s="141"/>
      <c r="AK510" s="141"/>
    </row>
    <row r="511" spans="2:37" s="134" customFormat="1" x14ac:dyDescent="0.2">
      <c r="B511" s="145"/>
      <c r="D511" s="145"/>
      <c r="U511" s="141"/>
      <c r="Y511" s="140"/>
      <c r="AC511" s="141"/>
      <c r="AG511" s="141"/>
      <c r="AK511" s="141"/>
    </row>
    <row r="512" spans="2:37" s="134" customFormat="1" x14ac:dyDescent="0.2">
      <c r="B512" s="145"/>
      <c r="D512" s="145"/>
      <c r="U512" s="141"/>
      <c r="Y512" s="140"/>
      <c r="AC512" s="141"/>
      <c r="AG512" s="141"/>
      <c r="AK512" s="141"/>
    </row>
    <row r="513" spans="2:37" s="134" customFormat="1" x14ac:dyDescent="0.2">
      <c r="B513" s="145"/>
      <c r="D513" s="145"/>
      <c r="U513" s="141"/>
      <c r="Y513" s="140"/>
      <c r="AC513" s="141"/>
      <c r="AG513" s="141"/>
      <c r="AK513" s="141"/>
    </row>
    <row r="514" spans="2:37" s="134" customFormat="1" x14ac:dyDescent="0.2">
      <c r="B514" s="145"/>
      <c r="D514" s="145"/>
      <c r="U514" s="141"/>
      <c r="Y514" s="140"/>
      <c r="AC514" s="141"/>
      <c r="AG514" s="141"/>
      <c r="AK514" s="141"/>
    </row>
    <row r="515" spans="2:37" s="134" customFormat="1" x14ac:dyDescent="0.2">
      <c r="B515" s="145"/>
      <c r="D515" s="145"/>
      <c r="U515" s="141"/>
      <c r="Y515" s="140"/>
      <c r="AC515" s="141"/>
      <c r="AG515" s="141"/>
      <c r="AK515" s="141"/>
    </row>
    <row r="516" spans="2:37" s="134" customFormat="1" x14ac:dyDescent="0.2">
      <c r="B516" s="145"/>
      <c r="D516" s="145"/>
      <c r="U516" s="141"/>
      <c r="Y516" s="140"/>
      <c r="AC516" s="141"/>
      <c r="AG516" s="141"/>
      <c r="AK516" s="141"/>
    </row>
    <row r="517" spans="2:37" s="134" customFormat="1" x14ac:dyDescent="0.2">
      <c r="B517" s="145"/>
      <c r="D517" s="145"/>
      <c r="U517" s="141"/>
      <c r="Y517" s="140"/>
      <c r="AC517" s="141"/>
      <c r="AG517" s="141"/>
      <c r="AK517" s="141"/>
    </row>
    <row r="518" spans="2:37" s="134" customFormat="1" x14ac:dyDescent="0.2">
      <c r="B518" s="145"/>
      <c r="D518" s="145"/>
      <c r="U518" s="141"/>
      <c r="Y518" s="140"/>
      <c r="AC518" s="141"/>
      <c r="AG518" s="141"/>
      <c r="AK518" s="141"/>
    </row>
    <row r="519" spans="2:37" s="134" customFormat="1" x14ac:dyDescent="0.2">
      <c r="B519" s="145"/>
      <c r="D519" s="145"/>
      <c r="U519" s="141"/>
      <c r="Y519" s="140"/>
      <c r="AC519" s="141"/>
      <c r="AG519" s="141"/>
      <c r="AK519" s="141"/>
    </row>
    <row r="520" spans="2:37" s="134" customFormat="1" x14ac:dyDescent="0.2">
      <c r="B520" s="145"/>
      <c r="D520" s="145"/>
      <c r="U520" s="141"/>
      <c r="Y520" s="140"/>
      <c r="AC520" s="141"/>
      <c r="AG520" s="141"/>
      <c r="AK520" s="141"/>
    </row>
    <row r="521" spans="2:37" s="134" customFormat="1" x14ac:dyDescent="0.2">
      <c r="B521" s="145"/>
      <c r="D521" s="145"/>
      <c r="U521" s="141"/>
      <c r="Y521" s="140"/>
      <c r="AC521" s="141"/>
      <c r="AG521" s="141"/>
      <c r="AK521" s="141"/>
    </row>
    <row r="522" spans="2:37" s="134" customFormat="1" x14ac:dyDescent="0.2">
      <c r="B522" s="145"/>
      <c r="D522" s="145"/>
      <c r="U522" s="141"/>
      <c r="Y522" s="140"/>
      <c r="AC522" s="141"/>
      <c r="AG522" s="141"/>
      <c r="AK522" s="141"/>
    </row>
    <row r="523" spans="2:37" s="134" customFormat="1" x14ac:dyDescent="0.2">
      <c r="B523" s="145"/>
      <c r="D523" s="145"/>
      <c r="U523" s="141"/>
      <c r="Y523" s="140"/>
      <c r="AC523" s="141"/>
      <c r="AG523" s="141"/>
      <c r="AK523" s="141"/>
    </row>
    <row r="524" spans="2:37" s="134" customFormat="1" x14ac:dyDescent="0.2">
      <c r="B524" s="145"/>
      <c r="D524" s="145"/>
      <c r="U524" s="141"/>
      <c r="Y524" s="140"/>
      <c r="AC524" s="141"/>
      <c r="AG524" s="141"/>
      <c r="AK524" s="141"/>
    </row>
    <row r="525" spans="2:37" s="134" customFormat="1" x14ac:dyDescent="0.2">
      <c r="B525" s="145"/>
      <c r="D525" s="145"/>
      <c r="U525" s="141"/>
      <c r="Y525" s="140"/>
      <c r="AC525" s="141"/>
      <c r="AG525" s="141"/>
      <c r="AK525" s="141"/>
    </row>
    <row r="526" spans="2:37" s="134" customFormat="1" x14ac:dyDescent="0.2">
      <c r="B526" s="145"/>
      <c r="D526" s="145"/>
      <c r="U526" s="141"/>
      <c r="Y526" s="140"/>
      <c r="AC526" s="141"/>
      <c r="AG526" s="141"/>
      <c r="AK526" s="141"/>
    </row>
    <row r="527" spans="2:37" s="134" customFormat="1" x14ac:dyDescent="0.2">
      <c r="B527" s="145"/>
      <c r="D527" s="145"/>
      <c r="U527" s="141"/>
      <c r="Y527" s="140"/>
      <c r="AC527" s="141"/>
      <c r="AG527" s="141"/>
      <c r="AK527" s="141"/>
    </row>
    <row r="528" spans="2:37" s="134" customFormat="1" x14ac:dyDescent="0.2">
      <c r="B528" s="145"/>
      <c r="D528" s="145"/>
      <c r="U528" s="141"/>
      <c r="Y528" s="140"/>
      <c r="AC528" s="141"/>
      <c r="AG528" s="141"/>
      <c r="AK528" s="141"/>
    </row>
    <row r="529" spans="2:37" s="134" customFormat="1" x14ac:dyDescent="0.2">
      <c r="B529" s="145"/>
      <c r="D529" s="145"/>
      <c r="U529" s="141"/>
      <c r="Y529" s="140"/>
      <c r="AC529" s="141"/>
      <c r="AG529" s="141"/>
      <c r="AK529" s="141"/>
    </row>
    <row r="530" spans="2:37" s="134" customFormat="1" x14ac:dyDescent="0.2">
      <c r="B530" s="145"/>
      <c r="D530" s="145"/>
      <c r="U530" s="141"/>
      <c r="Y530" s="140"/>
      <c r="AC530" s="141"/>
      <c r="AG530" s="141"/>
      <c r="AK530" s="141"/>
    </row>
    <row r="531" spans="2:37" s="134" customFormat="1" x14ac:dyDescent="0.2">
      <c r="B531" s="145"/>
      <c r="D531" s="145"/>
      <c r="U531" s="141"/>
      <c r="Y531" s="140"/>
      <c r="AC531" s="141"/>
      <c r="AG531" s="141"/>
      <c r="AK531" s="141"/>
    </row>
    <row r="532" spans="2:37" s="134" customFormat="1" x14ac:dyDescent="0.2">
      <c r="B532" s="145"/>
      <c r="D532" s="145"/>
      <c r="U532" s="141"/>
      <c r="Y532" s="140"/>
      <c r="AC532" s="141"/>
      <c r="AG532" s="141"/>
      <c r="AK532" s="141"/>
    </row>
    <row r="533" spans="2:37" s="134" customFormat="1" x14ac:dyDescent="0.2">
      <c r="B533" s="145"/>
      <c r="D533" s="145"/>
      <c r="U533" s="141"/>
      <c r="Y533" s="140"/>
      <c r="AC533" s="141"/>
      <c r="AG533" s="141"/>
      <c r="AK533" s="141"/>
    </row>
    <row r="534" spans="2:37" s="134" customFormat="1" x14ac:dyDescent="0.2">
      <c r="B534" s="145"/>
      <c r="D534" s="145"/>
      <c r="U534" s="141"/>
      <c r="Y534" s="140"/>
      <c r="AC534" s="141"/>
      <c r="AG534" s="141"/>
      <c r="AK534" s="141"/>
    </row>
    <row r="535" spans="2:37" s="134" customFormat="1" x14ac:dyDescent="0.2">
      <c r="B535" s="145"/>
      <c r="D535" s="145"/>
      <c r="U535" s="141"/>
      <c r="Y535" s="140"/>
      <c r="AC535" s="141"/>
      <c r="AG535" s="141"/>
      <c r="AK535" s="141"/>
    </row>
    <row r="536" spans="2:37" s="134" customFormat="1" x14ac:dyDescent="0.2">
      <c r="B536" s="145"/>
      <c r="D536" s="145"/>
      <c r="U536" s="141"/>
      <c r="Y536" s="140"/>
      <c r="AC536" s="141"/>
      <c r="AG536" s="141"/>
      <c r="AK536" s="141"/>
    </row>
    <row r="537" spans="2:37" s="134" customFormat="1" x14ac:dyDescent="0.2">
      <c r="B537" s="145"/>
      <c r="D537" s="145"/>
      <c r="U537" s="141"/>
      <c r="Y537" s="140"/>
      <c r="AC537" s="141"/>
      <c r="AG537" s="141"/>
      <c r="AK537" s="141"/>
    </row>
    <row r="538" spans="2:37" s="134" customFormat="1" x14ac:dyDescent="0.2">
      <c r="B538" s="145"/>
      <c r="D538" s="145"/>
      <c r="U538" s="141"/>
      <c r="Y538" s="140"/>
      <c r="AC538" s="141"/>
      <c r="AG538" s="141"/>
      <c r="AK538" s="141"/>
    </row>
    <row r="539" spans="2:37" s="134" customFormat="1" x14ac:dyDescent="0.2">
      <c r="B539" s="145"/>
      <c r="D539" s="145"/>
      <c r="U539" s="141"/>
      <c r="Y539" s="140"/>
      <c r="AC539" s="141"/>
      <c r="AG539" s="141"/>
      <c r="AK539" s="141"/>
    </row>
    <row r="540" spans="2:37" s="134" customFormat="1" x14ac:dyDescent="0.2">
      <c r="B540" s="145"/>
      <c r="D540" s="145"/>
      <c r="U540" s="141"/>
      <c r="Y540" s="140"/>
      <c r="AC540" s="141"/>
      <c r="AG540" s="141"/>
      <c r="AK540" s="141"/>
    </row>
    <row r="541" spans="2:37" s="134" customFormat="1" x14ac:dyDescent="0.2">
      <c r="B541" s="145"/>
      <c r="D541" s="145"/>
      <c r="U541" s="141"/>
      <c r="Y541" s="140"/>
      <c r="AC541" s="141"/>
      <c r="AG541" s="141"/>
      <c r="AK541" s="141"/>
    </row>
    <row r="542" spans="2:37" s="134" customFormat="1" x14ac:dyDescent="0.2">
      <c r="B542" s="145"/>
      <c r="D542" s="145"/>
      <c r="U542" s="141"/>
      <c r="Y542" s="140"/>
      <c r="AC542" s="141"/>
      <c r="AG542" s="141"/>
      <c r="AK542" s="141"/>
    </row>
    <row r="543" spans="2:37" s="134" customFormat="1" x14ac:dyDescent="0.2">
      <c r="B543" s="145"/>
      <c r="D543" s="145"/>
      <c r="U543" s="141"/>
      <c r="Y543" s="140"/>
      <c r="AC543" s="141"/>
      <c r="AG543" s="141"/>
      <c r="AK543" s="141"/>
    </row>
    <row r="544" spans="2:37" s="134" customFormat="1" x14ac:dyDescent="0.2">
      <c r="B544" s="145"/>
      <c r="D544" s="145"/>
      <c r="U544" s="141"/>
      <c r="Y544" s="140"/>
      <c r="AC544" s="141"/>
      <c r="AG544" s="141"/>
      <c r="AK544" s="141"/>
    </row>
    <row r="545" spans="2:37" s="134" customFormat="1" x14ac:dyDescent="0.2">
      <c r="B545" s="145"/>
      <c r="D545" s="145"/>
      <c r="U545" s="141"/>
      <c r="Y545" s="140"/>
      <c r="AC545" s="141"/>
      <c r="AG545" s="141"/>
      <c r="AK545" s="141"/>
    </row>
    <row r="546" spans="2:37" s="134" customFormat="1" x14ac:dyDescent="0.2">
      <c r="B546" s="145"/>
      <c r="D546" s="145"/>
      <c r="U546" s="141"/>
      <c r="Y546" s="140"/>
      <c r="AC546" s="141"/>
      <c r="AG546" s="141"/>
      <c r="AK546" s="141"/>
    </row>
    <row r="547" spans="2:37" s="134" customFormat="1" x14ac:dyDescent="0.2">
      <c r="B547" s="145"/>
      <c r="D547" s="145"/>
      <c r="U547" s="141"/>
      <c r="Y547" s="140"/>
      <c r="AC547" s="141"/>
      <c r="AG547" s="141"/>
      <c r="AK547" s="141"/>
    </row>
    <row r="548" spans="2:37" s="134" customFormat="1" x14ac:dyDescent="0.2">
      <c r="B548" s="145"/>
      <c r="D548" s="145"/>
      <c r="U548" s="141"/>
      <c r="Y548" s="140"/>
      <c r="AC548" s="141"/>
      <c r="AG548" s="141"/>
      <c r="AK548" s="141"/>
    </row>
    <row r="549" spans="2:37" s="134" customFormat="1" x14ac:dyDescent="0.2">
      <c r="B549" s="145"/>
      <c r="D549" s="145"/>
      <c r="U549" s="141"/>
      <c r="Y549" s="140"/>
      <c r="AC549" s="141"/>
      <c r="AG549" s="141"/>
      <c r="AK549" s="141"/>
    </row>
    <row r="550" spans="2:37" s="134" customFormat="1" x14ac:dyDescent="0.2">
      <c r="B550" s="145"/>
      <c r="D550" s="145"/>
      <c r="U550" s="141"/>
      <c r="Y550" s="140"/>
      <c r="AC550" s="141"/>
      <c r="AG550" s="141"/>
      <c r="AK550" s="141"/>
    </row>
    <row r="551" spans="2:37" s="134" customFormat="1" x14ac:dyDescent="0.2">
      <c r="B551" s="145"/>
      <c r="D551" s="145"/>
      <c r="U551" s="141"/>
      <c r="Y551" s="140"/>
      <c r="AC551" s="141"/>
      <c r="AG551" s="141"/>
      <c r="AK551" s="141"/>
    </row>
    <row r="552" spans="2:37" s="134" customFormat="1" x14ac:dyDescent="0.2">
      <c r="B552" s="145"/>
      <c r="D552" s="145"/>
      <c r="U552" s="141"/>
      <c r="Y552" s="140"/>
      <c r="AC552" s="141"/>
      <c r="AG552" s="141"/>
      <c r="AK552" s="141"/>
    </row>
    <row r="553" spans="2:37" s="134" customFormat="1" x14ac:dyDescent="0.2">
      <c r="B553" s="145"/>
      <c r="D553" s="145"/>
      <c r="U553" s="141"/>
      <c r="Y553" s="140"/>
      <c r="AC553" s="141"/>
      <c r="AG553" s="141"/>
      <c r="AK553" s="141"/>
    </row>
    <row r="554" spans="2:37" s="134" customFormat="1" x14ac:dyDescent="0.2">
      <c r="B554" s="145"/>
      <c r="D554" s="145"/>
      <c r="U554" s="141"/>
      <c r="Y554" s="140"/>
      <c r="AC554" s="141"/>
      <c r="AG554" s="141"/>
      <c r="AK554" s="141"/>
    </row>
    <row r="555" spans="2:37" s="134" customFormat="1" x14ac:dyDescent="0.2">
      <c r="B555" s="145"/>
      <c r="D555" s="145"/>
      <c r="U555" s="141"/>
      <c r="Y555" s="140"/>
      <c r="AC555" s="141"/>
      <c r="AG555" s="141"/>
      <c r="AK555" s="141"/>
    </row>
    <row r="556" spans="2:37" s="134" customFormat="1" x14ac:dyDescent="0.2">
      <c r="B556" s="145"/>
      <c r="D556" s="145"/>
      <c r="U556" s="141"/>
      <c r="Y556" s="140"/>
      <c r="AC556" s="141"/>
      <c r="AG556" s="141"/>
      <c r="AK556" s="141"/>
    </row>
    <row r="557" spans="2:37" s="134" customFormat="1" x14ac:dyDescent="0.2">
      <c r="B557" s="145"/>
      <c r="D557" s="145"/>
      <c r="U557" s="141"/>
      <c r="Y557" s="140"/>
      <c r="AC557" s="141"/>
      <c r="AG557" s="141"/>
      <c r="AK557" s="141"/>
    </row>
    <row r="558" spans="2:37" s="134" customFormat="1" x14ac:dyDescent="0.2">
      <c r="B558" s="145"/>
      <c r="D558" s="145"/>
      <c r="U558" s="141"/>
      <c r="Y558" s="140"/>
      <c r="AC558" s="141"/>
      <c r="AG558" s="141"/>
      <c r="AK558" s="141"/>
    </row>
    <row r="559" spans="2:37" s="134" customFormat="1" x14ac:dyDescent="0.2">
      <c r="B559" s="145"/>
      <c r="D559" s="145"/>
      <c r="U559" s="141"/>
      <c r="Y559" s="140"/>
      <c r="AC559" s="141"/>
      <c r="AG559" s="141"/>
      <c r="AK559" s="141"/>
    </row>
    <row r="560" spans="2:37" s="134" customFormat="1" x14ac:dyDescent="0.2">
      <c r="B560" s="145"/>
      <c r="D560" s="145"/>
      <c r="U560" s="141"/>
      <c r="Y560" s="140"/>
      <c r="AC560" s="141"/>
      <c r="AG560" s="141"/>
      <c r="AK560" s="141"/>
    </row>
    <row r="561" spans="2:37" s="134" customFormat="1" x14ac:dyDescent="0.2">
      <c r="B561" s="145"/>
      <c r="D561" s="145"/>
      <c r="U561" s="141"/>
      <c r="Y561" s="140"/>
      <c r="AC561" s="141"/>
      <c r="AG561" s="141"/>
      <c r="AK561" s="141"/>
    </row>
    <row r="562" spans="2:37" s="134" customFormat="1" x14ac:dyDescent="0.2">
      <c r="B562" s="145"/>
      <c r="D562" s="145"/>
      <c r="U562" s="141"/>
      <c r="Y562" s="140"/>
      <c r="AC562" s="141"/>
      <c r="AG562" s="141"/>
      <c r="AK562" s="141"/>
    </row>
    <row r="563" spans="2:37" s="134" customFormat="1" x14ac:dyDescent="0.2">
      <c r="B563" s="145"/>
      <c r="D563" s="145"/>
      <c r="U563" s="141"/>
      <c r="Y563" s="140"/>
      <c r="AC563" s="141"/>
      <c r="AG563" s="141"/>
      <c r="AK563" s="141"/>
    </row>
    <row r="564" spans="2:37" s="134" customFormat="1" x14ac:dyDescent="0.2">
      <c r="B564" s="145"/>
      <c r="D564" s="145"/>
      <c r="U564" s="141"/>
      <c r="Y564" s="140"/>
      <c r="AC564" s="141"/>
      <c r="AG564" s="141"/>
      <c r="AK564" s="141"/>
    </row>
    <row r="565" spans="2:37" s="134" customFormat="1" x14ac:dyDescent="0.2">
      <c r="B565" s="145"/>
      <c r="D565" s="145"/>
      <c r="U565" s="141"/>
      <c r="Y565" s="140"/>
      <c r="AC565" s="141"/>
      <c r="AG565" s="141"/>
      <c r="AK565" s="141"/>
    </row>
    <row r="566" spans="2:37" s="134" customFormat="1" x14ac:dyDescent="0.2">
      <c r="B566" s="145"/>
      <c r="D566" s="145"/>
      <c r="U566" s="141"/>
      <c r="Y566" s="140"/>
      <c r="AC566" s="141"/>
      <c r="AG566" s="141"/>
      <c r="AK566" s="141"/>
    </row>
    <row r="567" spans="2:37" s="134" customFormat="1" x14ac:dyDescent="0.2">
      <c r="B567" s="145"/>
      <c r="D567" s="145"/>
      <c r="U567" s="141"/>
      <c r="Y567" s="140"/>
      <c r="AC567" s="141"/>
      <c r="AG567" s="141"/>
      <c r="AK567" s="141"/>
    </row>
    <row r="568" spans="2:37" s="134" customFormat="1" x14ac:dyDescent="0.2">
      <c r="B568" s="145"/>
      <c r="D568" s="145"/>
      <c r="U568" s="141"/>
      <c r="Y568" s="140"/>
      <c r="AC568" s="141"/>
      <c r="AG568" s="141"/>
      <c r="AK568" s="141"/>
    </row>
    <row r="569" spans="2:37" s="134" customFormat="1" x14ac:dyDescent="0.2">
      <c r="B569" s="145"/>
      <c r="D569" s="145"/>
      <c r="U569" s="141"/>
      <c r="Y569" s="140"/>
      <c r="AC569" s="141"/>
      <c r="AG569" s="141"/>
      <c r="AK569" s="141"/>
    </row>
    <row r="570" spans="2:37" s="134" customFormat="1" x14ac:dyDescent="0.2">
      <c r="B570" s="145"/>
      <c r="D570" s="145"/>
      <c r="U570" s="141"/>
      <c r="Y570" s="140"/>
      <c r="AC570" s="141"/>
      <c r="AG570" s="141"/>
      <c r="AK570" s="141"/>
    </row>
    <row r="571" spans="2:37" s="134" customFormat="1" x14ac:dyDescent="0.2">
      <c r="B571" s="145"/>
      <c r="D571" s="145"/>
      <c r="U571" s="141"/>
      <c r="Y571" s="140"/>
      <c r="AC571" s="141"/>
      <c r="AG571" s="141"/>
      <c r="AK571" s="141"/>
    </row>
    <row r="572" spans="2:37" s="134" customFormat="1" x14ac:dyDescent="0.2">
      <c r="B572" s="145"/>
      <c r="D572" s="145"/>
      <c r="U572" s="141"/>
      <c r="Y572" s="140"/>
      <c r="AC572" s="141"/>
      <c r="AG572" s="141"/>
      <c r="AK572" s="141"/>
    </row>
    <row r="573" spans="2:37" s="134" customFormat="1" x14ac:dyDescent="0.2">
      <c r="B573" s="145"/>
      <c r="D573" s="145"/>
      <c r="U573" s="141"/>
      <c r="Y573" s="140"/>
      <c r="AC573" s="141"/>
      <c r="AG573" s="141"/>
      <c r="AK573" s="141"/>
    </row>
    <row r="574" spans="2:37" s="134" customFormat="1" x14ac:dyDescent="0.2">
      <c r="B574" s="145"/>
      <c r="D574" s="145"/>
      <c r="U574" s="141"/>
      <c r="Y574" s="140"/>
      <c r="AC574" s="141"/>
      <c r="AG574" s="141"/>
      <c r="AK574" s="141"/>
    </row>
    <row r="575" spans="2:37" s="134" customFormat="1" x14ac:dyDescent="0.2">
      <c r="B575" s="145"/>
      <c r="D575" s="145"/>
      <c r="U575" s="141"/>
      <c r="Y575" s="140"/>
      <c r="AC575" s="141"/>
      <c r="AG575" s="141"/>
      <c r="AK575" s="141"/>
    </row>
    <row r="576" spans="2:37" s="134" customFormat="1" x14ac:dyDescent="0.2">
      <c r="B576" s="145"/>
      <c r="D576" s="145"/>
      <c r="U576" s="141"/>
      <c r="Y576" s="140"/>
      <c r="AC576" s="141"/>
      <c r="AG576" s="141"/>
      <c r="AK576" s="141"/>
    </row>
    <row r="577" spans="2:37" s="134" customFormat="1" x14ac:dyDescent="0.2">
      <c r="B577" s="145"/>
      <c r="D577" s="145"/>
      <c r="U577" s="141"/>
      <c r="Y577" s="140"/>
      <c r="AC577" s="141"/>
      <c r="AG577" s="141"/>
      <c r="AK577" s="141"/>
    </row>
    <row r="578" spans="2:37" s="134" customFormat="1" x14ac:dyDescent="0.2">
      <c r="B578" s="145"/>
      <c r="D578" s="145"/>
      <c r="U578" s="141"/>
      <c r="Y578" s="140"/>
      <c r="AC578" s="141"/>
      <c r="AG578" s="141"/>
      <c r="AK578" s="141"/>
    </row>
    <row r="579" spans="2:37" s="134" customFormat="1" x14ac:dyDescent="0.2">
      <c r="B579" s="145"/>
      <c r="D579" s="145"/>
      <c r="U579" s="141"/>
      <c r="Y579" s="140"/>
      <c r="AC579" s="141"/>
      <c r="AG579" s="141"/>
      <c r="AK579" s="141"/>
    </row>
    <row r="580" spans="2:37" s="134" customFormat="1" x14ac:dyDescent="0.2">
      <c r="B580" s="145"/>
      <c r="D580" s="145"/>
      <c r="U580" s="141"/>
      <c r="Y580" s="140"/>
      <c r="AC580" s="141"/>
      <c r="AG580" s="141"/>
      <c r="AK580" s="141"/>
    </row>
    <row r="581" spans="2:37" s="134" customFormat="1" x14ac:dyDescent="0.2">
      <c r="B581" s="145"/>
      <c r="D581" s="145"/>
      <c r="U581" s="141"/>
      <c r="Y581" s="140"/>
      <c r="AC581" s="141"/>
      <c r="AG581" s="141"/>
      <c r="AK581" s="141"/>
    </row>
    <row r="582" spans="2:37" s="134" customFormat="1" x14ac:dyDescent="0.2">
      <c r="B582" s="145"/>
      <c r="D582" s="145"/>
      <c r="U582" s="141"/>
      <c r="Y582" s="140"/>
      <c r="AC582" s="141"/>
      <c r="AG582" s="141"/>
      <c r="AK582" s="141"/>
    </row>
    <row r="583" spans="2:37" s="134" customFormat="1" x14ac:dyDescent="0.2">
      <c r="B583" s="145"/>
      <c r="D583" s="145"/>
      <c r="U583" s="141"/>
      <c r="Y583" s="140"/>
      <c r="AC583" s="141"/>
      <c r="AG583" s="141"/>
      <c r="AK583" s="141"/>
    </row>
    <row r="584" spans="2:37" s="134" customFormat="1" x14ac:dyDescent="0.2">
      <c r="B584" s="145"/>
      <c r="D584" s="145"/>
      <c r="U584" s="141"/>
      <c r="Y584" s="140"/>
      <c r="AC584" s="141"/>
      <c r="AG584" s="141"/>
      <c r="AK584" s="141"/>
    </row>
    <row r="585" spans="2:37" s="134" customFormat="1" x14ac:dyDescent="0.2">
      <c r="B585" s="145"/>
      <c r="D585" s="145"/>
      <c r="U585" s="141"/>
      <c r="Y585" s="140"/>
      <c r="AC585" s="141"/>
      <c r="AG585" s="141"/>
      <c r="AK585" s="141"/>
    </row>
    <row r="586" spans="2:37" s="134" customFormat="1" x14ac:dyDescent="0.2">
      <c r="B586" s="145"/>
      <c r="D586" s="145"/>
      <c r="U586" s="141"/>
      <c r="Y586" s="140"/>
      <c r="AC586" s="141"/>
      <c r="AG586" s="141"/>
      <c r="AK586" s="141"/>
    </row>
    <row r="587" spans="2:37" s="134" customFormat="1" x14ac:dyDescent="0.2">
      <c r="B587" s="145"/>
      <c r="D587" s="145"/>
      <c r="U587" s="141"/>
      <c r="Y587" s="140"/>
      <c r="AC587" s="141"/>
      <c r="AG587" s="141"/>
      <c r="AK587" s="141"/>
    </row>
    <row r="588" spans="2:37" s="134" customFormat="1" x14ac:dyDescent="0.2">
      <c r="B588" s="145"/>
      <c r="D588" s="145"/>
      <c r="U588" s="141"/>
      <c r="Y588" s="140"/>
      <c r="AC588" s="141"/>
      <c r="AG588" s="141"/>
      <c r="AK588" s="141"/>
    </row>
    <row r="589" spans="2:37" s="134" customFormat="1" x14ac:dyDescent="0.2">
      <c r="B589" s="145"/>
      <c r="D589" s="145"/>
      <c r="U589" s="141"/>
      <c r="Y589" s="140"/>
      <c r="AC589" s="141"/>
      <c r="AG589" s="141"/>
      <c r="AK589" s="141"/>
    </row>
    <row r="590" spans="2:37" s="134" customFormat="1" x14ac:dyDescent="0.2">
      <c r="B590" s="145"/>
      <c r="D590" s="145"/>
      <c r="U590" s="141"/>
      <c r="Y590" s="140"/>
      <c r="AC590" s="141"/>
      <c r="AG590" s="141"/>
      <c r="AK590" s="141"/>
    </row>
    <row r="591" spans="2:37" s="134" customFormat="1" x14ac:dyDescent="0.2">
      <c r="B591" s="145"/>
      <c r="D591" s="145"/>
      <c r="U591" s="141"/>
      <c r="Y591" s="140"/>
      <c r="AC591" s="141"/>
      <c r="AG591" s="141"/>
      <c r="AK591" s="141"/>
    </row>
    <row r="592" spans="2:37" s="134" customFormat="1" x14ac:dyDescent="0.2">
      <c r="B592" s="145"/>
      <c r="D592" s="145"/>
      <c r="U592" s="141"/>
      <c r="Y592" s="140"/>
      <c r="AC592" s="141"/>
      <c r="AG592" s="141"/>
      <c r="AK592" s="141"/>
    </row>
    <row r="593" spans="2:37" s="134" customFormat="1" x14ac:dyDescent="0.2">
      <c r="B593" s="145"/>
      <c r="D593" s="145"/>
      <c r="U593" s="141"/>
      <c r="Y593" s="140"/>
      <c r="AC593" s="141"/>
      <c r="AG593" s="141"/>
      <c r="AK593" s="141"/>
    </row>
    <row r="594" spans="2:37" s="134" customFormat="1" x14ac:dyDescent="0.2">
      <c r="B594" s="145"/>
      <c r="D594" s="145"/>
      <c r="U594" s="141"/>
      <c r="Y594" s="140"/>
      <c r="AC594" s="141"/>
      <c r="AG594" s="141"/>
      <c r="AK594" s="141"/>
    </row>
    <row r="595" spans="2:37" s="134" customFormat="1" x14ac:dyDescent="0.2">
      <c r="B595" s="145"/>
      <c r="D595" s="145"/>
      <c r="U595" s="141"/>
      <c r="Y595" s="140"/>
      <c r="AC595" s="141"/>
      <c r="AG595" s="141"/>
      <c r="AK595" s="141"/>
    </row>
    <row r="596" spans="2:37" s="134" customFormat="1" x14ac:dyDescent="0.2">
      <c r="B596" s="145"/>
      <c r="D596" s="145"/>
      <c r="U596" s="141"/>
      <c r="Y596" s="140"/>
      <c r="AC596" s="141"/>
      <c r="AG596" s="141"/>
      <c r="AK596" s="141"/>
    </row>
    <row r="597" spans="2:37" s="134" customFormat="1" x14ac:dyDescent="0.2">
      <c r="B597" s="145"/>
      <c r="D597" s="145"/>
      <c r="U597" s="141"/>
      <c r="Y597" s="140"/>
      <c r="AC597" s="141"/>
      <c r="AG597" s="141"/>
      <c r="AK597" s="141"/>
    </row>
    <row r="598" spans="2:37" s="134" customFormat="1" x14ac:dyDescent="0.2">
      <c r="B598" s="145"/>
      <c r="D598" s="145"/>
      <c r="U598" s="141"/>
      <c r="Y598" s="140"/>
      <c r="AC598" s="141"/>
      <c r="AG598" s="141"/>
      <c r="AK598" s="141"/>
    </row>
    <row r="599" spans="2:37" s="134" customFormat="1" x14ac:dyDescent="0.2">
      <c r="B599" s="145"/>
      <c r="D599" s="145"/>
      <c r="U599" s="141"/>
      <c r="Y599" s="140"/>
      <c r="AC599" s="141"/>
      <c r="AG599" s="141"/>
      <c r="AK599" s="141"/>
    </row>
    <row r="600" spans="2:37" s="134" customFormat="1" x14ac:dyDescent="0.2">
      <c r="B600" s="145"/>
      <c r="D600" s="145"/>
      <c r="U600" s="141"/>
      <c r="Y600" s="140"/>
      <c r="AC600" s="141"/>
      <c r="AG600" s="141"/>
      <c r="AK600" s="141"/>
    </row>
    <row r="601" spans="2:37" s="134" customFormat="1" x14ac:dyDescent="0.2">
      <c r="B601" s="145"/>
      <c r="D601" s="145"/>
      <c r="U601" s="141"/>
      <c r="Y601" s="140"/>
      <c r="AC601" s="141"/>
      <c r="AG601" s="141"/>
      <c r="AK601" s="141"/>
    </row>
    <row r="602" spans="2:37" s="134" customFormat="1" x14ac:dyDescent="0.2">
      <c r="B602" s="145"/>
      <c r="D602" s="145"/>
      <c r="U602" s="141"/>
      <c r="Y602" s="140"/>
      <c r="AC602" s="141"/>
      <c r="AG602" s="141"/>
      <c r="AK602" s="141"/>
    </row>
    <row r="603" spans="2:37" s="134" customFormat="1" x14ac:dyDescent="0.2">
      <c r="B603" s="145"/>
      <c r="D603" s="145"/>
      <c r="U603" s="141"/>
      <c r="Y603" s="140"/>
      <c r="AC603" s="141"/>
      <c r="AG603" s="141"/>
      <c r="AK603" s="141"/>
    </row>
    <row r="604" spans="2:37" s="134" customFormat="1" x14ac:dyDescent="0.2">
      <c r="B604" s="145"/>
      <c r="D604" s="145"/>
      <c r="U604" s="141"/>
      <c r="Y604" s="140"/>
      <c r="AC604" s="141"/>
      <c r="AG604" s="141"/>
      <c r="AK604" s="141"/>
    </row>
    <row r="605" spans="2:37" s="134" customFormat="1" x14ac:dyDescent="0.2">
      <c r="B605" s="145"/>
      <c r="D605" s="145"/>
      <c r="U605" s="141"/>
      <c r="Y605" s="140"/>
      <c r="AC605" s="141"/>
      <c r="AG605" s="141"/>
      <c r="AK605" s="141"/>
    </row>
    <row r="606" spans="2:37" s="134" customFormat="1" x14ac:dyDescent="0.2">
      <c r="B606" s="145"/>
      <c r="D606" s="145"/>
      <c r="U606" s="141"/>
      <c r="Y606" s="140"/>
      <c r="AC606" s="141"/>
      <c r="AG606" s="141"/>
      <c r="AK606" s="141"/>
    </row>
    <row r="607" spans="2:37" s="134" customFormat="1" x14ac:dyDescent="0.2">
      <c r="B607" s="145"/>
      <c r="D607" s="145"/>
      <c r="U607" s="141"/>
      <c r="Y607" s="140"/>
      <c r="AC607" s="141"/>
      <c r="AG607" s="141"/>
      <c r="AK607" s="141"/>
    </row>
    <row r="608" spans="2:37" s="134" customFormat="1" x14ac:dyDescent="0.2">
      <c r="B608" s="145"/>
      <c r="D608" s="145"/>
      <c r="U608" s="141"/>
      <c r="Y608" s="140"/>
      <c r="AC608" s="141"/>
      <c r="AG608" s="141"/>
      <c r="AK608" s="141"/>
    </row>
    <row r="609" spans="2:37" s="134" customFormat="1" x14ac:dyDescent="0.2">
      <c r="B609" s="145"/>
      <c r="D609" s="145"/>
      <c r="U609" s="141"/>
      <c r="Y609" s="140"/>
      <c r="AC609" s="141"/>
      <c r="AG609" s="141"/>
      <c r="AK609" s="141"/>
    </row>
    <row r="610" spans="2:37" s="134" customFormat="1" x14ac:dyDescent="0.2">
      <c r="B610" s="145"/>
      <c r="D610" s="145"/>
      <c r="U610" s="141"/>
      <c r="Y610" s="140"/>
      <c r="AC610" s="141"/>
      <c r="AG610" s="141"/>
      <c r="AK610" s="141"/>
    </row>
    <row r="611" spans="2:37" s="134" customFormat="1" x14ac:dyDescent="0.2">
      <c r="B611" s="145"/>
      <c r="D611" s="145"/>
      <c r="U611" s="141"/>
      <c r="Y611" s="140"/>
      <c r="AC611" s="141"/>
      <c r="AG611" s="141"/>
      <c r="AK611" s="141"/>
    </row>
    <row r="612" spans="2:37" s="134" customFormat="1" x14ac:dyDescent="0.2">
      <c r="B612" s="145"/>
      <c r="D612" s="145"/>
      <c r="U612" s="141"/>
      <c r="Y612" s="140"/>
      <c r="AC612" s="141"/>
      <c r="AG612" s="141"/>
      <c r="AK612" s="141"/>
    </row>
    <row r="613" spans="2:37" s="134" customFormat="1" x14ac:dyDescent="0.2">
      <c r="B613" s="145"/>
      <c r="D613" s="145"/>
      <c r="U613" s="141"/>
      <c r="Y613" s="140"/>
      <c r="AC613" s="141"/>
      <c r="AG613" s="141"/>
      <c r="AK613" s="141"/>
    </row>
    <row r="614" spans="2:37" s="134" customFormat="1" x14ac:dyDescent="0.2">
      <c r="B614" s="145"/>
      <c r="D614" s="145"/>
      <c r="U614" s="141"/>
      <c r="Y614" s="140"/>
      <c r="AC614" s="141"/>
      <c r="AG614" s="141"/>
      <c r="AK614" s="141"/>
    </row>
    <row r="615" spans="2:37" s="134" customFormat="1" x14ac:dyDescent="0.2">
      <c r="B615" s="145"/>
      <c r="D615" s="145"/>
      <c r="U615" s="141"/>
      <c r="Y615" s="140"/>
      <c r="AC615" s="141"/>
      <c r="AG615" s="141"/>
      <c r="AK615" s="141"/>
    </row>
    <row r="616" spans="2:37" s="134" customFormat="1" x14ac:dyDescent="0.2">
      <c r="B616" s="145"/>
      <c r="D616" s="145"/>
      <c r="U616" s="141"/>
      <c r="Y616" s="140"/>
      <c r="AC616" s="141"/>
      <c r="AG616" s="141"/>
      <c r="AK616" s="141"/>
    </row>
    <row r="617" spans="2:37" s="134" customFormat="1" x14ac:dyDescent="0.2">
      <c r="B617" s="145"/>
      <c r="D617" s="145"/>
      <c r="U617" s="141"/>
      <c r="Y617" s="140"/>
      <c r="AC617" s="141"/>
      <c r="AG617" s="141"/>
      <c r="AK617" s="141"/>
    </row>
    <row r="618" spans="2:37" s="134" customFormat="1" x14ac:dyDescent="0.2">
      <c r="B618" s="145"/>
      <c r="D618" s="145"/>
      <c r="U618" s="141"/>
      <c r="Y618" s="140"/>
      <c r="AC618" s="141"/>
      <c r="AG618" s="141"/>
      <c r="AK618" s="141"/>
    </row>
    <row r="619" spans="2:37" s="134" customFormat="1" x14ac:dyDescent="0.2">
      <c r="B619" s="145"/>
      <c r="D619" s="145"/>
      <c r="U619" s="141"/>
      <c r="Y619" s="140"/>
      <c r="AC619" s="141"/>
      <c r="AG619" s="141"/>
      <c r="AK619" s="141"/>
    </row>
    <row r="620" spans="2:37" s="134" customFormat="1" x14ac:dyDescent="0.2">
      <c r="B620" s="145"/>
      <c r="D620" s="145"/>
      <c r="U620" s="141"/>
      <c r="Y620" s="140"/>
      <c r="AC620" s="141"/>
      <c r="AG620" s="141"/>
      <c r="AK620" s="141"/>
    </row>
    <row r="621" spans="2:37" s="134" customFormat="1" x14ac:dyDescent="0.2">
      <c r="B621" s="145"/>
      <c r="D621" s="145"/>
      <c r="U621" s="141"/>
      <c r="Y621" s="140"/>
      <c r="AC621" s="141"/>
      <c r="AG621" s="141"/>
      <c r="AK621" s="141"/>
    </row>
    <row r="622" spans="2:37" s="134" customFormat="1" x14ac:dyDescent="0.2">
      <c r="B622" s="145"/>
      <c r="D622" s="145"/>
      <c r="U622" s="141"/>
      <c r="Y622" s="140"/>
      <c r="AC622" s="141"/>
      <c r="AG622" s="141"/>
      <c r="AK622" s="141"/>
    </row>
    <row r="623" spans="2:37" s="134" customFormat="1" x14ac:dyDescent="0.2">
      <c r="B623" s="145"/>
      <c r="D623" s="145"/>
      <c r="U623" s="141"/>
      <c r="Y623" s="140"/>
      <c r="AC623" s="141"/>
      <c r="AG623" s="141"/>
      <c r="AK623" s="141"/>
    </row>
    <row r="624" spans="2:37" s="134" customFormat="1" x14ac:dyDescent="0.2">
      <c r="B624" s="145"/>
      <c r="D624" s="145"/>
      <c r="U624" s="141"/>
      <c r="Y624" s="140"/>
      <c r="AC624" s="141"/>
      <c r="AG624" s="141"/>
      <c r="AK624" s="141"/>
    </row>
    <row r="625" spans="2:37" s="134" customFormat="1" x14ac:dyDescent="0.2">
      <c r="B625" s="145"/>
      <c r="D625" s="145"/>
      <c r="U625" s="141"/>
      <c r="Y625" s="140"/>
      <c r="AC625" s="141"/>
      <c r="AG625" s="141"/>
      <c r="AK625" s="141"/>
    </row>
    <row r="626" spans="2:37" s="134" customFormat="1" x14ac:dyDescent="0.2">
      <c r="B626" s="145"/>
      <c r="D626" s="145"/>
      <c r="U626" s="141"/>
      <c r="Y626" s="140"/>
      <c r="AC626" s="141"/>
      <c r="AG626" s="141"/>
      <c r="AK626" s="141"/>
    </row>
    <row r="627" spans="2:37" s="134" customFormat="1" x14ac:dyDescent="0.2">
      <c r="B627" s="145"/>
      <c r="D627" s="145"/>
      <c r="U627" s="141"/>
      <c r="Y627" s="140"/>
      <c r="AC627" s="141"/>
      <c r="AG627" s="141"/>
      <c r="AK627" s="141"/>
    </row>
    <row r="628" spans="2:37" s="134" customFormat="1" x14ac:dyDescent="0.2">
      <c r="B628" s="145"/>
      <c r="D628" s="145"/>
      <c r="U628" s="141"/>
      <c r="Y628" s="140"/>
      <c r="AC628" s="141"/>
      <c r="AG628" s="141"/>
      <c r="AK628" s="141"/>
    </row>
    <row r="629" spans="2:37" s="134" customFormat="1" x14ac:dyDescent="0.2">
      <c r="B629" s="145"/>
      <c r="D629" s="145"/>
      <c r="U629" s="141"/>
      <c r="Y629" s="140"/>
      <c r="AC629" s="141"/>
      <c r="AG629" s="141"/>
      <c r="AK629" s="141"/>
    </row>
    <row r="630" spans="2:37" s="134" customFormat="1" x14ac:dyDescent="0.2">
      <c r="B630" s="145"/>
      <c r="D630" s="145"/>
      <c r="U630" s="141"/>
      <c r="Y630" s="140"/>
      <c r="AC630" s="141"/>
      <c r="AG630" s="141"/>
      <c r="AK630" s="141"/>
    </row>
    <row r="631" spans="2:37" s="134" customFormat="1" x14ac:dyDescent="0.2">
      <c r="B631" s="145"/>
      <c r="D631" s="145"/>
      <c r="U631" s="141"/>
      <c r="Y631" s="140"/>
      <c r="AC631" s="141"/>
      <c r="AG631" s="141"/>
      <c r="AK631" s="141"/>
    </row>
    <row r="632" spans="2:37" s="134" customFormat="1" x14ac:dyDescent="0.2">
      <c r="B632" s="145"/>
      <c r="D632" s="145"/>
      <c r="U632" s="141"/>
      <c r="Y632" s="140"/>
      <c r="AC632" s="141"/>
      <c r="AG632" s="141"/>
      <c r="AK632" s="141"/>
    </row>
    <row r="633" spans="2:37" s="134" customFormat="1" x14ac:dyDescent="0.2">
      <c r="B633" s="145"/>
      <c r="D633" s="145"/>
      <c r="U633" s="141"/>
      <c r="Y633" s="140"/>
      <c r="AC633" s="141"/>
      <c r="AG633" s="141"/>
      <c r="AK633" s="141"/>
    </row>
    <row r="634" spans="2:37" s="134" customFormat="1" x14ac:dyDescent="0.2">
      <c r="B634" s="145"/>
      <c r="D634" s="145"/>
      <c r="U634" s="141"/>
      <c r="Y634" s="140"/>
      <c r="AC634" s="141"/>
      <c r="AG634" s="141"/>
      <c r="AK634" s="141"/>
    </row>
    <row r="635" spans="2:37" s="134" customFormat="1" x14ac:dyDescent="0.2">
      <c r="B635" s="145"/>
      <c r="D635" s="145"/>
      <c r="U635" s="141"/>
      <c r="Y635" s="140"/>
      <c r="AC635" s="141"/>
      <c r="AG635" s="141"/>
      <c r="AK635" s="141"/>
    </row>
    <row r="636" spans="2:37" s="134" customFormat="1" x14ac:dyDescent="0.2">
      <c r="B636" s="145"/>
      <c r="D636" s="145"/>
      <c r="U636" s="141"/>
      <c r="Y636" s="140"/>
      <c r="AC636" s="141"/>
      <c r="AG636" s="141"/>
      <c r="AK636" s="141"/>
    </row>
    <row r="637" spans="2:37" s="134" customFormat="1" x14ac:dyDescent="0.2">
      <c r="B637" s="145"/>
      <c r="D637" s="145"/>
      <c r="U637" s="141"/>
      <c r="Y637" s="140"/>
      <c r="AC637" s="141"/>
      <c r="AG637" s="141"/>
      <c r="AK637" s="141"/>
    </row>
    <row r="638" spans="2:37" s="134" customFormat="1" x14ac:dyDescent="0.2">
      <c r="B638" s="145"/>
      <c r="D638" s="145"/>
      <c r="U638" s="141"/>
      <c r="Y638" s="140"/>
      <c r="AC638" s="141"/>
      <c r="AG638" s="141"/>
      <c r="AK638" s="141"/>
    </row>
    <row r="639" spans="2:37" s="134" customFormat="1" x14ac:dyDescent="0.2">
      <c r="B639" s="145"/>
      <c r="D639" s="145"/>
      <c r="U639" s="141"/>
      <c r="Y639" s="140"/>
      <c r="AC639" s="141"/>
      <c r="AG639" s="141"/>
      <c r="AK639" s="141"/>
    </row>
    <row r="640" spans="2:37" s="134" customFormat="1" x14ac:dyDescent="0.2">
      <c r="B640" s="145"/>
      <c r="D640" s="145"/>
      <c r="U640" s="141"/>
      <c r="Y640" s="140"/>
      <c r="AC640" s="141"/>
      <c r="AG640" s="141"/>
      <c r="AK640" s="141"/>
    </row>
    <row r="641" spans="2:37" s="134" customFormat="1" x14ac:dyDescent="0.2">
      <c r="B641" s="145"/>
      <c r="D641" s="145"/>
      <c r="U641" s="141"/>
      <c r="Y641" s="140"/>
      <c r="AC641" s="141"/>
      <c r="AG641" s="141"/>
      <c r="AK641" s="141"/>
    </row>
    <row r="642" spans="2:37" s="134" customFormat="1" x14ac:dyDescent="0.2">
      <c r="B642" s="145"/>
      <c r="D642" s="145"/>
      <c r="U642" s="141"/>
      <c r="Y642" s="140"/>
      <c r="AC642" s="141"/>
      <c r="AG642" s="141"/>
      <c r="AK642" s="141"/>
    </row>
    <row r="643" spans="2:37" s="134" customFormat="1" x14ac:dyDescent="0.2">
      <c r="B643" s="145"/>
      <c r="D643" s="145"/>
      <c r="U643" s="141"/>
      <c r="Y643" s="140"/>
      <c r="AC643" s="141"/>
      <c r="AG643" s="141"/>
      <c r="AK643" s="141"/>
    </row>
    <row r="644" spans="2:37" s="134" customFormat="1" x14ac:dyDescent="0.2">
      <c r="B644" s="145"/>
      <c r="D644" s="145"/>
      <c r="U644" s="141"/>
      <c r="Y644" s="140"/>
      <c r="AC644" s="141"/>
      <c r="AG644" s="141"/>
      <c r="AK644" s="141"/>
    </row>
    <row r="645" spans="2:37" s="134" customFormat="1" x14ac:dyDescent="0.2">
      <c r="B645" s="145"/>
      <c r="D645" s="145"/>
      <c r="U645" s="141"/>
      <c r="Y645" s="140"/>
      <c r="AC645" s="141"/>
      <c r="AG645" s="141"/>
      <c r="AK645" s="141"/>
    </row>
    <row r="646" spans="2:37" s="134" customFormat="1" x14ac:dyDescent="0.2">
      <c r="B646" s="145"/>
      <c r="D646" s="145"/>
      <c r="U646" s="141"/>
      <c r="Y646" s="140"/>
      <c r="AC646" s="141"/>
      <c r="AG646" s="141"/>
      <c r="AK646" s="141"/>
    </row>
    <row r="647" spans="2:37" s="134" customFormat="1" x14ac:dyDescent="0.2">
      <c r="B647" s="145"/>
      <c r="D647" s="145"/>
      <c r="U647" s="141"/>
      <c r="Y647" s="140"/>
      <c r="AC647" s="141"/>
      <c r="AG647" s="141"/>
      <c r="AK647" s="141"/>
    </row>
    <row r="648" spans="2:37" s="134" customFormat="1" x14ac:dyDescent="0.2">
      <c r="B648" s="145"/>
      <c r="D648" s="145"/>
      <c r="U648" s="141"/>
      <c r="Y648" s="140"/>
      <c r="AC648" s="141"/>
      <c r="AG648" s="141"/>
      <c r="AK648" s="141"/>
    </row>
    <row r="649" spans="2:37" s="134" customFormat="1" x14ac:dyDescent="0.2">
      <c r="B649" s="145"/>
      <c r="D649" s="145"/>
      <c r="U649" s="141"/>
      <c r="Y649" s="140"/>
      <c r="AC649" s="141"/>
      <c r="AG649" s="141"/>
      <c r="AK649" s="141"/>
    </row>
    <row r="650" spans="2:37" s="134" customFormat="1" x14ac:dyDescent="0.2">
      <c r="B650" s="145"/>
      <c r="D650" s="145"/>
      <c r="U650" s="141"/>
      <c r="Y650" s="140"/>
      <c r="AC650" s="141"/>
      <c r="AG650" s="141"/>
      <c r="AK650" s="141"/>
    </row>
    <row r="651" spans="2:37" s="134" customFormat="1" x14ac:dyDescent="0.2">
      <c r="B651" s="145"/>
      <c r="D651" s="145"/>
      <c r="U651" s="141"/>
      <c r="Y651" s="140"/>
      <c r="AC651" s="141"/>
      <c r="AG651" s="141"/>
      <c r="AK651" s="141"/>
    </row>
    <row r="652" spans="2:37" s="134" customFormat="1" x14ac:dyDescent="0.2">
      <c r="B652" s="145"/>
      <c r="D652" s="145"/>
      <c r="U652" s="141"/>
      <c r="Y652" s="140"/>
      <c r="AC652" s="141"/>
      <c r="AG652" s="141"/>
      <c r="AK652" s="141"/>
    </row>
    <row r="653" spans="2:37" s="134" customFormat="1" x14ac:dyDescent="0.2">
      <c r="B653" s="145"/>
      <c r="D653" s="145"/>
      <c r="U653" s="141"/>
      <c r="Y653" s="140"/>
      <c r="AC653" s="141"/>
      <c r="AG653" s="141"/>
      <c r="AK653" s="141"/>
    </row>
    <row r="654" spans="2:37" s="134" customFormat="1" x14ac:dyDescent="0.2">
      <c r="B654" s="145"/>
      <c r="D654" s="145"/>
      <c r="U654" s="141"/>
      <c r="Y654" s="140"/>
      <c r="AC654" s="141"/>
      <c r="AG654" s="141"/>
      <c r="AK654" s="141"/>
    </row>
    <row r="655" spans="2:37" s="134" customFormat="1" x14ac:dyDescent="0.2">
      <c r="B655" s="145"/>
      <c r="D655" s="145"/>
      <c r="U655" s="141"/>
      <c r="Y655" s="140"/>
      <c r="AC655" s="141"/>
      <c r="AG655" s="141"/>
      <c r="AK655" s="141"/>
    </row>
    <row r="656" spans="2:37" s="134" customFormat="1" x14ac:dyDescent="0.2">
      <c r="B656" s="145"/>
      <c r="D656" s="145"/>
      <c r="U656" s="141"/>
      <c r="Y656" s="140"/>
      <c r="AC656" s="141"/>
      <c r="AG656" s="141"/>
      <c r="AK656" s="141"/>
    </row>
    <row r="657" spans="2:37" s="134" customFormat="1" x14ac:dyDescent="0.2">
      <c r="B657" s="145"/>
      <c r="D657" s="145"/>
      <c r="U657" s="141"/>
      <c r="Y657" s="140"/>
      <c r="AC657" s="141"/>
      <c r="AG657" s="141"/>
      <c r="AK657" s="141"/>
    </row>
    <row r="658" spans="2:37" s="134" customFormat="1" x14ac:dyDescent="0.2">
      <c r="B658" s="145"/>
      <c r="D658" s="145"/>
      <c r="U658" s="141"/>
      <c r="Y658" s="140"/>
      <c r="AC658" s="141"/>
      <c r="AG658" s="141"/>
      <c r="AK658" s="141"/>
    </row>
    <row r="659" spans="2:37" s="134" customFormat="1" x14ac:dyDescent="0.2">
      <c r="B659" s="145"/>
      <c r="D659" s="145"/>
      <c r="U659" s="141"/>
      <c r="Y659" s="140"/>
      <c r="AC659" s="141"/>
      <c r="AG659" s="141"/>
      <c r="AK659" s="141"/>
    </row>
    <row r="660" spans="2:37" s="134" customFormat="1" x14ac:dyDescent="0.2">
      <c r="B660" s="145"/>
      <c r="D660" s="145"/>
      <c r="U660" s="141"/>
      <c r="Y660" s="140"/>
      <c r="AC660" s="141"/>
      <c r="AG660" s="141"/>
      <c r="AK660" s="141"/>
    </row>
    <row r="661" spans="2:37" s="134" customFormat="1" x14ac:dyDescent="0.2">
      <c r="B661" s="145"/>
      <c r="D661" s="145"/>
      <c r="U661" s="141"/>
      <c r="Y661" s="140"/>
      <c r="AC661" s="141"/>
      <c r="AG661" s="141"/>
      <c r="AK661" s="141"/>
    </row>
    <row r="662" spans="2:37" s="134" customFormat="1" x14ac:dyDescent="0.2">
      <c r="B662" s="145"/>
      <c r="D662" s="145"/>
      <c r="U662" s="141"/>
      <c r="Y662" s="140"/>
      <c r="AC662" s="141"/>
      <c r="AG662" s="141"/>
      <c r="AK662" s="141"/>
    </row>
    <row r="663" spans="2:37" s="134" customFormat="1" x14ac:dyDescent="0.2">
      <c r="B663" s="145"/>
      <c r="D663" s="145"/>
      <c r="U663" s="141"/>
      <c r="Y663" s="140"/>
      <c r="AC663" s="141"/>
      <c r="AG663" s="141"/>
      <c r="AK663" s="141"/>
    </row>
    <row r="664" spans="2:37" s="134" customFormat="1" x14ac:dyDescent="0.2">
      <c r="B664" s="145"/>
      <c r="D664" s="145"/>
      <c r="U664" s="141"/>
      <c r="Y664" s="140"/>
      <c r="AC664" s="141"/>
      <c r="AG664" s="141"/>
      <c r="AK664" s="141"/>
    </row>
    <row r="665" spans="2:37" s="134" customFormat="1" x14ac:dyDescent="0.2">
      <c r="B665" s="145"/>
      <c r="D665" s="145"/>
      <c r="U665" s="141"/>
      <c r="Y665" s="140"/>
      <c r="AC665" s="141"/>
      <c r="AG665" s="141"/>
      <c r="AK665" s="141"/>
    </row>
    <row r="666" spans="2:37" s="134" customFormat="1" x14ac:dyDescent="0.2">
      <c r="B666" s="145"/>
      <c r="D666" s="145"/>
      <c r="U666" s="141"/>
      <c r="Y666" s="140"/>
      <c r="AC666" s="141"/>
      <c r="AG666" s="141"/>
      <c r="AK666" s="141"/>
    </row>
    <row r="667" spans="2:37" s="134" customFormat="1" x14ac:dyDescent="0.2">
      <c r="B667" s="145"/>
      <c r="D667" s="145"/>
      <c r="U667" s="141"/>
      <c r="Y667" s="140"/>
      <c r="AC667" s="141"/>
      <c r="AG667" s="141"/>
      <c r="AK667" s="141"/>
    </row>
    <row r="668" spans="2:37" s="134" customFormat="1" x14ac:dyDescent="0.2">
      <c r="B668" s="145"/>
      <c r="D668" s="145"/>
      <c r="U668" s="141"/>
      <c r="Y668" s="140"/>
      <c r="AC668" s="141"/>
      <c r="AG668" s="141"/>
      <c r="AK668" s="141"/>
    </row>
    <row r="669" spans="2:37" s="134" customFormat="1" x14ac:dyDescent="0.2">
      <c r="B669" s="145"/>
      <c r="D669" s="145"/>
      <c r="U669" s="141"/>
      <c r="Y669" s="140"/>
      <c r="AC669" s="141"/>
      <c r="AG669" s="141"/>
      <c r="AK669" s="141"/>
    </row>
    <row r="670" spans="2:37" s="134" customFormat="1" x14ac:dyDescent="0.2">
      <c r="B670" s="145"/>
      <c r="D670" s="145"/>
      <c r="U670" s="141"/>
      <c r="Y670" s="140"/>
      <c r="AC670" s="141"/>
      <c r="AG670" s="141"/>
      <c r="AK670" s="141"/>
    </row>
    <row r="671" spans="2:37" s="134" customFormat="1" x14ac:dyDescent="0.2">
      <c r="B671" s="145"/>
      <c r="D671" s="145"/>
      <c r="U671" s="141"/>
      <c r="Y671" s="140"/>
      <c r="AC671" s="141"/>
      <c r="AG671" s="141"/>
      <c r="AK671" s="141"/>
    </row>
    <row r="672" spans="2:37" s="134" customFormat="1" x14ac:dyDescent="0.2">
      <c r="B672" s="145"/>
      <c r="D672" s="145"/>
      <c r="U672" s="141"/>
      <c r="Y672" s="140"/>
      <c r="AC672" s="141"/>
      <c r="AG672" s="141"/>
      <c r="AK672" s="141"/>
    </row>
    <row r="673" spans="2:37" s="134" customFormat="1" x14ac:dyDescent="0.2">
      <c r="B673" s="145"/>
      <c r="D673" s="145"/>
      <c r="U673" s="141"/>
      <c r="Y673" s="140"/>
      <c r="AC673" s="141"/>
      <c r="AG673" s="141"/>
      <c r="AK673" s="141"/>
    </row>
    <row r="674" spans="2:37" s="134" customFormat="1" x14ac:dyDescent="0.2">
      <c r="B674" s="145"/>
      <c r="D674" s="145"/>
      <c r="U674" s="141"/>
      <c r="Y674" s="140"/>
      <c r="AC674" s="141"/>
      <c r="AG674" s="141"/>
      <c r="AK674" s="141"/>
    </row>
    <row r="675" spans="2:37" s="134" customFormat="1" x14ac:dyDescent="0.2">
      <c r="B675" s="145"/>
      <c r="D675" s="145"/>
      <c r="U675" s="141"/>
      <c r="Y675" s="140"/>
      <c r="AC675" s="141"/>
      <c r="AG675" s="141"/>
      <c r="AK675" s="141"/>
    </row>
    <row r="676" spans="2:37" s="134" customFormat="1" x14ac:dyDescent="0.2">
      <c r="B676" s="145"/>
      <c r="D676" s="145"/>
      <c r="U676" s="141"/>
      <c r="Y676" s="140"/>
      <c r="AC676" s="141"/>
      <c r="AG676" s="141"/>
      <c r="AK676" s="141"/>
    </row>
    <row r="677" spans="2:37" s="134" customFormat="1" x14ac:dyDescent="0.2">
      <c r="B677" s="145"/>
      <c r="D677" s="145"/>
      <c r="U677" s="141"/>
      <c r="Y677" s="140"/>
      <c r="AC677" s="141"/>
      <c r="AG677" s="141"/>
      <c r="AK677" s="141"/>
    </row>
    <row r="678" spans="2:37" s="134" customFormat="1" x14ac:dyDescent="0.2">
      <c r="B678" s="145"/>
      <c r="D678" s="145"/>
      <c r="U678" s="141"/>
      <c r="Y678" s="140"/>
      <c r="AC678" s="141"/>
      <c r="AG678" s="141"/>
      <c r="AK678" s="141"/>
    </row>
    <row r="679" spans="2:37" s="134" customFormat="1" x14ac:dyDescent="0.2">
      <c r="B679" s="145"/>
      <c r="D679" s="145"/>
      <c r="U679" s="141"/>
      <c r="Y679" s="140"/>
      <c r="AC679" s="141"/>
      <c r="AG679" s="141"/>
      <c r="AK679" s="141"/>
    </row>
    <row r="680" spans="2:37" s="134" customFormat="1" x14ac:dyDescent="0.2">
      <c r="B680" s="145"/>
      <c r="D680" s="145"/>
      <c r="U680" s="141"/>
      <c r="Y680" s="140"/>
      <c r="AC680" s="141"/>
      <c r="AG680" s="141"/>
      <c r="AK680" s="141"/>
    </row>
    <row r="681" spans="2:37" s="134" customFormat="1" x14ac:dyDescent="0.2">
      <c r="B681" s="145"/>
      <c r="D681" s="145"/>
      <c r="U681" s="141"/>
      <c r="Y681" s="140"/>
      <c r="AC681" s="141"/>
      <c r="AG681" s="141"/>
      <c r="AK681" s="141"/>
    </row>
    <row r="682" spans="2:37" s="134" customFormat="1" x14ac:dyDescent="0.2">
      <c r="B682" s="145"/>
      <c r="D682" s="145"/>
      <c r="U682" s="141"/>
      <c r="Y682" s="140"/>
      <c r="AC682" s="141"/>
      <c r="AG682" s="141"/>
      <c r="AK682" s="141"/>
    </row>
    <row r="683" spans="2:37" s="134" customFormat="1" x14ac:dyDescent="0.2">
      <c r="B683" s="145"/>
      <c r="D683" s="145"/>
      <c r="U683" s="141"/>
      <c r="Y683" s="140"/>
      <c r="AC683" s="141"/>
      <c r="AG683" s="141"/>
      <c r="AK683" s="141"/>
    </row>
    <row r="684" spans="2:37" s="134" customFormat="1" x14ac:dyDescent="0.2">
      <c r="B684" s="145"/>
      <c r="D684" s="145"/>
      <c r="U684" s="141"/>
      <c r="Y684" s="140"/>
      <c r="AC684" s="141"/>
      <c r="AG684" s="141"/>
      <c r="AK684" s="141"/>
    </row>
    <row r="685" spans="2:37" s="134" customFormat="1" x14ac:dyDescent="0.2">
      <c r="B685" s="145"/>
      <c r="D685" s="145"/>
      <c r="U685" s="141"/>
      <c r="Y685" s="140"/>
      <c r="AC685" s="141"/>
      <c r="AG685" s="141"/>
      <c r="AK685" s="141"/>
    </row>
    <row r="686" spans="2:37" s="134" customFormat="1" x14ac:dyDescent="0.2">
      <c r="B686" s="145"/>
      <c r="D686" s="145"/>
      <c r="U686" s="141"/>
      <c r="Y686" s="140"/>
      <c r="AC686" s="141"/>
      <c r="AG686" s="141"/>
      <c r="AK686" s="141"/>
    </row>
    <row r="687" spans="2:37" s="134" customFormat="1" x14ac:dyDescent="0.2">
      <c r="B687" s="145"/>
      <c r="D687" s="145"/>
      <c r="U687" s="141"/>
      <c r="Y687" s="140"/>
      <c r="AC687" s="141"/>
      <c r="AG687" s="141"/>
      <c r="AK687" s="141"/>
    </row>
    <row r="688" spans="2:37" s="134" customFormat="1" x14ac:dyDescent="0.2">
      <c r="B688" s="145"/>
      <c r="D688" s="145"/>
      <c r="U688" s="141"/>
      <c r="Y688" s="140"/>
      <c r="AC688" s="141"/>
      <c r="AG688" s="141"/>
      <c r="AK688" s="141"/>
    </row>
    <row r="689" spans="2:37" s="134" customFormat="1" x14ac:dyDescent="0.2">
      <c r="B689" s="145"/>
      <c r="D689" s="145"/>
      <c r="U689" s="141"/>
      <c r="Y689" s="140"/>
      <c r="AC689" s="141"/>
      <c r="AG689" s="141"/>
      <c r="AK689" s="141"/>
    </row>
    <row r="690" spans="2:37" s="134" customFormat="1" x14ac:dyDescent="0.2">
      <c r="B690" s="145"/>
      <c r="D690" s="145"/>
      <c r="U690" s="141"/>
      <c r="Y690" s="140"/>
      <c r="AC690" s="141"/>
      <c r="AG690" s="141"/>
      <c r="AK690" s="141"/>
    </row>
    <row r="691" spans="2:37" s="134" customFormat="1" x14ac:dyDescent="0.2">
      <c r="B691" s="145"/>
      <c r="D691" s="145"/>
      <c r="U691" s="141"/>
      <c r="Y691" s="140"/>
      <c r="AC691" s="141"/>
      <c r="AG691" s="141"/>
      <c r="AK691" s="141"/>
    </row>
    <row r="692" spans="2:37" s="134" customFormat="1" x14ac:dyDescent="0.2">
      <c r="B692" s="145"/>
      <c r="D692" s="145"/>
      <c r="U692" s="141"/>
      <c r="Y692" s="140"/>
      <c r="AC692" s="141"/>
      <c r="AG692" s="141"/>
      <c r="AK692" s="141"/>
    </row>
    <row r="693" spans="2:37" s="134" customFormat="1" x14ac:dyDescent="0.2">
      <c r="B693" s="145"/>
      <c r="D693" s="145"/>
      <c r="U693" s="141"/>
      <c r="Y693" s="140"/>
      <c r="AC693" s="141"/>
      <c r="AG693" s="141"/>
      <c r="AK693" s="141"/>
    </row>
    <row r="694" spans="2:37" s="134" customFormat="1" x14ac:dyDescent="0.2">
      <c r="B694" s="145"/>
      <c r="D694" s="145"/>
      <c r="U694" s="141"/>
      <c r="Y694" s="140"/>
      <c r="AC694" s="141"/>
      <c r="AG694" s="141"/>
      <c r="AK694" s="141"/>
    </row>
    <row r="695" spans="2:37" s="134" customFormat="1" x14ac:dyDescent="0.2">
      <c r="B695" s="145"/>
      <c r="D695" s="145"/>
      <c r="U695" s="141"/>
      <c r="Y695" s="140"/>
      <c r="AC695" s="141"/>
      <c r="AG695" s="141"/>
      <c r="AK695" s="141"/>
    </row>
    <row r="696" spans="2:37" s="134" customFormat="1" x14ac:dyDescent="0.2">
      <c r="B696" s="145"/>
      <c r="D696" s="145"/>
      <c r="U696" s="141"/>
      <c r="Y696" s="140"/>
      <c r="AC696" s="141"/>
      <c r="AG696" s="141"/>
      <c r="AK696" s="141"/>
    </row>
    <row r="697" spans="2:37" s="134" customFormat="1" x14ac:dyDescent="0.2">
      <c r="B697" s="145"/>
      <c r="D697" s="145"/>
      <c r="U697" s="141"/>
      <c r="Y697" s="140"/>
      <c r="AC697" s="141"/>
      <c r="AG697" s="141"/>
      <c r="AK697" s="141"/>
    </row>
    <row r="698" spans="2:37" s="134" customFormat="1" x14ac:dyDescent="0.2">
      <c r="B698" s="145"/>
      <c r="D698" s="145"/>
      <c r="U698" s="141"/>
      <c r="Y698" s="140"/>
      <c r="AC698" s="141"/>
      <c r="AG698" s="141"/>
      <c r="AK698" s="141"/>
    </row>
    <row r="699" spans="2:37" s="134" customFormat="1" x14ac:dyDescent="0.2">
      <c r="B699" s="145"/>
      <c r="D699" s="145"/>
      <c r="U699" s="141"/>
      <c r="Y699" s="140"/>
      <c r="AC699" s="141"/>
      <c r="AG699" s="141"/>
      <c r="AK699" s="141"/>
    </row>
    <row r="700" spans="2:37" s="134" customFormat="1" x14ac:dyDescent="0.2">
      <c r="B700" s="145"/>
      <c r="D700" s="145"/>
      <c r="U700" s="141"/>
      <c r="Y700" s="140"/>
      <c r="AC700" s="141"/>
      <c r="AG700" s="141"/>
      <c r="AK700" s="141"/>
    </row>
    <row r="701" spans="2:37" s="134" customFormat="1" x14ac:dyDescent="0.2">
      <c r="B701" s="145"/>
      <c r="D701" s="145"/>
      <c r="U701" s="141"/>
      <c r="Y701" s="140"/>
      <c r="AC701" s="141"/>
      <c r="AG701" s="141"/>
      <c r="AK701" s="141"/>
    </row>
    <row r="702" spans="2:37" s="134" customFormat="1" x14ac:dyDescent="0.2">
      <c r="B702" s="145"/>
      <c r="D702" s="145"/>
      <c r="U702" s="141"/>
      <c r="Y702" s="140"/>
      <c r="AC702" s="141"/>
      <c r="AG702" s="141"/>
      <c r="AK702" s="141"/>
    </row>
    <row r="703" spans="2:37" s="134" customFormat="1" x14ac:dyDescent="0.2">
      <c r="B703" s="145"/>
      <c r="D703" s="145"/>
      <c r="U703" s="141"/>
      <c r="Y703" s="140"/>
      <c r="AC703" s="141"/>
      <c r="AG703" s="141"/>
      <c r="AK703" s="141"/>
    </row>
    <row r="704" spans="2:37" s="134" customFormat="1" x14ac:dyDescent="0.2">
      <c r="B704" s="145"/>
      <c r="D704" s="145"/>
      <c r="U704" s="141"/>
      <c r="Y704" s="140"/>
      <c r="AC704" s="141"/>
      <c r="AG704" s="141"/>
      <c r="AK704" s="141"/>
    </row>
    <row r="705" spans="2:37" s="134" customFormat="1" x14ac:dyDescent="0.2">
      <c r="B705" s="145"/>
      <c r="D705" s="145"/>
      <c r="U705" s="141"/>
      <c r="Y705" s="140"/>
      <c r="AC705" s="141"/>
      <c r="AG705" s="141"/>
      <c r="AK705" s="141"/>
    </row>
    <row r="706" spans="2:37" s="134" customFormat="1" x14ac:dyDescent="0.2">
      <c r="B706" s="145"/>
      <c r="D706" s="145"/>
      <c r="U706" s="141"/>
      <c r="Y706" s="140"/>
      <c r="AC706" s="141"/>
      <c r="AG706" s="141"/>
      <c r="AK706" s="141"/>
    </row>
    <row r="707" spans="2:37" s="134" customFormat="1" x14ac:dyDescent="0.2">
      <c r="B707" s="145"/>
      <c r="D707" s="145"/>
      <c r="U707" s="141"/>
      <c r="Y707" s="140"/>
      <c r="AC707" s="141"/>
      <c r="AG707" s="141"/>
      <c r="AK707" s="141"/>
    </row>
    <row r="708" spans="2:37" s="134" customFormat="1" x14ac:dyDescent="0.2">
      <c r="B708" s="145"/>
      <c r="D708" s="145"/>
      <c r="U708" s="141"/>
      <c r="Y708" s="140"/>
      <c r="AC708" s="141"/>
      <c r="AG708" s="141"/>
      <c r="AK708" s="141"/>
    </row>
    <row r="709" spans="2:37" s="134" customFormat="1" x14ac:dyDescent="0.2">
      <c r="B709" s="145"/>
      <c r="D709" s="145"/>
      <c r="U709" s="141"/>
      <c r="Y709" s="140"/>
      <c r="AC709" s="141"/>
      <c r="AG709" s="141"/>
      <c r="AK709" s="141"/>
    </row>
    <row r="710" spans="2:37" s="134" customFormat="1" x14ac:dyDescent="0.2">
      <c r="B710" s="145"/>
      <c r="D710" s="145"/>
      <c r="U710" s="141"/>
      <c r="Y710" s="140"/>
      <c r="AC710" s="141"/>
      <c r="AG710" s="141"/>
      <c r="AK710" s="141"/>
    </row>
    <row r="711" spans="2:37" s="134" customFormat="1" x14ac:dyDescent="0.2">
      <c r="B711" s="145"/>
      <c r="D711" s="145"/>
      <c r="U711" s="141"/>
      <c r="Y711" s="140"/>
      <c r="AC711" s="141"/>
      <c r="AG711" s="141"/>
      <c r="AK711" s="141"/>
    </row>
    <row r="712" spans="2:37" s="134" customFormat="1" x14ac:dyDescent="0.2">
      <c r="B712" s="145"/>
      <c r="D712" s="145"/>
      <c r="U712" s="141"/>
      <c r="Y712" s="140"/>
      <c r="AC712" s="141"/>
      <c r="AG712" s="141"/>
      <c r="AK712" s="141"/>
    </row>
    <row r="713" spans="2:37" s="134" customFormat="1" x14ac:dyDescent="0.2">
      <c r="B713" s="145"/>
      <c r="D713" s="145"/>
      <c r="U713" s="141"/>
      <c r="Y713" s="140"/>
      <c r="AC713" s="141"/>
      <c r="AG713" s="141"/>
      <c r="AK713" s="141"/>
    </row>
    <row r="714" spans="2:37" s="134" customFormat="1" x14ac:dyDescent="0.2">
      <c r="B714" s="145"/>
      <c r="D714" s="145"/>
      <c r="U714" s="141"/>
      <c r="Y714" s="140"/>
      <c r="AC714" s="141"/>
      <c r="AG714" s="141"/>
      <c r="AK714" s="141"/>
    </row>
    <row r="715" spans="2:37" s="134" customFormat="1" x14ac:dyDescent="0.2">
      <c r="B715" s="145"/>
      <c r="D715" s="145"/>
      <c r="U715" s="141"/>
      <c r="Y715" s="140"/>
      <c r="AC715" s="141"/>
      <c r="AG715" s="141"/>
      <c r="AK715" s="141"/>
    </row>
    <row r="716" spans="2:37" s="134" customFormat="1" x14ac:dyDescent="0.2">
      <c r="B716" s="145"/>
      <c r="D716" s="145"/>
      <c r="U716" s="141"/>
      <c r="Y716" s="140"/>
      <c r="AC716" s="141"/>
      <c r="AG716" s="141"/>
      <c r="AK716" s="141"/>
    </row>
    <row r="717" spans="2:37" s="134" customFormat="1" x14ac:dyDescent="0.2">
      <c r="B717" s="145"/>
      <c r="D717" s="145"/>
      <c r="U717" s="141"/>
      <c r="Y717" s="140"/>
      <c r="AC717" s="141"/>
      <c r="AG717" s="141"/>
      <c r="AK717" s="141"/>
    </row>
    <row r="718" spans="2:37" s="134" customFormat="1" x14ac:dyDescent="0.2">
      <c r="B718" s="145"/>
      <c r="D718" s="145"/>
      <c r="U718" s="141"/>
      <c r="Y718" s="140"/>
      <c r="AC718" s="141"/>
      <c r="AG718" s="141"/>
      <c r="AK718" s="141"/>
    </row>
    <row r="719" spans="2:37" s="134" customFormat="1" x14ac:dyDescent="0.2">
      <c r="B719" s="145"/>
      <c r="D719" s="145"/>
      <c r="U719" s="141"/>
      <c r="Y719" s="140"/>
      <c r="AC719" s="141"/>
      <c r="AG719" s="141"/>
      <c r="AK719" s="141"/>
    </row>
    <row r="720" spans="2:37" s="134" customFormat="1" x14ac:dyDescent="0.2">
      <c r="B720" s="145"/>
      <c r="D720" s="145"/>
      <c r="U720" s="141"/>
      <c r="Y720" s="140"/>
      <c r="AC720" s="141"/>
      <c r="AG720" s="141"/>
      <c r="AK720" s="141"/>
    </row>
    <row r="721" spans="2:37" s="134" customFormat="1" x14ac:dyDescent="0.2">
      <c r="B721" s="145"/>
      <c r="D721" s="145"/>
      <c r="U721" s="141"/>
      <c r="Y721" s="140"/>
      <c r="AC721" s="141"/>
      <c r="AG721" s="141"/>
      <c r="AK721" s="141"/>
    </row>
    <row r="722" spans="2:37" s="134" customFormat="1" x14ac:dyDescent="0.2">
      <c r="B722" s="145"/>
      <c r="D722" s="145"/>
      <c r="U722" s="141"/>
      <c r="Y722" s="140"/>
      <c r="AC722" s="141"/>
      <c r="AG722" s="141"/>
      <c r="AK722" s="141"/>
    </row>
    <row r="723" spans="2:37" s="134" customFormat="1" x14ac:dyDescent="0.2">
      <c r="B723" s="145"/>
      <c r="D723" s="145"/>
      <c r="U723" s="141"/>
      <c r="Y723" s="140"/>
      <c r="AC723" s="141"/>
      <c r="AG723" s="141"/>
      <c r="AK723" s="141"/>
    </row>
    <row r="724" spans="2:37" s="134" customFormat="1" x14ac:dyDescent="0.2">
      <c r="B724" s="145"/>
      <c r="D724" s="145"/>
      <c r="U724" s="141"/>
      <c r="Y724" s="140"/>
      <c r="AC724" s="141"/>
      <c r="AG724" s="141"/>
      <c r="AK724" s="141"/>
    </row>
    <row r="725" spans="2:37" s="134" customFormat="1" x14ac:dyDescent="0.2">
      <c r="B725" s="145"/>
      <c r="D725" s="145"/>
      <c r="U725" s="141"/>
      <c r="Y725" s="140"/>
      <c r="AC725" s="141"/>
      <c r="AG725" s="141"/>
      <c r="AK725" s="141"/>
    </row>
    <row r="726" spans="2:37" s="134" customFormat="1" x14ac:dyDescent="0.2">
      <c r="B726" s="145"/>
      <c r="D726" s="145"/>
      <c r="U726" s="141"/>
      <c r="Y726" s="140"/>
      <c r="AC726" s="141"/>
      <c r="AG726" s="141"/>
      <c r="AK726" s="141"/>
    </row>
    <row r="727" spans="2:37" s="134" customFormat="1" x14ac:dyDescent="0.2">
      <c r="B727" s="145"/>
      <c r="D727" s="145"/>
      <c r="U727" s="141"/>
      <c r="Y727" s="140"/>
      <c r="AC727" s="141"/>
      <c r="AG727" s="141"/>
      <c r="AK727" s="141"/>
    </row>
    <row r="728" spans="2:37" s="134" customFormat="1" x14ac:dyDescent="0.2">
      <c r="B728" s="145"/>
      <c r="D728" s="145"/>
      <c r="U728" s="141"/>
      <c r="Y728" s="140"/>
      <c r="AC728" s="141"/>
      <c r="AG728" s="141"/>
      <c r="AK728" s="141"/>
    </row>
    <row r="729" spans="2:37" s="134" customFormat="1" x14ac:dyDescent="0.2">
      <c r="B729" s="145"/>
      <c r="D729" s="145"/>
      <c r="U729" s="141"/>
      <c r="Y729" s="140"/>
      <c r="AC729" s="141"/>
      <c r="AG729" s="141"/>
      <c r="AK729" s="141"/>
    </row>
    <row r="730" spans="2:37" s="134" customFormat="1" x14ac:dyDescent="0.2">
      <c r="B730" s="145"/>
      <c r="D730" s="145"/>
      <c r="U730" s="141"/>
      <c r="Y730" s="140"/>
      <c r="AC730" s="141"/>
      <c r="AG730" s="141"/>
      <c r="AK730" s="141"/>
    </row>
    <row r="731" spans="2:37" s="134" customFormat="1" x14ac:dyDescent="0.2">
      <c r="B731" s="145"/>
      <c r="D731" s="145"/>
      <c r="U731" s="141"/>
      <c r="Y731" s="140"/>
      <c r="AC731" s="141"/>
      <c r="AG731" s="141"/>
      <c r="AK731" s="141"/>
    </row>
    <row r="732" spans="2:37" s="134" customFormat="1" x14ac:dyDescent="0.2">
      <c r="B732" s="145"/>
      <c r="D732" s="145"/>
      <c r="U732" s="141"/>
      <c r="Y732" s="140"/>
      <c r="AC732" s="141"/>
      <c r="AG732" s="141"/>
      <c r="AK732" s="141"/>
    </row>
    <row r="733" spans="2:37" s="134" customFormat="1" x14ac:dyDescent="0.2">
      <c r="B733" s="145"/>
      <c r="D733" s="145"/>
      <c r="U733" s="141"/>
      <c r="Y733" s="140"/>
      <c r="AC733" s="141"/>
      <c r="AG733" s="141"/>
      <c r="AK733" s="141"/>
    </row>
    <row r="734" spans="2:37" s="134" customFormat="1" x14ac:dyDescent="0.2">
      <c r="B734" s="145"/>
      <c r="D734" s="145"/>
      <c r="U734" s="141"/>
      <c r="Y734" s="140"/>
      <c r="AC734" s="141"/>
      <c r="AG734" s="141"/>
      <c r="AK734" s="141"/>
    </row>
    <row r="735" spans="2:37" s="134" customFormat="1" x14ac:dyDescent="0.2">
      <c r="B735" s="145"/>
      <c r="D735" s="145"/>
      <c r="U735" s="141"/>
      <c r="Y735" s="140"/>
      <c r="AC735" s="141"/>
      <c r="AG735" s="141"/>
      <c r="AK735" s="141"/>
    </row>
    <row r="736" spans="2:37" s="134" customFormat="1" x14ac:dyDescent="0.2">
      <c r="B736" s="145"/>
      <c r="D736" s="145"/>
      <c r="U736" s="141"/>
      <c r="Y736" s="140"/>
      <c r="AC736" s="141"/>
      <c r="AG736" s="141"/>
      <c r="AK736" s="141"/>
    </row>
    <row r="737" spans="2:37" s="134" customFormat="1" x14ac:dyDescent="0.2">
      <c r="B737" s="145"/>
      <c r="D737" s="145"/>
      <c r="U737" s="141"/>
      <c r="Y737" s="140"/>
      <c r="AC737" s="141"/>
      <c r="AG737" s="141"/>
      <c r="AK737" s="141"/>
    </row>
    <row r="738" spans="2:37" s="134" customFormat="1" x14ac:dyDescent="0.2">
      <c r="B738" s="145"/>
      <c r="D738" s="145"/>
      <c r="U738" s="141"/>
      <c r="Y738" s="140"/>
      <c r="AC738" s="141"/>
      <c r="AG738" s="141"/>
      <c r="AK738" s="141"/>
    </row>
    <row r="739" spans="2:37" s="134" customFormat="1" x14ac:dyDescent="0.2">
      <c r="B739" s="145"/>
      <c r="D739" s="145"/>
      <c r="U739" s="141"/>
      <c r="Y739" s="140"/>
      <c r="AC739" s="141"/>
      <c r="AG739" s="141"/>
      <c r="AK739" s="141"/>
    </row>
    <row r="740" spans="2:37" s="134" customFormat="1" x14ac:dyDescent="0.2">
      <c r="B740" s="145"/>
      <c r="D740" s="145"/>
      <c r="U740" s="141"/>
      <c r="Y740" s="140"/>
      <c r="AC740" s="141"/>
      <c r="AG740" s="141"/>
      <c r="AK740" s="141"/>
    </row>
    <row r="741" spans="2:37" s="134" customFormat="1" x14ac:dyDescent="0.2">
      <c r="B741" s="145"/>
      <c r="D741" s="145"/>
      <c r="U741" s="141"/>
      <c r="Y741" s="140"/>
      <c r="AC741" s="141"/>
      <c r="AG741" s="141"/>
      <c r="AK741" s="141"/>
    </row>
    <row r="742" spans="2:37" s="134" customFormat="1" x14ac:dyDescent="0.2">
      <c r="B742" s="145"/>
      <c r="D742" s="145"/>
      <c r="U742" s="141"/>
      <c r="Y742" s="140"/>
      <c r="AC742" s="141"/>
      <c r="AG742" s="141"/>
      <c r="AK742" s="141"/>
    </row>
    <row r="743" spans="2:37" s="134" customFormat="1" x14ac:dyDescent="0.2">
      <c r="B743" s="145"/>
      <c r="D743" s="145"/>
      <c r="U743" s="141"/>
      <c r="Y743" s="140"/>
      <c r="AC743" s="141"/>
      <c r="AG743" s="141"/>
      <c r="AK743" s="141"/>
    </row>
    <row r="744" spans="2:37" s="134" customFormat="1" x14ac:dyDescent="0.2">
      <c r="B744" s="145"/>
      <c r="D744" s="145"/>
      <c r="U744" s="141"/>
      <c r="Y744" s="140"/>
      <c r="AC744" s="141"/>
      <c r="AG744" s="141"/>
      <c r="AK744" s="141"/>
    </row>
    <row r="745" spans="2:37" s="134" customFormat="1" x14ac:dyDescent="0.2">
      <c r="B745" s="145"/>
      <c r="D745" s="145"/>
      <c r="U745" s="141"/>
      <c r="Y745" s="140"/>
      <c r="AC745" s="141"/>
      <c r="AG745" s="141"/>
      <c r="AK745" s="141"/>
    </row>
    <row r="746" spans="2:37" s="134" customFormat="1" x14ac:dyDescent="0.2">
      <c r="B746" s="145"/>
      <c r="D746" s="145"/>
      <c r="U746" s="141"/>
      <c r="Y746" s="140"/>
      <c r="AC746" s="141"/>
      <c r="AG746" s="141"/>
      <c r="AK746" s="141"/>
    </row>
    <row r="747" spans="2:37" s="134" customFormat="1" x14ac:dyDescent="0.2">
      <c r="B747" s="145"/>
      <c r="D747" s="145"/>
      <c r="U747" s="141"/>
      <c r="Y747" s="140"/>
      <c r="AC747" s="141"/>
      <c r="AG747" s="141"/>
      <c r="AK747" s="141"/>
    </row>
    <row r="748" spans="2:37" s="134" customFormat="1" x14ac:dyDescent="0.2">
      <c r="B748" s="145"/>
      <c r="D748" s="145"/>
      <c r="U748" s="141"/>
      <c r="Y748" s="140"/>
      <c r="AC748" s="141"/>
      <c r="AG748" s="141"/>
      <c r="AK748" s="141"/>
    </row>
    <row r="749" spans="2:37" s="134" customFormat="1" x14ac:dyDescent="0.2">
      <c r="B749" s="145"/>
      <c r="D749" s="145"/>
      <c r="U749" s="141"/>
      <c r="Y749" s="140"/>
      <c r="AC749" s="141"/>
      <c r="AG749" s="141"/>
      <c r="AK749" s="141"/>
    </row>
    <row r="750" spans="2:37" s="134" customFormat="1" x14ac:dyDescent="0.2">
      <c r="B750" s="145"/>
      <c r="D750" s="145"/>
      <c r="U750" s="141"/>
      <c r="Y750" s="140"/>
      <c r="AC750" s="141"/>
      <c r="AG750" s="141"/>
      <c r="AK750" s="141"/>
    </row>
    <row r="751" spans="2:37" s="134" customFormat="1" x14ac:dyDescent="0.2">
      <c r="B751" s="145"/>
      <c r="D751" s="145"/>
      <c r="U751" s="141"/>
      <c r="Y751" s="140"/>
      <c r="AC751" s="141"/>
      <c r="AG751" s="141"/>
      <c r="AK751" s="141"/>
    </row>
    <row r="752" spans="2:37" s="134" customFormat="1" x14ac:dyDescent="0.2">
      <c r="B752" s="145"/>
      <c r="D752" s="145"/>
      <c r="U752" s="141"/>
      <c r="Y752" s="140"/>
      <c r="AC752" s="141"/>
      <c r="AG752" s="141"/>
      <c r="AK752" s="141"/>
    </row>
    <row r="753" spans="2:37" s="134" customFormat="1" x14ac:dyDescent="0.2">
      <c r="B753" s="145"/>
      <c r="D753" s="145"/>
      <c r="U753" s="141"/>
      <c r="Y753" s="140"/>
      <c r="AC753" s="141"/>
      <c r="AG753" s="141"/>
      <c r="AK753" s="141"/>
    </row>
    <row r="754" spans="2:37" s="134" customFormat="1" x14ac:dyDescent="0.2">
      <c r="B754" s="145"/>
      <c r="D754" s="145"/>
      <c r="U754" s="141"/>
      <c r="Y754" s="140"/>
      <c r="AC754" s="141"/>
      <c r="AG754" s="141"/>
      <c r="AK754" s="141"/>
    </row>
    <row r="755" spans="2:37" s="134" customFormat="1" x14ac:dyDescent="0.2">
      <c r="B755" s="145"/>
      <c r="D755" s="145"/>
      <c r="U755" s="141"/>
      <c r="Y755" s="140"/>
      <c r="AC755" s="141"/>
      <c r="AG755" s="141"/>
      <c r="AK755" s="141"/>
    </row>
    <row r="756" spans="2:37" s="134" customFormat="1" x14ac:dyDescent="0.2">
      <c r="B756" s="145"/>
      <c r="D756" s="145"/>
      <c r="U756" s="141"/>
      <c r="Y756" s="140"/>
      <c r="AC756" s="141"/>
      <c r="AG756" s="141"/>
      <c r="AK756" s="141"/>
    </row>
    <row r="757" spans="2:37" s="134" customFormat="1" x14ac:dyDescent="0.2">
      <c r="B757" s="145"/>
      <c r="D757" s="145"/>
      <c r="U757" s="141"/>
      <c r="Y757" s="140"/>
      <c r="AC757" s="141"/>
      <c r="AG757" s="141"/>
      <c r="AK757" s="141"/>
    </row>
    <row r="758" spans="2:37" s="134" customFormat="1" x14ac:dyDescent="0.2">
      <c r="B758" s="145"/>
      <c r="D758" s="145"/>
      <c r="U758" s="141"/>
      <c r="Y758" s="140"/>
      <c r="AC758" s="141"/>
      <c r="AG758" s="141"/>
      <c r="AK758" s="141"/>
    </row>
    <row r="759" spans="2:37" s="134" customFormat="1" x14ac:dyDescent="0.2">
      <c r="B759" s="145"/>
      <c r="D759" s="145"/>
      <c r="U759" s="141"/>
      <c r="Y759" s="140"/>
      <c r="AC759" s="141"/>
      <c r="AG759" s="141"/>
      <c r="AK759" s="141"/>
    </row>
    <row r="760" spans="2:37" s="134" customFormat="1" x14ac:dyDescent="0.2">
      <c r="B760" s="145"/>
      <c r="D760" s="145"/>
      <c r="U760" s="141"/>
      <c r="Y760" s="140"/>
      <c r="AC760" s="141"/>
      <c r="AG760" s="141"/>
      <c r="AK760" s="141"/>
    </row>
    <row r="761" spans="2:37" s="134" customFormat="1" x14ac:dyDescent="0.2">
      <c r="B761" s="145"/>
      <c r="D761" s="145"/>
      <c r="U761" s="141"/>
      <c r="Y761" s="140"/>
      <c r="AC761" s="141"/>
      <c r="AG761" s="141"/>
      <c r="AK761" s="141"/>
    </row>
    <row r="762" spans="2:37" s="134" customFormat="1" x14ac:dyDescent="0.2">
      <c r="B762" s="145"/>
      <c r="D762" s="145"/>
      <c r="U762" s="141"/>
      <c r="Y762" s="140"/>
      <c r="AC762" s="141"/>
      <c r="AG762" s="141"/>
      <c r="AK762" s="141"/>
    </row>
    <row r="763" spans="2:37" s="134" customFormat="1" x14ac:dyDescent="0.2">
      <c r="B763" s="145"/>
      <c r="D763" s="145"/>
      <c r="U763" s="141"/>
      <c r="Y763" s="140"/>
      <c r="AC763" s="141"/>
      <c r="AG763" s="141"/>
      <c r="AK763" s="141"/>
    </row>
    <row r="764" spans="2:37" s="134" customFormat="1" x14ac:dyDescent="0.2">
      <c r="B764" s="145"/>
      <c r="D764" s="145"/>
      <c r="U764" s="141"/>
      <c r="Y764" s="140"/>
      <c r="AC764" s="141"/>
      <c r="AG764" s="141"/>
      <c r="AK764" s="141"/>
    </row>
    <row r="765" spans="2:37" s="134" customFormat="1" x14ac:dyDescent="0.2">
      <c r="B765" s="145"/>
      <c r="D765" s="145"/>
      <c r="U765" s="141"/>
      <c r="Y765" s="140"/>
      <c r="AC765" s="141"/>
      <c r="AG765" s="141"/>
      <c r="AK765" s="141"/>
    </row>
    <row r="766" spans="2:37" s="134" customFormat="1" x14ac:dyDescent="0.2">
      <c r="B766" s="145"/>
      <c r="D766" s="145"/>
      <c r="U766" s="141"/>
      <c r="Y766" s="140"/>
      <c r="AC766" s="141"/>
      <c r="AG766" s="141"/>
      <c r="AK766" s="141"/>
    </row>
    <row r="767" spans="2:37" s="134" customFormat="1" x14ac:dyDescent="0.2">
      <c r="B767" s="145"/>
      <c r="D767" s="145"/>
      <c r="U767" s="141"/>
      <c r="Y767" s="140"/>
      <c r="AC767" s="141"/>
      <c r="AG767" s="141"/>
      <c r="AK767" s="141"/>
    </row>
    <row r="768" spans="2:37" s="134" customFormat="1" x14ac:dyDescent="0.2">
      <c r="B768" s="145"/>
      <c r="D768" s="145"/>
      <c r="U768" s="141"/>
      <c r="Y768" s="140"/>
      <c r="AC768" s="141"/>
      <c r="AG768" s="141"/>
      <c r="AK768" s="141"/>
    </row>
    <row r="769" spans="2:37" s="134" customFormat="1" x14ac:dyDescent="0.2">
      <c r="B769" s="145"/>
      <c r="D769" s="145"/>
      <c r="U769" s="141"/>
      <c r="Y769" s="140"/>
      <c r="AC769" s="141"/>
      <c r="AG769" s="141"/>
      <c r="AK769" s="141"/>
    </row>
    <row r="770" spans="2:37" s="134" customFormat="1" x14ac:dyDescent="0.2">
      <c r="B770" s="145"/>
      <c r="D770" s="145"/>
      <c r="U770" s="141"/>
      <c r="Y770" s="140"/>
      <c r="AC770" s="141"/>
      <c r="AG770" s="141"/>
      <c r="AK770" s="141"/>
    </row>
    <row r="771" spans="2:37" s="134" customFormat="1" x14ac:dyDescent="0.2">
      <c r="B771" s="145"/>
      <c r="D771" s="145"/>
      <c r="U771" s="141"/>
      <c r="Y771" s="140"/>
      <c r="AC771" s="141"/>
      <c r="AG771" s="141"/>
      <c r="AK771" s="141"/>
    </row>
    <row r="772" spans="2:37" s="134" customFormat="1" x14ac:dyDescent="0.2">
      <c r="B772" s="145"/>
      <c r="D772" s="145"/>
      <c r="U772" s="141"/>
      <c r="Y772" s="140"/>
      <c r="AC772" s="141"/>
      <c r="AG772" s="141"/>
      <c r="AK772" s="141"/>
    </row>
    <row r="773" spans="2:37" s="134" customFormat="1" x14ac:dyDescent="0.2">
      <c r="B773" s="145"/>
      <c r="D773" s="145"/>
      <c r="U773" s="141"/>
      <c r="Y773" s="140"/>
      <c r="AC773" s="141"/>
      <c r="AG773" s="141"/>
      <c r="AK773" s="141"/>
    </row>
    <row r="774" spans="2:37" s="134" customFormat="1" x14ac:dyDescent="0.2">
      <c r="B774" s="145"/>
      <c r="D774" s="145"/>
      <c r="U774" s="141"/>
      <c r="Y774" s="140"/>
      <c r="AC774" s="141"/>
      <c r="AG774" s="141"/>
      <c r="AK774" s="141"/>
    </row>
    <row r="775" spans="2:37" s="134" customFormat="1" x14ac:dyDescent="0.2">
      <c r="B775" s="145"/>
      <c r="D775" s="145"/>
      <c r="U775" s="141"/>
      <c r="Y775" s="140"/>
      <c r="AC775" s="141"/>
      <c r="AG775" s="141"/>
      <c r="AK775" s="141"/>
    </row>
    <row r="776" spans="2:37" s="134" customFormat="1" x14ac:dyDescent="0.2">
      <c r="B776" s="145"/>
      <c r="D776" s="145"/>
      <c r="U776" s="141"/>
      <c r="Y776" s="140"/>
      <c r="AC776" s="141"/>
      <c r="AG776" s="141"/>
      <c r="AK776" s="141"/>
    </row>
    <row r="777" spans="2:37" s="134" customFormat="1" x14ac:dyDescent="0.2">
      <c r="B777" s="145"/>
      <c r="D777" s="145"/>
      <c r="U777" s="141"/>
      <c r="Y777" s="140"/>
      <c r="AC777" s="141"/>
      <c r="AG777" s="141"/>
      <c r="AK777" s="141"/>
    </row>
    <row r="778" spans="2:37" s="134" customFormat="1" x14ac:dyDescent="0.2">
      <c r="B778" s="145"/>
      <c r="D778" s="145"/>
      <c r="U778" s="141"/>
      <c r="Y778" s="140"/>
      <c r="AC778" s="141"/>
      <c r="AG778" s="141"/>
      <c r="AK778" s="141"/>
    </row>
    <row r="779" spans="2:37" s="134" customFormat="1" x14ac:dyDescent="0.2">
      <c r="B779" s="145"/>
      <c r="D779" s="145"/>
      <c r="U779" s="141"/>
      <c r="Y779" s="140"/>
      <c r="AC779" s="141"/>
      <c r="AG779" s="141"/>
      <c r="AK779" s="141"/>
    </row>
    <row r="780" spans="2:37" s="134" customFormat="1" x14ac:dyDescent="0.2">
      <c r="B780" s="145"/>
      <c r="D780" s="145"/>
      <c r="U780" s="141"/>
      <c r="Y780" s="140"/>
      <c r="AC780" s="141"/>
      <c r="AG780" s="141"/>
      <c r="AK780" s="141"/>
    </row>
    <row r="781" spans="2:37" s="134" customFormat="1" x14ac:dyDescent="0.2">
      <c r="B781" s="145"/>
      <c r="D781" s="145"/>
      <c r="U781" s="141"/>
      <c r="Y781" s="140"/>
      <c r="AC781" s="141"/>
      <c r="AG781" s="141"/>
      <c r="AK781" s="141"/>
    </row>
    <row r="782" spans="2:37" s="134" customFormat="1" x14ac:dyDescent="0.2">
      <c r="B782" s="145"/>
      <c r="D782" s="145"/>
      <c r="U782" s="141"/>
      <c r="Y782" s="140"/>
      <c r="AC782" s="141"/>
      <c r="AG782" s="141"/>
      <c r="AK782" s="141"/>
    </row>
    <row r="783" spans="2:37" s="134" customFormat="1" x14ac:dyDescent="0.2">
      <c r="B783" s="145"/>
      <c r="D783" s="145"/>
      <c r="U783" s="141"/>
      <c r="Y783" s="140"/>
      <c r="AC783" s="141"/>
      <c r="AG783" s="141"/>
      <c r="AK783" s="141"/>
    </row>
    <row r="784" spans="2:37" s="134" customFormat="1" x14ac:dyDescent="0.2">
      <c r="B784" s="145"/>
      <c r="D784" s="145"/>
      <c r="U784" s="141"/>
      <c r="Y784" s="140"/>
      <c r="AC784" s="141"/>
      <c r="AG784" s="141"/>
      <c r="AK784" s="141"/>
    </row>
    <row r="785" spans="2:37" s="134" customFormat="1" x14ac:dyDescent="0.2">
      <c r="B785" s="145"/>
      <c r="D785" s="145"/>
      <c r="U785" s="141"/>
      <c r="Y785" s="140"/>
      <c r="AC785" s="141"/>
      <c r="AG785" s="141"/>
      <c r="AK785" s="141"/>
    </row>
    <row r="786" spans="2:37" s="134" customFormat="1" x14ac:dyDescent="0.2">
      <c r="B786" s="145"/>
      <c r="D786" s="145"/>
      <c r="U786" s="141"/>
      <c r="Y786" s="140"/>
      <c r="AC786" s="141"/>
      <c r="AG786" s="141"/>
      <c r="AK786" s="141"/>
    </row>
    <row r="787" spans="2:37" s="134" customFormat="1" x14ac:dyDescent="0.2">
      <c r="B787" s="145"/>
      <c r="D787" s="145"/>
      <c r="U787" s="141"/>
      <c r="Y787" s="140"/>
      <c r="AC787" s="141"/>
      <c r="AG787" s="141"/>
      <c r="AK787" s="141"/>
    </row>
    <row r="788" spans="2:37" s="134" customFormat="1" x14ac:dyDescent="0.2">
      <c r="B788" s="145"/>
      <c r="D788" s="145"/>
      <c r="U788" s="141"/>
      <c r="Y788" s="140"/>
      <c r="AC788" s="141"/>
      <c r="AG788" s="141"/>
      <c r="AK788" s="141"/>
    </row>
    <row r="789" spans="2:37" s="134" customFormat="1" x14ac:dyDescent="0.2">
      <c r="B789" s="145"/>
      <c r="D789" s="145"/>
      <c r="U789" s="141"/>
      <c r="Y789" s="140"/>
      <c r="AC789" s="141"/>
      <c r="AG789" s="141"/>
      <c r="AK789" s="141"/>
    </row>
    <row r="790" spans="2:37" s="134" customFormat="1" x14ac:dyDescent="0.2">
      <c r="B790" s="145"/>
      <c r="D790" s="145"/>
      <c r="U790" s="141"/>
      <c r="Y790" s="140"/>
      <c r="AC790" s="141"/>
      <c r="AG790" s="141"/>
      <c r="AK790" s="141"/>
    </row>
    <row r="791" spans="2:37" s="134" customFormat="1" x14ac:dyDescent="0.2">
      <c r="B791" s="145"/>
      <c r="D791" s="145"/>
      <c r="U791" s="141"/>
      <c r="Y791" s="140"/>
      <c r="AC791" s="141"/>
      <c r="AG791" s="141"/>
      <c r="AK791" s="141"/>
    </row>
    <row r="792" spans="2:37" s="134" customFormat="1" x14ac:dyDescent="0.2">
      <c r="B792" s="145"/>
      <c r="D792" s="145"/>
      <c r="U792" s="141"/>
      <c r="Y792" s="140"/>
      <c r="AC792" s="141"/>
      <c r="AG792" s="141"/>
      <c r="AK792" s="141"/>
    </row>
    <row r="793" spans="2:37" s="134" customFormat="1" x14ac:dyDescent="0.2">
      <c r="B793" s="145"/>
      <c r="D793" s="145"/>
      <c r="U793" s="141"/>
      <c r="Y793" s="140"/>
      <c r="AC793" s="141"/>
      <c r="AG793" s="141"/>
      <c r="AK793" s="141"/>
    </row>
    <row r="794" spans="2:37" s="134" customFormat="1" x14ac:dyDescent="0.2">
      <c r="B794" s="145"/>
      <c r="D794" s="145"/>
      <c r="U794" s="141"/>
      <c r="Y794" s="140"/>
      <c r="AC794" s="141"/>
      <c r="AG794" s="141"/>
      <c r="AK794" s="141"/>
    </row>
    <row r="795" spans="2:37" s="134" customFormat="1" x14ac:dyDescent="0.2">
      <c r="B795" s="145"/>
      <c r="D795" s="145"/>
      <c r="U795" s="141"/>
      <c r="Y795" s="140"/>
      <c r="AC795" s="141"/>
      <c r="AG795" s="141"/>
      <c r="AK795" s="141"/>
    </row>
    <row r="796" spans="2:37" s="134" customFormat="1" x14ac:dyDescent="0.2">
      <c r="B796" s="145"/>
      <c r="D796" s="145"/>
      <c r="U796" s="141"/>
      <c r="Y796" s="140"/>
      <c r="AC796" s="141"/>
      <c r="AG796" s="141"/>
      <c r="AK796" s="141"/>
    </row>
    <row r="797" spans="2:37" s="134" customFormat="1" x14ac:dyDescent="0.2">
      <c r="B797" s="145"/>
      <c r="D797" s="145"/>
      <c r="U797" s="141"/>
      <c r="Y797" s="140"/>
      <c r="AC797" s="141"/>
      <c r="AG797" s="141"/>
      <c r="AK797" s="141"/>
    </row>
    <row r="798" spans="2:37" s="134" customFormat="1" x14ac:dyDescent="0.2">
      <c r="B798" s="145"/>
      <c r="D798" s="145"/>
      <c r="U798" s="141"/>
      <c r="Y798" s="140"/>
      <c r="AC798" s="141"/>
      <c r="AG798" s="141"/>
      <c r="AK798" s="141"/>
    </row>
    <row r="799" spans="2:37" s="134" customFormat="1" x14ac:dyDescent="0.2">
      <c r="B799" s="145"/>
      <c r="D799" s="145"/>
      <c r="U799" s="141"/>
      <c r="Y799" s="140"/>
      <c r="AC799" s="141"/>
      <c r="AG799" s="141"/>
      <c r="AK799" s="141"/>
    </row>
    <row r="800" spans="2:37" s="134" customFormat="1" x14ac:dyDescent="0.2">
      <c r="B800" s="145"/>
      <c r="D800" s="145"/>
      <c r="U800" s="141"/>
      <c r="Y800" s="140"/>
      <c r="AC800" s="141"/>
      <c r="AG800" s="141"/>
      <c r="AK800" s="141"/>
    </row>
    <row r="801" spans="2:37" s="134" customFormat="1" x14ac:dyDescent="0.2">
      <c r="B801" s="145"/>
      <c r="D801" s="145"/>
      <c r="U801" s="141"/>
      <c r="Y801" s="140"/>
      <c r="AC801" s="141"/>
      <c r="AG801" s="141"/>
      <c r="AK801" s="141"/>
    </row>
    <row r="802" spans="2:37" s="134" customFormat="1" x14ac:dyDescent="0.2">
      <c r="B802" s="145"/>
      <c r="D802" s="145"/>
      <c r="U802" s="141"/>
      <c r="Y802" s="140"/>
      <c r="AC802" s="141"/>
      <c r="AG802" s="141"/>
      <c r="AK802" s="141"/>
    </row>
    <row r="803" spans="2:37" s="134" customFormat="1" x14ac:dyDescent="0.2">
      <c r="B803" s="145"/>
      <c r="D803" s="145"/>
      <c r="U803" s="141"/>
      <c r="Y803" s="140"/>
      <c r="AC803" s="141"/>
      <c r="AG803" s="141"/>
      <c r="AK803" s="141"/>
    </row>
    <row r="804" spans="2:37" s="134" customFormat="1" x14ac:dyDescent="0.2">
      <c r="B804" s="145"/>
      <c r="D804" s="145"/>
      <c r="U804" s="141"/>
      <c r="Y804" s="140"/>
      <c r="AC804" s="141"/>
      <c r="AG804" s="141"/>
      <c r="AK804" s="141"/>
    </row>
    <row r="805" spans="2:37" s="134" customFormat="1" x14ac:dyDescent="0.2">
      <c r="B805" s="145"/>
      <c r="D805" s="145"/>
      <c r="U805" s="141"/>
      <c r="Y805" s="140"/>
      <c r="AC805" s="141"/>
      <c r="AG805" s="141"/>
      <c r="AK805" s="141"/>
    </row>
    <row r="806" spans="2:37" s="134" customFormat="1" x14ac:dyDescent="0.2">
      <c r="B806" s="145"/>
      <c r="D806" s="145"/>
      <c r="U806" s="141"/>
      <c r="Y806" s="140"/>
      <c r="AC806" s="141"/>
      <c r="AG806" s="141"/>
      <c r="AK806" s="141"/>
    </row>
    <row r="807" spans="2:37" s="134" customFormat="1" x14ac:dyDescent="0.2">
      <c r="B807" s="145"/>
      <c r="D807" s="145"/>
      <c r="U807" s="141"/>
      <c r="Y807" s="140"/>
      <c r="AC807" s="141"/>
      <c r="AG807" s="141"/>
      <c r="AK807" s="141"/>
    </row>
    <row r="808" spans="2:37" s="134" customFormat="1" x14ac:dyDescent="0.2">
      <c r="B808" s="145"/>
      <c r="D808" s="145"/>
      <c r="U808" s="141"/>
      <c r="Y808" s="140"/>
      <c r="AC808" s="141"/>
      <c r="AG808" s="141"/>
      <c r="AK808" s="141"/>
    </row>
    <row r="809" spans="2:37" s="134" customFormat="1" x14ac:dyDescent="0.2">
      <c r="B809" s="145"/>
      <c r="D809" s="145"/>
      <c r="U809" s="141"/>
      <c r="Y809" s="140"/>
      <c r="AC809" s="141"/>
      <c r="AG809" s="141"/>
      <c r="AK809" s="141"/>
    </row>
    <row r="810" spans="2:37" s="134" customFormat="1" x14ac:dyDescent="0.2">
      <c r="B810" s="145"/>
      <c r="D810" s="145"/>
      <c r="U810" s="141"/>
      <c r="Y810" s="140"/>
      <c r="AC810" s="141"/>
      <c r="AG810" s="141"/>
      <c r="AK810" s="141"/>
    </row>
    <row r="811" spans="2:37" s="134" customFormat="1" x14ac:dyDescent="0.2">
      <c r="B811" s="145"/>
      <c r="D811" s="145"/>
      <c r="U811" s="141"/>
      <c r="Y811" s="140"/>
      <c r="AC811" s="141"/>
      <c r="AG811" s="141"/>
      <c r="AK811" s="141"/>
    </row>
    <row r="812" spans="2:37" s="134" customFormat="1" x14ac:dyDescent="0.2">
      <c r="B812" s="145"/>
      <c r="D812" s="145"/>
      <c r="U812" s="141"/>
      <c r="Y812" s="140"/>
      <c r="AC812" s="141"/>
      <c r="AG812" s="141"/>
      <c r="AK812" s="141"/>
    </row>
    <row r="813" spans="2:37" s="134" customFormat="1" x14ac:dyDescent="0.2">
      <c r="B813" s="145"/>
      <c r="D813" s="145"/>
      <c r="U813" s="141"/>
      <c r="Y813" s="140"/>
      <c r="AC813" s="141"/>
      <c r="AG813" s="141"/>
      <c r="AK813" s="141"/>
    </row>
    <row r="814" spans="2:37" s="134" customFormat="1" x14ac:dyDescent="0.2">
      <c r="B814" s="145"/>
      <c r="D814" s="145"/>
      <c r="U814" s="141"/>
      <c r="Y814" s="140"/>
      <c r="AC814" s="141"/>
      <c r="AG814" s="141"/>
      <c r="AK814" s="141"/>
    </row>
    <row r="815" spans="2:37" s="134" customFormat="1" x14ac:dyDescent="0.2">
      <c r="B815" s="145"/>
      <c r="D815" s="145"/>
      <c r="U815" s="141"/>
      <c r="Y815" s="140"/>
      <c r="AC815" s="141"/>
      <c r="AG815" s="141"/>
      <c r="AK815" s="141"/>
    </row>
    <row r="816" spans="2:37" s="134" customFormat="1" x14ac:dyDescent="0.2">
      <c r="B816" s="145"/>
      <c r="D816" s="145"/>
      <c r="U816" s="141"/>
      <c r="Y816" s="140"/>
      <c r="AC816" s="141"/>
      <c r="AG816" s="141"/>
      <c r="AK816" s="141"/>
    </row>
    <row r="817" spans="2:37" s="134" customFormat="1" x14ac:dyDescent="0.2">
      <c r="B817" s="145"/>
      <c r="D817" s="145"/>
      <c r="U817" s="141"/>
      <c r="Y817" s="140"/>
      <c r="AC817" s="141"/>
      <c r="AG817" s="141"/>
      <c r="AK817" s="141"/>
    </row>
    <row r="818" spans="2:37" s="134" customFormat="1" x14ac:dyDescent="0.2">
      <c r="B818" s="145"/>
      <c r="D818" s="145"/>
      <c r="U818" s="141"/>
      <c r="Y818" s="140"/>
      <c r="AC818" s="141"/>
      <c r="AG818" s="141"/>
      <c r="AK818" s="141"/>
    </row>
    <row r="819" spans="2:37" s="134" customFormat="1" x14ac:dyDescent="0.2">
      <c r="B819" s="145"/>
      <c r="D819" s="145"/>
      <c r="U819" s="141"/>
      <c r="Y819" s="140"/>
      <c r="AC819" s="141"/>
      <c r="AG819" s="141"/>
      <c r="AK819" s="141"/>
    </row>
    <row r="820" spans="2:37" s="134" customFormat="1" x14ac:dyDescent="0.2">
      <c r="B820" s="145"/>
      <c r="D820" s="145"/>
      <c r="U820" s="141"/>
      <c r="Y820" s="140"/>
      <c r="AC820" s="141"/>
      <c r="AG820" s="141"/>
      <c r="AK820" s="141"/>
    </row>
    <row r="821" spans="2:37" s="134" customFormat="1" x14ac:dyDescent="0.2">
      <c r="B821" s="145"/>
      <c r="D821" s="145"/>
      <c r="U821" s="141"/>
      <c r="Y821" s="140"/>
      <c r="AC821" s="141"/>
      <c r="AG821" s="141"/>
      <c r="AK821" s="141"/>
    </row>
    <row r="822" spans="2:37" s="134" customFormat="1" x14ac:dyDescent="0.2">
      <c r="B822" s="145"/>
      <c r="D822" s="145"/>
      <c r="U822" s="141"/>
      <c r="Y822" s="140"/>
      <c r="AC822" s="141"/>
      <c r="AG822" s="141"/>
      <c r="AK822" s="141"/>
    </row>
    <row r="823" spans="2:37" s="134" customFormat="1" x14ac:dyDescent="0.2">
      <c r="B823" s="145"/>
      <c r="D823" s="145"/>
      <c r="U823" s="141"/>
      <c r="Y823" s="140"/>
      <c r="AC823" s="141"/>
      <c r="AG823" s="141"/>
      <c r="AK823" s="141"/>
    </row>
    <row r="824" spans="2:37" s="134" customFormat="1" x14ac:dyDescent="0.2">
      <c r="B824" s="145"/>
      <c r="D824" s="145"/>
      <c r="U824" s="141"/>
      <c r="Y824" s="140"/>
      <c r="AC824" s="141"/>
      <c r="AG824" s="141"/>
      <c r="AK824" s="141"/>
    </row>
    <row r="825" spans="2:37" s="134" customFormat="1" x14ac:dyDescent="0.2">
      <c r="B825" s="145"/>
      <c r="D825" s="145"/>
      <c r="U825" s="141"/>
      <c r="Y825" s="140"/>
      <c r="AC825" s="141"/>
      <c r="AG825" s="141"/>
      <c r="AK825" s="141"/>
    </row>
    <row r="826" spans="2:37" s="134" customFormat="1" x14ac:dyDescent="0.2">
      <c r="B826" s="145"/>
      <c r="D826" s="145"/>
      <c r="U826" s="141"/>
      <c r="Y826" s="140"/>
      <c r="AC826" s="141"/>
      <c r="AG826" s="141"/>
      <c r="AK826" s="141"/>
    </row>
    <row r="827" spans="2:37" s="134" customFormat="1" x14ac:dyDescent="0.2">
      <c r="B827" s="145"/>
      <c r="D827" s="145"/>
      <c r="U827" s="141"/>
      <c r="Y827" s="140"/>
      <c r="AC827" s="141"/>
      <c r="AG827" s="141"/>
      <c r="AK827" s="141"/>
    </row>
    <row r="828" spans="2:37" s="134" customFormat="1" x14ac:dyDescent="0.2">
      <c r="B828" s="145"/>
      <c r="D828" s="145"/>
      <c r="U828" s="141"/>
      <c r="Y828" s="140"/>
      <c r="AC828" s="141"/>
      <c r="AG828" s="141"/>
      <c r="AK828" s="141"/>
    </row>
    <row r="829" spans="2:37" s="134" customFormat="1" x14ac:dyDescent="0.2">
      <c r="B829" s="145"/>
      <c r="D829" s="145"/>
      <c r="U829" s="141"/>
      <c r="Y829" s="140"/>
      <c r="AC829" s="141"/>
      <c r="AG829" s="141"/>
      <c r="AK829" s="141"/>
    </row>
    <row r="830" spans="2:37" s="134" customFormat="1" x14ac:dyDescent="0.2">
      <c r="B830" s="145"/>
      <c r="D830" s="145"/>
      <c r="U830" s="141"/>
      <c r="Y830" s="140"/>
      <c r="AC830" s="141"/>
      <c r="AG830" s="141"/>
      <c r="AK830" s="141"/>
    </row>
    <row r="831" spans="2:37" s="134" customFormat="1" x14ac:dyDescent="0.2">
      <c r="B831" s="145"/>
      <c r="D831" s="145"/>
      <c r="U831" s="141"/>
      <c r="Y831" s="140"/>
      <c r="AC831" s="141"/>
      <c r="AG831" s="141"/>
      <c r="AK831" s="141"/>
    </row>
    <row r="832" spans="2:37" s="134" customFormat="1" x14ac:dyDescent="0.2">
      <c r="B832" s="145"/>
      <c r="D832" s="145"/>
      <c r="U832" s="141"/>
      <c r="Y832" s="140"/>
      <c r="AC832" s="141"/>
      <c r="AG832" s="141"/>
      <c r="AK832" s="141"/>
    </row>
    <row r="833" spans="2:37" s="134" customFormat="1" x14ac:dyDescent="0.2">
      <c r="B833" s="145"/>
      <c r="D833" s="145"/>
      <c r="U833" s="141"/>
      <c r="Y833" s="140"/>
      <c r="AC833" s="141"/>
      <c r="AG833" s="141"/>
      <c r="AK833" s="141"/>
    </row>
    <row r="834" spans="2:37" s="134" customFormat="1" x14ac:dyDescent="0.2">
      <c r="B834" s="145"/>
      <c r="D834" s="145"/>
      <c r="U834" s="141"/>
      <c r="Y834" s="140"/>
      <c r="AC834" s="141"/>
      <c r="AG834" s="141"/>
      <c r="AK834" s="141"/>
    </row>
    <row r="835" spans="2:37" s="134" customFormat="1" x14ac:dyDescent="0.2">
      <c r="B835" s="145"/>
      <c r="D835" s="145"/>
      <c r="U835" s="141"/>
      <c r="Y835" s="140"/>
      <c r="AC835" s="141"/>
      <c r="AG835" s="141"/>
      <c r="AK835" s="141"/>
    </row>
    <row r="836" spans="2:37" s="134" customFormat="1" x14ac:dyDescent="0.2">
      <c r="B836" s="145"/>
      <c r="D836" s="145"/>
      <c r="U836" s="141"/>
      <c r="Y836" s="140"/>
      <c r="AC836" s="141"/>
      <c r="AG836" s="141"/>
      <c r="AK836" s="141"/>
    </row>
    <row r="837" spans="2:37" s="134" customFormat="1" x14ac:dyDescent="0.2">
      <c r="B837" s="145"/>
      <c r="D837" s="145"/>
      <c r="U837" s="141"/>
      <c r="Y837" s="140"/>
      <c r="AC837" s="141"/>
      <c r="AG837" s="141"/>
      <c r="AK837" s="141"/>
    </row>
    <row r="838" spans="2:37" s="134" customFormat="1" x14ac:dyDescent="0.2">
      <c r="B838" s="145"/>
      <c r="D838" s="145"/>
      <c r="U838" s="141"/>
      <c r="Y838" s="140"/>
      <c r="AC838" s="141"/>
      <c r="AG838" s="141"/>
      <c r="AK838" s="141"/>
    </row>
    <row r="839" spans="2:37" s="134" customFormat="1" x14ac:dyDescent="0.2">
      <c r="B839" s="145"/>
      <c r="D839" s="145"/>
      <c r="U839" s="141"/>
      <c r="Y839" s="140"/>
      <c r="AC839" s="141"/>
      <c r="AG839" s="141"/>
      <c r="AK839" s="141"/>
    </row>
    <row r="840" spans="2:37" s="134" customFormat="1" x14ac:dyDescent="0.2">
      <c r="B840" s="145"/>
      <c r="D840" s="145"/>
      <c r="U840" s="141"/>
      <c r="Y840" s="140"/>
      <c r="AC840" s="141"/>
      <c r="AG840" s="141"/>
      <c r="AK840" s="141"/>
    </row>
    <row r="841" spans="2:37" s="134" customFormat="1" x14ac:dyDescent="0.2">
      <c r="B841" s="145"/>
      <c r="D841" s="145"/>
      <c r="U841" s="141"/>
      <c r="Y841" s="140"/>
      <c r="AC841" s="141"/>
      <c r="AG841" s="141"/>
      <c r="AK841" s="141"/>
    </row>
    <row r="842" spans="2:37" s="134" customFormat="1" x14ac:dyDescent="0.2">
      <c r="B842" s="145"/>
      <c r="D842" s="145"/>
      <c r="U842" s="141"/>
      <c r="Y842" s="140"/>
      <c r="AC842" s="141"/>
      <c r="AG842" s="141"/>
      <c r="AK842" s="141"/>
    </row>
    <row r="843" spans="2:37" s="134" customFormat="1" x14ac:dyDescent="0.2">
      <c r="B843" s="145"/>
      <c r="D843" s="145"/>
      <c r="U843" s="141"/>
      <c r="Y843" s="140"/>
      <c r="AC843" s="141"/>
      <c r="AG843" s="141"/>
      <c r="AK843" s="141"/>
    </row>
    <row r="844" spans="2:37" s="134" customFormat="1" x14ac:dyDescent="0.2">
      <c r="B844" s="145"/>
      <c r="D844" s="145"/>
      <c r="U844" s="141"/>
      <c r="Y844" s="140"/>
      <c r="AC844" s="141"/>
      <c r="AG844" s="141"/>
      <c r="AK844" s="141"/>
    </row>
    <row r="845" spans="2:37" s="134" customFormat="1" x14ac:dyDescent="0.2">
      <c r="B845" s="145"/>
      <c r="D845" s="145"/>
      <c r="U845" s="141"/>
      <c r="Y845" s="140"/>
      <c r="AC845" s="141"/>
      <c r="AG845" s="141"/>
      <c r="AK845" s="141"/>
    </row>
    <row r="846" spans="2:37" s="134" customFormat="1" x14ac:dyDescent="0.2">
      <c r="B846" s="145"/>
      <c r="D846" s="145"/>
      <c r="U846" s="141"/>
      <c r="Y846" s="140"/>
      <c r="AC846" s="141"/>
      <c r="AG846" s="141"/>
      <c r="AK846" s="141"/>
    </row>
    <row r="847" spans="2:37" s="134" customFormat="1" x14ac:dyDescent="0.2">
      <c r="B847" s="145"/>
      <c r="D847" s="145"/>
      <c r="U847" s="141"/>
      <c r="Y847" s="140"/>
      <c r="AC847" s="141"/>
      <c r="AG847" s="141"/>
      <c r="AK847" s="141"/>
    </row>
    <row r="848" spans="2:37" s="134" customFormat="1" x14ac:dyDescent="0.2">
      <c r="B848" s="145"/>
      <c r="D848" s="145"/>
      <c r="U848" s="141"/>
      <c r="Y848" s="140"/>
      <c r="AC848" s="141"/>
      <c r="AG848" s="141"/>
      <c r="AK848" s="141"/>
    </row>
    <row r="849" spans="2:37" s="134" customFormat="1" x14ac:dyDescent="0.2">
      <c r="B849" s="145"/>
      <c r="D849" s="145"/>
      <c r="U849" s="141"/>
      <c r="Y849" s="140"/>
      <c r="AC849" s="141"/>
      <c r="AG849" s="141"/>
      <c r="AK849" s="141"/>
    </row>
    <row r="850" spans="2:37" s="134" customFormat="1" x14ac:dyDescent="0.2">
      <c r="B850" s="145"/>
      <c r="D850" s="145"/>
      <c r="U850" s="141"/>
      <c r="Y850" s="140"/>
      <c r="AC850" s="141"/>
      <c r="AG850" s="141"/>
      <c r="AK850" s="141"/>
    </row>
    <row r="851" spans="2:37" s="134" customFormat="1" x14ac:dyDescent="0.2">
      <c r="B851" s="145"/>
      <c r="D851" s="145"/>
      <c r="U851" s="141"/>
      <c r="Y851" s="140"/>
      <c r="AC851" s="141"/>
      <c r="AG851" s="141"/>
      <c r="AK851" s="141"/>
    </row>
    <row r="852" spans="2:37" s="134" customFormat="1" x14ac:dyDescent="0.2">
      <c r="B852" s="145"/>
      <c r="D852" s="145"/>
      <c r="U852" s="141"/>
      <c r="Y852" s="140"/>
      <c r="AC852" s="141"/>
      <c r="AG852" s="141"/>
      <c r="AK852" s="141"/>
    </row>
    <row r="853" spans="2:37" s="134" customFormat="1" x14ac:dyDescent="0.2">
      <c r="B853" s="145"/>
      <c r="D853" s="145"/>
      <c r="U853" s="141"/>
      <c r="Y853" s="140"/>
      <c r="AC853" s="141"/>
      <c r="AG853" s="141"/>
      <c r="AK853" s="141"/>
    </row>
    <row r="854" spans="2:37" s="134" customFormat="1" x14ac:dyDescent="0.2">
      <c r="B854" s="145"/>
      <c r="D854" s="145"/>
      <c r="U854" s="141"/>
      <c r="Y854" s="140"/>
      <c r="AC854" s="141"/>
      <c r="AG854" s="141"/>
      <c r="AK854" s="141"/>
    </row>
    <row r="855" spans="2:37" s="134" customFormat="1" x14ac:dyDescent="0.2">
      <c r="B855" s="145"/>
      <c r="D855" s="145"/>
      <c r="U855" s="141"/>
      <c r="Y855" s="140"/>
      <c r="AC855" s="141"/>
      <c r="AG855" s="141"/>
      <c r="AK855" s="141"/>
    </row>
    <row r="856" spans="2:37" s="134" customFormat="1" x14ac:dyDescent="0.2">
      <c r="B856" s="145"/>
      <c r="D856" s="145"/>
      <c r="U856" s="141"/>
      <c r="Y856" s="140"/>
      <c r="AC856" s="141"/>
      <c r="AG856" s="141"/>
      <c r="AK856" s="141"/>
    </row>
    <row r="857" spans="2:37" s="134" customFormat="1" x14ac:dyDescent="0.2">
      <c r="B857" s="145"/>
      <c r="D857" s="145"/>
      <c r="U857" s="141"/>
      <c r="Y857" s="140"/>
      <c r="AC857" s="141"/>
      <c r="AG857" s="141"/>
      <c r="AK857" s="141"/>
    </row>
    <row r="858" spans="2:37" s="134" customFormat="1" x14ac:dyDescent="0.2">
      <c r="B858" s="145"/>
      <c r="D858" s="145"/>
      <c r="U858" s="141"/>
      <c r="Y858" s="140"/>
      <c r="AC858" s="141"/>
      <c r="AG858" s="141"/>
      <c r="AK858" s="141"/>
    </row>
    <row r="859" spans="2:37" s="134" customFormat="1" x14ac:dyDescent="0.2">
      <c r="B859" s="145"/>
      <c r="D859" s="145"/>
      <c r="U859" s="141"/>
      <c r="Y859" s="140"/>
      <c r="AC859" s="141"/>
      <c r="AG859" s="141"/>
      <c r="AK859" s="141"/>
    </row>
    <row r="860" spans="2:37" s="134" customFormat="1" x14ac:dyDescent="0.2">
      <c r="B860" s="145"/>
      <c r="D860" s="145"/>
      <c r="U860" s="141"/>
      <c r="Y860" s="140"/>
      <c r="AC860" s="141"/>
      <c r="AG860" s="141"/>
      <c r="AK860" s="141"/>
    </row>
    <row r="861" spans="2:37" s="134" customFormat="1" x14ac:dyDescent="0.2">
      <c r="B861" s="145"/>
      <c r="D861" s="145"/>
      <c r="U861" s="141"/>
      <c r="Y861" s="140"/>
      <c r="AC861" s="141"/>
      <c r="AG861" s="141"/>
      <c r="AK861" s="141"/>
    </row>
    <row r="862" spans="2:37" s="134" customFormat="1" x14ac:dyDescent="0.2">
      <c r="B862" s="145"/>
      <c r="D862" s="145"/>
      <c r="U862" s="141"/>
      <c r="Y862" s="140"/>
      <c r="AC862" s="141"/>
      <c r="AG862" s="141"/>
      <c r="AK862" s="141"/>
    </row>
    <row r="863" spans="2:37" s="134" customFormat="1" x14ac:dyDescent="0.2">
      <c r="B863" s="145"/>
      <c r="D863" s="145"/>
      <c r="U863" s="141"/>
      <c r="Y863" s="140"/>
      <c r="AC863" s="141"/>
      <c r="AG863" s="141"/>
      <c r="AK863" s="141"/>
    </row>
    <row r="864" spans="2:37" s="134" customFormat="1" x14ac:dyDescent="0.2">
      <c r="B864" s="145"/>
      <c r="D864" s="145"/>
      <c r="U864" s="141"/>
      <c r="Y864" s="140"/>
      <c r="AC864" s="141"/>
      <c r="AG864" s="141"/>
      <c r="AK864" s="141"/>
    </row>
    <row r="865" spans="2:37" s="134" customFormat="1" x14ac:dyDescent="0.2">
      <c r="B865" s="145"/>
      <c r="D865" s="145"/>
      <c r="U865" s="141"/>
      <c r="Y865" s="140"/>
      <c r="AC865" s="141"/>
      <c r="AG865" s="141"/>
      <c r="AK865" s="141"/>
    </row>
    <row r="866" spans="2:37" s="134" customFormat="1" x14ac:dyDescent="0.2">
      <c r="B866" s="145"/>
      <c r="D866" s="145"/>
      <c r="U866" s="141"/>
      <c r="Y866" s="140"/>
      <c r="AC866" s="141"/>
      <c r="AG866" s="141"/>
      <c r="AK866" s="141"/>
    </row>
    <row r="867" spans="2:37" s="134" customFormat="1" x14ac:dyDescent="0.2">
      <c r="B867" s="145"/>
      <c r="D867" s="145"/>
      <c r="U867" s="141"/>
      <c r="Y867" s="140"/>
      <c r="AC867" s="141"/>
      <c r="AG867" s="141"/>
      <c r="AK867" s="141"/>
    </row>
    <row r="868" spans="2:37" s="134" customFormat="1" x14ac:dyDescent="0.2">
      <c r="B868" s="145"/>
      <c r="D868" s="145"/>
      <c r="U868" s="141"/>
      <c r="Y868" s="140"/>
      <c r="AC868" s="141"/>
      <c r="AG868" s="141"/>
      <c r="AK868" s="141"/>
    </row>
    <row r="869" spans="2:37" s="134" customFormat="1" x14ac:dyDescent="0.2">
      <c r="B869" s="145"/>
      <c r="D869" s="145"/>
      <c r="U869" s="141"/>
      <c r="Y869" s="140"/>
      <c r="AC869" s="141"/>
      <c r="AG869" s="141"/>
      <c r="AK869" s="141"/>
    </row>
    <row r="870" spans="2:37" s="134" customFormat="1" x14ac:dyDescent="0.2">
      <c r="B870" s="145"/>
      <c r="D870" s="145"/>
      <c r="U870" s="141"/>
      <c r="Y870" s="140"/>
      <c r="AC870" s="141"/>
      <c r="AG870" s="141"/>
      <c r="AK870" s="141"/>
    </row>
    <row r="871" spans="2:37" s="134" customFormat="1" x14ac:dyDescent="0.2">
      <c r="B871" s="145"/>
      <c r="D871" s="145"/>
      <c r="U871" s="141"/>
      <c r="Y871" s="140"/>
      <c r="AC871" s="141"/>
      <c r="AG871" s="141"/>
      <c r="AK871" s="141"/>
    </row>
    <row r="872" spans="2:37" s="134" customFormat="1" x14ac:dyDescent="0.2">
      <c r="B872" s="145"/>
      <c r="D872" s="145"/>
      <c r="U872" s="141"/>
      <c r="Y872" s="140"/>
      <c r="AC872" s="141"/>
      <c r="AG872" s="141"/>
      <c r="AK872" s="141"/>
    </row>
    <row r="873" spans="2:37" s="134" customFormat="1" x14ac:dyDescent="0.2">
      <c r="B873" s="145"/>
      <c r="D873" s="145"/>
      <c r="U873" s="141"/>
      <c r="Y873" s="140"/>
      <c r="AC873" s="141"/>
      <c r="AG873" s="141"/>
      <c r="AK873" s="141"/>
    </row>
    <row r="874" spans="2:37" s="134" customFormat="1" x14ac:dyDescent="0.2">
      <c r="B874" s="145"/>
      <c r="D874" s="145"/>
      <c r="U874" s="141"/>
      <c r="Y874" s="140"/>
      <c r="AC874" s="141"/>
      <c r="AG874" s="141"/>
      <c r="AK874" s="141"/>
    </row>
    <row r="875" spans="2:37" s="134" customFormat="1" x14ac:dyDescent="0.2">
      <c r="B875" s="145"/>
      <c r="D875" s="145"/>
      <c r="U875" s="141"/>
      <c r="Y875" s="140"/>
      <c r="AC875" s="141"/>
      <c r="AG875" s="141"/>
      <c r="AK875" s="141"/>
    </row>
    <row r="876" spans="2:37" s="134" customFormat="1" x14ac:dyDescent="0.2">
      <c r="B876" s="145"/>
      <c r="D876" s="145"/>
      <c r="U876" s="141"/>
      <c r="Y876" s="140"/>
      <c r="AC876" s="141"/>
      <c r="AG876" s="141"/>
      <c r="AK876" s="141"/>
    </row>
    <row r="877" spans="2:37" s="134" customFormat="1" x14ac:dyDescent="0.2">
      <c r="B877" s="145"/>
      <c r="D877" s="145"/>
      <c r="U877" s="141"/>
      <c r="Y877" s="140"/>
      <c r="AC877" s="141"/>
      <c r="AG877" s="141"/>
      <c r="AK877" s="141"/>
    </row>
    <row r="878" spans="2:37" s="134" customFormat="1" x14ac:dyDescent="0.2">
      <c r="B878" s="145"/>
      <c r="D878" s="145"/>
      <c r="U878" s="141"/>
      <c r="Y878" s="140"/>
      <c r="AC878" s="141"/>
      <c r="AG878" s="141"/>
      <c r="AK878" s="141"/>
    </row>
    <row r="879" spans="2:37" s="134" customFormat="1" x14ac:dyDescent="0.2">
      <c r="B879" s="145"/>
      <c r="D879" s="145"/>
      <c r="U879" s="141"/>
      <c r="Y879" s="140"/>
      <c r="AC879" s="141"/>
      <c r="AG879" s="141"/>
      <c r="AK879" s="141"/>
    </row>
    <row r="880" spans="2:37" s="134" customFormat="1" x14ac:dyDescent="0.2">
      <c r="B880" s="145"/>
      <c r="D880" s="145"/>
      <c r="U880" s="141"/>
      <c r="Y880" s="140"/>
      <c r="AC880" s="141"/>
      <c r="AG880" s="141"/>
      <c r="AK880" s="141"/>
    </row>
    <row r="881" spans="2:37" s="134" customFormat="1" x14ac:dyDescent="0.2">
      <c r="B881" s="145"/>
      <c r="D881" s="145"/>
      <c r="U881" s="141"/>
      <c r="Y881" s="140"/>
      <c r="AC881" s="141"/>
      <c r="AG881" s="141"/>
      <c r="AK881" s="141"/>
    </row>
    <row r="882" spans="2:37" s="134" customFormat="1" x14ac:dyDescent="0.2">
      <c r="B882" s="145"/>
      <c r="D882" s="145"/>
      <c r="U882" s="141"/>
      <c r="Y882" s="140"/>
      <c r="AC882" s="141"/>
      <c r="AG882" s="141"/>
      <c r="AK882" s="141"/>
    </row>
    <row r="883" spans="2:37" s="134" customFormat="1" x14ac:dyDescent="0.2">
      <c r="B883" s="145"/>
      <c r="D883" s="145"/>
      <c r="U883" s="141"/>
      <c r="Y883" s="140"/>
      <c r="AC883" s="141"/>
      <c r="AG883" s="141"/>
      <c r="AK883" s="141"/>
    </row>
    <row r="884" spans="2:37" s="134" customFormat="1" x14ac:dyDescent="0.2">
      <c r="B884" s="145"/>
      <c r="D884" s="145"/>
      <c r="U884" s="141"/>
      <c r="Y884" s="140"/>
      <c r="AC884" s="141"/>
      <c r="AG884" s="141"/>
      <c r="AK884" s="141"/>
    </row>
    <row r="885" spans="2:37" s="134" customFormat="1" x14ac:dyDescent="0.2">
      <c r="B885" s="145"/>
      <c r="D885" s="145"/>
      <c r="U885" s="141"/>
      <c r="Y885" s="140"/>
      <c r="AC885" s="141"/>
      <c r="AG885" s="141"/>
      <c r="AK885" s="141"/>
    </row>
    <row r="886" spans="2:37" s="134" customFormat="1" x14ac:dyDescent="0.2">
      <c r="B886" s="145"/>
      <c r="D886" s="145"/>
      <c r="U886" s="141"/>
      <c r="Y886" s="140"/>
      <c r="AC886" s="141"/>
      <c r="AG886" s="141"/>
      <c r="AK886" s="141"/>
    </row>
    <row r="887" spans="2:37" s="134" customFormat="1" x14ac:dyDescent="0.2">
      <c r="B887" s="145"/>
      <c r="D887" s="145"/>
      <c r="U887" s="141"/>
      <c r="Y887" s="140"/>
      <c r="AC887" s="141"/>
      <c r="AG887" s="141"/>
      <c r="AK887" s="141"/>
    </row>
    <row r="888" spans="2:37" s="134" customFormat="1" x14ac:dyDescent="0.2">
      <c r="B888" s="145"/>
      <c r="D888" s="145"/>
      <c r="U888" s="141"/>
      <c r="Y888" s="140"/>
      <c r="AC888" s="141"/>
      <c r="AG888" s="141"/>
      <c r="AK888" s="141"/>
    </row>
    <row r="889" spans="2:37" s="134" customFormat="1" x14ac:dyDescent="0.2">
      <c r="B889" s="145"/>
      <c r="D889" s="145"/>
      <c r="U889" s="141"/>
      <c r="Y889" s="140"/>
      <c r="AC889" s="141"/>
      <c r="AG889" s="141"/>
      <c r="AK889" s="141"/>
    </row>
    <row r="890" spans="2:37" s="134" customFormat="1" x14ac:dyDescent="0.2">
      <c r="B890" s="145"/>
      <c r="D890" s="145"/>
      <c r="U890" s="141"/>
      <c r="Y890" s="140"/>
      <c r="AC890" s="141"/>
      <c r="AG890" s="141"/>
      <c r="AK890" s="141"/>
    </row>
    <row r="891" spans="2:37" s="134" customFormat="1" x14ac:dyDescent="0.2">
      <c r="B891" s="145"/>
      <c r="D891" s="145"/>
      <c r="U891" s="141"/>
      <c r="Y891" s="140"/>
      <c r="AC891" s="141"/>
      <c r="AG891" s="141"/>
      <c r="AK891" s="141"/>
    </row>
    <row r="892" spans="2:37" s="134" customFormat="1" x14ac:dyDescent="0.2">
      <c r="B892" s="145"/>
      <c r="D892" s="145"/>
      <c r="U892" s="141"/>
      <c r="Y892" s="140"/>
      <c r="AC892" s="141"/>
      <c r="AG892" s="141"/>
      <c r="AK892" s="141"/>
    </row>
    <row r="893" spans="2:37" s="134" customFormat="1" x14ac:dyDescent="0.2">
      <c r="B893" s="145"/>
      <c r="D893" s="145"/>
      <c r="U893" s="141"/>
      <c r="Y893" s="140"/>
      <c r="AC893" s="141"/>
      <c r="AG893" s="141"/>
      <c r="AK893" s="141"/>
    </row>
    <row r="894" spans="2:37" s="134" customFormat="1" x14ac:dyDescent="0.2">
      <c r="B894" s="145"/>
      <c r="D894" s="145"/>
      <c r="U894" s="141"/>
      <c r="Y894" s="140"/>
      <c r="AC894" s="141"/>
      <c r="AG894" s="141"/>
      <c r="AK894" s="141"/>
    </row>
    <row r="895" spans="2:37" s="134" customFormat="1" x14ac:dyDescent="0.2">
      <c r="B895" s="145"/>
      <c r="D895" s="145"/>
      <c r="U895" s="141"/>
      <c r="Y895" s="140"/>
      <c r="AC895" s="141"/>
      <c r="AG895" s="141"/>
      <c r="AK895" s="141"/>
    </row>
    <row r="896" spans="2:37" s="134" customFormat="1" x14ac:dyDescent="0.2">
      <c r="B896" s="145"/>
      <c r="D896" s="145"/>
      <c r="U896" s="141"/>
      <c r="Y896" s="140"/>
      <c r="AC896" s="141"/>
      <c r="AG896" s="141"/>
      <c r="AK896" s="141"/>
    </row>
    <row r="897" spans="2:37" s="134" customFormat="1" x14ac:dyDescent="0.2">
      <c r="B897" s="145"/>
      <c r="D897" s="145"/>
      <c r="U897" s="141"/>
      <c r="Y897" s="140"/>
      <c r="AC897" s="141"/>
      <c r="AG897" s="141"/>
      <c r="AK897" s="141"/>
    </row>
    <row r="898" spans="2:37" s="134" customFormat="1" x14ac:dyDescent="0.2">
      <c r="B898" s="145"/>
      <c r="D898" s="145"/>
      <c r="U898" s="141"/>
      <c r="Y898" s="140"/>
      <c r="AC898" s="141"/>
      <c r="AG898" s="141"/>
      <c r="AK898" s="141"/>
    </row>
    <row r="899" spans="2:37" s="134" customFormat="1" x14ac:dyDescent="0.2">
      <c r="B899" s="145"/>
      <c r="D899" s="145"/>
      <c r="U899" s="141"/>
      <c r="Y899" s="140"/>
      <c r="AC899" s="141"/>
      <c r="AG899" s="141"/>
      <c r="AK899" s="141"/>
    </row>
    <row r="900" spans="2:37" s="134" customFormat="1" x14ac:dyDescent="0.2">
      <c r="B900" s="145"/>
      <c r="D900" s="145"/>
      <c r="U900" s="141"/>
      <c r="Y900" s="140"/>
      <c r="AC900" s="141"/>
      <c r="AG900" s="141"/>
      <c r="AK900" s="141"/>
    </row>
    <row r="901" spans="2:37" s="134" customFormat="1" x14ac:dyDescent="0.2">
      <c r="B901" s="145"/>
      <c r="D901" s="145"/>
      <c r="U901" s="141"/>
      <c r="Y901" s="140"/>
      <c r="AC901" s="141"/>
      <c r="AG901" s="141"/>
      <c r="AK901" s="141"/>
    </row>
    <row r="902" spans="2:37" s="134" customFormat="1" x14ac:dyDescent="0.2">
      <c r="B902" s="145"/>
      <c r="D902" s="145"/>
      <c r="U902" s="141"/>
      <c r="Y902" s="140"/>
      <c r="AC902" s="141"/>
      <c r="AG902" s="141"/>
      <c r="AK902" s="141"/>
    </row>
    <row r="903" spans="2:37" s="134" customFormat="1" x14ac:dyDescent="0.2">
      <c r="B903" s="145"/>
      <c r="D903" s="145"/>
      <c r="U903" s="141"/>
      <c r="Y903" s="140"/>
      <c r="AC903" s="141"/>
      <c r="AG903" s="141"/>
      <c r="AK903" s="141"/>
    </row>
    <row r="904" spans="2:37" s="134" customFormat="1" x14ac:dyDescent="0.2">
      <c r="B904" s="145"/>
      <c r="D904" s="145"/>
      <c r="U904" s="141"/>
      <c r="Y904" s="140"/>
      <c r="AC904" s="141"/>
      <c r="AG904" s="141"/>
      <c r="AK904" s="141"/>
    </row>
    <row r="905" spans="2:37" s="134" customFormat="1" x14ac:dyDescent="0.2">
      <c r="B905" s="145"/>
      <c r="D905" s="145"/>
      <c r="U905" s="141"/>
      <c r="Y905" s="140"/>
      <c r="AC905" s="141"/>
      <c r="AG905" s="141"/>
      <c r="AK905" s="141"/>
    </row>
    <row r="906" spans="2:37" s="134" customFormat="1" x14ac:dyDescent="0.2">
      <c r="B906" s="145"/>
      <c r="D906" s="145"/>
      <c r="U906" s="141"/>
      <c r="Y906" s="140"/>
      <c r="AC906" s="141"/>
      <c r="AG906" s="141"/>
      <c r="AK906" s="141"/>
    </row>
    <row r="907" spans="2:37" s="134" customFormat="1" x14ac:dyDescent="0.2">
      <c r="B907" s="145"/>
      <c r="D907" s="145"/>
      <c r="U907" s="141"/>
      <c r="Y907" s="140"/>
      <c r="AC907" s="141"/>
      <c r="AG907" s="141"/>
      <c r="AK907" s="141"/>
    </row>
    <row r="908" spans="2:37" s="134" customFormat="1" x14ac:dyDescent="0.2">
      <c r="B908" s="145"/>
      <c r="D908" s="145"/>
      <c r="U908" s="141"/>
      <c r="Y908" s="140"/>
      <c r="AC908" s="141"/>
      <c r="AG908" s="141"/>
      <c r="AK908" s="141"/>
    </row>
    <row r="909" spans="2:37" s="134" customFormat="1" x14ac:dyDescent="0.2">
      <c r="B909" s="145"/>
      <c r="D909" s="145"/>
      <c r="U909" s="141"/>
      <c r="Y909" s="140"/>
      <c r="AC909" s="141"/>
      <c r="AG909" s="141"/>
      <c r="AK909" s="141"/>
    </row>
    <row r="910" spans="2:37" s="134" customFormat="1" x14ac:dyDescent="0.2">
      <c r="B910" s="145"/>
      <c r="D910" s="145"/>
      <c r="U910" s="141"/>
      <c r="Y910" s="140"/>
      <c r="AC910" s="141"/>
      <c r="AG910" s="141"/>
      <c r="AK910" s="141"/>
    </row>
    <row r="911" spans="2:37" s="134" customFormat="1" x14ac:dyDescent="0.2">
      <c r="B911" s="145"/>
      <c r="D911" s="145"/>
      <c r="U911" s="141"/>
      <c r="Y911" s="140"/>
      <c r="AC911" s="141"/>
      <c r="AG911" s="141"/>
      <c r="AK911" s="141"/>
    </row>
    <row r="912" spans="2:37" s="134" customFormat="1" x14ac:dyDescent="0.2">
      <c r="B912" s="145"/>
      <c r="D912" s="145"/>
      <c r="U912" s="141"/>
      <c r="Y912" s="140"/>
      <c r="AC912" s="141"/>
      <c r="AG912" s="141"/>
      <c r="AK912" s="141"/>
    </row>
    <row r="913" spans="2:37" s="134" customFormat="1" x14ac:dyDescent="0.2">
      <c r="B913" s="145"/>
      <c r="D913" s="145"/>
      <c r="U913" s="141"/>
      <c r="Y913" s="140"/>
      <c r="AC913" s="141"/>
      <c r="AG913" s="141"/>
      <c r="AK913" s="141"/>
    </row>
    <row r="914" spans="2:37" s="134" customFormat="1" x14ac:dyDescent="0.2">
      <c r="B914" s="145"/>
      <c r="D914" s="145"/>
      <c r="U914" s="141"/>
      <c r="Y914" s="140"/>
      <c r="AC914" s="141"/>
      <c r="AG914" s="141"/>
      <c r="AK914" s="141"/>
    </row>
    <row r="915" spans="2:37" s="134" customFormat="1" x14ac:dyDescent="0.2">
      <c r="B915" s="145"/>
      <c r="D915" s="145"/>
      <c r="U915" s="141"/>
      <c r="Y915" s="140"/>
      <c r="AC915" s="141"/>
      <c r="AG915" s="141"/>
      <c r="AK915" s="141"/>
    </row>
    <row r="916" spans="2:37" s="134" customFormat="1" x14ac:dyDescent="0.2">
      <c r="B916" s="145"/>
      <c r="D916" s="145"/>
      <c r="U916" s="141"/>
      <c r="Y916" s="140"/>
      <c r="AC916" s="141"/>
      <c r="AG916" s="141"/>
      <c r="AK916" s="141"/>
    </row>
    <row r="917" spans="2:37" s="134" customFormat="1" x14ac:dyDescent="0.2">
      <c r="B917" s="145"/>
      <c r="D917" s="145"/>
      <c r="U917" s="141"/>
      <c r="Y917" s="140"/>
      <c r="AC917" s="141"/>
      <c r="AG917" s="141"/>
      <c r="AK917" s="141"/>
    </row>
    <row r="918" spans="2:37" s="134" customFormat="1" x14ac:dyDescent="0.2">
      <c r="B918" s="145"/>
      <c r="D918" s="145"/>
      <c r="U918" s="141"/>
      <c r="Y918" s="140"/>
      <c r="AC918" s="141"/>
      <c r="AG918" s="141"/>
      <c r="AK918" s="141"/>
    </row>
  </sheetData>
  <mergeCells count="12">
    <mergeCell ref="B1:W1"/>
    <mergeCell ref="B2:W2"/>
    <mergeCell ref="B3:W3"/>
    <mergeCell ref="B4:W4"/>
    <mergeCell ref="AN10:AO10"/>
    <mergeCell ref="AF10:AI10"/>
    <mergeCell ref="AJ10:AM10"/>
    <mergeCell ref="B90:I90"/>
    <mergeCell ref="B5:W6"/>
    <mergeCell ref="T10:W10"/>
    <mergeCell ref="X10:AA10"/>
    <mergeCell ref="AB10:AE10"/>
  </mergeCells>
  <conditionalFormatting sqref="D73:D79 D12:D35">
    <cfRule type="duplicateValues" dxfId="27" priority="3"/>
  </conditionalFormatting>
  <conditionalFormatting sqref="D36:D46">
    <cfRule type="duplicateValues" dxfId="26" priority="2"/>
  </conditionalFormatting>
  <conditionalFormatting sqref="D80:D89">
    <cfRule type="duplicateValues" dxfId="25" priority="4"/>
  </conditionalFormatting>
  <conditionalFormatting sqref="D48">
    <cfRule type="duplicateValues" dxfId="24" priority="1"/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N760"/>
  <sheetViews>
    <sheetView topLeftCell="A125" workbookViewId="0">
      <selection activeCell="E149" sqref="E149"/>
    </sheetView>
  </sheetViews>
  <sheetFormatPr baseColWidth="10" defaultRowHeight="11.25" x14ac:dyDescent="0.2"/>
  <cols>
    <col min="1" max="1" width="5" style="134" customWidth="1"/>
    <col min="2" max="2" width="9.85546875" style="12" bestFit="1" customWidth="1"/>
    <col min="3" max="3" width="9.85546875" style="3" customWidth="1"/>
    <col min="4" max="4" width="11" style="12" customWidth="1"/>
    <col min="5" max="5" width="43.42578125" style="3" customWidth="1"/>
    <col min="6" max="6" width="13.140625" style="3" customWidth="1"/>
    <col min="7" max="7" width="11.28515625" style="3" customWidth="1"/>
    <col min="8" max="8" width="13.7109375" style="3" bestFit="1" customWidth="1"/>
    <col min="9" max="9" width="9.7109375" style="3" customWidth="1"/>
    <col min="10" max="10" width="11.7109375" style="3" customWidth="1"/>
    <col min="11" max="25" width="12" style="3" customWidth="1"/>
    <col min="26" max="26" width="10.140625" style="3" customWidth="1"/>
    <col min="27" max="27" width="10.140625" style="7" customWidth="1"/>
    <col min="28" max="30" width="10.140625" style="3" customWidth="1"/>
    <col min="31" max="31" width="10.140625" style="6" customWidth="1"/>
    <col min="32" max="34" width="10.140625" style="3" customWidth="1"/>
    <col min="35" max="35" width="10.140625" style="7" customWidth="1"/>
    <col min="36" max="38" width="10.140625" style="3" customWidth="1"/>
    <col min="39" max="39" width="10.140625" style="7" customWidth="1"/>
    <col min="40" max="50" width="10.140625" style="3" customWidth="1"/>
    <col min="51" max="51" width="10.140625" style="7" customWidth="1"/>
    <col min="52" max="54" width="10.140625" style="3" customWidth="1"/>
    <col min="55" max="55" width="10.140625" style="7" customWidth="1"/>
    <col min="56" max="58" width="10.140625" style="3" customWidth="1"/>
    <col min="59" max="59" width="10.140625" style="7" customWidth="1"/>
    <col min="60" max="62" width="10.140625" style="3" customWidth="1"/>
    <col min="63" max="63" width="10.140625" style="7" customWidth="1"/>
    <col min="64" max="66" width="10.140625" style="3" customWidth="1"/>
    <col min="67" max="67" width="10.140625" style="7" customWidth="1"/>
    <col min="68" max="74" width="10.140625" style="3" customWidth="1"/>
    <col min="75" max="75" width="10.140625" style="7" customWidth="1"/>
    <col min="76" max="77" width="10.140625" style="3" customWidth="1"/>
    <col min="78" max="79" width="11.42578125" style="3"/>
    <col min="80" max="274" width="11.42578125" style="134"/>
    <col min="275" max="16384" width="11.42578125" style="3"/>
  </cols>
  <sheetData>
    <row r="1" spans="1:274" hidden="1" x14ac:dyDescent="0.2">
      <c r="B1" s="730"/>
      <c r="C1" s="730"/>
      <c r="D1" s="731"/>
      <c r="E1" s="731"/>
      <c r="F1" s="731"/>
      <c r="G1" s="731"/>
      <c r="H1" s="731"/>
      <c r="I1" s="731"/>
      <c r="J1" s="731"/>
      <c r="K1" s="731"/>
      <c r="L1" s="731"/>
      <c r="M1" s="731"/>
      <c r="N1" s="731"/>
      <c r="O1" s="731"/>
      <c r="P1" s="731"/>
      <c r="Q1" s="731"/>
      <c r="R1" s="731"/>
      <c r="S1" s="731"/>
      <c r="T1" s="731"/>
      <c r="U1" s="731"/>
      <c r="V1" s="731"/>
      <c r="W1" s="731"/>
      <c r="X1" s="731"/>
      <c r="Y1" s="731"/>
      <c r="Z1" s="731"/>
      <c r="AA1" s="731"/>
      <c r="AB1" s="731"/>
      <c r="AC1" s="731"/>
      <c r="AD1" s="207"/>
      <c r="AE1" s="1"/>
      <c r="AF1" s="207"/>
      <c r="AG1" s="207"/>
      <c r="AH1" s="207"/>
      <c r="AI1" s="2"/>
      <c r="AJ1" s="207"/>
      <c r="AK1" s="207"/>
      <c r="AL1" s="207"/>
      <c r="AM1" s="2"/>
      <c r="AN1" s="207"/>
      <c r="AO1" s="207"/>
      <c r="AP1" s="207"/>
      <c r="AQ1" s="207"/>
      <c r="AR1" s="207"/>
      <c r="AS1" s="207"/>
      <c r="AT1" s="207"/>
      <c r="AU1" s="207"/>
      <c r="AV1" s="207"/>
      <c r="AW1" s="207"/>
      <c r="AX1" s="207"/>
      <c r="AY1" s="2"/>
      <c r="AZ1" s="207"/>
      <c r="BA1" s="207"/>
      <c r="BB1" s="207"/>
      <c r="BC1" s="2"/>
      <c r="BD1" s="207"/>
      <c r="BE1" s="207"/>
      <c r="BF1" s="207"/>
      <c r="BG1" s="2"/>
      <c r="BH1" s="207"/>
      <c r="BI1" s="207"/>
      <c r="BJ1" s="207"/>
      <c r="BK1" s="2"/>
      <c r="BL1" s="207"/>
      <c r="BM1" s="207"/>
      <c r="BN1" s="207"/>
      <c r="BO1" s="2"/>
      <c r="BP1" s="207"/>
      <c r="BQ1" s="207"/>
      <c r="BR1" s="207"/>
      <c r="BS1" s="207"/>
      <c r="BT1" s="207"/>
      <c r="BU1" s="207"/>
      <c r="BV1" s="207"/>
      <c r="BW1" s="2"/>
      <c r="BX1" s="207"/>
      <c r="BY1" s="207"/>
    </row>
    <row r="2" spans="1:274" hidden="1" x14ac:dyDescent="0.2">
      <c r="B2" s="731"/>
      <c r="C2" s="731"/>
      <c r="D2" s="731"/>
      <c r="E2" s="731"/>
      <c r="F2" s="731"/>
      <c r="G2" s="731"/>
      <c r="H2" s="731"/>
      <c r="I2" s="731"/>
      <c r="J2" s="731"/>
      <c r="K2" s="731"/>
      <c r="L2" s="731"/>
      <c r="M2" s="731"/>
      <c r="N2" s="731"/>
      <c r="O2" s="731"/>
      <c r="P2" s="731"/>
      <c r="Q2" s="731"/>
      <c r="R2" s="731"/>
      <c r="S2" s="731"/>
      <c r="T2" s="731"/>
      <c r="U2" s="731"/>
      <c r="V2" s="731"/>
      <c r="W2" s="731"/>
      <c r="X2" s="731"/>
      <c r="Y2" s="731"/>
      <c r="Z2" s="731"/>
      <c r="AA2" s="731"/>
      <c r="AB2" s="731"/>
      <c r="AC2" s="731"/>
      <c r="AD2" s="207"/>
      <c r="AE2" s="1"/>
      <c r="AF2" s="207"/>
      <c r="AG2" s="207"/>
      <c r="AH2" s="207"/>
      <c r="AI2" s="2"/>
      <c r="AJ2" s="207"/>
      <c r="AK2" s="207"/>
      <c r="AL2" s="207"/>
      <c r="AM2" s="2"/>
      <c r="AN2" s="207"/>
      <c r="AO2" s="207"/>
      <c r="AP2" s="207"/>
      <c r="AQ2" s="207"/>
      <c r="AR2" s="207"/>
      <c r="AS2" s="207"/>
      <c r="AT2" s="207"/>
      <c r="AU2" s="207"/>
      <c r="AV2" s="207"/>
      <c r="AW2" s="207"/>
      <c r="AX2" s="207"/>
      <c r="AY2" s="2"/>
      <c r="AZ2" s="207"/>
      <c r="BA2" s="207"/>
      <c r="BB2" s="207"/>
      <c r="BC2" s="2"/>
      <c r="BD2" s="207"/>
      <c r="BE2" s="207"/>
      <c r="BF2" s="207"/>
      <c r="BG2" s="2"/>
      <c r="BH2" s="207"/>
      <c r="BI2" s="207"/>
      <c r="BJ2" s="207"/>
      <c r="BK2" s="2"/>
      <c r="BL2" s="207"/>
      <c r="BM2" s="207"/>
      <c r="BN2" s="207"/>
      <c r="BO2" s="2"/>
      <c r="BP2" s="207"/>
      <c r="BQ2" s="207"/>
      <c r="BR2" s="207"/>
      <c r="BS2" s="207"/>
      <c r="BT2" s="207"/>
      <c r="BU2" s="207"/>
      <c r="BV2" s="207"/>
      <c r="BW2" s="2"/>
      <c r="BX2" s="207"/>
      <c r="BY2" s="207"/>
    </row>
    <row r="3" spans="1:274" ht="12.75" hidden="1" customHeight="1" x14ac:dyDescent="0.2">
      <c r="B3" s="729"/>
      <c r="C3" s="729"/>
      <c r="D3" s="729"/>
      <c r="E3" s="729"/>
      <c r="F3" s="729"/>
      <c r="G3" s="729"/>
      <c r="H3" s="729"/>
      <c r="I3" s="729"/>
      <c r="J3" s="729"/>
      <c r="K3" s="729"/>
      <c r="L3" s="729"/>
      <c r="M3" s="729"/>
      <c r="N3" s="729"/>
      <c r="O3" s="729"/>
      <c r="P3" s="729"/>
      <c r="Q3" s="729"/>
      <c r="R3" s="729"/>
      <c r="S3" s="729"/>
      <c r="T3" s="729"/>
      <c r="U3" s="729"/>
      <c r="V3" s="729"/>
      <c r="W3" s="729"/>
      <c r="X3" s="729"/>
      <c r="Y3" s="729"/>
      <c r="Z3" s="729"/>
      <c r="AA3" s="729"/>
      <c r="AB3" s="729"/>
      <c r="AC3" s="729"/>
      <c r="AD3" s="206"/>
      <c r="AE3" s="4"/>
      <c r="AF3" s="206"/>
      <c r="AG3" s="206"/>
      <c r="AH3" s="206"/>
      <c r="AI3" s="5"/>
      <c r="AJ3" s="206"/>
      <c r="AK3" s="206"/>
      <c r="AL3" s="206"/>
      <c r="AM3" s="5"/>
      <c r="AN3" s="206"/>
      <c r="AO3" s="206"/>
      <c r="AP3" s="206"/>
      <c r="AQ3" s="206"/>
      <c r="AR3" s="206"/>
      <c r="AS3" s="206"/>
      <c r="AT3" s="206"/>
      <c r="AU3" s="206"/>
      <c r="AV3" s="206"/>
      <c r="AW3" s="206"/>
      <c r="AX3" s="206"/>
      <c r="AY3" s="5"/>
      <c r="AZ3" s="206"/>
      <c r="BA3" s="206"/>
      <c r="BB3" s="206"/>
      <c r="BC3" s="5"/>
      <c r="BD3" s="206"/>
      <c r="BE3" s="206"/>
      <c r="BF3" s="206"/>
      <c r="BG3" s="5"/>
      <c r="BH3" s="206"/>
      <c r="BI3" s="206"/>
      <c r="BJ3" s="206"/>
      <c r="BK3" s="5"/>
      <c r="BL3" s="206"/>
      <c r="BM3" s="206"/>
      <c r="BN3" s="206"/>
      <c r="BO3" s="5"/>
      <c r="BP3" s="206"/>
      <c r="BQ3" s="206"/>
      <c r="BR3" s="206"/>
      <c r="BS3" s="206"/>
      <c r="BT3" s="206"/>
      <c r="BU3" s="206"/>
      <c r="BV3" s="206"/>
      <c r="BW3" s="5"/>
      <c r="BX3" s="206"/>
      <c r="BY3" s="206"/>
    </row>
    <row r="4" spans="1:274" ht="21.75" hidden="1" customHeight="1" x14ac:dyDescent="0.2">
      <c r="B4" s="729"/>
      <c r="C4" s="729"/>
      <c r="D4" s="729"/>
      <c r="E4" s="729"/>
      <c r="F4" s="729"/>
      <c r="G4" s="729"/>
      <c r="H4" s="729"/>
      <c r="I4" s="729"/>
      <c r="J4" s="729"/>
      <c r="K4" s="729"/>
      <c r="L4" s="729"/>
      <c r="M4" s="729"/>
      <c r="N4" s="729"/>
      <c r="O4" s="729"/>
      <c r="P4" s="729"/>
      <c r="Q4" s="729"/>
      <c r="R4" s="729"/>
      <c r="S4" s="729"/>
      <c r="T4" s="729"/>
      <c r="U4" s="729"/>
      <c r="V4" s="729"/>
      <c r="W4" s="729"/>
      <c r="X4" s="729"/>
      <c r="Y4" s="729"/>
      <c r="Z4" s="729"/>
      <c r="AA4" s="729"/>
      <c r="AB4" s="729"/>
      <c r="AC4" s="729"/>
      <c r="AD4" s="206"/>
      <c r="AE4" s="4"/>
      <c r="AF4" s="206"/>
      <c r="AG4" s="206"/>
      <c r="AH4" s="206"/>
      <c r="AI4" s="5"/>
      <c r="AJ4" s="206"/>
      <c r="AK4" s="206"/>
      <c r="AL4" s="206"/>
      <c r="AM4" s="5"/>
      <c r="AN4" s="206"/>
      <c r="AO4" s="206"/>
      <c r="AP4" s="206"/>
      <c r="AQ4" s="206"/>
      <c r="AR4" s="206"/>
      <c r="AS4" s="206"/>
      <c r="AT4" s="206"/>
      <c r="AU4" s="206"/>
      <c r="AV4" s="206"/>
      <c r="AW4" s="206"/>
      <c r="AX4" s="206"/>
      <c r="AY4" s="5"/>
      <c r="AZ4" s="206"/>
      <c r="BA4" s="206"/>
      <c r="BB4" s="206"/>
      <c r="BC4" s="5"/>
      <c r="BD4" s="206"/>
      <c r="BE4" s="206"/>
      <c r="BF4" s="206"/>
      <c r="BG4" s="5"/>
      <c r="BH4" s="206"/>
      <c r="BI4" s="206"/>
      <c r="BJ4" s="206"/>
      <c r="BK4" s="5"/>
      <c r="BL4" s="206"/>
      <c r="BM4" s="206"/>
      <c r="BN4" s="206"/>
      <c r="BO4" s="5"/>
      <c r="BP4" s="206"/>
      <c r="BQ4" s="206"/>
      <c r="BR4" s="206"/>
      <c r="BS4" s="206"/>
      <c r="BT4" s="206"/>
      <c r="BU4" s="206"/>
      <c r="BV4" s="206"/>
      <c r="BW4" s="5"/>
      <c r="BX4" s="206"/>
      <c r="BY4" s="206"/>
    </row>
    <row r="5" spans="1:274" ht="11.25" hidden="1" customHeight="1" x14ac:dyDescent="0.2">
      <c r="B5" s="729"/>
      <c r="C5" s="729"/>
      <c r="D5" s="729"/>
      <c r="E5" s="729"/>
      <c r="F5" s="729"/>
      <c r="G5" s="729"/>
      <c r="H5" s="729"/>
      <c r="I5" s="729"/>
      <c r="J5" s="729"/>
      <c r="K5" s="729"/>
      <c r="L5" s="729"/>
      <c r="M5" s="729"/>
      <c r="N5" s="729"/>
      <c r="O5" s="729"/>
      <c r="P5" s="729"/>
      <c r="Q5" s="729"/>
      <c r="R5" s="729"/>
      <c r="S5" s="729"/>
      <c r="T5" s="729"/>
      <c r="U5" s="729"/>
      <c r="V5" s="729"/>
      <c r="W5" s="729"/>
      <c r="X5" s="729"/>
      <c r="Y5" s="729"/>
      <c r="Z5" s="729"/>
      <c r="AA5" s="729"/>
      <c r="AB5" s="729"/>
      <c r="AC5" s="729"/>
      <c r="AD5" s="206"/>
      <c r="AE5" s="4"/>
      <c r="AF5" s="206"/>
      <c r="AG5" s="206"/>
      <c r="AH5" s="206"/>
      <c r="AI5" s="5"/>
      <c r="AJ5" s="206"/>
      <c r="AK5" s="206"/>
      <c r="AL5" s="206"/>
      <c r="AM5" s="5"/>
      <c r="AN5" s="206"/>
      <c r="AO5" s="206"/>
      <c r="AP5" s="206"/>
      <c r="AQ5" s="206"/>
      <c r="AR5" s="206"/>
      <c r="AS5" s="206"/>
      <c r="AT5" s="206"/>
      <c r="AU5" s="206"/>
      <c r="AV5" s="206"/>
      <c r="AW5" s="206"/>
      <c r="AX5" s="206"/>
      <c r="AY5" s="5"/>
      <c r="AZ5" s="206"/>
      <c r="BA5" s="206"/>
      <c r="BB5" s="206"/>
      <c r="BC5" s="5"/>
      <c r="BD5" s="206"/>
      <c r="BE5" s="206"/>
      <c r="BF5" s="206"/>
      <c r="BG5" s="5"/>
      <c r="BH5" s="206"/>
      <c r="BI5" s="206"/>
      <c r="BJ5" s="206"/>
      <c r="BK5" s="5"/>
      <c r="BL5" s="206"/>
      <c r="BM5" s="206"/>
      <c r="BN5" s="206"/>
      <c r="BO5" s="5"/>
      <c r="BP5" s="206"/>
      <c r="BQ5" s="206"/>
      <c r="BR5" s="206"/>
      <c r="BS5" s="206"/>
      <c r="BT5" s="206"/>
      <c r="BU5" s="206"/>
      <c r="BV5" s="206"/>
      <c r="BW5" s="5"/>
      <c r="BX5" s="206"/>
      <c r="BY5" s="206"/>
    </row>
    <row r="6" spans="1:274" ht="15" hidden="1" customHeight="1" x14ac:dyDescent="0.2">
      <c r="B6" s="729"/>
      <c r="C6" s="729"/>
      <c r="D6" s="729"/>
      <c r="E6" s="729"/>
      <c r="F6" s="729"/>
      <c r="G6" s="729"/>
      <c r="H6" s="729"/>
      <c r="I6" s="729"/>
      <c r="J6" s="729"/>
      <c r="K6" s="729"/>
      <c r="L6" s="729"/>
      <c r="M6" s="729"/>
      <c r="N6" s="729"/>
      <c r="O6" s="729"/>
      <c r="P6" s="729"/>
      <c r="Q6" s="729"/>
      <c r="R6" s="729"/>
      <c r="S6" s="729"/>
      <c r="T6" s="729"/>
      <c r="U6" s="729"/>
      <c r="V6" s="729"/>
      <c r="W6" s="729"/>
      <c r="X6" s="729"/>
      <c r="Y6" s="729"/>
      <c r="Z6" s="729"/>
      <c r="AA6" s="729"/>
      <c r="AB6" s="729"/>
      <c r="AC6" s="729"/>
      <c r="AD6" s="206"/>
      <c r="AE6" s="4"/>
      <c r="AF6" s="206"/>
      <c r="AG6" s="206"/>
      <c r="AH6" s="206"/>
      <c r="AI6" s="5"/>
      <c r="AJ6" s="206"/>
      <c r="AK6" s="206"/>
      <c r="AL6" s="206"/>
      <c r="AM6" s="5"/>
      <c r="AN6" s="206"/>
      <c r="AO6" s="206"/>
      <c r="AP6" s="206"/>
      <c r="AQ6" s="206"/>
      <c r="AR6" s="206"/>
      <c r="AS6" s="206"/>
      <c r="AT6" s="206"/>
      <c r="AU6" s="206"/>
      <c r="AV6" s="206"/>
      <c r="AW6" s="206"/>
      <c r="AX6" s="206"/>
      <c r="AY6" s="5"/>
      <c r="AZ6" s="206"/>
      <c r="BA6" s="206"/>
      <c r="BB6" s="206"/>
      <c r="BC6" s="5"/>
      <c r="BD6" s="206"/>
      <c r="BE6" s="206"/>
      <c r="BF6" s="206"/>
      <c r="BG6" s="5"/>
      <c r="BH6" s="206"/>
      <c r="BI6" s="206"/>
      <c r="BJ6" s="206"/>
      <c r="BK6" s="5"/>
      <c r="BL6" s="206"/>
      <c r="BM6" s="206"/>
      <c r="BN6" s="206"/>
      <c r="BO6" s="5"/>
      <c r="BP6" s="206"/>
      <c r="BQ6" s="206"/>
      <c r="BR6" s="206"/>
      <c r="BS6" s="206"/>
      <c r="BT6" s="206"/>
      <c r="BU6" s="206"/>
      <c r="BV6" s="206"/>
      <c r="BW6" s="5"/>
      <c r="BX6" s="206"/>
      <c r="BY6" s="206"/>
    </row>
    <row r="7" spans="1:274" ht="21" hidden="1" customHeight="1" x14ac:dyDescent="0.2">
      <c r="B7" s="729"/>
      <c r="C7" s="729"/>
      <c r="D7" s="729"/>
      <c r="E7" s="729"/>
      <c r="F7" s="729"/>
      <c r="G7" s="729"/>
      <c r="H7" s="729"/>
      <c r="I7" s="729"/>
      <c r="J7" s="729"/>
      <c r="K7" s="729"/>
      <c r="L7" s="729"/>
      <c r="M7" s="729"/>
      <c r="N7" s="729"/>
      <c r="O7" s="729"/>
      <c r="P7" s="729"/>
      <c r="Q7" s="729"/>
      <c r="R7" s="729"/>
      <c r="S7" s="729"/>
      <c r="T7" s="729"/>
      <c r="U7" s="729"/>
      <c r="V7" s="729"/>
      <c r="W7" s="729"/>
      <c r="X7" s="729"/>
      <c r="Y7" s="729"/>
      <c r="Z7" s="729"/>
      <c r="AA7" s="729"/>
      <c r="AB7" s="729"/>
      <c r="AC7" s="729"/>
      <c r="AD7" s="206"/>
      <c r="AE7" s="4"/>
      <c r="AF7" s="206"/>
      <c r="AG7" s="206"/>
      <c r="AH7" s="206"/>
      <c r="AI7" s="5"/>
      <c r="AJ7" s="206"/>
      <c r="AK7" s="206"/>
      <c r="AL7" s="206"/>
      <c r="AM7" s="5"/>
      <c r="AN7" s="206"/>
      <c r="AO7" s="206"/>
      <c r="AP7" s="206"/>
      <c r="AQ7" s="206"/>
      <c r="AR7" s="206"/>
      <c r="AS7" s="206"/>
      <c r="AT7" s="206"/>
      <c r="AU7" s="206"/>
      <c r="AV7" s="206"/>
      <c r="AW7" s="206"/>
      <c r="AX7" s="206"/>
      <c r="AY7" s="5"/>
      <c r="AZ7" s="206"/>
      <c r="BA7" s="206"/>
      <c r="BB7" s="206"/>
      <c r="BC7" s="5"/>
      <c r="BD7" s="206"/>
      <c r="BE7" s="206"/>
      <c r="BF7" s="206"/>
      <c r="BG7" s="5"/>
      <c r="BH7" s="206"/>
      <c r="BI7" s="206"/>
      <c r="BJ7" s="206"/>
      <c r="BK7" s="5"/>
      <c r="BL7" s="206"/>
      <c r="BM7" s="206"/>
      <c r="BN7" s="206"/>
      <c r="BO7" s="5"/>
      <c r="BP7" s="206"/>
      <c r="BQ7" s="206"/>
      <c r="BR7" s="206"/>
      <c r="BS7" s="206"/>
      <c r="BT7" s="206"/>
      <c r="BU7" s="206"/>
      <c r="BV7" s="206"/>
      <c r="BW7" s="5"/>
      <c r="BX7" s="206"/>
      <c r="BY7" s="206"/>
    </row>
    <row r="8" spans="1:274" ht="16.5" hidden="1" customHeight="1" x14ac:dyDescent="0.2">
      <c r="B8" s="729"/>
      <c r="C8" s="729"/>
      <c r="D8" s="729"/>
      <c r="E8" s="729"/>
      <c r="F8" s="729"/>
      <c r="G8" s="729"/>
      <c r="H8" s="729"/>
      <c r="I8" s="729"/>
      <c r="J8" s="729"/>
      <c r="K8" s="729"/>
      <c r="L8" s="729"/>
      <c r="M8" s="729"/>
      <c r="N8" s="729"/>
      <c r="O8" s="729"/>
      <c r="P8" s="729"/>
      <c r="Q8" s="729"/>
      <c r="R8" s="729"/>
      <c r="S8" s="729"/>
      <c r="T8" s="729"/>
      <c r="U8" s="729"/>
      <c r="V8" s="729"/>
      <c r="W8" s="729"/>
      <c r="X8" s="729"/>
      <c r="Y8" s="729"/>
      <c r="Z8" s="729"/>
      <c r="AA8" s="729"/>
      <c r="AB8" s="729"/>
      <c r="AC8" s="729"/>
      <c r="AD8" s="206"/>
      <c r="AE8" s="4"/>
      <c r="AF8" s="206"/>
      <c r="AG8" s="206"/>
      <c r="AH8" s="206"/>
      <c r="AI8" s="5"/>
      <c r="AJ8" s="206"/>
      <c r="AK8" s="206"/>
      <c r="AL8" s="206"/>
      <c r="AM8" s="5"/>
      <c r="AN8" s="206"/>
      <c r="AO8" s="206"/>
      <c r="AP8" s="206"/>
      <c r="AQ8" s="206"/>
      <c r="AR8" s="206"/>
      <c r="AS8" s="206"/>
      <c r="AT8" s="206"/>
      <c r="AU8" s="206"/>
      <c r="AV8" s="206"/>
      <c r="AW8" s="206"/>
      <c r="AX8" s="206"/>
      <c r="AY8" s="5"/>
      <c r="AZ8" s="206"/>
      <c r="BA8" s="206"/>
      <c r="BB8" s="206"/>
      <c r="BC8" s="5"/>
      <c r="BD8" s="206"/>
      <c r="BE8" s="206"/>
      <c r="BF8" s="206"/>
      <c r="BG8" s="5"/>
      <c r="BH8" s="206"/>
      <c r="BI8" s="206"/>
      <c r="BJ8" s="206"/>
      <c r="BK8" s="5"/>
      <c r="BL8" s="206"/>
      <c r="BM8" s="206"/>
      <c r="BN8" s="206"/>
      <c r="BO8" s="5"/>
      <c r="BP8" s="206"/>
      <c r="BQ8" s="206"/>
      <c r="BR8" s="206"/>
      <c r="BS8" s="206"/>
      <c r="BT8" s="206"/>
      <c r="BU8" s="206"/>
      <c r="BV8" s="206"/>
      <c r="BW8" s="5"/>
      <c r="BX8" s="206"/>
      <c r="BY8" s="206"/>
    </row>
    <row r="9" spans="1:274" s="134" customFormat="1" ht="18.75" customHeight="1" x14ac:dyDescent="0.2">
      <c r="B9" s="725" t="s">
        <v>0</v>
      </c>
      <c r="C9" s="725"/>
      <c r="D9" s="725"/>
      <c r="E9" s="725"/>
      <c r="F9" s="725"/>
      <c r="G9" s="725"/>
      <c r="H9" s="725"/>
      <c r="I9" s="725"/>
      <c r="J9" s="725"/>
      <c r="K9" s="725"/>
      <c r="L9" s="725"/>
      <c r="M9" s="725"/>
      <c r="N9" s="725"/>
      <c r="O9" s="725"/>
      <c r="P9" s="725"/>
      <c r="Q9" s="725"/>
      <c r="R9" s="725"/>
      <c r="S9" s="725"/>
      <c r="T9" s="725"/>
      <c r="U9" s="725"/>
      <c r="V9" s="725"/>
      <c r="W9" s="725"/>
      <c r="X9" s="725"/>
      <c r="Y9" s="725"/>
      <c r="Z9" s="725"/>
      <c r="AA9" s="725"/>
      <c r="AB9" s="725"/>
      <c r="AC9" s="725"/>
      <c r="AD9" s="209"/>
      <c r="AE9" s="136"/>
      <c r="AF9" s="209"/>
      <c r="AG9" s="209"/>
      <c r="AH9" s="209"/>
      <c r="AI9" s="138"/>
      <c r="AJ9" s="209"/>
      <c r="AK9" s="209"/>
      <c r="AL9" s="209"/>
      <c r="AM9" s="138"/>
      <c r="AN9" s="209"/>
      <c r="AO9" s="209"/>
      <c r="AP9" s="209"/>
      <c r="AQ9" s="209"/>
      <c r="AR9" s="209"/>
      <c r="AS9" s="209"/>
      <c r="AT9" s="209"/>
      <c r="AU9" s="209"/>
      <c r="AV9" s="209"/>
      <c r="AW9" s="209"/>
      <c r="AX9" s="209"/>
      <c r="AY9" s="138"/>
      <c r="AZ9" s="209"/>
      <c r="BA9" s="209"/>
      <c r="BB9" s="209"/>
      <c r="BC9" s="138"/>
      <c r="BD9" s="209"/>
      <c r="BE9" s="209"/>
      <c r="BF9" s="209"/>
      <c r="BG9" s="138"/>
      <c r="BH9" s="209"/>
      <c r="BI9" s="209"/>
      <c r="BJ9" s="209"/>
      <c r="BK9" s="138"/>
      <c r="BL9" s="209"/>
      <c r="BM9" s="209"/>
      <c r="BN9" s="209"/>
      <c r="BO9" s="138"/>
      <c r="BP9" s="209"/>
      <c r="BQ9" s="209"/>
      <c r="BR9" s="209"/>
      <c r="BS9" s="209"/>
      <c r="BT9" s="209"/>
      <c r="BU9" s="209"/>
      <c r="BV9" s="209"/>
      <c r="BW9" s="138"/>
      <c r="BX9" s="209"/>
      <c r="BY9" s="209"/>
    </row>
    <row r="10" spans="1:274" s="134" customFormat="1" x14ac:dyDescent="0.2">
      <c r="B10" s="725"/>
      <c r="C10" s="725"/>
      <c r="D10" s="725"/>
      <c r="E10" s="725"/>
      <c r="F10" s="725"/>
      <c r="G10" s="725"/>
      <c r="H10" s="725"/>
      <c r="I10" s="725"/>
      <c r="J10" s="725"/>
      <c r="K10" s="725"/>
      <c r="L10" s="725"/>
      <c r="M10" s="725"/>
      <c r="N10" s="725"/>
      <c r="O10" s="725"/>
      <c r="P10" s="725"/>
      <c r="Q10" s="725"/>
      <c r="R10" s="725"/>
      <c r="S10" s="725"/>
      <c r="T10" s="725"/>
      <c r="U10" s="725"/>
      <c r="V10" s="725"/>
      <c r="W10" s="725"/>
      <c r="X10" s="725"/>
      <c r="Y10" s="725"/>
      <c r="Z10" s="725"/>
      <c r="AA10" s="725"/>
      <c r="AB10" s="725"/>
      <c r="AC10" s="725"/>
      <c r="AE10" s="140"/>
      <c r="AI10" s="141"/>
      <c r="AM10" s="141"/>
      <c r="AY10" s="141"/>
      <c r="BC10" s="141"/>
      <c r="BG10" s="141"/>
      <c r="BK10" s="141"/>
      <c r="BO10" s="141"/>
      <c r="BW10" s="141"/>
    </row>
    <row r="11" spans="1:274" s="134" customFormat="1" ht="18.75" x14ac:dyDescent="0.2">
      <c r="B11" s="208"/>
      <c r="C11" s="208"/>
      <c r="D11" s="208"/>
      <c r="E11" s="208"/>
      <c r="F11" s="208"/>
      <c r="G11" s="208"/>
      <c r="H11" s="208"/>
      <c r="I11" s="208"/>
      <c r="J11" s="208"/>
      <c r="K11" s="208"/>
      <c r="L11" s="208"/>
      <c r="M11" s="208"/>
      <c r="N11" s="208"/>
      <c r="O11" s="208"/>
      <c r="P11" s="208"/>
      <c r="Q11" s="208"/>
      <c r="R11" s="208"/>
      <c r="S11" s="208"/>
      <c r="T11" s="208"/>
      <c r="U11" s="208"/>
      <c r="V11" s="208"/>
      <c r="W11" s="208"/>
      <c r="X11" s="208"/>
      <c r="Y11" s="208"/>
      <c r="Z11" s="208"/>
      <c r="AA11" s="208"/>
      <c r="AB11" s="208"/>
      <c r="AC11" s="208"/>
      <c r="AE11" s="140"/>
      <c r="AI11" s="141"/>
      <c r="AM11" s="141"/>
      <c r="AY11" s="141"/>
      <c r="BC11" s="141"/>
      <c r="BG11" s="141"/>
      <c r="BK11" s="141"/>
      <c r="BO11" s="141"/>
      <c r="BW11" s="141"/>
    </row>
    <row r="12" spans="1:274" ht="33.75" x14ac:dyDescent="0.2">
      <c r="B12" s="8" t="s">
        <v>1</v>
      </c>
      <c r="C12" s="8" t="s">
        <v>2</v>
      </c>
      <c r="D12" s="9" t="s">
        <v>3</v>
      </c>
      <c r="E12" s="10" t="s">
        <v>4</v>
      </c>
      <c r="F12" s="119"/>
      <c r="G12" s="208"/>
      <c r="H12" s="208"/>
      <c r="I12" s="208"/>
      <c r="J12" s="208"/>
      <c r="K12" s="208"/>
      <c r="L12" s="208"/>
      <c r="M12" s="208"/>
      <c r="N12" s="208"/>
      <c r="O12" s="208"/>
      <c r="P12" s="208"/>
      <c r="Q12" s="208"/>
      <c r="R12" s="208"/>
      <c r="S12" s="208"/>
      <c r="T12" s="208"/>
      <c r="U12" s="208"/>
      <c r="V12" s="208"/>
      <c r="W12" s="208"/>
      <c r="X12" s="208"/>
      <c r="Y12" s="208"/>
      <c r="Z12" s="208"/>
      <c r="AA12" s="208"/>
      <c r="AB12" s="208"/>
      <c r="AC12" s="208"/>
      <c r="AD12" s="134"/>
      <c r="AE12" s="140"/>
      <c r="AF12" s="134"/>
      <c r="AG12" s="134"/>
      <c r="AH12" s="134"/>
      <c r="AI12" s="141"/>
      <c r="AJ12" s="134"/>
      <c r="AK12" s="134"/>
      <c r="AL12" s="134"/>
      <c r="AM12" s="141"/>
      <c r="AN12" s="134"/>
      <c r="AO12" s="134"/>
      <c r="AP12" s="134"/>
      <c r="AQ12" s="134"/>
      <c r="AR12" s="134"/>
      <c r="AS12" s="134"/>
      <c r="AT12" s="134"/>
      <c r="AU12" s="134"/>
      <c r="AV12" s="134"/>
      <c r="AW12" s="134"/>
      <c r="AX12" s="134"/>
      <c r="AY12" s="141"/>
      <c r="AZ12" s="134"/>
      <c r="BA12" s="134"/>
      <c r="BB12" s="134"/>
      <c r="BC12" s="141"/>
      <c r="BD12" s="134"/>
      <c r="BE12" s="134"/>
      <c r="BF12" s="134"/>
      <c r="BG12" s="141"/>
      <c r="BH12" s="134"/>
      <c r="BI12" s="134"/>
      <c r="BJ12" s="134"/>
      <c r="BK12" s="141"/>
      <c r="BL12" s="134"/>
      <c r="BM12" s="134"/>
      <c r="BN12" s="134"/>
      <c r="BO12" s="141"/>
      <c r="BP12" s="134"/>
      <c r="BQ12" s="134"/>
      <c r="BR12" s="134"/>
      <c r="BS12" s="134"/>
      <c r="BT12" s="134"/>
      <c r="BU12" s="134"/>
      <c r="BV12" s="134"/>
      <c r="BW12" s="141"/>
      <c r="BX12" s="134"/>
      <c r="BY12" s="134"/>
      <c r="BZ12" s="134"/>
      <c r="CA12" s="134"/>
    </row>
    <row r="13" spans="1:274" ht="18.75" x14ac:dyDescent="0.2">
      <c r="B13" s="11">
        <v>46138317</v>
      </c>
      <c r="C13" s="11">
        <f>57795664+2196789</f>
        <v>59992453</v>
      </c>
      <c r="D13" s="11">
        <v>40970822</v>
      </c>
      <c r="E13" s="11">
        <f>+Y144</f>
        <v>17777932</v>
      </c>
      <c r="F13" s="412"/>
      <c r="G13" s="208"/>
      <c r="H13" s="208"/>
      <c r="I13" s="208"/>
      <c r="J13" s="208"/>
      <c r="K13" s="208"/>
      <c r="L13" s="208"/>
      <c r="M13" s="208"/>
      <c r="N13" s="208"/>
      <c r="O13" s="208"/>
      <c r="P13" s="208"/>
      <c r="Q13" s="208"/>
      <c r="R13" s="208"/>
      <c r="S13" s="208"/>
      <c r="T13" s="208"/>
      <c r="U13" s="208"/>
      <c r="V13" s="208"/>
      <c r="W13" s="208"/>
      <c r="X13" s="208"/>
      <c r="Y13" s="208"/>
      <c r="Z13" s="208"/>
      <c r="AA13" s="208"/>
      <c r="AB13" s="208"/>
      <c r="AC13" s="208"/>
      <c r="AD13" s="134"/>
      <c r="AE13" s="140"/>
      <c r="AF13" s="134"/>
      <c r="AG13" s="134"/>
      <c r="AH13" s="134"/>
      <c r="AI13" s="141"/>
      <c r="AJ13" s="134"/>
      <c r="AK13" s="134"/>
      <c r="AL13" s="134"/>
      <c r="AM13" s="141"/>
      <c r="AN13" s="134"/>
      <c r="AO13" s="134"/>
      <c r="AP13" s="134"/>
      <c r="AQ13" s="134"/>
      <c r="AR13" s="134"/>
      <c r="AS13" s="134"/>
      <c r="AT13" s="134"/>
      <c r="AU13" s="134"/>
      <c r="AV13" s="134"/>
      <c r="AW13" s="134"/>
      <c r="AX13" s="134"/>
      <c r="AY13" s="141"/>
      <c r="AZ13" s="134"/>
      <c r="BA13" s="134"/>
      <c r="BB13" s="134"/>
      <c r="BC13" s="141"/>
      <c r="BD13" s="134"/>
      <c r="BE13" s="134"/>
      <c r="BF13" s="134"/>
      <c r="BG13" s="141"/>
      <c r="BH13" s="134"/>
      <c r="BI13" s="134"/>
      <c r="BJ13" s="134"/>
      <c r="BK13" s="141"/>
      <c r="BL13" s="134"/>
      <c r="BM13" s="134"/>
      <c r="BN13" s="134"/>
      <c r="BO13" s="141"/>
      <c r="BP13" s="134"/>
      <c r="BQ13" s="134"/>
      <c r="BR13" s="134"/>
      <c r="BS13" s="134"/>
      <c r="BT13" s="134"/>
      <c r="BU13" s="134"/>
      <c r="BV13" s="134"/>
      <c r="BW13" s="141"/>
      <c r="BX13" s="134"/>
      <c r="BY13" s="134"/>
      <c r="BZ13" s="134"/>
      <c r="CA13" s="134"/>
    </row>
    <row r="14" spans="1:274" ht="15" customHeight="1" x14ac:dyDescent="0.2">
      <c r="C14" s="13"/>
      <c r="D14" s="14"/>
      <c r="E14" s="13"/>
      <c r="F14" s="146"/>
      <c r="G14" s="134"/>
      <c r="H14" s="134"/>
      <c r="I14" s="134"/>
      <c r="J14" s="134"/>
      <c r="K14" s="134"/>
      <c r="L14" s="134"/>
      <c r="M14" s="134"/>
      <c r="N14" s="134"/>
      <c r="O14" s="134"/>
      <c r="P14" s="134"/>
      <c r="Q14" s="134"/>
      <c r="R14" s="134"/>
      <c r="S14" s="134"/>
      <c r="T14" s="134"/>
      <c r="U14" s="134"/>
      <c r="V14" s="134"/>
      <c r="W14" s="134"/>
      <c r="X14" s="134"/>
      <c r="Y14" s="134"/>
      <c r="Z14" s="774" t="s">
        <v>5</v>
      </c>
      <c r="AA14" s="775"/>
      <c r="AB14" s="775"/>
      <c r="AC14" s="775"/>
      <c r="AD14" s="728" t="s">
        <v>6</v>
      </c>
      <c r="AE14" s="723"/>
      <c r="AF14" s="723"/>
      <c r="AG14" s="723"/>
      <c r="AH14" s="728" t="s">
        <v>6</v>
      </c>
      <c r="AI14" s="723"/>
      <c r="AJ14" s="723"/>
      <c r="AK14" s="723"/>
      <c r="AL14" s="728" t="s">
        <v>6</v>
      </c>
      <c r="AM14" s="723"/>
      <c r="AN14" s="723"/>
      <c r="AO14" s="723"/>
      <c r="AP14" s="728" t="s">
        <v>6</v>
      </c>
      <c r="AQ14" s="723"/>
      <c r="AR14" s="723"/>
      <c r="AS14" s="723"/>
      <c r="AT14" s="728" t="s">
        <v>6</v>
      </c>
      <c r="AU14" s="723"/>
      <c r="AV14" s="723"/>
      <c r="AW14" s="723"/>
      <c r="AX14" s="728" t="s">
        <v>6</v>
      </c>
      <c r="AY14" s="723"/>
      <c r="AZ14" s="723"/>
      <c r="BA14" s="723"/>
      <c r="BB14" s="728" t="s">
        <v>6</v>
      </c>
      <c r="BC14" s="723"/>
      <c r="BD14" s="723"/>
      <c r="BE14" s="723"/>
      <c r="BF14" s="728" t="s">
        <v>6</v>
      </c>
      <c r="BG14" s="723"/>
      <c r="BH14" s="723"/>
      <c r="BI14" s="723"/>
      <c r="BJ14" s="728" t="s">
        <v>6</v>
      </c>
      <c r="BK14" s="723"/>
      <c r="BL14" s="723"/>
      <c r="BM14" s="723"/>
      <c r="BN14" s="728" t="s">
        <v>6</v>
      </c>
      <c r="BO14" s="723"/>
      <c r="BP14" s="723"/>
      <c r="BQ14" s="723"/>
      <c r="BR14" s="728" t="s">
        <v>6</v>
      </c>
      <c r="BS14" s="723"/>
      <c r="BT14" s="723"/>
      <c r="BU14" s="723"/>
      <c r="BV14" s="728" t="s">
        <v>6</v>
      </c>
      <c r="BW14" s="723"/>
      <c r="BX14" s="723"/>
      <c r="BY14" s="723"/>
      <c r="BZ14" s="723" t="s">
        <v>7</v>
      </c>
      <c r="CA14" s="723"/>
    </row>
    <row r="15" spans="1:274" s="15" customFormat="1" ht="55.5" customHeight="1" x14ac:dyDescent="0.25">
      <c r="A15" s="148"/>
      <c r="B15" s="32" t="s">
        <v>8</v>
      </c>
      <c r="C15" s="32" t="s">
        <v>9</v>
      </c>
      <c r="D15" s="32" t="s">
        <v>10</v>
      </c>
      <c r="E15" s="10" t="s">
        <v>11</v>
      </c>
      <c r="F15" s="10" t="s">
        <v>12</v>
      </c>
      <c r="G15" s="10" t="s">
        <v>13</v>
      </c>
      <c r="H15" s="10" t="s">
        <v>14</v>
      </c>
      <c r="I15" s="10" t="s">
        <v>122</v>
      </c>
      <c r="J15" s="10" t="s">
        <v>15</v>
      </c>
      <c r="K15" s="10" t="s">
        <v>16</v>
      </c>
      <c r="L15" s="10" t="s">
        <v>17</v>
      </c>
      <c r="M15" s="33" t="s">
        <v>18</v>
      </c>
      <c r="N15" s="33" t="s">
        <v>19</v>
      </c>
      <c r="O15" s="33" t="s">
        <v>20</v>
      </c>
      <c r="P15" s="33" t="s">
        <v>21</v>
      </c>
      <c r="Q15" s="33" t="s">
        <v>22</v>
      </c>
      <c r="R15" s="33" t="s">
        <v>23</v>
      </c>
      <c r="S15" s="33" t="s">
        <v>24</v>
      </c>
      <c r="T15" s="33" t="s">
        <v>25</v>
      </c>
      <c r="U15" s="33" t="s">
        <v>26</v>
      </c>
      <c r="V15" s="33" t="s">
        <v>27</v>
      </c>
      <c r="W15" s="33" t="s">
        <v>28</v>
      </c>
      <c r="X15" s="33" t="s">
        <v>29</v>
      </c>
      <c r="Y15" s="35" t="s">
        <v>30</v>
      </c>
      <c r="Z15" s="36" t="s">
        <v>31</v>
      </c>
      <c r="AA15" s="37" t="s">
        <v>32</v>
      </c>
      <c r="AB15" s="36" t="s">
        <v>33</v>
      </c>
      <c r="AC15" s="36" t="s">
        <v>34</v>
      </c>
      <c r="AD15" s="706" t="s">
        <v>35</v>
      </c>
      <c r="AE15" s="707" t="s">
        <v>3133</v>
      </c>
      <c r="AF15" s="706" t="s">
        <v>3134</v>
      </c>
      <c r="AG15" s="706" t="s">
        <v>3135</v>
      </c>
      <c r="AH15" s="706" t="s">
        <v>35</v>
      </c>
      <c r="AI15" s="707" t="s">
        <v>3136</v>
      </c>
      <c r="AJ15" s="706" t="s">
        <v>3137</v>
      </c>
      <c r="AK15" s="706" t="s">
        <v>3138</v>
      </c>
      <c r="AL15" s="706" t="s">
        <v>35</v>
      </c>
      <c r="AM15" s="707" t="s">
        <v>3139</v>
      </c>
      <c r="AN15" s="706" t="s">
        <v>3140</v>
      </c>
      <c r="AO15" s="706" t="s">
        <v>3141</v>
      </c>
      <c r="AP15" s="706" t="s">
        <v>35</v>
      </c>
      <c r="AQ15" s="707" t="s">
        <v>3142</v>
      </c>
      <c r="AR15" s="706" t="s">
        <v>3143</v>
      </c>
      <c r="AS15" s="706" t="s">
        <v>3144</v>
      </c>
      <c r="AT15" s="706" t="s">
        <v>35</v>
      </c>
      <c r="AU15" s="707" t="s">
        <v>3145</v>
      </c>
      <c r="AV15" s="706" t="s">
        <v>3146</v>
      </c>
      <c r="AW15" s="706" t="s">
        <v>3147</v>
      </c>
      <c r="AX15" s="706" t="s">
        <v>35</v>
      </c>
      <c r="AY15" s="707" t="s">
        <v>3148</v>
      </c>
      <c r="AZ15" s="706" t="s">
        <v>3149</v>
      </c>
      <c r="BA15" s="706" t="s">
        <v>3150</v>
      </c>
      <c r="BB15" s="706" t="s">
        <v>35</v>
      </c>
      <c r="BC15" s="707" t="s">
        <v>3151</v>
      </c>
      <c r="BD15" s="706" t="s">
        <v>3152</v>
      </c>
      <c r="BE15" s="706" t="s">
        <v>3153</v>
      </c>
      <c r="BF15" s="706" t="s">
        <v>35</v>
      </c>
      <c r="BG15" s="707" t="s">
        <v>3154</v>
      </c>
      <c r="BH15" s="706" t="s">
        <v>3155</v>
      </c>
      <c r="BI15" s="706" t="s">
        <v>3156</v>
      </c>
      <c r="BJ15" s="706" t="s">
        <v>35</v>
      </c>
      <c r="BK15" s="707" t="s">
        <v>3157</v>
      </c>
      <c r="BL15" s="706" t="s">
        <v>3158</v>
      </c>
      <c r="BM15" s="706" t="s">
        <v>3159</v>
      </c>
      <c r="BN15" s="706" t="s">
        <v>35</v>
      </c>
      <c r="BO15" s="707" t="s">
        <v>3160</v>
      </c>
      <c r="BP15" s="706" t="s">
        <v>3161</v>
      </c>
      <c r="BQ15" s="706" t="s">
        <v>3162</v>
      </c>
      <c r="BR15" s="706" t="s">
        <v>35</v>
      </c>
      <c r="BS15" s="707" t="s">
        <v>3163</v>
      </c>
      <c r="BT15" s="706" t="s">
        <v>3164</v>
      </c>
      <c r="BU15" s="706" t="s">
        <v>3165</v>
      </c>
      <c r="BV15" s="706" t="s">
        <v>35</v>
      </c>
      <c r="BW15" s="707" t="s">
        <v>3166</v>
      </c>
      <c r="BX15" s="706" t="s">
        <v>3167</v>
      </c>
      <c r="BY15" s="706" t="s">
        <v>3168</v>
      </c>
      <c r="BZ15" s="708" t="s">
        <v>36</v>
      </c>
      <c r="CA15" s="708" t="s">
        <v>37</v>
      </c>
      <c r="CB15" s="148"/>
      <c r="CC15" s="148"/>
      <c r="CD15" s="148"/>
      <c r="CE15" s="148"/>
      <c r="CF15" s="148"/>
      <c r="CG15" s="148"/>
      <c r="CH15" s="148"/>
      <c r="CI15" s="148"/>
      <c r="CJ15" s="148"/>
      <c r="CK15" s="148"/>
      <c r="CL15" s="148"/>
      <c r="CM15" s="148"/>
      <c r="CN15" s="148"/>
      <c r="CO15" s="148"/>
      <c r="CP15" s="148"/>
      <c r="CQ15" s="148"/>
      <c r="CR15" s="148"/>
      <c r="CS15" s="148"/>
      <c r="CT15" s="148"/>
      <c r="CU15" s="148"/>
      <c r="CV15" s="148"/>
      <c r="CW15" s="148"/>
      <c r="CX15" s="148"/>
      <c r="CY15" s="148"/>
      <c r="CZ15" s="148"/>
      <c r="DA15" s="148"/>
      <c r="DB15" s="148"/>
      <c r="DC15" s="148"/>
      <c r="DD15" s="148"/>
      <c r="DE15" s="148"/>
      <c r="DF15" s="148"/>
      <c r="DG15" s="148"/>
      <c r="DH15" s="148"/>
      <c r="DI15" s="148"/>
      <c r="DJ15" s="148"/>
      <c r="DK15" s="148"/>
      <c r="DL15" s="148"/>
      <c r="DM15" s="148"/>
      <c r="DN15" s="148"/>
      <c r="DO15" s="148"/>
      <c r="DP15" s="148"/>
      <c r="DQ15" s="148"/>
      <c r="DR15" s="148"/>
      <c r="DS15" s="148"/>
      <c r="DT15" s="148"/>
      <c r="DU15" s="148"/>
      <c r="DV15" s="148"/>
      <c r="DW15" s="148"/>
      <c r="DX15" s="148"/>
      <c r="DY15" s="148"/>
      <c r="DZ15" s="148"/>
      <c r="EA15" s="148"/>
      <c r="EB15" s="148"/>
      <c r="EC15" s="148"/>
      <c r="ED15" s="148"/>
      <c r="EE15" s="148"/>
      <c r="EF15" s="148"/>
      <c r="EG15" s="148"/>
      <c r="EH15" s="148"/>
      <c r="EI15" s="148"/>
      <c r="EJ15" s="148"/>
      <c r="EK15" s="148"/>
      <c r="EL15" s="148"/>
      <c r="EM15" s="148"/>
      <c r="EN15" s="148"/>
      <c r="EO15" s="148"/>
      <c r="EP15" s="148"/>
      <c r="EQ15" s="148"/>
      <c r="ER15" s="148"/>
      <c r="ES15" s="148"/>
      <c r="ET15" s="148"/>
      <c r="EU15" s="148"/>
      <c r="EV15" s="148"/>
      <c r="EW15" s="148"/>
      <c r="EX15" s="148"/>
      <c r="EY15" s="148"/>
      <c r="EZ15" s="148"/>
      <c r="FA15" s="148"/>
      <c r="FB15" s="148"/>
      <c r="FC15" s="148"/>
      <c r="FD15" s="148"/>
      <c r="FE15" s="148"/>
      <c r="FF15" s="148"/>
      <c r="FG15" s="148"/>
      <c r="FH15" s="148"/>
      <c r="FI15" s="148"/>
      <c r="FJ15" s="148"/>
      <c r="FK15" s="148"/>
      <c r="FL15" s="148"/>
      <c r="FM15" s="148"/>
      <c r="FN15" s="148"/>
      <c r="FO15" s="148"/>
      <c r="FP15" s="148"/>
      <c r="FQ15" s="148"/>
      <c r="FR15" s="148"/>
      <c r="FS15" s="148"/>
      <c r="FT15" s="148"/>
      <c r="FU15" s="148"/>
      <c r="FV15" s="148"/>
      <c r="FW15" s="148"/>
      <c r="FX15" s="148"/>
      <c r="FY15" s="148"/>
      <c r="FZ15" s="148"/>
      <c r="GA15" s="148"/>
      <c r="GB15" s="148"/>
      <c r="GC15" s="148"/>
      <c r="GD15" s="148"/>
      <c r="GE15" s="148"/>
      <c r="GF15" s="148"/>
      <c r="GG15" s="148"/>
      <c r="GH15" s="148"/>
      <c r="GI15" s="148"/>
      <c r="GJ15" s="148"/>
      <c r="GK15" s="148"/>
      <c r="GL15" s="148"/>
      <c r="GM15" s="148"/>
      <c r="GN15" s="148"/>
      <c r="GO15" s="148"/>
      <c r="GP15" s="148"/>
      <c r="GQ15" s="148"/>
      <c r="GR15" s="148"/>
      <c r="GS15" s="148"/>
      <c r="GT15" s="148"/>
      <c r="GU15" s="148"/>
      <c r="GV15" s="148"/>
      <c r="GW15" s="148"/>
      <c r="GX15" s="148"/>
      <c r="GY15" s="148"/>
      <c r="GZ15" s="148"/>
      <c r="HA15" s="148"/>
      <c r="HB15" s="148"/>
      <c r="HC15" s="148"/>
      <c r="HD15" s="148"/>
      <c r="HE15" s="148"/>
      <c r="HF15" s="148"/>
      <c r="HG15" s="148"/>
      <c r="HH15" s="148"/>
      <c r="HI15" s="148"/>
      <c r="HJ15" s="148"/>
      <c r="HK15" s="148"/>
      <c r="HL15" s="148"/>
      <c r="HM15" s="148"/>
      <c r="HN15" s="148"/>
      <c r="HO15" s="148"/>
      <c r="HP15" s="148"/>
      <c r="HQ15" s="148"/>
      <c r="HR15" s="148"/>
      <c r="HS15" s="148"/>
      <c r="HT15" s="148"/>
      <c r="HU15" s="148"/>
      <c r="HV15" s="148"/>
      <c r="HW15" s="148"/>
      <c r="HX15" s="148"/>
      <c r="HY15" s="148"/>
      <c r="HZ15" s="148"/>
      <c r="IA15" s="148"/>
      <c r="IB15" s="148"/>
      <c r="IC15" s="148"/>
      <c r="ID15" s="148"/>
      <c r="IE15" s="148"/>
      <c r="IF15" s="148"/>
      <c r="IG15" s="148"/>
      <c r="IH15" s="148"/>
      <c r="II15" s="148"/>
      <c r="IJ15" s="148"/>
      <c r="IK15" s="148"/>
      <c r="IL15" s="148"/>
      <c r="IM15" s="148"/>
      <c r="IN15" s="148"/>
      <c r="IO15" s="148"/>
      <c r="IP15" s="148"/>
      <c r="IQ15" s="148"/>
      <c r="IR15" s="148"/>
      <c r="IS15" s="148"/>
      <c r="IT15" s="148"/>
      <c r="IU15" s="148"/>
      <c r="IV15" s="148"/>
      <c r="IW15" s="148"/>
      <c r="IX15" s="148"/>
      <c r="IY15" s="148"/>
      <c r="IZ15" s="148"/>
      <c r="JA15" s="148"/>
      <c r="JB15" s="148"/>
      <c r="JC15" s="148"/>
      <c r="JD15" s="148"/>
      <c r="JE15" s="148"/>
      <c r="JF15" s="148"/>
      <c r="JG15" s="148"/>
      <c r="JH15" s="148"/>
      <c r="JI15" s="148"/>
      <c r="JJ15" s="148"/>
      <c r="JK15" s="148"/>
      <c r="JL15" s="148"/>
      <c r="JM15" s="148"/>
      <c r="JN15" s="148"/>
    </row>
    <row r="16" spans="1:274" s="709" customFormat="1" ht="33.75" x14ac:dyDescent="0.25">
      <c r="A16" s="709">
        <v>1</v>
      </c>
      <c r="B16" s="690">
        <v>1</v>
      </c>
      <c r="C16" s="690" t="s">
        <v>40</v>
      </c>
      <c r="D16" s="691">
        <v>30484670</v>
      </c>
      <c r="E16" s="692" t="s">
        <v>1955</v>
      </c>
      <c r="F16" s="693" t="s">
        <v>45</v>
      </c>
      <c r="G16" s="694" t="s">
        <v>1956</v>
      </c>
      <c r="H16" s="694" t="s">
        <v>1957</v>
      </c>
      <c r="I16" s="693" t="s">
        <v>1958</v>
      </c>
      <c r="J16" s="695">
        <v>78678</v>
      </c>
      <c r="K16" s="695">
        <v>0</v>
      </c>
      <c r="L16" s="695">
        <v>26532</v>
      </c>
      <c r="M16" s="695"/>
      <c r="N16" s="695"/>
      <c r="O16" s="695"/>
      <c r="P16" s="695"/>
      <c r="Q16" s="695"/>
      <c r="R16" s="695"/>
      <c r="S16" s="695"/>
      <c r="T16" s="695"/>
      <c r="U16" s="695"/>
      <c r="V16" s="695"/>
      <c r="W16" s="695"/>
      <c r="X16" s="695"/>
      <c r="Y16" s="695">
        <f>SUM(M16:X16)</f>
        <v>0</v>
      </c>
      <c r="Z16" s="695">
        <f>75000</f>
        <v>75000</v>
      </c>
      <c r="AA16" s="696">
        <v>1</v>
      </c>
      <c r="AB16" s="697">
        <v>44223</v>
      </c>
      <c r="AC16" s="698">
        <v>44244</v>
      </c>
      <c r="AD16" s="695"/>
      <c r="AE16" s="699"/>
      <c r="AF16" s="697"/>
      <c r="AG16" s="698"/>
      <c r="AH16" s="695">
        <v>-60000</v>
      </c>
      <c r="AI16" s="699">
        <v>9</v>
      </c>
      <c r="AJ16" s="697">
        <v>44244</v>
      </c>
      <c r="AK16" s="698">
        <v>44249</v>
      </c>
      <c r="AL16" s="695">
        <v>-3195</v>
      </c>
      <c r="AM16" s="699">
        <v>13</v>
      </c>
      <c r="AN16" s="697">
        <v>44277</v>
      </c>
      <c r="AO16" s="698">
        <v>44281</v>
      </c>
      <c r="AP16" s="695"/>
      <c r="AQ16" s="699"/>
      <c r="AR16" s="697"/>
      <c r="AS16" s="698"/>
      <c r="AT16" s="695"/>
      <c r="AU16" s="699"/>
      <c r="AV16" s="697"/>
      <c r="AW16" s="698"/>
      <c r="AX16" s="695">
        <v>-10000</v>
      </c>
      <c r="AY16" s="699">
        <v>18</v>
      </c>
      <c r="AZ16" s="697">
        <v>44308</v>
      </c>
      <c r="BA16" s="698">
        <v>44314</v>
      </c>
      <c r="BB16" s="695"/>
      <c r="BC16" s="699"/>
      <c r="BD16" s="697"/>
      <c r="BE16" s="698"/>
      <c r="BF16" s="695"/>
      <c r="BG16" s="699"/>
      <c r="BH16" s="697"/>
      <c r="BI16" s="698"/>
      <c r="BJ16" s="695"/>
      <c r="BK16" s="699"/>
      <c r="BL16" s="697"/>
      <c r="BM16" s="698"/>
      <c r="BN16" s="695"/>
      <c r="BO16" s="699"/>
      <c r="BP16" s="697"/>
      <c r="BQ16" s="698"/>
      <c r="BR16" s="695"/>
      <c r="BS16" s="699"/>
      <c r="BT16" s="697"/>
      <c r="BU16" s="698"/>
      <c r="BV16" s="695"/>
      <c r="BW16" s="699"/>
      <c r="BX16" s="697"/>
      <c r="BY16" s="698"/>
      <c r="BZ16" s="710">
        <f>+Z16+AD16+AH16+AL16+BV16+AP16+AT16+AX16+BB16+BF16+BJ16+BN16+BR16</f>
        <v>1805</v>
      </c>
      <c r="CA16" s="711">
        <f t="shared" ref="CA16:CA79" si="0">+BZ16-Y16</f>
        <v>1805</v>
      </c>
    </row>
    <row r="17" spans="1:79" s="709" customFormat="1" ht="22.5" x14ac:dyDescent="0.25">
      <c r="A17" s="709">
        <v>1</v>
      </c>
      <c r="B17" s="221">
        <v>2</v>
      </c>
      <c r="C17" s="221" t="s">
        <v>40</v>
      </c>
      <c r="D17" s="691">
        <v>40013512</v>
      </c>
      <c r="E17" s="150" t="s">
        <v>1959</v>
      </c>
      <c r="F17" s="700" t="s">
        <v>45</v>
      </c>
      <c r="G17" s="151" t="s">
        <v>1956</v>
      </c>
      <c r="H17" s="151" t="s">
        <v>1960</v>
      </c>
      <c r="I17" s="700" t="s">
        <v>1961</v>
      </c>
      <c r="J17" s="125">
        <v>36978</v>
      </c>
      <c r="K17" s="125">
        <v>0</v>
      </c>
      <c r="L17" s="125">
        <v>35510</v>
      </c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>
        <f t="shared" ref="Y17:Y111" si="1">SUM(M17:X17)</f>
        <v>0</v>
      </c>
      <c r="Z17" s="125">
        <v>1468</v>
      </c>
      <c r="AA17" s="126">
        <v>1</v>
      </c>
      <c r="AB17" s="127">
        <v>44207</v>
      </c>
      <c r="AC17" s="128">
        <v>44214</v>
      </c>
      <c r="AD17" s="125"/>
      <c r="AE17" s="129"/>
      <c r="AF17" s="153"/>
      <c r="AG17" s="128"/>
      <c r="AH17" s="125"/>
      <c r="AI17" s="129"/>
      <c r="AJ17" s="153"/>
      <c r="AK17" s="128"/>
      <c r="AL17" s="125"/>
      <c r="AM17" s="129"/>
      <c r="AN17" s="153"/>
      <c r="AO17" s="128"/>
      <c r="AP17" s="125"/>
      <c r="AQ17" s="129"/>
      <c r="AR17" s="153"/>
      <c r="AS17" s="128"/>
      <c r="AT17" s="125"/>
      <c r="AU17" s="129"/>
      <c r="AV17" s="153"/>
      <c r="AW17" s="128"/>
      <c r="AX17" s="125"/>
      <c r="AY17" s="129"/>
      <c r="AZ17" s="153"/>
      <c r="BA17" s="128"/>
      <c r="BB17" s="125"/>
      <c r="BC17" s="129"/>
      <c r="BD17" s="153"/>
      <c r="BE17" s="128"/>
      <c r="BF17" s="125"/>
      <c r="BG17" s="129"/>
      <c r="BH17" s="153"/>
      <c r="BI17" s="128"/>
      <c r="BJ17" s="125"/>
      <c r="BK17" s="129"/>
      <c r="BL17" s="153"/>
      <c r="BM17" s="128"/>
      <c r="BN17" s="125"/>
      <c r="BO17" s="129"/>
      <c r="BP17" s="153"/>
      <c r="BQ17" s="128"/>
      <c r="BR17" s="125"/>
      <c r="BS17" s="129"/>
      <c r="BT17" s="153"/>
      <c r="BU17" s="128"/>
      <c r="BV17" s="125"/>
      <c r="BW17" s="129"/>
      <c r="BX17" s="153"/>
      <c r="BY17" s="128"/>
      <c r="BZ17" s="712">
        <f t="shared" ref="BZ17:BZ80" si="2">+Z17+AD17+AH17+AL17+BV17+AP17+AT17+AX17+BB17+BF17+BJ17+BN17+BR17</f>
        <v>1468</v>
      </c>
      <c r="CA17" s="415">
        <f t="shared" si="0"/>
        <v>1468</v>
      </c>
    </row>
    <row r="18" spans="1:79" s="709" customFormat="1" ht="22.5" x14ac:dyDescent="0.25">
      <c r="A18" s="709">
        <v>1</v>
      </c>
      <c r="B18" s="221">
        <v>3</v>
      </c>
      <c r="C18" s="221" t="s">
        <v>40</v>
      </c>
      <c r="D18" s="691">
        <v>30480932</v>
      </c>
      <c r="E18" s="150" t="s">
        <v>1962</v>
      </c>
      <c r="F18" s="700" t="s">
        <v>45</v>
      </c>
      <c r="G18" s="151" t="s">
        <v>1963</v>
      </c>
      <c r="H18" s="151" t="s">
        <v>1964</v>
      </c>
      <c r="I18" s="700" t="s">
        <v>1958</v>
      </c>
      <c r="J18" s="125">
        <v>73259</v>
      </c>
      <c r="K18" s="125">
        <v>53742</v>
      </c>
      <c r="L18" s="125">
        <v>0</v>
      </c>
      <c r="M18" s="125"/>
      <c r="N18" s="125"/>
      <c r="O18" s="125">
        <v>11917</v>
      </c>
      <c r="P18" s="125"/>
      <c r="Q18" s="125"/>
      <c r="R18" s="125"/>
      <c r="S18" s="125"/>
      <c r="T18" s="125"/>
      <c r="U18" s="125"/>
      <c r="V18" s="125"/>
      <c r="W18" s="125"/>
      <c r="X18" s="125"/>
      <c r="Y18" s="125">
        <f t="shared" si="1"/>
        <v>11917</v>
      </c>
      <c r="Z18" s="125">
        <v>19517</v>
      </c>
      <c r="AA18" s="126">
        <v>1</v>
      </c>
      <c r="AB18" s="127">
        <v>44207</v>
      </c>
      <c r="AC18" s="128">
        <v>44214</v>
      </c>
      <c r="AD18" s="701"/>
      <c r="AE18" s="129"/>
      <c r="AF18" s="127"/>
      <c r="AG18" s="128"/>
      <c r="AH18" s="701"/>
      <c r="AI18" s="129"/>
      <c r="AJ18" s="127"/>
      <c r="AK18" s="128"/>
      <c r="AL18" s="701"/>
      <c r="AM18" s="129"/>
      <c r="AN18" s="127"/>
      <c r="AO18" s="128"/>
      <c r="AP18" s="701"/>
      <c r="AQ18" s="129"/>
      <c r="AR18" s="127"/>
      <c r="AS18" s="128"/>
      <c r="AT18" s="701"/>
      <c r="AU18" s="129"/>
      <c r="AV18" s="127"/>
      <c r="AW18" s="128"/>
      <c r="AX18" s="701">
        <v>-6000</v>
      </c>
      <c r="AY18" s="129">
        <v>18</v>
      </c>
      <c r="AZ18" s="127">
        <v>44308</v>
      </c>
      <c r="BA18" s="128">
        <v>44314</v>
      </c>
      <c r="BB18" s="701"/>
      <c r="BC18" s="129"/>
      <c r="BD18" s="127"/>
      <c r="BE18" s="128"/>
      <c r="BF18" s="701"/>
      <c r="BG18" s="129"/>
      <c r="BH18" s="127"/>
      <c r="BI18" s="128"/>
      <c r="BJ18" s="701"/>
      <c r="BK18" s="129"/>
      <c r="BL18" s="127"/>
      <c r="BM18" s="128"/>
      <c r="BN18" s="701"/>
      <c r="BO18" s="129"/>
      <c r="BP18" s="127"/>
      <c r="BQ18" s="128"/>
      <c r="BR18" s="701"/>
      <c r="BS18" s="129"/>
      <c r="BT18" s="127"/>
      <c r="BU18" s="128"/>
      <c r="BV18" s="701"/>
      <c r="BW18" s="129"/>
      <c r="BX18" s="127"/>
      <c r="BY18" s="128"/>
      <c r="BZ18" s="712">
        <f t="shared" si="2"/>
        <v>13517</v>
      </c>
      <c r="CA18" s="415">
        <f t="shared" si="0"/>
        <v>1600</v>
      </c>
    </row>
    <row r="19" spans="1:79" s="709" customFormat="1" ht="22.5" x14ac:dyDescent="0.25">
      <c r="A19" s="709">
        <v>1</v>
      </c>
      <c r="B19" s="221">
        <v>4</v>
      </c>
      <c r="C19" s="221" t="s">
        <v>40</v>
      </c>
      <c r="D19" s="691">
        <v>40004727</v>
      </c>
      <c r="E19" s="150" t="s">
        <v>1965</v>
      </c>
      <c r="F19" s="700" t="s">
        <v>45</v>
      </c>
      <c r="G19" s="151" t="s">
        <v>1966</v>
      </c>
      <c r="H19" s="151" t="s">
        <v>1967</v>
      </c>
      <c r="I19" s="700" t="s">
        <v>1958</v>
      </c>
      <c r="J19" s="125">
        <v>186383</v>
      </c>
      <c r="K19" s="125">
        <v>0</v>
      </c>
      <c r="L19" s="125">
        <v>174233</v>
      </c>
      <c r="M19" s="125"/>
      <c r="N19" s="125"/>
      <c r="O19" s="125"/>
      <c r="P19" s="125">
        <v>30000</v>
      </c>
      <c r="Q19" s="125"/>
      <c r="R19" s="125"/>
      <c r="S19" s="125"/>
      <c r="T19" s="125"/>
      <c r="U19" s="125"/>
      <c r="V19" s="125"/>
      <c r="W19" s="125"/>
      <c r="X19" s="125"/>
      <c r="Y19" s="125">
        <f t="shared" si="1"/>
        <v>30000</v>
      </c>
      <c r="Z19" s="125">
        <f>12150</f>
        <v>12150</v>
      </c>
      <c r="AA19" s="126">
        <v>1</v>
      </c>
      <c r="AB19" s="127">
        <v>44223</v>
      </c>
      <c r="AC19" s="128">
        <v>44244</v>
      </c>
      <c r="AD19" s="125"/>
      <c r="AE19" s="129"/>
      <c r="AF19" s="127"/>
      <c r="AG19" s="128"/>
      <c r="AH19" s="125"/>
      <c r="AI19" s="129"/>
      <c r="AJ19" s="127"/>
      <c r="AK19" s="128"/>
      <c r="AL19" s="125">
        <v>3195</v>
      </c>
      <c r="AM19" s="129">
        <v>13</v>
      </c>
      <c r="AN19" s="127">
        <v>44277</v>
      </c>
      <c r="AO19" s="128">
        <v>44281</v>
      </c>
      <c r="AP19" s="125"/>
      <c r="AQ19" s="129"/>
      <c r="AR19" s="127"/>
      <c r="AS19" s="128"/>
      <c r="AT19" s="125"/>
      <c r="AU19" s="129"/>
      <c r="AV19" s="127"/>
      <c r="AW19" s="128"/>
      <c r="AX19" s="125">
        <v>16000</v>
      </c>
      <c r="AY19" s="129">
        <v>18</v>
      </c>
      <c r="AZ19" s="127">
        <v>44308</v>
      </c>
      <c r="BA19" s="128">
        <v>44314</v>
      </c>
      <c r="BB19" s="125"/>
      <c r="BC19" s="129"/>
      <c r="BD19" s="127"/>
      <c r="BE19" s="128"/>
      <c r="BF19" s="125">
        <v>20000</v>
      </c>
      <c r="BG19" s="129">
        <v>25</v>
      </c>
      <c r="BH19" s="127">
        <v>44329</v>
      </c>
      <c r="BI19" s="128">
        <v>44335</v>
      </c>
      <c r="BJ19" s="125"/>
      <c r="BK19" s="129"/>
      <c r="BL19" s="127"/>
      <c r="BM19" s="128"/>
      <c r="BN19" s="125"/>
      <c r="BO19" s="129"/>
      <c r="BP19" s="127"/>
      <c r="BQ19" s="128"/>
      <c r="BR19" s="125"/>
      <c r="BS19" s="129"/>
      <c r="BT19" s="127"/>
      <c r="BU19" s="128"/>
      <c r="BV19" s="125"/>
      <c r="BW19" s="129"/>
      <c r="BX19" s="127"/>
      <c r="BY19" s="128"/>
      <c r="BZ19" s="712">
        <f t="shared" si="2"/>
        <v>51345</v>
      </c>
      <c r="CA19" s="415">
        <f t="shared" si="0"/>
        <v>21345</v>
      </c>
    </row>
    <row r="20" spans="1:79" s="709" customFormat="1" ht="22.5" x14ac:dyDescent="0.25">
      <c r="A20" s="709">
        <v>1</v>
      </c>
      <c r="B20" s="221">
        <v>5</v>
      </c>
      <c r="C20" s="221" t="s">
        <v>38</v>
      </c>
      <c r="D20" s="691">
        <v>30076653</v>
      </c>
      <c r="E20" s="150" t="s">
        <v>1968</v>
      </c>
      <c r="F20" s="700" t="s">
        <v>45</v>
      </c>
      <c r="G20" s="151" t="s">
        <v>1969</v>
      </c>
      <c r="H20" s="151" t="s">
        <v>1970</v>
      </c>
      <c r="I20" s="700" t="s">
        <v>1958</v>
      </c>
      <c r="J20" s="125">
        <v>1186275</v>
      </c>
      <c r="K20" s="125">
        <v>876710</v>
      </c>
      <c r="L20" s="125">
        <v>0</v>
      </c>
      <c r="M20" s="125"/>
      <c r="N20" s="125">
        <v>134007</v>
      </c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5">
        <f t="shared" si="1"/>
        <v>134007</v>
      </c>
      <c r="Z20" s="125">
        <v>309565</v>
      </c>
      <c r="AA20" s="126">
        <v>1</v>
      </c>
      <c r="AB20" s="127">
        <v>44207</v>
      </c>
      <c r="AC20" s="128">
        <v>44214</v>
      </c>
      <c r="AD20" s="125"/>
      <c r="AE20" s="129"/>
      <c r="AF20" s="127"/>
      <c r="AG20" s="128"/>
      <c r="AH20" s="125"/>
      <c r="AI20" s="129"/>
      <c r="AJ20" s="127"/>
      <c r="AK20" s="128"/>
      <c r="AL20" s="125"/>
      <c r="AM20" s="129"/>
      <c r="AN20" s="127"/>
      <c r="AO20" s="128"/>
      <c r="AP20" s="125"/>
      <c r="AQ20" s="129"/>
      <c r="AR20" s="127"/>
      <c r="AS20" s="128"/>
      <c r="AT20" s="125"/>
      <c r="AU20" s="129"/>
      <c r="AV20" s="127"/>
      <c r="AW20" s="128"/>
      <c r="AX20" s="125"/>
      <c r="AY20" s="129"/>
      <c r="AZ20" s="127"/>
      <c r="BA20" s="128"/>
      <c r="BB20" s="125"/>
      <c r="BC20" s="129"/>
      <c r="BD20" s="127"/>
      <c r="BE20" s="128"/>
      <c r="BF20" s="125"/>
      <c r="BG20" s="129"/>
      <c r="BH20" s="127"/>
      <c r="BI20" s="128"/>
      <c r="BJ20" s="125"/>
      <c r="BK20" s="129"/>
      <c r="BL20" s="127"/>
      <c r="BM20" s="128"/>
      <c r="BN20" s="125"/>
      <c r="BO20" s="129"/>
      <c r="BP20" s="127"/>
      <c r="BQ20" s="128"/>
      <c r="BR20" s="125"/>
      <c r="BS20" s="129"/>
      <c r="BT20" s="127"/>
      <c r="BU20" s="128"/>
      <c r="BV20" s="125"/>
      <c r="BW20" s="129"/>
      <c r="BX20" s="127"/>
      <c r="BY20" s="128"/>
      <c r="BZ20" s="712">
        <f t="shared" si="2"/>
        <v>309565</v>
      </c>
      <c r="CA20" s="415">
        <f t="shared" si="0"/>
        <v>175558</v>
      </c>
    </row>
    <row r="21" spans="1:79" s="709" customFormat="1" ht="22.5" x14ac:dyDescent="0.25">
      <c r="A21" s="709">
        <v>1</v>
      </c>
      <c r="B21" s="221">
        <v>6</v>
      </c>
      <c r="C21" s="221" t="s">
        <v>38</v>
      </c>
      <c r="D21" s="691">
        <v>30081565</v>
      </c>
      <c r="E21" s="150" t="s">
        <v>1971</v>
      </c>
      <c r="F21" s="700" t="s">
        <v>45</v>
      </c>
      <c r="G21" s="151" t="s">
        <v>903</v>
      </c>
      <c r="H21" s="151" t="s">
        <v>226</v>
      </c>
      <c r="I21" s="700" t="s">
        <v>1961</v>
      </c>
      <c r="J21" s="125">
        <v>2545476</v>
      </c>
      <c r="K21" s="125">
        <v>0</v>
      </c>
      <c r="L21" s="125">
        <v>2544476</v>
      </c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>
        <f t="shared" si="1"/>
        <v>0</v>
      </c>
      <c r="Z21" s="125">
        <v>2</v>
      </c>
      <c r="AA21" s="126">
        <v>1</v>
      </c>
      <c r="AB21" s="127">
        <v>44207</v>
      </c>
      <c r="AC21" s="128">
        <v>44214</v>
      </c>
      <c r="AD21" s="125"/>
      <c r="AE21" s="129"/>
      <c r="AF21" s="127"/>
      <c r="AG21" s="128"/>
      <c r="AH21" s="125"/>
      <c r="AI21" s="129"/>
      <c r="AJ21" s="127"/>
      <c r="AK21" s="128"/>
      <c r="AL21" s="125"/>
      <c r="AM21" s="129"/>
      <c r="AN21" s="127"/>
      <c r="AO21" s="128"/>
      <c r="AP21" s="125"/>
      <c r="AQ21" s="129"/>
      <c r="AR21" s="127"/>
      <c r="AS21" s="128"/>
      <c r="AT21" s="125"/>
      <c r="AU21" s="129"/>
      <c r="AV21" s="127"/>
      <c r="AW21" s="128"/>
      <c r="AX21" s="125"/>
      <c r="AY21" s="129"/>
      <c r="AZ21" s="127"/>
      <c r="BA21" s="128"/>
      <c r="BB21" s="125"/>
      <c r="BC21" s="129"/>
      <c r="BD21" s="127"/>
      <c r="BE21" s="128"/>
      <c r="BF21" s="125">
        <v>1000</v>
      </c>
      <c r="BG21" s="129">
        <v>25</v>
      </c>
      <c r="BH21" s="127">
        <v>44329</v>
      </c>
      <c r="BI21" s="128">
        <v>44335</v>
      </c>
      <c r="BJ21" s="125"/>
      <c r="BK21" s="129"/>
      <c r="BL21" s="127"/>
      <c r="BM21" s="128"/>
      <c r="BN21" s="125"/>
      <c r="BO21" s="129"/>
      <c r="BP21" s="127"/>
      <c r="BQ21" s="128"/>
      <c r="BR21" s="125"/>
      <c r="BS21" s="129"/>
      <c r="BT21" s="127"/>
      <c r="BU21" s="128"/>
      <c r="BV21" s="125"/>
      <c r="BW21" s="129"/>
      <c r="BX21" s="127"/>
      <c r="BY21" s="128"/>
      <c r="BZ21" s="712">
        <f t="shared" si="2"/>
        <v>1002</v>
      </c>
      <c r="CA21" s="415">
        <f t="shared" si="0"/>
        <v>1002</v>
      </c>
    </row>
    <row r="22" spans="1:79" s="709" customFormat="1" ht="22.5" x14ac:dyDescent="0.25">
      <c r="A22" s="709">
        <v>1</v>
      </c>
      <c r="B22" s="221">
        <v>7</v>
      </c>
      <c r="C22" s="221" t="s">
        <v>38</v>
      </c>
      <c r="D22" s="691">
        <v>30116594</v>
      </c>
      <c r="E22" s="150" t="s">
        <v>1972</v>
      </c>
      <c r="F22" s="700" t="s">
        <v>45</v>
      </c>
      <c r="G22" s="151" t="s">
        <v>1969</v>
      </c>
      <c r="H22" s="151" t="s">
        <v>1970</v>
      </c>
      <c r="I22" s="700" t="s">
        <v>1958</v>
      </c>
      <c r="J22" s="125">
        <v>10974639</v>
      </c>
      <c r="K22" s="125">
        <v>9311872</v>
      </c>
      <c r="L22" s="125">
        <v>1</v>
      </c>
      <c r="M22" s="125">
        <v>201780</v>
      </c>
      <c r="N22" s="125"/>
      <c r="O22" s="125">
        <v>431945</v>
      </c>
      <c r="P22" s="125"/>
      <c r="Q22" s="125">
        <v>287751</v>
      </c>
      <c r="R22" s="125">
        <v>166514</v>
      </c>
      <c r="S22" s="125"/>
      <c r="T22" s="125"/>
      <c r="U22" s="125"/>
      <c r="V22" s="125"/>
      <c r="W22" s="125"/>
      <c r="X22" s="125"/>
      <c r="Y22" s="125">
        <f t="shared" si="1"/>
        <v>1087990</v>
      </c>
      <c r="Z22" s="125">
        <v>1444864</v>
      </c>
      <c r="AA22" s="126">
        <v>1</v>
      </c>
      <c r="AB22" s="127">
        <v>44207</v>
      </c>
      <c r="AC22" s="128">
        <v>44214</v>
      </c>
      <c r="AD22" s="125"/>
      <c r="AE22" s="129"/>
      <c r="AF22" s="153"/>
      <c r="AG22" s="128"/>
      <c r="AH22" s="125"/>
      <c r="AI22" s="129"/>
      <c r="AJ22" s="153"/>
      <c r="AK22" s="128"/>
      <c r="AL22" s="125"/>
      <c r="AM22" s="129"/>
      <c r="AN22" s="153"/>
      <c r="AO22" s="128"/>
      <c r="AP22" s="125"/>
      <c r="AQ22" s="129"/>
      <c r="AR22" s="153"/>
      <c r="AS22" s="128"/>
      <c r="AT22" s="125"/>
      <c r="AU22" s="129"/>
      <c r="AV22" s="153"/>
      <c r="AW22" s="128"/>
      <c r="AX22" s="125"/>
      <c r="AY22" s="129"/>
      <c r="AZ22" s="153"/>
      <c r="BA22" s="128"/>
      <c r="BB22" s="125"/>
      <c r="BC22" s="129"/>
      <c r="BD22" s="153"/>
      <c r="BE22" s="128"/>
      <c r="BF22" s="125">
        <v>13403</v>
      </c>
      <c r="BG22" s="129">
        <v>25</v>
      </c>
      <c r="BH22" s="127">
        <v>44329</v>
      </c>
      <c r="BI22" s="128">
        <v>44335</v>
      </c>
      <c r="BJ22" s="125"/>
      <c r="BK22" s="129"/>
      <c r="BL22" s="153"/>
      <c r="BM22" s="128"/>
      <c r="BN22" s="125"/>
      <c r="BO22" s="129"/>
      <c r="BP22" s="153"/>
      <c r="BQ22" s="128"/>
      <c r="BR22" s="125"/>
      <c r="BS22" s="129"/>
      <c r="BT22" s="153"/>
      <c r="BU22" s="128"/>
      <c r="BV22" s="125"/>
      <c r="BW22" s="129"/>
      <c r="BX22" s="153"/>
      <c r="BY22" s="128"/>
      <c r="BZ22" s="712">
        <f t="shared" si="2"/>
        <v>1458267</v>
      </c>
      <c r="CA22" s="415">
        <f t="shared" si="0"/>
        <v>370277</v>
      </c>
    </row>
    <row r="23" spans="1:79" s="709" customFormat="1" ht="22.5" x14ac:dyDescent="0.25">
      <c r="A23" s="709">
        <v>1</v>
      </c>
      <c r="B23" s="221">
        <v>8</v>
      </c>
      <c r="C23" s="221" t="s">
        <v>38</v>
      </c>
      <c r="D23" s="691">
        <v>30119213</v>
      </c>
      <c r="E23" s="150" t="s">
        <v>1973</v>
      </c>
      <c r="F23" s="700" t="s">
        <v>45</v>
      </c>
      <c r="G23" s="151" t="s">
        <v>1963</v>
      </c>
      <c r="H23" s="151" t="s">
        <v>1964</v>
      </c>
      <c r="I23" s="700" t="s">
        <v>1958</v>
      </c>
      <c r="J23" s="125">
        <v>1499516</v>
      </c>
      <c r="K23" s="125">
        <v>1437110</v>
      </c>
      <c r="L23" s="125">
        <v>0</v>
      </c>
      <c r="M23" s="125"/>
      <c r="N23" s="125"/>
      <c r="O23" s="125"/>
      <c r="P23" s="125"/>
      <c r="Q23" s="125">
        <v>45125</v>
      </c>
      <c r="R23" s="125"/>
      <c r="S23" s="125"/>
      <c r="T23" s="125"/>
      <c r="U23" s="125"/>
      <c r="V23" s="125"/>
      <c r="W23" s="125"/>
      <c r="X23" s="125"/>
      <c r="Y23" s="125">
        <f t="shared" si="1"/>
        <v>45125</v>
      </c>
      <c r="Z23" s="125">
        <v>56680</v>
      </c>
      <c r="AA23" s="126">
        <v>1</v>
      </c>
      <c r="AB23" s="127">
        <v>44207</v>
      </c>
      <c r="AC23" s="128">
        <v>44214</v>
      </c>
      <c r="AD23" s="125"/>
      <c r="AE23" s="129"/>
      <c r="AF23" s="153"/>
      <c r="AG23" s="128"/>
      <c r="AH23" s="125"/>
      <c r="AI23" s="129"/>
      <c r="AJ23" s="153"/>
      <c r="AK23" s="128"/>
      <c r="AL23" s="125"/>
      <c r="AM23" s="129"/>
      <c r="AN23" s="153"/>
      <c r="AO23" s="128"/>
      <c r="AP23" s="125"/>
      <c r="AQ23" s="129"/>
      <c r="AR23" s="153"/>
      <c r="AS23" s="128"/>
      <c r="AT23" s="125"/>
      <c r="AU23" s="129"/>
      <c r="AV23" s="153"/>
      <c r="AW23" s="128"/>
      <c r="AX23" s="125"/>
      <c r="AY23" s="129"/>
      <c r="AZ23" s="153"/>
      <c r="BA23" s="128"/>
      <c r="BB23" s="125"/>
      <c r="BC23" s="129"/>
      <c r="BD23" s="153"/>
      <c r="BE23" s="128"/>
      <c r="BF23" s="125"/>
      <c r="BG23" s="129"/>
      <c r="BH23" s="153"/>
      <c r="BI23" s="128"/>
      <c r="BJ23" s="125"/>
      <c r="BK23" s="129"/>
      <c r="BL23" s="153"/>
      <c r="BM23" s="128"/>
      <c r="BN23" s="125"/>
      <c r="BO23" s="129"/>
      <c r="BP23" s="153"/>
      <c r="BQ23" s="128"/>
      <c r="BR23" s="125"/>
      <c r="BS23" s="129"/>
      <c r="BT23" s="153"/>
      <c r="BU23" s="128"/>
      <c r="BV23" s="125"/>
      <c r="BW23" s="129"/>
      <c r="BX23" s="153"/>
      <c r="BY23" s="128"/>
      <c r="BZ23" s="712">
        <f t="shared" si="2"/>
        <v>56680</v>
      </c>
      <c r="CA23" s="415">
        <f t="shared" si="0"/>
        <v>11555</v>
      </c>
    </row>
    <row r="24" spans="1:79" s="709" customFormat="1" ht="22.5" x14ac:dyDescent="0.25">
      <c r="A24" s="709">
        <v>1</v>
      </c>
      <c r="B24" s="221">
        <v>9</v>
      </c>
      <c r="C24" s="221" t="s">
        <v>38</v>
      </c>
      <c r="D24" s="691">
        <v>30125308</v>
      </c>
      <c r="E24" s="150" t="s">
        <v>1974</v>
      </c>
      <c r="F24" s="700" t="s">
        <v>45</v>
      </c>
      <c r="G24" s="151" t="s">
        <v>1956</v>
      </c>
      <c r="H24" s="151" t="s">
        <v>1960</v>
      </c>
      <c r="I24" s="700" t="s">
        <v>1958</v>
      </c>
      <c r="J24" s="125">
        <v>2013223</v>
      </c>
      <c r="K24" s="125">
        <v>1587709</v>
      </c>
      <c r="L24" s="125">
        <v>0</v>
      </c>
      <c r="M24" s="125"/>
      <c r="N24" s="125">
        <v>1800</v>
      </c>
      <c r="O24" s="125"/>
      <c r="P24" s="125"/>
      <c r="Q24" s="125"/>
      <c r="R24" s="125"/>
      <c r="S24" s="125"/>
      <c r="T24" s="125"/>
      <c r="U24" s="125"/>
      <c r="V24" s="125"/>
      <c r="W24" s="125"/>
      <c r="X24" s="125"/>
      <c r="Y24" s="125">
        <f t="shared" si="1"/>
        <v>1800</v>
      </c>
      <c r="Z24" s="125">
        <v>1800</v>
      </c>
      <c r="AA24" s="126">
        <v>1</v>
      </c>
      <c r="AB24" s="127">
        <v>44207</v>
      </c>
      <c r="AC24" s="128">
        <v>44214</v>
      </c>
      <c r="AD24" s="125"/>
      <c r="AE24" s="129"/>
      <c r="AF24" s="153"/>
      <c r="AG24" s="128"/>
      <c r="AH24" s="125"/>
      <c r="AI24" s="129"/>
      <c r="AJ24" s="153"/>
      <c r="AK24" s="128"/>
      <c r="AL24" s="125"/>
      <c r="AM24" s="129"/>
      <c r="AN24" s="153"/>
      <c r="AO24" s="128"/>
      <c r="AP24" s="125"/>
      <c r="AQ24" s="129"/>
      <c r="AR24" s="153"/>
      <c r="AS24" s="128"/>
      <c r="AT24" s="125"/>
      <c r="AU24" s="129"/>
      <c r="AV24" s="153"/>
      <c r="AW24" s="128"/>
      <c r="AX24" s="125"/>
      <c r="AY24" s="129"/>
      <c r="AZ24" s="153"/>
      <c r="BA24" s="128"/>
      <c r="BB24" s="125"/>
      <c r="BC24" s="129"/>
      <c r="BD24" s="153"/>
      <c r="BE24" s="128"/>
      <c r="BF24" s="125"/>
      <c r="BG24" s="129"/>
      <c r="BH24" s="153"/>
      <c r="BI24" s="128"/>
      <c r="BJ24" s="125"/>
      <c r="BK24" s="129"/>
      <c r="BL24" s="153"/>
      <c r="BM24" s="128"/>
      <c r="BN24" s="125"/>
      <c r="BO24" s="129"/>
      <c r="BP24" s="153"/>
      <c r="BQ24" s="128"/>
      <c r="BR24" s="125"/>
      <c r="BS24" s="129"/>
      <c r="BT24" s="153"/>
      <c r="BU24" s="128"/>
      <c r="BV24" s="125"/>
      <c r="BW24" s="129"/>
      <c r="BX24" s="153"/>
      <c r="BY24" s="128"/>
      <c r="BZ24" s="712">
        <f t="shared" si="2"/>
        <v>1800</v>
      </c>
      <c r="CA24" s="415">
        <f t="shared" si="0"/>
        <v>0</v>
      </c>
    </row>
    <row r="25" spans="1:79" s="709" customFormat="1" ht="22.5" x14ac:dyDescent="0.25">
      <c r="A25" s="709">
        <v>1</v>
      </c>
      <c r="B25" s="221">
        <v>10</v>
      </c>
      <c r="C25" s="221" t="s">
        <v>38</v>
      </c>
      <c r="D25" s="691">
        <v>30130471</v>
      </c>
      <c r="E25" s="150" t="s">
        <v>1975</v>
      </c>
      <c r="F25" s="700" t="s">
        <v>45</v>
      </c>
      <c r="G25" s="151" t="s">
        <v>1956</v>
      </c>
      <c r="H25" s="151" t="s">
        <v>1960</v>
      </c>
      <c r="I25" s="700" t="s">
        <v>1958</v>
      </c>
      <c r="J25" s="125">
        <v>987306</v>
      </c>
      <c r="K25" s="125">
        <v>0</v>
      </c>
      <c r="L25" s="125">
        <v>325867</v>
      </c>
      <c r="M25" s="125"/>
      <c r="N25" s="125"/>
      <c r="O25" s="125"/>
      <c r="P25" s="125"/>
      <c r="Q25" s="125"/>
      <c r="R25" s="125"/>
      <c r="S25" s="125"/>
      <c r="T25" s="125"/>
      <c r="U25" s="125"/>
      <c r="V25" s="125"/>
      <c r="W25" s="125"/>
      <c r="X25" s="125"/>
      <c r="Y25" s="125">
        <f t="shared" si="1"/>
        <v>0</v>
      </c>
      <c r="Z25" s="125">
        <v>1234</v>
      </c>
      <c r="AA25" s="126">
        <v>1</v>
      </c>
      <c r="AB25" s="127">
        <v>44207</v>
      </c>
      <c r="AC25" s="128">
        <v>44214</v>
      </c>
      <c r="AD25" s="125"/>
      <c r="AE25" s="129"/>
      <c r="AF25" s="153"/>
      <c r="AG25" s="128"/>
      <c r="AH25" s="125"/>
      <c r="AI25" s="129"/>
      <c r="AJ25" s="153"/>
      <c r="AK25" s="128"/>
      <c r="AL25" s="125"/>
      <c r="AM25" s="129"/>
      <c r="AN25" s="153"/>
      <c r="AO25" s="128"/>
      <c r="AP25" s="125"/>
      <c r="AQ25" s="129"/>
      <c r="AR25" s="153"/>
      <c r="AS25" s="128"/>
      <c r="AT25" s="125"/>
      <c r="AU25" s="129"/>
      <c r="AV25" s="153"/>
      <c r="AW25" s="128"/>
      <c r="AX25" s="125"/>
      <c r="AY25" s="129"/>
      <c r="AZ25" s="153"/>
      <c r="BA25" s="128"/>
      <c r="BB25" s="125"/>
      <c r="BC25" s="129"/>
      <c r="BD25" s="153"/>
      <c r="BE25" s="128"/>
      <c r="BF25" s="125"/>
      <c r="BG25" s="129"/>
      <c r="BH25" s="153"/>
      <c r="BI25" s="128"/>
      <c r="BJ25" s="125"/>
      <c r="BK25" s="129"/>
      <c r="BL25" s="153"/>
      <c r="BM25" s="128"/>
      <c r="BN25" s="129">
        <v>100000</v>
      </c>
      <c r="BO25" s="129">
        <v>28</v>
      </c>
      <c r="BP25" s="127">
        <v>44363</v>
      </c>
      <c r="BQ25" s="128"/>
      <c r="BR25" s="125"/>
      <c r="BS25" s="129"/>
      <c r="BT25" s="153"/>
      <c r="BU25" s="128"/>
      <c r="BV25" s="125"/>
      <c r="BW25" s="129"/>
      <c r="BX25" s="153"/>
      <c r="BY25" s="128"/>
      <c r="BZ25" s="712">
        <f t="shared" si="2"/>
        <v>101234</v>
      </c>
      <c r="CA25" s="415">
        <f t="shared" si="0"/>
        <v>101234</v>
      </c>
    </row>
    <row r="26" spans="1:79" s="709" customFormat="1" ht="22.5" x14ac:dyDescent="0.25">
      <c r="A26" s="709">
        <v>1</v>
      </c>
      <c r="B26" s="221">
        <v>11</v>
      </c>
      <c r="C26" s="221" t="s">
        <v>38</v>
      </c>
      <c r="D26" s="691">
        <v>30137224</v>
      </c>
      <c r="E26" s="150" t="s">
        <v>1976</v>
      </c>
      <c r="F26" s="700" t="s">
        <v>45</v>
      </c>
      <c r="G26" s="151" t="s">
        <v>1969</v>
      </c>
      <c r="H26" s="151" t="s">
        <v>1970</v>
      </c>
      <c r="I26" s="700" t="s">
        <v>1958</v>
      </c>
      <c r="J26" s="125">
        <v>18470253</v>
      </c>
      <c r="K26" s="125">
        <v>44722</v>
      </c>
      <c r="L26" s="125">
        <v>13235531</v>
      </c>
      <c r="M26" s="125"/>
      <c r="N26" s="125"/>
      <c r="O26" s="125"/>
      <c r="P26" s="125"/>
      <c r="Q26" s="125"/>
      <c r="R26" s="125">
        <v>19400</v>
      </c>
      <c r="S26" s="125"/>
      <c r="T26" s="125"/>
      <c r="U26" s="125"/>
      <c r="V26" s="125"/>
      <c r="W26" s="125"/>
      <c r="X26" s="125"/>
      <c r="Y26" s="125">
        <f t="shared" si="1"/>
        <v>19400</v>
      </c>
      <c r="Z26" s="125">
        <f>534040</f>
        <v>534040</v>
      </c>
      <c r="AA26" s="126">
        <v>1</v>
      </c>
      <c r="AB26" s="127">
        <v>44207</v>
      </c>
      <c r="AC26" s="128">
        <v>44214</v>
      </c>
      <c r="AD26" s="125">
        <v>91960</v>
      </c>
      <c r="AE26" s="129">
        <v>3</v>
      </c>
      <c r="AF26" s="128">
        <v>44217</v>
      </c>
      <c r="AG26" s="128">
        <v>44221</v>
      </c>
      <c r="AH26" s="125"/>
      <c r="AI26" s="129"/>
      <c r="AJ26" s="702"/>
      <c r="AK26" s="128"/>
      <c r="AL26" s="125"/>
      <c r="AM26" s="129"/>
      <c r="AN26" s="702"/>
      <c r="AO26" s="128"/>
      <c r="AP26" s="125"/>
      <c r="AQ26" s="129"/>
      <c r="AR26" s="702"/>
      <c r="AS26" s="128"/>
      <c r="AT26" s="125"/>
      <c r="AU26" s="129"/>
      <c r="AV26" s="702"/>
      <c r="AW26" s="128"/>
      <c r="AX26" s="125">
        <v>500000</v>
      </c>
      <c r="AY26" s="129">
        <v>18</v>
      </c>
      <c r="AZ26" s="128">
        <v>44308</v>
      </c>
      <c r="BA26" s="128">
        <v>44314</v>
      </c>
      <c r="BB26" s="125"/>
      <c r="BC26" s="129"/>
      <c r="BD26" s="702"/>
      <c r="BE26" s="128"/>
      <c r="BF26" s="125">
        <v>100000</v>
      </c>
      <c r="BG26" s="129">
        <v>25</v>
      </c>
      <c r="BH26" s="127">
        <v>44329</v>
      </c>
      <c r="BI26" s="128">
        <v>44335</v>
      </c>
      <c r="BJ26" s="125"/>
      <c r="BK26" s="129"/>
      <c r="BL26" s="702"/>
      <c r="BM26" s="128"/>
      <c r="BN26" s="129">
        <v>-1010000</v>
      </c>
      <c r="BO26" s="129">
        <v>28</v>
      </c>
      <c r="BP26" s="127">
        <v>44363</v>
      </c>
      <c r="BQ26" s="128"/>
      <c r="BR26" s="125"/>
      <c r="BS26" s="129"/>
      <c r="BT26" s="702"/>
      <c r="BU26" s="128"/>
      <c r="BV26" s="125"/>
      <c r="BW26" s="129"/>
      <c r="BX26" s="702"/>
      <c r="BY26" s="128"/>
      <c r="BZ26" s="712">
        <f t="shared" si="2"/>
        <v>216000</v>
      </c>
      <c r="CA26" s="415">
        <f t="shared" si="0"/>
        <v>196600</v>
      </c>
    </row>
    <row r="27" spans="1:79" s="709" customFormat="1" ht="22.5" x14ac:dyDescent="0.25">
      <c r="A27" s="709">
        <v>1</v>
      </c>
      <c r="B27" s="221">
        <v>12</v>
      </c>
      <c r="C27" s="221" t="s">
        <v>38</v>
      </c>
      <c r="D27" s="691">
        <v>30179022</v>
      </c>
      <c r="E27" s="150" t="s">
        <v>1977</v>
      </c>
      <c r="F27" s="700" t="s">
        <v>45</v>
      </c>
      <c r="G27" s="151" t="s">
        <v>1966</v>
      </c>
      <c r="H27" s="151" t="s">
        <v>1967</v>
      </c>
      <c r="I27" s="700" t="s">
        <v>1958</v>
      </c>
      <c r="J27" s="125">
        <v>624401</v>
      </c>
      <c r="K27" s="125">
        <v>0</v>
      </c>
      <c r="L27" s="125">
        <v>193136</v>
      </c>
      <c r="M27" s="125"/>
      <c r="N27" s="125"/>
      <c r="O27" s="125"/>
      <c r="P27" s="125"/>
      <c r="Q27" s="125"/>
      <c r="R27" s="125"/>
      <c r="S27" s="125"/>
      <c r="T27" s="125"/>
      <c r="U27" s="125"/>
      <c r="V27" s="125"/>
      <c r="W27" s="125"/>
      <c r="X27" s="125"/>
      <c r="Y27" s="125">
        <f t="shared" si="1"/>
        <v>0</v>
      </c>
      <c r="Z27" s="125">
        <v>4</v>
      </c>
      <c r="AA27" s="126">
        <v>1</v>
      </c>
      <c r="AB27" s="127">
        <v>44207</v>
      </c>
      <c r="AC27" s="128">
        <v>44214</v>
      </c>
      <c r="AD27" s="125"/>
      <c r="AE27" s="129"/>
      <c r="AF27" s="153"/>
      <c r="AG27" s="128"/>
      <c r="AH27" s="125"/>
      <c r="AI27" s="129"/>
      <c r="AJ27" s="153"/>
      <c r="AK27" s="128"/>
      <c r="AL27" s="125"/>
      <c r="AM27" s="129"/>
      <c r="AN27" s="153"/>
      <c r="AO27" s="128"/>
      <c r="AP27" s="125"/>
      <c r="AQ27" s="129"/>
      <c r="AR27" s="153"/>
      <c r="AS27" s="128"/>
      <c r="AT27" s="125"/>
      <c r="AU27" s="129"/>
      <c r="AV27" s="153"/>
      <c r="AW27" s="128"/>
      <c r="AX27" s="125"/>
      <c r="AY27" s="129"/>
      <c r="AZ27" s="153"/>
      <c r="BA27" s="128"/>
      <c r="BB27" s="125"/>
      <c r="BC27" s="129"/>
      <c r="BD27" s="153"/>
      <c r="BE27" s="128"/>
      <c r="BF27" s="125"/>
      <c r="BG27" s="129"/>
      <c r="BH27" s="153"/>
      <c r="BI27" s="128"/>
      <c r="BJ27" s="125"/>
      <c r="BK27" s="129"/>
      <c r="BL27" s="153"/>
      <c r="BM27" s="128"/>
      <c r="BN27" s="129"/>
      <c r="BO27" s="129"/>
      <c r="BP27" s="153"/>
      <c r="BQ27" s="128"/>
      <c r="BR27" s="125"/>
      <c r="BS27" s="129"/>
      <c r="BT27" s="153"/>
      <c r="BU27" s="128"/>
      <c r="BV27" s="125"/>
      <c r="BW27" s="129"/>
      <c r="BX27" s="153"/>
      <c r="BY27" s="128"/>
      <c r="BZ27" s="712">
        <f t="shared" si="2"/>
        <v>4</v>
      </c>
      <c r="CA27" s="415">
        <f t="shared" si="0"/>
        <v>4</v>
      </c>
    </row>
    <row r="28" spans="1:79" s="709" customFormat="1" ht="22.5" x14ac:dyDescent="0.25">
      <c r="A28" s="709">
        <v>1</v>
      </c>
      <c r="B28" s="221">
        <v>13</v>
      </c>
      <c r="C28" s="221" t="s">
        <v>38</v>
      </c>
      <c r="D28" s="691">
        <v>30187822</v>
      </c>
      <c r="E28" s="150" t="s">
        <v>1978</v>
      </c>
      <c r="F28" s="700" t="s">
        <v>45</v>
      </c>
      <c r="G28" s="151" t="s">
        <v>1956</v>
      </c>
      <c r="H28" s="151" t="s">
        <v>1960</v>
      </c>
      <c r="I28" s="700" t="s">
        <v>1958</v>
      </c>
      <c r="J28" s="125">
        <v>303134</v>
      </c>
      <c r="K28" s="125">
        <v>0</v>
      </c>
      <c r="L28" s="125">
        <v>0</v>
      </c>
      <c r="M28" s="125"/>
      <c r="N28" s="125"/>
      <c r="O28" s="125"/>
      <c r="P28" s="125">
        <v>79231</v>
      </c>
      <c r="Q28" s="125"/>
      <c r="R28" s="125">
        <v>20989</v>
      </c>
      <c r="S28" s="125"/>
      <c r="T28" s="125"/>
      <c r="U28" s="125"/>
      <c r="V28" s="125"/>
      <c r="W28" s="125"/>
      <c r="X28" s="125"/>
      <c r="Y28" s="125">
        <f t="shared" si="1"/>
        <v>100220</v>
      </c>
      <c r="Z28" s="125">
        <f>1503</f>
        <v>1503</v>
      </c>
      <c r="AA28" s="126">
        <v>1</v>
      </c>
      <c r="AB28" s="127">
        <v>44207</v>
      </c>
      <c r="AC28" s="128">
        <v>44214</v>
      </c>
      <c r="AD28" s="125"/>
      <c r="AE28" s="129"/>
      <c r="AF28" s="153"/>
      <c r="AG28" s="128"/>
      <c r="AH28" s="125">
        <v>50000</v>
      </c>
      <c r="AI28" s="129">
        <v>9</v>
      </c>
      <c r="AJ28" s="128">
        <v>44244</v>
      </c>
      <c r="AK28" s="128">
        <v>44249</v>
      </c>
      <c r="AL28" s="125"/>
      <c r="AM28" s="129"/>
      <c r="AN28" s="153"/>
      <c r="AO28" s="128"/>
      <c r="AP28" s="125"/>
      <c r="AQ28" s="129"/>
      <c r="AR28" s="153"/>
      <c r="AS28" s="128"/>
      <c r="AT28" s="125"/>
      <c r="AU28" s="129"/>
      <c r="AV28" s="153"/>
      <c r="AW28" s="128"/>
      <c r="AX28" s="125">
        <v>229290</v>
      </c>
      <c r="AY28" s="129">
        <v>18</v>
      </c>
      <c r="AZ28" s="128">
        <v>44308</v>
      </c>
      <c r="BA28" s="128">
        <v>44314</v>
      </c>
      <c r="BB28" s="125"/>
      <c r="BC28" s="129"/>
      <c r="BD28" s="153"/>
      <c r="BE28" s="128"/>
      <c r="BF28" s="125"/>
      <c r="BG28" s="129"/>
      <c r="BH28" s="153"/>
      <c r="BI28" s="128"/>
      <c r="BJ28" s="125"/>
      <c r="BK28" s="129"/>
      <c r="BL28" s="153"/>
      <c r="BM28" s="128"/>
      <c r="BN28" s="129"/>
      <c r="BO28" s="129"/>
      <c r="BP28" s="153"/>
      <c r="BQ28" s="128"/>
      <c r="BR28" s="125"/>
      <c r="BS28" s="129"/>
      <c r="BT28" s="153"/>
      <c r="BU28" s="128"/>
      <c r="BV28" s="125"/>
      <c r="BW28" s="129"/>
      <c r="BX28" s="153"/>
      <c r="BY28" s="128"/>
      <c r="BZ28" s="712">
        <f t="shared" si="2"/>
        <v>280793</v>
      </c>
      <c r="CA28" s="415">
        <f t="shared" si="0"/>
        <v>180573</v>
      </c>
    </row>
    <row r="29" spans="1:79" s="709" customFormat="1" ht="22.5" x14ac:dyDescent="0.25">
      <c r="A29" s="709">
        <v>1</v>
      </c>
      <c r="B29" s="221">
        <v>14</v>
      </c>
      <c r="C29" s="221" t="s">
        <v>38</v>
      </c>
      <c r="D29" s="691">
        <v>30255172</v>
      </c>
      <c r="E29" s="150" t="s">
        <v>1979</v>
      </c>
      <c r="F29" s="700" t="s">
        <v>45</v>
      </c>
      <c r="G29" s="151" t="s">
        <v>1956</v>
      </c>
      <c r="H29" s="151" t="s">
        <v>1960</v>
      </c>
      <c r="I29" s="700" t="s">
        <v>1958</v>
      </c>
      <c r="J29" s="125">
        <v>2533253</v>
      </c>
      <c r="K29" s="125">
        <v>1431672</v>
      </c>
      <c r="L29" s="125">
        <v>0</v>
      </c>
      <c r="M29" s="125">
        <v>60404</v>
      </c>
      <c r="N29" s="125">
        <v>103556</v>
      </c>
      <c r="O29" s="125"/>
      <c r="P29" s="125">
        <v>103946</v>
      </c>
      <c r="Q29" s="125"/>
      <c r="R29" s="125"/>
      <c r="S29" s="125"/>
      <c r="T29" s="125"/>
      <c r="U29" s="125"/>
      <c r="V29" s="125"/>
      <c r="W29" s="125"/>
      <c r="X29" s="125"/>
      <c r="Y29" s="125">
        <f t="shared" si="1"/>
        <v>267906</v>
      </c>
      <c r="Z29" s="125">
        <f>629363</f>
        <v>629363</v>
      </c>
      <c r="AA29" s="126">
        <v>1</v>
      </c>
      <c r="AB29" s="127">
        <v>44207</v>
      </c>
      <c r="AC29" s="128">
        <v>44214</v>
      </c>
      <c r="AD29" s="125"/>
      <c r="AE29" s="129"/>
      <c r="AF29" s="153"/>
      <c r="AG29" s="128"/>
      <c r="AH29" s="125"/>
      <c r="AI29" s="129"/>
      <c r="AJ29" s="153"/>
      <c r="AK29" s="128"/>
      <c r="AL29" s="125">
        <v>150000</v>
      </c>
      <c r="AM29" s="129">
        <v>13</v>
      </c>
      <c r="AN29" s="128">
        <v>44277</v>
      </c>
      <c r="AO29" s="128">
        <v>44281</v>
      </c>
      <c r="AP29" s="125"/>
      <c r="AQ29" s="129"/>
      <c r="AR29" s="153"/>
      <c r="AS29" s="128"/>
      <c r="AT29" s="125"/>
      <c r="AU29" s="129"/>
      <c r="AV29" s="153"/>
      <c r="AW29" s="128"/>
      <c r="AX29" s="125"/>
      <c r="AY29" s="129"/>
      <c r="AZ29" s="153"/>
      <c r="BA29" s="128"/>
      <c r="BB29" s="125"/>
      <c r="BC29" s="129"/>
      <c r="BD29" s="153"/>
      <c r="BE29" s="128"/>
      <c r="BF29" s="125"/>
      <c r="BG29" s="129"/>
      <c r="BH29" s="153"/>
      <c r="BI29" s="128"/>
      <c r="BJ29" s="125"/>
      <c r="BK29" s="129"/>
      <c r="BL29" s="153"/>
      <c r="BM29" s="128"/>
      <c r="BN29" s="129"/>
      <c r="BO29" s="129"/>
      <c r="BP29" s="153"/>
      <c r="BQ29" s="128"/>
      <c r="BR29" s="125"/>
      <c r="BS29" s="129"/>
      <c r="BT29" s="153"/>
      <c r="BU29" s="128"/>
      <c r="BV29" s="125"/>
      <c r="BW29" s="129"/>
      <c r="BX29" s="153"/>
      <c r="BY29" s="128"/>
      <c r="BZ29" s="712">
        <f t="shared" si="2"/>
        <v>779363</v>
      </c>
      <c r="CA29" s="415">
        <f t="shared" si="0"/>
        <v>511457</v>
      </c>
    </row>
    <row r="30" spans="1:79" s="709" customFormat="1" ht="22.5" x14ac:dyDescent="0.25">
      <c r="A30" s="709">
        <v>1</v>
      </c>
      <c r="B30" s="221">
        <v>15</v>
      </c>
      <c r="C30" s="221" t="s">
        <v>38</v>
      </c>
      <c r="D30" s="691">
        <v>30310124</v>
      </c>
      <c r="E30" s="150" t="s">
        <v>1980</v>
      </c>
      <c r="F30" s="700" t="s">
        <v>45</v>
      </c>
      <c r="G30" s="151" t="s">
        <v>1966</v>
      </c>
      <c r="H30" s="151" t="s">
        <v>226</v>
      </c>
      <c r="I30" s="700" t="s">
        <v>1958</v>
      </c>
      <c r="J30" s="125">
        <v>102196109</v>
      </c>
      <c r="K30" s="125">
        <v>59330605</v>
      </c>
      <c r="L30" s="125">
        <v>0</v>
      </c>
      <c r="M30" s="125">
        <v>403443</v>
      </c>
      <c r="N30" s="125">
        <v>681346</v>
      </c>
      <c r="O30" s="125">
        <v>740125</v>
      </c>
      <c r="P30" s="125">
        <v>37301</v>
      </c>
      <c r="Q30" s="125">
        <v>414247</v>
      </c>
      <c r="R30" s="125">
        <v>35017</v>
      </c>
      <c r="S30" s="125"/>
      <c r="T30" s="125"/>
      <c r="U30" s="125"/>
      <c r="V30" s="125"/>
      <c r="W30" s="125"/>
      <c r="X30" s="125"/>
      <c r="Y30" s="125">
        <f t="shared" si="1"/>
        <v>2311479</v>
      </c>
      <c r="Z30" s="125">
        <v>2563060</v>
      </c>
      <c r="AA30" s="126">
        <v>1</v>
      </c>
      <c r="AB30" s="127">
        <v>44207</v>
      </c>
      <c r="AC30" s="128">
        <v>44214</v>
      </c>
      <c r="AD30" s="125"/>
      <c r="AE30" s="129"/>
      <c r="AF30" s="153"/>
      <c r="AG30" s="128"/>
      <c r="AH30" s="125"/>
      <c r="AI30" s="129"/>
      <c r="AJ30" s="153"/>
      <c r="AK30" s="128"/>
      <c r="AL30" s="125"/>
      <c r="AM30" s="129"/>
      <c r="AN30" s="153"/>
      <c r="AO30" s="128"/>
      <c r="AP30" s="125"/>
      <c r="AQ30" s="129"/>
      <c r="AR30" s="153"/>
      <c r="AS30" s="128"/>
      <c r="AT30" s="125"/>
      <c r="AU30" s="129"/>
      <c r="AV30" s="153"/>
      <c r="AW30" s="128"/>
      <c r="AX30" s="125">
        <v>600000</v>
      </c>
      <c r="AY30" s="129">
        <v>18</v>
      </c>
      <c r="AZ30" s="128">
        <v>44308</v>
      </c>
      <c r="BA30" s="128">
        <v>44314</v>
      </c>
      <c r="BB30" s="125"/>
      <c r="BC30" s="129"/>
      <c r="BD30" s="153"/>
      <c r="BE30" s="128"/>
      <c r="BF30" s="125"/>
      <c r="BG30" s="129"/>
      <c r="BH30" s="153"/>
      <c r="BI30" s="128"/>
      <c r="BJ30" s="125"/>
      <c r="BK30" s="129"/>
      <c r="BL30" s="153"/>
      <c r="BM30" s="128"/>
      <c r="BN30" s="129">
        <v>-100000</v>
      </c>
      <c r="BO30" s="129">
        <v>28</v>
      </c>
      <c r="BP30" s="127">
        <v>44363</v>
      </c>
      <c r="BQ30" s="128"/>
      <c r="BR30" s="125"/>
      <c r="BS30" s="129"/>
      <c r="BT30" s="153"/>
      <c r="BU30" s="128"/>
      <c r="BV30" s="125"/>
      <c r="BW30" s="129"/>
      <c r="BX30" s="153"/>
      <c r="BY30" s="128"/>
      <c r="BZ30" s="712">
        <f t="shared" si="2"/>
        <v>3063060</v>
      </c>
      <c r="CA30" s="415">
        <f t="shared" si="0"/>
        <v>751581</v>
      </c>
    </row>
    <row r="31" spans="1:79" s="709" customFormat="1" ht="22.5" x14ac:dyDescent="0.25">
      <c r="A31" s="709">
        <v>1</v>
      </c>
      <c r="B31" s="221">
        <v>16</v>
      </c>
      <c r="C31" s="221" t="s">
        <v>38</v>
      </c>
      <c r="D31" s="691">
        <v>30380938</v>
      </c>
      <c r="E31" s="150" t="s">
        <v>1981</v>
      </c>
      <c r="F31" s="700" t="s">
        <v>45</v>
      </c>
      <c r="G31" s="151" t="s">
        <v>1963</v>
      </c>
      <c r="H31" s="151" t="s">
        <v>1964</v>
      </c>
      <c r="I31" s="700" t="s">
        <v>1958</v>
      </c>
      <c r="J31" s="125">
        <v>601717</v>
      </c>
      <c r="K31" s="125">
        <v>443308</v>
      </c>
      <c r="L31" s="125">
        <v>32690</v>
      </c>
      <c r="M31" s="125"/>
      <c r="N31" s="125">
        <v>28909</v>
      </c>
      <c r="O31" s="125"/>
      <c r="P31" s="125"/>
      <c r="Q31" s="125"/>
      <c r="R31" s="125"/>
      <c r="S31" s="125"/>
      <c r="T31" s="125"/>
      <c r="U31" s="125"/>
      <c r="V31" s="125"/>
      <c r="W31" s="125"/>
      <c r="X31" s="125"/>
      <c r="Y31" s="125">
        <f t="shared" si="1"/>
        <v>28909</v>
      </c>
      <c r="Z31" s="125">
        <v>100859</v>
      </c>
      <c r="AA31" s="126">
        <v>1</v>
      </c>
      <c r="AB31" s="127">
        <v>44207</v>
      </c>
      <c r="AC31" s="128">
        <v>44214</v>
      </c>
      <c r="AD31" s="125"/>
      <c r="AE31" s="129"/>
      <c r="AF31" s="153"/>
      <c r="AG31" s="128"/>
      <c r="AH31" s="125"/>
      <c r="AI31" s="129"/>
      <c r="AJ31" s="153"/>
      <c r="AK31" s="128"/>
      <c r="AL31" s="125"/>
      <c r="AM31" s="129"/>
      <c r="AN31" s="153"/>
      <c r="AO31" s="128"/>
      <c r="AP31" s="125"/>
      <c r="AQ31" s="129"/>
      <c r="AR31" s="153"/>
      <c r="AS31" s="128"/>
      <c r="AT31" s="125"/>
      <c r="AU31" s="129"/>
      <c r="AV31" s="153"/>
      <c r="AW31" s="128"/>
      <c r="AX31" s="125"/>
      <c r="AY31" s="129"/>
      <c r="AZ31" s="153"/>
      <c r="BA31" s="128"/>
      <c r="BB31" s="125"/>
      <c r="BC31" s="129"/>
      <c r="BD31" s="153"/>
      <c r="BE31" s="128"/>
      <c r="BF31" s="125"/>
      <c r="BG31" s="129"/>
      <c r="BH31" s="153"/>
      <c r="BI31" s="128"/>
      <c r="BJ31" s="125"/>
      <c r="BK31" s="129"/>
      <c r="BL31" s="153"/>
      <c r="BM31" s="128"/>
      <c r="BN31" s="129"/>
      <c r="BO31" s="129"/>
      <c r="BP31" s="153"/>
      <c r="BQ31" s="128"/>
      <c r="BR31" s="125"/>
      <c r="BS31" s="129"/>
      <c r="BT31" s="153"/>
      <c r="BU31" s="128"/>
      <c r="BV31" s="125"/>
      <c r="BW31" s="129"/>
      <c r="BX31" s="153"/>
      <c r="BY31" s="128"/>
      <c r="BZ31" s="712">
        <f t="shared" si="2"/>
        <v>100859</v>
      </c>
      <c r="CA31" s="415">
        <f t="shared" si="0"/>
        <v>71950</v>
      </c>
    </row>
    <row r="32" spans="1:79" s="709" customFormat="1" ht="22.5" x14ac:dyDescent="0.25">
      <c r="A32" s="709">
        <v>1</v>
      </c>
      <c r="B32" s="221">
        <v>17</v>
      </c>
      <c r="C32" s="221" t="s">
        <v>38</v>
      </c>
      <c r="D32" s="691">
        <v>30400822</v>
      </c>
      <c r="E32" s="150" t="s">
        <v>1982</v>
      </c>
      <c r="F32" s="700" t="s">
        <v>45</v>
      </c>
      <c r="G32" s="151" t="s">
        <v>1956</v>
      </c>
      <c r="H32" s="151" t="s">
        <v>1960</v>
      </c>
      <c r="I32" s="700" t="s">
        <v>1958</v>
      </c>
      <c r="J32" s="125">
        <v>925709</v>
      </c>
      <c r="K32" s="125">
        <v>261205</v>
      </c>
      <c r="L32" s="125">
        <v>590</v>
      </c>
      <c r="M32" s="125">
        <v>200000</v>
      </c>
      <c r="N32" s="125">
        <v>249998</v>
      </c>
      <c r="O32" s="125">
        <v>10080</v>
      </c>
      <c r="P32" s="125">
        <v>82203</v>
      </c>
      <c r="Q32" s="125"/>
      <c r="R32" s="125"/>
      <c r="S32" s="125"/>
      <c r="T32" s="125"/>
      <c r="U32" s="125"/>
      <c r="V32" s="125"/>
      <c r="W32" s="125"/>
      <c r="X32" s="125"/>
      <c r="Y32" s="125">
        <f t="shared" si="1"/>
        <v>542281</v>
      </c>
      <c r="Z32" s="125">
        <v>542282</v>
      </c>
      <c r="AA32" s="126">
        <v>1</v>
      </c>
      <c r="AB32" s="127">
        <v>44207</v>
      </c>
      <c r="AC32" s="128">
        <v>44214</v>
      </c>
      <c r="AD32" s="125"/>
      <c r="AE32" s="129"/>
      <c r="AF32" s="153"/>
      <c r="AG32" s="128"/>
      <c r="AH32" s="125"/>
      <c r="AI32" s="129"/>
      <c r="AJ32" s="153"/>
      <c r="AK32" s="128"/>
      <c r="AL32" s="125"/>
      <c r="AM32" s="129"/>
      <c r="AN32" s="153"/>
      <c r="AO32" s="128"/>
      <c r="AP32" s="125"/>
      <c r="AQ32" s="129"/>
      <c r="AR32" s="153"/>
      <c r="AS32" s="128"/>
      <c r="AT32" s="125"/>
      <c r="AU32" s="129"/>
      <c r="AV32" s="153"/>
      <c r="AW32" s="128"/>
      <c r="AX32" s="125"/>
      <c r="AY32" s="129"/>
      <c r="AZ32" s="153"/>
      <c r="BA32" s="128"/>
      <c r="BB32" s="125"/>
      <c r="BC32" s="129"/>
      <c r="BD32" s="153"/>
      <c r="BE32" s="128"/>
      <c r="BF32" s="125"/>
      <c r="BG32" s="129"/>
      <c r="BH32" s="153"/>
      <c r="BI32" s="128"/>
      <c r="BJ32" s="125"/>
      <c r="BK32" s="129"/>
      <c r="BL32" s="153"/>
      <c r="BM32" s="128"/>
      <c r="BN32" s="129"/>
      <c r="BO32" s="129"/>
      <c r="BP32" s="153"/>
      <c r="BQ32" s="128"/>
      <c r="BR32" s="125"/>
      <c r="BS32" s="129"/>
      <c r="BT32" s="153"/>
      <c r="BU32" s="128"/>
      <c r="BV32" s="125"/>
      <c r="BW32" s="129"/>
      <c r="BX32" s="153"/>
      <c r="BY32" s="128"/>
      <c r="BZ32" s="712">
        <f t="shared" si="2"/>
        <v>542282</v>
      </c>
      <c r="CA32" s="415">
        <f t="shared" si="0"/>
        <v>1</v>
      </c>
    </row>
    <row r="33" spans="1:79" s="709" customFormat="1" ht="22.5" x14ac:dyDescent="0.25">
      <c r="A33" s="709">
        <v>1</v>
      </c>
      <c r="B33" s="221">
        <v>18</v>
      </c>
      <c r="C33" s="221" t="s">
        <v>38</v>
      </c>
      <c r="D33" s="691">
        <v>30406024</v>
      </c>
      <c r="E33" s="150" t="s">
        <v>1983</v>
      </c>
      <c r="F33" s="700" t="s">
        <v>46</v>
      </c>
      <c r="G33" s="151" t="s">
        <v>1963</v>
      </c>
      <c r="H33" s="151" t="s">
        <v>226</v>
      </c>
      <c r="I33" s="700" t="s">
        <v>1958</v>
      </c>
      <c r="J33" s="125">
        <v>812153</v>
      </c>
      <c r="K33" s="125">
        <v>750803</v>
      </c>
      <c r="L33" s="125">
        <v>0</v>
      </c>
      <c r="M33" s="125"/>
      <c r="N33" s="125"/>
      <c r="O33" s="125"/>
      <c r="P33" s="125"/>
      <c r="Q33" s="125"/>
      <c r="R33" s="125"/>
      <c r="S33" s="125"/>
      <c r="T33" s="125"/>
      <c r="U33" s="125"/>
      <c r="V33" s="125"/>
      <c r="W33" s="125"/>
      <c r="X33" s="125"/>
      <c r="Y33" s="125">
        <f t="shared" si="1"/>
        <v>0</v>
      </c>
      <c r="Z33" s="125">
        <v>44021</v>
      </c>
      <c r="AA33" s="126">
        <v>1</v>
      </c>
      <c r="AB33" s="127">
        <v>44207</v>
      </c>
      <c r="AC33" s="128">
        <v>44214</v>
      </c>
      <c r="AD33" s="125"/>
      <c r="AE33" s="129"/>
      <c r="AF33" s="153"/>
      <c r="AG33" s="128"/>
      <c r="AH33" s="125"/>
      <c r="AI33" s="129"/>
      <c r="AJ33" s="153"/>
      <c r="AK33" s="128"/>
      <c r="AL33" s="125"/>
      <c r="AM33" s="129"/>
      <c r="AN33" s="153"/>
      <c r="AO33" s="128"/>
      <c r="AP33" s="125"/>
      <c r="AQ33" s="129"/>
      <c r="AR33" s="153"/>
      <c r="AS33" s="128"/>
      <c r="AT33" s="125"/>
      <c r="AU33" s="129"/>
      <c r="AV33" s="153"/>
      <c r="AW33" s="128"/>
      <c r="AX33" s="125"/>
      <c r="AY33" s="129"/>
      <c r="AZ33" s="153"/>
      <c r="BA33" s="128"/>
      <c r="BB33" s="125"/>
      <c r="BC33" s="129"/>
      <c r="BD33" s="153"/>
      <c r="BE33" s="128"/>
      <c r="BF33" s="125"/>
      <c r="BG33" s="129"/>
      <c r="BH33" s="153"/>
      <c r="BI33" s="128"/>
      <c r="BJ33" s="125"/>
      <c r="BK33" s="129"/>
      <c r="BL33" s="153"/>
      <c r="BM33" s="128"/>
      <c r="BN33" s="129"/>
      <c r="BO33" s="129"/>
      <c r="BP33" s="153"/>
      <c r="BQ33" s="128"/>
      <c r="BR33" s="125"/>
      <c r="BS33" s="129"/>
      <c r="BT33" s="153"/>
      <c r="BU33" s="128"/>
      <c r="BV33" s="125"/>
      <c r="BW33" s="129"/>
      <c r="BX33" s="153"/>
      <c r="BY33" s="128"/>
      <c r="BZ33" s="712">
        <f t="shared" si="2"/>
        <v>44021</v>
      </c>
      <c r="CA33" s="415">
        <f t="shared" si="0"/>
        <v>44021</v>
      </c>
    </row>
    <row r="34" spans="1:79" s="709" customFormat="1" ht="22.5" x14ac:dyDescent="0.25">
      <c r="A34" s="709">
        <v>1</v>
      </c>
      <c r="B34" s="221">
        <v>19</v>
      </c>
      <c r="C34" s="221" t="s">
        <v>38</v>
      </c>
      <c r="D34" s="691">
        <v>30447940</v>
      </c>
      <c r="E34" s="150" t="s">
        <v>1984</v>
      </c>
      <c r="F34" s="700" t="s">
        <v>45</v>
      </c>
      <c r="G34" s="151" t="s">
        <v>1956</v>
      </c>
      <c r="H34" s="151" t="s">
        <v>1960</v>
      </c>
      <c r="I34" s="700" t="s">
        <v>1958</v>
      </c>
      <c r="J34" s="125">
        <v>624577</v>
      </c>
      <c r="K34" s="125">
        <v>594365</v>
      </c>
      <c r="L34" s="125">
        <v>0</v>
      </c>
      <c r="M34" s="125"/>
      <c r="N34" s="125">
        <v>27554</v>
      </c>
      <c r="O34" s="125"/>
      <c r="P34" s="125"/>
      <c r="Q34" s="125"/>
      <c r="R34" s="125"/>
      <c r="S34" s="125"/>
      <c r="T34" s="125"/>
      <c r="U34" s="125"/>
      <c r="V34" s="125"/>
      <c r="W34" s="125"/>
      <c r="X34" s="125"/>
      <c r="Y34" s="125">
        <f t="shared" si="1"/>
        <v>27554</v>
      </c>
      <c r="Z34" s="125">
        <v>27554</v>
      </c>
      <c r="AA34" s="126">
        <v>1</v>
      </c>
      <c r="AB34" s="127">
        <v>44207</v>
      </c>
      <c r="AC34" s="128">
        <v>44214</v>
      </c>
      <c r="AD34" s="125"/>
      <c r="AE34" s="129"/>
      <c r="AF34" s="153"/>
      <c r="AG34" s="128"/>
      <c r="AH34" s="125"/>
      <c r="AI34" s="129"/>
      <c r="AJ34" s="153"/>
      <c r="AK34" s="128"/>
      <c r="AL34" s="125"/>
      <c r="AM34" s="129"/>
      <c r="AN34" s="153"/>
      <c r="AO34" s="128"/>
      <c r="AP34" s="125"/>
      <c r="AQ34" s="129"/>
      <c r="AR34" s="153"/>
      <c r="AS34" s="128"/>
      <c r="AT34" s="125"/>
      <c r="AU34" s="129"/>
      <c r="AV34" s="153"/>
      <c r="AW34" s="128"/>
      <c r="AX34" s="125"/>
      <c r="AY34" s="129"/>
      <c r="AZ34" s="153"/>
      <c r="BA34" s="128"/>
      <c r="BB34" s="125"/>
      <c r="BC34" s="129"/>
      <c r="BD34" s="153"/>
      <c r="BE34" s="128"/>
      <c r="BF34" s="125"/>
      <c r="BG34" s="129"/>
      <c r="BH34" s="153"/>
      <c r="BI34" s="128"/>
      <c r="BJ34" s="125"/>
      <c r="BK34" s="129"/>
      <c r="BL34" s="153"/>
      <c r="BM34" s="128"/>
      <c r="BN34" s="129"/>
      <c r="BO34" s="129"/>
      <c r="BP34" s="153"/>
      <c r="BQ34" s="128"/>
      <c r="BR34" s="125"/>
      <c r="BS34" s="129"/>
      <c r="BT34" s="153"/>
      <c r="BU34" s="128"/>
      <c r="BV34" s="125"/>
      <c r="BW34" s="129"/>
      <c r="BX34" s="153"/>
      <c r="BY34" s="128"/>
      <c r="BZ34" s="712">
        <f t="shared" si="2"/>
        <v>27554</v>
      </c>
      <c r="CA34" s="415">
        <f t="shared" si="0"/>
        <v>0</v>
      </c>
    </row>
    <row r="35" spans="1:79" s="709" customFormat="1" ht="22.5" x14ac:dyDescent="0.25">
      <c r="A35" s="709">
        <v>1</v>
      </c>
      <c r="B35" s="221">
        <v>20</v>
      </c>
      <c r="C35" s="221" t="s">
        <v>38</v>
      </c>
      <c r="D35" s="691">
        <v>30452024</v>
      </c>
      <c r="E35" s="150" t="s">
        <v>1985</v>
      </c>
      <c r="F35" s="700" t="s">
        <v>45</v>
      </c>
      <c r="G35" s="151" t="s">
        <v>1956</v>
      </c>
      <c r="H35" s="151" t="s">
        <v>1960</v>
      </c>
      <c r="I35" s="700" t="s">
        <v>1958</v>
      </c>
      <c r="J35" s="125">
        <v>82460</v>
      </c>
      <c r="K35" s="125">
        <v>39007</v>
      </c>
      <c r="L35" s="125">
        <v>0</v>
      </c>
      <c r="M35" s="125"/>
      <c r="N35" s="125"/>
      <c r="O35" s="125"/>
      <c r="P35" s="125"/>
      <c r="Q35" s="125"/>
      <c r="R35" s="125"/>
      <c r="S35" s="125"/>
      <c r="T35" s="125"/>
      <c r="U35" s="125"/>
      <c r="V35" s="125"/>
      <c r="W35" s="125"/>
      <c r="X35" s="125"/>
      <c r="Y35" s="125">
        <f t="shared" si="1"/>
        <v>0</v>
      </c>
      <c r="Z35" s="125">
        <v>43453</v>
      </c>
      <c r="AA35" s="126">
        <v>1</v>
      </c>
      <c r="AB35" s="127">
        <v>44207</v>
      </c>
      <c r="AC35" s="128">
        <v>44214</v>
      </c>
      <c r="AD35" s="125"/>
      <c r="AE35" s="129"/>
      <c r="AF35" s="153"/>
      <c r="AG35" s="128"/>
      <c r="AH35" s="125"/>
      <c r="AI35" s="129"/>
      <c r="AJ35" s="153"/>
      <c r="AK35" s="128"/>
      <c r="AL35" s="125"/>
      <c r="AM35" s="129"/>
      <c r="AN35" s="153"/>
      <c r="AO35" s="128"/>
      <c r="AP35" s="125"/>
      <c r="AQ35" s="129"/>
      <c r="AR35" s="153"/>
      <c r="AS35" s="128"/>
      <c r="AT35" s="125"/>
      <c r="AU35" s="129"/>
      <c r="AV35" s="153"/>
      <c r="AW35" s="128"/>
      <c r="AX35" s="125"/>
      <c r="AY35" s="129"/>
      <c r="AZ35" s="153"/>
      <c r="BA35" s="128"/>
      <c r="BB35" s="125"/>
      <c r="BC35" s="129"/>
      <c r="BD35" s="153"/>
      <c r="BE35" s="128"/>
      <c r="BF35" s="125"/>
      <c r="BG35" s="129"/>
      <c r="BH35" s="153"/>
      <c r="BI35" s="128"/>
      <c r="BJ35" s="125"/>
      <c r="BK35" s="129"/>
      <c r="BL35" s="153"/>
      <c r="BM35" s="128"/>
      <c r="BN35" s="129"/>
      <c r="BO35" s="129"/>
      <c r="BP35" s="153"/>
      <c r="BQ35" s="128"/>
      <c r="BR35" s="125"/>
      <c r="BS35" s="129"/>
      <c r="BT35" s="153"/>
      <c r="BU35" s="128"/>
      <c r="BV35" s="125"/>
      <c r="BW35" s="129"/>
      <c r="BX35" s="153"/>
      <c r="BY35" s="128"/>
      <c r="BZ35" s="712">
        <f t="shared" si="2"/>
        <v>43453</v>
      </c>
      <c r="CA35" s="415">
        <f t="shared" si="0"/>
        <v>43453</v>
      </c>
    </row>
    <row r="36" spans="1:79" s="709" customFormat="1" ht="22.5" x14ac:dyDescent="0.25">
      <c r="A36" s="709">
        <v>1</v>
      </c>
      <c r="B36" s="221">
        <v>21</v>
      </c>
      <c r="C36" s="221" t="s">
        <v>38</v>
      </c>
      <c r="D36" s="691">
        <v>30459428</v>
      </c>
      <c r="E36" s="150" t="s">
        <v>1986</v>
      </c>
      <c r="F36" s="700" t="s">
        <v>46</v>
      </c>
      <c r="G36" s="151" t="s">
        <v>1963</v>
      </c>
      <c r="H36" s="151" t="s">
        <v>1964</v>
      </c>
      <c r="I36" s="700" t="s">
        <v>1958</v>
      </c>
      <c r="J36" s="125">
        <v>79124</v>
      </c>
      <c r="K36" s="125">
        <v>5489</v>
      </c>
      <c r="L36" s="125">
        <v>0</v>
      </c>
      <c r="M36" s="125"/>
      <c r="N36" s="125"/>
      <c r="O36" s="125"/>
      <c r="P36" s="125"/>
      <c r="Q36" s="125">
        <v>20124</v>
      </c>
      <c r="R36" s="125"/>
      <c r="S36" s="125"/>
      <c r="T36" s="125"/>
      <c r="U36" s="125"/>
      <c r="V36" s="125"/>
      <c r="W36" s="125"/>
      <c r="X36" s="125"/>
      <c r="Y36" s="125">
        <f t="shared" si="1"/>
        <v>20124</v>
      </c>
      <c r="Z36" s="125">
        <v>67080</v>
      </c>
      <c r="AA36" s="126">
        <v>1</v>
      </c>
      <c r="AB36" s="127">
        <v>44207</v>
      </c>
      <c r="AC36" s="128">
        <v>44214</v>
      </c>
      <c r="AD36" s="125"/>
      <c r="AE36" s="129"/>
      <c r="AF36" s="153"/>
      <c r="AG36" s="128"/>
      <c r="AH36" s="125"/>
      <c r="AI36" s="129"/>
      <c r="AJ36" s="153"/>
      <c r="AK36" s="128"/>
      <c r="AL36" s="125"/>
      <c r="AM36" s="129"/>
      <c r="AN36" s="153"/>
      <c r="AO36" s="128"/>
      <c r="AP36" s="125"/>
      <c r="AQ36" s="129"/>
      <c r="AR36" s="153"/>
      <c r="AS36" s="128"/>
      <c r="AT36" s="125"/>
      <c r="AU36" s="129"/>
      <c r="AV36" s="153"/>
      <c r="AW36" s="128"/>
      <c r="AX36" s="125"/>
      <c r="AY36" s="129"/>
      <c r="AZ36" s="153"/>
      <c r="BA36" s="128"/>
      <c r="BB36" s="125"/>
      <c r="BC36" s="129"/>
      <c r="BD36" s="153"/>
      <c r="BE36" s="128"/>
      <c r="BF36" s="125"/>
      <c r="BG36" s="129"/>
      <c r="BH36" s="153"/>
      <c r="BI36" s="128"/>
      <c r="BJ36" s="125"/>
      <c r="BK36" s="129"/>
      <c r="BL36" s="153"/>
      <c r="BM36" s="128"/>
      <c r="BN36" s="129"/>
      <c r="BO36" s="129"/>
      <c r="BP36" s="153"/>
      <c r="BQ36" s="128"/>
      <c r="BR36" s="125"/>
      <c r="BS36" s="129"/>
      <c r="BT36" s="153"/>
      <c r="BU36" s="128"/>
      <c r="BV36" s="125"/>
      <c r="BW36" s="129"/>
      <c r="BX36" s="153"/>
      <c r="BY36" s="128"/>
      <c r="BZ36" s="712">
        <f t="shared" si="2"/>
        <v>67080</v>
      </c>
      <c r="CA36" s="415">
        <f t="shared" si="0"/>
        <v>46956</v>
      </c>
    </row>
    <row r="37" spans="1:79" s="709" customFormat="1" ht="22.5" x14ac:dyDescent="0.25">
      <c r="A37" s="709">
        <v>1</v>
      </c>
      <c r="B37" s="221">
        <v>22</v>
      </c>
      <c r="C37" s="221" t="s">
        <v>38</v>
      </c>
      <c r="D37" s="691">
        <v>30464641</v>
      </c>
      <c r="E37" s="150" t="s">
        <v>1987</v>
      </c>
      <c r="F37" s="700" t="s">
        <v>45</v>
      </c>
      <c r="G37" s="151" t="s">
        <v>1966</v>
      </c>
      <c r="H37" s="151" t="s">
        <v>226</v>
      </c>
      <c r="I37" s="700" t="s">
        <v>1958</v>
      </c>
      <c r="J37" s="125">
        <v>84329605</v>
      </c>
      <c r="K37" s="125">
        <v>6290614</v>
      </c>
      <c r="L37" s="125">
        <v>16561409</v>
      </c>
      <c r="M37" s="125">
        <v>766058</v>
      </c>
      <c r="N37" s="125">
        <v>596027</v>
      </c>
      <c r="O37" s="125">
        <v>474774</v>
      </c>
      <c r="P37" s="125">
        <v>412605</v>
      </c>
      <c r="Q37" s="125">
        <v>52573</v>
      </c>
      <c r="R37" s="125"/>
      <c r="S37" s="125"/>
      <c r="T37" s="125"/>
      <c r="U37" s="125"/>
      <c r="V37" s="125"/>
      <c r="W37" s="125"/>
      <c r="X37" s="125"/>
      <c r="Y37" s="125">
        <f t="shared" si="1"/>
        <v>2302037</v>
      </c>
      <c r="Z37" s="125">
        <v>2991350</v>
      </c>
      <c r="AA37" s="126">
        <v>1</v>
      </c>
      <c r="AB37" s="127">
        <v>44207</v>
      </c>
      <c r="AC37" s="128">
        <v>44214</v>
      </c>
      <c r="AD37" s="125"/>
      <c r="AE37" s="129"/>
      <c r="AF37" s="153"/>
      <c r="AG37" s="128"/>
      <c r="AH37" s="125"/>
      <c r="AI37" s="129"/>
      <c r="AJ37" s="153"/>
      <c r="AK37" s="128"/>
      <c r="AL37" s="125"/>
      <c r="AM37" s="129"/>
      <c r="AN37" s="153"/>
      <c r="AO37" s="128"/>
      <c r="AP37" s="125"/>
      <c r="AQ37" s="129"/>
      <c r="AR37" s="153"/>
      <c r="AS37" s="128"/>
      <c r="AT37" s="125"/>
      <c r="AU37" s="129"/>
      <c r="AV37" s="153"/>
      <c r="AW37" s="128"/>
      <c r="AX37" s="125">
        <v>200000</v>
      </c>
      <c r="AY37" s="129">
        <v>18</v>
      </c>
      <c r="AZ37" s="128">
        <v>44308</v>
      </c>
      <c r="BA37" s="128">
        <v>44314</v>
      </c>
      <c r="BB37" s="125"/>
      <c r="BC37" s="129"/>
      <c r="BD37" s="153"/>
      <c r="BE37" s="128"/>
      <c r="BF37" s="125">
        <v>150000</v>
      </c>
      <c r="BG37" s="129">
        <v>25</v>
      </c>
      <c r="BH37" s="127">
        <v>44329</v>
      </c>
      <c r="BI37" s="128">
        <v>44335</v>
      </c>
      <c r="BJ37" s="125"/>
      <c r="BK37" s="129"/>
      <c r="BL37" s="153"/>
      <c r="BM37" s="128"/>
      <c r="BN37" s="129">
        <v>-275000</v>
      </c>
      <c r="BO37" s="129">
        <v>28</v>
      </c>
      <c r="BP37" s="127">
        <v>44363</v>
      </c>
      <c r="BQ37" s="128"/>
      <c r="BR37" s="125"/>
      <c r="BS37" s="129"/>
      <c r="BT37" s="153"/>
      <c r="BU37" s="128"/>
      <c r="BV37" s="125"/>
      <c r="BW37" s="129"/>
      <c r="BX37" s="153"/>
      <c r="BY37" s="128"/>
      <c r="BZ37" s="712">
        <f t="shared" si="2"/>
        <v>3066350</v>
      </c>
      <c r="CA37" s="415">
        <f t="shared" si="0"/>
        <v>764313</v>
      </c>
    </row>
    <row r="38" spans="1:79" s="709" customFormat="1" ht="22.5" x14ac:dyDescent="0.25">
      <c r="A38" s="709">
        <v>1</v>
      </c>
      <c r="B38" s="221">
        <v>23</v>
      </c>
      <c r="C38" s="221" t="s">
        <v>38</v>
      </c>
      <c r="D38" s="691">
        <v>30464891</v>
      </c>
      <c r="E38" s="150" t="s">
        <v>1988</v>
      </c>
      <c r="F38" s="700" t="s">
        <v>46</v>
      </c>
      <c r="G38" s="151" t="s">
        <v>1956</v>
      </c>
      <c r="H38" s="151" t="s">
        <v>1960</v>
      </c>
      <c r="I38" s="700" t="s">
        <v>1958</v>
      </c>
      <c r="J38" s="125">
        <v>24493</v>
      </c>
      <c r="K38" s="125">
        <v>21346</v>
      </c>
      <c r="L38" s="125">
        <v>0</v>
      </c>
      <c r="M38" s="125"/>
      <c r="N38" s="125"/>
      <c r="O38" s="125"/>
      <c r="P38" s="125"/>
      <c r="Q38" s="125"/>
      <c r="R38" s="125"/>
      <c r="S38" s="125"/>
      <c r="T38" s="125"/>
      <c r="U38" s="125"/>
      <c r="V38" s="125"/>
      <c r="W38" s="125"/>
      <c r="X38" s="125"/>
      <c r="Y38" s="125">
        <f t="shared" si="1"/>
        <v>0</v>
      </c>
      <c r="Z38" s="125">
        <v>3078</v>
      </c>
      <c r="AA38" s="126">
        <v>1</v>
      </c>
      <c r="AB38" s="127">
        <v>44207</v>
      </c>
      <c r="AC38" s="128">
        <v>44214</v>
      </c>
      <c r="AD38" s="125"/>
      <c r="AE38" s="129"/>
      <c r="AF38" s="153"/>
      <c r="AG38" s="128"/>
      <c r="AH38" s="125"/>
      <c r="AI38" s="129"/>
      <c r="AJ38" s="153"/>
      <c r="AK38" s="128"/>
      <c r="AL38" s="125"/>
      <c r="AM38" s="129"/>
      <c r="AN38" s="153"/>
      <c r="AO38" s="128"/>
      <c r="AP38" s="125"/>
      <c r="AQ38" s="129"/>
      <c r="AR38" s="153"/>
      <c r="AS38" s="128"/>
      <c r="AT38" s="125"/>
      <c r="AU38" s="129"/>
      <c r="AV38" s="153"/>
      <c r="AW38" s="128"/>
      <c r="AX38" s="125"/>
      <c r="AY38" s="129"/>
      <c r="AZ38" s="153"/>
      <c r="BA38" s="128"/>
      <c r="BB38" s="125"/>
      <c r="BC38" s="129"/>
      <c r="BD38" s="153"/>
      <c r="BE38" s="128"/>
      <c r="BF38" s="125"/>
      <c r="BG38" s="129"/>
      <c r="BH38" s="153"/>
      <c r="BI38" s="128"/>
      <c r="BJ38" s="125"/>
      <c r="BK38" s="129"/>
      <c r="BL38" s="153"/>
      <c r="BM38" s="128"/>
      <c r="BN38" s="129"/>
      <c r="BO38" s="129"/>
      <c r="BP38" s="153"/>
      <c r="BQ38" s="128"/>
      <c r="BR38" s="125"/>
      <c r="BS38" s="129"/>
      <c r="BT38" s="153"/>
      <c r="BU38" s="128"/>
      <c r="BV38" s="125"/>
      <c r="BW38" s="129"/>
      <c r="BX38" s="153"/>
      <c r="BY38" s="128"/>
      <c r="BZ38" s="712">
        <f t="shared" si="2"/>
        <v>3078</v>
      </c>
      <c r="CA38" s="415">
        <f t="shared" si="0"/>
        <v>3078</v>
      </c>
    </row>
    <row r="39" spans="1:79" s="709" customFormat="1" ht="22.5" x14ac:dyDescent="0.25">
      <c r="A39" s="709">
        <v>1</v>
      </c>
      <c r="B39" s="221">
        <v>24</v>
      </c>
      <c r="C39" s="221" t="s">
        <v>38</v>
      </c>
      <c r="D39" s="691">
        <v>30468185</v>
      </c>
      <c r="E39" s="150" t="s">
        <v>1989</v>
      </c>
      <c r="F39" s="700" t="s">
        <v>45</v>
      </c>
      <c r="G39" s="151" t="s">
        <v>1966</v>
      </c>
      <c r="H39" s="151" t="s">
        <v>1967</v>
      </c>
      <c r="I39" s="700" t="s">
        <v>1958</v>
      </c>
      <c r="J39" s="125">
        <v>1287585</v>
      </c>
      <c r="K39" s="125">
        <v>959397</v>
      </c>
      <c r="L39" s="125">
        <v>0</v>
      </c>
      <c r="M39" s="125"/>
      <c r="N39" s="125"/>
      <c r="O39" s="125"/>
      <c r="P39" s="125"/>
      <c r="Q39" s="125"/>
      <c r="R39" s="125"/>
      <c r="S39" s="125"/>
      <c r="T39" s="125"/>
      <c r="U39" s="125"/>
      <c r="V39" s="125"/>
      <c r="W39" s="125"/>
      <c r="X39" s="125"/>
      <c r="Y39" s="125">
        <f t="shared" si="1"/>
        <v>0</v>
      </c>
      <c r="Z39" s="125">
        <v>268254</v>
      </c>
      <c r="AA39" s="126">
        <v>1</v>
      </c>
      <c r="AB39" s="127">
        <v>44207</v>
      </c>
      <c r="AC39" s="128">
        <v>44214</v>
      </c>
      <c r="AD39" s="125"/>
      <c r="AE39" s="129"/>
      <c r="AF39" s="153"/>
      <c r="AG39" s="128"/>
      <c r="AH39" s="125"/>
      <c r="AI39" s="129"/>
      <c r="AJ39" s="153"/>
      <c r="AK39" s="128"/>
      <c r="AL39" s="125"/>
      <c r="AM39" s="129"/>
      <c r="AN39" s="153"/>
      <c r="AO39" s="128"/>
      <c r="AP39" s="125"/>
      <c r="AQ39" s="129"/>
      <c r="AR39" s="153"/>
      <c r="AS39" s="128"/>
      <c r="AT39" s="125"/>
      <c r="AU39" s="129"/>
      <c r="AV39" s="153"/>
      <c r="AW39" s="128"/>
      <c r="AX39" s="125"/>
      <c r="AY39" s="129"/>
      <c r="AZ39" s="153"/>
      <c r="BA39" s="128"/>
      <c r="BB39" s="125"/>
      <c r="BC39" s="129"/>
      <c r="BD39" s="153"/>
      <c r="BE39" s="128"/>
      <c r="BF39" s="125"/>
      <c r="BG39" s="129"/>
      <c r="BH39" s="153"/>
      <c r="BI39" s="128"/>
      <c r="BJ39" s="125"/>
      <c r="BK39" s="129"/>
      <c r="BL39" s="153"/>
      <c r="BM39" s="128"/>
      <c r="BN39" s="129"/>
      <c r="BO39" s="129"/>
      <c r="BP39" s="153"/>
      <c r="BQ39" s="128"/>
      <c r="BR39" s="125"/>
      <c r="BS39" s="129"/>
      <c r="BT39" s="153"/>
      <c r="BU39" s="128"/>
      <c r="BV39" s="125"/>
      <c r="BW39" s="129"/>
      <c r="BX39" s="153"/>
      <c r="BY39" s="128"/>
      <c r="BZ39" s="712">
        <f t="shared" si="2"/>
        <v>268254</v>
      </c>
      <c r="CA39" s="415">
        <f t="shared" si="0"/>
        <v>268254</v>
      </c>
    </row>
    <row r="40" spans="1:79" s="709" customFormat="1" ht="22.5" x14ac:dyDescent="0.25">
      <c r="A40" s="709">
        <v>1</v>
      </c>
      <c r="B40" s="221">
        <v>25</v>
      </c>
      <c r="C40" s="221" t="s">
        <v>38</v>
      </c>
      <c r="D40" s="691">
        <v>30469790</v>
      </c>
      <c r="E40" s="150" t="s">
        <v>1990</v>
      </c>
      <c r="F40" s="700" t="s">
        <v>45</v>
      </c>
      <c r="G40" s="151" t="s">
        <v>1963</v>
      </c>
      <c r="H40" s="151" t="s">
        <v>1964</v>
      </c>
      <c r="I40" s="700" t="s">
        <v>1958</v>
      </c>
      <c r="J40" s="125">
        <v>475688</v>
      </c>
      <c r="K40" s="125">
        <v>371359</v>
      </c>
      <c r="L40" s="125">
        <v>8313</v>
      </c>
      <c r="M40" s="125"/>
      <c r="N40" s="125"/>
      <c r="O40" s="125"/>
      <c r="P40" s="125"/>
      <c r="Q40" s="125"/>
      <c r="R40" s="125"/>
      <c r="S40" s="125"/>
      <c r="T40" s="125"/>
      <c r="U40" s="125"/>
      <c r="V40" s="125"/>
      <c r="W40" s="125"/>
      <c r="X40" s="125"/>
      <c r="Y40" s="125">
        <f t="shared" si="1"/>
        <v>0</v>
      </c>
      <c r="Z40" s="125">
        <v>39724</v>
      </c>
      <c r="AA40" s="126">
        <v>1</v>
      </c>
      <c r="AB40" s="127">
        <v>44207</v>
      </c>
      <c r="AC40" s="128">
        <v>44214</v>
      </c>
      <c r="AD40" s="125"/>
      <c r="AE40" s="129"/>
      <c r="AF40" s="153"/>
      <c r="AG40" s="128"/>
      <c r="AH40" s="125"/>
      <c r="AI40" s="129"/>
      <c r="AJ40" s="153"/>
      <c r="AK40" s="128"/>
      <c r="AL40" s="125"/>
      <c r="AM40" s="129"/>
      <c r="AN40" s="153"/>
      <c r="AO40" s="128"/>
      <c r="AP40" s="125"/>
      <c r="AQ40" s="129"/>
      <c r="AR40" s="153"/>
      <c r="AS40" s="128"/>
      <c r="AT40" s="125"/>
      <c r="AU40" s="129"/>
      <c r="AV40" s="153"/>
      <c r="AW40" s="128"/>
      <c r="AX40" s="125"/>
      <c r="AY40" s="129"/>
      <c r="AZ40" s="153"/>
      <c r="BA40" s="128"/>
      <c r="BB40" s="125"/>
      <c r="BC40" s="129"/>
      <c r="BD40" s="153"/>
      <c r="BE40" s="128"/>
      <c r="BF40" s="125"/>
      <c r="BG40" s="129"/>
      <c r="BH40" s="153"/>
      <c r="BI40" s="128"/>
      <c r="BJ40" s="125"/>
      <c r="BK40" s="129"/>
      <c r="BL40" s="153"/>
      <c r="BM40" s="128"/>
      <c r="BN40" s="129"/>
      <c r="BO40" s="129"/>
      <c r="BP40" s="153"/>
      <c r="BQ40" s="128"/>
      <c r="BR40" s="125"/>
      <c r="BS40" s="129"/>
      <c r="BT40" s="153"/>
      <c r="BU40" s="128"/>
      <c r="BV40" s="125"/>
      <c r="BW40" s="129"/>
      <c r="BX40" s="153"/>
      <c r="BY40" s="128"/>
      <c r="BZ40" s="712">
        <f t="shared" si="2"/>
        <v>39724</v>
      </c>
      <c r="CA40" s="415">
        <f t="shared" si="0"/>
        <v>39724</v>
      </c>
    </row>
    <row r="41" spans="1:79" s="709" customFormat="1" x14ac:dyDescent="0.25">
      <c r="A41" s="709">
        <v>1</v>
      </c>
      <c r="B41" s="221">
        <v>26</v>
      </c>
      <c r="C41" s="221" t="s">
        <v>38</v>
      </c>
      <c r="D41" s="691">
        <v>30470391</v>
      </c>
      <c r="E41" s="150" t="s">
        <v>1991</v>
      </c>
      <c r="F41" s="700" t="s">
        <v>46</v>
      </c>
      <c r="G41" s="151" t="s">
        <v>1956</v>
      </c>
      <c r="H41" s="151" t="s">
        <v>1960</v>
      </c>
      <c r="I41" s="700" t="s">
        <v>1958</v>
      </c>
      <c r="J41" s="125">
        <v>30385</v>
      </c>
      <c r="K41" s="125">
        <v>27462</v>
      </c>
      <c r="L41" s="125">
        <v>0</v>
      </c>
      <c r="M41" s="125"/>
      <c r="N41" s="125"/>
      <c r="O41" s="125"/>
      <c r="P41" s="125"/>
      <c r="Q41" s="125"/>
      <c r="R41" s="125"/>
      <c r="S41" s="125"/>
      <c r="T41" s="125"/>
      <c r="U41" s="125"/>
      <c r="V41" s="125"/>
      <c r="W41" s="125"/>
      <c r="X41" s="125"/>
      <c r="Y41" s="125">
        <f t="shared" si="1"/>
        <v>0</v>
      </c>
      <c r="Z41" s="125">
        <v>2923</v>
      </c>
      <c r="AA41" s="126">
        <v>1</v>
      </c>
      <c r="AB41" s="127">
        <v>44207</v>
      </c>
      <c r="AC41" s="128">
        <v>44214</v>
      </c>
      <c r="AD41" s="125"/>
      <c r="AE41" s="129"/>
      <c r="AF41" s="153"/>
      <c r="AG41" s="128"/>
      <c r="AH41" s="125"/>
      <c r="AI41" s="129"/>
      <c r="AJ41" s="153"/>
      <c r="AK41" s="128"/>
      <c r="AL41" s="125"/>
      <c r="AM41" s="129"/>
      <c r="AN41" s="153"/>
      <c r="AO41" s="128"/>
      <c r="AP41" s="125"/>
      <c r="AQ41" s="129"/>
      <c r="AR41" s="153"/>
      <c r="AS41" s="128"/>
      <c r="AT41" s="125"/>
      <c r="AU41" s="129"/>
      <c r="AV41" s="153"/>
      <c r="AW41" s="128"/>
      <c r="AX41" s="125"/>
      <c r="AY41" s="129"/>
      <c r="AZ41" s="153"/>
      <c r="BA41" s="128"/>
      <c r="BB41" s="125"/>
      <c r="BC41" s="129"/>
      <c r="BD41" s="153"/>
      <c r="BE41" s="128"/>
      <c r="BF41" s="125"/>
      <c r="BG41" s="129"/>
      <c r="BH41" s="153"/>
      <c r="BI41" s="128"/>
      <c r="BJ41" s="125"/>
      <c r="BK41" s="129"/>
      <c r="BL41" s="153"/>
      <c r="BM41" s="128"/>
      <c r="BN41" s="129"/>
      <c r="BO41" s="129"/>
      <c r="BP41" s="153"/>
      <c r="BQ41" s="128"/>
      <c r="BR41" s="125"/>
      <c r="BS41" s="129"/>
      <c r="BT41" s="153"/>
      <c r="BU41" s="128"/>
      <c r="BV41" s="125"/>
      <c r="BW41" s="129"/>
      <c r="BX41" s="153"/>
      <c r="BY41" s="128"/>
      <c r="BZ41" s="712">
        <f t="shared" si="2"/>
        <v>2923</v>
      </c>
      <c r="CA41" s="415">
        <f t="shared" si="0"/>
        <v>2923</v>
      </c>
    </row>
    <row r="42" spans="1:79" s="709" customFormat="1" ht="22.5" x14ac:dyDescent="0.25">
      <c r="A42" s="709">
        <v>1</v>
      </c>
      <c r="B42" s="221">
        <v>27</v>
      </c>
      <c r="C42" s="221" t="s">
        <v>38</v>
      </c>
      <c r="D42" s="691">
        <v>30471786</v>
      </c>
      <c r="E42" s="150" t="s">
        <v>1992</v>
      </c>
      <c r="F42" s="700" t="s">
        <v>46</v>
      </c>
      <c r="G42" s="151" t="s">
        <v>1956</v>
      </c>
      <c r="H42" s="151" t="s">
        <v>1960</v>
      </c>
      <c r="I42" s="700" t="s">
        <v>1958</v>
      </c>
      <c r="J42" s="125">
        <v>27143</v>
      </c>
      <c r="K42" s="125">
        <v>23993</v>
      </c>
      <c r="L42" s="125">
        <v>2</v>
      </c>
      <c r="M42" s="125"/>
      <c r="N42" s="125"/>
      <c r="O42" s="125"/>
      <c r="P42" s="125"/>
      <c r="Q42" s="125"/>
      <c r="R42" s="125"/>
      <c r="S42" s="125"/>
      <c r="T42" s="125"/>
      <c r="U42" s="125"/>
      <c r="V42" s="125"/>
      <c r="W42" s="125"/>
      <c r="X42" s="125"/>
      <c r="Y42" s="125">
        <f t="shared" si="1"/>
        <v>0</v>
      </c>
      <c r="Z42" s="125">
        <v>3079</v>
      </c>
      <c r="AA42" s="126">
        <v>1</v>
      </c>
      <c r="AB42" s="127">
        <v>44207</v>
      </c>
      <c r="AC42" s="128">
        <v>44214</v>
      </c>
      <c r="AD42" s="125"/>
      <c r="AE42" s="129"/>
      <c r="AF42" s="153"/>
      <c r="AG42" s="128"/>
      <c r="AH42" s="125"/>
      <c r="AI42" s="129"/>
      <c r="AJ42" s="153"/>
      <c r="AK42" s="128"/>
      <c r="AL42" s="125"/>
      <c r="AM42" s="129"/>
      <c r="AN42" s="153"/>
      <c r="AO42" s="128"/>
      <c r="AP42" s="125"/>
      <c r="AQ42" s="129"/>
      <c r="AR42" s="153"/>
      <c r="AS42" s="128"/>
      <c r="AT42" s="125"/>
      <c r="AU42" s="129"/>
      <c r="AV42" s="153"/>
      <c r="AW42" s="128"/>
      <c r="AX42" s="125"/>
      <c r="AY42" s="129"/>
      <c r="AZ42" s="153"/>
      <c r="BA42" s="128"/>
      <c r="BB42" s="125"/>
      <c r="BC42" s="129"/>
      <c r="BD42" s="153"/>
      <c r="BE42" s="128"/>
      <c r="BF42" s="125"/>
      <c r="BG42" s="129"/>
      <c r="BH42" s="153"/>
      <c r="BI42" s="128"/>
      <c r="BJ42" s="125"/>
      <c r="BK42" s="129"/>
      <c r="BL42" s="153"/>
      <c r="BM42" s="128"/>
      <c r="BN42" s="129"/>
      <c r="BO42" s="129"/>
      <c r="BP42" s="153"/>
      <c r="BQ42" s="128"/>
      <c r="BR42" s="125"/>
      <c r="BS42" s="129"/>
      <c r="BT42" s="153"/>
      <c r="BU42" s="128"/>
      <c r="BV42" s="125"/>
      <c r="BW42" s="129"/>
      <c r="BX42" s="153"/>
      <c r="BY42" s="128"/>
      <c r="BZ42" s="712">
        <f t="shared" si="2"/>
        <v>3079</v>
      </c>
      <c r="CA42" s="415">
        <f t="shared" si="0"/>
        <v>3079</v>
      </c>
    </row>
    <row r="43" spans="1:79" s="709" customFormat="1" ht="22.5" x14ac:dyDescent="0.25">
      <c r="A43" s="709">
        <v>1</v>
      </c>
      <c r="B43" s="221">
        <v>28</v>
      </c>
      <c r="C43" s="221" t="s">
        <v>38</v>
      </c>
      <c r="D43" s="691">
        <v>30471945</v>
      </c>
      <c r="E43" s="150" t="s">
        <v>1993</v>
      </c>
      <c r="F43" s="700" t="s">
        <v>45</v>
      </c>
      <c r="G43" s="151" t="s">
        <v>1969</v>
      </c>
      <c r="H43" s="151" t="s">
        <v>1970</v>
      </c>
      <c r="I43" s="700" t="s">
        <v>1958</v>
      </c>
      <c r="J43" s="125">
        <v>1635176</v>
      </c>
      <c r="K43" s="125">
        <v>1524024</v>
      </c>
      <c r="L43" s="125">
        <v>42470</v>
      </c>
      <c r="M43" s="125"/>
      <c r="N43" s="125"/>
      <c r="O43" s="125">
        <v>193</v>
      </c>
      <c r="P43" s="125"/>
      <c r="Q43" s="125"/>
      <c r="R43" s="125"/>
      <c r="S43" s="125"/>
      <c r="T43" s="125"/>
      <c r="U43" s="125"/>
      <c r="V43" s="125"/>
      <c r="W43" s="125"/>
      <c r="X43" s="125"/>
      <c r="Y43" s="125">
        <f t="shared" si="1"/>
        <v>193</v>
      </c>
      <c r="Z43" s="125">
        <v>65467</v>
      </c>
      <c r="AA43" s="126">
        <v>1</v>
      </c>
      <c r="AB43" s="127">
        <v>44207</v>
      </c>
      <c r="AC43" s="128">
        <v>44214</v>
      </c>
      <c r="AD43" s="125"/>
      <c r="AE43" s="129"/>
      <c r="AF43" s="153"/>
      <c r="AG43" s="128"/>
      <c r="AH43" s="125"/>
      <c r="AI43" s="129"/>
      <c r="AJ43" s="153"/>
      <c r="AK43" s="128"/>
      <c r="AL43" s="125"/>
      <c r="AM43" s="129"/>
      <c r="AN43" s="153"/>
      <c r="AO43" s="128"/>
      <c r="AP43" s="125"/>
      <c r="AQ43" s="129"/>
      <c r="AR43" s="153"/>
      <c r="AS43" s="128"/>
      <c r="AT43" s="125"/>
      <c r="AU43" s="129"/>
      <c r="AV43" s="153"/>
      <c r="AW43" s="128"/>
      <c r="AX43" s="125"/>
      <c r="AY43" s="129"/>
      <c r="AZ43" s="153"/>
      <c r="BA43" s="128"/>
      <c r="BB43" s="125"/>
      <c r="BC43" s="129"/>
      <c r="BD43" s="153"/>
      <c r="BE43" s="128"/>
      <c r="BF43" s="125"/>
      <c r="BG43" s="129"/>
      <c r="BH43" s="153"/>
      <c r="BI43" s="128"/>
      <c r="BJ43" s="125"/>
      <c r="BK43" s="129"/>
      <c r="BL43" s="153"/>
      <c r="BM43" s="128"/>
      <c r="BN43" s="129"/>
      <c r="BO43" s="129"/>
      <c r="BP43" s="153"/>
      <c r="BQ43" s="128"/>
      <c r="BR43" s="125"/>
      <c r="BS43" s="129"/>
      <c r="BT43" s="153"/>
      <c r="BU43" s="128"/>
      <c r="BV43" s="125"/>
      <c r="BW43" s="129"/>
      <c r="BX43" s="153"/>
      <c r="BY43" s="128"/>
      <c r="BZ43" s="712">
        <f t="shared" si="2"/>
        <v>65467</v>
      </c>
      <c r="CA43" s="415">
        <f t="shared" si="0"/>
        <v>65274</v>
      </c>
    </row>
    <row r="44" spans="1:79" s="709" customFormat="1" ht="22.5" x14ac:dyDescent="0.25">
      <c r="A44" s="709">
        <v>1</v>
      </c>
      <c r="B44" s="221">
        <v>29</v>
      </c>
      <c r="C44" s="221" t="s">
        <v>38</v>
      </c>
      <c r="D44" s="691">
        <v>30472385</v>
      </c>
      <c r="E44" s="150" t="s">
        <v>1994</v>
      </c>
      <c r="F44" s="700" t="s">
        <v>45</v>
      </c>
      <c r="G44" s="151" t="s">
        <v>1963</v>
      </c>
      <c r="H44" s="151" t="s">
        <v>1964</v>
      </c>
      <c r="I44" s="700" t="s">
        <v>1958</v>
      </c>
      <c r="J44" s="125">
        <v>1511802</v>
      </c>
      <c r="K44" s="125">
        <v>1336248</v>
      </c>
      <c r="L44" s="125">
        <v>0</v>
      </c>
      <c r="M44" s="125"/>
      <c r="N44" s="125"/>
      <c r="O44" s="125">
        <v>40295</v>
      </c>
      <c r="P44" s="125"/>
      <c r="Q44" s="125"/>
      <c r="R44" s="125"/>
      <c r="S44" s="125"/>
      <c r="T44" s="125"/>
      <c r="U44" s="125"/>
      <c r="V44" s="125"/>
      <c r="W44" s="125"/>
      <c r="X44" s="125"/>
      <c r="Y44" s="125">
        <f t="shared" si="1"/>
        <v>40295</v>
      </c>
      <c r="Z44" s="125">
        <v>40295</v>
      </c>
      <c r="AA44" s="126">
        <v>1</v>
      </c>
      <c r="AB44" s="127">
        <v>44207</v>
      </c>
      <c r="AC44" s="128">
        <v>44214</v>
      </c>
      <c r="AD44" s="125"/>
      <c r="AE44" s="129"/>
      <c r="AF44" s="153"/>
      <c r="AG44" s="128"/>
      <c r="AH44" s="125"/>
      <c r="AI44" s="129"/>
      <c r="AJ44" s="153"/>
      <c r="AK44" s="128"/>
      <c r="AL44" s="125"/>
      <c r="AM44" s="129"/>
      <c r="AN44" s="153"/>
      <c r="AO44" s="128"/>
      <c r="AP44" s="125"/>
      <c r="AQ44" s="129"/>
      <c r="AR44" s="153"/>
      <c r="AS44" s="128"/>
      <c r="AT44" s="125"/>
      <c r="AU44" s="129"/>
      <c r="AV44" s="153"/>
      <c r="AW44" s="128"/>
      <c r="AX44" s="125"/>
      <c r="AY44" s="129"/>
      <c r="AZ44" s="153"/>
      <c r="BA44" s="128"/>
      <c r="BB44" s="125"/>
      <c r="BC44" s="129"/>
      <c r="BD44" s="153"/>
      <c r="BE44" s="128"/>
      <c r="BF44" s="125"/>
      <c r="BG44" s="129"/>
      <c r="BH44" s="153"/>
      <c r="BI44" s="128"/>
      <c r="BJ44" s="125"/>
      <c r="BK44" s="129"/>
      <c r="BL44" s="153"/>
      <c r="BM44" s="128"/>
      <c r="BN44" s="129"/>
      <c r="BO44" s="129"/>
      <c r="BP44" s="153"/>
      <c r="BQ44" s="128"/>
      <c r="BR44" s="125"/>
      <c r="BS44" s="129"/>
      <c r="BT44" s="153"/>
      <c r="BU44" s="128"/>
      <c r="BV44" s="125"/>
      <c r="BW44" s="129"/>
      <c r="BX44" s="153"/>
      <c r="BY44" s="128"/>
      <c r="BZ44" s="712">
        <f t="shared" si="2"/>
        <v>40295</v>
      </c>
      <c r="CA44" s="415">
        <f t="shared" si="0"/>
        <v>0</v>
      </c>
    </row>
    <row r="45" spans="1:79" s="709" customFormat="1" ht="22.5" x14ac:dyDescent="0.25">
      <c r="A45" s="709">
        <v>1</v>
      </c>
      <c r="B45" s="221">
        <v>30</v>
      </c>
      <c r="C45" s="221" t="s">
        <v>38</v>
      </c>
      <c r="D45" s="691">
        <v>30472887</v>
      </c>
      <c r="E45" s="150" t="s">
        <v>1995</v>
      </c>
      <c r="F45" s="700" t="s">
        <v>45</v>
      </c>
      <c r="G45" s="151" t="s">
        <v>1956</v>
      </c>
      <c r="H45" s="151" t="s">
        <v>1960</v>
      </c>
      <c r="I45" s="700" t="s">
        <v>1958</v>
      </c>
      <c r="J45" s="125">
        <v>2398253</v>
      </c>
      <c r="K45" s="125">
        <v>704650</v>
      </c>
      <c r="L45" s="125">
        <v>2</v>
      </c>
      <c r="M45" s="125">
        <v>228177</v>
      </c>
      <c r="N45" s="125">
        <v>49192</v>
      </c>
      <c r="O45" s="125">
        <v>42591</v>
      </c>
      <c r="P45" s="125">
        <v>62776</v>
      </c>
      <c r="Q45" s="125"/>
      <c r="R45" s="125">
        <v>178246</v>
      </c>
      <c r="S45" s="125"/>
      <c r="T45" s="125"/>
      <c r="U45" s="125"/>
      <c r="V45" s="125"/>
      <c r="W45" s="125"/>
      <c r="X45" s="125"/>
      <c r="Y45" s="125">
        <f t="shared" si="1"/>
        <v>560982</v>
      </c>
      <c r="Z45" s="125">
        <f>519070</f>
        <v>519070</v>
      </c>
      <c r="AA45" s="126">
        <v>1</v>
      </c>
      <c r="AB45" s="127">
        <v>44207</v>
      </c>
      <c r="AC45" s="128">
        <v>44214</v>
      </c>
      <c r="AD45" s="125"/>
      <c r="AE45" s="129"/>
      <c r="AF45" s="153"/>
      <c r="AG45" s="128"/>
      <c r="AH45" s="125"/>
      <c r="AI45" s="129"/>
      <c r="AJ45" s="153"/>
      <c r="AK45" s="128"/>
      <c r="AL45" s="125">
        <v>185208</v>
      </c>
      <c r="AM45" s="129">
        <v>13</v>
      </c>
      <c r="AN45" s="128">
        <v>44277</v>
      </c>
      <c r="AO45" s="128">
        <v>44281</v>
      </c>
      <c r="AP45" s="125"/>
      <c r="AQ45" s="129"/>
      <c r="AR45" s="153"/>
      <c r="AS45" s="128"/>
      <c r="AT45" s="125"/>
      <c r="AU45" s="129"/>
      <c r="AV45" s="153"/>
      <c r="AW45" s="128"/>
      <c r="AX45" s="125"/>
      <c r="AY45" s="129"/>
      <c r="AZ45" s="153"/>
      <c r="BA45" s="128"/>
      <c r="BB45" s="125"/>
      <c r="BC45" s="129"/>
      <c r="BD45" s="153"/>
      <c r="BE45" s="128"/>
      <c r="BF45" s="125">
        <v>300000</v>
      </c>
      <c r="BG45" s="129">
        <v>25</v>
      </c>
      <c r="BH45" s="127">
        <v>44329</v>
      </c>
      <c r="BI45" s="128">
        <v>44335</v>
      </c>
      <c r="BJ45" s="125"/>
      <c r="BK45" s="129"/>
      <c r="BL45" s="153"/>
      <c r="BM45" s="128"/>
      <c r="BN45" s="129"/>
      <c r="BO45" s="129"/>
      <c r="BP45" s="153"/>
      <c r="BQ45" s="128"/>
      <c r="BR45" s="125"/>
      <c r="BS45" s="129"/>
      <c r="BT45" s="153"/>
      <c r="BU45" s="128"/>
      <c r="BV45" s="125"/>
      <c r="BW45" s="129"/>
      <c r="BX45" s="153"/>
      <c r="BY45" s="128"/>
      <c r="BZ45" s="712">
        <f t="shared" si="2"/>
        <v>1004278</v>
      </c>
      <c r="CA45" s="415">
        <f t="shared" si="0"/>
        <v>443296</v>
      </c>
    </row>
    <row r="46" spans="1:79" s="709" customFormat="1" ht="22.5" x14ac:dyDescent="0.25">
      <c r="A46" s="709">
        <v>1</v>
      </c>
      <c r="B46" s="221">
        <v>31</v>
      </c>
      <c r="C46" s="221" t="s">
        <v>38</v>
      </c>
      <c r="D46" s="691">
        <v>30473785</v>
      </c>
      <c r="E46" s="150" t="s">
        <v>1996</v>
      </c>
      <c r="F46" s="700" t="s">
        <v>45</v>
      </c>
      <c r="G46" s="151" t="s">
        <v>1963</v>
      </c>
      <c r="H46" s="151" t="s">
        <v>1964</v>
      </c>
      <c r="I46" s="700" t="s">
        <v>1958</v>
      </c>
      <c r="J46" s="125">
        <v>340695</v>
      </c>
      <c r="K46" s="125">
        <v>228204</v>
      </c>
      <c r="L46" s="125">
        <v>0</v>
      </c>
      <c r="M46" s="125"/>
      <c r="N46" s="125"/>
      <c r="O46" s="125"/>
      <c r="P46" s="125"/>
      <c r="Q46" s="125"/>
      <c r="R46" s="125"/>
      <c r="S46" s="125"/>
      <c r="T46" s="125"/>
      <c r="U46" s="125"/>
      <c r="V46" s="125"/>
      <c r="W46" s="125"/>
      <c r="X46" s="125"/>
      <c r="Y46" s="125">
        <f t="shared" si="1"/>
        <v>0</v>
      </c>
      <c r="Z46" s="125">
        <v>66815</v>
      </c>
      <c r="AA46" s="126">
        <v>1</v>
      </c>
      <c r="AB46" s="127">
        <v>44207</v>
      </c>
      <c r="AC46" s="128">
        <v>44214</v>
      </c>
      <c r="AD46" s="125"/>
      <c r="AE46" s="129"/>
      <c r="AF46" s="153"/>
      <c r="AG46" s="128"/>
      <c r="AH46" s="125"/>
      <c r="AI46" s="129"/>
      <c r="AJ46" s="153"/>
      <c r="AK46" s="128"/>
      <c r="AL46" s="125"/>
      <c r="AM46" s="129"/>
      <c r="AN46" s="128"/>
      <c r="AO46" s="128"/>
      <c r="AP46" s="125"/>
      <c r="AQ46" s="129"/>
      <c r="AR46" s="153"/>
      <c r="AS46" s="128"/>
      <c r="AT46" s="125"/>
      <c r="AU46" s="129"/>
      <c r="AV46" s="153"/>
      <c r="AW46" s="128"/>
      <c r="AX46" s="125"/>
      <c r="AY46" s="129"/>
      <c r="AZ46" s="153"/>
      <c r="BA46" s="128"/>
      <c r="BB46" s="125"/>
      <c r="BC46" s="129"/>
      <c r="BD46" s="153"/>
      <c r="BE46" s="128"/>
      <c r="BF46" s="125"/>
      <c r="BG46" s="129"/>
      <c r="BH46" s="153"/>
      <c r="BI46" s="128"/>
      <c r="BJ46" s="125"/>
      <c r="BK46" s="129"/>
      <c r="BL46" s="153"/>
      <c r="BM46" s="128"/>
      <c r="BN46" s="129"/>
      <c r="BO46" s="129"/>
      <c r="BP46" s="153"/>
      <c r="BQ46" s="128"/>
      <c r="BR46" s="125"/>
      <c r="BS46" s="129"/>
      <c r="BT46" s="153"/>
      <c r="BU46" s="128"/>
      <c r="BV46" s="125"/>
      <c r="BW46" s="129"/>
      <c r="BX46" s="153"/>
      <c r="BY46" s="128"/>
      <c r="BZ46" s="712">
        <f t="shared" si="2"/>
        <v>66815</v>
      </c>
      <c r="CA46" s="415">
        <f t="shared" si="0"/>
        <v>66815</v>
      </c>
    </row>
    <row r="47" spans="1:79" s="709" customFormat="1" ht="22.5" x14ac:dyDescent="0.25">
      <c r="A47" s="709">
        <v>1</v>
      </c>
      <c r="B47" s="221">
        <v>32</v>
      </c>
      <c r="C47" s="221" t="s">
        <v>38</v>
      </c>
      <c r="D47" s="691">
        <v>30476983</v>
      </c>
      <c r="E47" s="150" t="s">
        <v>1997</v>
      </c>
      <c r="F47" s="700" t="s">
        <v>45</v>
      </c>
      <c r="G47" s="151" t="s">
        <v>1956</v>
      </c>
      <c r="H47" s="151" t="s">
        <v>1998</v>
      </c>
      <c r="I47" s="700" t="s">
        <v>1958</v>
      </c>
      <c r="J47" s="125">
        <v>793558</v>
      </c>
      <c r="K47" s="125">
        <v>125418</v>
      </c>
      <c r="L47" s="125">
        <v>543023</v>
      </c>
      <c r="M47" s="125">
        <v>1898</v>
      </c>
      <c r="N47" s="125">
        <v>1898</v>
      </c>
      <c r="O47" s="125"/>
      <c r="P47" s="125"/>
      <c r="Q47" s="125"/>
      <c r="R47" s="125"/>
      <c r="S47" s="125"/>
      <c r="T47" s="125"/>
      <c r="U47" s="125"/>
      <c r="V47" s="125"/>
      <c r="W47" s="125"/>
      <c r="X47" s="125"/>
      <c r="Y47" s="125">
        <f t="shared" si="1"/>
        <v>3796</v>
      </c>
      <c r="Z47" s="125">
        <v>125117</v>
      </c>
      <c r="AA47" s="126">
        <v>1</v>
      </c>
      <c r="AB47" s="127">
        <v>44207</v>
      </c>
      <c r="AC47" s="128">
        <v>44214</v>
      </c>
      <c r="AD47" s="125"/>
      <c r="AE47" s="129"/>
      <c r="AF47" s="153"/>
      <c r="AG47" s="128"/>
      <c r="AH47" s="125"/>
      <c r="AI47" s="129"/>
      <c r="AJ47" s="153"/>
      <c r="AK47" s="128"/>
      <c r="AL47" s="125"/>
      <c r="AM47" s="129"/>
      <c r="AN47" s="128"/>
      <c r="AO47" s="128"/>
      <c r="AP47" s="125"/>
      <c r="AQ47" s="129"/>
      <c r="AR47" s="153"/>
      <c r="AS47" s="128"/>
      <c r="AT47" s="125"/>
      <c r="AU47" s="129"/>
      <c r="AV47" s="153"/>
      <c r="AW47" s="128"/>
      <c r="AX47" s="125"/>
      <c r="AY47" s="129"/>
      <c r="AZ47" s="153"/>
      <c r="BA47" s="128"/>
      <c r="BB47" s="125"/>
      <c r="BC47" s="129"/>
      <c r="BD47" s="153"/>
      <c r="BE47" s="128"/>
      <c r="BF47" s="125"/>
      <c r="BG47" s="129"/>
      <c r="BH47" s="153"/>
      <c r="BI47" s="128"/>
      <c r="BJ47" s="125"/>
      <c r="BK47" s="129"/>
      <c r="BL47" s="153"/>
      <c r="BM47" s="128"/>
      <c r="BN47" s="129"/>
      <c r="BO47" s="129"/>
      <c r="BP47" s="153"/>
      <c r="BQ47" s="128"/>
      <c r="BR47" s="125"/>
      <c r="BS47" s="129"/>
      <c r="BT47" s="153"/>
      <c r="BU47" s="128"/>
      <c r="BV47" s="125"/>
      <c r="BW47" s="129"/>
      <c r="BX47" s="153"/>
      <c r="BY47" s="128"/>
      <c r="BZ47" s="712">
        <f t="shared" si="2"/>
        <v>125117</v>
      </c>
      <c r="CA47" s="415">
        <f t="shared" si="0"/>
        <v>121321</v>
      </c>
    </row>
    <row r="48" spans="1:79" s="709" customFormat="1" ht="22.5" x14ac:dyDescent="0.25">
      <c r="A48" s="709">
        <v>1</v>
      </c>
      <c r="B48" s="221">
        <v>33</v>
      </c>
      <c r="C48" s="221" t="s">
        <v>38</v>
      </c>
      <c r="D48" s="691">
        <v>30478990</v>
      </c>
      <c r="E48" s="150" t="s">
        <v>1999</v>
      </c>
      <c r="F48" s="700" t="s">
        <v>46</v>
      </c>
      <c r="G48" s="151" t="s">
        <v>1963</v>
      </c>
      <c r="H48" s="151" t="s">
        <v>1964</v>
      </c>
      <c r="I48" s="700" t="s">
        <v>1958</v>
      </c>
      <c r="J48" s="125">
        <v>156247</v>
      </c>
      <c r="K48" s="125">
        <v>25699</v>
      </c>
      <c r="L48" s="125">
        <v>0</v>
      </c>
      <c r="M48" s="125"/>
      <c r="N48" s="125"/>
      <c r="O48" s="125"/>
      <c r="P48" s="125"/>
      <c r="Q48" s="125"/>
      <c r="R48" s="125"/>
      <c r="S48" s="125"/>
      <c r="T48" s="125"/>
      <c r="U48" s="125"/>
      <c r="V48" s="125"/>
      <c r="W48" s="125"/>
      <c r="X48" s="125"/>
      <c r="Y48" s="125">
        <f t="shared" si="1"/>
        <v>0</v>
      </c>
      <c r="Z48" s="125">
        <v>97277</v>
      </c>
      <c r="AA48" s="126">
        <v>1</v>
      </c>
      <c r="AB48" s="127">
        <v>44207</v>
      </c>
      <c r="AC48" s="128">
        <v>44214</v>
      </c>
      <c r="AD48" s="125"/>
      <c r="AE48" s="129"/>
      <c r="AF48" s="153"/>
      <c r="AG48" s="128"/>
      <c r="AH48" s="125"/>
      <c r="AI48" s="129"/>
      <c r="AJ48" s="153"/>
      <c r="AK48" s="128"/>
      <c r="AL48" s="125"/>
      <c r="AM48" s="129"/>
      <c r="AN48" s="128"/>
      <c r="AO48" s="128"/>
      <c r="AP48" s="125"/>
      <c r="AQ48" s="129"/>
      <c r="AR48" s="153"/>
      <c r="AS48" s="128"/>
      <c r="AT48" s="125"/>
      <c r="AU48" s="129"/>
      <c r="AV48" s="153"/>
      <c r="AW48" s="128"/>
      <c r="AX48" s="125"/>
      <c r="AY48" s="129"/>
      <c r="AZ48" s="153"/>
      <c r="BA48" s="128"/>
      <c r="BB48" s="125"/>
      <c r="BC48" s="129"/>
      <c r="BD48" s="153"/>
      <c r="BE48" s="128"/>
      <c r="BF48" s="125"/>
      <c r="BG48" s="129"/>
      <c r="BH48" s="153"/>
      <c r="BI48" s="128"/>
      <c r="BJ48" s="125"/>
      <c r="BK48" s="129"/>
      <c r="BL48" s="153"/>
      <c r="BM48" s="128"/>
      <c r="BN48" s="129"/>
      <c r="BO48" s="129"/>
      <c r="BP48" s="153"/>
      <c r="BQ48" s="128"/>
      <c r="BR48" s="125"/>
      <c r="BS48" s="129"/>
      <c r="BT48" s="153"/>
      <c r="BU48" s="128"/>
      <c r="BV48" s="125"/>
      <c r="BW48" s="129"/>
      <c r="BX48" s="153"/>
      <c r="BY48" s="128"/>
      <c r="BZ48" s="712">
        <f t="shared" si="2"/>
        <v>97277</v>
      </c>
      <c r="CA48" s="415">
        <f t="shared" si="0"/>
        <v>97277</v>
      </c>
    </row>
    <row r="49" spans="1:79" s="709" customFormat="1" ht="22.5" x14ac:dyDescent="0.25">
      <c r="A49" s="709">
        <v>1</v>
      </c>
      <c r="B49" s="221">
        <v>34</v>
      </c>
      <c r="C49" s="221" t="s">
        <v>38</v>
      </c>
      <c r="D49" s="691">
        <v>30480796</v>
      </c>
      <c r="E49" s="150" t="s">
        <v>2000</v>
      </c>
      <c r="F49" s="700" t="s">
        <v>46</v>
      </c>
      <c r="G49" s="151" t="s">
        <v>1956</v>
      </c>
      <c r="H49" s="151" t="s">
        <v>1960</v>
      </c>
      <c r="I49" s="700" t="s">
        <v>1958</v>
      </c>
      <c r="J49" s="125">
        <v>37951</v>
      </c>
      <c r="K49" s="125">
        <v>11712</v>
      </c>
      <c r="L49" s="125">
        <v>0</v>
      </c>
      <c r="M49" s="125"/>
      <c r="N49" s="125"/>
      <c r="O49" s="125"/>
      <c r="P49" s="125"/>
      <c r="Q49" s="125"/>
      <c r="R49" s="125">
        <v>7740</v>
      </c>
      <c r="S49" s="125"/>
      <c r="T49" s="125"/>
      <c r="U49" s="125"/>
      <c r="V49" s="125"/>
      <c r="W49" s="125"/>
      <c r="X49" s="125"/>
      <c r="Y49" s="125">
        <f t="shared" si="1"/>
        <v>7740</v>
      </c>
      <c r="Z49" s="125">
        <v>26239</v>
      </c>
      <c r="AA49" s="126">
        <v>1</v>
      </c>
      <c r="AB49" s="127">
        <v>44207</v>
      </c>
      <c r="AC49" s="128">
        <v>44214</v>
      </c>
      <c r="AD49" s="125"/>
      <c r="AE49" s="129"/>
      <c r="AF49" s="153"/>
      <c r="AG49" s="128"/>
      <c r="AH49" s="125"/>
      <c r="AI49" s="129"/>
      <c r="AJ49" s="153"/>
      <c r="AK49" s="128"/>
      <c r="AL49" s="125"/>
      <c r="AM49" s="129"/>
      <c r="AN49" s="128"/>
      <c r="AO49" s="128"/>
      <c r="AP49" s="125"/>
      <c r="AQ49" s="129"/>
      <c r="AR49" s="153"/>
      <c r="AS49" s="128"/>
      <c r="AT49" s="125"/>
      <c r="AU49" s="129"/>
      <c r="AV49" s="153"/>
      <c r="AW49" s="128"/>
      <c r="AX49" s="125"/>
      <c r="AY49" s="129"/>
      <c r="AZ49" s="153"/>
      <c r="BA49" s="128"/>
      <c r="BB49" s="125"/>
      <c r="BC49" s="129"/>
      <c r="BD49" s="153"/>
      <c r="BE49" s="128"/>
      <c r="BF49" s="125"/>
      <c r="BG49" s="129"/>
      <c r="BH49" s="153"/>
      <c r="BI49" s="128"/>
      <c r="BJ49" s="125"/>
      <c r="BK49" s="129"/>
      <c r="BL49" s="153"/>
      <c r="BM49" s="128"/>
      <c r="BN49" s="129"/>
      <c r="BO49" s="129"/>
      <c r="BP49" s="153"/>
      <c r="BQ49" s="128"/>
      <c r="BR49" s="125"/>
      <c r="BS49" s="129"/>
      <c r="BT49" s="153"/>
      <c r="BU49" s="128"/>
      <c r="BV49" s="125"/>
      <c r="BW49" s="129"/>
      <c r="BX49" s="153"/>
      <c r="BY49" s="128"/>
      <c r="BZ49" s="712">
        <f t="shared" si="2"/>
        <v>26239</v>
      </c>
      <c r="CA49" s="415">
        <f t="shared" si="0"/>
        <v>18499</v>
      </c>
    </row>
    <row r="50" spans="1:79" s="709" customFormat="1" x14ac:dyDescent="0.25">
      <c r="A50" s="709">
        <v>1</v>
      </c>
      <c r="B50" s="221">
        <v>35</v>
      </c>
      <c r="C50" s="221" t="s">
        <v>38</v>
      </c>
      <c r="D50" s="691">
        <v>30481819</v>
      </c>
      <c r="E50" s="150" t="s">
        <v>2001</v>
      </c>
      <c r="F50" s="700" t="s">
        <v>45</v>
      </c>
      <c r="G50" s="151" t="s">
        <v>1956</v>
      </c>
      <c r="H50" s="151" t="s">
        <v>1960</v>
      </c>
      <c r="I50" s="700" t="s">
        <v>1958</v>
      </c>
      <c r="J50" s="125">
        <v>4702257</v>
      </c>
      <c r="K50" s="125">
        <v>213752</v>
      </c>
      <c r="L50" s="125">
        <v>1690653</v>
      </c>
      <c r="M50" s="125">
        <v>118493</v>
      </c>
      <c r="N50" s="125">
        <v>112960</v>
      </c>
      <c r="O50" s="125">
        <v>166745</v>
      </c>
      <c r="P50" s="125"/>
      <c r="Q50" s="125">
        <v>194948</v>
      </c>
      <c r="R50" s="125"/>
      <c r="S50" s="125"/>
      <c r="T50" s="125"/>
      <c r="U50" s="125"/>
      <c r="V50" s="125"/>
      <c r="W50" s="125"/>
      <c r="X50" s="125"/>
      <c r="Y50" s="125">
        <f t="shared" si="1"/>
        <v>593146</v>
      </c>
      <c r="Z50" s="125">
        <f>815000</f>
        <v>815000</v>
      </c>
      <c r="AA50" s="126">
        <v>1</v>
      </c>
      <c r="AB50" s="127">
        <v>44207</v>
      </c>
      <c r="AC50" s="128">
        <v>44214</v>
      </c>
      <c r="AD50" s="125"/>
      <c r="AE50" s="129"/>
      <c r="AF50" s="153"/>
      <c r="AG50" s="128"/>
      <c r="AH50" s="125"/>
      <c r="AI50" s="129"/>
      <c r="AJ50" s="153"/>
      <c r="AK50" s="128"/>
      <c r="AL50" s="125">
        <v>300000</v>
      </c>
      <c r="AM50" s="129">
        <v>13</v>
      </c>
      <c r="AN50" s="128">
        <v>44277</v>
      </c>
      <c r="AO50" s="128">
        <v>44281</v>
      </c>
      <c r="AP50" s="125"/>
      <c r="AQ50" s="129"/>
      <c r="AR50" s="153"/>
      <c r="AS50" s="128"/>
      <c r="AT50" s="125"/>
      <c r="AU50" s="129"/>
      <c r="AV50" s="153"/>
      <c r="AW50" s="128"/>
      <c r="AX50" s="125"/>
      <c r="AY50" s="129"/>
      <c r="AZ50" s="153"/>
      <c r="BA50" s="128"/>
      <c r="BB50" s="125"/>
      <c r="BC50" s="129"/>
      <c r="BD50" s="153"/>
      <c r="BE50" s="128"/>
      <c r="BF50" s="125"/>
      <c r="BG50" s="129"/>
      <c r="BH50" s="153"/>
      <c r="BI50" s="128"/>
      <c r="BJ50" s="125"/>
      <c r="BK50" s="129"/>
      <c r="BL50" s="153"/>
      <c r="BM50" s="128"/>
      <c r="BN50" s="129">
        <v>500000</v>
      </c>
      <c r="BO50" s="129">
        <v>28</v>
      </c>
      <c r="BP50" s="127">
        <v>44363</v>
      </c>
      <c r="BQ50" s="128"/>
      <c r="BR50" s="125"/>
      <c r="BS50" s="129"/>
      <c r="BT50" s="153"/>
      <c r="BU50" s="128"/>
      <c r="BV50" s="125"/>
      <c r="BW50" s="129"/>
      <c r="BX50" s="153"/>
      <c r="BY50" s="128"/>
      <c r="BZ50" s="712">
        <f t="shared" si="2"/>
        <v>1615000</v>
      </c>
      <c r="CA50" s="415">
        <f t="shared" si="0"/>
        <v>1021854</v>
      </c>
    </row>
    <row r="51" spans="1:79" s="709" customFormat="1" ht="22.5" x14ac:dyDescent="0.25">
      <c r="A51" s="709">
        <v>1</v>
      </c>
      <c r="B51" s="221">
        <v>36</v>
      </c>
      <c r="C51" s="221" t="s">
        <v>38</v>
      </c>
      <c r="D51" s="691">
        <v>30482300</v>
      </c>
      <c r="E51" s="150" t="s">
        <v>2002</v>
      </c>
      <c r="F51" s="700" t="s">
        <v>45</v>
      </c>
      <c r="G51" s="151" t="s">
        <v>1963</v>
      </c>
      <c r="H51" s="151" t="s">
        <v>1964</v>
      </c>
      <c r="I51" s="700" t="s">
        <v>1958</v>
      </c>
      <c r="J51" s="125">
        <v>3436260</v>
      </c>
      <c r="K51" s="125">
        <v>0</v>
      </c>
      <c r="L51" s="125">
        <v>3</v>
      </c>
      <c r="M51" s="125"/>
      <c r="N51" s="125"/>
      <c r="O51" s="125"/>
      <c r="P51" s="125"/>
      <c r="Q51" s="125"/>
      <c r="R51" s="125"/>
      <c r="S51" s="125"/>
      <c r="T51" s="125"/>
      <c r="U51" s="125"/>
      <c r="V51" s="125"/>
      <c r="W51" s="125"/>
      <c r="X51" s="125"/>
      <c r="Y51" s="125">
        <f t="shared" si="1"/>
        <v>0</v>
      </c>
      <c r="Z51" s="125">
        <f>353000</f>
        <v>353000</v>
      </c>
      <c r="AA51" s="126">
        <v>1</v>
      </c>
      <c r="AB51" s="127">
        <v>44207</v>
      </c>
      <c r="AC51" s="128">
        <v>44214</v>
      </c>
      <c r="AD51" s="125"/>
      <c r="AE51" s="129"/>
      <c r="AF51" s="153"/>
      <c r="AG51" s="128"/>
      <c r="AH51" s="125">
        <v>181000</v>
      </c>
      <c r="AI51" s="129">
        <v>9</v>
      </c>
      <c r="AJ51" s="128">
        <v>44244</v>
      </c>
      <c r="AK51" s="128">
        <v>44249</v>
      </c>
      <c r="AL51" s="125">
        <v>362000</v>
      </c>
      <c r="AM51" s="129">
        <v>13</v>
      </c>
      <c r="AN51" s="128">
        <v>44277</v>
      </c>
      <c r="AO51" s="128">
        <v>44281</v>
      </c>
      <c r="AP51" s="125"/>
      <c r="AQ51" s="129"/>
      <c r="AR51" s="153"/>
      <c r="AS51" s="128"/>
      <c r="AT51" s="125"/>
      <c r="AU51" s="129"/>
      <c r="AV51" s="153"/>
      <c r="AW51" s="128"/>
      <c r="AX51" s="125"/>
      <c r="AY51" s="129"/>
      <c r="AZ51" s="153"/>
      <c r="BA51" s="128"/>
      <c r="BB51" s="125"/>
      <c r="BC51" s="129"/>
      <c r="BD51" s="153"/>
      <c r="BE51" s="128"/>
      <c r="BF51" s="125"/>
      <c r="BG51" s="129"/>
      <c r="BH51" s="153"/>
      <c r="BI51" s="128"/>
      <c r="BJ51" s="125"/>
      <c r="BK51" s="129"/>
      <c r="BL51" s="153"/>
      <c r="BM51" s="128"/>
      <c r="BN51" s="129"/>
      <c r="BO51" s="129"/>
      <c r="BP51" s="153"/>
      <c r="BQ51" s="128"/>
      <c r="BR51" s="125"/>
      <c r="BS51" s="129"/>
      <c r="BT51" s="153"/>
      <c r="BU51" s="128"/>
      <c r="BV51" s="125"/>
      <c r="BW51" s="129"/>
      <c r="BX51" s="153"/>
      <c r="BY51" s="128"/>
      <c r="BZ51" s="712">
        <f t="shared" si="2"/>
        <v>896000</v>
      </c>
      <c r="CA51" s="415">
        <f t="shared" si="0"/>
        <v>896000</v>
      </c>
    </row>
    <row r="52" spans="1:79" s="709" customFormat="1" ht="22.5" x14ac:dyDescent="0.25">
      <c r="A52" s="709">
        <v>1</v>
      </c>
      <c r="B52" s="221">
        <v>37</v>
      </c>
      <c r="C52" s="221" t="s">
        <v>38</v>
      </c>
      <c r="D52" s="691">
        <v>30483336</v>
      </c>
      <c r="E52" s="150" t="s">
        <v>2003</v>
      </c>
      <c r="F52" s="700" t="s">
        <v>45</v>
      </c>
      <c r="G52" s="151" t="s">
        <v>1956</v>
      </c>
      <c r="H52" s="151" t="s">
        <v>1960</v>
      </c>
      <c r="I52" s="700" t="s">
        <v>1958</v>
      </c>
      <c r="J52" s="125">
        <v>433685</v>
      </c>
      <c r="K52" s="125">
        <v>0</v>
      </c>
      <c r="L52" s="125">
        <v>0</v>
      </c>
      <c r="M52" s="125"/>
      <c r="N52" s="125"/>
      <c r="O52" s="125">
        <v>28277</v>
      </c>
      <c r="P52" s="125">
        <v>40074</v>
      </c>
      <c r="Q52" s="125">
        <v>21325</v>
      </c>
      <c r="R52" s="125">
        <v>83674</v>
      </c>
      <c r="S52" s="125"/>
      <c r="T52" s="125"/>
      <c r="U52" s="125"/>
      <c r="V52" s="125"/>
      <c r="W52" s="125"/>
      <c r="X52" s="125"/>
      <c r="Y52" s="125">
        <f t="shared" si="1"/>
        <v>173350</v>
      </c>
      <c r="Z52" s="125">
        <f>60000</f>
        <v>60000</v>
      </c>
      <c r="AA52" s="126">
        <v>1</v>
      </c>
      <c r="AB52" s="127">
        <v>44207</v>
      </c>
      <c r="AC52" s="128">
        <v>44214</v>
      </c>
      <c r="AD52" s="125"/>
      <c r="AE52" s="129"/>
      <c r="AF52" s="153"/>
      <c r="AG52" s="128"/>
      <c r="AH52" s="125">
        <v>30000</v>
      </c>
      <c r="AI52" s="129">
        <v>9</v>
      </c>
      <c r="AJ52" s="128">
        <v>44244</v>
      </c>
      <c r="AK52" s="128">
        <v>44249</v>
      </c>
      <c r="AL52" s="125"/>
      <c r="AM52" s="129"/>
      <c r="AN52" s="128"/>
      <c r="AO52" s="128"/>
      <c r="AP52" s="125"/>
      <c r="AQ52" s="129"/>
      <c r="AR52" s="153"/>
      <c r="AS52" s="128"/>
      <c r="AT52" s="125"/>
      <c r="AU52" s="129"/>
      <c r="AV52" s="153"/>
      <c r="AW52" s="128"/>
      <c r="AX52" s="125">
        <v>313974</v>
      </c>
      <c r="AY52" s="129">
        <v>18</v>
      </c>
      <c r="AZ52" s="128">
        <v>44308</v>
      </c>
      <c r="BA52" s="128">
        <v>44314</v>
      </c>
      <c r="BB52" s="125"/>
      <c r="BC52" s="129"/>
      <c r="BD52" s="153"/>
      <c r="BE52" s="128"/>
      <c r="BF52" s="125"/>
      <c r="BG52" s="129"/>
      <c r="BH52" s="153"/>
      <c r="BI52" s="128"/>
      <c r="BJ52" s="125"/>
      <c r="BK52" s="129"/>
      <c r="BL52" s="153"/>
      <c r="BM52" s="128"/>
      <c r="BN52" s="129"/>
      <c r="BO52" s="129"/>
      <c r="BP52" s="153"/>
      <c r="BQ52" s="128"/>
      <c r="BR52" s="125"/>
      <c r="BS52" s="129"/>
      <c r="BT52" s="153"/>
      <c r="BU52" s="128"/>
      <c r="BV52" s="125"/>
      <c r="BW52" s="129"/>
      <c r="BX52" s="153"/>
      <c r="BY52" s="128"/>
      <c r="BZ52" s="712">
        <f t="shared" si="2"/>
        <v>403974</v>
      </c>
      <c r="CA52" s="415">
        <f t="shared" si="0"/>
        <v>230624</v>
      </c>
    </row>
    <row r="53" spans="1:79" s="709" customFormat="1" ht="22.5" x14ac:dyDescent="0.25">
      <c r="A53" s="709">
        <v>1</v>
      </c>
      <c r="B53" s="221">
        <v>38</v>
      </c>
      <c r="C53" s="221" t="s">
        <v>38</v>
      </c>
      <c r="D53" s="691">
        <v>30483766</v>
      </c>
      <c r="E53" s="150" t="s">
        <v>2004</v>
      </c>
      <c r="F53" s="700" t="s">
        <v>45</v>
      </c>
      <c r="G53" s="151" t="s">
        <v>1956</v>
      </c>
      <c r="H53" s="151" t="s">
        <v>1960</v>
      </c>
      <c r="I53" s="700" t="s">
        <v>1958</v>
      </c>
      <c r="J53" s="125">
        <v>1026255</v>
      </c>
      <c r="K53" s="125">
        <v>306960</v>
      </c>
      <c r="L53" s="125">
        <v>0</v>
      </c>
      <c r="M53" s="125">
        <v>29225</v>
      </c>
      <c r="N53" s="125"/>
      <c r="O53" s="125">
        <v>17036</v>
      </c>
      <c r="P53" s="125">
        <v>6909</v>
      </c>
      <c r="Q53" s="125"/>
      <c r="R53" s="125">
        <v>6586</v>
      </c>
      <c r="S53" s="125"/>
      <c r="T53" s="125"/>
      <c r="U53" s="125"/>
      <c r="V53" s="125"/>
      <c r="W53" s="125"/>
      <c r="X53" s="125"/>
      <c r="Y53" s="125">
        <f t="shared" si="1"/>
        <v>59756</v>
      </c>
      <c r="Z53" s="125">
        <v>719295</v>
      </c>
      <c r="AA53" s="126">
        <v>1</v>
      </c>
      <c r="AB53" s="127">
        <v>44207</v>
      </c>
      <c r="AC53" s="128">
        <v>44214</v>
      </c>
      <c r="AD53" s="125"/>
      <c r="AE53" s="129"/>
      <c r="AF53" s="153"/>
      <c r="AG53" s="128"/>
      <c r="AH53" s="125"/>
      <c r="AI53" s="129"/>
      <c r="AJ53" s="128"/>
      <c r="AK53" s="128"/>
      <c r="AL53" s="125"/>
      <c r="AM53" s="129"/>
      <c r="AN53" s="128"/>
      <c r="AO53" s="128"/>
      <c r="AP53" s="125"/>
      <c r="AQ53" s="129"/>
      <c r="AR53" s="153"/>
      <c r="AS53" s="128"/>
      <c r="AT53" s="125"/>
      <c r="AU53" s="129"/>
      <c r="AV53" s="153"/>
      <c r="AW53" s="128"/>
      <c r="AX53" s="125"/>
      <c r="AY53" s="129"/>
      <c r="AZ53" s="153"/>
      <c r="BA53" s="128"/>
      <c r="BB53" s="125"/>
      <c r="BC53" s="129"/>
      <c r="BD53" s="153"/>
      <c r="BE53" s="128"/>
      <c r="BF53" s="125"/>
      <c r="BG53" s="129"/>
      <c r="BH53" s="153"/>
      <c r="BI53" s="128"/>
      <c r="BJ53" s="125"/>
      <c r="BK53" s="129"/>
      <c r="BL53" s="153"/>
      <c r="BM53" s="128"/>
      <c r="BN53" s="129"/>
      <c r="BO53" s="129"/>
      <c r="BP53" s="153"/>
      <c r="BQ53" s="128"/>
      <c r="BR53" s="125"/>
      <c r="BS53" s="129"/>
      <c r="BT53" s="153"/>
      <c r="BU53" s="128"/>
      <c r="BV53" s="125"/>
      <c r="BW53" s="129"/>
      <c r="BX53" s="153"/>
      <c r="BY53" s="128"/>
      <c r="BZ53" s="712">
        <f t="shared" si="2"/>
        <v>719295</v>
      </c>
      <c r="CA53" s="415">
        <f t="shared" si="0"/>
        <v>659539</v>
      </c>
    </row>
    <row r="54" spans="1:79" s="709" customFormat="1" ht="22.5" x14ac:dyDescent="0.25">
      <c r="A54" s="709">
        <v>1</v>
      </c>
      <c r="B54" s="221">
        <v>39</v>
      </c>
      <c r="C54" s="221" t="s">
        <v>38</v>
      </c>
      <c r="D54" s="691">
        <v>30484501</v>
      </c>
      <c r="E54" s="150" t="s">
        <v>2005</v>
      </c>
      <c r="F54" s="700" t="s">
        <v>46</v>
      </c>
      <c r="G54" s="151" t="s">
        <v>1956</v>
      </c>
      <c r="H54" s="151" t="s">
        <v>1960</v>
      </c>
      <c r="I54" s="700" t="s">
        <v>1958</v>
      </c>
      <c r="J54" s="125">
        <v>17164</v>
      </c>
      <c r="K54" s="125">
        <v>5731</v>
      </c>
      <c r="L54" s="125">
        <v>0</v>
      </c>
      <c r="M54" s="125"/>
      <c r="N54" s="125"/>
      <c r="O54" s="125"/>
      <c r="P54" s="125"/>
      <c r="Q54" s="125"/>
      <c r="R54" s="125">
        <v>3374</v>
      </c>
      <c r="S54" s="125"/>
      <c r="T54" s="125"/>
      <c r="U54" s="125"/>
      <c r="V54" s="125"/>
      <c r="W54" s="125"/>
      <c r="X54" s="125"/>
      <c r="Y54" s="125">
        <f t="shared" si="1"/>
        <v>3374</v>
      </c>
      <c r="Z54" s="125">
        <v>11433</v>
      </c>
      <c r="AA54" s="126">
        <v>1</v>
      </c>
      <c r="AB54" s="127">
        <v>44207</v>
      </c>
      <c r="AC54" s="128">
        <v>44214</v>
      </c>
      <c r="AD54" s="125"/>
      <c r="AE54" s="129"/>
      <c r="AF54" s="153"/>
      <c r="AG54" s="128"/>
      <c r="AH54" s="125"/>
      <c r="AI54" s="129"/>
      <c r="AJ54" s="128"/>
      <c r="AK54" s="128"/>
      <c r="AL54" s="125"/>
      <c r="AM54" s="129"/>
      <c r="AN54" s="128"/>
      <c r="AO54" s="128"/>
      <c r="AP54" s="125"/>
      <c r="AQ54" s="129"/>
      <c r="AR54" s="153"/>
      <c r="AS54" s="128"/>
      <c r="AT54" s="125"/>
      <c r="AU54" s="129"/>
      <c r="AV54" s="153"/>
      <c r="AW54" s="128"/>
      <c r="AX54" s="125"/>
      <c r="AY54" s="129"/>
      <c r="AZ54" s="153"/>
      <c r="BA54" s="128"/>
      <c r="BB54" s="125"/>
      <c r="BC54" s="129"/>
      <c r="BD54" s="153"/>
      <c r="BE54" s="128"/>
      <c r="BF54" s="125"/>
      <c r="BG54" s="129"/>
      <c r="BH54" s="153"/>
      <c r="BI54" s="128"/>
      <c r="BJ54" s="125"/>
      <c r="BK54" s="129"/>
      <c r="BL54" s="153"/>
      <c r="BM54" s="128"/>
      <c r="BN54" s="129"/>
      <c r="BO54" s="129"/>
      <c r="BP54" s="153"/>
      <c r="BQ54" s="128"/>
      <c r="BR54" s="125"/>
      <c r="BS54" s="129"/>
      <c r="BT54" s="153"/>
      <c r="BU54" s="128"/>
      <c r="BV54" s="125"/>
      <c r="BW54" s="129"/>
      <c r="BX54" s="153"/>
      <c r="BY54" s="128"/>
      <c r="BZ54" s="712">
        <f t="shared" si="2"/>
        <v>11433</v>
      </c>
      <c r="CA54" s="415">
        <f t="shared" si="0"/>
        <v>8059</v>
      </c>
    </row>
    <row r="55" spans="1:79" s="709" customFormat="1" ht="22.5" x14ac:dyDescent="0.25">
      <c r="A55" s="709">
        <v>1</v>
      </c>
      <c r="B55" s="221">
        <v>40</v>
      </c>
      <c r="C55" s="221" t="s">
        <v>38</v>
      </c>
      <c r="D55" s="691">
        <v>30484512</v>
      </c>
      <c r="E55" s="150" t="s">
        <v>2006</v>
      </c>
      <c r="F55" s="700" t="s">
        <v>45</v>
      </c>
      <c r="G55" s="151" t="s">
        <v>1966</v>
      </c>
      <c r="H55" s="151" t="s">
        <v>1967</v>
      </c>
      <c r="I55" s="700" t="s">
        <v>1958</v>
      </c>
      <c r="J55" s="125">
        <v>1754993</v>
      </c>
      <c r="K55" s="125">
        <v>0</v>
      </c>
      <c r="L55" s="125">
        <v>711873</v>
      </c>
      <c r="M55" s="125"/>
      <c r="N55" s="125"/>
      <c r="O55" s="125"/>
      <c r="P55" s="125"/>
      <c r="Q55" s="125"/>
      <c r="R55" s="125">
        <v>50353</v>
      </c>
      <c r="S55" s="125"/>
      <c r="T55" s="125"/>
      <c r="U55" s="125"/>
      <c r="V55" s="125"/>
      <c r="W55" s="125"/>
      <c r="X55" s="125"/>
      <c r="Y55" s="125">
        <f t="shared" si="1"/>
        <v>50353</v>
      </c>
      <c r="Z55" s="125">
        <v>106888</v>
      </c>
      <c r="AA55" s="126">
        <v>1</v>
      </c>
      <c r="AB55" s="127">
        <v>44207</v>
      </c>
      <c r="AC55" s="128">
        <v>44214</v>
      </c>
      <c r="AD55" s="125"/>
      <c r="AE55" s="129"/>
      <c r="AF55" s="153"/>
      <c r="AG55" s="128"/>
      <c r="AH55" s="125"/>
      <c r="AI55" s="129"/>
      <c r="AJ55" s="128"/>
      <c r="AK55" s="128"/>
      <c r="AL55" s="125"/>
      <c r="AM55" s="129"/>
      <c r="AN55" s="128"/>
      <c r="AO55" s="128"/>
      <c r="AP55" s="125"/>
      <c r="AQ55" s="129"/>
      <c r="AR55" s="153"/>
      <c r="AS55" s="128"/>
      <c r="AT55" s="125"/>
      <c r="AU55" s="129"/>
      <c r="AV55" s="153"/>
      <c r="AW55" s="128"/>
      <c r="AX55" s="125">
        <v>302000</v>
      </c>
      <c r="AY55" s="129">
        <v>18</v>
      </c>
      <c r="AZ55" s="128">
        <v>44308</v>
      </c>
      <c r="BA55" s="128">
        <v>44314</v>
      </c>
      <c r="BB55" s="125"/>
      <c r="BC55" s="129"/>
      <c r="BD55" s="153"/>
      <c r="BE55" s="128"/>
      <c r="BF55" s="125">
        <v>40000</v>
      </c>
      <c r="BG55" s="129">
        <v>25</v>
      </c>
      <c r="BH55" s="127">
        <v>44329</v>
      </c>
      <c r="BI55" s="128">
        <v>44335</v>
      </c>
      <c r="BJ55" s="125"/>
      <c r="BK55" s="129"/>
      <c r="BL55" s="153"/>
      <c r="BM55" s="128"/>
      <c r="BN55" s="129"/>
      <c r="BO55" s="129"/>
      <c r="BP55" s="153"/>
      <c r="BQ55" s="128"/>
      <c r="BR55" s="125"/>
      <c r="BS55" s="129"/>
      <c r="BT55" s="153"/>
      <c r="BU55" s="128"/>
      <c r="BV55" s="125"/>
      <c r="BW55" s="129"/>
      <c r="BX55" s="153"/>
      <c r="BY55" s="128"/>
      <c r="BZ55" s="712">
        <f t="shared" si="2"/>
        <v>448888</v>
      </c>
      <c r="CA55" s="415">
        <f t="shared" si="0"/>
        <v>398535</v>
      </c>
    </row>
    <row r="56" spans="1:79" s="709" customFormat="1" ht="22.5" x14ac:dyDescent="0.25">
      <c r="A56" s="709">
        <v>1</v>
      </c>
      <c r="B56" s="221">
        <v>41</v>
      </c>
      <c r="C56" s="221" t="s">
        <v>38</v>
      </c>
      <c r="D56" s="691">
        <v>30484519</v>
      </c>
      <c r="E56" s="150" t="s">
        <v>2007</v>
      </c>
      <c r="F56" s="700" t="s">
        <v>46</v>
      </c>
      <c r="G56" s="151" t="s">
        <v>1956</v>
      </c>
      <c r="H56" s="151" t="s">
        <v>1960</v>
      </c>
      <c r="I56" s="700" t="s">
        <v>1958</v>
      </c>
      <c r="J56" s="125">
        <v>28485</v>
      </c>
      <c r="K56" s="125">
        <v>21848</v>
      </c>
      <c r="L56" s="125">
        <v>0</v>
      </c>
      <c r="M56" s="125"/>
      <c r="N56" s="125"/>
      <c r="O56" s="125"/>
      <c r="P56" s="125"/>
      <c r="Q56" s="125"/>
      <c r="R56" s="125"/>
      <c r="S56" s="125"/>
      <c r="T56" s="125"/>
      <c r="U56" s="125"/>
      <c r="V56" s="125"/>
      <c r="W56" s="125"/>
      <c r="X56" s="125"/>
      <c r="Y56" s="125">
        <f t="shared" si="1"/>
        <v>0</v>
      </c>
      <c r="Z56" s="125">
        <v>6637</v>
      </c>
      <c r="AA56" s="126">
        <v>1</v>
      </c>
      <c r="AB56" s="127">
        <v>44207</v>
      </c>
      <c r="AC56" s="128">
        <v>44214</v>
      </c>
      <c r="AD56" s="125"/>
      <c r="AE56" s="129"/>
      <c r="AF56" s="153"/>
      <c r="AG56" s="128"/>
      <c r="AH56" s="125"/>
      <c r="AI56" s="129"/>
      <c r="AJ56" s="128"/>
      <c r="AK56" s="128"/>
      <c r="AL56" s="125"/>
      <c r="AM56" s="129"/>
      <c r="AN56" s="128"/>
      <c r="AO56" s="128"/>
      <c r="AP56" s="125"/>
      <c r="AQ56" s="129"/>
      <c r="AR56" s="153"/>
      <c r="AS56" s="128"/>
      <c r="AT56" s="125"/>
      <c r="AU56" s="129"/>
      <c r="AV56" s="153"/>
      <c r="AW56" s="128"/>
      <c r="AX56" s="125"/>
      <c r="AY56" s="129"/>
      <c r="AZ56" s="153"/>
      <c r="BA56" s="128"/>
      <c r="BB56" s="125"/>
      <c r="BC56" s="129"/>
      <c r="BD56" s="153"/>
      <c r="BE56" s="128"/>
      <c r="BF56" s="125"/>
      <c r="BG56" s="129"/>
      <c r="BH56" s="153"/>
      <c r="BI56" s="128"/>
      <c r="BJ56" s="125"/>
      <c r="BK56" s="129"/>
      <c r="BL56" s="153"/>
      <c r="BM56" s="128"/>
      <c r="BN56" s="129"/>
      <c r="BO56" s="129"/>
      <c r="BP56" s="153"/>
      <c r="BQ56" s="128"/>
      <c r="BR56" s="125"/>
      <c r="BS56" s="129"/>
      <c r="BT56" s="153"/>
      <c r="BU56" s="128"/>
      <c r="BV56" s="125"/>
      <c r="BW56" s="129"/>
      <c r="BX56" s="153"/>
      <c r="BY56" s="128"/>
      <c r="BZ56" s="712">
        <f t="shared" si="2"/>
        <v>6637</v>
      </c>
      <c r="CA56" s="415">
        <f t="shared" si="0"/>
        <v>6637</v>
      </c>
    </row>
    <row r="57" spans="1:79" s="709" customFormat="1" ht="22.5" x14ac:dyDescent="0.25">
      <c r="A57" s="709">
        <v>1</v>
      </c>
      <c r="B57" s="221">
        <v>42</v>
      </c>
      <c r="C57" s="221" t="s">
        <v>38</v>
      </c>
      <c r="D57" s="691">
        <v>30484520</v>
      </c>
      <c r="E57" s="150" t="s">
        <v>2008</v>
      </c>
      <c r="F57" s="700" t="s">
        <v>46</v>
      </c>
      <c r="G57" s="151" t="s">
        <v>1956</v>
      </c>
      <c r="H57" s="151" t="s">
        <v>1960</v>
      </c>
      <c r="I57" s="700" t="s">
        <v>1958</v>
      </c>
      <c r="J57" s="125">
        <v>24127</v>
      </c>
      <c r="K57" s="125">
        <v>18566</v>
      </c>
      <c r="L57" s="125">
        <v>0</v>
      </c>
      <c r="M57" s="125"/>
      <c r="N57" s="125"/>
      <c r="O57" s="125"/>
      <c r="P57" s="125"/>
      <c r="Q57" s="125"/>
      <c r="R57" s="125"/>
      <c r="S57" s="125"/>
      <c r="T57" s="125"/>
      <c r="U57" s="125"/>
      <c r="V57" s="125"/>
      <c r="W57" s="125"/>
      <c r="X57" s="125"/>
      <c r="Y57" s="125">
        <f t="shared" si="1"/>
        <v>0</v>
      </c>
      <c r="Z57" s="125">
        <v>5561</v>
      </c>
      <c r="AA57" s="126">
        <v>1</v>
      </c>
      <c r="AB57" s="127">
        <v>44207</v>
      </c>
      <c r="AC57" s="128">
        <v>44214</v>
      </c>
      <c r="AD57" s="125"/>
      <c r="AE57" s="129"/>
      <c r="AF57" s="153"/>
      <c r="AG57" s="128"/>
      <c r="AH57" s="125"/>
      <c r="AI57" s="129"/>
      <c r="AJ57" s="128"/>
      <c r="AK57" s="128"/>
      <c r="AL57" s="125"/>
      <c r="AM57" s="129"/>
      <c r="AN57" s="128"/>
      <c r="AO57" s="128"/>
      <c r="AP57" s="125"/>
      <c r="AQ57" s="129"/>
      <c r="AR57" s="153"/>
      <c r="AS57" s="128"/>
      <c r="AT57" s="125"/>
      <c r="AU57" s="129"/>
      <c r="AV57" s="153"/>
      <c r="AW57" s="128"/>
      <c r="AX57" s="125"/>
      <c r="AY57" s="129"/>
      <c r="AZ57" s="153"/>
      <c r="BA57" s="128"/>
      <c r="BB57" s="125"/>
      <c r="BC57" s="129"/>
      <c r="BD57" s="153"/>
      <c r="BE57" s="128"/>
      <c r="BF57" s="125"/>
      <c r="BG57" s="129"/>
      <c r="BH57" s="153"/>
      <c r="BI57" s="128"/>
      <c r="BJ57" s="125"/>
      <c r="BK57" s="129"/>
      <c r="BL57" s="153"/>
      <c r="BM57" s="128"/>
      <c r="BN57" s="129"/>
      <c r="BO57" s="129"/>
      <c r="BP57" s="153"/>
      <c r="BQ57" s="128"/>
      <c r="BR57" s="125"/>
      <c r="BS57" s="129"/>
      <c r="BT57" s="153"/>
      <c r="BU57" s="128"/>
      <c r="BV57" s="125"/>
      <c r="BW57" s="129"/>
      <c r="BX57" s="153"/>
      <c r="BY57" s="128"/>
      <c r="BZ57" s="712">
        <f t="shared" si="2"/>
        <v>5561</v>
      </c>
      <c r="CA57" s="415">
        <f t="shared" si="0"/>
        <v>5561</v>
      </c>
    </row>
    <row r="58" spans="1:79" s="709" customFormat="1" ht="22.5" x14ac:dyDescent="0.25">
      <c r="A58" s="709">
        <v>1</v>
      </c>
      <c r="B58" s="221">
        <v>43</v>
      </c>
      <c r="C58" s="221" t="s">
        <v>38</v>
      </c>
      <c r="D58" s="691">
        <v>30484525</v>
      </c>
      <c r="E58" s="150" t="s">
        <v>2009</v>
      </c>
      <c r="F58" s="700" t="s">
        <v>46</v>
      </c>
      <c r="G58" s="151" t="s">
        <v>1956</v>
      </c>
      <c r="H58" s="151" t="s">
        <v>1960</v>
      </c>
      <c r="I58" s="700" t="s">
        <v>1958</v>
      </c>
      <c r="J58" s="125">
        <v>24158</v>
      </c>
      <c r="K58" s="125">
        <v>18567</v>
      </c>
      <c r="L58" s="125">
        <v>0</v>
      </c>
      <c r="M58" s="125"/>
      <c r="N58" s="125"/>
      <c r="O58" s="125"/>
      <c r="P58" s="125"/>
      <c r="Q58" s="125"/>
      <c r="R58" s="125"/>
      <c r="S58" s="125"/>
      <c r="T58" s="125"/>
      <c r="U58" s="125"/>
      <c r="V58" s="125"/>
      <c r="W58" s="125"/>
      <c r="X58" s="125"/>
      <c r="Y58" s="125">
        <f t="shared" si="1"/>
        <v>0</v>
      </c>
      <c r="Z58" s="125">
        <v>5591</v>
      </c>
      <c r="AA58" s="126">
        <v>1</v>
      </c>
      <c r="AB58" s="127">
        <v>44207</v>
      </c>
      <c r="AC58" s="128">
        <v>44214</v>
      </c>
      <c r="AD58" s="125"/>
      <c r="AE58" s="129"/>
      <c r="AF58" s="153"/>
      <c r="AG58" s="128"/>
      <c r="AH58" s="125"/>
      <c r="AI58" s="129"/>
      <c r="AJ58" s="128"/>
      <c r="AK58" s="128"/>
      <c r="AL58" s="125"/>
      <c r="AM58" s="129"/>
      <c r="AN58" s="128"/>
      <c r="AO58" s="128"/>
      <c r="AP58" s="125"/>
      <c r="AQ58" s="129"/>
      <c r="AR58" s="153"/>
      <c r="AS58" s="128"/>
      <c r="AT58" s="125"/>
      <c r="AU58" s="129"/>
      <c r="AV58" s="153"/>
      <c r="AW58" s="128"/>
      <c r="AX58" s="125"/>
      <c r="AY58" s="129"/>
      <c r="AZ58" s="153"/>
      <c r="BA58" s="128"/>
      <c r="BB58" s="125"/>
      <c r="BC58" s="129"/>
      <c r="BD58" s="153"/>
      <c r="BE58" s="128"/>
      <c r="BF58" s="125"/>
      <c r="BG58" s="129"/>
      <c r="BH58" s="153"/>
      <c r="BI58" s="128"/>
      <c r="BJ58" s="125"/>
      <c r="BK58" s="129"/>
      <c r="BL58" s="153"/>
      <c r="BM58" s="128"/>
      <c r="BN58" s="129"/>
      <c r="BO58" s="129"/>
      <c r="BP58" s="153"/>
      <c r="BQ58" s="128"/>
      <c r="BR58" s="125"/>
      <c r="BS58" s="129"/>
      <c r="BT58" s="153"/>
      <c r="BU58" s="128"/>
      <c r="BV58" s="125"/>
      <c r="BW58" s="129"/>
      <c r="BX58" s="153"/>
      <c r="BY58" s="128"/>
      <c r="BZ58" s="712">
        <f t="shared" si="2"/>
        <v>5591</v>
      </c>
      <c r="CA58" s="415">
        <f t="shared" si="0"/>
        <v>5591</v>
      </c>
    </row>
    <row r="59" spans="1:79" s="709" customFormat="1" ht="22.5" x14ac:dyDescent="0.25">
      <c r="A59" s="709">
        <v>1</v>
      </c>
      <c r="B59" s="221">
        <v>44</v>
      </c>
      <c r="C59" s="221" t="s">
        <v>38</v>
      </c>
      <c r="D59" s="691">
        <v>30484992</v>
      </c>
      <c r="E59" s="150" t="s">
        <v>2010</v>
      </c>
      <c r="F59" s="700" t="s">
        <v>45</v>
      </c>
      <c r="G59" s="151" t="s">
        <v>1956</v>
      </c>
      <c r="H59" s="151" t="s">
        <v>1960</v>
      </c>
      <c r="I59" s="700" t="s">
        <v>1958</v>
      </c>
      <c r="J59" s="125">
        <v>803851</v>
      </c>
      <c r="K59" s="125">
        <v>695793</v>
      </c>
      <c r="L59" s="125">
        <v>0</v>
      </c>
      <c r="M59" s="125"/>
      <c r="N59" s="125"/>
      <c r="O59" s="125"/>
      <c r="P59" s="125"/>
      <c r="Q59" s="125"/>
      <c r="R59" s="125"/>
      <c r="S59" s="125"/>
      <c r="T59" s="125"/>
      <c r="U59" s="125"/>
      <c r="V59" s="125"/>
      <c r="W59" s="125"/>
      <c r="X59" s="125"/>
      <c r="Y59" s="125">
        <f t="shared" si="1"/>
        <v>0</v>
      </c>
      <c r="Z59" s="125">
        <v>108058</v>
      </c>
      <c r="AA59" s="126">
        <v>1</v>
      </c>
      <c r="AB59" s="127">
        <v>44207</v>
      </c>
      <c r="AC59" s="128">
        <v>44214</v>
      </c>
      <c r="AD59" s="125"/>
      <c r="AE59" s="129"/>
      <c r="AF59" s="153"/>
      <c r="AG59" s="128"/>
      <c r="AH59" s="125"/>
      <c r="AI59" s="129"/>
      <c r="AJ59" s="128"/>
      <c r="AK59" s="128"/>
      <c r="AL59" s="125"/>
      <c r="AM59" s="129"/>
      <c r="AN59" s="128"/>
      <c r="AO59" s="128"/>
      <c r="AP59" s="125"/>
      <c r="AQ59" s="129"/>
      <c r="AR59" s="153"/>
      <c r="AS59" s="128"/>
      <c r="AT59" s="125"/>
      <c r="AU59" s="129"/>
      <c r="AV59" s="153"/>
      <c r="AW59" s="128"/>
      <c r="AX59" s="125"/>
      <c r="AY59" s="129"/>
      <c r="AZ59" s="153"/>
      <c r="BA59" s="128"/>
      <c r="BB59" s="125"/>
      <c r="BC59" s="129"/>
      <c r="BD59" s="153"/>
      <c r="BE59" s="128"/>
      <c r="BF59" s="125"/>
      <c r="BG59" s="129"/>
      <c r="BH59" s="153"/>
      <c r="BI59" s="128"/>
      <c r="BJ59" s="125"/>
      <c r="BK59" s="129"/>
      <c r="BL59" s="153"/>
      <c r="BM59" s="128"/>
      <c r="BN59" s="129"/>
      <c r="BO59" s="129"/>
      <c r="BP59" s="153"/>
      <c r="BQ59" s="128"/>
      <c r="BR59" s="125"/>
      <c r="BS59" s="129"/>
      <c r="BT59" s="153"/>
      <c r="BU59" s="128"/>
      <c r="BV59" s="125"/>
      <c r="BW59" s="129"/>
      <c r="BX59" s="153"/>
      <c r="BY59" s="128"/>
      <c r="BZ59" s="712">
        <f t="shared" si="2"/>
        <v>108058</v>
      </c>
      <c r="CA59" s="415">
        <f t="shared" si="0"/>
        <v>108058</v>
      </c>
    </row>
    <row r="60" spans="1:79" s="709" customFormat="1" ht="22.5" x14ac:dyDescent="0.25">
      <c r="A60" s="709">
        <v>1</v>
      </c>
      <c r="B60" s="221">
        <v>45</v>
      </c>
      <c r="C60" s="221" t="s">
        <v>38</v>
      </c>
      <c r="D60" s="691">
        <v>30485766</v>
      </c>
      <c r="E60" s="150" t="s">
        <v>2011</v>
      </c>
      <c r="F60" s="700" t="s">
        <v>46</v>
      </c>
      <c r="G60" s="151" t="s">
        <v>1956</v>
      </c>
      <c r="H60" s="151" t="s">
        <v>1960</v>
      </c>
      <c r="I60" s="700" t="s">
        <v>1958</v>
      </c>
      <c r="J60" s="125">
        <v>28976</v>
      </c>
      <c r="K60" s="125">
        <v>22252</v>
      </c>
      <c r="L60" s="125">
        <v>0</v>
      </c>
      <c r="M60" s="125"/>
      <c r="N60" s="125"/>
      <c r="O60" s="125"/>
      <c r="P60" s="125"/>
      <c r="Q60" s="125"/>
      <c r="R60" s="125"/>
      <c r="S60" s="125"/>
      <c r="T60" s="125"/>
      <c r="U60" s="125"/>
      <c r="V60" s="125"/>
      <c r="W60" s="125"/>
      <c r="X60" s="125"/>
      <c r="Y60" s="125">
        <f t="shared" si="1"/>
        <v>0</v>
      </c>
      <c r="Z60" s="125">
        <v>6724</v>
      </c>
      <c r="AA60" s="126">
        <v>1</v>
      </c>
      <c r="AB60" s="127">
        <v>44207</v>
      </c>
      <c r="AC60" s="128">
        <v>44214</v>
      </c>
      <c r="AD60" s="125"/>
      <c r="AE60" s="129"/>
      <c r="AF60" s="153"/>
      <c r="AG60" s="128"/>
      <c r="AH60" s="125"/>
      <c r="AI60" s="129"/>
      <c r="AJ60" s="128"/>
      <c r="AK60" s="128"/>
      <c r="AL60" s="125"/>
      <c r="AM60" s="129"/>
      <c r="AN60" s="128"/>
      <c r="AO60" s="128"/>
      <c r="AP60" s="125"/>
      <c r="AQ60" s="129"/>
      <c r="AR60" s="153"/>
      <c r="AS60" s="128"/>
      <c r="AT60" s="125"/>
      <c r="AU60" s="129"/>
      <c r="AV60" s="153"/>
      <c r="AW60" s="128"/>
      <c r="AX60" s="125"/>
      <c r="AY60" s="129"/>
      <c r="AZ60" s="153"/>
      <c r="BA60" s="128"/>
      <c r="BB60" s="125"/>
      <c r="BC60" s="129"/>
      <c r="BD60" s="153"/>
      <c r="BE60" s="128"/>
      <c r="BF60" s="125"/>
      <c r="BG60" s="129"/>
      <c r="BH60" s="153"/>
      <c r="BI60" s="128"/>
      <c r="BJ60" s="125"/>
      <c r="BK60" s="129"/>
      <c r="BL60" s="153"/>
      <c r="BM60" s="128"/>
      <c r="BN60" s="129"/>
      <c r="BO60" s="129"/>
      <c r="BP60" s="153"/>
      <c r="BQ60" s="128"/>
      <c r="BR60" s="125"/>
      <c r="BS60" s="129"/>
      <c r="BT60" s="153"/>
      <c r="BU60" s="128"/>
      <c r="BV60" s="125"/>
      <c r="BW60" s="129"/>
      <c r="BX60" s="153"/>
      <c r="BY60" s="128"/>
      <c r="BZ60" s="712">
        <f t="shared" si="2"/>
        <v>6724</v>
      </c>
      <c r="CA60" s="415">
        <f t="shared" si="0"/>
        <v>6724</v>
      </c>
    </row>
    <row r="61" spans="1:79" s="709" customFormat="1" ht="22.5" x14ac:dyDescent="0.25">
      <c r="A61" s="709">
        <v>1</v>
      </c>
      <c r="B61" s="221">
        <v>46</v>
      </c>
      <c r="C61" s="221" t="s">
        <v>38</v>
      </c>
      <c r="D61" s="691">
        <v>30486838</v>
      </c>
      <c r="E61" s="150" t="s">
        <v>2012</v>
      </c>
      <c r="F61" s="700" t="s">
        <v>46</v>
      </c>
      <c r="G61" s="151" t="s">
        <v>1956</v>
      </c>
      <c r="H61" s="151" t="s">
        <v>1960</v>
      </c>
      <c r="I61" s="700" t="s">
        <v>1958</v>
      </c>
      <c r="J61" s="125">
        <v>12014</v>
      </c>
      <c r="K61" s="125">
        <v>4232</v>
      </c>
      <c r="L61" s="125">
        <v>0</v>
      </c>
      <c r="M61" s="125"/>
      <c r="N61" s="125"/>
      <c r="O61" s="125"/>
      <c r="P61" s="125"/>
      <c r="Q61" s="125"/>
      <c r="R61" s="125">
        <v>2296</v>
      </c>
      <c r="S61" s="125"/>
      <c r="T61" s="125"/>
      <c r="U61" s="125"/>
      <c r="V61" s="125"/>
      <c r="W61" s="125"/>
      <c r="X61" s="125"/>
      <c r="Y61" s="125">
        <f t="shared" si="1"/>
        <v>2296</v>
      </c>
      <c r="Z61" s="125">
        <v>7782</v>
      </c>
      <c r="AA61" s="126">
        <v>1</v>
      </c>
      <c r="AB61" s="127">
        <v>44207</v>
      </c>
      <c r="AC61" s="128">
        <v>44214</v>
      </c>
      <c r="AD61" s="125"/>
      <c r="AE61" s="129"/>
      <c r="AF61" s="153"/>
      <c r="AG61" s="128"/>
      <c r="AH61" s="125"/>
      <c r="AI61" s="129"/>
      <c r="AJ61" s="128"/>
      <c r="AK61" s="128"/>
      <c r="AL61" s="125"/>
      <c r="AM61" s="129"/>
      <c r="AN61" s="128"/>
      <c r="AO61" s="128"/>
      <c r="AP61" s="125"/>
      <c r="AQ61" s="129"/>
      <c r="AR61" s="153"/>
      <c r="AS61" s="128"/>
      <c r="AT61" s="125"/>
      <c r="AU61" s="129"/>
      <c r="AV61" s="153"/>
      <c r="AW61" s="128"/>
      <c r="AX61" s="125"/>
      <c r="AY61" s="129"/>
      <c r="AZ61" s="153"/>
      <c r="BA61" s="128"/>
      <c r="BB61" s="125"/>
      <c r="BC61" s="129"/>
      <c r="BD61" s="153"/>
      <c r="BE61" s="128"/>
      <c r="BF61" s="125"/>
      <c r="BG61" s="129"/>
      <c r="BH61" s="153"/>
      <c r="BI61" s="128"/>
      <c r="BJ61" s="125"/>
      <c r="BK61" s="129"/>
      <c r="BL61" s="153"/>
      <c r="BM61" s="128"/>
      <c r="BN61" s="129"/>
      <c r="BO61" s="129"/>
      <c r="BP61" s="153"/>
      <c r="BQ61" s="128"/>
      <c r="BR61" s="125"/>
      <c r="BS61" s="129"/>
      <c r="BT61" s="153"/>
      <c r="BU61" s="128"/>
      <c r="BV61" s="125"/>
      <c r="BW61" s="129"/>
      <c r="BX61" s="153"/>
      <c r="BY61" s="128"/>
      <c r="BZ61" s="712">
        <f t="shared" si="2"/>
        <v>7782</v>
      </c>
      <c r="CA61" s="415">
        <f t="shared" si="0"/>
        <v>5486</v>
      </c>
    </row>
    <row r="62" spans="1:79" s="709" customFormat="1" ht="22.5" x14ac:dyDescent="0.25">
      <c r="A62" s="709">
        <v>1</v>
      </c>
      <c r="B62" s="221">
        <v>47</v>
      </c>
      <c r="C62" s="221" t="s">
        <v>38</v>
      </c>
      <c r="D62" s="691">
        <v>30487243</v>
      </c>
      <c r="E62" s="150" t="s">
        <v>2013</v>
      </c>
      <c r="F62" s="700" t="s">
        <v>45</v>
      </c>
      <c r="G62" s="151" t="s">
        <v>1963</v>
      </c>
      <c r="H62" s="151" t="s">
        <v>2014</v>
      </c>
      <c r="I62" s="700" t="s">
        <v>1958</v>
      </c>
      <c r="J62" s="125">
        <v>897661</v>
      </c>
      <c r="K62" s="125">
        <v>306443</v>
      </c>
      <c r="L62" s="125">
        <v>0</v>
      </c>
      <c r="M62" s="125"/>
      <c r="N62" s="125">
        <v>35085</v>
      </c>
      <c r="O62" s="125">
        <v>110243</v>
      </c>
      <c r="P62" s="125"/>
      <c r="Q62" s="125">
        <v>130138</v>
      </c>
      <c r="R62" s="125"/>
      <c r="S62" s="125"/>
      <c r="T62" s="125"/>
      <c r="U62" s="125"/>
      <c r="V62" s="125"/>
      <c r="W62" s="125"/>
      <c r="X62" s="125"/>
      <c r="Y62" s="125">
        <f t="shared" si="1"/>
        <v>275466</v>
      </c>
      <c r="Z62" s="125">
        <f>250000</f>
        <v>250000</v>
      </c>
      <c r="AA62" s="126">
        <v>1</v>
      </c>
      <c r="AB62" s="127">
        <v>44207</v>
      </c>
      <c r="AC62" s="128">
        <v>44214</v>
      </c>
      <c r="AD62" s="125"/>
      <c r="AE62" s="129"/>
      <c r="AF62" s="153"/>
      <c r="AG62" s="128"/>
      <c r="AH62" s="125">
        <v>200000</v>
      </c>
      <c r="AI62" s="129">
        <v>9</v>
      </c>
      <c r="AJ62" s="128">
        <v>44244</v>
      </c>
      <c r="AK62" s="128">
        <v>44249</v>
      </c>
      <c r="AL62" s="125"/>
      <c r="AM62" s="129"/>
      <c r="AN62" s="128"/>
      <c r="AO62" s="128"/>
      <c r="AP62" s="125"/>
      <c r="AQ62" s="129"/>
      <c r="AR62" s="153"/>
      <c r="AS62" s="128"/>
      <c r="AT62" s="125"/>
      <c r="AU62" s="129"/>
      <c r="AV62" s="153"/>
      <c r="AW62" s="128"/>
      <c r="AX62" s="125">
        <v>115000</v>
      </c>
      <c r="AY62" s="129">
        <v>18</v>
      </c>
      <c r="AZ62" s="128">
        <v>44308</v>
      </c>
      <c r="BA62" s="128">
        <v>44314</v>
      </c>
      <c r="BB62" s="125"/>
      <c r="BC62" s="129"/>
      <c r="BD62" s="153"/>
      <c r="BE62" s="128"/>
      <c r="BF62" s="125"/>
      <c r="BG62" s="129"/>
      <c r="BH62" s="153"/>
      <c r="BI62" s="128"/>
      <c r="BJ62" s="125"/>
      <c r="BK62" s="129"/>
      <c r="BL62" s="153"/>
      <c r="BM62" s="128"/>
      <c r="BN62" s="129"/>
      <c r="BO62" s="129"/>
      <c r="BP62" s="153"/>
      <c r="BQ62" s="128"/>
      <c r="BR62" s="125"/>
      <c r="BS62" s="129"/>
      <c r="BT62" s="153"/>
      <c r="BU62" s="128"/>
      <c r="BV62" s="125"/>
      <c r="BW62" s="129"/>
      <c r="BX62" s="153"/>
      <c r="BY62" s="128"/>
      <c r="BZ62" s="712">
        <f t="shared" si="2"/>
        <v>565000</v>
      </c>
      <c r="CA62" s="415">
        <f t="shared" si="0"/>
        <v>289534</v>
      </c>
    </row>
    <row r="63" spans="1:79" s="709" customFormat="1" ht="22.5" x14ac:dyDescent="0.25">
      <c r="A63" s="709">
        <v>1</v>
      </c>
      <c r="B63" s="221">
        <v>48</v>
      </c>
      <c r="C63" s="221" t="s">
        <v>38</v>
      </c>
      <c r="D63" s="691">
        <v>40000590</v>
      </c>
      <c r="E63" s="150" t="s">
        <v>2015</v>
      </c>
      <c r="F63" s="700" t="s">
        <v>45</v>
      </c>
      <c r="G63" s="151" t="s">
        <v>1956</v>
      </c>
      <c r="H63" s="151" t="s">
        <v>1960</v>
      </c>
      <c r="I63" s="700" t="s">
        <v>1958</v>
      </c>
      <c r="J63" s="125">
        <v>26068089</v>
      </c>
      <c r="K63" s="125">
        <v>0</v>
      </c>
      <c r="L63" s="125">
        <v>10730590</v>
      </c>
      <c r="M63" s="125"/>
      <c r="N63" s="125"/>
      <c r="O63" s="125"/>
      <c r="P63" s="125"/>
      <c r="Q63" s="125"/>
      <c r="R63" s="125"/>
      <c r="S63" s="125"/>
      <c r="T63" s="125"/>
      <c r="U63" s="125"/>
      <c r="V63" s="125"/>
      <c r="W63" s="125"/>
      <c r="X63" s="125"/>
      <c r="Y63" s="125">
        <f t="shared" si="1"/>
        <v>0</v>
      </c>
      <c r="Z63" s="125">
        <v>1</v>
      </c>
      <c r="AA63" s="126">
        <v>1</v>
      </c>
      <c r="AB63" s="127">
        <v>44207</v>
      </c>
      <c r="AC63" s="128">
        <v>44214</v>
      </c>
      <c r="AD63" s="125"/>
      <c r="AE63" s="129"/>
      <c r="AF63" s="153"/>
      <c r="AG63" s="128"/>
      <c r="AH63" s="125"/>
      <c r="AI63" s="129"/>
      <c r="AJ63" s="128"/>
      <c r="AK63" s="128"/>
      <c r="AL63" s="125"/>
      <c r="AM63" s="129"/>
      <c r="AN63" s="128"/>
      <c r="AO63" s="128"/>
      <c r="AP63" s="125"/>
      <c r="AQ63" s="129"/>
      <c r="AR63" s="153"/>
      <c r="AS63" s="128"/>
      <c r="AT63" s="125"/>
      <c r="AU63" s="129"/>
      <c r="AV63" s="153"/>
      <c r="AW63" s="128"/>
      <c r="AX63" s="125"/>
      <c r="AY63" s="129"/>
      <c r="AZ63" s="153"/>
      <c r="BA63" s="128"/>
      <c r="BB63" s="125"/>
      <c r="BC63" s="129"/>
      <c r="BD63" s="153"/>
      <c r="BE63" s="128"/>
      <c r="BF63" s="125"/>
      <c r="BG63" s="129"/>
      <c r="BH63" s="153"/>
      <c r="BI63" s="128"/>
      <c r="BJ63" s="125"/>
      <c r="BK63" s="129"/>
      <c r="BL63" s="153"/>
      <c r="BM63" s="128"/>
      <c r="BN63" s="129"/>
      <c r="BO63" s="129"/>
      <c r="BP63" s="153"/>
      <c r="BQ63" s="128"/>
      <c r="BR63" s="125"/>
      <c r="BS63" s="129"/>
      <c r="BT63" s="153"/>
      <c r="BU63" s="128"/>
      <c r="BV63" s="125"/>
      <c r="BW63" s="129"/>
      <c r="BX63" s="153"/>
      <c r="BY63" s="128"/>
      <c r="BZ63" s="712">
        <f t="shared" si="2"/>
        <v>1</v>
      </c>
      <c r="CA63" s="415">
        <f t="shared" si="0"/>
        <v>1</v>
      </c>
    </row>
    <row r="64" spans="1:79" s="709" customFormat="1" ht="22.5" x14ac:dyDescent="0.25">
      <c r="A64" s="709">
        <v>1</v>
      </c>
      <c r="B64" s="221">
        <v>49</v>
      </c>
      <c r="C64" s="221" t="s">
        <v>38</v>
      </c>
      <c r="D64" s="691">
        <v>40001037</v>
      </c>
      <c r="E64" s="150" t="s">
        <v>2016</v>
      </c>
      <c r="F64" s="700" t="s">
        <v>45</v>
      </c>
      <c r="G64" s="151" t="s">
        <v>1956</v>
      </c>
      <c r="H64" s="151" t="s">
        <v>1957</v>
      </c>
      <c r="I64" s="700" t="s">
        <v>1958</v>
      </c>
      <c r="J64" s="125">
        <v>1893019</v>
      </c>
      <c r="K64" s="125">
        <v>525</v>
      </c>
      <c r="L64" s="125">
        <v>318715</v>
      </c>
      <c r="M64" s="125"/>
      <c r="N64" s="125">
        <v>35931</v>
      </c>
      <c r="O64" s="125">
        <v>80682</v>
      </c>
      <c r="P64" s="125">
        <v>18382</v>
      </c>
      <c r="Q64" s="125">
        <v>154830</v>
      </c>
      <c r="R64" s="125">
        <v>85425</v>
      </c>
      <c r="S64" s="125"/>
      <c r="T64" s="125"/>
      <c r="U64" s="125"/>
      <c r="V64" s="125"/>
      <c r="W64" s="125"/>
      <c r="X64" s="125"/>
      <c r="Y64" s="125">
        <f t="shared" si="1"/>
        <v>375250</v>
      </c>
      <c r="Z64" s="125">
        <f>350000</f>
        <v>350000</v>
      </c>
      <c r="AA64" s="126">
        <v>1</v>
      </c>
      <c r="AB64" s="127">
        <v>44207</v>
      </c>
      <c r="AC64" s="128">
        <v>44214</v>
      </c>
      <c r="AD64" s="125"/>
      <c r="AE64" s="129"/>
      <c r="AF64" s="153"/>
      <c r="AG64" s="128"/>
      <c r="AH64" s="125">
        <v>254372</v>
      </c>
      <c r="AI64" s="129">
        <v>9</v>
      </c>
      <c r="AJ64" s="128">
        <v>44244</v>
      </c>
      <c r="AK64" s="128">
        <v>44249</v>
      </c>
      <c r="AL64" s="125">
        <v>255933</v>
      </c>
      <c r="AM64" s="129">
        <v>13</v>
      </c>
      <c r="AN64" s="128">
        <v>44277</v>
      </c>
      <c r="AO64" s="128">
        <v>44281</v>
      </c>
      <c r="AP64" s="125"/>
      <c r="AQ64" s="129"/>
      <c r="AR64" s="153"/>
      <c r="AS64" s="128"/>
      <c r="AT64" s="125"/>
      <c r="AU64" s="129"/>
      <c r="AV64" s="153"/>
      <c r="AW64" s="128"/>
      <c r="AX64" s="125">
        <v>331796</v>
      </c>
      <c r="AY64" s="129">
        <v>18</v>
      </c>
      <c r="AZ64" s="128">
        <v>44308</v>
      </c>
      <c r="BA64" s="128">
        <v>44314</v>
      </c>
      <c r="BB64" s="125"/>
      <c r="BC64" s="129"/>
      <c r="BD64" s="153"/>
      <c r="BE64" s="128"/>
      <c r="BF64" s="125"/>
      <c r="BG64" s="129"/>
      <c r="BH64" s="153"/>
      <c r="BI64" s="128"/>
      <c r="BJ64" s="125"/>
      <c r="BK64" s="129"/>
      <c r="BL64" s="153"/>
      <c r="BM64" s="128"/>
      <c r="BN64" s="129"/>
      <c r="BO64" s="129"/>
      <c r="BP64" s="153"/>
      <c r="BQ64" s="128"/>
      <c r="BR64" s="125"/>
      <c r="BS64" s="129"/>
      <c r="BT64" s="153"/>
      <c r="BU64" s="128"/>
      <c r="BV64" s="125"/>
      <c r="BW64" s="129"/>
      <c r="BX64" s="153"/>
      <c r="BY64" s="128"/>
      <c r="BZ64" s="712">
        <f t="shared" si="2"/>
        <v>1192101</v>
      </c>
      <c r="CA64" s="415">
        <f t="shared" si="0"/>
        <v>816851</v>
      </c>
    </row>
    <row r="65" spans="1:79" s="709" customFormat="1" ht="22.5" x14ac:dyDescent="0.25">
      <c r="A65" s="709">
        <v>1</v>
      </c>
      <c r="B65" s="221">
        <v>50</v>
      </c>
      <c r="C65" s="221" t="s">
        <v>38</v>
      </c>
      <c r="D65" s="691">
        <v>40001293</v>
      </c>
      <c r="E65" s="150" t="s">
        <v>2017</v>
      </c>
      <c r="F65" s="700" t="s">
        <v>45</v>
      </c>
      <c r="G65" s="151" t="s">
        <v>1956</v>
      </c>
      <c r="H65" s="151" t="s">
        <v>1960</v>
      </c>
      <c r="I65" s="700" t="s">
        <v>1958</v>
      </c>
      <c r="J65" s="125">
        <v>7675971</v>
      </c>
      <c r="K65" s="125">
        <v>3708483</v>
      </c>
      <c r="L65" s="125">
        <v>0</v>
      </c>
      <c r="M65" s="125">
        <v>194187</v>
      </c>
      <c r="N65" s="125"/>
      <c r="O65" s="125">
        <v>176843</v>
      </c>
      <c r="P65" s="125">
        <v>562846</v>
      </c>
      <c r="Q65" s="125">
        <v>176064</v>
      </c>
      <c r="R65" s="125">
        <v>240672</v>
      </c>
      <c r="S65" s="125"/>
      <c r="T65" s="125"/>
      <c r="U65" s="125"/>
      <c r="V65" s="125"/>
      <c r="W65" s="125"/>
      <c r="X65" s="125"/>
      <c r="Y65" s="125">
        <f t="shared" si="1"/>
        <v>1350612</v>
      </c>
      <c r="Z65" s="125">
        <v>1313066</v>
      </c>
      <c r="AA65" s="126">
        <v>1</v>
      </c>
      <c r="AB65" s="127">
        <v>44207</v>
      </c>
      <c r="AC65" s="128">
        <v>44214</v>
      </c>
      <c r="AD65" s="125"/>
      <c r="AE65" s="129"/>
      <c r="AF65" s="153"/>
      <c r="AG65" s="128"/>
      <c r="AH65" s="125"/>
      <c r="AI65" s="129"/>
      <c r="AJ65" s="128"/>
      <c r="AK65" s="128"/>
      <c r="AL65" s="125"/>
      <c r="AM65" s="129"/>
      <c r="AN65" s="128"/>
      <c r="AO65" s="128"/>
      <c r="AP65" s="125"/>
      <c r="AQ65" s="129"/>
      <c r="AR65" s="153"/>
      <c r="AS65" s="128"/>
      <c r="AT65" s="125"/>
      <c r="AU65" s="129"/>
      <c r="AV65" s="153"/>
      <c r="AW65" s="128"/>
      <c r="AX65" s="125">
        <v>56000</v>
      </c>
      <c r="AY65" s="129">
        <v>18</v>
      </c>
      <c r="AZ65" s="128">
        <v>44308</v>
      </c>
      <c r="BA65" s="128">
        <v>44314</v>
      </c>
      <c r="BB65" s="125"/>
      <c r="BC65" s="129"/>
      <c r="BD65" s="153"/>
      <c r="BE65" s="128"/>
      <c r="BF65" s="125">
        <v>45275</v>
      </c>
      <c r="BG65" s="129">
        <v>25</v>
      </c>
      <c r="BH65" s="127">
        <v>44329</v>
      </c>
      <c r="BI65" s="128">
        <v>44335</v>
      </c>
      <c r="BJ65" s="125"/>
      <c r="BK65" s="129"/>
      <c r="BL65" s="153"/>
      <c r="BM65" s="128"/>
      <c r="BN65" s="129">
        <v>160000</v>
      </c>
      <c r="BO65" s="129">
        <v>28</v>
      </c>
      <c r="BP65" s="127">
        <v>44363</v>
      </c>
      <c r="BQ65" s="128"/>
      <c r="BR65" s="125"/>
      <c r="BS65" s="129"/>
      <c r="BT65" s="153"/>
      <c r="BU65" s="128"/>
      <c r="BV65" s="125"/>
      <c r="BW65" s="129"/>
      <c r="BX65" s="153"/>
      <c r="BY65" s="128"/>
      <c r="BZ65" s="712">
        <f t="shared" si="2"/>
        <v>1574341</v>
      </c>
      <c r="CA65" s="415">
        <f t="shared" si="0"/>
        <v>223729</v>
      </c>
    </row>
    <row r="66" spans="1:79" s="709" customFormat="1" x14ac:dyDescent="0.25">
      <c r="A66" s="709">
        <v>1</v>
      </c>
      <c r="B66" s="221">
        <v>51</v>
      </c>
      <c r="C66" s="221" t="s">
        <v>38</v>
      </c>
      <c r="D66" s="691">
        <v>40001567</v>
      </c>
      <c r="E66" s="150" t="s">
        <v>2018</v>
      </c>
      <c r="F66" s="700" t="s">
        <v>45</v>
      </c>
      <c r="G66" s="151" t="s">
        <v>1956</v>
      </c>
      <c r="H66" s="151" t="s">
        <v>1960</v>
      </c>
      <c r="I66" s="700" t="s">
        <v>1958</v>
      </c>
      <c r="J66" s="125">
        <v>642492</v>
      </c>
      <c r="K66" s="125">
        <v>572124</v>
      </c>
      <c r="L66" s="125">
        <v>1</v>
      </c>
      <c r="M66" s="125"/>
      <c r="N66" s="125">
        <v>1325</v>
      </c>
      <c r="O66" s="125">
        <v>1829</v>
      </c>
      <c r="P66" s="125">
        <v>6137</v>
      </c>
      <c r="Q66" s="125">
        <v>1483</v>
      </c>
      <c r="R66" s="125">
        <v>1057</v>
      </c>
      <c r="S66" s="125"/>
      <c r="T66" s="125"/>
      <c r="U66" s="125"/>
      <c r="V66" s="125"/>
      <c r="W66" s="125"/>
      <c r="X66" s="125"/>
      <c r="Y66" s="125">
        <f t="shared" si="1"/>
        <v>11831</v>
      </c>
      <c r="Z66" s="125">
        <f>37301</f>
        <v>37301</v>
      </c>
      <c r="AA66" s="126">
        <v>1</v>
      </c>
      <c r="AB66" s="127">
        <v>44207</v>
      </c>
      <c r="AC66" s="128">
        <v>44214</v>
      </c>
      <c r="AD66" s="125"/>
      <c r="AE66" s="129"/>
      <c r="AF66" s="153"/>
      <c r="AG66" s="128"/>
      <c r="AH66" s="125">
        <v>2161</v>
      </c>
      <c r="AI66" s="129">
        <v>9</v>
      </c>
      <c r="AJ66" s="128">
        <v>44244</v>
      </c>
      <c r="AK66" s="128">
        <v>44249</v>
      </c>
      <c r="AL66" s="125"/>
      <c r="AM66" s="129"/>
      <c r="AN66" s="128"/>
      <c r="AO66" s="128"/>
      <c r="AP66" s="125"/>
      <c r="AQ66" s="129"/>
      <c r="AR66" s="153"/>
      <c r="AS66" s="128"/>
      <c r="AT66" s="125"/>
      <c r="AU66" s="129"/>
      <c r="AV66" s="153"/>
      <c r="AW66" s="128"/>
      <c r="AX66" s="125"/>
      <c r="AY66" s="129"/>
      <c r="AZ66" s="153"/>
      <c r="BA66" s="128"/>
      <c r="BB66" s="125"/>
      <c r="BC66" s="129"/>
      <c r="BD66" s="153"/>
      <c r="BE66" s="128"/>
      <c r="BF66" s="125"/>
      <c r="BG66" s="129"/>
      <c r="BH66" s="153"/>
      <c r="BI66" s="128"/>
      <c r="BJ66" s="125"/>
      <c r="BK66" s="129"/>
      <c r="BL66" s="153"/>
      <c r="BM66" s="128"/>
      <c r="BN66" s="129"/>
      <c r="BO66" s="129"/>
      <c r="BP66" s="153"/>
      <c r="BQ66" s="128"/>
      <c r="BR66" s="125">
        <v>515814</v>
      </c>
      <c r="BS66" s="129">
        <v>17</v>
      </c>
      <c r="BT66" s="127">
        <v>44301</v>
      </c>
      <c r="BU66" s="128"/>
      <c r="BV66" s="125"/>
      <c r="BW66" s="129"/>
      <c r="BX66" s="153"/>
      <c r="BY66" s="128"/>
      <c r="BZ66" s="712">
        <f t="shared" si="2"/>
        <v>555276</v>
      </c>
      <c r="CA66" s="415">
        <f t="shared" si="0"/>
        <v>543445</v>
      </c>
    </row>
    <row r="67" spans="1:79" s="709" customFormat="1" ht="22.5" x14ac:dyDescent="0.25">
      <c r="A67" s="709">
        <v>1</v>
      </c>
      <c r="B67" s="221">
        <v>52</v>
      </c>
      <c r="C67" s="221" t="s">
        <v>38</v>
      </c>
      <c r="D67" s="691">
        <v>40019277</v>
      </c>
      <c r="E67" s="150" t="s">
        <v>2019</v>
      </c>
      <c r="F67" s="700" t="s">
        <v>45</v>
      </c>
      <c r="G67" s="151" t="s">
        <v>1966</v>
      </c>
      <c r="H67" s="151" t="s">
        <v>2020</v>
      </c>
      <c r="I67" s="700" t="s">
        <v>1961</v>
      </c>
      <c r="J67" s="125">
        <v>862646</v>
      </c>
      <c r="K67" s="125">
        <v>0</v>
      </c>
      <c r="L67" s="125">
        <v>0</v>
      </c>
      <c r="M67" s="125"/>
      <c r="N67" s="125"/>
      <c r="O67" s="125"/>
      <c r="P67" s="125"/>
      <c r="Q67" s="125"/>
      <c r="R67" s="125"/>
      <c r="S67" s="125"/>
      <c r="T67" s="125"/>
      <c r="U67" s="125"/>
      <c r="V67" s="125"/>
      <c r="W67" s="125"/>
      <c r="X67" s="125"/>
      <c r="Y67" s="125">
        <f t="shared" si="1"/>
        <v>0</v>
      </c>
      <c r="Z67" s="125">
        <v>862646</v>
      </c>
      <c r="AA67" s="126">
        <v>1</v>
      </c>
      <c r="AB67" s="127">
        <v>44207</v>
      </c>
      <c r="AC67" s="128">
        <v>44214</v>
      </c>
      <c r="AD67" s="125"/>
      <c r="AE67" s="129"/>
      <c r="AF67" s="153"/>
      <c r="AG67" s="128"/>
      <c r="AH67" s="125"/>
      <c r="AI67" s="129"/>
      <c r="AJ67" s="153"/>
      <c r="AK67" s="128"/>
      <c r="AL67" s="125"/>
      <c r="AM67" s="129"/>
      <c r="AN67" s="128"/>
      <c r="AO67" s="128"/>
      <c r="AP67" s="125"/>
      <c r="AQ67" s="129"/>
      <c r="AR67" s="153"/>
      <c r="AS67" s="128"/>
      <c r="AT67" s="125"/>
      <c r="AU67" s="129"/>
      <c r="AV67" s="153"/>
      <c r="AW67" s="128"/>
      <c r="AX67" s="125"/>
      <c r="AY67" s="129"/>
      <c r="AZ67" s="153"/>
      <c r="BA67" s="128"/>
      <c r="BB67" s="125"/>
      <c r="BC67" s="129"/>
      <c r="BD67" s="153"/>
      <c r="BE67" s="128"/>
      <c r="BF67" s="125"/>
      <c r="BG67" s="129"/>
      <c r="BH67" s="153"/>
      <c r="BI67" s="128"/>
      <c r="BJ67" s="125"/>
      <c r="BK67" s="129"/>
      <c r="BL67" s="153"/>
      <c r="BM67" s="128"/>
      <c r="BN67" s="129"/>
      <c r="BO67" s="129"/>
      <c r="BP67" s="153"/>
      <c r="BQ67" s="128"/>
      <c r="BR67" s="125"/>
      <c r="BS67" s="129"/>
      <c r="BT67" s="153"/>
      <c r="BU67" s="128"/>
      <c r="BV67" s="125"/>
      <c r="BW67" s="129"/>
      <c r="BX67" s="153"/>
      <c r="BY67" s="128"/>
      <c r="BZ67" s="712">
        <f t="shared" si="2"/>
        <v>862646</v>
      </c>
      <c r="CA67" s="415">
        <f t="shared" si="0"/>
        <v>862646</v>
      </c>
    </row>
    <row r="68" spans="1:79" s="709" customFormat="1" ht="22.5" x14ac:dyDescent="0.25">
      <c r="A68" s="709">
        <v>1</v>
      </c>
      <c r="B68" s="221">
        <v>53</v>
      </c>
      <c r="C68" s="221" t="s">
        <v>38</v>
      </c>
      <c r="D68" s="691">
        <v>40003654</v>
      </c>
      <c r="E68" s="150" t="s">
        <v>2021</v>
      </c>
      <c r="F68" s="700" t="s">
        <v>45</v>
      </c>
      <c r="G68" s="151" t="s">
        <v>1956</v>
      </c>
      <c r="H68" s="151" t="s">
        <v>1960</v>
      </c>
      <c r="I68" s="700" t="s">
        <v>1958</v>
      </c>
      <c r="J68" s="125">
        <v>1660998</v>
      </c>
      <c r="K68" s="125">
        <v>81874</v>
      </c>
      <c r="L68" s="125">
        <v>0</v>
      </c>
      <c r="M68" s="125">
        <v>108466</v>
      </c>
      <c r="N68" s="125">
        <v>162300</v>
      </c>
      <c r="O68" s="125">
        <v>184089</v>
      </c>
      <c r="P68" s="125">
        <v>320005</v>
      </c>
      <c r="Q68" s="125">
        <v>158668</v>
      </c>
      <c r="R68" s="125">
        <v>120909</v>
      </c>
      <c r="S68" s="125"/>
      <c r="T68" s="125"/>
      <c r="U68" s="125"/>
      <c r="V68" s="125"/>
      <c r="W68" s="125"/>
      <c r="X68" s="125"/>
      <c r="Y68" s="125">
        <f t="shared" si="1"/>
        <v>1054437</v>
      </c>
      <c r="Z68" s="125">
        <f>574569</f>
        <v>574569</v>
      </c>
      <c r="AA68" s="126">
        <v>1</v>
      </c>
      <c r="AB68" s="127">
        <v>44207</v>
      </c>
      <c r="AC68" s="128">
        <v>44214</v>
      </c>
      <c r="AD68" s="125"/>
      <c r="AE68" s="129"/>
      <c r="AF68" s="153"/>
      <c r="AG68" s="128"/>
      <c r="AH68" s="125"/>
      <c r="AI68" s="129"/>
      <c r="AJ68" s="153"/>
      <c r="AK68" s="128"/>
      <c r="AL68" s="125">
        <v>470000</v>
      </c>
      <c r="AM68" s="129">
        <v>13</v>
      </c>
      <c r="AN68" s="128">
        <v>44277</v>
      </c>
      <c r="AO68" s="128">
        <v>44281</v>
      </c>
      <c r="AP68" s="125"/>
      <c r="AQ68" s="129"/>
      <c r="AR68" s="153"/>
      <c r="AS68" s="128"/>
      <c r="AT68" s="125"/>
      <c r="AU68" s="129"/>
      <c r="AV68" s="153"/>
      <c r="AW68" s="128"/>
      <c r="AX68" s="125">
        <v>15000</v>
      </c>
      <c r="AY68" s="129">
        <v>18</v>
      </c>
      <c r="AZ68" s="128">
        <v>44308</v>
      </c>
      <c r="BA68" s="128">
        <v>44314</v>
      </c>
      <c r="BB68" s="125"/>
      <c r="BC68" s="129"/>
      <c r="BD68" s="153"/>
      <c r="BE68" s="128"/>
      <c r="BF68" s="125">
        <v>300000</v>
      </c>
      <c r="BG68" s="129">
        <v>25</v>
      </c>
      <c r="BH68" s="127">
        <v>44329</v>
      </c>
      <c r="BI68" s="128">
        <v>44335</v>
      </c>
      <c r="BJ68" s="125"/>
      <c r="BK68" s="129"/>
      <c r="BL68" s="153"/>
      <c r="BM68" s="128"/>
      <c r="BN68" s="129">
        <v>147588</v>
      </c>
      <c r="BO68" s="129">
        <v>28</v>
      </c>
      <c r="BP68" s="127">
        <v>44363</v>
      </c>
      <c r="BQ68" s="128"/>
      <c r="BR68" s="125"/>
      <c r="BS68" s="129"/>
      <c r="BT68" s="153"/>
      <c r="BU68" s="128"/>
      <c r="BV68" s="125"/>
      <c r="BW68" s="129"/>
      <c r="BX68" s="153"/>
      <c r="BY68" s="128"/>
      <c r="BZ68" s="712">
        <f t="shared" si="2"/>
        <v>1507157</v>
      </c>
      <c r="CA68" s="415">
        <f t="shared" si="0"/>
        <v>452720</v>
      </c>
    </row>
    <row r="69" spans="1:79" s="709" customFormat="1" ht="22.5" x14ac:dyDescent="0.25">
      <c r="A69" s="709">
        <v>1</v>
      </c>
      <c r="B69" s="221">
        <v>54</v>
      </c>
      <c r="C69" s="221" t="s">
        <v>38</v>
      </c>
      <c r="D69" s="691">
        <v>40005912</v>
      </c>
      <c r="E69" s="150" t="s">
        <v>2022</v>
      </c>
      <c r="F69" s="700" t="s">
        <v>45</v>
      </c>
      <c r="G69" s="151" t="s">
        <v>1956</v>
      </c>
      <c r="H69" s="151" t="s">
        <v>1960</v>
      </c>
      <c r="I69" s="700" t="s">
        <v>1958</v>
      </c>
      <c r="J69" s="125">
        <v>2605269</v>
      </c>
      <c r="K69" s="125">
        <v>0</v>
      </c>
      <c r="L69" s="125">
        <v>2253725</v>
      </c>
      <c r="M69" s="125"/>
      <c r="N69" s="125"/>
      <c r="O69" s="125"/>
      <c r="P69" s="125"/>
      <c r="Q69" s="125"/>
      <c r="R69" s="125"/>
      <c r="S69" s="125"/>
      <c r="T69" s="125"/>
      <c r="U69" s="125"/>
      <c r="V69" s="125"/>
      <c r="W69" s="125"/>
      <c r="X69" s="125"/>
      <c r="Y69" s="125">
        <f t="shared" si="1"/>
        <v>0</v>
      </c>
      <c r="Z69" s="125">
        <v>351544</v>
      </c>
      <c r="AA69" s="126">
        <v>1</v>
      </c>
      <c r="AB69" s="127">
        <v>44207</v>
      </c>
      <c r="AC69" s="128">
        <v>44214</v>
      </c>
      <c r="AD69" s="125"/>
      <c r="AE69" s="129"/>
      <c r="AF69" s="153"/>
      <c r="AG69" s="128"/>
      <c r="AH69" s="125"/>
      <c r="AI69" s="129"/>
      <c r="AJ69" s="153"/>
      <c r="AK69" s="128"/>
      <c r="AL69" s="125"/>
      <c r="AM69" s="129"/>
      <c r="AN69" s="128"/>
      <c r="AO69" s="128"/>
      <c r="AP69" s="125"/>
      <c r="AQ69" s="129"/>
      <c r="AR69" s="153"/>
      <c r="AS69" s="128"/>
      <c r="AT69" s="125"/>
      <c r="AU69" s="129"/>
      <c r="AV69" s="153"/>
      <c r="AW69" s="128"/>
      <c r="AX69" s="125"/>
      <c r="AY69" s="129"/>
      <c r="AZ69" s="153"/>
      <c r="BA69" s="128"/>
      <c r="BB69" s="125"/>
      <c r="BC69" s="129"/>
      <c r="BD69" s="153"/>
      <c r="BE69" s="128"/>
      <c r="BF69" s="125"/>
      <c r="BG69" s="129"/>
      <c r="BH69" s="153"/>
      <c r="BI69" s="128"/>
      <c r="BJ69" s="125"/>
      <c r="BK69" s="129"/>
      <c r="BL69" s="153"/>
      <c r="BM69" s="128"/>
      <c r="BN69" s="129"/>
      <c r="BO69" s="129"/>
      <c r="BP69" s="153"/>
      <c r="BQ69" s="128"/>
      <c r="BR69" s="125"/>
      <c r="BS69" s="129"/>
      <c r="BT69" s="153"/>
      <c r="BU69" s="128"/>
      <c r="BV69" s="125"/>
      <c r="BW69" s="129"/>
      <c r="BX69" s="153"/>
      <c r="BY69" s="128"/>
      <c r="BZ69" s="712">
        <f t="shared" si="2"/>
        <v>351544</v>
      </c>
      <c r="CA69" s="415">
        <f t="shared" si="0"/>
        <v>351544</v>
      </c>
    </row>
    <row r="70" spans="1:79" s="709" customFormat="1" ht="22.5" x14ac:dyDescent="0.25">
      <c r="A70" s="709">
        <v>1</v>
      </c>
      <c r="B70" s="221">
        <v>55</v>
      </c>
      <c r="C70" s="221" t="s">
        <v>38</v>
      </c>
      <c r="D70" s="691">
        <v>40006570</v>
      </c>
      <c r="E70" s="150" t="s">
        <v>2023</v>
      </c>
      <c r="F70" s="700" t="s">
        <v>45</v>
      </c>
      <c r="G70" s="151" t="s">
        <v>1956</v>
      </c>
      <c r="H70" s="151" t="s">
        <v>1960</v>
      </c>
      <c r="I70" s="700" t="s">
        <v>1958</v>
      </c>
      <c r="J70" s="125">
        <v>359975</v>
      </c>
      <c r="K70" s="125">
        <v>843</v>
      </c>
      <c r="L70" s="125">
        <v>0</v>
      </c>
      <c r="M70" s="125">
        <v>13949</v>
      </c>
      <c r="N70" s="125">
        <v>52311</v>
      </c>
      <c r="O70" s="125">
        <v>112092</v>
      </c>
      <c r="P70" s="125">
        <v>83763</v>
      </c>
      <c r="Q70" s="125">
        <v>49820</v>
      </c>
      <c r="R70" s="125">
        <v>22611</v>
      </c>
      <c r="S70" s="125"/>
      <c r="T70" s="125"/>
      <c r="U70" s="125"/>
      <c r="V70" s="125"/>
      <c r="W70" s="125"/>
      <c r="X70" s="125"/>
      <c r="Y70" s="125">
        <f t="shared" si="1"/>
        <v>334546</v>
      </c>
      <c r="Z70" s="125">
        <f>150000</f>
        <v>150000</v>
      </c>
      <c r="AA70" s="126">
        <v>1</v>
      </c>
      <c r="AB70" s="127">
        <v>44207</v>
      </c>
      <c r="AC70" s="128">
        <v>44214</v>
      </c>
      <c r="AD70" s="125"/>
      <c r="AE70" s="129"/>
      <c r="AF70" s="153"/>
      <c r="AG70" s="128"/>
      <c r="AH70" s="125"/>
      <c r="AI70" s="129"/>
      <c r="AJ70" s="153"/>
      <c r="AK70" s="128"/>
      <c r="AL70" s="125">
        <v>180000</v>
      </c>
      <c r="AM70" s="129">
        <v>13</v>
      </c>
      <c r="AN70" s="128">
        <v>44277</v>
      </c>
      <c r="AO70" s="128">
        <v>44281</v>
      </c>
      <c r="AP70" s="125"/>
      <c r="AQ70" s="129"/>
      <c r="AR70" s="153"/>
      <c r="AS70" s="128"/>
      <c r="AT70" s="125"/>
      <c r="AU70" s="129"/>
      <c r="AV70" s="153"/>
      <c r="AW70" s="128"/>
      <c r="AX70" s="125">
        <v>18737</v>
      </c>
      <c r="AY70" s="129">
        <v>18</v>
      </c>
      <c r="AZ70" s="128">
        <v>44308</v>
      </c>
      <c r="BA70" s="128">
        <v>44314</v>
      </c>
      <c r="BB70" s="125"/>
      <c r="BC70" s="129"/>
      <c r="BD70" s="153"/>
      <c r="BE70" s="128"/>
      <c r="BF70" s="125"/>
      <c r="BG70" s="129"/>
      <c r="BH70" s="153"/>
      <c r="BI70" s="128"/>
      <c r="BJ70" s="125"/>
      <c r="BK70" s="129"/>
      <c r="BL70" s="153"/>
      <c r="BM70" s="128"/>
      <c r="BN70" s="129"/>
      <c r="BO70" s="129"/>
      <c r="BP70" s="153"/>
      <c r="BQ70" s="128"/>
      <c r="BR70" s="125"/>
      <c r="BS70" s="129"/>
      <c r="BT70" s="153"/>
      <c r="BU70" s="128"/>
      <c r="BV70" s="125"/>
      <c r="BW70" s="129"/>
      <c r="BX70" s="153"/>
      <c r="BY70" s="128"/>
      <c r="BZ70" s="712">
        <f t="shared" si="2"/>
        <v>348737</v>
      </c>
      <c r="CA70" s="415">
        <f t="shared" si="0"/>
        <v>14191</v>
      </c>
    </row>
    <row r="71" spans="1:79" s="709" customFormat="1" ht="22.5" x14ac:dyDescent="0.25">
      <c r="A71" s="709">
        <v>1</v>
      </c>
      <c r="B71" s="221">
        <v>56</v>
      </c>
      <c r="C71" s="221" t="s">
        <v>38</v>
      </c>
      <c r="D71" s="691">
        <v>40008161</v>
      </c>
      <c r="E71" s="150" t="s">
        <v>2024</v>
      </c>
      <c r="F71" s="700" t="s">
        <v>45</v>
      </c>
      <c r="G71" s="151" t="s">
        <v>1956</v>
      </c>
      <c r="H71" s="151" t="s">
        <v>1960</v>
      </c>
      <c r="I71" s="700" t="s">
        <v>1958</v>
      </c>
      <c r="J71" s="125">
        <v>4687510</v>
      </c>
      <c r="K71" s="125">
        <v>1049</v>
      </c>
      <c r="L71" s="125">
        <v>1390153</v>
      </c>
      <c r="M71" s="125"/>
      <c r="N71" s="125"/>
      <c r="O71" s="125"/>
      <c r="P71" s="125"/>
      <c r="Q71" s="125"/>
      <c r="R71" s="125">
        <v>86097</v>
      </c>
      <c r="S71" s="125"/>
      <c r="T71" s="125"/>
      <c r="U71" s="125"/>
      <c r="V71" s="125"/>
      <c r="W71" s="125"/>
      <c r="X71" s="125"/>
      <c r="Y71" s="125">
        <f t="shared" si="1"/>
        <v>86097</v>
      </c>
      <c r="Z71" s="125">
        <v>291527</v>
      </c>
      <c r="AA71" s="126">
        <v>1</v>
      </c>
      <c r="AB71" s="127">
        <v>44207</v>
      </c>
      <c r="AC71" s="128">
        <v>44214</v>
      </c>
      <c r="AD71" s="125"/>
      <c r="AE71" s="129"/>
      <c r="AF71" s="153"/>
      <c r="AG71" s="128"/>
      <c r="AH71" s="125"/>
      <c r="AI71" s="129"/>
      <c r="AJ71" s="153"/>
      <c r="AK71" s="128"/>
      <c r="AL71" s="125"/>
      <c r="AM71" s="129"/>
      <c r="AN71" s="128"/>
      <c r="AO71" s="128"/>
      <c r="AP71" s="125"/>
      <c r="AQ71" s="129"/>
      <c r="AR71" s="153"/>
      <c r="AS71" s="128"/>
      <c r="AT71" s="125"/>
      <c r="AU71" s="129"/>
      <c r="AV71" s="153"/>
      <c r="AW71" s="128"/>
      <c r="AX71" s="125"/>
      <c r="AY71" s="129"/>
      <c r="AZ71" s="153"/>
      <c r="BA71" s="128"/>
      <c r="BB71" s="125"/>
      <c r="BC71" s="129"/>
      <c r="BD71" s="153"/>
      <c r="BE71" s="128"/>
      <c r="BF71" s="125"/>
      <c r="BG71" s="129"/>
      <c r="BH71" s="153"/>
      <c r="BI71" s="128"/>
      <c r="BJ71" s="125"/>
      <c r="BK71" s="129"/>
      <c r="BL71" s="153"/>
      <c r="BM71" s="128"/>
      <c r="BN71" s="129">
        <v>200000</v>
      </c>
      <c r="BO71" s="129">
        <v>28</v>
      </c>
      <c r="BP71" s="127">
        <v>44363</v>
      </c>
      <c r="BQ71" s="128"/>
      <c r="BR71" s="125"/>
      <c r="BS71" s="129"/>
      <c r="BT71" s="153"/>
      <c r="BU71" s="128"/>
      <c r="BV71" s="125"/>
      <c r="BW71" s="129"/>
      <c r="BX71" s="153"/>
      <c r="BY71" s="128"/>
      <c r="BZ71" s="712">
        <f t="shared" si="2"/>
        <v>491527</v>
      </c>
      <c r="CA71" s="415">
        <f t="shared" si="0"/>
        <v>405430</v>
      </c>
    </row>
    <row r="72" spans="1:79" s="709" customFormat="1" ht="22.5" x14ac:dyDescent="0.25">
      <c r="A72" s="709">
        <v>1</v>
      </c>
      <c r="B72" s="221">
        <v>57</v>
      </c>
      <c r="C72" s="221" t="s">
        <v>38</v>
      </c>
      <c r="D72" s="691">
        <v>40009998</v>
      </c>
      <c r="E72" s="150" t="s">
        <v>2025</v>
      </c>
      <c r="F72" s="700" t="s">
        <v>46</v>
      </c>
      <c r="G72" s="151" t="s">
        <v>1956</v>
      </c>
      <c r="H72" s="151" t="s">
        <v>1960</v>
      </c>
      <c r="I72" s="700" t="s">
        <v>1958</v>
      </c>
      <c r="J72" s="125">
        <v>86087</v>
      </c>
      <c r="K72" s="125">
        <v>0</v>
      </c>
      <c r="L72" s="125">
        <v>0</v>
      </c>
      <c r="M72" s="125"/>
      <c r="N72" s="125"/>
      <c r="O72" s="125"/>
      <c r="P72" s="125"/>
      <c r="Q72" s="125"/>
      <c r="R72" s="125"/>
      <c r="S72" s="125"/>
      <c r="T72" s="125"/>
      <c r="U72" s="125"/>
      <c r="V72" s="125"/>
      <c r="W72" s="125"/>
      <c r="X72" s="125"/>
      <c r="Y72" s="125">
        <f t="shared" si="1"/>
        <v>0</v>
      </c>
      <c r="Z72" s="125">
        <v>2061</v>
      </c>
      <c r="AA72" s="126">
        <v>1</v>
      </c>
      <c r="AB72" s="127">
        <v>44207</v>
      </c>
      <c r="AC72" s="128">
        <v>44214</v>
      </c>
      <c r="AD72" s="125"/>
      <c r="AE72" s="129"/>
      <c r="AF72" s="153"/>
      <c r="AG72" s="128"/>
      <c r="AH72" s="125"/>
      <c r="AI72" s="129"/>
      <c r="AJ72" s="153"/>
      <c r="AK72" s="128"/>
      <c r="AL72" s="125"/>
      <c r="AM72" s="129"/>
      <c r="AN72" s="128"/>
      <c r="AO72" s="128"/>
      <c r="AP72" s="125"/>
      <c r="AQ72" s="129"/>
      <c r="AR72" s="153"/>
      <c r="AS72" s="128"/>
      <c r="AT72" s="125"/>
      <c r="AU72" s="129"/>
      <c r="AV72" s="153"/>
      <c r="AW72" s="128"/>
      <c r="AX72" s="125"/>
      <c r="AY72" s="129"/>
      <c r="AZ72" s="153"/>
      <c r="BA72" s="128"/>
      <c r="BB72" s="125"/>
      <c r="BC72" s="129"/>
      <c r="BD72" s="153"/>
      <c r="BE72" s="128"/>
      <c r="BF72" s="125"/>
      <c r="BG72" s="129"/>
      <c r="BH72" s="153"/>
      <c r="BI72" s="128"/>
      <c r="BJ72" s="125"/>
      <c r="BK72" s="129"/>
      <c r="BL72" s="153"/>
      <c r="BM72" s="128"/>
      <c r="BN72" s="129"/>
      <c r="BO72" s="129"/>
      <c r="BP72" s="153"/>
      <c r="BQ72" s="128"/>
      <c r="BR72" s="125"/>
      <c r="BS72" s="129"/>
      <c r="BT72" s="153"/>
      <c r="BU72" s="128"/>
      <c r="BV72" s="125"/>
      <c r="BW72" s="129"/>
      <c r="BX72" s="153"/>
      <c r="BY72" s="128"/>
      <c r="BZ72" s="712">
        <f t="shared" si="2"/>
        <v>2061</v>
      </c>
      <c r="CA72" s="415">
        <f t="shared" si="0"/>
        <v>2061</v>
      </c>
    </row>
    <row r="73" spans="1:79" s="709" customFormat="1" ht="22.5" x14ac:dyDescent="0.25">
      <c r="A73" s="709">
        <v>1</v>
      </c>
      <c r="B73" s="221">
        <v>58</v>
      </c>
      <c r="C73" s="221" t="s">
        <v>38</v>
      </c>
      <c r="D73" s="691">
        <v>40020480</v>
      </c>
      <c r="E73" s="150" t="s">
        <v>2026</v>
      </c>
      <c r="F73" s="700" t="s">
        <v>45</v>
      </c>
      <c r="G73" s="151" t="s">
        <v>1956</v>
      </c>
      <c r="H73" s="151" t="s">
        <v>1960</v>
      </c>
      <c r="I73" s="700" t="s">
        <v>1961</v>
      </c>
      <c r="J73" s="125">
        <v>2901472</v>
      </c>
      <c r="K73" s="125">
        <v>0</v>
      </c>
      <c r="L73" s="125">
        <v>2541566</v>
      </c>
      <c r="M73" s="125"/>
      <c r="N73" s="125"/>
      <c r="O73" s="125"/>
      <c r="P73" s="125"/>
      <c r="Q73" s="125">
        <v>42981</v>
      </c>
      <c r="R73" s="125">
        <v>180796</v>
      </c>
      <c r="S73" s="125"/>
      <c r="T73" s="125"/>
      <c r="U73" s="125"/>
      <c r="V73" s="125"/>
      <c r="W73" s="125"/>
      <c r="X73" s="125"/>
      <c r="Y73" s="125">
        <f t="shared" si="1"/>
        <v>223777</v>
      </c>
      <c r="Z73" s="125">
        <v>1002</v>
      </c>
      <c r="AA73" s="126">
        <v>1</v>
      </c>
      <c r="AB73" s="127">
        <v>44207</v>
      </c>
      <c r="AC73" s="128">
        <v>44214</v>
      </c>
      <c r="AD73" s="125"/>
      <c r="AE73" s="129"/>
      <c r="AF73" s="153"/>
      <c r="AG73" s="128"/>
      <c r="AH73" s="125"/>
      <c r="AI73" s="129"/>
      <c r="AJ73" s="153"/>
      <c r="AK73" s="128"/>
      <c r="AL73" s="125"/>
      <c r="AM73" s="129"/>
      <c r="AN73" s="128"/>
      <c r="AO73" s="128"/>
      <c r="AP73" s="125"/>
      <c r="AQ73" s="129"/>
      <c r="AR73" s="153"/>
      <c r="AS73" s="128"/>
      <c r="AT73" s="125"/>
      <c r="AU73" s="129"/>
      <c r="AV73" s="153"/>
      <c r="AW73" s="128"/>
      <c r="AX73" s="125">
        <v>520000</v>
      </c>
      <c r="AY73" s="129">
        <v>18</v>
      </c>
      <c r="AZ73" s="128">
        <v>44308</v>
      </c>
      <c r="BA73" s="128">
        <v>44314</v>
      </c>
      <c r="BB73" s="125"/>
      <c r="BC73" s="129"/>
      <c r="BD73" s="153"/>
      <c r="BE73" s="128"/>
      <c r="BF73" s="125"/>
      <c r="BG73" s="129"/>
      <c r="BH73" s="153"/>
      <c r="BI73" s="128"/>
      <c r="BJ73" s="125"/>
      <c r="BK73" s="129"/>
      <c r="BL73" s="153"/>
      <c r="BM73" s="128"/>
      <c r="BN73" s="129">
        <v>520000</v>
      </c>
      <c r="BO73" s="129">
        <v>28</v>
      </c>
      <c r="BP73" s="127">
        <v>44363</v>
      </c>
      <c r="BQ73" s="128"/>
      <c r="BR73" s="125"/>
      <c r="BS73" s="129"/>
      <c r="BT73" s="153"/>
      <c r="BU73" s="128"/>
      <c r="BV73" s="125"/>
      <c r="BW73" s="129"/>
      <c r="BX73" s="153"/>
      <c r="BY73" s="128"/>
      <c r="BZ73" s="712">
        <f t="shared" si="2"/>
        <v>1041002</v>
      </c>
      <c r="CA73" s="415">
        <f t="shared" si="0"/>
        <v>817225</v>
      </c>
    </row>
    <row r="74" spans="1:79" s="709" customFormat="1" ht="22.5" x14ac:dyDescent="0.25">
      <c r="A74" s="709">
        <v>1</v>
      </c>
      <c r="B74" s="221">
        <v>59</v>
      </c>
      <c r="C74" s="221" t="s">
        <v>38</v>
      </c>
      <c r="D74" s="691">
        <v>30485034</v>
      </c>
      <c r="E74" s="150" t="s">
        <v>2027</v>
      </c>
      <c r="F74" s="700" t="s">
        <v>45</v>
      </c>
      <c r="G74" s="151" t="s">
        <v>1963</v>
      </c>
      <c r="H74" s="151" t="s">
        <v>1964</v>
      </c>
      <c r="I74" s="700" t="s">
        <v>1958</v>
      </c>
      <c r="J74" s="125">
        <v>1988938</v>
      </c>
      <c r="K74" s="125">
        <v>1561591</v>
      </c>
      <c r="L74" s="125">
        <v>1</v>
      </c>
      <c r="M74" s="125"/>
      <c r="N74" s="125"/>
      <c r="O74" s="125"/>
      <c r="P74" s="125"/>
      <c r="Q74" s="125"/>
      <c r="R74" s="125"/>
      <c r="S74" s="125"/>
      <c r="T74" s="125"/>
      <c r="U74" s="125"/>
      <c r="V74" s="125"/>
      <c r="W74" s="125"/>
      <c r="X74" s="125"/>
      <c r="Y74" s="125">
        <f t="shared" si="1"/>
        <v>0</v>
      </c>
      <c r="Z74" s="125">
        <v>102000</v>
      </c>
      <c r="AA74" s="126">
        <v>1</v>
      </c>
      <c r="AB74" s="127">
        <v>44207</v>
      </c>
      <c r="AC74" s="128">
        <v>44214</v>
      </c>
      <c r="AD74" s="125"/>
      <c r="AE74" s="129"/>
      <c r="AF74" s="153"/>
      <c r="AG74" s="128"/>
      <c r="AH74" s="125"/>
      <c r="AI74" s="129"/>
      <c r="AJ74" s="153"/>
      <c r="AK74" s="128"/>
      <c r="AL74" s="125"/>
      <c r="AM74" s="129"/>
      <c r="AN74" s="128"/>
      <c r="AO74" s="128"/>
      <c r="AP74" s="125"/>
      <c r="AQ74" s="129"/>
      <c r="AR74" s="153"/>
      <c r="AS74" s="128"/>
      <c r="AT74" s="125"/>
      <c r="AU74" s="129"/>
      <c r="AV74" s="153"/>
      <c r="AW74" s="128"/>
      <c r="AX74" s="125"/>
      <c r="AY74" s="129"/>
      <c r="AZ74" s="153"/>
      <c r="BA74" s="128"/>
      <c r="BB74" s="125"/>
      <c r="BC74" s="129"/>
      <c r="BD74" s="153"/>
      <c r="BE74" s="128"/>
      <c r="BF74" s="125"/>
      <c r="BG74" s="129"/>
      <c r="BH74" s="153"/>
      <c r="BI74" s="128"/>
      <c r="BJ74" s="125"/>
      <c r="BK74" s="129"/>
      <c r="BL74" s="153"/>
      <c r="BM74" s="128"/>
      <c r="BN74" s="129">
        <v>-100000</v>
      </c>
      <c r="BO74" s="129">
        <v>28</v>
      </c>
      <c r="BP74" s="127">
        <v>44363</v>
      </c>
      <c r="BQ74" s="128"/>
      <c r="BR74" s="125"/>
      <c r="BS74" s="129"/>
      <c r="BT74" s="153"/>
      <c r="BU74" s="128"/>
      <c r="BV74" s="125"/>
      <c r="BW74" s="129"/>
      <c r="BX74" s="153"/>
      <c r="BY74" s="128"/>
      <c r="BZ74" s="712">
        <f t="shared" si="2"/>
        <v>2000</v>
      </c>
      <c r="CA74" s="415">
        <f t="shared" si="0"/>
        <v>2000</v>
      </c>
    </row>
    <row r="75" spans="1:79" s="709" customFormat="1" ht="22.5" x14ac:dyDescent="0.25">
      <c r="A75" s="709">
        <v>1</v>
      </c>
      <c r="B75" s="221">
        <v>60</v>
      </c>
      <c r="C75" s="221" t="s">
        <v>40</v>
      </c>
      <c r="D75" s="691">
        <v>40010261</v>
      </c>
      <c r="E75" s="150" t="s">
        <v>2028</v>
      </c>
      <c r="F75" s="700" t="s">
        <v>45</v>
      </c>
      <c r="G75" s="151" t="s">
        <v>1963</v>
      </c>
      <c r="H75" s="151" t="s">
        <v>2014</v>
      </c>
      <c r="I75" s="700" t="s">
        <v>1958</v>
      </c>
      <c r="J75" s="125">
        <v>54409</v>
      </c>
      <c r="K75" s="125">
        <v>0</v>
      </c>
      <c r="L75" s="125">
        <v>14415</v>
      </c>
      <c r="M75" s="125"/>
      <c r="N75" s="125"/>
      <c r="O75" s="125">
        <v>14414</v>
      </c>
      <c r="P75" s="125"/>
      <c r="Q75" s="125"/>
      <c r="R75" s="125"/>
      <c r="S75" s="125"/>
      <c r="T75" s="125"/>
      <c r="U75" s="125"/>
      <c r="V75" s="125"/>
      <c r="W75" s="125"/>
      <c r="X75" s="125"/>
      <c r="Y75" s="125">
        <f t="shared" si="1"/>
        <v>14414</v>
      </c>
      <c r="Z75" s="125">
        <f>9560</f>
        <v>9560</v>
      </c>
      <c r="AA75" s="126">
        <v>3</v>
      </c>
      <c r="AB75" s="127">
        <v>44217</v>
      </c>
      <c r="AC75" s="128">
        <v>44221</v>
      </c>
      <c r="AD75" s="125"/>
      <c r="AE75" s="129"/>
      <c r="AF75" s="153"/>
      <c r="AG75" s="128"/>
      <c r="AH75" s="125">
        <v>30000</v>
      </c>
      <c r="AI75" s="129">
        <v>9</v>
      </c>
      <c r="AJ75" s="128">
        <v>44244</v>
      </c>
      <c r="AK75" s="128">
        <v>44249</v>
      </c>
      <c r="AL75" s="125"/>
      <c r="AM75" s="129"/>
      <c r="AN75" s="128"/>
      <c r="AO75" s="128"/>
      <c r="AP75" s="125"/>
      <c r="AQ75" s="129"/>
      <c r="AR75" s="153"/>
      <c r="AS75" s="128"/>
      <c r="AT75" s="125"/>
      <c r="AU75" s="129"/>
      <c r="AV75" s="153"/>
      <c r="AW75" s="128"/>
      <c r="AX75" s="125"/>
      <c r="AY75" s="129"/>
      <c r="AZ75" s="153"/>
      <c r="BA75" s="128"/>
      <c r="BB75" s="125"/>
      <c r="BC75" s="129"/>
      <c r="BD75" s="153"/>
      <c r="BE75" s="128"/>
      <c r="BF75" s="125"/>
      <c r="BG75" s="129"/>
      <c r="BH75" s="153"/>
      <c r="BI75" s="128"/>
      <c r="BJ75" s="125"/>
      <c r="BK75" s="129"/>
      <c r="BL75" s="153"/>
      <c r="BM75" s="128"/>
      <c r="BN75" s="129"/>
      <c r="BO75" s="129"/>
      <c r="BP75" s="153"/>
      <c r="BQ75" s="128"/>
      <c r="BR75" s="125"/>
      <c r="BS75" s="129"/>
      <c r="BT75" s="153"/>
      <c r="BU75" s="128"/>
      <c r="BV75" s="125"/>
      <c r="BW75" s="129"/>
      <c r="BX75" s="153"/>
      <c r="BY75" s="128"/>
      <c r="BZ75" s="712">
        <f t="shared" si="2"/>
        <v>39560</v>
      </c>
      <c r="CA75" s="415">
        <f t="shared" si="0"/>
        <v>25146</v>
      </c>
    </row>
    <row r="76" spans="1:79" s="709" customFormat="1" ht="22.5" x14ac:dyDescent="0.25">
      <c r="A76" s="709">
        <v>1</v>
      </c>
      <c r="B76" s="221">
        <v>61</v>
      </c>
      <c r="C76" s="221" t="s">
        <v>40</v>
      </c>
      <c r="D76" s="691">
        <v>30483861</v>
      </c>
      <c r="E76" s="150" t="s">
        <v>2029</v>
      </c>
      <c r="F76" s="700" t="s">
        <v>45</v>
      </c>
      <c r="G76" s="151" t="s">
        <v>1963</v>
      </c>
      <c r="H76" s="151" t="s">
        <v>2014</v>
      </c>
      <c r="I76" s="700" t="s">
        <v>1958</v>
      </c>
      <c r="J76" s="125">
        <v>118340</v>
      </c>
      <c r="K76" s="125">
        <v>0</v>
      </c>
      <c r="L76" s="125">
        <v>18103</v>
      </c>
      <c r="M76" s="125"/>
      <c r="N76" s="125"/>
      <c r="O76" s="125">
        <v>10000</v>
      </c>
      <c r="P76" s="125"/>
      <c r="Q76" s="125"/>
      <c r="R76" s="125"/>
      <c r="S76" s="125"/>
      <c r="T76" s="125"/>
      <c r="U76" s="125"/>
      <c r="V76" s="125"/>
      <c r="W76" s="125"/>
      <c r="X76" s="125"/>
      <c r="Y76" s="125">
        <f t="shared" si="1"/>
        <v>10000</v>
      </c>
      <c r="Z76" s="125">
        <f>9237</f>
        <v>9237</v>
      </c>
      <c r="AA76" s="126">
        <v>3</v>
      </c>
      <c r="AB76" s="127">
        <v>44217</v>
      </c>
      <c r="AC76" s="128">
        <v>44221</v>
      </c>
      <c r="AD76" s="125"/>
      <c r="AE76" s="129"/>
      <c r="AF76" s="153"/>
      <c r="AG76" s="128"/>
      <c r="AH76" s="125">
        <v>30000</v>
      </c>
      <c r="AI76" s="129">
        <v>9</v>
      </c>
      <c r="AJ76" s="128">
        <v>44244</v>
      </c>
      <c r="AK76" s="128">
        <v>44249</v>
      </c>
      <c r="AL76" s="125"/>
      <c r="AM76" s="129"/>
      <c r="AN76" s="128"/>
      <c r="AO76" s="128"/>
      <c r="AP76" s="125"/>
      <c r="AQ76" s="129"/>
      <c r="AR76" s="153"/>
      <c r="AS76" s="128"/>
      <c r="AT76" s="125"/>
      <c r="AU76" s="129"/>
      <c r="AV76" s="153"/>
      <c r="AW76" s="128"/>
      <c r="AX76" s="125"/>
      <c r="AY76" s="129"/>
      <c r="AZ76" s="153"/>
      <c r="BA76" s="128"/>
      <c r="BB76" s="125"/>
      <c r="BC76" s="129"/>
      <c r="BD76" s="153"/>
      <c r="BE76" s="128"/>
      <c r="BF76" s="125"/>
      <c r="BG76" s="129"/>
      <c r="BH76" s="153"/>
      <c r="BI76" s="128"/>
      <c r="BJ76" s="125"/>
      <c r="BK76" s="129"/>
      <c r="BL76" s="153"/>
      <c r="BM76" s="128"/>
      <c r="BN76" s="129"/>
      <c r="BO76" s="129"/>
      <c r="BP76" s="153"/>
      <c r="BQ76" s="128"/>
      <c r="BR76" s="125"/>
      <c r="BS76" s="129"/>
      <c r="BT76" s="153"/>
      <c r="BU76" s="128"/>
      <c r="BV76" s="125"/>
      <c r="BW76" s="129"/>
      <c r="BX76" s="153"/>
      <c r="BY76" s="128"/>
      <c r="BZ76" s="712">
        <f t="shared" si="2"/>
        <v>39237</v>
      </c>
      <c r="CA76" s="415">
        <f t="shared" si="0"/>
        <v>29237</v>
      </c>
    </row>
    <row r="77" spans="1:79" s="709" customFormat="1" ht="22.5" x14ac:dyDescent="0.25">
      <c r="A77" s="709">
        <v>1</v>
      </c>
      <c r="B77" s="221">
        <v>62</v>
      </c>
      <c r="C77" s="221" t="s">
        <v>38</v>
      </c>
      <c r="D77" s="691">
        <v>40012128</v>
      </c>
      <c r="E77" s="150" t="s">
        <v>2030</v>
      </c>
      <c r="F77" s="700" t="s">
        <v>45</v>
      </c>
      <c r="G77" s="151" t="s">
        <v>1956</v>
      </c>
      <c r="H77" s="151" t="s">
        <v>1960</v>
      </c>
      <c r="I77" s="700" t="s">
        <v>1961</v>
      </c>
      <c r="J77" s="125">
        <v>2548731</v>
      </c>
      <c r="K77" s="125">
        <v>0</v>
      </c>
      <c r="L77" s="125">
        <v>1385090</v>
      </c>
      <c r="M77" s="125"/>
      <c r="N77" s="125"/>
      <c r="O77" s="125"/>
      <c r="P77" s="125"/>
      <c r="Q77" s="125"/>
      <c r="R77" s="125"/>
      <c r="S77" s="125"/>
      <c r="T77" s="125"/>
      <c r="U77" s="125"/>
      <c r="V77" s="125"/>
      <c r="W77" s="125"/>
      <c r="X77" s="125"/>
      <c r="Y77" s="125">
        <f t="shared" si="1"/>
        <v>0</v>
      </c>
      <c r="Z77" s="125">
        <v>4000</v>
      </c>
      <c r="AA77" s="126">
        <v>3</v>
      </c>
      <c r="AB77" s="127">
        <v>44217</v>
      </c>
      <c r="AC77" s="128">
        <v>44221</v>
      </c>
      <c r="AD77" s="125"/>
      <c r="AE77" s="129"/>
      <c r="AF77" s="153"/>
      <c r="AG77" s="128"/>
      <c r="AH77" s="125"/>
      <c r="AI77" s="129"/>
      <c r="AJ77" s="153"/>
      <c r="AK77" s="128"/>
      <c r="AL77" s="125"/>
      <c r="AM77" s="129"/>
      <c r="AN77" s="128"/>
      <c r="AO77" s="128"/>
      <c r="AP77" s="125"/>
      <c r="AQ77" s="129"/>
      <c r="AR77" s="153"/>
      <c r="AS77" s="128"/>
      <c r="AT77" s="125"/>
      <c r="AU77" s="129"/>
      <c r="AV77" s="153"/>
      <c r="AW77" s="128"/>
      <c r="AX77" s="125"/>
      <c r="AY77" s="129"/>
      <c r="AZ77" s="153"/>
      <c r="BA77" s="128"/>
      <c r="BB77" s="125"/>
      <c r="BC77" s="129"/>
      <c r="BD77" s="153"/>
      <c r="BE77" s="128"/>
      <c r="BF77" s="125"/>
      <c r="BG77" s="129"/>
      <c r="BH77" s="153"/>
      <c r="BI77" s="128"/>
      <c r="BJ77" s="125"/>
      <c r="BK77" s="129"/>
      <c r="BL77" s="153"/>
      <c r="BM77" s="128"/>
      <c r="BN77" s="129"/>
      <c r="BO77" s="129"/>
      <c r="BP77" s="153"/>
      <c r="BQ77" s="128"/>
      <c r="BR77" s="125"/>
      <c r="BS77" s="129"/>
      <c r="BT77" s="153"/>
      <c r="BU77" s="128"/>
      <c r="BV77" s="125"/>
      <c r="BW77" s="129"/>
      <c r="BX77" s="153"/>
      <c r="BY77" s="128"/>
      <c r="BZ77" s="712">
        <f t="shared" si="2"/>
        <v>4000</v>
      </c>
      <c r="CA77" s="415">
        <f t="shared" si="0"/>
        <v>4000</v>
      </c>
    </row>
    <row r="78" spans="1:79" s="709" customFormat="1" ht="22.5" x14ac:dyDescent="0.25">
      <c r="A78" s="709">
        <v>1</v>
      </c>
      <c r="B78" s="221">
        <v>63</v>
      </c>
      <c r="C78" s="221" t="s">
        <v>38</v>
      </c>
      <c r="D78" s="691">
        <v>30081014</v>
      </c>
      <c r="E78" s="150" t="s">
        <v>2031</v>
      </c>
      <c r="F78" s="700" t="s">
        <v>45</v>
      </c>
      <c r="G78" s="151" t="s">
        <v>1956</v>
      </c>
      <c r="H78" s="151" t="s">
        <v>1960</v>
      </c>
      <c r="I78" s="700" t="s">
        <v>1961</v>
      </c>
      <c r="J78" s="125">
        <v>737218</v>
      </c>
      <c r="K78" s="125">
        <v>0</v>
      </c>
      <c r="L78" s="125">
        <v>731954</v>
      </c>
      <c r="M78" s="125"/>
      <c r="N78" s="125"/>
      <c r="O78" s="125"/>
      <c r="P78" s="125"/>
      <c r="Q78" s="125"/>
      <c r="R78" s="125"/>
      <c r="S78" s="125"/>
      <c r="T78" s="125"/>
      <c r="U78" s="125"/>
      <c r="V78" s="125"/>
      <c r="W78" s="125"/>
      <c r="X78" s="125"/>
      <c r="Y78" s="125">
        <f t="shared" si="1"/>
        <v>0</v>
      </c>
      <c r="Z78" s="125">
        <v>2200</v>
      </c>
      <c r="AA78" s="126">
        <v>3</v>
      </c>
      <c r="AB78" s="127">
        <v>44217</v>
      </c>
      <c r="AC78" s="128">
        <v>44221</v>
      </c>
      <c r="AD78" s="125"/>
      <c r="AE78" s="129"/>
      <c r="AF78" s="153"/>
      <c r="AG78" s="128"/>
      <c r="AH78" s="125"/>
      <c r="AI78" s="129"/>
      <c r="AJ78" s="153"/>
      <c r="AK78" s="128"/>
      <c r="AL78" s="125"/>
      <c r="AM78" s="129"/>
      <c r="AN78" s="128"/>
      <c r="AO78" s="128"/>
      <c r="AP78" s="125"/>
      <c r="AQ78" s="129"/>
      <c r="AR78" s="153"/>
      <c r="AS78" s="128"/>
      <c r="AT78" s="125"/>
      <c r="AU78" s="129"/>
      <c r="AV78" s="153"/>
      <c r="AW78" s="128"/>
      <c r="AX78" s="125"/>
      <c r="AY78" s="129"/>
      <c r="AZ78" s="153"/>
      <c r="BA78" s="128"/>
      <c r="BB78" s="125"/>
      <c r="BC78" s="129"/>
      <c r="BD78" s="153"/>
      <c r="BE78" s="128"/>
      <c r="BF78" s="125"/>
      <c r="BG78" s="129"/>
      <c r="BH78" s="153"/>
      <c r="BI78" s="128"/>
      <c r="BJ78" s="125"/>
      <c r="BK78" s="129"/>
      <c r="BL78" s="153"/>
      <c r="BM78" s="128"/>
      <c r="BN78" s="129"/>
      <c r="BO78" s="129"/>
      <c r="BP78" s="153"/>
      <c r="BQ78" s="128"/>
      <c r="BR78" s="125"/>
      <c r="BS78" s="129"/>
      <c r="BT78" s="153"/>
      <c r="BU78" s="128"/>
      <c r="BV78" s="125"/>
      <c r="BW78" s="129"/>
      <c r="BX78" s="153"/>
      <c r="BY78" s="128"/>
      <c r="BZ78" s="712">
        <f t="shared" si="2"/>
        <v>2200</v>
      </c>
      <c r="CA78" s="415">
        <f t="shared" si="0"/>
        <v>2200</v>
      </c>
    </row>
    <row r="79" spans="1:79" s="709" customFormat="1" ht="22.5" x14ac:dyDescent="0.25">
      <c r="A79" s="709">
        <v>1</v>
      </c>
      <c r="B79" s="221">
        <v>64</v>
      </c>
      <c r="C79" s="221" t="s">
        <v>38</v>
      </c>
      <c r="D79" s="691">
        <v>40000684</v>
      </c>
      <c r="E79" s="150" t="s">
        <v>2032</v>
      </c>
      <c r="F79" s="700" t="s">
        <v>45</v>
      </c>
      <c r="G79" s="151" t="s">
        <v>1963</v>
      </c>
      <c r="H79" s="151" t="s">
        <v>1964</v>
      </c>
      <c r="I79" s="700" t="s">
        <v>1961</v>
      </c>
      <c r="J79" s="125">
        <v>1151250</v>
      </c>
      <c r="K79" s="125">
        <v>0</v>
      </c>
      <c r="L79" s="125">
        <v>459250</v>
      </c>
      <c r="M79" s="125"/>
      <c r="N79" s="125"/>
      <c r="O79" s="125"/>
      <c r="P79" s="125"/>
      <c r="Q79" s="125"/>
      <c r="R79" s="125"/>
      <c r="S79" s="125"/>
      <c r="T79" s="125"/>
      <c r="U79" s="125"/>
      <c r="V79" s="125"/>
      <c r="W79" s="125"/>
      <c r="X79" s="125"/>
      <c r="Y79" s="125">
        <f t="shared" si="1"/>
        <v>0</v>
      </c>
      <c r="Z79" s="125">
        <v>3000</v>
      </c>
      <c r="AA79" s="126">
        <v>3</v>
      </c>
      <c r="AB79" s="127">
        <v>44217</v>
      </c>
      <c r="AC79" s="128">
        <v>44221</v>
      </c>
      <c r="AD79" s="125"/>
      <c r="AE79" s="129"/>
      <c r="AF79" s="153"/>
      <c r="AG79" s="128"/>
      <c r="AH79" s="125"/>
      <c r="AI79" s="129"/>
      <c r="AJ79" s="153"/>
      <c r="AK79" s="128"/>
      <c r="AL79" s="125"/>
      <c r="AM79" s="129"/>
      <c r="AN79" s="128"/>
      <c r="AO79" s="128"/>
      <c r="AP79" s="125"/>
      <c r="AQ79" s="129"/>
      <c r="AR79" s="153"/>
      <c r="AS79" s="128"/>
      <c r="AT79" s="125"/>
      <c r="AU79" s="129"/>
      <c r="AV79" s="153"/>
      <c r="AW79" s="128"/>
      <c r="AX79" s="125"/>
      <c r="AY79" s="129"/>
      <c r="AZ79" s="153"/>
      <c r="BA79" s="128"/>
      <c r="BB79" s="125">
        <v>689000</v>
      </c>
      <c r="BC79" s="129">
        <v>23</v>
      </c>
      <c r="BD79" s="128">
        <v>44321</v>
      </c>
      <c r="BE79" s="128">
        <v>44326</v>
      </c>
      <c r="BF79" s="125"/>
      <c r="BG79" s="129"/>
      <c r="BH79" s="153"/>
      <c r="BI79" s="128"/>
      <c r="BJ79" s="125"/>
      <c r="BK79" s="129"/>
      <c r="BL79" s="153"/>
      <c r="BM79" s="128"/>
      <c r="BN79" s="129">
        <v>-580000</v>
      </c>
      <c r="BO79" s="129">
        <v>28</v>
      </c>
      <c r="BP79" s="127">
        <v>44363</v>
      </c>
      <c r="BQ79" s="128"/>
      <c r="BR79" s="125"/>
      <c r="BS79" s="129"/>
      <c r="BT79" s="153"/>
      <c r="BU79" s="128"/>
      <c r="BV79" s="125"/>
      <c r="BW79" s="129"/>
      <c r="BX79" s="153"/>
      <c r="BY79" s="128"/>
      <c r="BZ79" s="712">
        <f t="shared" si="2"/>
        <v>112000</v>
      </c>
      <c r="CA79" s="415">
        <f t="shared" si="0"/>
        <v>112000</v>
      </c>
    </row>
    <row r="80" spans="1:79" s="709" customFormat="1" ht="22.5" x14ac:dyDescent="0.25">
      <c r="A80" s="709">
        <v>1</v>
      </c>
      <c r="B80" s="221">
        <v>65</v>
      </c>
      <c r="C80" s="221" t="s">
        <v>38</v>
      </c>
      <c r="D80" s="691">
        <v>30086663</v>
      </c>
      <c r="E80" s="150" t="s">
        <v>2033</v>
      </c>
      <c r="F80" s="700" t="s">
        <v>45</v>
      </c>
      <c r="G80" s="151" t="s">
        <v>903</v>
      </c>
      <c r="H80" s="151" t="s">
        <v>226</v>
      </c>
      <c r="I80" s="700" t="s">
        <v>1958</v>
      </c>
      <c r="J80" s="125">
        <v>7211239</v>
      </c>
      <c r="K80" s="125">
        <v>2967798</v>
      </c>
      <c r="L80" s="125">
        <v>0</v>
      </c>
      <c r="M80" s="125">
        <v>68932</v>
      </c>
      <c r="N80" s="125"/>
      <c r="O80" s="125">
        <v>65126</v>
      </c>
      <c r="P80" s="125">
        <v>58288</v>
      </c>
      <c r="Q80" s="125">
        <v>63503</v>
      </c>
      <c r="R80" s="125">
        <v>49362</v>
      </c>
      <c r="S80" s="125"/>
      <c r="T80" s="125"/>
      <c r="U80" s="125"/>
      <c r="V80" s="125"/>
      <c r="W80" s="125"/>
      <c r="X80" s="125"/>
      <c r="Y80" s="125">
        <f t="shared" si="1"/>
        <v>305211</v>
      </c>
      <c r="Z80" s="125">
        <v>1833082</v>
      </c>
      <c r="AA80" s="126">
        <v>3</v>
      </c>
      <c r="AB80" s="127">
        <v>44217</v>
      </c>
      <c r="AC80" s="128">
        <v>44221</v>
      </c>
      <c r="AD80" s="125"/>
      <c r="AE80" s="129"/>
      <c r="AF80" s="153"/>
      <c r="AG80" s="128"/>
      <c r="AH80" s="125"/>
      <c r="AI80" s="129"/>
      <c r="AJ80" s="153"/>
      <c r="AK80" s="128"/>
      <c r="AL80" s="125"/>
      <c r="AM80" s="129"/>
      <c r="AN80" s="128"/>
      <c r="AO80" s="128"/>
      <c r="AP80" s="125"/>
      <c r="AQ80" s="129"/>
      <c r="AR80" s="153"/>
      <c r="AS80" s="128"/>
      <c r="AT80" s="125"/>
      <c r="AU80" s="129"/>
      <c r="AV80" s="153"/>
      <c r="AW80" s="128"/>
      <c r="AX80" s="125"/>
      <c r="AY80" s="129"/>
      <c r="AZ80" s="153"/>
      <c r="BA80" s="128"/>
      <c r="BB80" s="125"/>
      <c r="BC80" s="129"/>
      <c r="BD80" s="153"/>
      <c r="BE80" s="128"/>
      <c r="BF80" s="125"/>
      <c r="BG80" s="129"/>
      <c r="BH80" s="153"/>
      <c r="BI80" s="128"/>
      <c r="BJ80" s="125"/>
      <c r="BK80" s="129"/>
      <c r="BL80" s="153"/>
      <c r="BM80" s="128"/>
      <c r="BN80" s="129"/>
      <c r="BO80" s="129"/>
      <c r="BP80" s="153"/>
      <c r="BQ80" s="128"/>
      <c r="BR80" s="125"/>
      <c r="BS80" s="129"/>
      <c r="BT80" s="153"/>
      <c r="BU80" s="128"/>
      <c r="BV80" s="125"/>
      <c r="BW80" s="129"/>
      <c r="BX80" s="153"/>
      <c r="BY80" s="128"/>
      <c r="BZ80" s="712">
        <f t="shared" si="2"/>
        <v>1833082</v>
      </c>
      <c r="CA80" s="415">
        <f t="shared" ref="CA80:CA141" si="3">+BZ80-Y80</f>
        <v>1527871</v>
      </c>
    </row>
    <row r="81" spans="1:79" s="709" customFormat="1" ht="22.5" x14ac:dyDescent="0.25">
      <c r="A81" s="709">
        <v>1</v>
      </c>
      <c r="B81" s="221">
        <v>66</v>
      </c>
      <c r="C81" s="221" t="s">
        <v>38</v>
      </c>
      <c r="D81" s="691">
        <v>30125908</v>
      </c>
      <c r="E81" s="150" t="s">
        <v>2034</v>
      </c>
      <c r="F81" s="700" t="s">
        <v>45</v>
      </c>
      <c r="G81" s="151" t="s">
        <v>1956</v>
      </c>
      <c r="H81" s="151" t="s">
        <v>1960</v>
      </c>
      <c r="I81" s="700" t="s">
        <v>1958</v>
      </c>
      <c r="J81" s="125">
        <v>3793948</v>
      </c>
      <c r="K81" s="125">
        <v>0</v>
      </c>
      <c r="L81" s="125">
        <v>3590189</v>
      </c>
      <c r="M81" s="125"/>
      <c r="N81" s="125"/>
      <c r="O81" s="125"/>
      <c r="P81" s="125"/>
      <c r="Q81" s="125"/>
      <c r="R81" s="125"/>
      <c r="S81" s="125"/>
      <c r="T81" s="125"/>
      <c r="U81" s="125"/>
      <c r="V81" s="125"/>
      <c r="W81" s="125"/>
      <c r="X81" s="125"/>
      <c r="Y81" s="125">
        <f t="shared" si="1"/>
        <v>0</v>
      </c>
      <c r="Z81" s="125">
        <v>203759</v>
      </c>
      <c r="AA81" s="126">
        <v>3</v>
      </c>
      <c r="AB81" s="127">
        <v>44217</v>
      </c>
      <c r="AC81" s="128">
        <v>44221</v>
      </c>
      <c r="AD81" s="125"/>
      <c r="AE81" s="129"/>
      <c r="AF81" s="153"/>
      <c r="AG81" s="128"/>
      <c r="AH81" s="125"/>
      <c r="AI81" s="129"/>
      <c r="AJ81" s="153"/>
      <c r="AK81" s="128"/>
      <c r="AL81" s="125"/>
      <c r="AM81" s="129"/>
      <c r="AN81" s="128"/>
      <c r="AO81" s="128"/>
      <c r="AP81" s="125"/>
      <c r="AQ81" s="129"/>
      <c r="AR81" s="153"/>
      <c r="AS81" s="128"/>
      <c r="AT81" s="125"/>
      <c r="AU81" s="129"/>
      <c r="AV81" s="153"/>
      <c r="AW81" s="128"/>
      <c r="AX81" s="125">
        <v>6510</v>
      </c>
      <c r="AY81" s="129">
        <v>18</v>
      </c>
      <c r="AZ81" s="128">
        <v>44308</v>
      </c>
      <c r="BA81" s="128">
        <v>44314</v>
      </c>
      <c r="BB81" s="125"/>
      <c r="BC81" s="129"/>
      <c r="BD81" s="153"/>
      <c r="BE81" s="128"/>
      <c r="BF81" s="125"/>
      <c r="BG81" s="129"/>
      <c r="BH81" s="153"/>
      <c r="BI81" s="128"/>
      <c r="BJ81" s="125"/>
      <c r="BK81" s="129"/>
      <c r="BL81" s="153"/>
      <c r="BM81" s="128"/>
      <c r="BN81" s="129"/>
      <c r="BO81" s="129"/>
      <c r="BP81" s="153"/>
      <c r="BQ81" s="128"/>
      <c r="BR81" s="125"/>
      <c r="BS81" s="129"/>
      <c r="BT81" s="153"/>
      <c r="BU81" s="128"/>
      <c r="BV81" s="125"/>
      <c r="BW81" s="129"/>
      <c r="BX81" s="153"/>
      <c r="BY81" s="128"/>
      <c r="BZ81" s="712">
        <f t="shared" ref="BZ81:BZ141" si="4">+Z81+AD81+AH81+AL81+BV81+AP81+AT81+AX81+BB81+BF81+BJ81+BN81+BR81</f>
        <v>210269</v>
      </c>
      <c r="CA81" s="415">
        <f t="shared" si="3"/>
        <v>210269</v>
      </c>
    </row>
    <row r="82" spans="1:79" s="709" customFormat="1" ht="22.5" x14ac:dyDescent="0.25">
      <c r="A82" s="709">
        <v>1</v>
      </c>
      <c r="B82" s="221">
        <v>67</v>
      </c>
      <c r="C82" s="221" t="s">
        <v>38</v>
      </c>
      <c r="D82" s="691">
        <v>30128661</v>
      </c>
      <c r="E82" s="150" t="s">
        <v>2035</v>
      </c>
      <c r="F82" s="700" t="s">
        <v>45</v>
      </c>
      <c r="G82" s="151" t="s">
        <v>1956</v>
      </c>
      <c r="H82" s="151" t="s">
        <v>1960</v>
      </c>
      <c r="I82" s="700" t="s">
        <v>1958</v>
      </c>
      <c r="J82" s="125">
        <v>7852437</v>
      </c>
      <c r="K82" s="125">
        <v>0</v>
      </c>
      <c r="L82" s="125">
        <v>6772727</v>
      </c>
      <c r="M82" s="125"/>
      <c r="N82" s="125"/>
      <c r="O82" s="125"/>
      <c r="P82" s="125"/>
      <c r="Q82" s="125"/>
      <c r="R82" s="125"/>
      <c r="S82" s="125"/>
      <c r="T82" s="125"/>
      <c r="U82" s="125"/>
      <c r="V82" s="125"/>
      <c r="W82" s="125"/>
      <c r="X82" s="125"/>
      <c r="Y82" s="125">
        <f t="shared" si="1"/>
        <v>0</v>
      </c>
      <c r="Z82" s="125">
        <v>1079710</v>
      </c>
      <c r="AA82" s="126">
        <v>3</v>
      </c>
      <c r="AB82" s="127">
        <v>44217</v>
      </c>
      <c r="AC82" s="128">
        <v>44221</v>
      </c>
      <c r="AD82" s="125"/>
      <c r="AE82" s="129"/>
      <c r="AF82" s="153"/>
      <c r="AG82" s="128"/>
      <c r="AH82" s="125"/>
      <c r="AI82" s="129"/>
      <c r="AJ82" s="153"/>
      <c r="AK82" s="128"/>
      <c r="AL82" s="125"/>
      <c r="AM82" s="129"/>
      <c r="AN82" s="128"/>
      <c r="AO82" s="128"/>
      <c r="AP82" s="125"/>
      <c r="AQ82" s="129"/>
      <c r="AR82" s="153"/>
      <c r="AS82" s="128"/>
      <c r="AT82" s="125"/>
      <c r="AU82" s="129"/>
      <c r="AV82" s="153"/>
      <c r="AW82" s="128"/>
      <c r="AX82" s="125"/>
      <c r="AY82" s="129"/>
      <c r="AZ82" s="153"/>
      <c r="BA82" s="128"/>
      <c r="BB82" s="125"/>
      <c r="BC82" s="129"/>
      <c r="BD82" s="153"/>
      <c r="BE82" s="128"/>
      <c r="BF82" s="125"/>
      <c r="BG82" s="129"/>
      <c r="BH82" s="153"/>
      <c r="BI82" s="128"/>
      <c r="BJ82" s="125"/>
      <c r="BK82" s="129"/>
      <c r="BL82" s="153"/>
      <c r="BM82" s="128"/>
      <c r="BN82" s="129"/>
      <c r="BO82" s="129"/>
      <c r="BP82" s="153"/>
      <c r="BQ82" s="128"/>
      <c r="BR82" s="125"/>
      <c r="BS82" s="129"/>
      <c r="BT82" s="153"/>
      <c r="BU82" s="128"/>
      <c r="BV82" s="125"/>
      <c r="BW82" s="129"/>
      <c r="BX82" s="153"/>
      <c r="BY82" s="128"/>
      <c r="BZ82" s="712">
        <f t="shared" si="4"/>
        <v>1079710</v>
      </c>
      <c r="CA82" s="415">
        <f t="shared" si="3"/>
        <v>1079710</v>
      </c>
    </row>
    <row r="83" spans="1:79" s="709" customFormat="1" ht="22.5" x14ac:dyDescent="0.25">
      <c r="A83" s="709">
        <v>1</v>
      </c>
      <c r="B83" s="221">
        <v>68</v>
      </c>
      <c r="C83" s="221" t="s">
        <v>38</v>
      </c>
      <c r="D83" s="691">
        <v>30130781</v>
      </c>
      <c r="E83" s="150" t="s">
        <v>2036</v>
      </c>
      <c r="F83" s="700" t="s">
        <v>45</v>
      </c>
      <c r="G83" s="151" t="s">
        <v>1963</v>
      </c>
      <c r="H83" s="151" t="s">
        <v>1964</v>
      </c>
      <c r="I83" s="700" t="s">
        <v>1958</v>
      </c>
      <c r="J83" s="125">
        <v>6252523</v>
      </c>
      <c r="K83" s="125">
        <v>5727900</v>
      </c>
      <c r="L83" s="125">
        <v>0</v>
      </c>
      <c r="M83" s="125"/>
      <c r="N83" s="125"/>
      <c r="O83" s="125">
        <v>131023</v>
      </c>
      <c r="P83" s="125">
        <v>35950</v>
      </c>
      <c r="Q83" s="125"/>
      <c r="R83" s="125">
        <v>339634</v>
      </c>
      <c r="S83" s="125"/>
      <c r="T83" s="125"/>
      <c r="U83" s="125"/>
      <c r="V83" s="125"/>
      <c r="W83" s="125"/>
      <c r="X83" s="125"/>
      <c r="Y83" s="125">
        <f t="shared" si="1"/>
        <v>506607</v>
      </c>
      <c r="Z83" s="125">
        <v>524623</v>
      </c>
      <c r="AA83" s="126">
        <v>3</v>
      </c>
      <c r="AB83" s="127">
        <v>44217</v>
      </c>
      <c r="AC83" s="128">
        <v>44221</v>
      </c>
      <c r="AD83" s="125"/>
      <c r="AE83" s="129"/>
      <c r="AF83" s="153"/>
      <c r="AG83" s="128"/>
      <c r="AH83" s="125"/>
      <c r="AI83" s="129"/>
      <c r="AJ83" s="153"/>
      <c r="AK83" s="128"/>
      <c r="AL83" s="125"/>
      <c r="AM83" s="129"/>
      <c r="AN83" s="128"/>
      <c r="AO83" s="128"/>
      <c r="AP83" s="125"/>
      <c r="AQ83" s="129"/>
      <c r="AR83" s="153"/>
      <c r="AS83" s="128"/>
      <c r="AT83" s="125"/>
      <c r="AU83" s="129"/>
      <c r="AV83" s="153"/>
      <c r="AW83" s="128"/>
      <c r="AX83" s="125"/>
      <c r="AY83" s="129"/>
      <c r="AZ83" s="153"/>
      <c r="BA83" s="128"/>
      <c r="BB83" s="125"/>
      <c r="BC83" s="129"/>
      <c r="BD83" s="153"/>
      <c r="BE83" s="128"/>
      <c r="BF83" s="125"/>
      <c r="BG83" s="129"/>
      <c r="BH83" s="153"/>
      <c r="BI83" s="128"/>
      <c r="BJ83" s="125"/>
      <c r="BK83" s="129"/>
      <c r="BL83" s="153"/>
      <c r="BM83" s="128"/>
      <c r="BN83" s="129"/>
      <c r="BO83" s="129"/>
      <c r="BP83" s="153"/>
      <c r="BQ83" s="128"/>
      <c r="BR83" s="125"/>
      <c r="BS83" s="129"/>
      <c r="BT83" s="153"/>
      <c r="BU83" s="128"/>
      <c r="BV83" s="125"/>
      <c r="BW83" s="129"/>
      <c r="BX83" s="153"/>
      <c r="BY83" s="128"/>
      <c r="BZ83" s="712">
        <f t="shared" si="4"/>
        <v>524623</v>
      </c>
      <c r="CA83" s="415">
        <f t="shared" si="3"/>
        <v>18016</v>
      </c>
    </row>
    <row r="84" spans="1:79" s="709" customFormat="1" ht="22.5" x14ac:dyDescent="0.25">
      <c r="A84" s="709">
        <v>1</v>
      </c>
      <c r="B84" s="221">
        <v>69</v>
      </c>
      <c r="C84" s="221" t="s">
        <v>38</v>
      </c>
      <c r="D84" s="691">
        <v>30286673</v>
      </c>
      <c r="E84" s="150" t="s">
        <v>2037</v>
      </c>
      <c r="F84" s="700" t="s">
        <v>45</v>
      </c>
      <c r="G84" s="151" t="s">
        <v>1956</v>
      </c>
      <c r="H84" s="151" t="s">
        <v>1960</v>
      </c>
      <c r="I84" s="700" t="s">
        <v>1958</v>
      </c>
      <c r="J84" s="125">
        <v>14262353</v>
      </c>
      <c r="K84" s="125">
        <v>13612353</v>
      </c>
      <c r="L84" s="125">
        <v>250000</v>
      </c>
      <c r="M84" s="125"/>
      <c r="N84" s="125"/>
      <c r="O84" s="125">
        <v>7022</v>
      </c>
      <c r="P84" s="125"/>
      <c r="Q84" s="125"/>
      <c r="R84" s="125"/>
      <c r="S84" s="125"/>
      <c r="T84" s="125"/>
      <c r="U84" s="125"/>
      <c r="V84" s="125"/>
      <c r="W84" s="125"/>
      <c r="X84" s="125"/>
      <c r="Y84" s="125">
        <f t="shared" si="1"/>
        <v>7022</v>
      </c>
      <c r="Z84" s="125">
        <v>400000</v>
      </c>
      <c r="AA84" s="126">
        <v>3</v>
      </c>
      <c r="AB84" s="127">
        <v>44217</v>
      </c>
      <c r="AC84" s="128">
        <v>44221</v>
      </c>
      <c r="AD84" s="125"/>
      <c r="AE84" s="129"/>
      <c r="AF84" s="153"/>
      <c r="AG84" s="128"/>
      <c r="AH84" s="125"/>
      <c r="AI84" s="129"/>
      <c r="AJ84" s="153"/>
      <c r="AK84" s="128"/>
      <c r="AL84" s="125"/>
      <c r="AM84" s="129"/>
      <c r="AN84" s="128"/>
      <c r="AO84" s="128"/>
      <c r="AP84" s="125"/>
      <c r="AQ84" s="129"/>
      <c r="AR84" s="153"/>
      <c r="AS84" s="128"/>
      <c r="AT84" s="125"/>
      <c r="AU84" s="129"/>
      <c r="AV84" s="153"/>
      <c r="AW84" s="128"/>
      <c r="AX84" s="125"/>
      <c r="AY84" s="129"/>
      <c r="AZ84" s="153"/>
      <c r="BA84" s="128"/>
      <c r="BB84" s="125"/>
      <c r="BC84" s="129"/>
      <c r="BD84" s="153"/>
      <c r="BE84" s="128"/>
      <c r="BF84" s="125"/>
      <c r="BG84" s="129"/>
      <c r="BH84" s="153"/>
      <c r="BI84" s="128"/>
      <c r="BJ84" s="125"/>
      <c r="BK84" s="129"/>
      <c r="BL84" s="153"/>
      <c r="BM84" s="128"/>
      <c r="BN84" s="129"/>
      <c r="BO84" s="129"/>
      <c r="BP84" s="153"/>
      <c r="BQ84" s="128"/>
      <c r="BR84" s="125"/>
      <c r="BS84" s="129"/>
      <c r="BT84" s="153"/>
      <c r="BU84" s="128"/>
      <c r="BV84" s="125"/>
      <c r="BW84" s="129"/>
      <c r="BX84" s="153"/>
      <c r="BY84" s="128"/>
      <c r="BZ84" s="712">
        <f t="shared" si="4"/>
        <v>400000</v>
      </c>
      <c r="CA84" s="415">
        <f t="shared" si="3"/>
        <v>392978</v>
      </c>
    </row>
    <row r="85" spans="1:79" s="709" customFormat="1" ht="22.5" x14ac:dyDescent="0.25">
      <c r="A85" s="709">
        <v>1</v>
      </c>
      <c r="B85" s="221">
        <v>70</v>
      </c>
      <c r="C85" s="221" t="s">
        <v>38</v>
      </c>
      <c r="D85" s="691">
        <v>30305772</v>
      </c>
      <c r="E85" s="150" t="s">
        <v>2038</v>
      </c>
      <c r="F85" s="700" t="s">
        <v>45</v>
      </c>
      <c r="G85" s="151" t="s">
        <v>1969</v>
      </c>
      <c r="H85" s="151" t="s">
        <v>1970</v>
      </c>
      <c r="I85" s="700" t="s">
        <v>1958</v>
      </c>
      <c r="J85" s="125">
        <v>441816</v>
      </c>
      <c r="K85" s="125">
        <v>0</v>
      </c>
      <c r="L85" s="125">
        <v>371264</v>
      </c>
      <c r="M85" s="125"/>
      <c r="N85" s="125"/>
      <c r="O85" s="125"/>
      <c r="P85" s="125"/>
      <c r="Q85" s="125"/>
      <c r="R85" s="125"/>
      <c r="S85" s="125"/>
      <c r="T85" s="125"/>
      <c r="U85" s="125"/>
      <c r="V85" s="125"/>
      <c r="W85" s="125"/>
      <c r="X85" s="125"/>
      <c r="Y85" s="125">
        <f t="shared" si="1"/>
        <v>0</v>
      </c>
      <c r="Z85" s="125">
        <v>70552</v>
      </c>
      <c r="AA85" s="126">
        <v>3</v>
      </c>
      <c r="AB85" s="127">
        <v>44217</v>
      </c>
      <c r="AC85" s="128">
        <v>44221</v>
      </c>
      <c r="AD85" s="125"/>
      <c r="AE85" s="129"/>
      <c r="AF85" s="153"/>
      <c r="AG85" s="128"/>
      <c r="AH85" s="125"/>
      <c r="AI85" s="129"/>
      <c r="AJ85" s="153"/>
      <c r="AK85" s="128"/>
      <c r="AL85" s="125"/>
      <c r="AM85" s="129"/>
      <c r="AN85" s="128"/>
      <c r="AO85" s="128"/>
      <c r="AP85" s="125"/>
      <c r="AQ85" s="129"/>
      <c r="AR85" s="153"/>
      <c r="AS85" s="128"/>
      <c r="AT85" s="125"/>
      <c r="AU85" s="129"/>
      <c r="AV85" s="153"/>
      <c r="AW85" s="128"/>
      <c r="AX85" s="125"/>
      <c r="AY85" s="129"/>
      <c r="AZ85" s="153"/>
      <c r="BA85" s="128"/>
      <c r="BB85" s="125"/>
      <c r="BC85" s="129"/>
      <c r="BD85" s="153"/>
      <c r="BE85" s="128"/>
      <c r="BF85" s="125"/>
      <c r="BG85" s="129"/>
      <c r="BH85" s="153"/>
      <c r="BI85" s="128"/>
      <c r="BJ85" s="125"/>
      <c r="BK85" s="129"/>
      <c r="BL85" s="153"/>
      <c r="BM85" s="128"/>
      <c r="BN85" s="129"/>
      <c r="BO85" s="129"/>
      <c r="BP85" s="153"/>
      <c r="BQ85" s="128"/>
      <c r="BR85" s="125"/>
      <c r="BS85" s="129"/>
      <c r="BT85" s="153"/>
      <c r="BU85" s="128"/>
      <c r="BV85" s="125"/>
      <c r="BW85" s="129"/>
      <c r="BX85" s="153"/>
      <c r="BY85" s="128"/>
      <c r="BZ85" s="712">
        <f t="shared" si="4"/>
        <v>70552</v>
      </c>
      <c r="CA85" s="415">
        <f t="shared" si="3"/>
        <v>70552</v>
      </c>
    </row>
    <row r="86" spans="1:79" s="709" customFormat="1" ht="22.5" x14ac:dyDescent="0.25">
      <c r="A86" s="709">
        <v>1</v>
      </c>
      <c r="B86" s="221">
        <v>71</v>
      </c>
      <c r="C86" s="221" t="s">
        <v>38</v>
      </c>
      <c r="D86" s="691">
        <v>30354829</v>
      </c>
      <c r="E86" s="150" t="s">
        <v>2039</v>
      </c>
      <c r="F86" s="700" t="s">
        <v>45</v>
      </c>
      <c r="G86" s="151" t="s">
        <v>1956</v>
      </c>
      <c r="H86" s="151" t="s">
        <v>1960</v>
      </c>
      <c r="I86" s="700" t="s">
        <v>1958</v>
      </c>
      <c r="J86" s="125">
        <v>3183862</v>
      </c>
      <c r="K86" s="125">
        <v>1535</v>
      </c>
      <c r="L86" s="125">
        <v>785534</v>
      </c>
      <c r="M86" s="125"/>
      <c r="N86" s="125"/>
      <c r="O86" s="125"/>
      <c r="P86" s="125"/>
      <c r="Q86" s="125"/>
      <c r="R86" s="125"/>
      <c r="S86" s="125"/>
      <c r="T86" s="125"/>
      <c r="U86" s="125"/>
      <c r="V86" s="125"/>
      <c r="W86" s="125"/>
      <c r="X86" s="125"/>
      <c r="Y86" s="125">
        <f t="shared" si="1"/>
        <v>0</v>
      </c>
      <c r="Z86" s="125">
        <v>214068</v>
      </c>
      <c r="AA86" s="126">
        <v>3</v>
      </c>
      <c r="AB86" s="127">
        <v>44217</v>
      </c>
      <c r="AC86" s="128">
        <v>44221</v>
      </c>
      <c r="AD86" s="125"/>
      <c r="AE86" s="129"/>
      <c r="AF86" s="153"/>
      <c r="AG86" s="128"/>
      <c r="AH86" s="125"/>
      <c r="AI86" s="129"/>
      <c r="AJ86" s="153"/>
      <c r="AK86" s="128"/>
      <c r="AL86" s="125"/>
      <c r="AM86" s="129"/>
      <c r="AN86" s="128"/>
      <c r="AO86" s="128"/>
      <c r="AP86" s="125"/>
      <c r="AQ86" s="129"/>
      <c r="AR86" s="153"/>
      <c r="AS86" s="128"/>
      <c r="AT86" s="125"/>
      <c r="AU86" s="129"/>
      <c r="AV86" s="153"/>
      <c r="AW86" s="128"/>
      <c r="AX86" s="125"/>
      <c r="AY86" s="129"/>
      <c r="AZ86" s="153"/>
      <c r="BA86" s="128"/>
      <c r="BB86" s="125"/>
      <c r="BC86" s="129"/>
      <c r="BD86" s="153"/>
      <c r="BE86" s="128"/>
      <c r="BF86" s="125"/>
      <c r="BG86" s="129"/>
      <c r="BH86" s="153"/>
      <c r="BI86" s="128"/>
      <c r="BJ86" s="125"/>
      <c r="BK86" s="129"/>
      <c r="BL86" s="153"/>
      <c r="BM86" s="128"/>
      <c r="BN86" s="129">
        <v>-95000</v>
      </c>
      <c r="BO86" s="129">
        <v>28</v>
      </c>
      <c r="BP86" s="127">
        <v>44363</v>
      </c>
      <c r="BQ86" s="128"/>
      <c r="BR86" s="125"/>
      <c r="BS86" s="129"/>
      <c r="BT86" s="153"/>
      <c r="BU86" s="128"/>
      <c r="BV86" s="125"/>
      <c r="BW86" s="129"/>
      <c r="BX86" s="153"/>
      <c r="BY86" s="128"/>
      <c r="BZ86" s="712">
        <f t="shared" si="4"/>
        <v>119068</v>
      </c>
      <c r="CA86" s="415">
        <f t="shared" si="3"/>
        <v>119068</v>
      </c>
    </row>
    <row r="87" spans="1:79" s="709" customFormat="1" ht="22.5" x14ac:dyDescent="0.25">
      <c r="A87" s="709">
        <v>1</v>
      </c>
      <c r="B87" s="221">
        <v>72</v>
      </c>
      <c r="C87" s="221" t="s">
        <v>38</v>
      </c>
      <c r="D87" s="691">
        <v>30427372</v>
      </c>
      <c r="E87" s="150" t="s">
        <v>2040</v>
      </c>
      <c r="F87" s="700" t="s">
        <v>45</v>
      </c>
      <c r="G87" s="151" t="s">
        <v>1956</v>
      </c>
      <c r="H87" s="151" t="s">
        <v>1960</v>
      </c>
      <c r="I87" s="700" t="s">
        <v>1958</v>
      </c>
      <c r="J87" s="125">
        <v>5307349</v>
      </c>
      <c r="K87" s="125">
        <v>417682</v>
      </c>
      <c r="L87" s="125">
        <v>0</v>
      </c>
      <c r="M87" s="125">
        <v>2800</v>
      </c>
      <c r="N87" s="125">
        <v>322466</v>
      </c>
      <c r="O87" s="125">
        <v>367938</v>
      </c>
      <c r="P87" s="125">
        <v>873419</v>
      </c>
      <c r="Q87" s="125">
        <v>388050</v>
      </c>
      <c r="R87" s="125">
        <v>340410</v>
      </c>
      <c r="S87" s="125"/>
      <c r="T87" s="125"/>
      <c r="U87" s="125"/>
      <c r="V87" s="125"/>
      <c r="W87" s="125"/>
      <c r="X87" s="125"/>
      <c r="Y87" s="125">
        <f t="shared" si="1"/>
        <v>2295083</v>
      </c>
      <c r="Z87" s="125">
        <v>1128000</v>
      </c>
      <c r="AA87" s="126">
        <v>3</v>
      </c>
      <c r="AB87" s="127">
        <v>44217</v>
      </c>
      <c r="AC87" s="128">
        <v>44221</v>
      </c>
      <c r="AD87" s="125"/>
      <c r="AE87" s="129"/>
      <c r="AF87" s="153"/>
      <c r="AG87" s="128"/>
      <c r="AH87" s="125"/>
      <c r="AI87" s="129"/>
      <c r="AJ87" s="153"/>
      <c r="AK87" s="128"/>
      <c r="AL87" s="125"/>
      <c r="AM87" s="129"/>
      <c r="AN87" s="128"/>
      <c r="AO87" s="128"/>
      <c r="AP87" s="125"/>
      <c r="AQ87" s="129"/>
      <c r="AR87" s="153"/>
      <c r="AS87" s="128"/>
      <c r="AT87" s="125"/>
      <c r="AU87" s="129"/>
      <c r="AV87" s="153"/>
      <c r="AW87" s="128"/>
      <c r="AX87" s="125">
        <v>560000</v>
      </c>
      <c r="AY87" s="129">
        <v>18</v>
      </c>
      <c r="AZ87" s="128">
        <v>44308</v>
      </c>
      <c r="BA87" s="128">
        <v>44314</v>
      </c>
      <c r="BB87" s="125"/>
      <c r="BC87" s="129"/>
      <c r="BD87" s="153"/>
      <c r="BE87" s="128"/>
      <c r="BF87" s="125">
        <v>400000</v>
      </c>
      <c r="BG87" s="129">
        <v>25</v>
      </c>
      <c r="BH87" s="127">
        <v>44329</v>
      </c>
      <c r="BI87" s="128">
        <v>44335</v>
      </c>
      <c r="BJ87" s="125"/>
      <c r="BK87" s="129"/>
      <c r="BL87" s="153"/>
      <c r="BM87" s="128"/>
      <c r="BN87" s="129">
        <v>400000</v>
      </c>
      <c r="BO87" s="129">
        <v>28</v>
      </c>
      <c r="BP87" s="127">
        <v>44363</v>
      </c>
      <c r="BQ87" s="128"/>
      <c r="BR87" s="125"/>
      <c r="BS87" s="129"/>
      <c r="BT87" s="153"/>
      <c r="BU87" s="128"/>
      <c r="BV87" s="125"/>
      <c r="BW87" s="129"/>
      <c r="BX87" s="153"/>
      <c r="BY87" s="128"/>
      <c r="BZ87" s="712">
        <f t="shared" si="4"/>
        <v>2488000</v>
      </c>
      <c r="CA87" s="415">
        <f t="shared" si="3"/>
        <v>192917</v>
      </c>
    </row>
    <row r="88" spans="1:79" s="709" customFormat="1" ht="22.5" x14ac:dyDescent="0.25">
      <c r="A88" s="709">
        <v>1</v>
      </c>
      <c r="B88" s="221">
        <v>73</v>
      </c>
      <c r="C88" s="221" t="s">
        <v>38</v>
      </c>
      <c r="D88" s="691">
        <v>30429822</v>
      </c>
      <c r="E88" s="150" t="s">
        <v>2041</v>
      </c>
      <c r="F88" s="700" t="s">
        <v>46</v>
      </c>
      <c r="G88" s="151" t="s">
        <v>1956</v>
      </c>
      <c r="H88" s="151" t="s">
        <v>1960</v>
      </c>
      <c r="I88" s="700" t="s">
        <v>1958</v>
      </c>
      <c r="J88" s="125">
        <v>244362</v>
      </c>
      <c r="K88" s="125">
        <v>218437</v>
      </c>
      <c r="L88" s="125">
        <v>3</v>
      </c>
      <c r="M88" s="125">
        <v>21480</v>
      </c>
      <c r="N88" s="125"/>
      <c r="O88" s="125"/>
      <c r="P88" s="125"/>
      <c r="Q88" s="125"/>
      <c r="R88" s="125">
        <v>2185</v>
      </c>
      <c r="S88" s="125"/>
      <c r="T88" s="125"/>
      <c r="U88" s="125"/>
      <c r="V88" s="125"/>
      <c r="W88" s="125"/>
      <c r="X88" s="125"/>
      <c r="Y88" s="125">
        <f t="shared" si="1"/>
        <v>23665</v>
      </c>
      <c r="Z88" s="125">
        <v>25922</v>
      </c>
      <c r="AA88" s="126">
        <v>3</v>
      </c>
      <c r="AB88" s="127">
        <v>44217</v>
      </c>
      <c r="AC88" s="128">
        <v>44221</v>
      </c>
      <c r="AD88" s="125"/>
      <c r="AE88" s="129"/>
      <c r="AF88" s="153"/>
      <c r="AG88" s="128"/>
      <c r="AH88" s="125"/>
      <c r="AI88" s="129"/>
      <c r="AJ88" s="153"/>
      <c r="AK88" s="128"/>
      <c r="AL88" s="125"/>
      <c r="AM88" s="129"/>
      <c r="AN88" s="128"/>
      <c r="AO88" s="128"/>
      <c r="AP88" s="125"/>
      <c r="AQ88" s="129"/>
      <c r="AR88" s="153"/>
      <c r="AS88" s="128"/>
      <c r="AT88" s="125"/>
      <c r="AU88" s="129"/>
      <c r="AV88" s="153"/>
      <c r="AW88" s="128"/>
      <c r="AX88" s="125"/>
      <c r="AY88" s="129"/>
      <c r="AZ88" s="153"/>
      <c r="BA88" s="128"/>
      <c r="BB88" s="125"/>
      <c r="BC88" s="129"/>
      <c r="BD88" s="153"/>
      <c r="BE88" s="128"/>
      <c r="BF88" s="125"/>
      <c r="BG88" s="129"/>
      <c r="BH88" s="153"/>
      <c r="BI88" s="128"/>
      <c r="BJ88" s="125"/>
      <c r="BK88" s="129"/>
      <c r="BL88" s="153"/>
      <c r="BM88" s="128"/>
      <c r="BN88" s="129"/>
      <c r="BO88" s="129"/>
      <c r="BP88" s="153"/>
      <c r="BQ88" s="128"/>
      <c r="BR88" s="125"/>
      <c r="BS88" s="129"/>
      <c r="BT88" s="153"/>
      <c r="BU88" s="128"/>
      <c r="BV88" s="125"/>
      <c r="BW88" s="129"/>
      <c r="BX88" s="153"/>
      <c r="BY88" s="128"/>
      <c r="BZ88" s="712">
        <f t="shared" si="4"/>
        <v>25922</v>
      </c>
      <c r="CA88" s="415">
        <f t="shared" si="3"/>
        <v>2257</v>
      </c>
    </row>
    <row r="89" spans="1:79" s="709" customFormat="1" ht="22.5" x14ac:dyDescent="0.25">
      <c r="A89" s="709">
        <v>1</v>
      </c>
      <c r="B89" s="221">
        <v>74</v>
      </c>
      <c r="C89" s="221" t="s">
        <v>38</v>
      </c>
      <c r="D89" s="691">
        <v>30447372</v>
      </c>
      <c r="E89" s="150" t="s">
        <v>2042</v>
      </c>
      <c r="F89" s="700" t="s">
        <v>45</v>
      </c>
      <c r="G89" s="151" t="s">
        <v>1956</v>
      </c>
      <c r="H89" s="151" t="s">
        <v>1960</v>
      </c>
      <c r="I89" s="700" t="s">
        <v>1958</v>
      </c>
      <c r="J89" s="125">
        <v>1254892</v>
      </c>
      <c r="K89" s="125">
        <v>994979</v>
      </c>
      <c r="L89" s="125">
        <v>0</v>
      </c>
      <c r="M89" s="125"/>
      <c r="N89" s="125">
        <v>12747</v>
      </c>
      <c r="O89" s="125">
        <v>191078</v>
      </c>
      <c r="P89" s="125"/>
      <c r="Q89" s="125"/>
      <c r="R89" s="125">
        <v>9761</v>
      </c>
      <c r="S89" s="125"/>
      <c r="T89" s="125"/>
      <c r="U89" s="125"/>
      <c r="V89" s="125"/>
      <c r="W89" s="125"/>
      <c r="X89" s="125"/>
      <c r="Y89" s="125">
        <f t="shared" si="1"/>
        <v>213586</v>
      </c>
      <c r="Z89" s="125">
        <f>193028</f>
        <v>193028</v>
      </c>
      <c r="AA89" s="126">
        <v>3</v>
      </c>
      <c r="AB89" s="127">
        <v>44217</v>
      </c>
      <c r="AC89" s="128">
        <v>44221</v>
      </c>
      <c r="AD89" s="125"/>
      <c r="AE89" s="129"/>
      <c r="AF89" s="153"/>
      <c r="AG89" s="128"/>
      <c r="AH89" s="125"/>
      <c r="AI89" s="129"/>
      <c r="AJ89" s="153"/>
      <c r="AK89" s="128"/>
      <c r="AL89" s="125">
        <v>20659</v>
      </c>
      <c r="AM89" s="129">
        <v>13</v>
      </c>
      <c r="AN89" s="128">
        <v>44277</v>
      </c>
      <c r="AO89" s="128">
        <v>44281</v>
      </c>
      <c r="AP89" s="125"/>
      <c r="AQ89" s="129"/>
      <c r="AR89" s="153"/>
      <c r="AS89" s="128"/>
      <c r="AT89" s="125"/>
      <c r="AU89" s="129"/>
      <c r="AV89" s="153"/>
      <c r="AW89" s="128"/>
      <c r="AX89" s="125"/>
      <c r="AY89" s="129"/>
      <c r="AZ89" s="153"/>
      <c r="BA89" s="128"/>
      <c r="BB89" s="125"/>
      <c r="BC89" s="129"/>
      <c r="BD89" s="153"/>
      <c r="BE89" s="128"/>
      <c r="BF89" s="125"/>
      <c r="BG89" s="129"/>
      <c r="BH89" s="153"/>
      <c r="BI89" s="128"/>
      <c r="BJ89" s="125"/>
      <c r="BK89" s="129"/>
      <c r="BL89" s="153"/>
      <c r="BM89" s="128"/>
      <c r="BN89" s="129">
        <v>13600</v>
      </c>
      <c r="BO89" s="129">
        <v>28</v>
      </c>
      <c r="BP89" s="127">
        <v>44363</v>
      </c>
      <c r="BQ89" s="128"/>
      <c r="BR89" s="125"/>
      <c r="BS89" s="129"/>
      <c r="BT89" s="153"/>
      <c r="BU89" s="128"/>
      <c r="BV89" s="125"/>
      <c r="BW89" s="129"/>
      <c r="BX89" s="153"/>
      <c r="BY89" s="128"/>
      <c r="BZ89" s="712">
        <f t="shared" si="4"/>
        <v>227287</v>
      </c>
      <c r="CA89" s="415">
        <f t="shared" si="3"/>
        <v>13701</v>
      </c>
    </row>
    <row r="90" spans="1:79" s="709" customFormat="1" ht="22.5" x14ac:dyDescent="0.25">
      <c r="A90" s="709">
        <v>1</v>
      </c>
      <c r="B90" s="221">
        <v>75</v>
      </c>
      <c r="C90" s="221" t="s">
        <v>38</v>
      </c>
      <c r="D90" s="691">
        <v>30472595</v>
      </c>
      <c r="E90" s="150" t="s">
        <v>2043</v>
      </c>
      <c r="F90" s="700" t="s">
        <v>45</v>
      </c>
      <c r="G90" s="151" t="s">
        <v>1956</v>
      </c>
      <c r="H90" s="151" t="s">
        <v>1960</v>
      </c>
      <c r="I90" s="700" t="s">
        <v>1958</v>
      </c>
      <c r="J90" s="125">
        <v>1038094</v>
      </c>
      <c r="K90" s="125">
        <v>980468</v>
      </c>
      <c r="L90" s="125">
        <v>2465</v>
      </c>
      <c r="M90" s="125"/>
      <c r="N90" s="125">
        <v>41867</v>
      </c>
      <c r="O90" s="125"/>
      <c r="P90" s="125"/>
      <c r="Q90" s="125"/>
      <c r="R90" s="125"/>
      <c r="S90" s="125"/>
      <c r="T90" s="125"/>
      <c r="U90" s="125"/>
      <c r="V90" s="125"/>
      <c r="W90" s="125"/>
      <c r="X90" s="125"/>
      <c r="Y90" s="125">
        <f t="shared" si="1"/>
        <v>41867</v>
      </c>
      <c r="Z90" s="125">
        <v>55161</v>
      </c>
      <c r="AA90" s="126">
        <v>3</v>
      </c>
      <c r="AB90" s="127">
        <v>44217</v>
      </c>
      <c r="AC90" s="128">
        <v>44221</v>
      </c>
      <c r="AD90" s="125"/>
      <c r="AE90" s="129"/>
      <c r="AF90" s="153"/>
      <c r="AG90" s="128"/>
      <c r="AH90" s="125"/>
      <c r="AI90" s="129"/>
      <c r="AJ90" s="153"/>
      <c r="AK90" s="128"/>
      <c r="AL90" s="125"/>
      <c r="AM90" s="129"/>
      <c r="AN90" s="128"/>
      <c r="AO90" s="128"/>
      <c r="AP90" s="125"/>
      <c r="AQ90" s="129"/>
      <c r="AR90" s="153"/>
      <c r="AS90" s="128"/>
      <c r="AT90" s="125"/>
      <c r="AU90" s="129"/>
      <c r="AV90" s="153"/>
      <c r="AW90" s="128"/>
      <c r="AX90" s="125"/>
      <c r="AY90" s="129"/>
      <c r="AZ90" s="153"/>
      <c r="BA90" s="128"/>
      <c r="BB90" s="125"/>
      <c r="BC90" s="129"/>
      <c r="BD90" s="153"/>
      <c r="BE90" s="128"/>
      <c r="BF90" s="125"/>
      <c r="BG90" s="129"/>
      <c r="BH90" s="153"/>
      <c r="BI90" s="128"/>
      <c r="BJ90" s="125"/>
      <c r="BK90" s="129"/>
      <c r="BL90" s="153"/>
      <c r="BM90" s="128"/>
      <c r="BN90" s="129"/>
      <c r="BO90" s="129"/>
      <c r="BP90" s="153"/>
      <c r="BQ90" s="128"/>
      <c r="BR90" s="125"/>
      <c r="BS90" s="129"/>
      <c r="BT90" s="153"/>
      <c r="BU90" s="128"/>
      <c r="BV90" s="125"/>
      <c r="BW90" s="129"/>
      <c r="BX90" s="153"/>
      <c r="BY90" s="128"/>
      <c r="BZ90" s="712">
        <f t="shared" si="4"/>
        <v>55161</v>
      </c>
      <c r="CA90" s="415">
        <f t="shared" si="3"/>
        <v>13294</v>
      </c>
    </row>
    <row r="91" spans="1:79" s="709" customFormat="1" ht="22.5" x14ac:dyDescent="0.25">
      <c r="A91" s="709">
        <v>1</v>
      </c>
      <c r="B91" s="221">
        <v>76</v>
      </c>
      <c r="C91" s="221" t="s">
        <v>38</v>
      </c>
      <c r="D91" s="691">
        <v>30473835</v>
      </c>
      <c r="E91" s="150" t="s">
        <v>2044</v>
      </c>
      <c r="F91" s="700" t="s">
        <v>45</v>
      </c>
      <c r="G91" s="151" t="s">
        <v>1956</v>
      </c>
      <c r="H91" s="151" t="s">
        <v>1960</v>
      </c>
      <c r="I91" s="700" t="s">
        <v>1958</v>
      </c>
      <c r="J91" s="125">
        <v>219218</v>
      </c>
      <c r="K91" s="125">
        <v>0</v>
      </c>
      <c r="L91" s="125">
        <v>0</v>
      </c>
      <c r="M91" s="125"/>
      <c r="N91" s="125">
        <v>2462</v>
      </c>
      <c r="O91" s="125">
        <v>1231</v>
      </c>
      <c r="P91" s="125">
        <v>1231</v>
      </c>
      <c r="Q91" s="125">
        <v>575</v>
      </c>
      <c r="R91" s="125">
        <v>57543</v>
      </c>
      <c r="S91" s="125"/>
      <c r="T91" s="125"/>
      <c r="U91" s="125"/>
      <c r="V91" s="125"/>
      <c r="W91" s="125"/>
      <c r="X91" s="125"/>
      <c r="Y91" s="125">
        <f t="shared" si="1"/>
        <v>63042</v>
      </c>
      <c r="Z91" s="125">
        <v>219218</v>
      </c>
      <c r="AA91" s="126">
        <v>3</v>
      </c>
      <c r="AB91" s="127">
        <v>44217</v>
      </c>
      <c r="AC91" s="128">
        <v>44221</v>
      </c>
      <c r="AD91" s="125"/>
      <c r="AE91" s="129"/>
      <c r="AF91" s="153"/>
      <c r="AG91" s="128"/>
      <c r="AH91" s="125"/>
      <c r="AI91" s="129"/>
      <c r="AJ91" s="153"/>
      <c r="AK91" s="128"/>
      <c r="AL91" s="125"/>
      <c r="AM91" s="129"/>
      <c r="AN91" s="128"/>
      <c r="AO91" s="128"/>
      <c r="AP91" s="125"/>
      <c r="AQ91" s="129"/>
      <c r="AR91" s="153"/>
      <c r="AS91" s="128"/>
      <c r="AT91" s="125"/>
      <c r="AU91" s="129"/>
      <c r="AV91" s="153"/>
      <c r="AW91" s="128"/>
      <c r="AX91" s="125"/>
      <c r="AY91" s="129"/>
      <c r="AZ91" s="153"/>
      <c r="BA91" s="128"/>
      <c r="BB91" s="125"/>
      <c r="BC91" s="129"/>
      <c r="BD91" s="153"/>
      <c r="BE91" s="128"/>
      <c r="BF91" s="125"/>
      <c r="BG91" s="129"/>
      <c r="BH91" s="153"/>
      <c r="BI91" s="128"/>
      <c r="BJ91" s="125"/>
      <c r="BK91" s="129"/>
      <c r="BL91" s="153"/>
      <c r="BM91" s="128"/>
      <c r="BN91" s="129"/>
      <c r="BO91" s="129"/>
      <c r="BP91" s="153"/>
      <c r="BQ91" s="128"/>
      <c r="BR91" s="125"/>
      <c r="BS91" s="129"/>
      <c r="BT91" s="153"/>
      <c r="BU91" s="128"/>
      <c r="BV91" s="125"/>
      <c r="BW91" s="129"/>
      <c r="BX91" s="153"/>
      <c r="BY91" s="128"/>
      <c r="BZ91" s="712">
        <f t="shared" si="4"/>
        <v>219218</v>
      </c>
      <c r="CA91" s="415">
        <f t="shared" si="3"/>
        <v>156176</v>
      </c>
    </row>
    <row r="92" spans="1:79" s="709" customFormat="1" ht="22.5" x14ac:dyDescent="0.25">
      <c r="A92" s="709">
        <v>1</v>
      </c>
      <c r="B92" s="221">
        <v>77</v>
      </c>
      <c r="C92" s="221" t="s">
        <v>38</v>
      </c>
      <c r="D92" s="691">
        <v>30474241</v>
      </c>
      <c r="E92" s="150" t="s">
        <v>2045</v>
      </c>
      <c r="F92" s="700" t="s">
        <v>45</v>
      </c>
      <c r="G92" s="151" t="s">
        <v>1956</v>
      </c>
      <c r="H92" s="151" t="s">
        <v>1960</v>
      </c>
      <c r="I92" s="700" t="s">
        <v>1958</v>
      </c>
      <c r="J92" s="125">
        <v>11961571</v>
      </c>
      <c r="K92" s="125">
        <v>6136</v>
      </c>
      <c r="L92" s="125">
        <v>5661440</v>
      </c>
      <c r="M92" s="125"/>
      <c r="N92" s="125"/>
      <c r="O92" s="125"/>
      <c r="P92" s="125"/>
      <c r="Q92" s="125"/>
      <c r="R92" s="125">
        <v>23002</v>
      </c>
      <c r="S92" s="125"/>
      <c r="T92" s="125"/>
      <c r="U92" s="125"/>
      <c r="V92" s="125"/>
      <c r="W92" s="125"/>
      <c r="X92" s="125"/>
      <c r="Y92" s="125">
        <f t="shared" si="1"/>
        <v>23002</v>
      </c>
      <c r="Z92" s="125">
        <v>2528154</v>
      </c>
      <c r="AA92" s="126">
        <v>3</v>
      </c>
      <c r="AB92" s="127">
        <v>44217</v>
      </c>
      <c r="AC92" s="128">
        <v>44221</v>
      </c>
      <c r="AD92" s="125"/>
      <c r="AE92" s="129"/>
      <c r="AF92" s="153"/>
      <c r="AG92" s="128"/>
      <c r="AH92" s="125"/>
      <c r="AI92" s="129"/>
      <c r="AJ92" s="153"/>
      <c r="AK92" s="128"/>
      <c r="AL92" s="125"/>
      <c r="AM92" s="129"/>
      <c r="AN92" s="128"/>
      <c r="AO92" s="128"/>
      <c r="AP92" s="125"/>
      <c r="AQ92" s="129"/>
      <c r="AR92" s="153"/>
      <c r="AS92" s="128"/>
      <c r="AT92" s="125"/>
      <c r="AU92" s="129"/>
      <c r="AV92" s="153"/>
      <c r="AW92" s="128"/>
      <c r="AX92" s="125"/>
      <c r="AY92" s="129"/>
      <c r="AZ92" s="153"/>
      <c r="BA92" s="128"/>
      <c r="BB92" s="125"/>
      <c r="BC92" s="129"/>
      <c r="BD92" s="153"/>
      <c r="BE92" s="128"/>
      <c r="BF92" s="125"/>
      <c r="BG92" s="129"/>
      <c r="BH92" s="153"/>
      <c r="BI92" s="128"/>
      <c r="BJ92" s="125"/>
      <c r="BK92" s="129"/>
      <c r="BL92" s="153"/>
      <c r="BM92" s="128"/>
      <c r="BN92" s="129"/>
      <c r="BO92" s="129"/>
      <c r="BP92" s="153"/>
      <c r="BQ92" s="128"/>
      <c r="BR92" s="125"/>
      <c r="BS92" s="129"/>
      <c r="BT92" s="153"/>
      <c r="BU92" s="128"/>
      <c r="BV92" s="125"/>
      <c r="BW92" s="129"/>
      <c r="BX92" s="153"/>
      <c r="BY92" s="128"/>
      <c r="BZ92" s="712">
        <f t="shared" si="4"/>
        <v>2528154</v>
      </c>
      <c r="CA92" s="415">
        <f t="shared" si="3"/>
        <v>2505152</v>
      </c>
    </row>
    <row r="93" spans="1:79" s="709" customFormat="1" ht="22.5" x14ac:dyDescent="0.25">
      <c r="A93" s="709">
        <v>1</v>
      </c>
      <c r="B93" s="221">
        <v>78</v>
      </c>
      <c r="C93" s="221" t="s">
        <v>38</v>
      </c>
      <c r="D93" s="691">
        <v>30476635</v>
      </c>
      <c r="E93" s="150" t="s">
        <v>2046</v>
      </c>
      <c r="F93" s="700" t="s">
        <v>46</v>
      </c>
      <c r="G93" s="151" t="s">
        <v>1956</v>
      </c>
      <c r="H93" s="151" t="s">
        <v>2047</v>
      </c>
      <c r="I93" s="700" t="s">
        <v>1958</v>
      </c>
      <c r="J93" s="125">
        <v>71154</v>
      </c>
      <c r="K93" s="125">
        <v>44639</v>
      </c>
      <c r="L93" s="125">
        <v>1619</v>
      </c>
      <c r="M93" s="125"/>
      <c r="N93" s="125"/>
      <c r="O93" s="125"/>
      <c r="P93" s="125"/>
      <c r="Q93" s="125"/>
      <c r="R93" s="125"/>
      <c r="S93" s="125"/>
      <c r="T93" s="125"/>
      <c r="U93" s="125"/>
      <c r="V93" s="125"/>
      <c r="W93" s="125"/>
      <c r="X93" s="125"/>
      <c r="Y93" s="125">
        <f t="shared" si="1"/>
        <v>0</v>
      </c>
      <c r="Z93" s="125">
        <v>24896</v>
      </c>
      <c r="AA93" s="126">
        <v>3</v>
      </c>
      <c r="AB93" s="127">
        <v>44217</v>
      </c>
      <c r="AC93" s="128">
        <v>44221</v>
      </c>
      <c r="AD93" s="125"/>
      <c r="AE93" s="129"/>
      <c r="AF93" s="153"/>
      <c r="AG93" s="128"/>
      <c r="AH93" s="125"/>
      <c r="AI93" s="129"/>
      <c r="AJ93" s="153"/>
      <c r="AK93" s="128"/>
      <c r="AL93" s="125"/>
      <c r="AM93" s="129"/>
      <c r="AN93" s="128"/>
      <c r="AO93" s="128"/>
      <c r="AP93" s="125"/>
      <c r="AQ93" s="129"/>
      <c r="AR93" s="153"/>
      <c r="AS93" s="128"/>
      <c r="AT93" s="125"/>
      <c r="AU93" s="129"/>
      <c r="AV93" s="153"/>
      <c r="AW93" s="128"/>
      <c r="AX93" s="125"/>
      <c r="AY93" s="129"/>
      <c r="AZ93" s="153"/>
      <c r="BA93" s="128"/>
      <c r="BB93" s="125"/>
      <c r="BC93" s="129"/>
      <c r="BD93" s="153"/>
      <c r="BE93" s="128"/>
      <c r="BF93" s="125"/>
      <c r="BG93" s="129"/>
      <c r="BH93" s="153"/>
      <c r="BI93" s="128"/>
      <c r="BJ93" s="125"/>
      <c r="BK93" s="129"/>
      <c r="BL93" s="153"/>
      <c r="BM93" s="128"/>
      <c r="BN93" s="129"/>
      <c r="BO93" s="129"/>
      <c r="BP93" s="153"/>
      <c r="BQ93" s="128"/>
      <c r="BR93" s="125"/>
      <c r="BS93" s="129"/>
      <c r="BT93" s="153"/>
      <c r="BU93" s="128"/>
      <c r="BV93" s="125"/>
      <c r="BW93" s="129"/>
      <c r="BX93" s="153"/>
      <c r="BY93" s="128"/>
      <c r="BZ93" s="712">
        <f t="shared" si="4"/>
        <v>24896</v>
      </c>
      <c r="CA93" s="415">
        <f t="shared" si="3"/>
        <v>24896</v>
      </c>
    </row>
    <row r="94" spans="1:79" s="709" customFormat="1" ht="22.5" x14ac:dyDescent="0.25">
      <c r="A94" s="709">
        <v>1</v>
      </c>
      <c r="B94" s="221">
        <v>79</v>
      </c>
      <c r="C94" s="221" t="s">
        <v>38</v>
      </c>
      <c r="D94" s="691">
        <v>30481458</v>
      </c>
      <c r="E94" s="150" t="s">
        <v>2048</v>
      </c>
      <c r="F94" s="700" t="s">
        <v>45</v>
      </c>
      <c r="G94" s="151" t="s">
        <v>1963</v>
      </c>
      <c r="H94" s="151" t="s">
        <v>1964</v>
      </c>
      <c r="I94" s="700" t="s">
        <v>1958</v>
      </c>
      <c r="J94" s="125">
        <v>442386</v>
      </c>
      <c r="K94" s="125">
        <v>430609</v>
      </c>
      <c r="L94" s="125">
        <v>0</v>
      </c>
      <c r="M94" s="125"/>
      <c r="N94" s="125"/>
      <c r="O94" s="125"/>
      <c r="P94" s="125"/>
      <c r="Q94" s="125"/>
      <c r="R94" s="125"/>
      <c r="S94" s="125"/>
      <c r="T94" s="125"/>
      <c r="U94" s="125"/>
      <c r="V94" s="125"/>
      <c r="W94" s="125"/>
      <c r="X94" s="125"/>
      <c r="Y94" s="125">
        <f t="shared" si="1"/>
        <v>0</v>
      </c>
      <c r="Z94" s="125">
        <v>11777</v>
      </c>
      <c r="AA94" s="126">
        <v>3</v>
      </c>
      <c r="AB94" s="127">
        <v>44217</v>
      </c>
      <c r="AC94" s="128">
        <v>44221</v>
      </c>
      <c r="AD94" s="125"/>
      <c r="AE94" s="129"/>
      <c r="AF94" s="153"/>
      <c r="AG94" s="128"/>
      <c r="AH94" s="125"/>
      <c r="AI94" s="129"/>
      <c r="AJ94" s="153"/>
      <c r="AK94" s="128"/>
      <c r="AL94" s="125"/>
      <c r="AM94" s="129"/>
      <c r="AN94" s="128"/>
      <c r="AO94" s="128"/>
      <c r="AP94" s="125"/>
      <c r="AQ94" s="129"/>
      <c r="AR94" s="153"/>
      <c r="AS94" s="128"/>
      <c r="AT94" s="125"/>
      <c r="AU94" s="129"/>
      <c r="AV94" s="153"/>
      <c r="AW94" s="128"/>
      <c r="AX94" s="125"/>
      <c r="AY94" s="129"/>
      <c r="AZ94" s="153"/>
      <c r="BA94" s="128"/>
      <c r="BB94" s="125"/>
      <c r="BC94" s="129"/>
      <c r="BD94" s="153"/>
      <c r="BE94" s="128"/>
      <c r="BF94" s="125"/>
      <c r="BG94" s="129"/>
      <c r="BH94" s="153"/>
      <c r="BI94" s="128"/>
      <c r="BJ94" s="125"/>
      <c r="BK94" s="129"/>
      <c r="BL94" s="153"/>
      <c r="BM94" s="128"/>
      <c r="BN94" s="129"/>
      <c r="BO94" s="129"/>
      <c r="BP94" s="153"/>
      <c r="BQ94" s="128"/>
      <c r="BR94" s="125"/>
      <c r="BS94" s="129"/>
      <c r="BT94" s="153"/>
      <c r="BU94" s="128"/>
      <c r="BV94" s="125"/>
      <c r="BW94" s="129"/>
      <c r="BX94" s="153"/>
      <c r="BY94" s="128"/>
      <c r="BZ94" s="712">
        <f t="shared" si="4"/>
        <v>11777</v>
      </c>
      <c r="CA94" s="415">
        <f t="shared" si="3"/>
        <v>11777</v>
      </c>
    </row>
    <row r="95" spans="1:79" s="709" customFormat="1" ht="22.5" x14ac:dyDescent="0.25">
      <c r="A95" s="709">
        <v>1</v>
      </c>
      <c r="B95" s="221">
        <v>80</v>
      </c>
      <c r="C95" s="221" t="s">
        <v>38</v>
      </c>
      <c r="D95" s="691">
        <v>30481767</v>
      </c>
      <c r="E95" s="150" t="s">
        <v>2049</v>
      </c>
      <c r="F95" s="700" t="s">
        <v>45</v>
      </c>
      <c r="G95" s="151" t="s">
        <v>1956</v>
      </c>
      <c r="H95" s="151" t="s">
        <v>1960</v>
      </c>
      <c r="I95" s="700" t="s">
        <v>1958</v>
      </c>
      <c r="J95" s="125">
        <v>169373</v>
      </c>
      <c r="K95" s="125">
        <v>110954</v>
      </c>
      <c r="L95" s="125">
        <v>0</v>
      </c>
      <c r="M95" s="125"/>
      <c r="N95" s="125">
        <v>8901</v>
      </c>
      <c r="O95" s="125">
        <v>16987</v>
      </c>
      <c r="P95" s="125">
        <v>10365</v>
      </c>
      <c r="Q95" s="125">
        <v>3533</v>
      </c>
      <c r="R95" s="125">
        <v>10778</v>
      </c>
      <c r="S95" s="125"/>
      <c r="T95" s="125"/>
      <c r="U95" s="125"/>
      <c r="V95" s="125"/>
      <c r="W95" s="125"/>
      <c r="X95" s="125"/>
      <c r="Y95" s="125">
        <f t="shared" si="1"/>
        <v>50564</v>
      </c>
      <c r="Z95" s="125">
        <f>32156</f>
        <v>32156</v>
      </c>
      <c r="AA95" s="126">
        <v>3</v>
      </c>
      <c r="AB95" s="127">
        <v>44217</v>
      </c>
      <c r="AC95" s="128">
        <v>44221</v>
      </c>
      <c r="AD95" s="125"/>
      <c r="AE95" s="129"/>
      <c r="AF95" s="153"/>
      <c r="AG95" s="128"/>
      <c r="AH95" s="125"/>
      <c r="AI95" s="129"/>
      <c r="AJ95" s="153"/>
      <c r="AK95" s="128"/>
      <c r="AL95" s="125">
        <v>7999</v>
      </c>
      <c r="AM95" s="129">
        <v>13</v>
      </c>
      <c r="AN95" s="128">
        <v>44277</v>
      </c>
      <c r="AO95" s="128">
        <v>44281</v>
      </c>
      <c r="AP95" s="125"/>
      <c r="AQ95" s="129"/>
      <c r="AR95" s="153"/>
      <c r="AS95" s="128"/>
      <c r="AT95" s="125"/>
      <c r="AU95" s="129"/>
      <c r="AV95" s="153"/>
      <c r="AW95" s="128"/>
      <c r="AX95" s="125">
        <v>16700</v>
      </c>
      <c r="AY95" s="129">
        <v>18</v>
      </c>
      <c r="AZ95" s="128">
        <v>44308</v>
      </c>
      <c r="BA95" s="128">
        <v>44314</v>
      </c>
      <c r="BB95" s="125"/>
      <c r="BC95" s="129"/>
      <c r="BD95" s="153"/>
      <c r="BE95" s="128"/>
      <c r="BF95" s="125">
        <v>4000</v>
      </c>
      <c r="BG95" s="129">
        <v>25</v>
      </c>
      <c r="BH95" s="127">
        <v>44329</v>
      </c>
      <c r="BI95" s="128">
        <v>44335</v>
      </c>
      <c r="BJ95" s="125"/>
      <c r="BK95" s="129"/>
      <c r="BL95" s="153"/>
      <c r="BM95" s="128"/>
      <c r="BN95" s="129"/>
      <c r="BO95" s="129"/>
      <c r="BP95" s="153"/>
      <c r="BQ95" s="128"/>
      <c r="BR95" s="125"/>
      <c r="BS95" s="129"/>
      <c r="BT95" s="153"/>
      <c r="BU95" s="128"/>
      <c r="BV95" s="125"/>
      <c r="BW95" s="129"/>
      <c r="BX95" s="153"/>
      <c r="BY95" s="128"/>
      <c r="BZ95" s="712">
        <f t="shared" si="4"/>
        <v>60855</v>
      </c>
      <c r="CA95" s="415">
        <f t="shared" si="3"/>
        <v>10291</v>
      </c>
    </row>
    <row r="96" spans="1:79" s="709" customFormat="1" ht="22.5" x14ac:dyDescent="0.25">
      <c r="A96" s="709">
        <v>1</v>
      </c>
      <c r="B96" s="221">
        <v>81</v>
      </c>
      <c r="C96" s="221" t="s">
        <v>38</v>
      </c>
      <c r="D96" s="691">
        <v>30483953</v>
      </c>
      <c r="E96" s="150" t="s">
        <v>2050</v>
      </c>
      <c r="F96" s="700" t="s">
        <v>45</v>
      </c>
      <c r="G96" s="151" t="s">
        <v>903</v>
      </c>
      <c r="H96" s="151" t="s">
        <v>226</v>
      </c>
      <c r="I96" s="700" t="s">
        <v>1958</v>
      </c>
      <c r="J96" s="125">
        <v>4123092</v>
      </c>
      <c r="K96" s="125">
        <v>3572424</v>
      </c>
      <c r="L96" s="125">
        <v>10000</v>
      </c>
      <c r="M96" s="125"/>
      <c r="N96" s="125">
        <v>104366</v>
      </c>
      <c r="O96" s="125">
        <v>75114</v>
      </c>
      <c r="P96" s="125">
        <v>105869</v>
      </c>
      <c r="Q96" s="125"/>
      <c r="R96" s="125">
        <v>60016</v>
      </c>
      <c r="S96" s="125"/>
      <c r="T96" s="125"/>
      <c r="U96" s="125"/>
      <c r="V96" s="125"/>
      <c r="W96" s="125"/>
      <c r="X96" s="125"/>
      <c r="Y96" s="125">
        <f t="shared" si="1"/>
        <v>345365</v>
      </c>
      <c r="Z96" s="125">
        <v>425668</v>
      </c>
      <c r="AA96" s="126">
        <v>3</v>
      </c>
      <c r="AB96" s="127">
        <v>44217</v>
      </c>
      <c r="AC96" s="128">
        <v>44221</v>
      </c>
      <c r="AD96" s="125"/>
      <c r="AE96" s="129"/>
      <c r="AF96" s="153"/>
      <c r="AG96" s="128"/>
      <c r="AH96" s="125"/>
      <c r="AI96" s="129"/>
      <c r="AJ96" s="153"/>
      <c r="AK96" s="128"/>
      <c r="AL96" s="125"/>
      <c r="AM96" s="129"/>
      <c r="AN96" s="128"/>
      <c r="AO96" s="128"/>
      <c r="AP96" s="125"/>
      <c r="AQ96" s="129"/>
      <c r="AR96" s="153"/>
      <c r="AS96" s="128"/>
      <c r="AT96" s="125"/>
      <c r="AU96" s="129"/>
      <c r="AV96" s="153"/>
      <c r="AW96" s="128"/>
      <c r="AX96" s="125"/>
      <c r="AY96" s="129"/>
      <c r="AZ96" s="153"/>
      <c r="BA96" s="128"/>
      <c r="BB96" s="125"/>
      <c r="BC96" s="129"/>
      <c r="BD96" s="153"/>
      <c r="BE96" s="128"/>
      <c r="BF96" s="125"/>
      <c r="BG96" s="129"/>
      <c r="BH96" s="153"/>
      <c r="BI96" s="128"/>
      <c r="BJ96" s="125"/>
      <c r="BK96" s="129"/>
      <c r="BL96" s="153"/>
      <c r="BM96" s="128"/>
      <c r="BN96" s="129">
        <v>-80000</v>
      </c>
      <c r="BO96" s="129">
        <v>28</v>
      </c>
      <c r="BP96" s="127">
        <v>44363</v>
      </c>
      <c r="BQ96" s="128"/>
      <c r="BR96" s="125"/>
      <c r="BS96" s="129"/>
      <c r="BT96" s="153"/>
      <c r="BU96" s="128"/>
      <c r="BV96" s="125"/>
      <c r="BW96" s="129"/>
      <c r="BX96" s="153"/>
      <c r="BY96" s="128"/>
      <c r="BZ96" s="712">
        <f t="shared" si="4"/>
        <v>345668</v>
      </c>
      <c r="CA96" s="415">
        <f t="shared" si="3"/>
        <v>303</v>
      </c>
    </row>
    <row r="97" spans="1:79" s="709" customFormat="1" ht="22.5" x14ac:dyDescent="0.25">
      <c r="A97" s="709">
        <v>1</v>
      </c>
      <c r="B97" s="221">
        <v>82</v>
      </c>
      <c r="C97" s="221" t="s">
        <v>38</v>
      </c>
      <c r="D97" s="691">
        <v>30484048</v>
      </c>
      <c r="E97" s="150" t="s">
        <v>2051</v>
      </c>
      <c r="F97" s="700" t="s">
        <v>45</v>
      </c>
      <c r="G97" s="151" t="s">
        <v>1956</v>
      </c>
      <c r="H97" s="151" t="s">
        <v>1960</v>
      </c>
      <c r="I97" s="700" t="s">
        <v>1958</v>
      </c>
      <c r="J97" s="125">
        <v>647673</v>
      </c>
      <c r="K97" s="125">
        <v>601179</v>
      </c>
      <c r="L97" s="125">
        <v>0</v>
      </c>
      <c r="M97" s="125"/>
      <c r="N97" s="125"/>
      <c r="O97" s="125">
        <v>43635</v>
      </c>
      <c r="P97" s="125"/>
      <c r="Q97" s="125"/>
      <c r="R97" s="125"/>
      <c r="S97" s="125"/>
      <c r="T97" s="125"/>
      <c r="U97" s="125"/>
      <c r="V97" s="125"/>
      <c r="W97" s="125"/>
      <c r="X97" s="125"/>
      <c r="Y97" s="125">
        <f t="shared" si="1"/>
        <v>43635</v>
      </c>
      <c r="Z97" s="125">
        <f>45964</f>
        <v>45964</v>
      </c>
      <c r="AA97" s="126">
        <v>3</v>
      </c>
      <c r="AB97" s="127">
        <v>44217</v>
      </c>
      <c r="AC97" s="128">
        <v>44221</v>
      </c>
      <c r="AD97" s="125"/>
      <c r="AE97" s="129"/>
      <c r="AF97" s="153"/>
      <c r="AG97" s="128"/>
      <c r="AH97" s="125"/>
      <c r="AI97" s="129"/>
      <c r="AJ97" s="153"/>
      <c r="AK97" s="128"/>
      <c r="AL97" s="125">
        <v>1636</v>
      </c>
      <c r="AM97" s="129">
        <v>13</v>
      </c>
      <c r="AN97" s="128">
        <v>44277</v>
      </c>
      <c r="AO97" s="128">
        <v>44281</v>
      </c>
      <c r="AP97" s="125"/>
      <c r="AQ97" s="129"/>
      <c r="AR97" s="153"/>
      <c r="AS97" s="128"/>
      <c r="AT97" s="125"/>
      <c r="AU97" s="129"/>
      <c r="AV97" s="153"/>
      <c r="AW97" s="128"/>
      <c r="AX97" s="125"/>
      <c r="AY97" s="129"/>
      <c r="AZ97" s="153"/>
      <c r="BA97" s="128"/>
      <c r="BB97" s="125"/>
      <c r="BC97" s="129"/>
      <c r="BD97" s="153"/>
      <c r="BE97" s="128"/>
      <c r="BF97" s="125"/>
      <c r="BG97" s="129"/>
      <c r="BH97" s="153"/>
      <c r="BI97" s="128"/>
      <c r="BJ97" s="125"/>
      <c r="BK97" s="129"/>
      <c r="BL97" s="153"/>
      <c r="BM97" s="128"/>
      <c r="BN97" s="129"/>
      <c r="BO97" s="129"/>
      <c r="BP97" s="153"/>
      <c r="BQ97" s="128"/>
      <c r="BR97" s="125"/>
      <c r="BS97" s="129"/>
      <c r="BT97" s="153"/>
      <c r="BU97" s="128"/>
      <c r="BV97" s="125"/>
      <c r="BW97" s="129"/>
      <c r="BX97" s="153"/>
      <c r="BY97" s="128"/>
      <c r="BZ97" s="712">
        <f t="shared" si="4"/>
        <v>47600</v>
      </c>
      <c r="CA97" s="415">
        <f t="shared" si="3"/>
        <v>3965</v>
      </c>
    </row>
    <row r="98" spans="1:79" s="709" customFormat="1" ht="22.5" x14ac:dyDescent="0.25">
      <c r="A98" s="709">
        <v>1</v>
      </c>
      <c r="B98" s="221">
        <v>83</v>
      </c>
      <c r="C98" s="221" t="s">
        <v>38</v>
      </c>
      <c r="D98" s="691">
        <v>30484292</v>
      </c>
      <c r="E98" s="150" t="s">
        <v>2052</v>
      </c>
      <c r="F98" s="700" t="s">
        <v>46</v>
      </c>
      <c r="G98" s="151" t="s">
        <v>1963</v>
      </c>
      <c r="H98" s="151" t="s">
        <v>1964</v>
      </c>
      <c r="I98" s="700" t="s">
        <v>1961</v>
      </c>
      <c r="J98" s="125">
        <v>83315</v>
      </c>
      <c r="K98" s="125">
        <v>0</v>
      </c>
      <c r="L98" s="125">
        <v>17112</v>
      </c>
      <c r="M98" s="125"/>
      <c r="N98" s="125"/>
      <c r="O98" s="125"/>
      <c r="P98" s="125"/>
      <c r="Q98" s="125"/>
      <c r="R98" s="125"/>
      <c r="S98" s="125"/>
      <c r="T98" s="125"/>
      <c r="U98" s="125"/>
      <c r="V98" s="125"/>
      <c r="W98" s="125"/>
      <c r="X98" s="125"/>
      <c r="Y98" s="125">
        <f t="shared" si="1"/>
        <v>0</v>
      </c>
      <c r="Z98" s="125">
        <v>10000</v>
      </c>
      <c r="AA98" s="126">
        <v>3</v>
      </c>
      <c r="AB98" s="127">
        <v>44217</v>
      </c>
      <c r="AC98" s="128">
        <v>44221</v>
      </c>
      <c r="AD98" s="125"/>
      <c r="AE98" s="129"/>
      <c r="AF98" s="153"/>
      <c r="AG98" s="128"/>
      <c r="AH98" s="125"/>
      <c r="AI98" s="129"/>
      <c r="AJ98" s="153"/>
      <c r="AK98" s="128"/>
      <c r="AL98" s="125"/>
      <c r="AM98" s="129"/>
      <c r="AN98" s="153"/>
      <c r="AO98" s="128"/>
      <c r="AP98" s="125"/>
      <c r="AQ98" s="129"/>
      <c r="AR98" s="153"/>
      <c r="AS98" s="128"/>
      <c r="AT98" s="125"/>
      <c r="AU98" s="129"/>
      <c r="AV98" s="153"/>
      <c r="AW98" s="128"/>
      <c r="AX98" s="125">
        <v>909</v>
      </c>
      <c r="AY98" s="129">
        <v>18</v>
      </c>
      <c r="AZ98" s="128">
        <v>44308</v>
      </c>
      <c r="BA98" s="128">
        <v>44314</v>
      </c>
      <c r="BB98" s="125"/>
      <c r="BC98" s="129"/>
      <c r="BD98" s="153"/>
      <c r="BE98" s="128"/>
      <c r="BF98" s="125"/>
      <c r="BG98" s="129"/>
      <c r="BH98" s="153"/>
      <c r="BI98" s="128"/>
      <c r="BJ98" s="125"/>
      <c r="BK98" s="129"/>
      <c r="BL98" s="153"/>
      <c r="BM98" s="128"/>
      <c r="BN98" s="129">
        <v>66000</v>
      </c>
      <c r="BO98" s="129">
        <v>28</v>
      </c>
      <c r="BP98" s="127">
        <v>44363</v>
      </c>
      <c r="BQ98" s="128"/>
      <c r="BR98" s="125"/>
      <c r="BS98" s="129"/>
      <c r="BT98" s="153"/>
      <c r="BU98" s="128"/>
      <c r="BV98" s="125"/>
      <c r="BW98" s="129"/>
      <c r="BX98" s="153"/>
      <c r="BY98" s="128"/>
      <c r="BZ98" s="712">
        <f t="shared" si="4"/>
        <v>76909</v>
      </c>
      <c r="CA98" s="415">
        <f t="shared" si="3"/>
        <v>76909</v>
      </c>
    </row>
    <row r="99" spans="1:79" s="709" customFormat="1" ht="22.5" x14ac:dyDescent="0.25">
      <c r="A99" s="709">
        <v>1</v>
      </c>
      <c r="B99" s="221">
        <v>84</v>
      </c>
      <c r="C99" s="221" t="s">
        <v>38</v>
      </c>
      <c r="D99" s="691">
        <v>30484686</v>
      </c>
      <c r="E99" s="150" t="s">
        <v>2053</v>
      </c>
      <c r="F99" s="700" t="s">
        <v>46</v>
      </c>
      <c r="G99" s="151" t="s">
        <v>1956</v>
      </c>
      <c r="H99" s="151" t="s">
        <v>1960</v>
      </c>
      <c r="I99" s="700" t="s">
        <v>1958</v>
      </c>
      <c r="J99" s="125">
        <v>173040</v>
      </c>
      <c r="K99" s="125">
        <v>155079</v>
      </c>
      <c r="L99" s="125">
        <v>0</v>
      </c>
      <c r="M99" s="125"/>
      <c r="N99" s="125"/>
      <c r="O99" s="125"/>
      <c r="P99" s="125"/>
      <c r="Q99" s="125"/>
      <c r="R99" s="125"/>
      <c r="S99" s="125"/>
      <c r="T99" s="125"/>
      <c r="U99" s="125"/>
      <c r="V99" s="125"/>
      <c r="W99" s="125"/>
      <c r="X99" s="125"/>
      <c r="Y99" s="125">
        <f t="shared" si="1"/>
        <v>0</v>
      </c>
      <c r="Z99" s="125">
        <v>17961</v>
      </c>
      <c r="AA99" s="126">
        <v>3</v>
      </c>
      <c r="AB99" s="127">
        <v>44217</v>
      </c>
      <c r="AC99" s="128">
        <v>44221</v>
      </c>
      <c r="AD99" s="125"/>
      <c r="AE99" s="129"/>
      <c r="AF99" s="153"/>
      <c r="AG99" s="128"/>
      <c r="AH99" s="125"/>
      <c r="AI99" s="129"/>
      <c r="AJ99" s="153"/>
      <c r="AK99" s="128"/>
      <c r="AL99" s="125"/>
      <c r="AM99" s="129"/>
      <c r="AN99" s="153"/>
      <c r="AO99" s="128"/>
      <c r="AP99" s="125"/>
      <c r="AQ99" s="129"/>
      <c r="AR99" s="153"/>
      <c r="AS99" s="128"/>
      <c r="AT99" s="125"/>
      <c r="AU99" s="129"/>
      <c r="AV99" s="153"/>
      <c r="AW99" s="128"/>
      <c r="AX99" s="125"/>
      <c r="AY99" s="129"/>
      <c r="AZ99" s="153"/>
      <c r="BA99" s="128"/>
      <c r="BB99" s="125"/>
      <c r="BC99" s="129"/>
      <c r="BD99" s="153"/>
      <c r="BE99" s="128"/>
      <c r="BF99" s="125"/>
      <c r="BG99" s="129"/>
      <c r="BH99" s="153"/>
      <c r="BI99" s="128"/>
      <c r="BJ99" s="125"/>
      <c r="BK99" s="129"/>
      <c r="BL99" s="153"/>
      <c r="BM99" s="128"/>
      <c r="BN99" s="129"/>
      <c r="BO99" s="129"/>
      <c r="BP99" s="153"/>
      <c r="BQ99" s="128"/>
      <c r="BR99" s="125"/>
      <c r="BS99" s="129"/>
      <c r="BT99" s="153"/>
      <c r="BU99" s="128"/>
      <c r="BV99" s="125"/>
      <c r="BW99" s="129"/>
      <c r="BX99" s="153"/>
      <c r="BY99" s="128"/>
      <c r="BZ99" s="712">
        <f t="shared" si="4"/>
        <v>17961</v>
      </c>
      <c r="CA99" s="415">
        <f t="shared" si="3"/>
        <v>17961</v>
      </c>
    </row>
    <row r="100" spans="1:79" s="709" customFormat="1" ht="22.5" x14ac:dyDescent="0.25">
      <c r="A100" s="709">
        <v>1</v>
      </c>
      <c r="B100" s="221">
        <v>85</v>
      </c>
      <c r="C100" s="221" t="s">
        <v>38</v>
      </c>
      <c r="D100" s="691">
        <v>40002015</v>
      </c>
      <c r="E100" s="150" t="s">
        <v>2054</v>
      </c>
      <c r="F100" s="700" t="s">
        <v>45</v>
      </c>
      <c r="G100" s="151" t="s">
        <v>1956</v>
      </c>
      <c r="H100" s="151" t="s">
        <v>1960</v>
      </c>
      <c r="I100" s="700" t="s">
        <v>1958</v>
      </c>
      <c r="J100" s="125">
        <v>1353240</v>
      </c>
      <c r="K100" s="125">
        <v>0</v>
      </c>
      <c r="L100" s="125">
        <v>541137</v>
      </c>
      <c r="M100" s="125"/>
      <c r="N100" s="125">
        <v>73987</v>
      </c>
      <c r="O100" s="125">
        <v>24437</v>
      </c>
      <c r="P100" s="125">
        <v>40367</v>
      </c>
      <c r="Q100" s="125">
        <v>42667</v>
      </c>
      <c r="R100" s="125">
        <v>690</v>
      </c>
      <c r="S100" s="125"/>
      <c r="T100" s="125"/>
      <c r="U100" s="125"/>
      <c r="V100" s="125"/>
      <c r="W100" s="125"/>
      <c r="X100" s="125"/>
      <c r="Y100" s="125">
        <f t="shared" si="1"/>
        <v>182148</v>
      </c>
      <c r="Z100" s="125">
        <v>356000</v>
      </c>
      <c r="AA100" s="126">
        <v>3</v>
      </c>
      <c r="AB100" s="127">
        <v>44217</v>
      </c>
      <c r="AC100" s="128">
        <v>44221</v>
      </c>
      <c r="AD100" s="125"/>
      <c r="AE100" s="129"/>
      <c r="AF100" s="153"/>
      <c r="AG100" s="128"/>
      <c r="AH100" s="125"/>
      <c r="AI100" s="129"/>
      <c r="AJ100" s="153"/>
      <c r="AK100" s="128"/>
      <c r="AL100" s="125"/>
      <c r="AM100" s="129"/>
      <c r="AN100" s="153"/>
      <c r="AO100" s="128"/>
      <c r="AP100" s="125"/>
      <c r="AQ100" s="129"/>
      <c r="AR100" s="153"/>
      <c r="AS100" s="128"/>
      <c r="AT100" s="125"/>
      <c r="AU100" s="129"/>
      <c r="AV100" s="153"/>
      <c r="AW100" s="128"/>
      <c r="AX100" s="125"/>
      <c r="AY100" s="129"/>
      <c r="AZ100" s="153"/>
      <c r="BA100" s="128"/>
      <c r="BB100" s="125"/>
      <c r="BC100" s="129"/>
      <c r="BD100" s="153"/>
      <c r="BE100" s="128"/>
      <c r="BF100" s="125">
        <v>50000</v>
      </c>
      <c r="BG100" s="129">
        <v>25</v>
      </c>
      <c r="BH100" s="127">
        <v>44329</v>
      </c>
      <c r="BI100" s="128">
        <v>44335</v>
      </c>
      <c r="BJ100" s="125"/>
      <c r="BK100" s="129"/>
      <c r="BL100" s="153"/>
      <c r="BM100" s="128"/>
      <c r="BN100" s="129">
        <v>50000</v>
      </c>
      <c r="BO100" s="129">
        <v>28</v>
      </c>
      <c r="BP100" s="127">
        <v>44363</v>
      </c>
      <c r="BQ100" s="128"/>
      <c r="BR100" s="125"/>
      <c r="BS100" s="129"/>
      <c r="BT100" s="153"/>
      <c r="BU100" s="128"/>
      <c r="BV100" s="125"/>
      <c r="BW100" s="129"/>
      <c r="BX100" s="153"/>
      <c r="BY100" s="128"/>
      <c r="BZ100" s="712">
        <f t="shared" si="4"/>
        <v>456000</v>
      </c>
      <c r="CA100" s="415">
        <f t="shared" si="3"/>
        <v>273852</v>
      </c>
    </row>
    <row r="101" spans="1:79" s="709" customFormat="1" ht="33.75" x14ac:dyDescent="0.25">
      <c r="A101" s="709">
        <v>1</v>
      </c>
      <c r="B101" s="221">
        <v>86</v>
      </c>
      <c r="C101" s="221" t="s">
        <v>38</v>
      </c>
      <c r="D101" s="691">
        <v>40005071</v>
      </c>
      <c r="E101" s="150" t="s">
        <v>2055</v>
      </c>
      <c r="F101" s="700" t="s">
        <v>129</v>
      </c>
      <c r="G101" s="151" t="s">
        <v>1969</v>
      </c>
      <c r="H101" s="151" t="s">
        <v>1970</v>
      </c>
      <c r="I101" s="700" t="s">
        <v>1958</v>
      </c>
      <c r="J101" s="125">
        <v>172199</v>
      </c>
      <c r="K101" s="125">
        <v>0</v>
      </c>
      <c r="L101" s="125">
        <v>0</v>
      </c>
      <c r="M101" s="125"/>
      <c r="N101" s="125"/>
      <c r="O101" s="125"/>
      <c r="P101" s="125"/>
      <c r="Q101" s="125"/>
      <c r="R101" s="125"/>
      <c r="S101" s="125"/>
      <c r="T101" s="125"/>
      <c r="U101" s="125"/>
      <c r="V101" s="125"/>
      <c r="W101" s="125"/>
      <c r="X101" s="125"/>
      <c r="Y101" s="125">
        <f t="shared" si="1"/>
        <v>0</v>
      </c>
      <c r="Z101" s="125">
        <v>172199</v>
      </c>
      <c r="AA101" s="126">
        <v>3</v>
      </c>
      <c r="AB101" s="127">
        <v>44217</v>
      </c>
      <c r="AC101" s="128">
        <v>44221</v>
      </c>
      <c r="AD101" s="125"/>
      <c r="AE101" s="129"/>
      <c r="AF101" s="153"/>
      <c r="AG101" s="128"/>
      <c r="AH101" s="125"/>
      <c r="AI101" s="129"/>
      <c r="AJ101" s="153"/>
      <c r="AK101" s="128"/>
      <c r="AL101" s="125"/>
      <c r="AM101" s="129"/>
      <c r="AN101" s="153"/>
      <c r="AO101" s="128"/>
      <c r="AP101" s="125"/>
      <c r="AQ101" s="129"/>
      <c r="AR101" s="153"/>
      <c r="AS101" s="128"/>
      <c r="AT101" s="125"/>
      <c r="AU101" s="129"/>
      <c r="AV101" s="153"/>
      <c r="AW101" s="128"/>
      <c r="AX101" s="125"/>
      <c r="AY101" s="129"/>
      <c r="AZ101" s="153"/>
      <c r="BA101" s="128"/>
      <c r="BB101" s="125"/>
      <c r="BC101" s="129"/>
      <c r="BD101" s="153"/>
      <c r="BE101" s="128"/>
      <c r="BF101" s="125"/>
      <c r="BG101" s="129"/>
      <c r="BH101" s="153"/>
      <c r="BI101" s="128"/>
      <c r="BJ101" s="125"/>
      <c r="BK101" s="129"/>
      <c r="BL101" s="153"/>
      <c r="BM101" s="128"/>
      <c r="BN101" s="129"/>
      <c r="BO101" s="129"/>
      <c r="BP101" s="153"/>
      <c r="BQ101" s="128"/>
      <c r="BR101" s="125"/>
      <c r="BS101" s="129"/>
      <c r="BT101" s="153"/>
      <c r="BU101" s="128"/>
      <c r="BV101" s="125"/>
      <c r="BW101" s="129"/>
      <c r="BX101" s="153"/>
      <c r="BY101" s="128"/>
      <c r="BZ101" s="712">
        <f t="shared" si="4"/>
        <v>172199</v>
      </c>
      <c r="CA101" s="415">
        <f t="shared" si="3"/>
        <v>172199</v>
      </c>
    </row>
    <row r="102" spans="1:79" s="709" customFormat="1" ht="22.5" x14ac:dyDescent="0.25">
      <c r="A102" s="709">
        <v>1</v>
      </c>
      <c r="B102" s="221">
        <v>87</v>
      </c>
      <c r="C102" s="221" t="s">
        <v>38</v>
      </c>
      <c r="D102" s="691">
        <v>40006302</v>
      </c>
      <c r="E102" s="150" t="s">
        <v>2056</v>
      </c>
      <c r="F102" s="700" t="s">
        <v>45</v>
      </c>
      <c r="G102" s="151" t="s">
        <v>1956</v>
      </c>
      <c r="H102" s="151" t="s">
        <v>1960</v>
      </c>
      <c r="I102" s="700" t="s">
        <v>1958</v>
      </c>
      <c r="J102" s="125">
        <v>1718570</v>
      </c>
      <c r="K102" s="125">
        <v>0</v>
      </c>
      <c r="L102" s="125">
        <v>1250960</v>
      </c>
      <c r="M102" s="125"/>
      <c r="N102" s="125"/>
      <c r="O102" s="125"/>
      <c r="P102" s="125"/>
      <c r="Q102" s="125"/>
      <c r="R102" s="125">
        <v>2440</v>
      </c>
      <c r="S102" s="125"/>
      <c r="T102" s="125"/>
      <c r="U102" s="125"/>
      <c r="V102" s="125"/>
      <c r="W102" s="125"/>
      <c r="X102" s="125"/>
      <c r="Y102" s="125">
        <f t="shared" si="1"/>
        <v>2440</v>
      </c>
      <c r="Z102" s="125">
        <v>8485</v>
      </c>
      <c r="AA102" s="126">
        <v>3</v>
      </c>
      <c r="AB102" s="127">
        <v>44217</v>
      </c>
      <c r="AC102" s="128">
        <v>44221</v>
      </c>
      <c r="AD102" s="125"/>
      <c r="AE102" s="129"/>
      <c r="AF102" s="153"/>
      <c r="AG102" s="128"/>
      <c r="AH102" s="125"/>
      <c r="AI102" s="129"/>
      <c r="AJ102" s="153"/>
      <c r="AK102" s="128"/>
      <c r="AL102" s="125"/>
      <c r="AM102" s="129"/>
      <c r="AN102" s="153"/>
      <c r="AO102" s="128"/>
      <c r="AP102" s="125"/>
      <c r="AQ102" s="129"/>
      <c r="AR102" s="153"/>
      <c r="AS102" s="128"/>
      <c r="AT102" s="125"/>
      <c r="AU102" s="129"/>
      <c r="AV102" s="153"/>
      <c r="AW102" s="128"/>
      <c r="AX102" s="125"/>
      <c r="AY102" s="129"/>
      <c r="AZ102" s="153"/>
      <c r="BA102" s="128"/>
      <c r="BB102" s="125"/>
      <c r="BC102" s="129"/>
      <c r="BD102" s="153"/>
      <c r="BE102" s="128"/>
      <c r="BF102" s="125"/>
      <c r="BG102" s="129"/>
      <c r="BH102" s="153"/>
      <c r="BI102" s="128"/>
      <c r="BJ102" s="125"/>
      <c r="BK102" s="129"/>
      <c r="BL102" s="153"/>
      <c r="BM102" s="128"/>
      <c r="BN102" s="129">
        <v>300000</v>
      </c>
      <c r="BO102" s="129">
        <v>28</v>
      </c>
      <c r="BP102" s="127">
        <v>44363</v>
      </c>
      <c r="BQ102" s="128"/>
      <c r="BR102" s="125"/>
      <c r="BS102" s="129"/>
      <c r="BT102" s="153"/>
      <c r="BU102" s="128"/>
      <c r="BV102" s="125"/>
      <c r="BW102" s="129"/>
      <c r="BX102" s="153"/>
      <c r="BY102" s="128"/>
      <c r="BZ102" s="712">
        <f t="shared" si="4"/>
        <v>308485</v>
      </c>
      <c r="CA102" s="415">
        <f t="shared" si="3"/>
        <v>306045</v>
      </c>
    </row>
    <row r="103" spans="1:79" s="709" customFormat="1" ht="22.5" x14ac:dyDescent="0.25">
      <c r="A103" s="709">
        <v>1</v>
      </c>
      <c r="B103" s="221">
        <v>88</v>
      </c>
      <c r="C103" s="221" t="s">
        <v>38</v>
      </c>
      <c r="D103" s="691">
        <v>40009238</v>
      </c>
      <c r="E103" s="150" t="s">
        <v>2057</v>
      </c>
      <c r="F103" s="700" t="s">
        <v>45</v>
      </c>
      <c r="G103" s="151" t="s">
        <v>1956</v>
      </c>
      <c r="H103" s="151" t="s">
        <v>1960</v>
      </c>
      <c r="I103" s="700" t="s">
        <v>1958</v>
      </c>
      <c r="J103" s="125">
        <v>370803</v>
      </c>
      <c r="K103" s="125">
        <v>1000</v>
      </c>
      <c r="L103" s="125">
        <v>0</v>
      </c>
      <c r="M103" s="125"/>
      <c r="N103" s="125"/>
      <c r="O103" s="125">
        <v>38311</v>
      </c>
      <c r="P103" s="125">
        <v>30830</v>
      </c>
      <c r="Q103" s="125">
        <v>40913</v>
      </c>
      <c r="R103" s="125">
        <v>60123</v>
      </c>
      <c r="S103" s="125"/>
      <c r="T103" s="125"/>
      <c r="U103" s="125"/>
      <c r="V103" s="125"/>
      <c r="W103" s="125"/>
      <c r="X103" s="125"/>
      <c r="Y103" s="125">
        <f t="shared" si="1"/>
        <v>170177</v>
      </c>
      <c r="Z103" s="125">
        <v>369803</v>
      </c>
      <c r="AA103" s="126">
        <v>3</v>
      </c>
      <c r="AB103" s="127">
        <v>44217</v>
      </c>
      <c r="AC103" s="128">
        <v>44221</v>
      </c>
      <c r="AD103" s="125"/>
      <c r="AE103" s="129"/>
      <c r="AF103" s="153"/>
      <c r="AG103" s="128"/>
      <c r="AH103" s="125"/>
      <c r="AI103" s="129"/>
      <c r="AJ103" s="153"/>
      <c r="AK103" s="128"/>
      <c r="AL103" s="125"/>
      <c r="AM103" s="129"/>
      <c r="AN103" s="153"/>
      <c r="AO103" s="128"/>
      <c r="AP103" s="125"/>
      <c r="AQ103" s="129"/>
      <c r="AR103" s="153"/>
      <c r="AS103" s="128"/>
      <c r="AT103" s="125"/>
      <c r="AU103" s="129"/>
      <c r="AV103" s="153"/>
      <c r="AW103" s="128"/>
      <c r="AX103" s="125"/>
      <c r="AY103" s="129"/>
      <c r="AZ103" s="153"/>
      <c r="BA103" s="128"/>
      <c r="BB103" s="125"/>
      <c r="BC103" s="129"/>
      <c r="BD103" s="153"/>
      <c r="BE103" s="128"/>
      <c r="BF103" s="125"/>
      <c r="BG103" s="129"/>
      <c r="BH103" s="153"/>
      <c r="BI103" s="128"/>
      <c r="BJ103" s="125"/>
      <c r="BK103" s="129"/>
      <c r="BL103" s="153"/>
      <c r="BM103" s="128"/>
      <c r="BN103" s="129"/>
      <c r="BO103" s="129"/>
      <c r="BP103" s="153"/>
      <c r="BQ103" s="128"/>
      <c r="BR103" s="125"/>
      <c r="BS103" s="129"/>
      <c r="BT103" s="153"/>
      <c r="BU103" s="128"/>
      <c r="BV103" s="125"/>
      <c r="BW103" s="129"/>
      <c r="BX103" s="153"/>
      <c r="BY103" s="128"/>
      <c r="BZ103" s="712">
        <f t="shared" si="4"/>
        <v>369803</v>
      </c>
      <c r="CA103" s="415">
        <f t="shared" si="3"/>
        <v>199626</v>
      </c>
    </row>
    <row r="104" spans="1:79" s="709" customFormat="1" ht="22.5" x14ac:dyDescent="0.25">
      <c r="A104" s="709">
        <v>1</v>
      </c>
      <c r="B104" s="221">
        <v>89</v>
      </c>
      <c r="C104" s="221" t="s">
        <v>38</v>
      </c>
      <c r="D104" s="691">
        <v>40019276</v>
      </c>
      <c r="E104" s="150" t="s">
        <v>2058</v>
      </c>
      <c r="F104" s="700" t="s">
        <v>45</v>
      </c>
      <c r="G104" s="151" t="s">
        <v>1966</v>
      </c>
      <c r="H104" s="151" t="s">
        <v>2020</v>
      </c>
      <c r="I104" s="700" t="s">
        <v>1958</v>
      </c>
      <c r="J104" s="125">
        <v>801667</v>
      </c>
      <c r="K104" s="125">
        <v>0</v>
      </c>
      <c r="L104" s="125">
        <v>0</v>
      </c>
      <c r="M104" s="125"/>
      <c r="N104" s="125"/>
      <c r="O104" s="125"/>
      <c r="P104" s="125"/>
      <c r="Q104" s="125"/>
      <c r="R104" s="125"/>
      <c r="S104" s="125"/>
      <c r="T104" s="125"/>
      <c r="U104" s="125"/>
      <c r="V104" s="125"/>
      <c r="W104" s="125"/>
      <c r="X104" s="125"/>
      <c r="Y104" s="125">
        <f t="shared" si="1"/>
        <v>0</v>
      </c>
      <c r="Z104" s="125">
        <v>801667</v>
      </c>
      <c r="AA104" s="126">
        <v>3</v>
      </c>
      <c r="AB104" s="127">
        <v>44217</v>
      </c>
      <c r="AC104" s="127">
        <v>44221</v>
      </c>
      <c r="AD104" s="125"/>
      <c r="AE104" s="129"/>
      <c r="AF104" s="153"/>
      <c r="AG104" s="128"/>
      <c r="AH104" s="125"/>
      <c r="AI104" s="129"/>
      <c r="AJ104" s="153"/>
      <c r="AK104" s="128"/>
      <c r="AL104" s="125"/>
      <c r="AM104" s="129"/>
      <c r="AN104" s="153"/>
      <c r="AO104" s="128"/>
      <c r="AP104" s="125"/>
      <c r="AQ104" s="129"/>
      <c r="AR104" s="153"/>
      <c r="AS104" s="128"/>
      <c r="AT104" s="125"/>
      <c r="AU104" s="129"/>
      <c r="AV104" s="153"/>
      <c r="AW104" s="128"/>
      <c r="AX104" s="125"/>
      <c r="AY104" s="129"/>
      <c r="AZ104" s="153"/>
      <c r="BA104" s="128"/>
      <c r="BB104" s="125"/>
      <c r="BC104" s="129"/>
      <c r="BD104" s="153"/>
      <c r="BE104" s="128"/>
      <c r="BF104" s="125"/>
      <c r="BG104" s="129"/>
      <c r="BH104" s="153"/>
      <c r="BI104" s="128"/>
      <c r="BJ104" s="125"/>
      <c r="BK104" s="129"/>
      <c r="BL104" s="153"/>
      <c r="BM104" s="128"/>
      <c r="BN104" s="129"/>
      <c r="BO104" s="129"/>
      <c r="BP104" s="153"/>
      <c r="BQ104" s="128"/>
      <c r="BR104" s="125"/>
      <c r="BS104" s="129"/>
      <c r="BT104" s="153"/>
      <c r="BU104" s="128"/>
      <c r="BV104" s="125"/>
      <c r="BW104" s="129"/>
      <c r="BX104" s="153"/>
      <c r="BY104" s="128"/>
      <c r="BZ104" s="712">
        <f t="shared" si="4"/>
        <v>801667</v>
      </c>
      <c r="CA104" s="415">
        <f t="shared" si="3"/>
        <v>801667</v>
      </c>
    </row>
    <row r="105" spans="1:79" s="709" customFormat="1" ht="22.5" x14ac:dyDescent="0.25">
      <c r="A105" s="709">
        <v>1</v>
      </c>
      <c r="B105" s="221">
        <v>90</v>
      </c>
      <c r="C105" s="221" t="s">
        <v>38</v>
      </c>
      <c r="D105" s="691">
        <v>30351234</v>
      </c>
      <c r="E105" s="150" t="s">
        <v>2059</v>
      </c>
      <c r="F105" s="700" t="s">
        <v>45</v>
      </c>
      <c r="G105" s="151" t="s">
        <v>1966</v>
      </c>
      <c r="H105" s="151" t="s">
        <v>1967</v>
      </c>
      <c r="I105" s="700" t="s">
        <v>1961</v>
      </c>
      <c r="J105" s="125">
        <v>439722</v>
      </c>
      <c r="K105" s="125">
        <v>0</v>
      </c>
      <c r="L105" s="125">
        <v>0</v>
      </c>
      <c r="M105" s="125"/>
      <c r="N105" s="125"/>
      <c r="O105" s="125"/>
      <c r="P105" s="125"/>
      <c r="Q105" s="125"/>
      <c r="R105" s="125"/>
      <c r="S105" s="125"/>
      <c r="T105" s="125"/>
      <c r="U105" s="125"/>
      <c r="V105" s="125"/>
      <c r="W105" s="125"/>
      <c r="X105" s="125"/>
      <c r="Y105" s="125">
        <f t="shared" si="1"/>
        <v>0</v>
      </c>
      <c r="Z105" s="125">
        <v>3000</v>
      </c>
      <c r="AA105" s="126">
        <v>4</v>
      </c>
      <c r="AB105" s="127">
        <v>44224</v>
      </c>
      <c r="AC105" s="127">
        <v>44236</v>
      </c>
      <c r="AD105" s="125"/>
      <c r="AE105" s="129"/>
      <c r="AF105" s="153"/>
      <c r="AG105" s="128"/>
      <c r="AH105" s="125"/>
      <c r="AI105" s="129"/>
      <c r="AJ105" s="153"/>
      <c r="AK105" s="128"/>
      <c r="AL105" s="125"/>
      <c r="AM105" s="129"/>
      <c r="AN105" s="153"/>
      <c r="AO105" s="128"/>
      <c r="AP105" s="125"/>
      <c r="AQ105" s="129"/>
      <c r="AR105" s="153"/>
      <c r="AS105" s="128"/>
      <c r="AT105" s="125"/>
      <c r="AU105" s="129"/>
      <c r="AV105" s="153"/>
      <c r="AW105" s="128"/>
      <c r="AX105" s="125"/>
      <c r="AY105" s="129"/>
      <c r="AZ105" s="153"/>
      <c r="BA105" s="128"/>
      <c r="BB105" s="125"/>
      <c r="BC105" s="129"/>
      <c r="BD105" s="153"/>
      <c r="BE105" s="128"/>
      <c r="BF105" s="125"/>
      <c r="BG105" s="129"/>
      <c r="BH105" s="153"/>
      <c r="BI105" s="128"/>
      <c r="BJ105" s="125"/>
      <c r="BK105" s="129"/>
      <c r="BL105" s="153"/>
      <c r="BM105" s="128"/>
      <c r="BN105" s="129"/>
      <c r="BO105" s="129"/>
      <c r="BP105" s="153"/>
      <c r="BQ105" s="128"/>
      <c r="BR105" s="125"/>
      <c r="BS105" s="129"/>
      <c r="BT105" s="153"/>
      <c r="BU105" s="128"/>
      <c r="BV105" s="125"/>
      <c r="BW105" s="129"/>
      <c r="BX105" s="153"/>
      <c r="BY105" s="128"/>
      <c r="BZ105" s="712">
        <f t="shared" si="4"/>
        <v>3000</v>
      </c>
      <c r="CA105" s="415">
        <f t="shared" si="3"/>
        <v>3000</v>
      </c>
    </row>
    <row r="106" spans="1:79" s="709" customFormat="1" ht="22.5" x14ac:dyDescent="0.25">
      <c r="A106" s="709">
        <v>1</v>
      </c>
      <c r="B106" s="221">
        <v>91</v>
      </c>
      <c r="C106" s="221" t="s">
        <v>38</v>
      </c>
      <c r="D106" s="691">
        <v>30484306</v>
      </c>
      <c r="E106" s="150" t="s">
        <v>2060</v>
      </c>
      <c r="F106" s="700" t="s">
        <v>45</v>
      </c>
      <c r="G106" s="151" t="s">
        <v>1963</v>
      </c>
      <c r="H106" s="151" t="s">
        <v>1964</v>
      </c>
      <c r="I106" s="700" t="s">
        <v>1961</v>
      </c>
      <c r="J106" s="125">
        <v>1376127</v>
      </c>
      <c r="K106" s="125">
        <v>0</v>
      </c>
      <c r="L106" s="125">
        <v>14673</v>
      </c>
      <c r="M106" s="125"/>
      <c r="N106" s="125"/>
      <c r="O106" s="125"/>
      <c r="P106" s="125"/>
      <c r="Q106" s="125"/>
      <c r="R106" s="125"/>
      <c r="S106" s="125"/>
      <c r="T106" s="125"/>
      <c r="U106" s="125"/>
      <c r="V106" s="125"/>
      <c r="W106" s="125"/>
      <c r="X106" s="125"/>
      <c r="Y106" s="125">
        <f t="shared" si="1"/>
        <v>0</v>
      </c>
      <c r="Z106" s="125">
        <v>3000</v>
      </c>
      <c r="AA106" s="126">
        <v>4</v>
      </c>
      <c r="AB106" s="127">
        <v>44224</v>
      </c>
      <c r="AC106" s="127">
        <v>44236</v>
      </c>
      <c r="AD106" s="125"/>
      <c r="AE106" s="129"/>
      <c r="AF106" s="153"/>
      <c r="AG106" s="128"/>
      <c r="AH106" s="125"/>
      <c r="AI106" s="129"/>
      <c r="AJ106" s="153"/>
      <c r="AK106" s="128"/>
      <c r="AL106" s="125"/>
      <c r="AM106" s="129"/>
      <c r="AN106" s="153"/>
      <c r="AO106" s="128"/>
      <c r="AP106" s="125"/>
      <c r="AQ106" s="129"/>
      <c r="AR106" s="153"/>
      <c r="AS106" s="128"/>
      <c r="AT106" s="125"/>
      <c r="AU106" s="129"/>
      <c r="AV106" s="153"/>
      <c r="AW106" s="128"/>
      <c r="AX106" s="125"/>
      <c r="AY106" s="129"/>
      <c r="AZ106" s="153"/>
      <c r="BA106" s="128"/>
      <c r="BB106" s="125"/>
      <c r="BC106" s="129"/>
      <c r="BD106" s="153"/>
      <c r="BE106" s="128"/>
      <c r="BF106" s="125"/>
      <c r="BG106" s="129"/>
      <c r="BH106" s="153"/>
      <c r="BI106" s="128"/>
      <c r="BJ106" s="125"/>
      <c r="BK106" s="129"/>
      <c r="BL106" s="153"/>
      <c r="BM106" s="128"/>
      <c r="BN106" s="129"/>
      <c r="BO106" s="129"/>
      <c r="BP106" s="153"/>
      <c r="BQ106" s="128"/>
      <c r="BR106" s="125"/>
      <c r="BS106" s="129"/>
      <c r="BT106" s="153"/>
      <c r="BU106" s="128"/>
      <c r="BV106" s="125"/>
      <c r="BW106" s="129"/>
      <c r="BX106" s="153"/>
      <c r="BY106" s="128"/>
      <c r="BZ106" s="712">
        <f t="shared" si="4"/>
        <v>3000</v>
      </c>
      <c r="CA106" s="415">
        <f t="shared" si="3"/>
        <v>3000</v>
      </c>
    </row>
    <row r="107" spans="1:79" s="709" customFormat="1" ht="22.5" x14ac:dyDescent="0.25">
      <c r="A107" s="709">
        <v>1</v>
      </c>
      <c r="B107" s="221">
        <v>92</v>
      </c>
      <c r="C107" s="221" t="s">
        <v>38</v>
      </c>
      <c r="D107" s="691">
        <v>30387773</v>
      </c>
      <c r="E107" s="150" t="s">
        <v>2061</v>
      </c>
      <c r="F107" s="700" t="s">
        <v>46</v>
      </c>
      <c r="G107" s="151" t="s">
        <v>1966</v>
      </c>
      <c r="H107" s="151" t="s">
        <v>1967</v>
      </c>
      <c r="I107" s="700" t="s">
        <v>1958</v>
      </c>
      <c r="J107" s="125">
        <v>2350557</v>
      </c>
      <c r="K107" s="125">
        <v>1831507</v>
      </c>
      <c r="L107" s="125">
        <v>128502</v>
      </c>
      <c r="M107" s="125"/>
      <c r="N107" s="125"/>
      <c r="O107" s="125"/>
      <c r="P107" s="125"/>
      <c r="Q107" s="125"/>
      <c r="R107" s="125"/>
      <c r="S107" s="125"/>
      <c r="T107" s="125"/>
      <c r="U107" s="125"/>
      <c r="V107" s="125"/>
      <c r="W107" s="125"/>
      <c r="X107" s="125"/>
      <c r="Y107" s="125">
        <f t="shared" si="1"/>
        <v>0</v>
      </c>
      <c r="Z107" s="125">
        <v>390548</v>
      </c>
      <c r="AA107" s="126">
        <v>4</v>
      </c>
      <c r="AB107" s="127">
        <v>44224</v>
      </c>
      <c r="AC107" s="127">
        <v>44236</v>
      </c>
      <c r="AD107" s="125"/>
      <c r="AE107" s="129"/>
      <c r="AF107" s="153"/>
      <c r="AG107" s="128"/>
      <c r="AH107" s="125"/>
      <c r="AI107" s="129"/>
      <c r="AJ107" s="153"/>
      <c r="AK107" s="128"/>
      <c r="AL107" s="125"/>
      <c r="AM107" s="129"/>
      <c r="AN107" s="153"/>
      <c r="AO107" s="128"/>
      <c r="AP107" s="125"/>
      <c r="AQ107" s="129"/>
      <c r="AR107" s="153"/>
      <c r="AS107" s="128"/>
      <c r="AT107" s="125"/>
      <c r="AU107" s="129"/>
      <c r="AV107" s="153"/>
      <c r="AW107" s="128"/>
      <c r="AX107" s="125"/>
      <c r="AY107" s="129"/>
      <c r="AZ107" s="153"/>
      <c r="BA107" s="128"/>
      <c r="BB107" s="125"/>
      <c r="BC107" s="129"/>
      <c r="BD107" s="153"/>
      <c r="BE107" s="128"/>
      <c r="BF107" s="125"/>
      <c r="BG107" s="129"/>
      <c r="BH107" s="153"/>
      <c r="BI107" s="128"/>
      <c r="BJ107" s="125"/>
      <c r="BK107" s="129"/>
      <c r="BL107" s="153"/>
      <c r="BM107" s="128"/>
      <c r="BN107" s="129"/>
      <c r="BO107" s="129"/>
      <c r="BP107" s="153"/>
      <c r="BQ107" s="128"/>
      <c r="BR107" s="125"/>
      <c r="BS107" s="129"/>
      <c r="BT107" s="153"/>
      <c r="BU107" s="128"/>
      <c r="BV107" s="125"/>
      <c r="BW107" s="129"/>
      <c r="BX107" s="153"/>
      <c r="BY107" s="128"/>
      <c r="BZ107" s="712">
        <f t="shared" si="4"/>
        <v>390548</v>
      </c>
      <c r="CA107" s="415">
        <f t="shared" si="3"/>
        <v>390548</v>
      </c>
    </row>
    <row r="108" spans="1:79" s="709" customFormat="1" ht="22.5" x14ac:dyDescent="0.25">
      <c r="A108" s="709">
        <v>1</v>
      </c>
      <c r="B108" s="221">
        <v>93</v>
      </c>
      <c r="C108" s="221" t="s">
        <v>38</v>
      </c>
      <c r="D108" s="691">
        <v>30386072</v>
      </c>
      <c r="E108" s="150" t="s">
        <v>2062</v>
      </c>
      <c r="F108" s="700" t="s">
        <v>46</v>
      </c>
      <c r="G108" s="151" t="s">
        <v>1956</v>
      </c>
      <c r="H108" s="151" t="s">
        <v>1960</v>
      </c>
      <c r="I108" s="700" t="s">
        <v>1958</v>
      </c>
      <c r="J108" s="125">
        <v>765999</v>
      </c>
      <c r="K108" s="125">
        <v>193268</v>
      </c>
      <c r="L108" s="125">
        <v>115000</v>
      </c>
      <c r="M108" s="125"/>
      <c r="N108" s="125"/>
      <c r="O108" s="125"/>
      <c r="P108" s="125"/>
      <c r="Q108" s="125"/>
      <c r="R108" s="125"/>
      <c r="S108" s="125"/>
      <c r="T108" s="125"/>
      <c r="U108" s="125"/>
      <c r="V108" s="125"/>
      <c r="W108" s="125"/>
      <c r="X108" s="125"/>
      <c r="Y108" s="125">
        <f t="shared" si="1"/>
        <v>0</v>
      </c>
      <c r="Z108" s="125">
        <v>457731</v>
      </c>
      <c r="AA108" s="126">
        <v>4</v>
      </c>
      <c r="AB108" s="127">
        <v>44224</v>
      </c>
      <c r="AC108" s="127">
        <v>44236</v>
      </c>
      <c r="AD108" s="125"/>
      <c r="AE108" s="129"/>
      <c r="AF108" s="153"/>
      <c r="AG108" s="128"/>
      <c r="AH108" s="125"/>
      <c r="AI108" s="129"/>
      <c r="AJ108" s="153"/>
      <c r="AK108" s="128"/>
      <c r="AL108" s="125"/>
      <c r="AM108" s="129"/>
      <c r="AN108" s="153"/>
      <c r="AO108" s="128"/>
      <c r="AP108" s="125"/>
      <c r="AQ108" s="129"/>
      <c r="AR108" s="153"/>
      <c r="AS108" s="128"/>
      <c r="AT108" s="125"/>
      <c r="AU108" s="129"/>
      <c r="AV108" s="153"/>
      <c r="AW108" s="128"/>
      <c r="AX108" s="125"/>
      <c r="AY108" s="129"/>
      <c r="AZ108" s="153"/>
      <c r="BA108" s="128"/>
      <c r="BB108" s="125"/>
      <c r="BC108" s="129"/>
      <c r="BD108" s="153"/>
      <c r="BE108" s="128"/>
      <c r="BF108" s="125"/>
      <c r="BG108" s="129"/>
      <c r="BH108" s="153"/>
      <c r="BI108" s="128"/>
      <c r="BJ108" s="125"/>
      <c r="BK108" s="129"/>
      <c r="BL108" s="153"/>
      <c r="BM108" s="128"/>
      <c r="BN108" s="129"/>
      <c r="BO108" s="129"/>
      <c r="BP108" s="153"/>
      <c r="BQ108" s="128"/>
      <c r="BR108" s="125"/>
      <c r="BS108" s="129"/>
      <c r="BT108" s="153"/>
      <c r="BU108" s="128"/>
      <c r="BV108" s="125"/>
      <c r="BW108" s="129"/>
      <c r="BX108" s="153"/>
      <c r="BY108" s="128"/>
      <c r="BZ108" s="712">
        <f t="shared" si="4"/>
        <v>457731</v>
      </c>
      <c r="CA108" s="415">
        <f t="shared" si="3"/>
        <v>457731</v>
      </c>
    </row>
    <row r="109" spans="1:79" s="709" customFormat="1" ht="22.5" x14ac:dyDescent="0.25">
      <c r="A109" s="709">
        <v>1</v>
      </c>
      <c r="B109" s="221">
        <v>94</v>
      </c>
      <c r="C109" s="221" t="s">
        <v>38</v>
      </c>
      <c r="D109" s="691">
        <v>30104545</v>
      </c>
      <c r="E109" s="150" t="s">
        <v>2063</v>
      </c>
      <c r="F109" s="700" t="s">
        <v>46</v>
      </c>
      <c r="G109" s="151" t="s">
        <v>1956</v>
      </c>
      <c r="H109" s="151" t="s">
        <v>1960</v>
      </c>
      <c r="I109" s="700" t="s">
        <v>1958</v>
      </c>
      <c r="J109" s="125">
        <v>132514</v>
      </c>
      <c r="K109" s="125">
        <v>73186</v>
      </c>
      <c r="L109" s="125">
        <v>34364</v>
      </c>
      <c r="M109" s="125"/>
      <c r="N109" s="125"/>
      <c r="O109" s="125"/>
      <c r="P109" s="125"/>
      <c r="Q109" s="125"/>
      <c r="R109" s="125"/>
      <c r="S109" s="125"/>
      <c r="T109" s="125"/>
      <c r="U109" s="125"/>
      <c r="V109" s="125"/>
      <c r="W109" s="125"/>
      <c r="X109" s="125"/>
      <c r="Y109" s="125">
        <f t="shared" si="1"/>
        <v>0</v>
      </c>
      <c r="Z109" s="125">
        <v>24964</v>
      </c>
      <c r="AA109" s="126">
        <v>4</v>
      </c>
      <c r="AB109" s="127">
        <v>44224</v>
      </c>
      <c r="AC109" s="127">
        <v>44236</v>
      </c>
      <c r="AD109" s="125"/>
      <c r="AE109" s="129"/>
      <c r="AF109" s="153"/>
      <c r="AG109" s="128"/>
      <c r="AH109" s="125"/>
      <c r="AI109" s="129"/>
      <c r="AJ109" s="153"/>
      <c r="AK109" s="128"/>
      <c r="AL109" s="125"/>
      <c r="AM109" s="129"/>
      <c r="AN109" s="153"/>
      <c r="AO109" s="128"/>
      <c r="AP109" s="125"/>
      <c r="AQ109" s="129"/>
      <c r="AR109" s="153"/>
      <c r="AS109" s="128"/>
      <c r="AT109" s="125"/>
      <c r="AU109" s="129"/>
      <c r="AV109" s="153"/>
      <c r="AW109" s="128"/>
      <c r="AX109" s="125"/>
      <c r="AY109" s="129"/>
      <c r="AZ109" s="153"/>
      <c r="BA109" s="128"/>
      <c r="BB109" s="125"/>
      <c r="BC109" s="129"/>
      <c r="BD109" s="153"/>
      <c r="BE109" s="128"/>
      <c r="BF109" s="125"/>
      <c r="BG109" s="129"/>
      <c r="BH109" s="153"/>
      <c r="BI109" s="128"/>
      <c r="BJ109" s="125"/>
      <c r="BK109" s="129"/>
      <c r="BL109" s="153"/>
      <c r="BM109" s="128"/>
      <c r="BN109" s="129"/>
      <c r="BO109" s="129"/>
      <c r="BP109" s="153"/>
      <c r="BQ109" s="128"/>
      <c r="BR109" s="125"/>
      <c r="BS109" s="129"/>
      <c r="BT109" s="153"/>
      <c r="BU109" s="128"/>
      <c r="BV109" s="125"/>
      <c r="BW109" s="129"/>
      <c r="BX109" s="153"/>
      <c r="BY109" s="128"/>
      <c r="BZ109" s="712">
        <f t="shared" si="4"/>
        <v>24964</v>
      </c>
      <c r="CA109" s="415">
        <f t="shared" si="3"/>
        <v>24964</v>
      </c>
    </row>
    <row r="110" spans="1:79" s="709" customFormat="1" ht="22.5" x14ac:dyDescent="0.25">
      <c r="A110" s="709">
        <v>1</v>
      </c>
      <c r="B110" s="221">
        <v>95</v>
      </c>
      <c r="C110" s="221" t="s">
        <v>38</v>
      </c>
      <c r="D110" s="691">
        <v>30383922</v>
      </c>
      <c r="E110" s="150" t="s">
        <v>2064</v>
      </c>
      <c r="F110" s="700" t="s">
        <v>46</v>
      </c>
      <c r="G110" s="151" t="s">
        <v>1966</v>
      </c>
      <c r="H110" s="151" t="s">
        <v>1967</v>
      </c>
      <c r="I110" s="700" t="s">
        <v>1958</v>
      </c>
      <c r="J110" s="125">
        <v>148273</v>
      </c>
      <c r="K110" s="125">
        <v>134448</v>
      </c>
      <c r="L110" s="125">
        <v>0</v>
      </c>
      <c r="M110" s="125"/>
      <c r="N110" s="125"/>
      <c r="O110" s="125"/>
      <c r="P110" s="125"/>
      <c r="Q110" s="125"/>
      <c r="R110" s="125"/>
      <c r="S110" s="125"/>
      <c r="T110" s="125"/>
      <c r="U110" s="125"/>
      <c r="V110" s="125"/>
      <c r="W110" s="125"/>
      <c r="X110" s="125"/>
      <c r="Y110" s="125">
        <f t="shared" si="1"/>
        <v>0</v>
      </c>
      <c r="Z110" s="125">
        <v>13825</v>
      </c>
      <c r="AA110" s="126">
        <v>4</v>
      </c>
      <c r="AB110" s="127">
        <v>44224</v>
      </c>
      <c r="AC110" s="127">
        <v>44236</v>
      </c>
      <c r="AD110" s="125"/>
      <c r="AE110" s="129"/>
      <c r="AF110" s="153"/>
      <c r="AG110" s="128"/>
      <c r="AH110" s="125"/>
      <c r="AI110" s="129"/>
      <c r="AJ110" s="153"/>
      <c r="AK110" s="128"/>
      <c r="AL110" s="125"/>
      <c r="AM110" s="129"/>
      <c r="AN110" s="153"/>
      <c r="AO110" s="128"/>
      <c r="AP110" s="125"/>
      <c r="AQ110" s="129"/>
      <c r="AR110" s="153"/>
      <c r="AS110" s="128"/>
      <c r="AT110" s="125"/>
      <c r="AU110" s="129"/>
      <c r="AV110" s="153"/>
      <c r="AW110" s="128"/>
      <c r="AX110" s="125"/>
      <c r="AY110" s="129"/>
      <c r="AZ110" s="153"/>
      <c r="BA110" s="128"/>
      <c r="BB110" s="125"/>
      <c r="BC110" s="129"/>
      <c r="BD110" s="153"/>
      <c r="BE110" s="128"/>
      <c r="BF110" s="125"/>
      <c r="BG110" s="129"/>
      <c r="BH110" s="153"/>
      <c r="BI110" s="128"/>
      <c r="BJ110" s="125"/>
      <c r="BK110" s="129"/>
      <c r="BL110" s="153"/>
      <c r="BM110" s="128"/>
      <c r="BN110" s="129"/>
      <c r="BO110" s="129"/>
      <c r="BP110" s="153"/>
      <c r="BQ110" s="128"/>
      <c r="BR110" s="125"/>
      <c r="BS110" s="129"/>
      <c r="BT110" s="153"/>
      <c r="BU110" s="128"/>
      <c r="BV110" s="125"/>
      <c r="BW110" s="129"/>
      <c r="BX110" s="153"/>
      <c r="BY110" s="128"/>
      <c r="BZ110" s="712">
        <f t="shared" si="4"/>
        <v>13825</v>
      </c>
      <c r="CA110" s="415">
        <f t="shared" si="3"/>
        <v>13825</v>
      </c>
    </row>
    <row r="111" spans="1:79" s="709" customFormat="1" ht="22.5" x14ac:dyDescent="0.25">
      <c r="A111" s="709">
        <v>1</v>
      </c>
      <c r="B111" s="221">
        <v>96</v>
      </c>
      <c r="C111" s="221" t="s">
        <v>38</v>
      </c>
      <c r="D111" s="691">
        <v>40009241</v>
      </c>
      <c r="E111" s="150" t="s">
        <v>2065</v>
      </c>
      <c r="F111" s="700" t="s">
        <v>45</v>
      </c>
      <c r="G111" s="151" t="s">
        <v>1956</v>
      </c>
      <c r="H111" s="151" t="s">
        <v>1960</v>
      </c>
      <c r="I111" s="700" t="s">
        <v>1961</v>
      </c>
      <c r="J111" s="125">
        <v>177637</v>
      </c>
      <c r="K111" s="125">
        <v>0</v>
      </c>
      <c r="L111" s="125">
        <v>69559</v>
      </c>
      <c r="M111" s="125"/>
      <c r="N111" s="125"/>
      <c r="O111" s="125"/>
      <c r="P111" s="125"/>
      <c r="Q111" s="125"/>
      <c r="R111" s="125"/>
      <c r="S111" s="125"/>
      <c r="T111" s="125"/>
      <c r="U111" s="125"/>
      <c r="V111" s="125"/>
      <c r="W111" s="125"/>
      <c r="X111" s="125"/>
      <c r="Y111" s="125">
        <f t="shared" si="1"/>
        <v>0</v>
      </c>
      <c r="Z111" s="125">
        <v>4</v>
      </c>
      <c r="AA111" s="126">
        <v>6</v>
      </c>
      <c r="AB111" s="127">
        <v>44230</v>
      </c>
      <c r="AC111" s="127">
        <v>44242</v>
      </c>
      <c r="AD111" s="125"/>
      <c r="AE111" s="129"/>
      <c r="AF111" s="153"/>
      <c r="AG111" s="128"/>
      <c r="AH111" s="125"/>
      <c r="AI111" s="129"/>
      <c r="AJ111" s="153"/>
      <c r="AK111" s="128"/>
      <c r="AL111" s="125"/>
      <c r="AM111" s="129"/>
      <c r="AN111" s="153"/>
      <c r="AO111" s="128"/>
      <c r="AP111" s="125"/>
      <c r="AQ111" s="129"/>
      <c r="AR111" s="153"/>
      <c r="AS111" s="128"/>
      <c r="AT111" s="125"/>
      <c r="AU111" s="129"/>
      <c r="AV111" s="153"/>
      <c r="AW111" s="128"/>
      <c r="AX111" s="125"/>
      <c r="AY111" s="129"/>
      <c r="AZ111" s="153"/>
      <c r="BA111" s="128"/>
      <c r="BB111" s="125"/>
      <c r="BC111" s="129"/>
      <c r="BD111" s="153"/>
      <c r="BE111" s="128"/>
      <c r="BF111" s="125"/>
      <c r="BG111" s="129"/>
      <c r="BH111" s="153"/>
      <c r="BI111" s="128"/>
      <c r="BJ111" s="125"/>
      <c r="BK111" s="129"/>
      <c r="BL111" s="153"/>
      <c r="BM111" s="128"/>
      <c r="BN111" s="129"/>
      <c r="BO111" s="129"/>
      <c r="BP111" s="153"/>
      <c r="BQ111" s="128"/>
      <c r="BR111" s="125"/>
      <c r="BS111" s="129"/>
      <c r="BT111" s="153"/>
      <c r="BU111" s="128"/>
      <c r="BV111" s="125"/>
      <c r="BW111" s="129"/>
      <c r="BX111" s="153"/>
      <c r="BY111" s="128"/>
      <c r="BZ111" s="712">
        <f t="shared" si="4"/>
        <v>4</v>
      </c>
      <c r="CA111" s="415">
        <f t="shared" si="3"/>
        <v>4</v>
      </c>
    </row>
    <row r="112" spans="1:79" s="709" customFormat="1" ht="22.5" x14ac:dyDescent="0.25">
      <c r="A112" s="709">
        <v>1</v>
      </c>
      <c r="B112" s="221">
        <v>97</v>
      </c>
      <c r="C112" s="221" t="s">
        <v>38</v>
      </c>
      <c r="D112" s="691">
        <v>40026408</v>
      </c>
      <c r="E112" s="150" t="s">
        <v>2066</v>
      </c>
      <c r="F112" s="700" t="s">
        <v>45</v>
      </c>
      <c r="G112" s="151" t="s">
        <v>1956</v>
      </c>
      <c r="H112" s="151" t="s">
        <v>1960</v>
      </c>
      <c r="I112" s="700" t="s">
        <v>1961</v>
      </c>
      <c r="J112" s="125">
        <v>138696</v>
      </c>
      <c r="K112" s="125">
        <v>0</v>
      </c>
      <c r="L112" s="125">
        <v>106544</v>
      </c>
      <c r="M112" s="125"/>
      <c r="N112" s="125"/>
      <c r="O112" s="125"/>
      <c r="P112" s="125"/>
      <c r="Q112" s="125"/>
      <c r="R112" s="125"/>
      <c r="S112" s="125"/>
      <c r="T112" s="125"/>
      <c r="U112" s="125"/>
      <c r="V112" s="125"/>
      <c r="W112" s="125"/>
      <c r="X112" s="125"/>
      <c r="Y112" s="125">
        <f t="shared" ref="Y112:Y141" si="5">SUM(M112:X112)</f>
        <v>0</v>
      </c>
      <c r="Z112" s="125">
        <v>3</v>
      </c>
      <c r="AA112" s="126">
        <v>6</v>
      </c>
      <c r="AB112" s="127">
        <v>44230</v>
      </c>
      <c r="AC112" s="127">
        <v>44242</v>
      </c>
      <c r="AD112" s="125"/>
      <c r="AE112" s="129"/>
      <c r="AF112" s="153"/>
      <c r="AG112" s="128"/>
      <c r="AH112" s="125"/>
      <c r="AI112" s="129"/>
      <c r="AJ112" s="153"/>
      <c r="AK112" s="128"/>
      <c r="AL112" s="125"/>
      <c r="AM112" s="129"/>
      <c r="AN112" s="153"/>
      <c r="AO112" s="128"/>
      <c r="AP112" s="125"/>
      <c r="AQ112" s="129"/>
      <c r="AR112" s="153"/>
      <c r="AS112" s="128"/>
      <c r="AT112" s="125"/>
      <c r="AU112" s="129"/>
      <c r="AV112" s="153"/>
      <c r="AW112" s="128"/>
      <c r="AX112" s="125"/>
      <c r="AY112" s="129"/>
      <c r="AZ112" s="153"/>
      <c r="BA112" s="128"/>
      <c r="BB112" s="125"/>
      <c r="BC112" s="129"/>
      <c r="BD112" s="153"/>
      <c r="BE112" s="128"/>
      <c r="BF112" s="125"/>
      <c r="BG112" s="129"/>
      <c r="BH112" s="153"/>
      <c r="BI112" s="128"/>
      <c r="BJ112" s="125"/>
      <c r="BK112" s="129"/>
      <c r="BL112" s="153"/>
      <c r="BM112" s="128"/>
      <c r="BN112" s="129"/>
      <c r="BO112" s="129"/>
      <c r="BP112" s="153"/>
      <c r="BQ112" s="128"/>
      <c r="BR112" s="125"/>
      <c r="BS112" s="129"/>
      <c r="BT112" s="153"/>
      <c r="BU112" s="128"/>
      <c r="BV112" s="125"/>
      <c r="BW112" s="129"/>
      <c r="BX112" s="153"/>
      <c r="BY112" s="128"/>
      <c r="BZ112" s="712">
        <f t="shared" si="4"/>
        <v>3</v>
      </c>
      <c r="CA112" s="415">
        <f t="shared" si="3"/>
        <v>3</v>
      </c>
    </row>
    <row r="113" spans="1:79" s="709" customFormat="1" ht="22.5" x14ac:dyDescent="0.25">
      <c r="A113" s="709">
        <v>1</v>
      </c>
      <c r="B113" s="221">
        <v>98</v>
      </c>
      <c r="C113" s="221" t="s">
        <v>38</v>
      </c>
      <c r="D113" s="691">
        <v>30220022</v>
      </c>
      <c r="E113" s="150" t="s">
        <v>2067</v>
      </c>
      <c r="F113" s="700" t="s">
        <v>45</v>
      </c>
      <c r="G113" s="151" t="s">
        <v>1956</v>
      </c>
      <c r="H113" s="151" t="s">
        <v>1960</v>
      </c>
      <c r="I113" s="700" t="s">
        <v>1958</v>
      </c>
      <c r="J113" s="125">
        <v>12648092</v>
      </c>
      <c r="K113" s="125">
        <v>0</v>
      </c>
      <c r="L113" s="125">
        <v>12553166</v>
      </c>
      <c r="M113" s="125"/>
      <c r="N113" s="125"/>
      <c r="O113" s="125"/>
      <c r="P113" s="125"/>
      <c r="Q113" s="125"/>
      <c r="R113" s="125"/>
      <c r="S113" s="125"/>
      <c r="T113" s="125"/>
      <c r="U113" s="125"/>
      <c r="V113" s="125"/>
      <c r="W113" s="125"/>
      <c r="X113" s="125"/>
      <c r="Y113" s="125">
        <f t="shared" si="5"/>
        <v>0</v>
      </c>
      <c r="Z113" s="125">
        <v>4</v>
      </c>
      <c r="AA113" s="126">
        <v>6</v>
      </c>
      <c r="AB113" s="127">
        <v>44230</v>
      </c>
      <c r="AC113" s="127">
        <v>44242</v>
      </c>
      <c r="AD113" s="125"/>
      <c r="AE113" s="129"/>
      <c r="AF113" s="153"/>
      <c r="AG113" s="128"/>
      <c r="AH113" s="125"/>
      <c r="AI113" s="129"/>
      <c r="AJ113" s="153"/>
      <c r="AK113" s="128"/>
      <c r="AL113" s="125"/>
      <c r="AM113" s="129"/>
      <c r="AN113" s="153"/>
      <c r="AO113" s="128"/>
      <c r="AP113" s="125"/>
      <c r="AQ113" s="129"/>
      <c r="AR113" s="153"/>
      <c r="AS113" s="128"/>
      <c r="AT113" s="125"/>
      <c r="AU113" s="129"/>
      <c r="AV113" s="153"/>
      <c r="AW113" s="128"/>
      <c r="AX113" s="125"/>
      <c r="AY113" s="129"/>
      <c r="AZ113" s="153"/>
      <c r="BA113" s="128"/>
      <c r="BB113" s="125"/>
      <c r="BC113" s="129"/>
      <c r="BD113" s="153"/>
      <c r="BE113" s="128"/>
      <c r="BF113" s="125"/>
      <c r="BG113" s="129"/>
      <c r="BH113" s="153"/>
      <c r="BI113" s="128"/>
      <c r="BJ113" s="125"/>
      <c r="BK113" s="129"/>
      <c r="BL113" s="153"/>
      <c r="BM113" s="128"/>
      <c r="BN113" s="129"/>
      <c r="BO113" s="129"/>
      <c r="BP113" s="153"/>
      <c r="BQ113" s="128"/>
      <c r="BR113" s="125"/>
      <c r="BS113" s="129"/>
      <c r="BT113" s="153"/>
      <c r="BU113" s="128"/>
      <c r="BV113" s="125"/>
      <c r="BW113" s="129"/>
      <c r="BX113" s="153"/>
      <c r="BY113" s="128"/>
      <c r="BZ113" s="712">
        <f t="shared" si="4"/>
        <v>4</v>
      </c>
      <c r="CA113" s="415">
        <f t="shared" si="3"/>
        <v>4</v>
      </c>
    </row>
    <row r="114" spans="1:79" s="709" customFormat="1" ht="22.5" x14ac:dyDescent="0.25">
      <c r="A114" s="709">
        <v>1</v>
      </c>
      <c r="B114" s="221">
        <v>99</v>
      </c>
      <c r="C114" s="221" t="s">
        <v>38</v>
      </c>
      <c r="D114" s="691">
        <v>30463994</v>
      </c>
      <c r="E114" s="150" t="s">
        <v>2068</v>
      </c>
      <c r="F114" s="700" t="s">
        <v>45</v>
      </c>
      <c r="G114" s="151" t="s">
        <v>1956</v>
      </c>
      <c r="H114" s="151" t="s">
        <v>1960</v>
      </c>
      <c r="I114" s="700" t="s">
        <v>1958</v>
      </c>
      <c r="J114" s="125">
        <v>541700</v>
      </c>
      <c r="K114" s="125">
        <v>1663</v>
      </c>
      <c r="L114" s="125">
        <v>0</v>
      </c>
      <c r="M114" s="125"/>
      <c r="N114" s="125"/>
      <c r="O114" s="125"/>
      <c r="P114" s="125"/>
      <c r="Q114" s="125">
        <v>148952</v>
      </c>
      <c r="R114" s="125">
        <v>104011</v>
      </c>
      <c r="S114" s="125"/>
      <c r="T114" s="125"/>
      <c r="U114" s="125"/>
      <c r="V114" s="125"/>
      <c r="W114" s="125"/>
      <c r="X114" s="125"/>
      <c r="Y114" s="125">
        <f t="shared" si="5"/>
        <v>252963</v>
      </c>
      <c r="Z114" s="125">
        <v>540037</v>
      </c>
      <c r="AA114" s="126">
        <v>6</v>
      </c>
      <c r="AB114" s="127">
        <v>44230</v>
      </c>
      <c r="AC114" s="127">
        <v>44242</v>
      </c>
      <c r="AD114" s="125"/>
      <c r="AE114" s="129"/>
      <c r="AF114" s="153"/>
      <c r="AG114" s="128"/>
      <c r="AH114" s="125"/>
      <c r="AI114" s="129"/>
      <c r="AJ114" s="153"/>
      <c r="AK114" s="128"/>
      <c r="AL114" s="125"/>
      <c r="AM114" s="129"/>
      <c r="AN114" s="153"/>
      <c r="AO114" s="128"/>
      <c r="AP114" s="125"/>
      <c r="AQ114" s="129"/>
      <c r="AR114" s="153"/>
      <c r="AS114" s="128"/>
      <c r="AT114" s="125"/>
      <c r="AU114" s="129"/>
      <c r="AV114" s="153"/>
      <c r="AW114" s="128"/>
      <c r="AX114" s="125"/>
      <c r="AY114" s="129"/>
      <c r="AZ114" s="153"/>
      <c r="BA114" s="128"/>
      <c r="BB114" s="125"/>
      <c r="BC114" s="129"/>
      <c r="BD114" s="153"/>
      <c r="BE114" s="128"/>
      <c r="BF114" s="125"/>
      <c r="BG114" s="129"/>
      <c r="BH114" s="153"/>
      <c r="BI114" s="128"/>
      <c r="BJ114" s="125"/>
      <c r="BK114" s="129"/>
      <c r="BL114" s="153"/>
      <c r="BM114" s="128"/>
      <c r="BN114" s="129"/>
      <c r="BO114" s="129"/>
      <c r="BP114" s="153"/>
      <c r="BQ114" s="128"/>
      <c r="BR114" s="125"/>
      <c r="BS114" s="129"/>
      <c r="BT114" s="153"/>
      <c r="BU114" s="128"/>
      <c r="BV114" s="125"/>
      <c r="BW114" s="129"/>
      <c r="BX114" s="153"/>
      <c r="BY114" s="128"/>
      <c r="BZ114" s="712">
        <f t="shared" si="4"/>
        <v>540037</v>
      </c>
      <c r="CA114" s="415">
        <f t="shared" si="3"/>
        <v>287074</v>
      </c>
    </row>
    <row r="115" spans="1:79" s="709" customFormat="1" ht="22.5" x14ac:dyDescent="0.25">
      <c r="A115" s="709">
        <v>1</v>
      </c>
      <c r="B115" s="221">
        <v>100</v>
      </c>
      <c r="C115" s="221" t="s">
        <v>38</v>
      </c>
      <c r="D115" s="691">
        <v>40024775</v>
      </c>
      <c r="E115" s="150" t="s">
        <v>2069</v>
      </c>
      <c r="F115" s="700" t="s">
        <v>46</v>
      </c>
      <c r="G115" s="151" t="s">
        <v>1956</v>
      </c>
      <c r="H115" s="151" t="s">
        <v>1960</v>
      </c>
      <c r="I115" s="700" t="s">
        <v>1958</v>
      </c>
      <c r="J115" s="125">
        <v>369969</v>
      </c>
      <c r="K115" s="125">
        <v>0</v>
      </c>
      <c r="L115" s="125">
        <v>189480</v>
      </c>
      <c r="M115" s="125"/>
      <c r="N115" s="125"/>
      <c r="O115" s="125"/>
      <c r="P115" s="125"/>
      <c r="Q115" s="125"/>
      <c r="R115" s="125"/>
      <c r="S115" s="125"/>
      <c r="T115" s="125"/>
      <c r="U115" s="125"/>
      <c r="V115" s="125"/>
      <c r="W115" s="125"/>
      <c r="X115" s="125"/>
      <c r="Y115" s="125">
        <f t="shared" si="5"/>
        <v>0</v>
      </c>
      <c r="Z115" s="125">
        <v>180489</v>
      </c>
      <c r="AA115" s="126">
        <v>9</v>
      </c>
      <c r="AB115" s="127">
        <v>44244</v>
      </c>
      <c r="AC115" s="127">
        <v>44249</v>
      </c>
      <c r="AD115" s="125"/>
      <c r="AE115" s="129"/>
      <c r="AF115" s="153"/>
      <c r="AG115" s="128"/>
      <c r="AH115" s="125"/>
      <c r="AI115" s="129"/>
      <c r="AJ115" s="153"/>
      <c r="AK115" s="128"/>
      <c r="AL115" s="125"/>
      <c r="AM115" s="129"/>
      <c r="AN115" s="153"/>
      <c r="AO115" s="128"/>
      <c r="AP115" s="125"/>
      <c r="AQ115" s="129"/>
      <c r="AR115" s="153"/>
      <c r="AS115" s="128"/>
      <c r="AT115" s="125"/>
      <c r="AU115" s="129"/>
      <c r="AV115" s="153"/>
      <c r="AW115" s="128"/>
      <c r="AX115" s="125"/>
      <c r="AY115" s="129"/>
      <c r="AZ115" s="153"/>
      <c r="BA115" s="128"/>
      <c r="BB115" s="125"/>
      <c r="BC115" s="129"/>
      <c r="BD115" s="153"/>
      <c r="BE115" s="128"/>
      <c r="BF115" s="125"/>
      <c r="BG115" s="129"/>
      <c r="BH115" s="153"/>
      <c r="BI115" s="128"/>
      <c r="BJ115" s="125"/>
      <c r="BK115" s="129"/>
      <c r="BL115" s="153"/>
      <c r="BM115" s="128"/>
      <c r="BN115" s="129"/>
      <c r="BO115" s="129"/>
      <c r="BP115" s="153"/>
      <c r="BQ115" s="128"/>
      <c r="BR115" s="125"/>
      <c r="BS115" s="129"/>
      <c r="BT115" s="153"/>
      <c r="BU115" s="128"/>
      <c r="BV115" s="125"/>
      <c r="BW115" s="129"/>
      <c r="BX115" s="153"/>
      <c r="BY115" s="128"/>
      <c r="BZ115" s="712">
        <f t="shared" si="4"/>
        <v>180489</v>
      </c>
      <c r="CA115" s="415">
        <f t="shared" si="3"/>
        <v>180489</v>
      </c>
    </row>
    <row r="116" spans="1:79" s="709" customFormat="1" ht="22.5" x14ac:dyDescent="0.25">
      <c r="A116" s="709">
        <v>1</v>
      </c>
      <c r="B116" s="221">
        <v>101</v>
      </c>
      <c r="C116" s="221" t="s">
        <v>38</v>
      </c>
      <c r="D116" s="691">
        <v>30472846</v>
      </c>
      <c r="E116" s="150" t="s">
        <v>2070</v>
      </c>
      <c r="F116" s="700" t="s">
        <v>45</v>
      </c>
      <c r="G116" s="151" t="s">
        <v>903</v>
      </c>
      <c r="H116" s="151" t="s">
        <v>226</v>
      </c>
      <c r="I116" s="700" t="s">
        <v>1958</v>
      </c>
      <c r="J116" s="125">
        <v>3896596</v>
      </c>
      <c r="K116" s="125">
        <v>3710441</v>
      </c>
      <c r="L116" s="125">
        <v>0</v>
      </c>
      <c r="M116" s="125"/>
      <c r="N116" s="125"/>
      <c r="O116" s="125">
        <v>166358</v>
      </c>
      <c r="P116" s="125"/>
      <c r="Q116" s="125"/>
      <c r="R116" s="125"/>
      <c r="S116" s="125"/>
      <c r="T116" s="125"/>
      <c r="U116" s="125"/>
      <c r="V116" s="125"/>
      <c r="W116" s="125"/>
      <c r="X116" s="125"/>
      <c r="Y116" s="125">
        <f t="shared" si="5"/>
        <v>166358</v>
      </c>
      <c r="Z116" s="125">
        <v>167000</v>
      </c>
      <c r="AA116" s="126">
        <v>9</v>
      </c>
      <c r="AB116" s="127">
        <v>44244</v>
      </c>
      <c r="AC116" s="127">
        <v>44249</v>
      </c>
      <c r="AD116" s="125"/>
      <c r="AE116" s="129"/>
      <c r="AF116" s="153"/>
      <c r="AG116" s="128"/>
      <c r="AH116" s="125"/>
      <c r="AI116" s="129"/>
      <c r="AJ116" s="153"/>
      <c r="AK116" s="128"/>
      <c r="AL116" s="125"/>
      <c r="AM116" s="129"/>
      <c r="AN116" s="153"/>
      <c r="AO116" s="128"/>
      <c r="AP116" s="125"/>
      <c r="AQ116" s="129"/>
      <c r="AR116" s="153"/>
      <c r="AS116" s="128"/>
      <c r="AT116" s="125"/>
      <c r="AU116" s="129"/>
      <c r="AV116" s="153"/>
      <c r="AW116" s="128"/>
      <c r="AX116" s="125"/>
      <c r="AY116" s="129"/>
      <c r="AZ116" s="153"/>
      <c r="BA116" s="128"/>
      <c r="BB116" s="125"/>
      <c r="BC116" s="129"/>
      <c r="BD116" s="153"/>
      <c r="BE116" s="128"/>
      <c r="BF116" s="125"/>
      <c r="BG116" s="129"/>
      <c r="BH116" s="153"/>
      <c r="BI116" s="128"/>
      <c r="BJ116" s="125"/>
      <c r="BK116" s="129"/>
      <c r="BL116" s="153"/>
      <c r="BM116" s="128"/>
      <c r="BN116" s="129"/>
      <c r="BO116" s="129"/>
      <c r="BP116" s="153"/>
      <c r="BQ116" s="128"/>
      <c r="BR116" s="125"/>
      <c r="BS116" s="129"/>
      <c r="BT116" s="153"/>
      <c r="BU116" s="128"/>
      <c r="BV116" s="125"/>
      <c r="BW116" s="129"/>
      <c r="BX116" s="153"/>
      <c r="BY116" s="128"/>
      <c r="BZ116" s="712">
        <f t="shared" si="4"/>
        <v>167000</v>
      </c>
      <c r="CA116" s="415">
        <f t="shared" si="3"/>
        <v>642</v>
      </c>
    </row>
    <row r="117" spans="1:79" s="709" customFormat="1" ht="22.5" x14ac:dyDescent="0.25">
      <c r="A117" s="709">
        <v>1</v>
      </c>
      <c r="B117" s="221">
        <v>102</v>
      </c>
      <c r="C117" s="221" t="s">
        <v>38</v>
      </c>
      <c r="D117" s="691">
        <v>30415423</v>
      </c>
      <c r="E117" s="150" t="s">
        <v>2071</v>
      </c>
      <c r="F117" s="700" t="s">
        <v>45</v>
      </c>
      <c r="G117" s="151" t="s">
        <v>1956</v>
      </c>
      <c r="H117" s="151" t="s">
        <v>1998</v>
      </c>
      <c r="I117" s="700" t="s">
        <v>1958</v>
      </c>
      <c r="J117" s="125">
        <v>22880685</v>
      </c>
      <c r="K117" s="125">
        <v>191113</v>
      </c>
      <c r="L117" s="125">
        <v>2106863</v>
      </c>
      <c r="M117" s="125"/>
      <c r="N117" s="125"/>
      <c r="O117" s="125">
        <v>375072</v>
      </c>
      <c r="P117" s="125"/>
      <c r="Q117" s="125"/>
      <c r="R117" s="125"/>
      <c r="S117" s="125"/>
      <c r="T117" s="125"/>
      <c r="U117" s="125"/>
      <c r="V117" s="125"/>
      <c r="W117" s="125"/>
      <c r="X117" s="125"/>
      <c r="Y117" s="125">
        <f t="shared" si="5"/>
        <v>375072</v>
      </c>
      <c r="Z117" s="125">
        <f>381000</f>
        <v>381000</v>
      </c>
      <c r="AA117" s="126">
        <v>9</v>
      </c>
      <c r="AB117" s="127"/>
      <c r="AC117" s="127"/>
      <c r="AD117" s="125"/>
      <c r="AE117" s="129"/>
      <c r="AF117" s="153"/>
      <c r="AG117" s="128"/>
      <c r="AH117" s="125"/>
      <c r="AI117" s="129"/>
      <c r="AJ117" s="153"/>
      <c r="AK117" s="128"/>
      <c r="AL117" s="125">
        <v>535000</v>
      </c>
      <c r="AM117" s="129">
        <v>13</v>
      </c>
      <c r="AN117" s="128">
        <v>44281</v>
      </c>
      <c r="AO117" s="128">
        <v>44281</v>
      </c>
      <c r="AP117" s="125"/>
      <c r="AQ117" s="129"/>
      <c r="AR117" s="153"/>
      <c r="AS117" s="128"/>
      <c r="AT117" s="125"/>
      <c r="AU117" s="129"/>
      <c r="AV117" s="153"/>
      <c r="AW117" s="128"/>
      <c r="AX117" s="125"/>
      <c r="AY117" s="129"/>
      <c r="AZ117" s="153"/>
      <c r="BA117" s="128"/>
      <c r="BB117" s="125"/>
      <c r="BC117" s="129"/>
      <c r="BD117" s="153"/>
      <c r="BE117" s="128"/>
      <c r="BF117" s="125"/>
      <c r="BG117" s="129"/>
      <c r="BH117" s="153"/>
      <c r="BI117" s="128"/>
      <c r="BJ117" s="125"/>
      <c r="BK117" s="129"/>
      <c r="BL117" s="153"/>
      <c r="BM117" s="128"/>
      <c r="BN117" s="129">
        <v>-227188</v>
      </c>
      <c r="BO117" s="129">
        <v>28</v>
      </c>
      <c r="BP117" s="127">
        <v>44363</v>
      </c>
      <c r="BQ117" s="128"/>
      <c r="BR117" s="125"/>
      <c r="BS117" s="129"/>
      <c r="BT117" s="153"/>
      <c r="BU117" s="128"/>
      <c r="BV117" s="125"/>
      <c r="BW117" s="129"/>
      <c r="BX117" s="153"/>
      <c r="BY117" s="128"/>
      <c r="BZ117" s="712">
        <f t="shared" si="4"/>
        <v>688812</v>
      </c>
      <c r="CA117" s="415">
        <f t="shared" si="3"/>
        <v>313740</v>
      </c>
    </row>
    <row r="118" spans="1:79" s="709" customFormat="1" ht="22.5" x14ac:dyDescent="0.25">
      <c r="A118" s="709">
        <v>1</v>
      </c>
      <c r="B118" s="221">
        <v>103</v>
      </c>
      <c r="C118" s="221" t="s">
        <v>38</v>
      </c>
      <c r="D118" s="691">
        <v>30469888</v>
      </c>
      <c r="E118" s="150" t="s">
        <v>2072</v>
      </c>
      <c r="F118" s="700" t="s">
        <v>46</v>
      </c>
      <c r="G118" s="151" t="s">
        <v>1966</v>
      </c>
      <c r="H118" s="151" t="s">
        <v>1967</v>
      </c>
      <c r="I118" s="700" t="s">
        <v>1961</v>
      </c>
      <c r="J118" s="125">
        <v>349978</v>
      </c>
      <c r="K118" s="125">
        <v>0</v>
      </c>
      <c r="L118" s="125">
        <v>276833</v>
      </c>
      <c r="M118" s="125"/>
      <c r="N118" s="125"/>
      <c r="O118" s="125"/>
      <c r="P118" s="125"/>
      <c r="Q118" s="125"/>
      <c r="R118" s="125"/>
      <c r="S118" s="125"/>
      <c r="T118" s="125"/>
      <c r="U118" s="125"/>
      <c r="V118" s="125"/>
      <c r="W118" s="125"/>
      <c r="X118" s="125"/>
      <c r="Y118" s="125">
        <f t="shared" si="5"/>
        <v>0</v>
      </c>
      <c r="Z118" s="125">
        <v>1</v>
      </c>
      <c r="AA118" s="126">
        <v>13</v>
      </c>
      <c r="AB118" s="127">
        <v>44277</v>
      </c>
      <c r="AC118" s="127">
        <v>44281</v>
      </c>
      <c r="AD118" s="125"/>
      <c r="AE118" s="129"/>
      <c r="AF118" s="153"/>
      <c r="AG118" s="128"/>
      <c r="AH118" s="125"/>
      <c r="AI118" s="129"/>
      <c r="AJ118" s="153"/>
      <c r="AK118" s="128"/>
      <c r="AL118" s="125"/>
      <c r="AM118" s="129"/>
      <c r="AN118" s="153"/>
      <c r="AO118" s="128"/>
      <c r="AP118" s="125"/>
      <c r="AQ118" s="129"/>
      <c r="AR118" s="153"/>
      <c r="AS118" s="128"/>
      <c r="AT118" s="125"/>
      <c r="AU118" s="129"/>
      <c r="AV118" s="153"/>
      <c r="AW118" s="128"/>
      <c r="AX118" s="125"/>
      <c r="AY118" s="129"/>
      <c r="AZ118" s="153"/>
      <c r="BA118" s="128"/>
      <c r="BB118" s="125"/>
      <c r="BC118" s="129"/>
      <c r="BD118" s="153"/>
      <c r="BE118" s="128"/>
      <c r="BF118" s="125"/>
      <c r="BG118" s="129"/>
      <c r="BH118" s="153"/>
      <c r="BI118" s="128"/>
      <c r="BJ118" s="125"/>
      <c r="BK118" s="129"/>
      <c r="BL118" s="153"/>
      <c r="BM118" s="128"/>
      <c r="BN118" s="129"/>
      <c r="BO118" s="129"/>
      <c r="BP118" s="153"/>
      <c r="BQ118" s="128"/>
      <c r="BR118" s="125"/>
      <c r="BS118" s="129"/>
      <c r="BT118" s="153"/>
      <c r="BU118" s="128"/>
      <c r="BV118" s="125"/>
      <c r="BW118" s="129"/>
      <c r="BX118" s="153"/>
      <c r="BY118" s="128"/>
      <c r="BZ118" s="712">
        <f t="shared" si="4"/>
        <v>1</v>
      </c>
      <c r="CA118" s="415">
        <f t="shared" si="3"/>
        <v>1</v>
      </c>
    </row>
    <row r="119" spans="1:79" s="709" customFormat="1" ht="22.5" x14ac:dyDescent="0.25">
      <c r="A119" s="709">
        <v>1</v>
      </c>
      <c r="B119" s="221">
        <v>104</v>
      </c>
      <c r="C119" s="221" t="s">
        <v>38</v>
      </c>
      <c r="D119" s="691">
        <v>40008005</v>
      </c>
      <c r="E119" s="150" t="s">
        <v>2073</v>
      </c>
      <c r="F119" s="700" t="s">
        <v>46</v>
      </c>
      <c r="G119" s="151" t="s">
        <v>1956</v>
      </c>
      <c r="H119" s="151" t="s">
        <v>1960</v>
      </c>
      <c r="I119" s="700" t="s">
        <v>1961</v>
      </c>
      <c r="J119" s="125">
        <v>56463</v>
      </c>
      <c r="K119" s="125">
        <v>0</v>
      </c>
      <c r="L119" s="125">
        <v>34479</v>
      </c>
      <c r="M119" s="125"/>
      <c r="N119" s="125"/>
      <c r="O119" s="125"/>
      <c r="P119" s="125"/>
      <c r="Q119" s="125"/>
      <c r="R119" s="125"/>
      <c r="S119" s="125"/>
      <c r="T119" s="125"/>
      <c r="U119" s="125"/>
      <c r="V119" s="125"/>
      <c r="W119" s="125"/>
      <c r="X119" s="125"/>
      <c r="Y119" s="125">
        <f t="shared" si="5"/>
        <v>0</v>
      </c>
      <c r="Z119" s="125">
        <v>2</v>
      </c>
      <c r="AA119" s="126">
        <v>13</v>
      </c>
      <c r="AB119" s="127">
        <v>44277</v>
      </c>
      <c r="AC119" s="127">
        <v>44281</v>
      </c>
      <c r="AD119" s="125"/>
      <c r="AE119" s="129"/>
      <c r="AF119" s="153"/>
      <c r="AG119" s="128"/>
      <c r="AH119" s="125"/>
      <c r="AI119" s="129"/>
      <c r="AJ119" s="153"/>
      <c r="AK119" s="128"/>
      <c r="AL119" s="125"/>
      <c r="AM119" s="129"/>
      <c r="AN119" s="153"/>
      <c r="AO119" s="128"/>
      <c r="AP119" s="125"/>
      <c r="AQ119" s="129"/>
      <c r="AR119" s="153"/>
      <c r="AS119" s="128"/>
      <c r="AT119" s="125"/>
      <c r="AU119" s="129"/>
      <c r="AV119" s="153"/>
      <c r="AW119" s="128"/>
      <c r="AX119" s="125"/>
      <c r="AY119" s="129"/>
      <c r="AZ119" s="153"/>
      <c r="BA119" s="128"/>
      <c r="BB119" s="125"/>
      <c r="BC119" s="129"/>
      <c r="BD119" s="153"/>
      <c r="BE119" s="128"/>
      <c r="BF119" s="125"/>
      <c r="BG119" s="129"/>
      <c r="BH119" s="153"/>
      <c r="BI119" s="128"/>
      <c r="BJ119" s="125"/>
      <c r="BK119" s="129"/>
      <c r="BL119" s="153"/>
      <c r="BM119" s="128"/>
      <c r="BN119" s="129"/>
      <c r="BO119" s="129"/>
      <c r="BP119" s="153"/>
      <c r="BQ119" s="128"/>
      <c r="BR119" s="125"/>
      <c r="BS119" s="129"/>
      <c r="BT119" s="153"/>
      <c r="BU119" s="128"/>
      <c r="BV119" s="125"/>
      <c r="BW119" s="129"/>
      <c r="BX119" s="153"/>
      <c r="BY119" s="128"/>
      <c r="BZ119" s="712">
        <f t="shared" si="4"/>
        <v>2</v>
      </c>
      <c r="CA119" s="415">
        <f t="shared" si="3"/>
        <v>2</v>
      </c>
    </row>
    <row r="120" spans="1:79" s="709" customFormat="1" ht="22.5" x14ac:dyDescent="0.25">
      <c r="A120" s="709">
        <v>1</v>
      </c>
      <c r="B120" s="221">
        <v>105</v>
      </c>
      <c r="C120" s="221" t="s">
        <v>38</v>
      </c>
      <c r="D120" s="691">
        <v>40019951</v>
      </c>
      <c r="E120" s="150" t="s">
        <v>2074</v>
      </c>
      <c r="F120" s="700" t="s">
        <v>46</v>
      </c>
      <c r="G120" s="151" t="s">
        <v>1963</v>
      </c>
      <c r="H120" s="151" t="s">
        <v>1964</v>
      </c>
      <c r="I120" s="700" t="s">
        <v>1961</v>
      </c>
      <c r="J120" s="125">
        <v>159464</v>
      </c>
      <c r="K120" s="125">
        <v>0</v>
      </c>
      <c r="L120" s="125">
        <v>88590</v>
      </c>
      <c r="M120" s="125"/>
      <c r="N120" s="125"/>
      <c r="O120" s="125"/>
      <c r="P120" s="125"/>
      <c r="Q120" s="125"/>
      <c r="R120" s="125"/>
      <c r="S120" s="125"/>
      <c r="T120" s="125"/>
      <c r="U120" s="125"/>
      <c r="V120" s="125"/>
      <c r="W120" s="125"/>
      <c r="X120" s="125"/>
      <c r="Y120" s="125">
        <f t="shared" si="5"/>
        <v>0</v>
      </c>
      <c r="Z120" s="125">
        <v>2</v>
      </c>
      <c r="AA120" s="126">
        <v>13</v>
      </c>
      <c r="AB120" s="127">
        <v>44277</v>
      </c>
      <c r="AC120" s="127">
        <v>44281</v>
      </c>
      <c r="AD120" s="125"/>
      <c r="AE120" s="129"/>
      <c r="AF120" s="153"/>
      <c r="AG120" s="128"/>
      <c r="AH120" s="125"/>
      <c r="AI120" s="129"/>
      <c r="AJ120" s="153"/>
      <c r="AK120" s="128"/>
      <c r="AL120" s="125"/>
      <c r="AM120" s="129"/>
      <c r="AN120" s="153"/>
      <c r="AO120" s="128"/>
      <c r="AP120" s="125"/>
      <c r="AQ120" s="129"/>
      <c r="AR120" s="153"/>
      <c r="AS120" s="128"/>
      <c r="AT120" s="125"/>
      <c r="AU120" s="129"/>
      <c r="AV120" s="153"/>
      <c r="AW120" s="128"/>
      <c r="AX120" s="125"/>
      <c r="AY120" s="129"/>
      <c r="AZ120" s="153"/>
      <c r="BA120" s="128"/>
      <c r="BB120" s="125"/>
      <c r="BC120" s="129"/>
      <c r="BD120" s="153"/>
      <c r="BE120" s="128"/>
      <c r="BF120" s="125"/>
      <c r="BG120" s="129"/>
      <c r="BH120" s="153"/>
      <c r="BI120" s="128"/>
      <c r="BJ120" s="125">
        <v>5560</v>
      </c>
      <c r="BK120" s="129">
        <v>26</v>
      </c>
      <c r="BL120" s="127">
        <v>44344</v>
      </c>
      <c r="BM120" s="128">
        <v>44354</v>
      </c>
      <c r="BN120" s="129"/>
      <c r="BO120" s="129"/>
      <c r="BP120" s="153"/>
      <c r="BQ120" s="128"/>
      <c r="BR120" s="125"/>
      <c r="BS120" s="129"/>
      <c r="BT120" s="153"/>
      <c r="BU120" s="128"/>
      <c r="BV120" s="125"/>
      <c r="BW120" s="129"/>
      <c r="BX120" s="153"/>
      <c r="BY120" s="128"/>
      <c r="BZ120" s="712">
        <f t="shared" si="4"/>
        <v>5562</v>
      </c>
      <c r="CA120" s="415">
        <f t="shared" si="3"/>
        <v>5562</v>
      </c>
    </row>
    <row r="121" spans="1:79" s="709" customFormat="1" ht="22.5" x14ac:dyDescent="0.25">
      <c r="A121" s="709">
        <v>1</v>
      </c>
      <c r="B121" s="221">
        <v>106</v>
      </c>
      <c r="C121" s="221" t="s">
        <v>38</v>
      </c>
      <c r="D121" s="691">
        <v>30344972</v>
      </c>
      <c r="E121" s="150" t="s">
        <v>2075</v>
      </c>
      <c r="F121" s="700" t="s">
        <v>46</v>
      </c>
      <c r="G121" s="151" t="s">
        <v>1956</v>
      </c>
      <c r="H121" s="151" t="s">
        <v>1960</v>
      </c>
      <c r="I121" s="700" t="s">
        <v>1958</v>
      </c>
      <c r="J121" s="125">
        <v>281514</v>
      </c>
      <c r="K121" s="125">
        <v>151129</v>
      </c>
      <c r="L121" s="125">
        <v>521</v>
      </c>
      <c r="M121" s="125"/>
      <c r="N121" s="125"/>
      <c r="O121" s="125"/>
      <c r="P121" s="125">
        <v>7300</v>
      </c>
      <c r="Q121" s="125"/>
      <c r="R121" s="125"/>
      <c r="S121" s="125"/>
      <c r="T121" s="125"/>
      <c r="U121" s="125"/>
      <c r="V121" s="125"/>
      <c r="W121" s="125"/>
      <c r="X121" s="125"/>
      <c r="Y121" s="125">
        <f t="shared" si="5"/>
        <v>7300</v>
      </c>
      <c r="Z121" s="125">
        <v>7300</v>
      </c>
      <c r="AA121" s="126">
        <v>13</v>
      </c>
      <c r="AB121" s="127">
        <v>44277</v>
      </c>
      <c r="AC121" s="127">
        <v>44281</v>
      </c>
      <c r="AD121" s="125"/>
      <c r="AE121" s="129"/>
      <c r="AF121" s="153"/>
      <c r="AG121" s="128"/>
      <c r="AH121" s="125"/>
      <c r="AI121" s="129"/>
      <c r="AJ121" s="153"/>
      <c r="AK121" s="128"/>
      <c r="AL121" s="125"/>
      <c r="AM121" s="129"/>
      <c r="AN121" s="153"/>
      <c r="AO121" s="128"/>
      <c r="AP121" s="125"/>
      <c r="AQ121" s="129"/>
      <c r="AR121" s="153"/>
      <c r="AS121" s="128"/>
      <c r="AT121" s="125"/>
      <c r="AU121" s="129"/>
      <c r="AV121" s="153"/>
      <c r="AW121" s="128"/>
      <c r="AX121" s="125"/>
      <c r="AY121" s="129"/>
      <c r="AZ121" s="153"/>
      <c r="BA121" s="128"/>
      <c r="BB121" s="125"/>
      <c r="BC121" s="129"/>
      <c r="BD121" s="153"/>
      <c r="BE121" s="128"/>
      <c r="BF121" s="125"/>
      <c r="BG121" s="129"/>
      <c r="BH121" s="153"/>
      <c r="BI121" s="128"/>
      <c r="BJ121" s="125"/>
      <c r="BK121" s="129"/>
      <c r="BL121" s="153"/>
      <c r="BM121" s="128"/>
      <c r="BN121" s="129"/>
      <c r="BO121" s="129"/>
      <c r="BP121" s="153"/>
      <c r="BQ121" s="128"/>
      <c r="BR121" s="125"/>
      <c r="BS121" s="129"/>
      <c r="BT121" s="153"/>
      <c r="BU121" s="128"/>
      <c r="BV121" s="125"/>
      <c r="BW121" s="129"/>
      <c r="BX121" s="153"/>
      <c r="BY121" s="128"/>
      <c r="BZ121" s="712">
        <f t="shared" si="4"/>
        <v>7300</v>
      </c>
      <c r="CA121" s="415">
        <f t="shared" si="3"/>
        <v>0</v>
      </c>
    </row>
    <row r="122" spans="1:79" s="709" customFormat="1" ht="22.5" x14ac:dyDescent="0.25">
      <c r="A122" s="709">
        <v>1</v>
      </c>
      <c r="B122" s="221">
        <v>107</v>
      </c>
      <c r="C122" s="221" t="s">
        <v>41</v>
      </c>
      <c r="D122" s="691">
        <v>40008099</v>
      </c>
      <c r="E122" s="150" t="s">
        <v>2076</v>
      </c>
      <c r="F122" s="700" t="s">
        <v>45</v>
      </c>
      <c r="G122" s="151" t="s">
        <v>1966</v>
      </c>
      <c r="H122" s="151" t="s">
        <v>1967</v>
      </c>
      <c r="I122" s="700" t="s">
        <v>1958</v>
      </c>
      <c r="J122" s="125">
        <v>123789</v>
      </c>
      <c r="K122" s="125">
        <v>23298</v>
      </c>
      <c r="L122" s="125">
        <v>37387</v>
      </c>
      <c r="M122" s="125"/>
      <c r="N122" s="125"/>
      <c r="O122" s="125">
        <v>2390</v>
      </c>
      <c r="P122" s="125">
        <v>16925</v>
      </c>
      <c r="Q122" s="125">
        <v>2390</v>
      </c>
      <c r="R122" s="125">
        <v>4780</v>
      </c>
      <c r="S122" s="125"/>
      <c r="T122" s="125"/>
      <c r="U122" s="125"/>
      <c r="V122" s="125"/>
      <c r="W122" s="125"/>
      <c r="X122" s="125"/>
      <c r="Y122" s="125">
        <f t="shared" si="5"/>
        <v>26485</v>
      </c>
      <c r="Z122" s="125">
        <v>40000</v>
      </c>
      <c r="AA122" s="126">
        <v>13</v>
      </c>
      <c r="AB122" s="127">
        <v>44277</v>
      </c>
      <c r="AC122" s="127">
        <v>44281</v>
      </c>
      <c r="AD122" s="125"/>
      <c r="AE122" s="129"/>
      <c r="AF122" s="153"/>
      <c r="AG122" s="128"/>
      <c r="AH122" s="125"/>
      <c r="AI122" s="129"/>
      <c r="AJ122" s="153"/>
      <c r="AK122" s="128"/>
      <c r="AL122" s="125"/>
      <c r="AM122" s="129"/>
      <c r="AN122" s="153"/>
      <c r="AO122" s="128"/>
      <c r="AP122" s="125"/>
      <c r="AQ122" s="129"/>
      <c r="AR122" s="153"/>
      <c r="AS122" s="128"/>
      <c r="AT122" s="125"/>
      <c r="AU122" s="129"/>
      <c r="AV122" s="153"/>
      <c r="AW122" s="128"/>
      <c r="AX122" s="125"/>
      <c r="AY122" s="129"/>
      <c r="AZ122" s="153"/>
      <c r="BA122" s="128"/>
      <c r="BB122" s="125"/>
      <c r="BC122" s="129"/>
      <c r="BD122" s="153"/>
      <c r="BE122" s="128"/>
      <c r="BF122" s="125"/>
      <c r="BG122" s="129"/>
      <c r="BH122" s="153"/>
      <c r="BI122" s="128"/>
      <c r="BJ122" s="125"/>
      <c r="BK122" s="129"/>
      <c r="BL122" s="153"/>
      <c r="BM122" s="128"/>
      <c r="BN122" s="129"/>
      <c r="BO122" s="129"/>
      <c r="BP122" s="153"/>
      <c r="BQ122" s="128"/>
      <c r="BR122" s="125"/>
      <c r="BS122" s="129"/>
      <c r="BT122" s="153"/>
      <c r="BU122" s="128"/>
      <c r="BV122" s="125"/>
      <c r="BW122" s="129"/>
      <c r="BX122" s="153"/>
      <c r="BY122" s="128"/>
      <c r="BZ122" s="712">
        <f t="shared" si="4"/>
        <v>40000</v>
      </c>
      <c r="CA122" s="415">
        <f t="shared" si="3"/>
        <v>13515</v>
      </c>
    </row>
    <row r="123" spans="1:79" s="709" customFormat="1" ht="22.5" x14ac:dyDescent="0.25">
      <c r="A123" s="709">
        <v>2</v>
      </c>
      <c r="B123" s="221">
        <v>108</v>
      </c>
      <c r="C123" s="221">
        <v>31.02</v>
      </c>
      <c r="D123" s="691">
        <v>30269672</v>
      </c>
      <c r="E123" s="150" t="s">
        <v>2077</v>
      </c>
      <c r="F123" s="700" t="s">
        <v>45</v>
      </c>
      <c r="G123" s="151" t="s">
        <v>1966</v>
      </c>
      <c r="H123" s="151" t="s">
        <v>1967</v>
      </c>
      <c r="I123" s="700" t="s">
        <v>1958</v>
      </c>
      <c r="J123" s="125">
        <v>1713624</v>
      </c>
      <c r="K123" s="125">
        <v>1185203</v>
      </c>
      <c r="L123" s="125">
        <v>0</v>
      </c>
      <c r="M123" s="125"/>
      <c r="N123" s="125"/>
      <c r="O123" s="125"/>
      <c r="P123" s="125"/>
      <c r="Q123" s="125"/>
      <c r="R123" s="125"/>
      <c r="S123" s="125"/>
      <c r="T123" s="125"/>
      <c r="U123" s="125"/>
      <c r="V123" s="125"/>
      <c r="W123" s="125"/>
      <c r="X123" s="125"/>
      <c r="Y123" s="125">
        <f t="shared" si="5"/>
        <v>0</v>
      </c>
      <c r="Z123" s="125">
        <v>3445</v>
      </c>
      <c r="AA123" s="126">
        <v>2</v>
      </c>
      <c r="AB123" s="127">
        <v>44210</v>
      </c>
      <c r="AC123" s="127">
        <v>44211</v>
      </c>
      <c r="AD123" s="125"/>
      <c r="AE123" s="129"/>
      <c r="AF123" s="153"/>
      <c r="AG123" s="128"/>
      <c r="AH123" s="125"/>
      <c r="AI123" s="129"/>
      <c r="AJ123" s="153"/>
      <c r="AK123" s="128"/>
      <c r="AL123" s="125"/>
      <c r="AM123" s="129"/>
      <c r="AN123" s="153"/>
      <c r="AO123" s="128"/>
      <c r="AP123" s="125"/>
      <c r="AQ123" s="129"/>
      <c r="AR123" s="153"/>
      <c r="AS123" s="128"/>
      <c r="AT123" s="125"/>
      <c r="AU123" s="129"/>
      <c r="AV123" s="153"/>
      <c r="AW123" s="128"/>
      <c r="AX123" s="125"/>
      <c r="AY123" s="129"/>
      <c r="AZ123" s="153"/>
      <c r="BA123" s="128"/>
      <c r="BB123" s="125"/>
      <c r="BC123" s="129"/>
      <c r="BD123" s="153"/>
      <c r="BE123" s="128"/>
      <c r="BF123" s="125"/>
      <c r="BG123" s="129"/>
      <c r="BH123" s="153"/>
      <c r="BI123" s="128"/>
      <c r="BJ123" s="125"/>
      <c r="BK123" s="129"/>
      <c r="BL123" s="153"/>
      <c r="BM123" s="128"/>
      <c r="BN123" s="129"/>
      <c r="BO123" s="129"/>
      <c r="BP123" s="153"/>
      <c r="BQ123" s="128"/>
      <c r="BR123" s="125"/>
      <c r="BS123" s="129"/>
      <c r="BT123" s="153"/>
      <c r="BU123" s="128"/>
      <c r="BV123" s="125"/>
      <c r="BW123" s="129"/>
      <c r="BX123" s="153"/>
      <c r="BY123" s="128"/>
      <c r="BZ123" s="712">
        <f t="shared" si="4"/>
        <v>3445</v>
      </c>
      <c r="CA123" s="415">
        <f t="shared" si="3"/>
        <v>3445</v>
      </c>
    </row>
    <row r="124" spans="1:79" s="709" customFormat="1" ht="22.5" x14ac:dyDescent="0.25">
      <c r="A124" s="709">
        <v>2</v>
      </c>
      <c r="B124" s="221">
        <v>109</v>
      </c>
      <c r="C124" s="221">
        <v>31.02</v>
      </c>
      <c r="D124" s="221">
        <v>30305772</v>
      </c>
      <c r="E124" s="150" t="s">
        <v>2078</v>
      </c>
      <c r="F124" s="700" t="s">
        <v>46</v>
      </c>
      <c r="G124" s="151" t="s">
        <v>2079</v>
      </c>
      <c r="H124" s="151" t="s">
        <v>1970</v>
      </c>
      <c r="I124" s="700" t="s">
        <v>1958</v>
      </c>
      <c r="J124" s="125">
        <v>163939</v>
      </c>
      <c r="K124" s="125">
        <v>153862</v>
      </c>
      <c r="L124" s="125">
        <v>77</v>
      </c>
      <c r="M124" s="125"/>
      <c r="N124" s="125"/>
      <c r="O124" s="125"/>
      <c r="P124" s="125"/>
      <c r="Q124" s="125"/>
      <c r="R124" s="125"/>
      <c r="S124" s="125"/>
      <c r="T124" s="125"/>
      <c r="U124" s="125"/>
      <c r="V124" s="125"/>
      <c r="W124" s="125"/>
      <c r="X124" s="125"/>
      <c r="Y124" s="125">
        <f t="shared" si="5"/>
        <v>0</v>
      </c>
      <c r="Z124" s="125">
        <v>4000</v>
      </c>
      <c r="AA124" s="126">
        <v>2</v>
      </c>
      <c r="AB124" s="127">
        <v>44210</v>
      </c>
      <c r="AC124" s="127">
        <v>44211</v>
      </c>
      <c r="AD124" s="125"/>
      <c r="AE124" s="129"/>
      <c r="AF124" s="153"/>
      <c r="AG124" s="128"/>
      <c r="AH124" s="125"/>
      <c r="AI124" s="129"/>
      <c r="AJ124" s="153"/>
      <c r="AK124" s="128"/>
      <c r="AL124" s="125"/>
      <c r="AM124" s="129"/>
      <c r="AN124" s="153"/>
      <c r="AO124" s="128"/>
      <c r="AP124" s="125"/>
      <c r="AQ124" s="129"/>
      <c r="AR124" s="153"/>
      <c r="AS124" s="128"/>
      <c r="AT124" s="125"/>
      <c r="AU124" s="129"/>
      <c r="AV124" s="153"/>
      <c r="AW124" s="128"/>
      <c r="AX124" s="125"/>
      <c r="AY124" s="129"/>
      <c r="AZ124" s="153"/>
      <c r="BA124" s="128"/>
      <c r="BB124" s="125"/>
      <c r="BC124" s="129"/>
      <c r="BD124" s="153"/>
      <c r="BE124" s="128"/>
      <c r="BF124" s="125"/>
      <c r="BG124" s="129"/>
      <c r="BH124" s="153"/>
      <c r="BI124" s="128"/>
      <c r="BJ124" s="125"/>
      <c r="BK124" s="129"/>
      <c r="BL124" s="153"/>
      <c r="BM124" s="128"/>
      <c r="BN124" s="129"/>
      <c r="BO124" s="129"/>
      <c r="BP124" s="153"/>
      <c r="BQ124" s="128"/>
      <c r="BR124" s="125"/>
      <c r="BS124" s="129"/>
      <c r="BT124" s="153"/>
      <c r="BU124" s="128"/>
      <c r="BV124" s="125"/>
      <c r="BW124" s="129"/>
      <c r="BX124" s="153"/>
      <c r="BY124" s="128"/>
      <c r="BZ124" s="712">
        <f t="shared" si="4"/>
        <v>4000</v>
      </c>
      <c r="CA124" s="415">
        <f t="shared" si="3"/>
        <v>4000</v>
      </c>
    </row>
    <row r="125" spans="1:79" s="709" customFormat="1" ht="22.5" x14ac:dyDescent="0.25">
      <c r="A125" s="709">
        <v>2</v>
      </c>
      <c r="B125" s="221">
        <v>110</v>
      </c>
      <c r="C125" s="221">
        <v>31.02</v>
      </c>
      <c r="D125" s="691">
        <v>30318822</v>
      </c>
      <c r="E125" s="150" t="s">
        <v>2080</v>
      </c>
      <c r="F125" s="700" t="s">
        <v>46</v>
      </c>
      <c r="G125" s="151" t="s">
        <v>1966</v>
      </c>
      <c r="H125" s="151" t="s">
        <v>1967</v>
      </c>
      <c r="I125" s="700" t="s">
        <v>1958</v>
      </c>
      <c r="J125" s="125">
        <v>39712</v>
      </c>
      <c r="K125" s="125">
        <v>28001</v>
      </c>
      <c r="L125" s="125">
        <v>0</v>
      </c>
      <c r="M125" s="125"/>
      <c r="N125" s="125"/>
      <c r="O125" s="125">
        <v>6582</v>
      </c>
      <c r="P125" s="125"/>
      <c r="Q125" s="125"/>
      <c r="R125" s="125"/>
      <c r="S125" s="125"/>
      <c r="T125" s="125"/>
      <c r="U125" s="125"/>
      <c r="V125" s="125"/>
      <c r="W125" s="125"/>
      <c r="X125" s="125"/>
      <c r="Y125" s="125">
        <f t="shared" si="5"/>
        <v>6582</v>
      </c>
      <c r="Z125" s="125">
        <v>11711</v>
      </c>
      <c r="AA125" s="126">
        <v>2</v>
      </c>
      <c r="AB125" s="127">
        <v>44210</v>
      </c>
      <c r="AC125" s="127">
        <v>44211</v>
      </c>
      <c r="AD125" s="125"/>
      <c r="AE125" s="129"/>
      <c r="AF125" s="153"/>
      <c r="AG125" s="128"/>
      <c r="AH125" s="125"/>
      <c r="AI125" s="129"/>
      <c r="AJ125" s="153"/>
      <c r="AK125" s="128"/>
      <c r="AL125" s="125"/>
      <c r="AM125" s="129"/>
      <c r="AN125" s="153"/>
      <c r="AO125" s="128"/>
      <c r="AP125" s="125"/>
      <c r="AQ125" s="129"/>
      <c r="AR125" s="153"/>
      <c r="AS125" s="128"/>
      <c r="AT125" s="125"/>
      <c r="AU125" s="129"/>
      <c r="AV125" s="153"/>
      <c r="AW125" s="128"/>
      <c r="AX125" s="125"/>
      <c r="AY125" s="129"/>
      <c r="AZ125" s="153"/>
      <c r="BA125" s="128"/>
      <c r="BB125" s="125"/>
      <c r="BC125" s="129"/>
      <c r="BD125" s="153"/>
      <c r="BE125" s="128"/>
      <c r="BF125" s="125"/>
      <c r="BG125" s="129"/>
      <c r="BH125" s="153"/>
      <c r="BI125" s="128"/>
      <c r="BJ125" s="125"/>
      <c r="BK125" s="129"/>
      <c r="BL125" s="153"/>
      <c r="BM125" s="128"/>
      <c r="BN125" s="129"/>
      <c r="BO125" s="129"/>
      <c r="BP125" s="153"/>
      <c r="BQ125" s="128"/>
      <c r="BR125" s="125"/>
      <c r="BS125" s="129"/>
      <c r="BT125" s="153"/>
      <c r="BU125" s="128"/>
      <c r="BV125" s="125"/>
      <c r="BW125" s="129"/>
      <c r="BX125" s="153"/>
      <c r="BY125" s="128"/>
      <c r="BZ125" s="712">
        <f t="shared" si="4"/>
        <v>11711</v>
      </c>
      <c r="CA125" s="415">
        <f t="shared" si="3"/>
        <v>5129</v>
      </c>
    </row>
    <row r="126" spans="1:79" s="709" customFormat="1" ht="22.5" x14ac:dyDescent="0.25">
      <c r="A126" s="709">
        <v>2</v>
      </c>
      <c r="B126" s="221">
        <v>111</v>
      </c>
      <c r="C126" s="221">
        <v>31.02</v>
      </c>
      <c r="D126" s="691">
        <v>40001514</v>
      </c>
      <c r="E126" s="150" t="s">
        <v>2081</v>
      </c>
      <c r="F126" s="700" t="s">
        <v>45</v>
      </c>
      <c r="G126" s="151" t="s">
        <v>2082</v>
      </c>
      <c r="H126" s="151" t="s">
        <v>2083</v>
      </c>
      <c r="I126" s="700" t="s">
        <v>1958</v>
      </c>
      <c r="J126" s="125">
        <v>1719827</v>
      </c>
      <c r="K126" s="125">
        <v>0</v>
      </c>
      <c r="L126" s="125">
        <v>2</v>
      </c>
      <c r="M126" s="125"/>
      <c r="N126" s="125"/>
      <c r="O126" s="125">
        <v>144893</v>
      </c>
      <c r="P126" s="125"/>
      <c r="Q126" s="125">
        <v>149269</v>
      </c>
      <c r="R126" s="125">
        <v>122717</v>
      </c>
      <c r="S126" s="125"/>
      <c r="T126" s="125"/>
      <c r="U126" s="125"/>
      <c r="V126" s="125"/>
      <c r="W126" s="125"/>
      <c r="X126" s="125"/>
      <c r="Y126" s="125">
        <f t="shared" si="5"/>
        <v>416879</v>
      </c>
      <c r="Z126" s="125">
        <v>167479</v>
      </c>
      <c r="AA126" s="126">
        <v>2</v>
      </c>
      <c r="AB126" s="127">
        <v>44210</v>
      </c>
      <c r="AC126" s="127">
        <v>44211</v>
      </c>
      <c r="AD126" s="125"/>
      <c r="AE126" s="129"/>
      <c r="AF126" s="153"/>
      <c r="AG126" s="128"/>
      <c r="AH126" s="125"/>
      <c r="AI126" s="129"/>
      <c r="AJ126" s="153"/>
      <c r="AK126" s="128"/>
      <c r="AL126" s="125"/>
      <c r="AM126" s="129"/>
      <c r="AN126" s="153"/>
      <c r="AO126" s="128"/>
      <c r="AP126" s="125"/>
      <c r="AQ126" s="129"/>
      <c r="AR126" s="153"/>
      <c r="AS126" s="128"/>
      <c r="AT126" s="125">
        <v>50000</v>
      </c>
      <c r="AU126" s="129">
        <v>14</v>
      </c>
      <c r="AV126" s="702">
        <v>44279</v>
      </c>
      <c r="AW126" s="128">
        <v>44286</v>
      </c>
      <c r="AX126" s="125"/>
      <c r="AY126" s="129"/>
      <c r="AZ126" s="153"/>
      <c r="BA126" s="128"/>
      <c r="BB126" s="125"/>
      <c r="BC126" s="129"/>
      <c r="BD126" s="153"/>
      <c r="BE126" s="128"/>
      <c r="BF126" s="125"/>
      <c r="BG126" s="129"/>
      <c r="BH126" s="153"/>
      <c r="BI126" s="128"/>
      <c r="BJ126" s="125"/>
      <c r="BK126" s="129"/>
      <c r="BL126" s="153"/>
      <c r="BM126" s="128"/>
      <c r="BN126" s="129"/>
      <c r="BO126" s="129"/>
      <c r="BP126" s="153"/>
      <c r="BQ126" s="128"/>
      <c r="BR126" s="125"/>
      <c r="BS126" s="129"/>
      <c r="BT126" s="153"/>
      <c r="BU126" s="128"/>
      <c r="BV126" s="125"/>
      <c r="BW126" s="129"/>
      <c r="BX126" s="153"/>
      <c r="BY126" s="128"/>
      <c r="BZ126" s="712">
        <f t="shared" si="4"/>
        <v>217479</v>
      </c>
      <c r="CA126" s="415">
        <f t="shared" si="3"/>
        <v>-199400</v>
      </c>
    </row>
    <row r="127" spans="1:79" s="709" customFormat="1" ht="22.5" x14ac:dyDescent="0.25">
      <c r="A127" s="709">
        <v>2</v>
      </c>
      <c r="B127" s="221">
        <v>112</v>
      </c>
      <c r="C127" s="221">
        <v>31.02</v>
      </c>
      <c r="D127" s="691">
        <v>40002923</v>
      </c>
      <c r="E127" s="150" t="s">
        <v>2084</v>
      </c>
      <c r="F127" s="700" t="s">
        <v>45</v>
      </c>
      <c r="G127" s="151" t="s">
        <v>1966</v>
      </c>
      <c r="H127" s="151" t="s">
        <v>1967</v>
      </c>
      <c r="I127" s="700" t="s">
        <v>1958</v>
      </c>
      <c r="J127" s="125">
        <v>2189092</v>
      </c>
      <c r="K127" s="125">
        <v>0</v>
      </c>
      <c r="L127" s="125">
        <v>658426</v>
      </c>
      <c r="M127" s="125"/>
      <c r="N127" s="125"/>
      <c r="O127" s="125"/>
      <c r="P127" s="125"/>
      <c r="Q127" s="125">
        <v>17455</v>
      </c>
      <c r="R127" s="125"/>
      <c r="S127" s="125"/>
      <c r="T127" s="125"/>
      <c r="U127" s="125"/>
      <c r="V127" s="125"/>
      <c r="W127" s="125"/>
      <c r="X127" s="125"/>
      <c r="Y127" s="125">
        <f t="shared" si="5"/>
        <v>17455</v>
      </c>
      <c r="Z127" s="125">
        <v>1530666</v>
      </c>
      <c r="AA127" s="126">
        <v>2</v>
      </c>
      <c r="AB127" s="127">
        <v>44210</v>
      </c>
      <c r="AC127" s="127">
        <v>44211</v>
      </c>
      <c r="AD127" s="125"/>
      <c r="AE127" s="129"/>
      <c r="AF127" s="153"/>
      <c r="AG127" s="128"/>
      <c r="AH127" s="125"/>
      <c r="AI127" s="129"/>
      <c r="AJ127" s="153"/>
      <c r="AK127" s="128"/>
      <c r="AL127" s="125"/>
      <c r="AM127" s="129"/>
      <c r="AN127" s="153"/>
      <c r="AO127" s="128"/>
      <c r="AP127" s="125">
        <v>-100000</v>
      </c>
      <c r="AQ127" s="129">
        <v>11</v>
      </c>
      <c r="AR127" s="702">
        <v>44270</v>
      </c>
      <c r="AS127" s="128">
        <v>44277</v>
      </c>
      <c r="AT127" s="125">
        <v>-50000</v>
      </c>
      <c r="AU127" s="129">
        <v>14</v>
      </c>
      <c r="AV127" s="702">
        <v>44279</v>
      </c>
      <c r="AW127" s="128">
        <v>44286</v>
      </c>
      <c r="AX127" s="125"/>
      <c r="AY127" s="129"/>
      <c r="AZ127" s="153"/>
      <c r="BA127" s="128"/>
      <c r="BB127" s="125"/>
      <c r="BC127" s="129"/>
      <c r="BD127" s="153"/>
      <c r="BE127" s="128"/>
      <c r="BF127" s="125"/>
      <c r="BG127" s="129"/>
      <c r="BH127" s="153"/>
      <c r="BI127" s="128"/>
      <c r="BJ127" s="125"/>
      <c r="BK127" s="129"/>
      <c r="BL127" s="153"/>
      <c r="BM127" s="128"/>
      <c r="BN127" s="129"/>
      <c r="BO127" s="129"/>
      <c r="BP127" s="153"/>
      <c r="BQ127" s="128"/>
      <c r="BR127" s="125">
        <v>-515814</v>
      </c>
      <c r="BS127" s="129">
        <v>17</v>
      </c>
      <c r="BT127" s="127">
        <v>44301</v>
      </c>
      <c r="BU127" s="128"/>
      <c r="BV127" s="125">
        <v>-70000</v>
      </c>
      <c r="BW127" s="129">
        <v>27</v>
      </c>
      <c r="BX127" s="127">
        <v>44355</v>
      </c>
      <c r="BY127" s="128"/>
      <c r="BZ127" s="712">
        <f t="shared" si="4"/>
        <v>794852</v>
      </c>
      <c r="CA127" s="415">
        <f t="shared" si="3"/>
        <v>777397</v>
      </c>
    </row>
    <row r="128" spans="1:79" s="709" customFormat="1" ht="22.5" x14ac:dyDescent="0.25">
      <c r="A128" s="709">
        <v>2</v>
      </c>
      <c r="B128" s="221">
        <v>113</v>
      </c>
      <c r="C128" s="221">
        <v>31.02</v>
      </c>
      <c r="D128" s="691">
        <v>40007650</v>
      </c>
      <c r="E128" s="150" t="s">
        <v>2085</v>
      </c>
      <c r="F128" s="700" t="s">
        <v>46</v>
      </c>
      <c r="G128" s="151" t="s">
        <v>1966</v>
      </c>
      <c r="H128" s="151" t="s">
        <v>1967</v>
      </c>
      <c r="I128" s="700" t="s">
        <v>1958</v>
      </c>
      <c r="J128" s="125">
        <v>132616</v>
      </c>
      <c r="K128" s="125">
        <v>0</v>
      </c>
      <c r="L128" s="125">
        <v>99998</v>
      </c>
      <c r="M128" s="125"/>
      <c r="N128" s="125"/>
      <c r="O128" s="125"/>
      <c r="P128" s="125"/>
      <c r="Q128" s="125">
        <v>31000</v>
      </c>
      <c r="R128" s="125">
        <v>31000</v>
      </c>
      <c r="S128" s="125"/>
      <c r="T128" s="125"/>
      <c r="U128" s="125"/>
      <c r="V128" s="125"/>
      <c r="W128" s="125"/>
      <c r="X128" s="125"/>
      <c r="Y128" s="125">
        <f t="shared" si="5"/>
        <v>62000</v>
      </c>
      <c r="Z128" s="125">
        <v>32618</v>
      </c>
      <c r="AA128" s="126">
        <v>2</v>
      </c>
      <c r="AB128" s="127">
        <v>44210</v>
      </c>
      <c r="AC128" s="127">
        <v>44211</v>
      </c>
      <c r="AD128" s="125"/>
      <c r="AE128" s="129"/>
      <c r="AF128" s="153"/>
      <c r="AG128" s="128"/>
      <c r="AH128" s="125"/>
      <c r="AI128" s="129"/>
      <c r="AJ128" s="153"/>
      <c r="AK128" s="128"/>
      <c r="AL128" s="125"/>
      <c r="AM128" s="129"/>
      <c r="AN128" s="153"/>
      <c r="AO128" s="128"/>
      <c r="AP128" s="125"/>
      <c r="AQ128" s="129"/>
      <c r="AR128" s="153"/>
      <c r="AS128" s="128"/>
      <c r="AT128" s="125">
        <v>0</v>
      </c>
      <c r="AU128" s="129">
        <v>14</v>
      </c>
      <c r="AV128" s="702">
        <v>44279</v>
      </c>
      <c r="AW128" s="128">
        <v>44286</v>
      </c>
      <c r="AX128" s="125"/>
      <c r="AY128" s="129"/>
      <c r="AZ128" s="153"/>
      <c r="BA128" s="128"/>
      <c r="BB128" s="125"/>
      <c r="BC128" s="129"/>
      <c r="BD128" s="153"/>
      <c r="BE128" s="128"/>
      <c r="BF128" s="125"/>
      <c r="BG128" s="129"/>
      <c r="BH128" s="153"/>
      <c r="BI128" s="128"/>
      <c r="BJ128" s="125"/>
      <c r="BK128" s="129"/>
      <c r="BL128" s="153"/>
      <c r="BM128" s="128"/>
      <c r="BN128" s="129"/>
      <c r="BO128" s="129"/>
      <c r="BP128" s="153"/>
      <c r="BQ128" s="128"/>
      <c r="BR128" s="125"/>
      <c r="BS128" s="129"/>
      <c r="BT128" s="153"/>
      <c r="BU128" s="128"/>
      <c r="BV128" s="125">
        <v>70000</v>
      </c>
      <c r="BW128" s="129">
        <v>27</v>
      </c>
      <c r="BX128" s="127">
        <v>44355</v>
      </c>
      <c r="BY128" s="128"/>
      <c r="BZ128" s="712">
        <f t="shared" si="4"/>
        <v>102618</v>
      </c>
      <c r="CA128" s="415">
        <f t="shared" si="3"/>
        <v>40618</v>
      </c>
    </row>
    <row r="129" spans="1:274" s="709" customFormat="1" ht="22.5" x14ac:dyDescent="0.25">
      <c r="A129" s="709">
        <v>2</v>
      </c>
      <c r="B129" s="221">
        <v>114</v>
      </c>
      <c r="C129" s="221">
        <v>31.02</v>
      </c>
      <c r="D129" s="691">
        <v>30443029</v>
      </c>
      <c r="E129" s="150" t="s">
        <v>2086</v>
      </c>
      <c r="F129" s="700" t="s">
        <v>45</v>
      </c>
      <c r="G129" s="151" t="s">
        <v>1963</v>
      </c>
      <c r="H129" s="151" t="s">
        <v>1964</v>
      </c>
      <c r="I129" s="700" t="s">
        <v>1958</v>
      </c>
      <c r="J129" s="125">
        <v>484058</v>
      </c>
      <c r="K129" s="125">
        <v>0</v>
      </c>
      <c r="L129" s="125">
        <v>0</v>
      </c>
      <c r="M129" s="125"/>
      <c r="N129" s="125"/>
      <c r="O129" s="125"/>
      <c r="P129" s="125"/>
      <c r="Q129" s="125"/>
      <c r="R129" s="125"/>
      <c r="S129" s="125"/>
      <c r="T129" s="125"/>
      <c r="U129" s="125"/>
      <c r="V129" s="125"/>
      <c r="W129" s="125"/>
      <c r="X129" s="125"/>
      <c r="Y129" s="125">
        <f t="shared" si="5"/>
        <v>0</v>
      </c>
      <c r="Z129" s="125">
        <v>484058</v>
      </c>
      <c r="AA129" s="126">
        <v>2</v>
      </c>
      <c r="AB129" s="127">
        <v>44210</v>
      </c>
      <c r="AC129" s="127">
        <v>44211</v>
      </c>
      <c r="AD129" s="125"/>
      <c r="AE129" s="129"/>
      <c r="AF129" s="153"/>
      <c r="AG129" s="128"/>
      <c r="AH129" s="125"/>
      <c r="AI129" s="129"/>
      <c r="AJ129" s="153"/>
      <c r="AK129" s="128"/>
      <c r="AL129" s="125"/>
      <c r="AM129" s="129"/>
      <c r="AN129" s="153"/>
      <c r="AO129" s="128"/>
      <c r="AP129" s="125"/>
      <c r="AQ129" s="129"/>
      <c r="AR129" s="153"/>
      <c r="AS129" s="128"/>
      <c r="AT129" s="125"/>
      <c r="AU129" s="129"/>
      <c r="AV129" s="153"/>
      <c r="AW129" s="128"/>
      <c r="AX129" s="125"/>
      <c r="AY129" s="129"/>
      <c r="AZ129" s="153"/>
      <c r="BA129" s="128"/>
      <c r="BB129" s="125"/>
      <c r="BC129" s="129"/>
      <c r="BD129" s="153"/>
      <c r="BE129" s="128"/>
      <c r="BF129" s="125"/>
      <c r="BG129" s="129"/>
      <c r="BH129" s="153"/>
      <c r="BI129" s="128"/>
      <c r="BJ129" s="125"/>
      <c r="BK129" s="129"/>
      <c r="BL129" s="153"/>
      <c r="BM129" s="128"/>
      <c r="BN129" s="129"/>
      <c r="BO129" s="129"/>
      <c r="BP129" s="153"/>
      <c r="BQ129" s="128"/>
      <c r="BR129" s="125"/>
      <c r="BS129" s="129"/>
      <c r="BT129" s="153"/>
      <c r="BU129" s="128"/>
      <c r="BV129" s="125"/>
      <c r="BW129" s="129"/>
      <c r="BX129" s="153"/>
      <c r="BY129" s="128"/>
      <c r="BZ129" s="712">
        <f t="shared" si="4"/>
        <v>484058</v>
      </c>
      <c r="CA129" s="415">
        <f t="shared" si="3"/>
        <v>484058</v>
      </c>
    </row>
    <row r="130" spans="1:274" s="709" customFormat="1" ht="22.5" x14ac:dyDescent="0.25">
      <c r="A130" s="709">
        <v>2</v>
      </c>
      <c r="B130" s="221">
        <v>115</v>
      </c>
      <c r="C130" s="221">
        <v>31.02</v>
      </c>
      <c r="D130" s="691">
        <v>30429277</v>
      </c>
      <c r="E130" s="150" t="s">
        <v>2087</v>
      </c>
      <c r="F130" s="700" t="s">
        <v>46</v>
      </c>
      <c r="G130" s="151" t="s">
        <v>1966</v>
      </c>
      <c r="H130" s="151" t="s">
        <v>1967</v>
      </c>
      <c r="I130" s="700" t="s">
        <v>1958</v>
      </c>
      <c r="J130" s="125">
        <v>36933</v>
      </c>
      <c r="K130" s="125">
        <v>22698</v>
      </c>
      <c r="L130" s="125">
        <v>5717</v>
      </c>
      <c r="M130" s="125"/>
      <c r="N130" s="125"/>
      <c r="O130" s="125"/>
      <c r="P130" s="125"/>
      <c r="Q130" s="125"/>
      <c r="R130" s="125"/>
      <c r="S130" s="125"/>
      <c r="T130" s="125"/>
      <c r="U130" s="125"/>
      <c r="V130" s="125"/>
      <c r="W130" s="125"/>
      <c r="X130" s="125"/>
      <c r="Y130" s="125">
        <f t="shared" si="5"/>
        <v>0</v>
      </c>
      <c r="Z130" s="125">
        <v>8518</v>
      </c>
      <c r="AA130" s="126">
        <v>5</v>
      </c>
      <c r="AB130" s="127">
        <v>44224</v>
      </c>
      <c r="AC130" s="127">
        <v>44242</v>
      </c>
      <c r="AD130" s="125"/>
      <c r="AE130" s="129"/>
      <c r="AF130" s="153"/>
      <c r="AG130" s="128"/>
      <c r="AH130" s="125"/>
      <c r="AI130" s="129"/>
      <c r="AJ130" s="153"/>
      <c r="AK130" s="128"/>
      <c r="AL130" s="125"/>
      <c r="AM130" s="129"/>
      <c r="AN130" s="153"/>
      <c r="AO130" s="128"/>
      <c r="AP130" s="125"/>
      <c r="AQ130" s="129"/>
      <c r="AR130" s="153"/>
      <c r="AS130" s="128"/>
      <c r="AT130" s="125"/>
      <c r="AU130" s="129"/>
      <c r="AV130" s="153"/>
      <c r="AW130" s="128"/>
      <c r="AX130" s="125"/>
      <c r="AY130" s="129"/>
      <c r="AZ130" s="153"/>
      <c r="BA130" s="128"/>
      <c r="BB130" s="125"/>
      <c r="BC130" s="129"/>
      <c r="BD130" s="153"/>
      <c r="BE130" s="128"/>
      <c r="BF130" s="125"/>
      <c r="BG130" s="129"/>
      <c r="BH130" s="153"/>
      <c r="BI130" s="128"/>
      <c r="BJ130" s="125"/>
      <c r="BK130" s="129"/>
      <c r="BL130" s="153"/>
      <c r="BM130" s="128"/>
      <c r="BN130" s="129"/>
      <c r="BO130" s="129"/>
      <c r="BP130" s="153"/>
      <c r="BQ130" s="128"/>
      <c r="BR130" s="125"/>
      <c r="BS130" s="129"/>
      <c r="BT130" s="153"/>
      <c r="BU130" s="128"/>
      <c r="BV130" s="125"/>
      <c r="BW130" s="129"/>
      <c r="BX130" s="153"/>
      <c r="BY130" s="128"/>
      <c r="BZ130" s="712">
        <f t="shared" si="4"/>
        <v>8518</v>
      </c>
      <c r="CA130" s="415">
        <f t="shared" si="3"/>
        <v>8518</v>
      </c>
    </row>
    <row r="131" spans="1:274" s="709" customFormat="1" ht="22.5" x14ac:dyDescent="0.25">
      <c r="A131" s="709">
        <v>2</v>
      </c>
      <c r="B131" s="221">
        <v>116</v>
      </c>
      <c r="C131" s="221">
        <v>31.02</v>
      </c>
      <c r="D131" s="691">
        <v>30370976</v>
      </c>
      <c r="E131" s="150" t="s">
        <v>2088</v>
      </c>
      <c r="F131" s="700" t="s">
        <v>46</v>
      </c>
      <c r="G131" s="151" t="s">
        <v>1963</v>
      </c>
      <c r="H131" s="151" t="s">
        <v>1964</v>
      </c>
      <c r="I131" s="700" t="s">
        <v>1958</v>
      </c>
      <c r="J131" s="125">
        <v>51599</v>
      </c>
      <c r="K131" s="125">
        <v>0</v>
      </c>
      <c r="L131" s="125">
        <v>22171</v>
      </c>
      <c r="M131" s="125"/>
      <c r="N131" s="125"/>
      <c r="O131" s="125"/>
      <c r="P131" s="125"/>
      <c r="Q131" s="125"/>
      <c r="R131" s="125"/>
      <c r="S131" s="125"/>
      <c r="T131" s="125"/>
      <c r="U131" s="125"/>
      <c r="V131" s="125"/>
      <c r="W131" s="125"/>
      <c r="X131" s="125"/>
      <c r="Y131" s="125">
        <f t="shared" si="5"/>
        <v>0</v>
      </c>
      <c r="Z131" s="125">
        <v>29428</v>
      </c>
      <c r="AA131" s="126">
        <v>5</v>
      </c>
      <c r="AB131" s="127">
        <v>44224</v>
      </c>
      <c r="AC131" s="127">
        <v>44242</v>
      </c>
      <c r="AD131" s="125"/>
      <c r="AE131" s="129"/>
      <c r="AF131" s="153"/>
      <c r="AG131" s="128"/>
      <c r="AH131" s="125"/>
      <c r="AI131" s="129"/>
      <c r="AJ131" s="153"/>
      <c r="AK131" s="128"/>
      <c r="AL131" s="125"/>
      <c r="AM131" s="129"/>
      <c r="AN131" s="153"/>
      <c r="AO131" s="128"/>
      <c r="AP131" s="125"/>
      <c r="AQ131" s="129"/>
      <c r="AR131" s="153"/>
      <c r="AS131" s="128"/>
      <c r="AT131" s="125"/>
      <c r="AU131" s="129"/>
      <c r="AV131" s="153"/>
      <c r="AW131" s="128"/>
      <c r="AX131" s="125"/>
      <c r="AY131" s="129"/>
      <c r="AZ131" s="153"/>
      <c r="BA131" s="128"/>
      <c r="BB131" s="125"/>
      <c r="BC131" s="129"/>
      <c r="BD131" s="153"/>
      <c r="BE131" s="128"/>
      <c r="BF131" s="125"/>
      <c r="BG131" s="129"/>
      <c r="BH131" s="153"/>
      <c r="BI131" s="128"/>
      <c r="BJ131" s="125"/>
      <c r="BK131" s="129"/>
      <c r="BL131" s="153"/>
      <c r="BM131" s="128"/>
      <c r="BN131" s="129"/>
      <c r="BO131" s="129"/>
      <c r="BP131" s="153"/>
      <c r="BQ131" s="128"/>
      <c r="BR131" s="125"/>
      <c r="BS131" s="129"/>
      <c r="BT131" s="153"/>
      <c r="BU131" s="128"/>
      <c r="BV131" s="125"/>
      <c r="BW131" s="129"/>
      <c r="BX131" s="153"/>
      <c r="BY131" s="128"/>
      <c r="BZ131" s="712">
        <f t="shared" si="4"/>
        <v>29428</v>
      </c>
      <c r="CA131" s="415">
        <f t="shared" si="3"/>
        <v>29428</v>
      </c>
    </row>
    <row r="132" spans="1:274" s="709" customFormat="1" ht="22.5" x14ac:dyDescent="0.25">
      <c r="A132" s="709">
        <v>1</v>
      </c>
      <c r="B132" s="221">
        <v>117</v>
      </c>
      <c r="C132" s="221">
        <v>31.02</v>
      </c>
      <c r="D132" s="691">
        <v>40026646</v>
      </c>
      <c r="E132" s="150" t="s">
        <v>2089</v>
      </c>
      <c r="F132" s="700" t="s">
        <v>46</v>
      </c>
      <c r="G132" s="151" t="s">
        <v>1956</v>
      </c>
      <c r="H132" s="151" t="s">
        <v>1960</v>
      </c>
      <c r="I132" s="700" t="s">
        <v>1961</v>
      </c>
      <c r="J132" s="125">
        <v>25358</v>
      </c>
      <c r="K132" s="125">
        <v>0</v>
      </c>
      <c r="L132" s="125">
        <v>17587</v>
      </c>
      <c r="M132" s="125"/>
      <c r="N132" s="125"/>
      <c r="O132" s="125"/>
      <c r="P132" s="125"/>
      <c r="Q132" s="125"/>
      <c r="R132" s="125"/>
      <c r="S132" s="125"/>
      <c r="T132" s="125"/>
      <c r="U132" s="125"/>
      <c r="V132" s="125"/>
      <c r="W132" s="125"/>
      <c r="X132" s="125"/>
      <c r="Y132" s="125">
        <f t="shared" si="5"/>
        <v>0</v>
      </c>
      <c r="Z132" s="125">
        <v>2</v>
      </c>
      <c r="AA132" s="126">
        <v>18</v>
      </c>
      <c r="AB132" s="127">
        <v>44301</v>
      </c>
      <c r="AC132" s="127">
        <v>44312</v>
      </c>
      <c r="AD132" s="125"/>
      <c r="AE132" s="129"/>
      <c r="AF132" s="153"/>
      <c r="AG132" s="128"/>
      <c r="AH132" s="125"/>
      <c r="AI132" s="129"/>
      <c r="AJ132" s="153"/>
      <c r="AK132" s="128"/>
      <c r="AL132" s="125"/>
      <c r="AM132" s="129"/>
      <c r="AN132" s="153"/>
      <c r="AO132" s="128"/>
      <c r="AP132" s="125"/>
      <c r="AQ132" s="129"/>
      <c r="AR132" s="153"/>
      <c r="AS132" s="128"/>
      <c r="AT132" s="125"/>
      <c r="AU132" s="129"/>
      <c r="AV132" s="153"/>
      <c r="AW132" s="128"/>
      <c r="AX132" s="125"/>
      <c r="AY132" s="129"/>
      <c r="AZ132" s="153"/>
      <c r="BA132" s="128"/>
      <c r="BB132" s="125"/>
      <c r="BC132" s="129"/>
      <c r="BD132" s="153"/>
      <c r="BE132" s="128"/>
      <c r="BF132" s="125">
        <v>25366</v>
      </c>
      <c r="BG132" s="129">
        <v>25</v>
      </c>
      <c r="BH132" s="127">
        <v>44329</v>
      </c>
      <c r="BI132" s="128">
        <v>44335</v>
      </c>
      <c r="BJ132" s="125"/>
      <c r="BK132" s="129"/>
      <c r="BL132" s="153"/>
      <c r="BM132" s="128"/>
      <c r="BN132" s="129"/>
      <c r="BO132" s="129"/>
      <c r="BP132" s="153"/>
      <c r="BQ132" s="128"/>
      <c r="BR132" s="125"/>
      <c r="BS132" s="129"/>
      <c r="BT132" s="153"/>
      <c r="BU132" s="128"/>
      <c r="BV132" s="125"/>
      <c r="BW132" s="129"/>
      <c r="BX132" s="153"/>
      <c r="BY132" s="128"/>
      <c r="BZ132" s="712">
        <f t="shared" si="4"/>
        <v>25368</v>
      </c>
      <c r="CA132" s="415">
        <f t="shared" si="3"/>
        <v>25368</v>
      </c>
    </row>
    <row r="133" spans="1:274" s="709" customFormat="1" ht="22.5" x14ac:dyDescent="0.25">
      <c r="A133" s="709">
        <v>1</v>
      </c>
      <c r="B133" s="221">
        <v>118</v>
      </c>
      <c r="C133" s="221">
        <v>31.02</v>
      </c>
      <c r="D133" s="691">
        <v>30481891</v>
      </c>
      <c r="E133" s="150" t="s">
        <v>2090</v>
      </c>
      <c r="F133" s="700" t="s">
        <v>45</v>
      </c>
      <c r="G133" s="151" t="s">
        <v>1956</v>
      </c>
      <c r="H133" s="151" t="s">
        <v>1960</v>
      </c>
      <c r="I133" s="700" t="s">
        <v>1958</v>
      </c>
      <c r="J133" s="125">
        <v>3014510</v>
      </c>
      <c r="K133" s="125">
        <v>1463486</v>
      </c>
      <c r="L133" s="125">
        <v>0</v>
      </c>
      <c r="M133" s="125"/>
      <c r="N133" s="125"/>
      <c r="O133" s="125"/>
      <c r="P133" s="125"/>
      <c r="Q133" s="125"/>
      <c r="R133" s="125"/>
      <c r="S133" s="125"/>
      <c r="T133" s="125"/>
      <c r="U133" s="125"/>
      <c r="V133" s="125"/>
      <c r="W133" s="125"/>
      <c r="X133" s="125"/>
      <c r="Y133" s="125">
        <f t="shared" si="5"/>
        <v>0</v>
      </c>
      <c r="Z133" s="125">
        <v>5000</v>
      </c>
      <c r="AA133" s="126">
        <v>18</v>
      </c>
      <c r="AB133" s="127">
        <v>44301</v>
      </c>
      <c r="AC133" s="127">
        <v>44312</v>
      </c>
      <c r="AD133" s="125"/>
      <c r="AE133" s="129"/>
      <c r="AF133" s="153"/>
      <c r="AG133" s="128"/>
      <c r="AH133" s="125"/>
      <c r="AI133" s="129"/>
      <c r="AJ133" s="153"/>
      <c r="AK133" s="128"/>
      <c r="AL133" s="125"/>
      <c r="AM133" s="129"/>
      <c r="AN133" s="153"/>
      <c r="AO133" s="128"/>
      <c r="AP133" s="125"/>
      <c r="AQ133" s="129"/>
      <c r="AR133" s="153"/>
      <c r="AS133" s="128"/>
      <c r="AT133" s="125"/>
      <c r="AU133" s="129"/>
      <c r="AV133" s="153"/>
      <c r="AW133" s="128"/>
      <c r="AX133" s="125"/>
      <c r="AY133" s="129"/>
      <c r="AZ133" s="153"/>
      <c r="BA133" s="128"/>
      <c r="BB133" s="125"/>
      <c r="BC133" s="129"/>
      <c r="BD133" s="153"/>
      <c r="BE133" s="128"/>
      <c r="BF133" s="125"/>
      <c r="BG133" s="129"/>
      <c r="BH133" s="153"/>
      <c r="BI133" s="128"/>
      <c r="BJ133" s="125"/>
      <c r="BK133" s="129"/>
      <c r="BL133" s="153"/>
      <c r="BM133" s="128"/>
      <c r="BN133" s="129"/>
      <c r="BO133" s="129"/>
      <c r="BP133" s="153"/>
      <c r="BQ133" s="128"/>
      <c r="BR133" s="125"/>
      <c r="BS133" s="129"/>
      <c r="BT133" s="153"/>
      <c r="BU133" s="128"/>
      <c r="BV133" s="125"/>
      <c r="BW133" s="129"/>
      <c r="BX133" s="153"/>
      <c r="BY133" s="128"/>
      <c r="BZ133" s="712">
        <f t="shared" si="4"/>
        <v>5000</v>
      </c>
      <c r="CA133" s="415">
        <f t="shared" si="3"/>
        <v>5000</v>
      </c>
    </row>
    <row r="134" spans="1:274" s="709" customFormat="1" ht="22.5" x14ac:dyDescent="0.25">
      <c r="A134" s="709">
        <v>1</v>
      </c>
      <c r="B134" s="221">
        <v>119</v>
      </c>
      <c r="C134" s="221">
        <v>31.03</v>
      </c>
      <c r="D134" s="691">
        <v>30095294</v>
      </c>
      <c r="E134" s="150" t="s">
        <v>2091</v>
      </c>
      <c r="F134" s="700" t="s">
        <v>45</v>
      </c>
      <c r="G134" s="151" t="s">
        <v>1956</v>
      </c>
      <c r="H134" s="151" t="s">
        <v>1960</v>
      </c>
      <c r="I134" s="700" t="s">
        <v>1958</v>
      </c>
      <c r="J134" s="125">
        <v>305749</v>
      </c>
      <c r="K134" s="125">
        <v>220749</v>
      </c>
      <c r="L134" s="125">
        <v>0</v>
      </c>
      <c r="M134" s="125"/>
      <c r="N134" s="125"/>
      <c r="O134" s="125"/>
      <c r="P134" s="125"/>
      <c r="Q134" s="125"/>
      <c r="R134" s="125"/>
      <c r="S134" s="125"/>
      <c r="T134" s="125"/>
      <c r="U134" s="125"/>
      <c r="V134" s="125"/>
      <c r="W134" s="125"/>
      <c r="X134" s="125"/>
      <c r="Y134" s="125">
        <f t="shared" si="5"/>
        <v>0</v>
      </c>
      <c r="Z134" s="125">
        <v>55000</v>
      </c>
      <c r="AA134" s="126">
        <v>18</v>
      </c>
      <c r="AB134" s="127">
        <v>44301</v>
      </c>
      <c r="AC134" s="127">
        <v>44312</v>
      </c>
      <c r="AD134" s="125"/>
      <c r="AE134" s="129"/>
      <c r="AF134" s="153"/>
      <c r="AG134" s="128"/>
      <c r="AH134" s="125"/>
      <c r="AI134" s="129"/>
      <c r="AJ134" s="153"/>
      <c r="AK134" s="128"/>
      <c r="AL134" s="125"/>
      <c r="AM134" s="129"/>
      <c r="AN134" s="153"/>
      <c r="AO134" s="128"/>
      <c r="AP134" s="125"/>
      <c r="AQ134" s="129"/>
      <c r="AR134" s="153"/>
      <c r="AS134" s="128"/>
      <c r="AT134" s="125"/>
      <c r="AU134" s="129"/>
      <c r="AV134" s="153"/>
      <c r="AW134" s="128"/>
      <c r="AX134" s="125"/>
      <c r="AY134" s="129"/>
      <c r="AZ134" s="153"/>
      <c r="BA134" s="128"/>
      <c r="BB134" s="125"/>
      <c r="BC134" s="129"/>
      <c r="BD134" s="153"/>
      <c r="BE134" s="128"/>
      <c r="BF134" s="125"/>
      <c r="BG134" s="129"/>
      <c r="BH134" s="153"/>
      <c r="BI134" s="128"/>
      <c r="BJ134" s="125"/>
      <c r="BK134" s="129"/>
      <c r="BL134" s="153"/>
      <c r="BM134" s="128"/>
      <c r="BN134" s="129">
        <v>10000</v>
      </c>
      <c r="BO134" s="129">
        <v>28</v>
      </c>
      <c r="BP134" s="127">
        <v>44363</v>
      </c>
      <c r="BQ134" s="128"/>
      <c r="BR134" s="125"/>
      <c r="BS134" s="129"/>
      <c r="BT134" s="153"/>
      <c r="BU134" s="128"/>
      <c r="BV134" s="125"/>
      <c r="BW134" s="129"/>
      <c r="BX134" s="153"/>
      <c r="BY134" s="128"/>
      <c r="BZ134" s="712">
        <f t="shared" si="4"/>
        <v>65000</v>
      </c>
      <c r="CA134" s="415">
        <f t="shared" si="3"/>
        <v>65000</v>
      </c>
    </row>
    <row r="135" spans="1:274" s="709" customFormat="1" ht="22.5" x14ac:dyDescent="0.25">
      <c r="A135" s="709">
        <v>1</v>
      </c>
      <c r="B135" s="221">
        <v>120</v>
      </c>
      <c r="C135" s="221">
        <v>31.02</v>
      </c>
      <c r="D135" s="691">
        <v>30310724</v>
      </c>
      <c r="E135" s="150" t="s">
        <v>2092</v>
      </c>
      <c r="F135" s="700" t="s">
        <v>45</v>
      </c>
      <c r="G135" s="151" t="s">
        <v>1956</v>
      </c>
      <c r="H135" s="151" t="s">
        <v>1960</v>
      </c>
      <c r="I135" s="700" t="s">
        <v>1958</v>
      </c>
      <c r="J135" s="125">
        <v>11705024</v>
      </c>
      <c r="K135" s="125">
        <v>9941585</v>
      </c>
      <c r="L135" s="125">
        <v>0</v>
      </c>
      <c r="M135" s="125"/>
      <c r="N135" s="125"/>
      <c r="O135" s="125"/>
      <c r="P135" s="125">
        <v>10964</v>
      </c>
      <c r="Q135" s="125"/>
      <c r="R135" s="125"/>
      <c r="S135" s="125"/>
      <c r="T135" s="125"/>
      <c r="U135" s="125"/>
      <c r="V135" s="125"/>
      <c r="W135" s="125"/>
      <c r="X135" s="125"/>
      <c r="Y135" s="125">
        <f t="shared" si="5"/>
        <v>10964</v>
      </c>
      <c r="Z135" s="125">
        <v>11000</v>
      </c>
      <c r="AA135" s="126">
        <v>20</v>
      </c>
      <c r="AB135" s="127">
        <v>44308</v>
      </c>
      <c r="AC135" s="127">
        <v>44314</v>
      </c>
      <c r="AD135" s="125"/>
      <c r="AE135" s="129"/>
      <c r="AF135" s="153"/>
      <c r="AG135" s="128"/>
      <c r="AH135" s="125"/>
      <c r="AI135" s="129"/>
      <c r="AJ135" s="153"/>
      <c r="AK135" s="128"/>
      <c r="AL135" s="125"/>
      <c r="AM135" s="129"/>
      <c r="AN135" s="153"/>
      <c r="AO135" s="128"/>
      <c r="AP135" s="125"/>
      <c r="AQ135" s="129"/>
      <c r="AR135" s="153"/>
      <c r="AS135" s="128"/>
      <c r="AT135" s="125"/>
      <c r="AU135" s="129"/>
      <c r="AV135" s="153"/>
      <c r="AW135" s="128"/>
      <c r="AX135" s="125"/>
      <c r="AY135" s="129"/>
      <c r="AZ135" s="153"/>
      <c r="BA135" s="128"/>
      <c r="BB135" s="125"/>
      <c r="BC135" s="129"/>
      <c r="BD135" s="153"/>
      <c r="BE135" s="128"/>
      <c r="BF135" s="125"/>
      <c r="BG135" s="129"/>
      <c r="BH135" s="153"/>
      <c r="BI135" s="128"/>
      <c r="BJ135" s="125"/>
      <c r="BK135" s="129"/>
      <c r="BL135" s="153"/>
      <c r="BM135" s="128"/>
      <c r="BN135" s="129"/>
      <c r="BO135" s="129"/>
      <c r="BP135" s="153"/>
      <c r="BQ135" s="128"/>
      <c r="BR135" s="125"/>
      <c r="BS135" s="129"/>
      <c r="BT135" s="153"/>
      <c r="BU135" s="128"/>
      <c r="BV135" s="125"/>
      <c r="BW135" s="129"/>
      <c r="BX135" s="153"/>
      <c r="BY135" s="128"/>
      <c r="BZ135" s="712">
        <f t="shared" si="4"/>
        <v>11000</v>
      </c>
      <c r="CA135" s="415">
        <f t="shared" si="3"/>
        <v>36</v>
      </c>
    </row>
    <row r="136" spans="1:274" s="709" customFormat="1" ht="22.5" x14ac:dyDescent="0.25">
      <c r="A136" s="709">
        <v>1</v>
      </c>
      <c r="B136" s="221">
        <v>121</v>
      </c>
      <c r="C136" s="221">
        <v>31.02</v>
      </c>
      <c r="D136" s="691">
        <v>40006303</v>
      </c>
      <c r="E136" s="150" t="s">
        <v>2093</v>
      </c>
      <c r="F136" s="700" t="s">
        <v>46</v>
      </c>
      <c r="G136" s="703" t="s">
        <v>1956</v>
      </c>
      <c r="H136" s="703" t="s">
        <v>1960</v>
      </c>
      <c r="I136" s="700" t="s">
        <v>1961</v>
      </c>
      <c r="J136" s="125">
        <v>98870</v>
      </c>
      <c r="K136" s="125">
        <v>0</v>
      </c>
      <c r="L136" s="125">
        <v>98766</v>
      </c>
      <c r="M136" s="125"/>
      <c r="N136" s="125"/>
      <c r="O136" s="125"/>
      <c r="P136" s="125"/>
      <c r="Q136" s="125"/>
      <c r="R136" s="125"/>
      <c r="S136" s="125"/>
      <c r="T136" s="125"/>
      <c r="U136" s="125"/>
      <c r="V136" s="125"/>
      <c r="W136" s="125"/>
      <c r="X136" s="125"/>
      <c r="Y136" s="125">
        <f t="shared" si="5"/>
        <v>0</v>
      </c>
      <c r="Z136" s="125">
        <v>2</v>
      </c>
      <c r="AA136" s="126">
        <v>23</v>
      </c>
      <c r="AB136" s="127">
        <v>44321</v>
      </c>
      <c r="AC136" s="127">
        <v>44326</v>
      </c>
      <c r="AD136" s="125"/>
      <c r="AE136" s="129"/>
      <c r="AF136" s="153"/>
      <c r="AG136" s="128"/>
      <c r="AH136" s="125"/>
      <c r="AI136" s="129"/>
      <c r="AJ136" s="153"/>
      <c r="AK136" s="128"/>
      <c r="AL136" s="125"/>
      <c r="AM136" s="129"/>
      <c r="AN136" s="153"/>
      <c r="AO136" s="128"/>
      <c r="AP136" s="125"/>
      <c r="AQ136" s="129"/>
      <c r="AR136" s="153"/>
      <c r="AS136" s="128"/>
      <c r="AT136" s="125"/>
      <c r="AU136" s="129"/>
      <c r="AV136" s="153"/>
      <c r="AW136" s="128"/>
      <c r="AX136" s="125"/>
      <c r="AY136" s="129"/>
      <c r="AZ136" s="153"/>
      <c r="BA136" s="128"/>
      <c r="BB136" s="125"/>
      <c r="BC136" s="129"/>
      <c r="BD136" s="153"/>
      <c r="BE136" s="128"/>
      <c r="BF136" s="125"/>
      <c r="BG136" s="129"/>
      <c r="BH136" s="153"/>
      <c r="BI136" s="128"/>
      <c r="BJ136" s="125"/>
      <c r="BK136" s="129"/>
      <c r="BL136" s="153"/>
      <c r="BM136" s="128"/>
      <c r="BN136" s="129"/>
      <c r="BO136" s="129"/>
      <c r="BP136" s="153"/>
      <c r="BQ136" s="128"/>
      <c r="BR136" s="125"/>
      <c r="BS136" s="129"/>
      <c r="BT136" s="153"/>
      <c r="BU136" s="128"/>
      <c r="BV136" s="125"/>
      <c r="BW136" s="129"/>
      <c r="BX136" s="153"/>
      <c r="BY136" s="128"/>
      <c r="BZ136" s="712">
        <f t="shared" si="4"/>
        <v>2</v>
      </c>
      <c r="CA136" s="415">
        <f t="shared" si="3"/>
        <v>2</v>
      </c>
    </row>
    <row r="137" spans="1:274" s="709" customFormat="1" ht="22.5" x14ac:dyDescent="0.25">
      <c r="A137" s="709">
        <v>1</v>
      </c>
      <c r="B137" s="221">
        <v>122</v>
      </c>
      <c r="C137" s="221">
        <v>31.02</v>
      </c>
      <c r="D137" s="691">
        <v>40010607</v>
      </c>
      <c r="E137" s="150" t="s">
        <v>2094</v>
      </c>
      <c r="F137" s="700" t="s">
        <v>46</v>
      </c>
      <c r="G137" s="703" t="s">
        <v>1956</v>
      </c>
      <c r="H137" s="703" t="s">
        <v>1960</v>
      </c>
      <c r="I137" s="700" t="s">
        <v>1961</v>
      </c>
      <c r="J137" s="125">
        <v>110641</v>
      </c>
      <c r="K137" s="125">
        <v>0</v>
      </c>
      <c r="L137" s="125">
        <v>0</v>
      </c>
      <c r="M137" s="125"/>
      <c r="N137" s="125"/>
      <c r="O137" s="125"/>
      <c r="P137" s="125"/>
      <c r="Q137" s="125"/>
      <c r="R137" s="125"/>
      <c r="S137" s="125"/>
      <c r="T137" s="125"/>
      <c r="U137" s="125"/>
      <c r="V137" s="125"/>
      <c r="W137" s="125"/>
      <c r="X137" s="125"/>
      <c r="Y137" s="125">
        <f t="shared" si="5"/>
        <v>0</v>
      </c>
      <c r="Z137" s="125">
        <v>2</v>
      </c>
      <c r="AA137" s="126">
        <v>23</v>
      </c>
      <c r="AB137" s="127">
        <v>44321</v>
      </c>
      <c r="AC137" s="127">
        <v>44326</v>
      </c>
      <c r="AD137" s="125"/>
      <c r="AE137" s="129"/>
      <c r="AF137" s="153"/>
      <c r="AG137" s="128"/>
      <c r="AH137" s="125"/>
      <c r="AI137" s="129"/>
      <c r="AJ137" s="153"/>
      <c r="AK137" s="128"/>
      <c r="AL137" s="125"/>
      <c r="AM137" s="129"/>
      <c r="AN137" s="153"/>
      <c r="AO137" s="128"/>
      <c r="AP137" s="125"/>
      <c r="AQ137" s="129"/>
      <c r="AR137" s="153"/>
      <c r="AS137" s="128"/>
      <c r="AT137" s="125"/>
      <c r="AU137" s="129"/>
      <c r="AV137" s="153"/>
      <c r="AW137" s="128"/>
      <c r="AX137" s="125"/>
      <c r="AY137" s="129"/>
      <c r="AZ137" s="153"/>
      <c r="BA137" s="128"/>
      <c r="BB137" s="125"/>
      <c r="BC137" s="129"/>
      <c r="BD137" s="153"/>
      <c r="BE137" s="128"/>
      <c r="BF137" s="125"/>
      <c r="BG137" s="129"/>
      <c r="BH137" s="153"/>
      <c r="BI137" s="128"/>
      <c r="BJ137" s="125"/>
      <c r="BK137" s="129"/>
      <c r="BL137" s="153"/>
      <c r="BM137" s="128"/>
      <c r="BN137" s="129"/>
      <c r="BO137" s="129"/>
      <c r="BP137" s="153"/>
      <c r="BQ137" s="128"/>
      <c r="BR137" s="125"/>
      <c r="BS137" s="129"/>
      <c r="BT137" s="153"/>
      <c r="BU137" s="128"/>
      <c r="BV137" s="125"/>
      <c r="BW137" s="129"/>
      <c r="BX137" s="153"/>
      <c r="BY137" s="128"/>
      <c r="BZ137" s="712">
        <f t="shared" si="4"/>
        <v>2</v>
      </c>
      <c r="CA137" s="415">
        <f t="shared" si="3"/>
        <v>2</v>
      </c>
    </row>
    <row r="138" spans="1:274" s="709" customFormat="1" ht="22.5" x14ac:dyDescent="0.25">
      <c r="A138" s="709">
        <v>1</v>
      </c>
      <c r="B138" s="221">
        <v>123</v>
      </c>
      <c r="C138" s="221">
        <v>31.02</v>
      </c>
      <c r="D138" s="691">
        <v>30113782</v>
      </c>
      <c r="E138" s="150" t="s">
        <v>2095</v>
      </c>
      <c r="F138" s="700" t="s">
        <v>45</v>
      </c>
      <c r="G138" s="704" t="s">
        <v>1956</v>
      </c>
      <c r="H138" s="705" t="s">
        <v>1960</v>
      </c>
      <c r="I138" s="700" t="s">
        <v>1958</v>
      </c>
      <c r="J138" s="125">
        <v>466157</v>
      </c>
      <c r="K138" s="125">
        <v>0</v>
      </c>
      <c r="L138" s="125">
        <v>233083</v>
      </c>
      <c r="M138" s="125"/>
      <c r="N138" s="125"/>
      <c r="O138" s="125"/>
      <c r="P138" s="125"/>
      <c r="Q138" s="125"/>
      <c r="R138" s="125"/>
      <c r="S138" s="125"/>
      <c r="T138" s="125"/>
      <c r="U138" s="125"/>
      <c r="V138" s="125"/>
      <c r="W138" s="125"/>
      <c r="X138" s="125"/>
      <c r="Y138" s="125">
        <f t="shared" si="5"/>
        <v>0</v>
      </c>
      <c r="Z138" s="125">
        <v>374440</v>
      </c>
      <c r="AA138" s="126">
        <v>23</v>
      </c>
      <c r="AB138" s="127">
        <v>44321</v>
      </c>
      <c r="AC138" s="127">
        <v>44326</v>
      </c>
      <c r="AD138" s="125"/>
      <c r="AE138" s="129"/>
      <c r="AF138" s="153"/>
      <c r="AG138" s="128"/>
      <c r="AH138" s="125"/>
      <c r="AI138" s="129"/>
      <c r="AJ138" s="153"/>
      <c r="AK138" s="128"/>
      <c r="AL138" s="125"/>
      <c r="AM138" s="129"/>
      <c r="AN138" s="153"/>
      <c r="AO138" s="128"/>
      <c r="AP138" s="125"/>
      <c r="AQ138" s="129"/>
      <c r="AR138" s="153"/>
      <c r="AS138" s="128"/>
      <c r="AT138" s="125"/>
      <c r="AU138" s="129"/>
      <c r="AV138" s="153"/>
      <c r="AW138" s="128"/>
      <c r="AX138" s="125"/>
      <c r="AY138" s="129"/>
      <c r="AZ138" s="153"/>
      <c r="BA138" s="128"/>
      <c r="BB138" s="125"/>
      <c r="BC138" s="129"/>
      <c r="BD138" s="153"/>
      <c r="BE138" s="128"/>
      <c r="BF138" s="125"/>
      <c r="BG138" s="129"/>
      <c r="BH138" s="153"/>
      <c r="BI138" s="128"/>
      <c r="BJ138" s="125"/>
      <c r="BK138" s="129"/>
      <c r="BL138" s="153"/>
      <c r="BM138" s="128"/>
      <c r="BN138" s="129"/>
      <c r="BO138" s="129"/>
      <c r="BP138" s="153"/>
      <c r="BQ138" s="128"/>
      <c r="BR138" s="125"/>
      <c r="BS138" s="129"/>
      <c r="BT138" s="153"/>
      <c r="BU138" s="128"/>
      <c r="BV138" s="125"/>
      <c r="BW138" s="129"/>
      <c r="BX138" s="153"/>
      <c r="BY138" s="128"/>
      <c r="BZ138" s="712">
        <f t="shared" si="4"/>
        <v>374440</v>
      </c>
      <c r="CA138" s="415">
        <f t="shared" si="3"/>
        <v>374440</v>
      </c>
    </row>
    <row r="139" spans="1:274" s="709" customFormat="1" ht="12.75" x14ac:dyDescent="0.25">
      <c r="A139" s="709">
        <v>1</v>
      </c>
      <c r="B139" s="221">
        <v>124</v>
      </c>
      <c r="C139" s="221">
        <v>31.01</v>
      </c>
      <c r="D139" s="691">
        <v>40027616</v>
      </c>
      <c r="E139" s="150" t="s">
        <v>2096</v>
      </c>
      <c r="F139" s="700" t="s">
        <v>45</v>
      </c>
      <c r="G139" s="704" t="s">
        <v>1963</v>
      </c>
      <c r="H139" s="705" t="s">
        <v>2014</v>
      </c>
      <c r="I139" s="700" t="s">
        <v>1961</v>
      </c>
      <c r="J139" s="125">
        <v>92500</v>
      </c>
      <c r="K139" s="125">
        <v>0</v>
      </c>
      <c r="L139" s="125">
        <v>0</v>
      </c>
      <c r="M139" s="125"/>
      <c r="N139" s="125"/>
      <c r="O139" s="125"/>
      <c r="P139" s="125"/>
      <c r="Q139" s="125"/>
      <c r="R139" s="125"/>
      <c r="S139" s="125"/>
      <c r="T139" s="125"/>
      <c r="U139" s="125"/>
      <c r="V139" s="125"/>
      <c r="W139" s="125"/>
      <c r="X139" s="125"/>
      <c r="Y139" s="125">
        <f t="shared" si="5"/>
        <v>0</v>
      </c>
      <c r="Z139" s="125">
        <v>2</v>
      </c>
      <c r="AA139" s="126">
        <v>26</v>
      </c>
      <c r="AB139" s="127">
        <v>44344</v>
      </c>
      <c r="AC139" s="127">
        <v>44354</v>
      </c>
      <c r="AD139" s="125"/>
      <c r="AE139" s="129"/>
      <c r="AF139" s="153"/>
      <c r="AG139" s="128"/>
      <c r="AH139" s="125"/>
      <c r="AI139" s="129"/>
      <c r="AJ139" s="153"/>
      <c r="AK139" s="128"/>
      <c r="AL139" s="125"/>
      <c r="AM139" s="129"/>
      <c r="AN139" s="153"/>
      <c r="AO139" s="128"/>
      <c r="AP139" s="125"/>
      <c r="AQ139" s="129"/>
      <c r="AR139" s="153"/>
      <c r="AS139" s="128"/>
      <c r="AT139" s="125"/>
      <c r="AU139" s="129"/>
      <c r="AV139" s="153"/>
      <c r="AW139" s="128"/>
      <c r="AX139" s="125"/>
      <c r="AY139" s="129"/>
      <c r="AZ139" s="153"/>
      <c r="BA139" s="128"/>
      <c r="BB139" s="125"/>
      <c r="BC139" s="129"/>
      <c r="BD139" s="153"/>
      <c r="BE139" s="128"/>
      <c r="BF139" s="125"/>
      <c r="BG139" s="129"/>
      <c r="BH139" s="153"/>
      <c r="BI139" s="128"/>
      <c r="BJ139" s="125"/>
      <c r="BK139" s="129"/>
      <c r="BL139" s="153"/>
      <c r="BM139" s="128"/>
      <c r="BN139" s="129"/>
      <c r="BO139" s="129"/>
      <c r="BP139" s="153"/>
      <c r="BQ139" s="128"/>
      <c r="BR139" s="125"/>
      <c r="BS139" s="129"/>
      <c r="BT139" s="153"/>
      <c r="BU139" s="128"/>
      <c r="BV139" s="125"/>
      <c r="BW139" s="129"/>
      <c r="BX139" s="153"/>
      <c r="BY139" s="128"/>
      <c r="BZ139" s="712">
        <f t="shared" si="4"/>
        <v>2</v>
      </c>
      <c r="CA139" s="415">
        <f t="shared" si="3"/>
        <v>2</v>
      </c>
    </row>
    <row r="140" spans="1:274" s="709" customFormat="1" ht="22.5" x14ac:dyDescent="0.25">
      <c r="A140" s="709">
        <v>1</v>
      </c>
      <c r="B140" s="221">
        <v>125</v>
      </c>
      <c r="C140" s="221">
        <v>31.01</v>
      </c>
      <c r="D140" s="691">
        <v>40027618</v>
      </c>
      <c r="E140" s="150" t="s">
        <v>2097</v>
      </c>
      <c r="F140" s="700" t="s">
        <v>45</v>
      </c>
      <c r="G140" s="704" t="s">
        <v>1966</v>
      </c>
      <c r="H140" s="705" t="s">
        <v>2020</v>
      </c>
      <c r="I140" s="700" t="s">
        <v>1961</v>
      </c>
      <c r="J140" s="125">
        <v>92850</v>
      </c>
      <c r="K140" s="125">
        <v>0</v>
      </c>
      <c r="L140" s="125">
        <v>0</v>
      </c>
      <c r="M140" s="125"/>
      <c r="N140" s="125"/>
      <c r="O140" s="125"/>
      <c r="P140" s="125"/>
      <c r="Q140" s="125"/>
      <c r="R140" s="125"/>
      <c r="S140" s="125"/>
      <c r="T140" s="125"/>
      <c r="U140" s="125"/>
      <c r="V140" s="125"/>
      <c r="W140" s="125"/>
      <c r="X140" s="125"/>
      <c r="Y140" s="125">
        <f t="shared" si="5"/>
        <v>0</v>
      </c>
      <c r="Z140" s="125">
        <v>2</v>
      </c>
      <c r="AA140" s="126">
        <v>26</v>
      </c>
      <c r="AB140" s="127">
        <v>44344</v>
      </c>
      <c r="AC140" s="127">
        <v>44354</v>
      </c>
      <c r="AD140" s="125"/>
      <c r="AE140" s="129"/>
      <c r="AF140" s="153"/>
      <c r="AG140" s="128"/>
      <c r="AH140" s="125"/>
      <c r="AI140" s="129"/>
      <c r="AJ140" s="153"/>
      <c r="AK140" s="128"/>
      <c r="AL140" s="125"/>
      <c r="AM140" s="129"/>
      <c r="AN140" s="153"/>
      <c r="AO140" s="128"/>
      <c r="AP140" s="125"/>
      <c r="AQ140" s="129"/>
      <c r="AR140" s="153"/>
      <c r="AS140" s="128"/>
      <c r="AT140" s="125"/>
      <c r="AU140" s="129"/>
      <c r="AV140" s="153"/>
      <c r="AW140" s="128"/>
      <c r="AX140" s="125"/>
      <c r="AY140" s="129"/>
      <c r="AZ140" s="153"/>
      <c r="BA140" s="128"/>
      <c r="BB140" s="125"/>
      <c r="BC140" s="129"/>
      <c r="BD140" s="153"/>
      <c r="BE140" s="128"/>
      <c r="BF140" s="125"/>
      <c r="BG140" s="129"/>
      <c r="BH140" s="153"/>
      <c r="BI140" s="128"/>
      <c r="BJ140" s="125"/>
      <c r="BK140" s="129"/>
      <c r="BL140" s="153"/>
      <c r="BM140" s="128"/>
      <c r="BN140" s="129"/>
      <c r="BO140" s="129"/>
      <c r="BP140" s="153"/>
      <c r="BQ140" s="128"/>
      <c r="BR140" s="125"/>
      <c r="BS140" s="129"/>
      <c r="BT140" s="153"/>
      <c r="BU140" s="128"/>
      <c r="BV140" s="125"/>
      <c r="BW140" s="129"/>
      <c r="BX140" s="153"/>
      <c r="BY140" s="128"/>
      <c r="BZ140" s="712">
        <f t="shared" si="4"/>
        <v>2</v>
      </c>
      <c r="CA140" s="415">
        <f t="shared" si="3"/>
        <v>2</v>
      </c>
    </row>
    <row r="141" spans="1:274" s="709" customFormat="1" ht="22.5" x14ac:dyDescent="0.25">
      <c r="A141" s="709">
        <v>1</v>
      </c>
      <c r="B141" s="221">
        <v>126</v>
      </c>
      <c r="C141" s="221">
        <v>31.02</v>
      </c>
      <c r="D141" s="691">
        <v>30485121</v>
      </c>
      <c r="E141" s="150" t="s">
        <v>2098</v>
      </c>
      <c r="F141" s="700" t="s">
        <v>45</v>
      </c>
      <c r="G141" s="704" t="s">
        <v>1956</v>
      </c>
      <c r="H141" s="705" t="s">
        <v>1960</v>
      </c>
      <c r="I141" s="700" t="s">
        <v>1958</v>
      </c>
      <c r="J141" s="125">
        <v>187647</v>
      </c>
      <c r="K141" s="125">
        <v>0</v>
      </c>
      <c r="L141" s="125">
        <v>771</v>
      </c>
      <c r="M141" s="125"/>
      <c r="N141" s="125"/>
      <c r="O141" s="125"/>
      <c r="P141" s="125"/>
      <c r="Q141" s="125"/>
      <c r="R141" s="125"/>
      <c r="S141" s="125"/>
      <c r="T141" s="125"/>
      <c r="U141" s="125"/>
      <c r="V141" s="125"/>
      <c r="W141" s="125"/>
      <c r="X141" s="125"/>
      <c r="Y141" s="125">
        <f t="shared" si="5"/>
        <v>0</v>
      </c>
      <c r="Z141" s="125">
        <v>160000</v>
      </c>
      <c r="AA141" s="126">
        <v>26</v>
      </c>
      <c r="AB141" s="127">
        <v>44344</v>
      </c>
      <c r="AC141" s="127">
        <v>44354</v>
      </c>
      <c r="AD141" s="125"/>
      <c r="AE141" s="129"/>
      <c r="AF141" s="153"/>
      <c r="AG141" s="128"/>
      <c r="AH141" s="125"/>
      <c r="AI141" s="129"/>
      <c r="AJ141" s="153"/>
      <c r="AK141" s="128"/>
      <c r="AL141" s="125"/>
      <c r="AM141" s="129"/>
      <c r="AN141" s="153"/>
      <c r="AO141" s="128"/>
      <c r="AP141" s="125"/>
      <c r="AQ141" s="129"/>
      <c r="AR141" s="153"/>
      <c r="AS141" s="128"/>
      <c r="AT141" s="125"/>
      <c r="AU141" s="129"/>
      <c r="AV141" s="153"/>
      <c r="AW141" s="128"/>
      <c r="AX141" s="125"/>
      <c r="AY141" s="129"/>
      <c r="AZ141" s="153"/>
      <c r="BA141" s="128"/>
      <c r="BB141" s="125"/>
      <c r="BC141" s="129"/>
      <c r="BD141" s="153"/>
      <c r="BE141" s="128"/>
      <c r="BF141" s="125"/>
      <c r="BG141" s="129"/>
      <c r="BH141" s="153"/>
      <c r="BI141" s="128"/>
      <c r="BJ141" s="125"/>
      <c r="BK141" s="129"/>
      <c r="BL141" s="153"/>
      <c r="BM141" s="128"/>
      <c r="BN141" s="129"/>
      <c r="BO141" s="129"/>
      <c r="BP141" s="153"/>
      <c r="BQ141" s="128"/>
      <c r="BR141" s="125"/>
      <c r="BS141" s="129"/>
      <c r="BT141" s="153"/>
      <c r="BU141" s="128"/>
      <c r="BV141" s="125"/>
      <c r="BW141" s="129"/>
      <c r="BX141" s="153"/>
      <c r="BY141" s="128"/>
      <c r="BZ141" s="712">
        <f t="shared" si="4"/>
        <v>160000</v>
      </c>
      <c r="CA141" s="415">
        <f t="shared" si="3"/>
        <v>160000</v>
      </c>
    </row>
    <row r="142" spans="1:274" s="715" customFormat="1" x14ac:dyDescent="0.25">
      <c r="A142" s="709"/>
      <c r="B142" s="41"/>
      <c r="C142" s="41"/>
      <c r="D142" s="413"/>
      <c r="E142" s="326"/>
      <c r="F142" s="713"/>
      <c r="G142" s="17"/>
      <c r="H142" s="17"/>
      <c r="I142" s="713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57"/>
      <c r="AA142" s="19"/>
      <c r="AB142" s="21"/>
      <c r="AC142" s="25"/>
      <c r="AD142" s="57"/>
      <c r="AE142" s="20"/>
      <c r="AF142" s="21"/>
      <c r="AG142" s="25"/>
      <c r="AH142" s="57"/>
      <c r="AI142" s="20"/>
      <c r="AJ142" s="21"/>
      <c r="AK142" s="25"/>
      <c r="AL142" s="57"/>
      <c r="AM142" s="20"/>
      <c r="AN142" s="21"/>
      <c r="AO142" s="25"/>
      <c r="AP142" s="57"/>
      <c r="AQ142" s="20"/>
      <c r="AR142" s="21"/>
      <c r="AS142" s="25"/>
      <c r="AT142" s="57"/>
      <c r="AU142" s="20"/>
      <c r="AV142" s="21"/>
      <c r="AW142" s="25"/>
      <c r="AX142" s="57"/>
      <c r="AY142" s="20"/>
      <c r="AZ142" s="21"/>
      <c r="BA142" s="25"/>
      <c r="BB142" s="57"/>
      <c r="BC142" s="20"/>
      <c r="BD142" s="21"/>
      <c r="BE142" s="25"/>
      <c r="BF142" s="57"/>
      <c r="BG142" s="20"/>
      <c r="BH142" s="21"/>
      <c r="BI142" s="25"/>
      <c r="BJ142" s="57"/>
      <c r="BK142" s="20"/>
      <c r="BL142" s="21"/>
      <c r="BM142" s="25"/>
      <c r="BN142" s="20"/>
      <c r="BO142" s="20"/>
      <c r="BP142" s="21"/>
      <c r="BQ142" s="25"/>
      <c r="BR142" s="57"/>
      <c r="BS142" s="20"/>
      <c r="BT142" s="21"/>
      <c r="BU142" s="25"/>
      <c r="BV142" s="57"/>
      <c r="BW142" s="20"/>
      <c r="BX142" s="21"/>
      <c r="BY142" s="25"/>
      <c r="BZ142" s="714"/>
      <c r="CA142" s="341"/>
      <c r="CB142" s="709"/>
      <c r="CC142" s="709"/>
      <c r="CD142" s="709"/>
      <c r="CE142" s="709"/>
      <c r="CF142" s="709"/>
      <c r="CG142" s="709"/>
      <c r="CH142" s="709"/>
      <c r="CI142" s="709"/>
      <c r="CJ142" s="709"/>
      <c r="CK142" s="709"/>
      <c r="CL142" s="709"/>
      <c r="CM142" s="709"/>
      <c r="CN142" s="709"/>
      <c r="CO142" s="709"/>
      <c r="CP142" s="709"/>
      <c r="CQ142" s="709"/>
      <c r="CR142" s="709"/>
      <c r="CS142" s="709"/>
      <c r="CT142" s="709"/>
      <c r="CU142" s="709"/>
      <c r="CV142" s="709"/>
      <c r="CW142" s="709"/>
      <c r="CX142" s="709"/>
      <c r="CY142" s="709"/>
      <c r="CZ142" s="709"/>
      <c r="DA142" s="709"/>
      <c r="DB142" s="709"/>
      <c r="DC142" s="709"/>
      <c r="DD142" s="709"/>
      <c r="DE142" s="709"/>
      <c r="DF142" s="709"/>
      <c r="DG142" s="709"/>
      <c r="DH142" s="709"/>
      <c r="DI142" s="709"/>
      <c r="DJ142" s="709"/>
      <c r="DK142" s="709"/>
      <c r="DL142" s="709"/>
      <c r="DM142" s="709"/>
      <c r="DN142" s="709"/>
      <c r="DO142" s="709"/>
      <c r="DP142" s="709"/>
      <c r="DQ142" s="709"/>
      <c r="DR142" s="709"/>
      <c r="DS142" s="709"/>
      <c r="DT142" s="709"/>
      <c r="DU142" s="709"/>
      <c r="DV142" s="709"/>
      <c r="DW142" s="709"/>
      <c r="DX142" s="709"/>
      <c r="DY142" s="709"/>
      <c r="DZ142" s="709"/>
      <c r="EA142" s="709"/>
      <c r="EB142" s="709"/>
      <c r="EC142" s="709"/>
      <c r="ED142" s="709"/>
      <c r="EE142" s="709"/>
      <c r="EF142" s="709"/>
      <c r="EG142" s="709"/>
      <c r="EH142" s="709"/>
      <c r="EI142" s="709"/>
      <c r="EJ142" s="709"/>
      <c r="EK142" s="709"/>
      <c r="EL142" s="709"/>
      <c r="EM142" s="709"/>
      <c r="EN142" s="709"/>
      <c r="EO142" s="709"/>
      <c r="EP142" s="709"/>
      <c r="EQ142" s="709"/>
      <c r="ER142" s="709"/>
      <c r="ES142" s="709"/>
      <c r="ET142" s="709"/>
      <c r="EU142" s="709"/>
      <c r="EV142" s="709"/>
      <c r="EW142" s="709"/>
      <c r="EX142" s="709"/>
      <c r="EY142" s="709"/>
      <c r="EZ142" s="709"/>
      <c r="FA142" s="709"/>
      <c r="FB142" s="709"/>
      <c r="FC142" s="709"/>
      <c r="FD142" s="709"/>
      <c r="FE142" s="709"/>
      <c r="FF142" s="709"/>
      <c r="FG142" s="709"/>
      <c r="FH142" s="709"/>
      <c r="FI142" s="709"/>
      <c r="FJ142" s="709"/>
      <c r="FK142" s="709"/>
      <c r="FL142" s="709"/>
      <c r="FM142" s="709"/>
      <c r="FN142" s="709"/>
      <c r="FO142" s="709"/>
      <c r="FP142" s="709"/>
      <c r="FQ142" s="709"/>
      <c r="FR142" s="709"/>
      <c r="FS142" s="709"/>
      <c r="FT142" s="709"/>
      <c r="FU142" s="709"/>
      <c r="FV142" s="709"/>
      <c r="FW142" s="709"/>
      <c r="FX142" s="709"/>
      <c r="FY142" s="709"/>
      <c r="FZ142" s="709"/>
      <c r="GA142" s="709"/>
      <c r="GB142" s="709"/>
      <c r="GC142" s="709"/>
      <c r="GD142" s="709"/>
      <c r="GE142" s="709"/>
      <c r="GF142" s="709"/>
      <c r="GG142" s="709"/>
      <c r="GH142" s="709"/>
      <c r="GI142" s="709"/>
      <c r="GJ142" s="709"/>
      <c r="GK142" s="709"/>
      <c r="GL142" s="709"/>
      <c r="GM142" s="709"/>
      <c r="GN142" s="709"/>
      <c r="GO142" s="709"/>
      <c r="GP142" s="709"/>
      <c r="GQ142" s="709"/>
      <c r="GR142" s="709"/>
      <c r="GS142" s="709"/>
      <c r="GT142" s="709"/>
      <c r="GU142" s="709"/>
      <c r="GV142" s="709"/>
      <c r="GW142" s="709"/>
      <c r="GX142" s="709"/>
      <c r="GY142" s="709"/>
      <c r="GZ142" s="709"/>
      <c r="HA142" s="709"/>
      <c r="HB142" s="709"/>
      <c r="HC142" s="709"/>
      <c r="HD142" s="709"/>
      <c r="HE142" s="709"/>
      <c r="HF142" s="709"/>
      <c r="HG142" s="709"/>
      <c r="HH142" s="709"/>
      <c r="HI142" s="709"/>
      <c r="HJ142" s="709"/>
      <c r="HK142" s="709"/>
      <c r="HL142" s="709"/>
      <c r="HM142" s="709"/>
      <c r="HN142" s="709"/>
      <c r="HO142" s="709"/>
      <c r="HP142" s="709"/>
      <c r="HQ142" s="709"/>
      <c r="HR142" s="709"/>
      <c r="HS142" s="709"/>
      <c r="HT142" s="709"/>
      <c r="HU142" s="709"/>
      <c r="HV142" s="709"/>
      <c r="HW142" s="709"/>
      <c r="HX142" s="709"/>
      <c r="HY142" s="709"/>
      <c r="HZ142" s="709"/>
      <c r="IA142" s="709"/>
      <c r="IB142" s="709"/>
      <c r="IC142" s="709"/>
      <c r="ID142" s="709"/>
      <c r="IE142" s="709"/>
      <c r="IF142" s="709"/>
      <c r="IG142" s="709"/>
      <c r="IH142" s="709"/>
      <c r="II142" s="709"/>
      <c r="IJ142" s="709"/>
      <c r="IK142" s="709"/>
      <c r="IL142" s="709"/>
      <c r="IM142" s="709"/>
      <c r="IN142" s="709"/>
      <c r="IO142" s="709"/>
      <c r="IP142" s="709"/>
      <c r="IQ142" s="709"/>
      <c r="IR142" s="709"/>
      <c r="IS142" s="709"/>
      <c r="IT142" s="709"/>
      <c r="IU142" s="709"/>
      <c r="IV142" s="709"/>
      <c r="IW142" s="709"/>
      <c r="IX142" s="709"/>
      <c r="IY142" s="709"/>
      <c r="IZ142" s="709"/>
      <c r="JA142" s="709"/>
      <c r="JB142" s="709"/>
      <c r="JC142" s="709"/>
      <c r="JD142" s="709"/>
      <c r="JE142" s="709"/>
      <c r="JF142" s="709"/>
      <c r="JG142" s="709"/>
      <c r="JH142" s="709"/>
      <c r="JI142" s="709"/>
      <c r="JJ142" s="709"/>
      <c r="JK142" s="709"/>
      <c r="JL142" s="709"/>
      <c r="JM142" s="709"/>
      <c r="JN142" s="709"/>
    </row>
    <row r="143" spans="1:274" s="715" customFormat="1" x14ac:dyDescent="0.25">
      <c r="A143" s="709"/>
      <c r="B143" s="41"/>
      <c r="C143" s="41"/>
      <c r="D143" s="16"/>
      <c r="E143" s="326"/>
      <c r="F143" s="326"/>
      <c r="G143" s="17"/>
      <c r="H143" s="17"/>
      <c r="I143" s="320"/>
      <c r="J143" s="320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>
        <f t="shared" ref="Y143" si="6">SUM(M143:X143)</f>
        <v>0</v>
      </c>
      <c r="Z143" s="57"/>
      <c r="AA143" s="19"/>
      <c r="AB143" s="21"/>
      <c r="AC143" s="25"/>
      <c r="AD143" s="57"/>
      <c r="AE143" s="20"/>
      <c r="AF143" s="21"/>
      <c r="AG143" s="25"/>
      <c r="AH143" s="57"/>
      <c r="AI143" s="20"/>
      <c r="AJ143" s="21"/>
      <c r="AK143" s="25"/>
      <c r="AL143" s="57"/>
      <c r="AM143" s="20"/>
      <c r="AN143" s="21"/>
      <c r="AO143" s="25"/>
      <c r="AP143" s="57"/>
      <c r="AQ143" s="20"/>
      <c r="AR143" s="21"/>
      <c r="AS143" s="25"/>
      <c r="AT143" s="57"/>
      <c r="AU143" s="20"/>
      <c r="AV143" s="21"/>
      <c r="AW143" s="25"/>
      <c r="AX143" s="57"/>
      <c r="AY143" s="20"/>
      <c r="AZ143" s="21"/>
      <c r="BA143" s="25"/>
      <c r="BB143" s="57"/>
      <c r="BC143" s="20"/>
      <c r="BD143" s="21"/>
      <c r="BE143" s="25"/>
      <c r="BF143" s="57"/>
      <c r="BG143" s="20"/>
      <c r="BH143" s="21"/>
      <c r="BI143" s="25"/>
      <c r="BJ143" s="57"/>
      <c r="BK143" s="20"/>
      <c r="BL143" s="21"/>
      <c r="BM143" s="25"/>
      <c r="BN143" s="57"/>
      <c r="BO143" s="20"/>
      <c r="BP143" s="21"/>
      <c r="BQ143" s="25"/>
      <c r="BR143" s="57"/>
      <c r="BS143" s="20"/>
      <c r="BT143" s="21"/>
      <c r="BU143" s="25"/>
      <c r="BV143" s="57"/>
      <c r="BW143" s="20"/>
      <c r="BX143" s="21"/>
      <c r="BY143" s="25"/>
      <c r="BZ143" s="714">
        <f>+Z143+AD143+AH143+AL143+BV143</f>
        <v>0</v>
      </c>
      <c r="CA143" s="341">
        <f>+BZ143-Y143</f>
        <v>0</v>
      </c>
      <c r="CB143" s="709"/>
      <c r="CC143" s="709"/>
      <c r="CD143" s="709"/>
      <c r="CE143" s="709"/>
      <c r="CF143" s="709"/>
      <c r="CG143" s="709"/>
      <c r="CH143" s="709"/>
      <c r="CI143" s="709"/>
      <c r="CJ143" s="709"/>
      <c r="CK143" s="709"/>
      <c r="CL143" s="709"/>
      <c r="CM143" s="709"/>
      <c r="CN143" s="709"/>
      <c r="CO143" s="709"/>
      <c r="CP143" s="709"/>
      <c r="CQ143" s="709"/>
      <c r="CR143" s="709"/>
      <c r="CS143" s="709"/>
      <c r="CT143" s="709"/>
      <c r="CU143" s="709"/>
      <c r="CV143" s="709"/>
      <c r="CW143" s="709"/>
      <c r="CX143" s="709"/>
      <c r="CY143" s="709"/>
      <c r="CZ143" s="709"/>
      <c r="DA143" s="709"/>
      <c r="DB143" s="709"/>
      <c r="DC143" s="709"/>
      <c r="DD143" s="709"/>
      <c r="DE143" s="709"/>
      <c r="DF143" s="709"/>
      <c r="DG143" s="709"/>
      <c r="DH143" s="709"/>
      <c r="DI143" s="709"/>
      <c r="DJ143" s="709"/>
      <c r="DK143" s="709"/>
      <c r="DL143" s="709"/>
      <c r="DM143" s="709"/>
      <c r="DN143" s="709"/>
      <c r="DO143" s="709"/>
      <c r="DP143" s="709"/>
      <c r="DQ143" s="709"/>
      <c r="DR143" s="709"/>
      <c r="DS143" s="709"/>
      <c r="DT143" s="709"/>
      <c r="DU143" s="709"/>
      <c r="DV143" s="709"/>
      <c r="DW143" s="709"/>
      <c r="DX143" s="709"/>
      <c r="DY143" s="709"/>
      <c r="DZ143" s="709"/>
      <c r="EA143" s="709"/>
      <c r="EB143" s="709"/>
      <c r="EC143" s="709"/>
      <c r="ED143" s="709"/>
      <c r="EE143" s="709"/>
      <c r="EF143" s="709"/>
      <c r="EG143" s="709"/>
      <c r="EH143" s="709"/>
      <c r="EI143" s="709"/>
      <c r="EJ143" s="709"/>
      <c r="EK143" s="709"/>
      <c r="EL143" s="709"/>
      <c r="EM143" s="709"/>
      <c r="EN143" s="709"/>
      <c r="EO143" s="709"/>
      <c r="EP143" s="709"/>
      <c r="EQ143" s="709"/>
      <c r="ER143" s="709"/>
      <c r="ES143" s="709"/>
      <c r="ET143" s="709"/>
      <c r="EU143" s="709"/>
      <c r="EV143" s="709"/>
      <c r="EW143" s="709"/>
      <c r="EX143" s="709"/>
      <c r="EY143" s="709"/>
      <c r="EZ143" s="709"/>
      <c r="FA143" s="709"/>
      <c r="FB143" s="709"/>
      <c r="FC143" s="709"/>
      <c r="FD143" s="709"/>
      <c r="FE143" s="709"/>
      <c r="FF143" s="709"/>
      <c r="FG143" s="709"/>
      <c r="FH143" s="709"/>
      <c r="FI143" s="709"/>
      <c r="FJ143" s="709"/>
      <c r="FK143" s="709"/>
      <c r="FL143" s="709"/>
      <c r="FM143" s="709"/>
      <c r="FN143" s="709"/>
      <c r="FO143" s="709"/>
      <c r="FP143" s="709"/>
      <c r="FQ143" s="709"/>
      <c r="FR143" s="709"/>
      <c r="FS143" s="709"/>
      <c r="FT143" s="709"/>
      <c r="FU143" s="709"/>
      <c r="FV143" s="709"/>
      <c r="FW143" s="709"/>
      <c r="FX143" s="709"/>
      <c r="FY143" s="709"/>
      <c r="FZ143" s="709"/>
      <c r="GA143" s="709"/>
      <c r="GB143" s="709"/>
      <c r="GC143" s="709"/>
      <c r="GD143" s="709"/>
      <c r="GE143" s="709"/>
      <c r="GF143" s="709"/>
      <c r="GG143" s="709"/>
      <c r="GH143" s="709"/>
      <c r="GI143" s="709"/>
      <c r="GJ143" s="709"/>
      <c r="GK143" s="709"/>
      <c r="GL143" s="709"/>
      <c r="GM143" s="709"/>
      <c r="GN143" s="709"/>
      <c r="GO143" s="709"/>
      <c r="GP143" s="709"/>
      <c r="GQ143" s="709"/>
      <c r="GR143" s="709"/>
      <c r="GS143" s="709"/>
      <c r="GT143" s="709"/>
      <c r="GU143" s="709"/>
      <c r="GV143" s="709"/>
      <c r="GW143" s="709"/>
      <c r="GX143" s="709"/>
      <c r="GY143" s="709"/>
      <c r="GZ143" s="709"/>
      <c r="HA143" s="709"/>
      <c r="HB143" s="709"/>
      <c r="HC143" s="709"/>
      <c r="HD143" s="709"/>
      <c r="HE143" s="709"/>
      <c r="HF143" s="709"/>
      <c r="HG143" s="709"/>
      <c r="HH143" s="709"/>
      <c r="HI143" s="709"/>
      <c r="HJ143" s="709"/>
      <c r="HK143" s="709"/>
      <c r="HL143" s="709"/>
      <c r="HM143" s="709"/>
      <c r="HN143" s="709"/>
      <c r="HO143" s="709"/>
      <c r="HP143" s="709"/>
      <c r="HQ143" s="709"/>
      <c r="HR143" s="709"/>
      <c r="HS143" s="709"/>
      <c r="HT143" s="709"/>
      <c r="HU143" s="709"/>
      <c r="HV143" s="709"/>
      <c r="HW143" s="709"/>
      <c r="HX143" s="709"/>
      <c r="HY143" s="709"/>
      <c r="HZ143" s="709"/>
      <c r="IA143" s="709"/>
      <c r="IB143" s="709"/>
      <c r="IC143" s="709"/>
      <c r="ID143" s="709"/>
      <c r="IE143" s="709"/>
      <c r="IF143" s="709"/>
      <c r="IG143" s="709"/>
      <c r="IH143" s="709"/>
      <c r="II143" s="709"/>
      <c r="IJ143" s="709"/>
      <c r="IK143" s="709"/>
      <c r="IL143" s="709"/>
      <c r="IM143" s="709"/>
      <c r="IN143" s="709"/>
      <c r="IO143" s="709"/>
      <c r="IP143" s="709"/>
      <c r="IQ143" s="709"/>
      <c r="IR143" s="709"/>
      <c r="IS143" s="709"/>
      <c r="IT143" s="709"/>
      <c r="IU143" s="709"/>
      <c r="IV143" s="709"/>
      <c r="IW143" s="709"/>
      <c r="IX143" s="709"/>
      <c r="IY143" s="709"/>
      <c r="IZ143" s="709"/>
      <c r="JA143" s="709"/>
      <c r="JB143" s="709"/>
      <c r="JC143" s="709"/>
      <c r="JD143" s="709"/>
      <c r="JE143" s="709"/>
      <c r="JF143" s="709"/>
      <c r="JG143" s="709"/>
      <c r="JH143" s="709"/>
      <c r="JI143" s="709"/>
      <c r="JJ143" s="709"/>
      <c r="JK143" s="709"/>
      <c r="JL143" s="709"/>
      <c r="JM143" s="709"/>
      <c r="JN143" s="709"/>
    </row>
    <row r="144" spans="1:274" ht="15" customHeight="1" x14ac:dyDescent="0.25">
      <c r="B144" s="776" t="s">
        <v>39</v>
      </c>
      <c r="C144" s="777"/>
      <c r="D144" s="777"/>
      <c r="E144" s="777"/>
      <c r="F144" s="777"/>
      <c r="G144" s="777"/>
      <c r="H144" s="777"/>
      <c r="I144" s="778"/>
      <c r="J144" s="716">
        <f>SUBTOTAL(9,J16:J141)</f>
        <v>451734161</v>
      </c>
      <c r="K144" s="716">
        <f t="shared" ref="K144:Y144" si="7">SUBTOTAL(9,K16:K141)</f>
        <v>144527887</v>
      </c>
      <c r="L144" s="716">
        <f t="shared" si="7"/>
        <v>92116886</v>
      </c>
      <c r="M144" s="716">
        <f t="shared" si="7"/>
        <v>2419292</v>
      </c>
      <c r="N144" s="716">
        <f t="shared" si="7"/>
        <v>2840995</v>
      </c>
      <c r="O144" s="716">
        <f t="shared" si="7"/>
        <v>4311367</v>
      </c>
      <c r="P144" s="716">
        <f t="shared" si="7"/>
        <v>3037686</v>
      </c>
      <c r="Q144" s="716">
        <f t="shared" si="7"/>
        <v>2638384</v>
      </c>
      <c r="R144" s="716">
        <f t="shared" si="7"/>
        <v>2530208</v>
      </c>
      <c r="S144" s="716">
        <f t="shared" si="7"/>
        <v>0</v>
      </c>
      <c r="T144" s="716">
        <f t="shared" si="7"/>
        <v>0</v>
      </c>
      <c r="U144" s="716">
        <f t="shared" si="7"/>
        <v>0</v>
      </c>
      <c r="V144" s="716">
        <f t="shared" si="7"/>
        <v>0</v>
      </c>
      <c r="W144" s="716">
        <f t="shared" si="7"/>
        <v>0</v>
      </c>
      <c r="X144" s="716">
        <f t="shared" si="7"/>
        <v>0</v>
      </c>
      <c r="Y144" s="716">
        <f t="shared" si="7"/>
        <v>17777932</v>
      </c>
      <c r="Z144" s="716">
        <f>SUBTOTAL(9,Z16:Z141)</f>
        <v>33082006</v>
      </c>
      <c r="AA144" s="716"/>
      <c r="AB144" s="716"/>
      <c r="AC144" s="416"/>
      <c r="AD144" s="716">
        <f>SUBTOTAL(9,AD16:AD141)</f>
        <v>91960</v>
      </c>
      <c r="AE144" s="24"/>
      <c r="AF144" s="24"/>
      <c r="AG144" s="24"/>
      <c r="AH144" s="716">
        <f>SUBTOTAL(9,AH16:AH141)</f>
        <v>717533</v>
      </c>
      <c r="AI144" s="24"/>
      <c r="AJ144" s="24"/>
      <c r="AK144" s="24"/>
      <c r="AL144" s="716">
        <f>SUBTOTAL(9,AL16:AL141)</f>
        <v>2468435</v>
      </c>
      <c r="AM144" s="24"/>
      <c r="AN144" s="24"/>
      <c r="AO144" s="24"/>
      <c r="AP144" s="716">
        <f>SUBTOTAL(9,AP16:AP141)</f>
        <v>-100000</v>
      </c>
      <c r="AQ144" s="24"/>
      <c r="AR144" s="24"/>
      <c r="AS144" s="24"/>
      <c r="AT144" s="716">
        <f>SUBTOTAL(9,AT16:AT141)</f>
        <v>0</v>
      </c>
      <c r="AU144" s="24"/>
      <c r="AV144" s="24"/>
      <c r="AW144" s="24"/>
      <c r="AX144" s="716">
        <f>SUBTOTAL(9,AX16:AX141)</f>
        <v>3785916</v>
      </c>
      <c r="AY144" s="24"/>
      <c r="AZ144" s="24"/>
      <c r="BA144" s="24"/>
      <c r="BB144" s="716">
        <f>SUBTOTAL(9,BB16:BB141)</f>
        <v>689000</v>
      </c>
      <c r="BC144" s="24"/>
      <c r="BD144" s="24"/>
      <c r="BE144" s="24"/>
      <c r="BF144" s="716">
        <f>SUBTOTAL(9,BF16:BF141)</f>
        <v>1449044</v>
      </c>
      <c r="BG144" s="24"/>
      <c r="BH144" s="24"/>
      <c r="BI144" s="24"/>
      <c r="BJ144" s="716">
        <f>SUBTOTAL(9,BJ16:BJ141)</f>
        <v>5560</v>
      </c>
      <c r="BK144" s="24"/>
      <c r="BL144" s="24"/>
      <c r="BM144" s="24"/>
      <c r="BN144" s="716">
        <f>SUBTOTAL(9,BN16:BN141)</f>
        <v>0</v>
      </c>
      <c r="BO144" s="24"/>
      <c r="BP144" s="24"/>
      <c r="BQ144" s="24"/>
      <c r="BR144" s="716">
        <f>SUBTOTAL(9,BR16:BR141)</f>
        <v>0</v>
      </c>
      <c r="BS144" s="24"/>
      <c r="BT144" s="24"/>
      <c r="BU144" s="24"/>
      <c r="BV144" s="716">
        <f>SUBTOTAL(9,BV16:BV141)</f>
        <v>0</v>
      </c>
      <c r="BW144" s="24"/>
      <c r="BX144" s="24"/>
      <c r="BY144" s="24"/>
      <c r="BZ144" s="716">
        <f>SUBTOTAL(9,BZ16:BZ141)</f>
        <v>42189454</v>
      </c>
      <c r="CA144" s="716">
        <f>SUBTOTAL(9,CA16:CA141)</f>
        <v>24411522</v>
      </c>
    </row>
    <row r="145" spans="2:78" s="134" customFormat="1" ht="20.25" customHeight="1" x14ac:dyDescent="0.2">
      <c r="B145" s="749"/>
      <c r="C145" s="749"/>
      <c r="D145" s="749"/>
      <c r="E145" s="749"/>
      <c r="F145" s="160"/>
      <c r="G145" s="145"/>
      <c r="H145" s="145"/>
      <c r="I145" s="717"/>
      <c r="J145" s="718"/>
      <c r="K145" s="718"/>
      <c r="L145" s="718"/>
      <c r="M145" s="140"/>
      <c r="N145" s="140"/>
      <c r="O145" s="140"/>
      <c r="P145" s="140"/>
      <c r="Q145" s="140"/>
      <c r="R145" s="140"/>
      <c r="S145" s="140"/>
      <c r="T145" s="140"/>
      <c r="U145" s="140"/>
      <c r="V145" s="140"/>
      <c r="W145" s="140"/>
      <c r="X145" s="140"/>
      <c r="Y145" s="140"/>
      <c r="AA145" s="141"/>
      <c r="AE145" s="140"/>
      <c r="AI145" s="141"/>
      <c r="AM145" s="141"/>
      <c r="AY145" s="141"/>
      <c r="BC145" s="141"/>
      <c r="BG145" s="141"/>
      <c r="BK145" s="141"/>
      <c r="BO145" s="141"/>
      <c r="BS145" s="141"/>
      <c r="BW145" s="141"/>
      <c r="BZ145" s="719"/>
    </row>
    <row r="146" spans="2:78" s="134" customFormat="1" ht="24.75" customHeight="1" x14ac:dyDescent="0.2">
      <c r="B146" s="750"/>
      <c r="C146" s="750"/>
      <c r="D146" s="750"/>
      <c r="E146" s="750"/>
      <c r="F146" s="750"/>
      <c r="G146" s="750"/>
      <c r="H146" s="720"/>
      <c r="I146" s="709"/>
      <c r="J146" s="721"/>
      <c r="K146" s="722"/>
      <c r="L146" s="722"/>
      <c r="M146" s="720"/>
      <c r="N146" s="720"/>
      <c r="O146" s="720"/>
      <c r="P146" s="720"/>
      <c r="Q146" s="720"/>
      <c r="R146" s="720"/>
      <c r="S146" s="720"/>
      <c r="T146" s="720"/>
      <c r="U146" s="720"/>
      <c r="V146" s="720"/>
      <c r="W146" s="720"/>
      <c r="X146" s="720"/>
      <c r="Y146" s="720"/>
      <c r="Z146" s="720"/>
      <c r="AA146" s="720"/>
      <c r="AB146" s="720"/>
      <c r="AC146" s="720"/>
      <c r="AD146" s="162"/>
      <c r="AE146" s="161"/>
      <c r="AF146" s="162"/>
      <c r="AG146" s="162"/>
      <c r="AH146" s="162"/>
      <c r="AI146" s="163"/>
      <c r="AJ146" s="162"/>
      <c r="AK146" s="162"/>
      <c r="AL146" s="162"/>
      <c r="AM146" s="163"/>
      <c r="AN146" s="162"/>
      <c r="AO146" s="162"/>
      <c r="AP146" s="162"/>
      <c r="AQ146" s="162"/>
      <c r="AR146" s="162"/>
      <c r="AS146" s="162"/>
      <c r="AT146" s="162"/>
      <c r="AU146" s="162"/>
      <c r="AV146" s="162"/>
      <c r="AW146" s="162"/>
      <c r="AX146" s="162"/>
      <c r="AY146" s="163"/>
      <c r="AZ146" s="162"/>
      <c r="BA146" s="162"/>
      <c r="BB146" s="162"/>
      <c r="BC146" s="163"/>
      <c r="BD146" s="162"/>
      <c r="BE146" s="162"/>
      <c r="BF146" s="162"/>
      <c r="BG146" s="163"/>
      <c r="BH146" s="162"/>
      <c r="BI146" s="162"/>
      <c r="BJ146" s="162"/>
      <c r="BK146" s="163"/>
      <c r="BL146" s="162"/>
      <c r="BM146" s="162"/>
      <c r="BN146" s="162"/>
      <c r="BO146" s="163"/>
      <c r="BP146" s="162"/>
      <c r="BQ146" s="162"/>
      <c r="BR146" s="162"/>
      <c r="BS146" s="163"/>
      <c r="BT146" s="162"/>
      <c r="BU146" s="162"/>
      <c r="BV146" s="162"/>
      <c r="BW146" s="163"/>
      <c r="BX146" s="162"/>
      <c r="BY146" s="162"/>
    </row>
    <row r="147" spans="2:78" s="134" customFormat="1" x14ac:dyDescent="0.2">
      <c r="B147" s="145"/>
      <c r="D147" s="145"/>
      <c r="I147" s="417"/>
      <c r="J147" s="417"/>
      <c r="K147" s="417"/>
      <c r="Y147" s="417"/>
      <c r="Z147" s="418"/>
      <c r="AD147" s="140"/>
      <c r="AH147" s="141"/>
      <c r="AL147" s="141"/>
      <c r="AX147" s="141"/>
      <c r="BB147" s="141"/>
      <c r="BF147" s="141"/>
      <c r="BJ147" s="141"/>
      <c r="BN147" s="141"/>
      <c r="BR147" s="141"/>
      <c r="BV147" s="141"/>
      <c r="BY147" s="140"/>
    </row>
    <row r="148" spans="2:78" s="134" customFormat="1" x14ac:dyDescent="0.2">
      <c r="B148" s="145"/>
      <c r="D148" s="145"/>
      <c r="I148" s="417"/>
      <c r="J148" s="417"/>
      <c r="K148" s="417"/>
      <c r="Y148" s="418"/>
      <c r="Z148" s="418"/>
      <c r="AD148" s="140"/>
      <c r="AH148" s="141"/>
      <c r="AL148" s="141"/>
      <c r="AX148" s="141"/>
      <c r="BB148" s="141"/>
      <c r="BF148" s="141"/>
      <c r="BJ148" s="141"/>
      <c r="BN148" s="141"/>
      <c r="BR148" s="141"/>
      <c r="BV148" s="141"/>
    </row>
    <row r="149" spans="2:78" s="134" customFormat="1" x14ac:dyDescent="0.2">
      <c r="B149" s="145"/>
      <c r="D149" s="145"/>
      <c r="I149" s="417"/>
      <c r="J149" s="157"/>
      <c r="K149" s="157"/>
      <c r="Y149" s="417"/>
      <c r="Z149" s="418"/>
      <c r="AD149" s="140"/>
      <c r="AH149" s="141"/>
      <c r="AL149" s="141"/>
      <c r="AX149" s="141"/>
      <c r="BB149" s="141"/>
      <c r="BF149" s="141"/>
      <c r="BJ149" s="141"/>
      <c r="BN149" s="141"/>
      <c r="BR149" s="141"/>
      <c r="BV149" s="141"/>
    </row>
    <row r="150" spans="2:78" s="134" customFormat="1" x14ac:dyDescent="0.2">
      <c r="B150" s="145"/>
      <c r="D150" s="145"/>
      <c r="Z150" s="141"/>
      <c r="AD150" s="140"/>
      <c r="AH150" s="141"/>
      <c r="AL150" s="141"/>
      <c r="AX150" s="141"/>
      <c r="BB150" s="141"/>
      <c r="BF150" s="141"/>
      <c r="BJ150" s="141"/>
      <c r="BN150" s="141"/>
      <c r="BR150" s="141"/>
      <c r="BV150" s="141"/>
    </row>
    <row r="151" spans="2:78" s="134" customFormat="1" x14ac:dyDescent="0.2">
      <c r="B151" s="145"/>
      <c r="D151" s="145"/>
      <c r="Z151" s="141"/>
      <c r="AD151" s="140"/>
      <c r="AH151" s="141"/>
      <c r="AL151" s="141"/>
      <c r="AX151" s="141"/>
      <c r="BB151" s="141"/>
      <c r="BF151" s="141"/>
      <c r="BJ151" s="141"/>
      <c r="BN151" s="141"/>
      <c r="BR151" s="141"/>
      <c r="BV151" s="141"/>
    </row>
    <row r="152" spans="2:78" s="134" customFormat="1" x14ac:dyDescent="0.2">
      <c r="B152" s="145"/>
      <c r="D152" s="145"/>
      <c r="Z152" s="141"/>
      <c r="AD152" s="140"/>
      <c r="AH152" s="141"/>
      <c r="AL152" s="141"/>
      <c r="AX152" s="141"/>
      <c r="BB152" s="141"/>
      <c r="BF152" s="141"/>
      <c r="BJ152" s="141"/>
      <c r="BN152" s="141"/>
      <c r="BR152" s="141"/>
      <c r="BV152" s="141"/>
    </row>
    <row r="153" spans="2:78" s="134" customFormat="1" x14ac:dyDescent="0.2">
      <c r="B153" s="145"/>
      <c r="D153" s="145"/>
      <c r="AA153" s="141"/>
      <c r="AE153" s="140"/>
      <c r="AI153" s="141"/>
      <c r="AM153" s="141"/>
      <c r="AY153" s="141"/>
      <c r="BC153" s="141"/>
      <c r="BG153" s="141"/>
      <c r="BK153" s="141"/>
      <c r="BO153" s="141"/>
      <c r="BS153" s="141"/>
      <c r="BW153" s="141"/>
    </row>
    <row r="154" spans="2:78" s="134" customFormat="1" x14ac:dyDescent="0.2">
      <c r="B154" s="145"/>
      <c r="D154" s="145"/>
      <c r="AA154" s="141"/>
      <c r="AE154" s="140"/>
      <c r="AI154" s="141"/>
      <c r="AM154" s="141"/>
      <c r="AY154" s="141"/>
      <c r="BC154" s="141"/>
      <c r="BG154" s="141"/>
      <c r="BK154" s="141"/>
      <c r="BO154" s="141"/>
      <c r="BS154" s="141"/>
      <c r="BW154" s="141"/>
    </row>
    <row r="155" spans="2:78" s="134" customFormat="1" x14ac:dyDescent="0.2">
      <c r="B155" s="145"/>
      <c r="D155" s="145"/>
      <c r="AA155" s="141"/>
      <c r="AE155" s="140"/>
      <c r="AI155" s="141"/>
      <c r="AM155" s="141"/>
      <c r="AY155" s="141"/>
      <c r="BC155" s="141"/>
      <c r="BG155" s="141"/>
      <c r="BK155" s="141"/>
      <c r="BO155" s="141"/>
      <c r="BS155" s="141"/>
      <c r="BW155" s="141"/>
    </row>
    <row r="156" spans="2:78" s="134" customFormat="1" x14ac:dyDescent="0.2">
      <c r="B156" s="145"/>
      <c r="D156" s="145"/>
      <c r="AA156" s="141"/>
      <c r="AE156" s="140"/>
      <c r="AI156" s="141"/>
      <c r="AM156" s="141"/>
      <c r="AY156" s="141"/>
      <c r="BC156" s="141"/>
      <c r="BG156" s="141"/>
      <c r="BK156" s="141"/>
      <c r="BO156" s="141"/>
      <c r="BS156" s="141"/>
      <c r="BW156" s="141"/>
    </row>
    <row r="157" spans="2:78" s="134" customFormat="1" x14ac:dyDescent="0.2">
      <c r="B157" s="145"/>
      <c r="D157" s="145"/>
      <c r="AA157" s="141"/>
      <c r="AE157" s="140"/>
      <c r="AI157" s="141"/>
      <c r="AM157" s="141"/>
      <c r="AY157" s="141"/>
      <c r="BC157" s="141"/>
      <c r="BG157" s="141"/>
      <c r="BK157" s="141"/>
      <c r="BO157" s="141"/>
      <c r="BS157" s="141"/>
      <c r="BW157" s="141"/>
    </row>
    <row r="158" spans="2:78" s="134" customFormat="1" x14ac:dyDescent="0.2">
      <c r="B158" s="145"/>
      <c r="D158" s="145"/>
      <c r="AA158" s="141"/>
      <c r="AE158" s="140"/>
      <c r="AI158" s="141"/>
      <c r="AM158" s="141"/>
      <c r="AY158" s="141"/>
      <c r="BC158" s="141"/>
      <c r="BG158" s="141"/>
      <c r="BK158" s="141"/>
      <c r="BO158" s="141"/>
      <c r="BS158" s="141"/>
      <c r="BW158" s="141"/>
    </row>
    <row r="159" spans="2:78" s="134" customFormat="1" x14ac:dyDescent="0.2">
      <c r="B159" s="145"/>
      <c r="D159" s="145"/>
      <c r="AA159" s="141"/>
      <c r="AE159" s="140"/>
      <c r="AI159" s="141"/>
      <c r="AM159" s="141"/>
      <c r="AY159" s="141"/>
      <c r="BC159" s="141"/>
      <c r="BG159" s="141"/>
      <c r="BK159" s="141"/>
      <c r="BO159" s="141"/>
      <c r="BS159" s="141"/>
      <c r="BW159" s="141"/>
    </row>
    <row r="160" spans="2:78" s="134" customFormat="1" x14ac:dyDescent="0.2">
      <c r="B160" s="145"/>
      <c r="D160" s="145"/>
      <c r="AA160" s="141"/>
      <c r="AE160" s="140"/>
      <c r="AI160" s="141"/>
      <c r="AM160" s="141"/>
      <c r="AY160" s="141"/>
      <c r="BC160" s="141"/>
      <c r="BG160" s="141"/>
      <c r="BK160" s="141"/>
      <c r="BO160" s="141"/>
      <c r="BS160" s="141"/>
      <c r="BW160" s="141"/>
    </row>
    <row r="161" spans="2:75" s="134" customFormat="1" x14ac:dyDescent="0.2">
      <c r="B161" s="145"/>
      <c r="D161" s="145"/>
      <c r="AA161" s="141"/>
      <c r="AE161" s="140"/>
      <c r="AI161" s="141"/>
      <c r="AM161" s="141"/>
      <c r="AY161" s="141"/>
      <c r="BC161" s="141"/>
      <c r="BG161" s="141"/>
      <c r="BK161" s="141"/>
      <c r="BO161" s="141"/>
      <c r="BS161" s="141"/>
      <c r="BW161" s="141"/>
    </row>
    <row r="162" spans="2:75" s="134" customFormat="1" x14ac:dyDescent="0.2">
      <c r="B162" s="145"/>
      <c r="D162" s="145"/>
      <c r="AA162" s="141"/>
      <c r="AE162" s="140"/>
      <c r="AI162" s="141"/>
      <c r="AM162" s="141"/>
      <c r="AY162" s="141"/>
      <c r="BC162" s="141"/>
      <c r="BG162" s="141"/>
      <c r="BK162" s="141"/>
      <c r="BO162" s="141"/>
      <c r="BS162" s="141"/>
      <c r="BW162" s="141"/>
    </row>
    <row r="163" spans="2:75" s="134" customFormat="1" x14ac:dyDescent="0.2">
      <c r="B163" s="145"/>
      <c r="D163" s="145"/>
      <c r="AA163" s="141"/>
      <c r="AE163" s="140"/>
      <c r="AI163" s="141"/>
      <c r="AM163" s="141"/>
      <c r="AY163" s="141"/>
      <c r="BC163" s="141"/>
      <c r="BG163" s="141"/>
      <c r="BK163" s="141"/>
      <c r="BO163" s="141"/>
      <c r="BS163" s="141"/>
      <c r="BW163" s="141"/>
    </row>
    <row r="164" spans="2:75" s="134" customFormat="1" x14ac:dyDescent="0.2">
      <c r="B164" s="145"/>
      <c r="D164" s="145"/>
      <c r="AA164" s="141"/>
      <c r="AE164" s="140"/>
      <c r="AI164" s="141"/>
      <c r="AM164" s="141"/>
      <c r="AY164" s="141"/>
      <c r="BC164" s="141"/>
      <c r="BG164" s="141"/>
      <c r="BK164" s="141"/>
      <c r="BO164" s="141"/>
      <c r="BS164" s="141"/>
      <c r="BW164" s="141"/>
    </row>
    <row r="165" spans="2:75" s="134" customFormat="1" x14ac:dyDescent="0.2">
      <c r="B165" s="145"/>
      <c r="D165" s="145"/>
      <c r="AA165" s="141"/>
      <c r="AE165" s="140"/>
      <c r="AI165" s="141"/>
      <c r="AM165" s="141"/>
      <c r="AY165" s="141"/>
      <c r="BC165" s="141"/>
      <c r="BG165" s="141"/>
      <c r="BK165" s="141"/>
      <c r="BO165" s="141"/>
      <c r="BS165" s="141"/>
      <c r="BW165" s="141"/>
    </row>
    <row r="166" spans="2:75" s="134" customFormat="1" x14ac:dyDescent="0.2">
      <c r="B166" s="145"/>
      <c r="D166" s="145"/>
      <c r="AA166" s="141"/>
      <c r="AE166" s="140"/>
      <c r="AI166" s="141"/>
      <c r="AM166" s="141"/>
      <c r="AY166" s="141"/>
      <c r="BC166" s="141"/>
      <c r="BG166" s="141"/>
      <c r="BK166" s="141"/>
      <c r="BO166" s="141"/>
      <c r="BS166" s="141"/>
      <c r="BW166" s="141"/>
    </row>
    <row r="167" spans="2:75" s="134" customFormat="1" x14ac:dyDescent="0.2">
      <c r="B167" s="145"/>
      <c r="D167" s="145"/>
      <c r="AA167" s="141"/>
      <c r="AE167" s="140"/>
      <c r="AI167" s="141"/>
      <c r="AM167" s="141"/>
      <c r="AY167" s="141"/>
      <c r="BC167" s="141"/>
      <c r="BG167" s="141"/>
      <c r="BK167" s="141"/>
      <c r="BO167" s="141"/>
      <c r="BS167" s="141"/>
      <c r="BW167" s="141"/>
    </row>
    <row r="168" spans="2:75" s="134" customFormat="1" x14ac:dyDescent="0.2">
      <c r="B168" s="145"/>
      <c r="D168" s="145"/>
      <c r="AA168" s="141"/>
      <c r="AE168" s="140"/>
      <c r="AI168" s="141"/>
      <c r="AM168" s="141"/>
      <c r="AY168" s="141"/>
      <c r="BC168" s="141"/>
      <c r="BG168" s="141"/>
      <c r="BK168" s="141"/>
      <c r="BO168" s="141"/>
      <c r="BS168" s="141"/>
      <c r="BW168" s="141"/>
    </row>
    <row r="169" spans="2:75" s="134" customFormat="1" x14ac:dyDescent="0.2">
      <c r="B169" s="145"/>
      <c r="D169" s="145"/>
      <c r="AA169" s="141"/>
      <c r="AE169" s="140"/>
      <c r="AI169" s="141"/>
      <c r="AM169" s="141"/>
      <c r="AY169" s="141"/>
      <c r="BC169" s="141"/>
      <c r="BG169" s="141"/>
      <c r="BK169" s="141"/>
      <c r="BO169" s="141"/>
      <c r="BS169" s="141"/>
      <c r="BW169" s="141"/>
    </row>
    <row r="170" spans="2:75" s="134" customFormat="1" x14ac:dyDescent="0.2">
      <c r="B170" s="145"/>
      <c r="D170" s="145"/>
      <c r="AA170" s="141"/>
      <c r="AE170" s="140"/>
      <c r="AI170" s="141"/>
      <c r="AM170" s="141"/>
      <c r="AY170" s="141"/>
      <c r="BC170" s="141"/>
      <c r="BG170" s="141"/>
      <c r="BK170" s="141"/>
      <c r="BO170" s="141"/>
      <c r="BS170" s="141"/>
      <c r="BW170" s="141"/>
    </row>
    <row r="171" spans="2:75" s="134" customFormat="1" x14ac:dyDescent="0.2">
      <c r="B171" s="145"/>
      <c r="D171" s="145"/>
      <c r="AA171" s="141"/>
      <c r="AE171" s="140"/>
      <c r="AI171" s="141"/>
      <c r="AM171" s="141"/>
      <c r="AY171" s="141"/>
      <c r="BC171" s="141"/>
      <c r="BG171" s="141"/>
      <c r="BK171" s="141"/>
      <c r="BO171" s="141"/>
      <c r="BW171" s="141"/>
    </row>
    <row r="172" spans="2:75" s="134" customFormat="1" x14ac:dyDescent="0.2">
      <c r="B172" s="145"/>
      <c r="D172" s="145"/>
      <c r="AA172" s="141"/>
      <c r="AE172" s="140"/>
      <c r="AI172" s="141"/>
      <c r="AM172" s="141"/>
      <c r="AY172" s="141"/>
      <c r="BC172" s="141"/>
      <c r="BG172" s="141"/>
      <c r="BK172" s="141"/>
      <c r="BO172" s="141"/>
      <c r="BW172" s="141"/>
    </row>
    <row r="173" spans="2:75" s="134" customFormat="1" x14ac:dyDescent="0.2">
      <c r="B173" s="145"/>
      <c r="D173" s="145"/>
      <c r="AA173" s="141"/>
      <c r="AE173" s="140"/>
      <c r="AI173" s="141"/>
      <c r="AM173" s="141"/>
      <c r="AY173" s="141"/>
      <c r="BC173" s="141"/>
      <c r="BG173" s="141"/>
      <c r="BK173" s="141"/>
      <c r="BO173" s="141"/>
      <c r="BW173" s="141"/>
    </row>
    <row r="174" spans="2:75" s="134" customFormat="1" x14ac:dyDescent="0.2">
      <c r="B174" s="145"/>
      <c r="D174" s="145"/>
      <c r="AA174" s="141"/>
      <c r="AE174" s="140"/>
      <c r="AI174" s="141"/>
      <c r="AM174" s="141"/>
      <c r="AY174" s="141"/>
      <c r="BC174" s="141"/>
      <c r="BG174" s="141"/>
      <c r="BK174" s="141"/>
      <c r="BO174" s="141"/>
      <c r="BW174" s="141"/>
    </row>
    <row r="175" spans="2:75" s="134" customFormat="1" x14ac:dyDescent="0.2">
      <c r="B175" s="145"/>
      <c r="D175" s="145"/>
      <c r="AA175" s="141"/>
      <c r="AE175" s="140"/>
      <c r="AI175" s="141"/>
      <c r="AM175" s="141"/>
      <c r="AY175" s="141"/>
      <c r="BC175" s="141"/>
      <c r="BG175" s="141"/>
      <c r="BK175" s="141"/>
      <c r="BO175" s="141"/>
      <c r="BW175" s="141"/>
    </row>
    <row r="176" spans="2:75" s="134" customFormat="1" x14ac:dyDescent="0.2">
      <c r="B176" s="145"/>
      <c r="D176" s="145"/>
      <c r="AA176" s="141"/>
      <c r="AE176" s="140"/>
      <c r="AI176" s="141"/>
      <c r="AM176" s="141"/>
      <c r="AY176" s="141"/>
      <c r="BC176" s="141"/>
      <c r="BG176" s="141"/>
      <c r="BK176" s="141"/>
      <c r="BO176" s="141"/>
      <c r="BW176" s="141"/>
    </row>
    <row r="177" spans="2:75" s="134" customFormat="1" x14ac:dyDescent="0.2">
      <c r="B177" s="145"/>
      <c r="D177" s="145"/>
      <c r="AA177" s="141"/>
      <c r="AE177" s="140"/>
      <c r="AI177" s="141"/>
      <c r="AM177" s="141"/>
      <c r="AY177" s="141"/>
      <c r="BC177" s="141"/>
      <c r="BG177" s="141"/>
      <c r="BK177" s="141"/>
      <c r="BO177" s="141"/>
      <c r="BW177" s="141"/>
    </row>
    <row r="178" spans="2:75" s="134" customFormat="1" x14ac:dyDescent="0.2">
      <c r="B178" s="145"/>
      <c r="D178" s="145"/>
      <c r="AA178" s="141"/>
      <c r="AE178" s="140"/>
      <c r="AI178" s="141"/>
      <c r="AM178" s="141"/>
      <c r="AY178" s="141"/>
      <c r="BC178" s="141"/>
      <c r="BG178" s="141"/>
      <c r="BK178" s="141"/>
      <c r="BO178" s="141"/>
      <c r="BW178" s="141"/>
    </row>
    <row r="179" spans="2:75" s="134" customFormat="1" x14ac:dyDescent="0.2">
      <c r="B179" s="145"/>
      <c r="D179" s="145"/>
      <c r="AA179" s="141"/>
      <c r="AE179" s="140"/>
      <c r="AI179" s="141"/>
      <c r="AM179" s="141"/>
      <c r="AY179" s="141"/>
      <c r="BC179" s="141"/>
      <c r="BG179" s="141"/>
      <c r="BK179" s="141"/>
      <c r="BO179" s="141"/>
      <c r="BW179" s="141"/>
    </row>
    <row r="180" spans="2:75" s="134" customFormat="1" x14ac:dyDescent="0.2">
      <c r="B180" s="145"/>
      <c r="D180" s="145"/>
      <c r="AA180" s="141"/>
      <c r="AE180" s="140"/>
      <c r="AI180" s="141"/>
      <c r="AM180" s="141"/>
      <c r="AY180" s="141"/>
      <c r="BC180" s="141"/>
      <c r="BG180" s="141"/>
      <c r="BK180" s="141"/>
      <c r="BO180" s="141"/>
      <c r="BW180" s="141"/>
    </row>
    <row r="181" spans="2:75" s="134" customFormat="1" x14ac:dyDescent="0.2">
      <c r="B181" s="145"/>
      <c r="D181" s="145"/>
      <c r="AA181" s="141"/>
      <c r="AE181" s="140"/>
      <c r="AI181" s="141"/>
      <c r="AM181" s="141"/>
      <c r="AY181" s="141"/>
      <c r="BC181" s="141"/>
      <c r="BG181" s="141"/>
      <c r="BK181" s="141"/>
      <c r="BO181" s="141"/>
      <c r="BW181" s="141"/>
    </row>
    <row r="182" spans="2:75" s="134" customFormat="1" x14ac:dyDescent="0.2">
      <c r="B182" s="145"/>
      <c r="D182" s="145"/>
      <c r="AA182" s="141"/>
      <c r="AE182" s="140"/>
      <c r="AI182" s="141"/>
      <c r="AM182" s="141"/>
      <c r="AY182" s="141"/>
      <c r="BC182" s="141"/>
      <c r="BG182" s="141"/>
      <c r="BK182" s="141"/>
      <c r="BO182" s="141"/>
      <c r="BW182" s="141"/>
    </row>
    <row r="183" spans="2:75" s="134" customFormat="1" x14ac:dyDescent="0.2">
      <c r="B183" s="145"/>
      <c r="D183" s="145"/>
      <c r="AA183" s="141"/>
      <c r="AE183" s="140"/>
      <c r="AI183" s="141"/>
      <c r="AM183" s="141"/>
      <c r="AY183" s="141"/>
      <c r="BC183" s="141"/>
      <c r="BG183" s="141"/>
      <c r="BK183" s="141"/>
      <c r="BO183" s="141"/>
      <c r="BW183" s="141"/>
    </row>
    <row r="184" spans="2:75" s="134" customFormat="1" x14ac:dyDescent="0.2">
      <c r="B184" s="145"/>
      <c r="D184" s="145"/>
      <c r="AA184" s="141"/>
      <c r="AE184" s="140"/>
      <c r="AI184" s="141"/>
      <c r="AM184" s="141"/>
      <c r="AY184" s="141"/>
      <c r="BC184" s="141"/>
      <c r="BG184" s="141"/>
      <c r="BK184" s="141"/>
      <c r="BO184" s="141"/>
      <c r="BW184" s="141"/>
    </row>
    <row r="185" spans="2:75" s="134" customFormat="1" x14ac:dyDescent="0.2">
      <c r="B185" s="145"/>
      <c r="D185" s="145"/>
      <c r="AA185" s="141"/>
      <c r="AE185" s="140"/>
      <c r="AI185" s="141"/>
      <c r="AM185" s="141"/>
      <c r="AY185" s="141"/>
      <c r="BC185" s="141"/>
      <c r="BG185" s="141"/>
      <c r="BK185" s="141"/>
      <c r="BO185" s="141"/>
      <c r="BW185" s="141"/>
    </row>
    <row r="186" spans="2:75" s="134" customFormat="1" x14ac:dyDescent="0.2">
      <c r="B186" s="145"/>
      <c r="D186" s="145"/>
      <c r="AA186" s="141"/>
      <c r="AE186" s="140"/>
      <c r="AI186" s="141"/>
      <c r="AM186" s="141"/>
      <c r="AY186" s="141"/>
      <c r="BC186" s="141"/>
      <c r="BG186" s="141"/>
      <c r="BK186" s="141"/>
      <c r="BO186" s="141"/>
      <c r="BW186" s="141"/>
    </row>
    <row r="187" spans="2:75" s="134" customFormat="1" x14ac:dyDescent="0.2">
      <c r="B187" s="145"/>
      <c r="D187" s="145"/>
      <c r="AA187" s="141"/>
      <c r="AE187" s="140"/>
      <c r="AI187" s="141"/>
      <c r="AM187" s="141"/>
      <c r="AY187" s="141"/>
      <c r="BC187" s="141"/>
      <c r="BG187" s="141"/>
      <c r="BK187" s="141"/>
      <c r="BO187" s="141"/>
      <c r="BW187" s="141"/>
    </row>
    <row r="188" spans="2:75" s="134" customFormat="1" x14ac:dyDescent="0.2">
      <c r="B188" s="145"/>
      <c r="D188" s="145"/>
      <c r="AA188" s="141"/>
      <c r="AE188" s="140"/>
      <c r="AI188" s="141"/>
      <c r="AM188" s="141"/>
      <c r="AY188" s="141"/>
      <c r="BC188" s="141"/>
      <c r="BG188" s="141"/>
      <c r="BK188" s="141"/>
      <c r="BO188" s="141"/>
      <c r="BW188" s="141"/>
    </row>
    <row r="189" spans="2:75" s="134" customFormat="1" x14ac:dyDescent="0.2">
      <c r="B189" s="145"/>
      <c r="D189" s="145"/>
      <c r="AA189" s="141"/>
      <c r="AE189" s="140"/>
      <c r="AI189" s="141"/>
      <c r="AM189" s="141"/>
      <c r="AY189" s="141"/>
      <c r="BC189" s="141"/>
      <c r="BG189" s="141"/>
      <c r="BK189" s="141"/>
      <c r="BO189" s="141"/>
      <c r="BW189" s="141"/>
    </row>
    <row r="190" spans="2:75" s="134" customFormat="1" x14ac:dyDescent="0.2">
      <c r="B190" s="145"/>
      <c r="D190" s="145"/>
      <c r="AA190" s="141"/>
      <c r="AE190" s="140"/>
      <c r="AI190" s="141"/>
      <c r="AM190" s="141"/>
      <c r="AY190" s="141"/>
      <c r="BC190" s="141"/>
      <c r="BG190" s="141"/>
      <c r="BK190" s="141"/>
      <c r="BO190" s="141"/>
      <c r="BW190" s="141"/>
    </row>
    <row r="191" spans="2:75" s="134" customFormat="1" x14ac:dyDescent="0.2">
      <c r="B191" s="145"/>
      <c r="D191" s="145"/>
      <c r="AA191" s="141"/>
      <c r="AE191" s="140"/>
      <c r="AI191" s="141"/>
      <c r="AM191" s="141"/>
      <c r="AY191" s="141"/>
      <c r="BC191" s="141"/>
      <c r="BG191" s="141"/>
      <c r="BK191" s="141"/>
      <c r="BO191" s="141"/>
      <c r="BW191" s="141"/>
    </row>
    <row r="192" spans="2:75" s="134" customFormat="1" x14ac:dyDescent="0.2">
      <c r="B192" s="145"/>
      <c r="D192" s="145"/>
      <c r="AA192" s="141"/>
      <c r="AE192" s="140"/>
      <c r="AI192" s="141"/>
      <c r="AM192" s="141"/>
      <c r="AY192" s="141"/>
      <c r="BC192" s="141"/>
      <c r="BG192" s="141"/>
      <c r="BK192" s="141"/>
      <c r="BO192" s="141"/>
      <c r="BW192" s="141"/>
    </row>
    <row r="193" spans="2:75" s="134" customFormat="1" x14ac:dyDescent="0.2">
      <c r="B193" s="145"/>
      <c r="D193" s="145"/>
      <c r="AA193" s="141"/>
      <c r="AE193" s="140"/>
      <c r="AI193" s="141"/>
      <c r="AM193" s="141"/>
      <c r="AY193" s="141"/>
      <c r="BC193" s="141"/>
      <c r="BG193" s="141"/>
      <c r="BK193" s="141"/>
      <c r="BO193" s="141"/>
      <c r="BW193" s="141"/>
    </row>
    <row r="194" spans="2:75" s="134" customFormat="1" x14ac:dyDescent="0.2">
      <c r="B194" s="145"/>
      <c r="D194" s="145"/>
      <c r="AA194" s="141"/>
      <c r="AE194" s="140"/>
      <c r="AI194" s="141"/>
      <c r="AM194" s="141"/>
      <c r="AY194" s="141"/>
      <c r="BC194" s="141"/>
      <c r="BG194" s="141"/>
      <c r="BK194" s="141"/>
      <c r="BO194" s="141"/>
      <c r="BW194" s="141"/>
    </row>
    <row r="195" spans="2:75" s="134" customFormat="1" x14ac:dyDescent="0.2">
      <c r="B195" s="145"/>
      <c r="D195" s="145"/>
      <c r="AA195" s="141"/>
      <c r="AE195" s="140"/>
      <c r="AI195" s="141"/>
      <c r="AM195" s="141"/>
      <c r="AY195" s="141"/>
      <c r="BC195" s="141"/>
      <c r="BG195" s="141"/>
      <c r="BK195" s="141"/>
      <c r="BO195" s="141"/>
      <c r="BW195" s="141"/>
    </row>
    <row r="196" spans="2:75" s="134" customFormat="1" x14ac:dyDescent="0.2">
      <c r="B196" s="145"/>
      <c r="D196" s="145"/>
      <c r="AA196" s="141"/>
      <c r="AE196" s="140"/>
      <c r="AI196" s="141"/>
      <c r="AM196" s="141"/>
      <c r="AY196" s="141"/>
      <c r="BC196" s="141"/>
      <c r="BG196" s="141"/>
      <c r="BK196" s="141"/>
      <c r="BO196" s="141"/>
      <c r="BW196" s="141"/>
    </row>
    <row r="197" spans="2:75" s="134" customFormat="1" x14ac:dyDescent="0.2">
      <c r="B197" s="145"/>
      <c r="D197" s="145"/>
      <c r="AA197" s="141"/>
      <c r="AE197" s="140"/>
      <c r="AI197" s="141"/>
      <c r="AM197" s="141"/>
      <c r="AY197" s="141"/>
      <c r="BC197" s="141"/>
      <c r="BG197" s="141"/>
      <c r="BK197" s="141"/>
      <c r="BO197" s="141"/>
      <c r="BW197" s="141"/>
    </row>
    <row r="198" spans="2:75" s="134" customFormat="1" x14ac:dyDescent="0.2">
      <c r="B198" s="145"/>
      <c r="D198" s="145"/>
      <c r="AA198" s="141"/>
      <c r="AE198" s="140"/>
      <c r="AI198" s="141"/>
      <c r="AM198" s="141"/>
      <c r="AY198" s="141"/>
      <c r="BC198" s="141"/>
      <c r="BG198" s="141"/>
      <c r="BK198" s="141"/>
      <c r="BO198" s="141"/>
      <c r="BW198" s="141"/>
    </row>
    <row r="199" spans="2:75" s="134" customFormat="1" x14ac:dyDescent="0.2">
      <c r="B199" s="145"/>
      <c r="D199" s="145"/>
      <c r="AA199" s="141"/>
      <c r="AE199" s="140"/>
      <c r="AI199" s="141"/>
      <c r="AM199" s="141"/>
      <c r="AY199" s="141"/>
      <c r="BC199" s="141"/>
      <c r="BG199" s="141"/>
      <c r="BK199" s="141"/>
      <c r="BO199" s="141"/>
      <c r="BW199" s="141"/>
    </row>
    <row r="200" spans="2:75" s="134" customFormat="1" x14ac:dyDescent="0.2">
      <c r="B200" s="145"/>
      <c r="D200" s="145"/>
      <c r="AA200" s="141"/>
      <c r="AE200" s="140"/>
      <c r="AI200" s="141"/>
      <c r="AM200" s="141"/>
      <c r="AY200" s="141"/>
      <c r="BC200" s="141"/>
      <c r="BG200" s="141"/>
      <c r="BK200" s="141"/>
      <c r="BO200" s="141"/>
      <c r="BW200" s="141"/>
    </row>
    <row r="201" spans="2:75" s="134" customFormat="1" x14ac:dyDescent="0.2">
      <c r="B201" s="145"/>
      <c r="D201" s="145"/>
      <c r="AA201" s="141"/>
      <c r="AE201" s="140"/>
      <c r="AI201" s="141"/>
      <c r="AM201" s="141"/>
      <c r="AY201" s="141"/>
      <c r="BC201" s="141"/>
      <c r="BG201" s="141"/>
      <c r="BK201" s="141"/>
      <c r="BO201" s="141"/>
      <c r="BW201" s="141"/>
    </row>
    <row r="202" spans="2:75" s="134" customFormat="1" x14ac:dyDescent="0.2">
      <c r="B202" s="145"/>
      <c r="D202" s="145"/>
      <c r="AA202" s="141"/>
      <c r="AE202" s="140"/>
      <c r="AI202" s="141"/>
      <c r="AM202" s="141"/>
      <c r="AY202" s="141"/>
      <c r="BC202" s="141"/>
      <c r="BG202" s="141"/>
      <c r="BK202" s="141"/>
      <c r="BO202" s="141"/>
      <c r="BW202" s="141"/>
    </row>
    <row r="203" spans="2:75" s="134" customFormat="1" x14ac:dyDescent="0.2">
      <c r="B203" s="145"/>
      <c r="D203" s="145"/>
      <c r="AA203" s="141"/>
      <c r="AE203" s="140"/>
      <c r="AI203" s="141"/>
      <c r="AM203" s="141"/>
      <c r="AY203" s="141"/>
      <c r="BC203" s="141"/>
      <c r="BG203" s="141"/>
      <c r="BK203" s="141"/>
      <c r="BO203" s="141"/>
      <c r="BW203" s="141"/>
    </row>
    <row r="204" spans="2:75" s="134" customFormat="1" x14ac:dyDescent="0.2">
      <c r="B204" s="145"/>
      <c r="D204" s="145"/>
      <c r="AA204" s="141"/>
      <c r="AE204" s="140"/>
      <c r="AI204" s="141"/>
      <c r="AM204" s="141"/>
      <c r="AY204" s="141"/>
      <c r="BC204" s="141"/>
      <c r="BG204" s="141"/>
      <c r="BK204" s="141"/>
      <c r="BO204" s="141"/>
      <c r="BW204" s="141"/>
    </row>
    <row r="205" spans="2:75" s="134" customFormat="1" x14ac:dyDescent="0.2">
      <c r="B205" s="145"/>
      <c r="D205" s="145"/>
      <c r="AA205" s="141"/>
      <c r="AE205" s="140"/>
      <c r="AI205" s="141"/>
      <c r="AM205" s="141"/>
      <c r="AY205" s="141"/>
      <c r="BC205" s="141"/>
      <c r="BG205" s="141"/>
      <c r="BK205" s="141"/>
      <c r="BO205" s="141"/>
      <c r="BW205" s="141"/>
    </row>
    <row r="206" spans="2:75" s="134" customFormat="1" x14ac:dyDescent="0.2">
      <c r="B206" s="145"/>
      <c r="D206" s="145"/>
      <c r="AA206" s="141"/>
      <c r="AE206" s="140"/>
      <c r="AI206" s="141"/>
      <c r="AM206" s="141"/>
      <c r="AY206" s="141"/>
      <c r="BC206" s="141"/>
      <c r="BG206" s="141"/>
      <c r="BK206" s="141"/>
      <c r="BO206" s="141"/>
      <c r="BW206" s="141"/>
    </row>
    <row r="207" spans="2:75" s="134" customFormat="1" x14ac:dyDescent="0.2">
      <c r="B207" s="145"/>
      <c r="D207" s="145"/>
      <c r="AA207" s="141"/>
      <c r="AE207" s="140"/>
      <c r="AI207" s="141"/>
      <c r="AM207" s="141"/>
      <c r="AY207" s="141"/>
      <c r="BC207" s="141"/>
      <c r="BG207" s="141"/>
      <c r="BK207" s="141"/>
      <c r="BO207" s="141"/>
      <c r="BW207" s="141"/>
    </row>
    <row r="208" spans="2:75" s="134" customFormat="1" x14ac:dyDescent="0.2">
      <c r="B208" s="145"/>
      <c r="D208" s="145"/>
      <c r="AA208" s="141"/>
      <c r="AE208" s="140"/>
      <c r="AI208" s="141"/>
      <c r="AM208" s="141"/>
      <c r="AY208" s="141"/>
      <c r="BC208" s="141"/>
      <c r="BG208" s="141"/>
      <c r="BK208" s="141"/>
      <c r="BO208" s="141"/>
      <c r="BW208" s="141"/>
    </row>
    <row r="209" spans="2:75" s="134" customFormat="1" x14ac:dyDescent="0.2">
      <c r="B209" s="145"/>
      <c r="D209" s="145"/>
      <c r="AA209" s="141"/>
      <c r="AE209" s="140"/>
      <c r="AI209" s="141"/>
      <c r="AM209" s="141"/>
      <c r="AY209" s="141"/>
      <c r="BC209" s="141"/>
      <c r="BG209" s="141"/>
      <c r="BK209" s="141"/>
      <c r="BO209" s="141"/>
      <c r="BW209" s="141"/>
    </row>
    <row r="210" spans="2:75" s="134" customFormat="1" x14ac:dyDescent="0.2">
      <c r="B210" s="145"/>
      <c r="D210" s="145"/>
      <c r="AA210" s="141"/>
      <c r="AE210" s="140"/>
      <c r="AI210" s="141"/>
      <c r="AM210" s="141"/>
      <c r="AY210" s="141"/>
      <c r="BC210" s="141"/>
      <c r="BG210" s="141"/>
      <c r="BK210" s="141"/>
      <c r="BO210" s="141"/>
      <c r="BW210" s="141"/>
    </row>
    <row r="211" spans="2:75" s="134" customFormat="1" x14ac:dyDescent="0.2">
      <c r="B211" s="145"/>
      <c r="D211" s="145"/>
      <c r="AA211" s="141"/>
      <c r="AE211" s="140"/>
      <c r="AI211" s="141"/>
      <c r="AM211" s="141"/>
      <c r="AY211" s="141"/>
      <c r="BC211" s="141"/>
      <c r="BG211" s="141"/>
      <c r="BK211" s="141"/>
      <c r="BO211" s="141"/>
      <c r="BW211" s="141"/>
    </row>
    <row r="212" spans="2:75" s="134" customFormat="1" x14ac:dyDescent="0.2">
      <c r="B212" s="145"/>
      <c r="D212" s="145"/>
      <c r="AA212" s="141"/>
      <c r="AE212" s="140"/>
      <c r="AI212" s="141"/>
      <c r="AM212" s="141"/>
      <c r="AY212" s="141"/>
      <c r="BC212" s="141"/>
      <c r="BG212" s="141"/>
      <c r="BK212" s="141"/>
      <c r="BO212" s="141"/>
      <c r="BW212" s="141"/>
    </row>
    <row r="213" spans="2:75" s="134" customFormat="1" x14ac:dyDescent="0.2">
      <c r="B213" s="145"/>
      <c r="D213" s="145"/>
      <c r="AA213" s="141"/>
      <c r="AE213" s="140"/>
      <c r="AI213" s="141"/>
      <c r="AM213" s="141"/>
      <c r="AY213" s="141"/>
      <c r="BC213" s="141"/>
      <c r="BG213" s="141"/>
      <c r="BK213" s="141"/>
      <c r="BO213" s="141"/>
      <c r="BW213" s="141"/>
    </row>
    <row r="214" spans="2:75" s="134" customFormat="1" x14ac:dyDescent="0.2">
      <c r="B214" s="145"/>
      <c r="D214" s="145"/>
      <c r="AA214" s="141"/>
      <c r="AE214" s="140"/>
      <c r="AI214" s="141"/>
      <c r="AM214" s="141"/>
      <c r="AY214" s="141"/>
      <c r="BC214" s="141"/>
      <c r="BG214" s="141"/>
      <c r="BK214" s="141"/>
      <c r="BO214" s="141"/>
      <c r="BW214" s="141"/>
    </row>
    <row r="215" spans="2:75" s="134" customFormat="1" x14ac:dyDescent="0.2">
      <c r="B215" s="145"/>
      <c r="D215" s="145"/>
      <c r="AA215" s="141"/>
      <c r="AE215" s="140"/>
      <c r="AI215" s="141"/>
      <c r="AM215" s="141"/>
      <c r="AY215" s="141"/>
      <c r="BC215" s="141"/>
      <c r="BG215" s="141"/>
      <c r="BK215" s="141"/>
      <c r="BO215" s="141"/>
      <c r="BW215" s="141"/>
    </row>
    <row r="216" spans="2:75" s="134" customFormat="1" x14ac:dyDescent="0.2">
      <c r="B216" s="145"/>
      <c r="D216" s="145"/>
      <c r="AA216" s="141"/>
      <c r="AE216" s="140"/>
      <c r="AI216" s="141"/>
      <c r="AM216" s="141"/>
      <c r="AY216" s="141"/>
      <c r="BC216" s="141"/>
      <c r="BG216" s="141"/>
      <c r="BK216" s="141"/>
      <c r="BO216" s="141"/>
      <c r="BW216" s="141"/>
    </row>
    <row r="217" spans="2:75" s="134" customFormat="1" x14ac:dyDescent="0.2">
      <c r="B217" s="145"/>
      <c r="D217" s="145"/>
      <c r="AA217" s="141"/>
      <c r="AE217" s="140"/>
      <c r="AI217" s="141"/>
      <c r="AM217" s="141"/>
      <c r="AY217" s="141"/>
      <c r="BC217" s="141"/>
      <c r="BG217" s="141"/>
      <c r="BK217" s="141"/>
      <c r="BO217" s="141"/>
      <c r="BW217" s="141"/>
    </row>
    <row r="218" spans="2:75" s="134" customFormat="1" x14ac:dyDescent="0.2">
      <c r="B218" s="145"/>
      <c r="D218" s="145"/>
      <c r="AA218" s="141"/>
      <c r="AE218" s="140"/>
      <c r="AI218" s="141"/>
      <c r="AM218" s="141"/>
      <c r="AY218" s="141"/>
      <c r="BC218" s="141"/>
      <c r="BG218" s="141"/>
      <c r="BK218" s="141"/>
      <c r="BO218" s="141"/>
      <c r="BW218" s="141"/>
    </row>
    <row r="219" spans="2:75" s="134" customFormat="1" x14ac:dyDescent="0.2">
      <c r="B219" s="145"/>
      <c r="D219" s="145"/>
      <c r="AA219" s="141"/>
      <c r="AE219" s="140"/>
      <c r="AI219" s="141"/>
      <c r="AM219" s="141"/>
      <c r="AY219" s="141"/>
      <c r="BC219" s="141"/>
      <c r="BG219" s="141"/>
      <c r="BK219" s="141"/>
      <c r="BO219" s="141"/>
      <c r="BW219" s="141"/>
    </row>
    <row r="220" spans="2:75" s="134" customFormat="1" x14ac:dyDescent="0.2">
      <c r="B220" s="145"/>
      <c r="D220" s="145"/>
      <c r="AA220" s="141"/>
      <c r="AE220" s="140"/>
      <c r="AI220" s="141"/>
      <c r="AM220" s="141"/>
      <c r="AY220" s="141"/>
      <c r="BC220" s="141"/>
      <c r="BG220" s="141"/>
      <c r="BK220" s="141"/>
      <c r="BO220" s="141"/>
      <c r="BW220" s="141"/>
    </row>
    <row r="221" spans="2:75" s="134" customFormat="1" x14ac:dyDescent="0.2">
      <c r="B221" s="145"/>
      <c r="D221" s="145"/>
      <c r="AA221" s="141"/>
      <c r="AE221" s="140"/>
      <c r="AI221" s="141"/>
      <c r="AM221" s="141"/>
      <c r="AY221" s="141"/>
      <c r="BC221" s="141"/>
      <c r="BG221" s="141"/>
      <c r="BK221" s="141"/>
      <c r="BO221" s="141"/>
      <c r="BW221" s="141"/>
    </row>
    <row r="222" spans="2:75" s="134" customFormat="1" x14ac:dyDescent="0.2">
      <c r="B222" s="145"/>
      <c r="D222" s="145"/>
      <c r="AA222" s="141"/>
      <c r="AE222" s="140"/>
      <c r="AI222" s="141"/>
      <c r="AM222" s="141"/>
      <c r="AY222" s="141"/>
      <c r="BC222" s="141"/>
      <c r="BG222" s="141"/>
      <c r="BK222" s="141"/>
      <c r="BO222" s="141"/>
      <c r="BW222" s="141"/>
    </row>
    <row r="223" spans="2:75" s="134" customFormat="1" x14ac:dyDescent="0.2">
      <c r="B223" s="145"/>
      <c r="D223" s="145"/>
      <c r="AA223" s="141"/>
      <c r="AE223" s="140"/>
      <c r="AI223" s="141"/>
      <c r="AM223" s="141"/>
      <c r="AY223" s="141"/>
      <c r="BC223" s="141"/>
      <c r="BG223" s="141"/>
      <c r="BK223" s="141"/>
      <c r="BO223" s="141"/>
      <c r="BW223" s="141"/>
    </row>
    <row r="224" spans="2:75" s="134" customFormat="1" x14ac:dyDescent="0.2">
      <c r="B224" s="145"/>
      <c r="D224" s="145"/>
      <c r="AA224" s="141"/>
      <c r="AE224" s="140"/>
      <c r="AI224" s="141"/>
      <c r="AM224" s="141"/>
      <c r="AY224" s="141"/>
      <c r="BC224" s="141"/>
      <c r="BG224" s="141"/>
      <c r="BK224" s="141"/>
      <c r="BO224" s="141"/>
      <c r="BW224" s="141"/>
    </row>
    <row r="225" spans="2:75" s="134" customFormat="1" x14ac:dyDescent="0.2">
      <c r="B225" s="145"/>
      <c r="D225" s="145"/>
      <c r="AA225" s="141"/>
      <c r="AE225" s="140"/>
      <c r="AI225" s="141"/>
      <c r="AM225" s="141"/>
      <c r="AY225" s="141"/>
      <c r="BC225" s="141"/>
      <c r="BG225" s="141"/>
      <c r="BK225" s="141"/>
      <c r="BO225" s="141"/>
      <c r="BW225" s="141"/>
    </row>
    <row r="226" spans="2:75" s="134" customFormat="1" x14ac:dyDescent="0.2">
      <c r="B226" s="145"/>
      <c r="D226" s="145"/>
      <c r="AA226" s="141"/>
      <c r="AE226" s="140"/>
      <c r="AI226" s="141"/>
      <c r="AM226" s="141"/>
      <c r="AY226" s="141"/>
      <c r="BC226" s="141"/>
      <c r="BG226" s="141"/>
      <c r="BK226" s="141"/>
      <c r="BO226" s="141"/>
      <c r="BW226" s="141"/>
    </row>
    <row r="227" spans="2:75" s="134" customFormat="1" x14ac:dyDescent="0.2">
      <c r="B227" s="145"/>
      <c r="D227" s="145"/>
      <c r="AA227" s="141"/>
      <c r="AE227" s="140"/>
      <c r="AI227" s="141"/>
      <c r="AM227" s="141"/>
      <c r="AY227" s="141"/>
      <c r="BC227" s="141"/>
      <c r="BG227" s="141"/>
      <c r="BK227" s="141"/>
      <c r="BO227" s="141"/>
      <c r="BW227" s="141"/>
    </row>
    <row r="228" spans="2:75" s="134" customFormat="1" x14ac:dyDescent="0.2">
      <c r="B228" s="145"/>
      <c r="D228" s="145"/>
      <c r="AA228" s="141"/>
      <c r="AE228" s="140"/>
      <c r="AI228" s="141"/>
      <c r="AM228" s="141"/>
      <c r="AY228" s="141"/>
      <c r="BC228" s="141"/>
      <c r="BG228" s="141"/>
      <c r="BK228" s="141"/>
      <c r="BO228" s="141"/>
      <c r="BW228" s="141"/>
    </row>
    <row r="229" spans="2:75" s="134" customFormat="1" x14ac:dyDescent="0.2">
      <c r="B229" s="145"/>
      <c r="D229" s="145"/>
      <c r="AA229" s="141"/>
      <c r="AE229" s="140"/>
      <c r="AI229" s="141"/>
      <c r="AM229" s="141"/>
      <c r="AY229" s="141"/>
      <c r="BC229" s="141"/>
      <c r="BG229" s="141"/>
      <c r="BK229" s="141"/>
      <c r="BO229" s="141"/>
      <c r="BW229" s="141"/>
    </row>
    <row r="230" spans="2:75" s="134" customFormat="1" x14ac:dyDescent="0.2">
      <c r="B230" s="145"/>
      <c r="D230" s="145"/>
      <c r="AA230" s="141"/>
      <c r="AE230" s="140"/>
      <c r="AI230" s="141"/>
      <c r="AM230" s="141"/>
      <c r="AY230" s="141"/>
      <c r="BC230" s="141"/>
      <c r="BG230" s="141"/>
      <c r="BK230" s="141"/>
      <c r="BO230" s="141"/>
      <c r="BW230" s="141"/>
    </row>
    <row r="231" spans="2:75" s="134" customFormat="1" x14ac:dyDescent="0.2">
      <c r="B231" s="145"/>
      <c r="D231" s="145"/>
      <c r="AA231" s="141"/>
      <c r="AE231" s="140"/>
      <c r="AI231" s="141"/>
      <c r="AM231" s="141"/>
      <c r="AY231" s="141"/>
      <c r="BC231" s="141"/>
      <c r="BG231" s="141"/>
      <c r="BK231" s="141"/>
      <c r="BO231" s="141"/>
      <c r="BW231" s="141"/>
    </row>
    <row r="232" spans="2:75" s="134" customFormat="1" x14ac:dyDescent="0.2">
      <c r="B232" s="145"/>
      <c r="D232" s="145"/>
      <c r="AA232" s="141"/>
      <c r="AE232" s="140"/>
      <c r="AI232" s="141"/>
      <c r="AM232" s="141"/>
      <c r="AY232" s="141"/>
      <c r="BC232" s="141"/>
      <c r="BG232" s="141"/>
      <c r="BK232" s="141"/>
      <c r="BO232" s="141"/>
      <c r="BW232" s="141"/>
    </row>
    <row r="233" spans="2:75" s="134" customFormat="1" x14ac:dyDescent="0.2">
      <c r="B233" s="145"/>
      <c r="D233" s="145"/>
      <c r="AA233" s="141"/>
      <c r="AE233" s="140"/>
      <c r="AI233" s="141"/>
      <c r="AM233" s="141"/>
      <c r="AY233" s="141"/>
      <c r="BC233" s="141"/>
      <c r="BG233" s="141"/>
      <c r="BK233" s="141"/>
      <c r="BO233" s="141"/>
      <c r="BW233" s="141"/>
    </row>
    <row r="234" spans="2:75" s="134" customFormat="1" x14ac:dyDescent="0.2">
      <c r="B234" s="145"/>
      <c r="D234" s="145"/>
      <c r="AA234" s="141"/>
      <c r="AE234" s="140"/>
      <c r="AI234" s="141"/>
      <c r="AM234" s="141"/>
      <c r="AY234" s="141"/>
      <c r="BC234" s="141"/>
      <c r="BG234" s="141"/>
      <c r="BK234" s="141"/>
      <c r="BO234" s="141"/>
      <c r="BW234" s="141"/>
    </row>
    <row r="235" spans="2:75" s="134" customFormat="1" x14ac:dyDescent="0.2">
      <c r="B235" s="145"/>
      <c r="D235" s="145"/>
      <c r="AA235" s="141"/>
      <c r="AE235" s="140"/>
      <c r="AI235" s="141"/>
      <c r="AM235" s="141"/>
      <c r="AY235" s="141"/>
      <c r="BC235" s="141"/>
      <c r="BG235" s="141"/>
      <c r="BK235" s="141"/>
      <c r="BO235" s="141"/>
      <c r="BW235" s="141"/>
    </row>
    <row r="236" spans="2:75" s="134" customFormat="1" x14ac:dyDescent="0.2">
      <c r="B236" s="145"/>
      <c r="D236" s="145"/>
      <c r="AA236" s="141"/>
      <c r="AE236" s="140"/>
      <c r="AI236" s="141"/>
      <c r="AM236" s="141"/>
      <c r="AY236" s="141"/>
      <c r="BC236" s="141"/>
      <c r="BG236" s="141"/>
      <c r="BK236" s="141"/>
      <c r="BO236" s="141"/>
      <c r="BW236" s="141"/>
    </row>
    <row r="237" spans="2:75" s="134" customFormat="1" x14ac:dyDescent="0.2">
      <c r="B237" s="145"/>
      <c r="D237" s="145"/>
      <c r="AA237" s="141"/>
      <c r="AE237" s="140"/>
      <c r="AI237" s="141"/>
      <c r="AM237" s="141"/>
      <c r="AY237" s="141"/>
      <c r="BC237" s="141"/>
      <c r="BG237" s="141"/>
      <c r="BK237" s="141"/>
      <c r="BO237" s="141"/>
      <c r="BW237" s="141"/>
    </row>
    <row r="238" spans="2:75" s="134" customFormat="1" x14ac:dyDescent="0.2">
      <c r="B238" s="145"/>
      <c r="D238" s="145"/>
      <c r="AA238" s="141"/>
      <c r="AE238" s="140"/>
      <c r="AI238" s="141"/>
      <c r="AM238" s="141"/>
      <c r="AY238" s="141"/>
      <c r="BC238" s="141"/>
      <c r="BG238" s="141"/>
      <c r="BK238" s="141"/>
      <c r="BO238" s="141"/>
      <c r="BW238" s="141"/>
    </row>
    <row r="239" spans="2:75" s="134" customFormat="1" x14ac:dyDescent="0.2">
      <c r="B239" s="145"/>
      <c r="D239" s="145"/>
      <c r="AA239" s="141"/>
      <c r="AE239" s="140"/>
      <c r="AI239" s="141"/>
      <c r="AM239" s="141"/>
      <c r="AY239" s="141"/>
      <c r="BC239" s="141"/>
      <c r="BG239" s="141"/>
      <c r="BK239" s="141"/>
      <c r="BO239" s="141"/>
      <c r="BW239" s="141"/>
    </row>
    <row r="240" spans="2:75" s="134" customFormat="1" x14ac:dyDescent="0.2">
      <c r="B240" s="145"/>
      <c r="D240" s="145"/>
      <c r="AA240" s="141"/>
      <c r="AE240" s="140"/>
      <c r="AI240" s="141"/>
      <c r="AM240" s="141"/>
      <c r="AY240" s="141"/>
      <c r="BC240" s="141"/>
      <c r="BG240" s="141"/>
      <c r="BK240" s="141"/>
      <c r="BO240" s="141"/>
      <c r="BW240" s="141"/>
    </row>
    <row r="241" spans="2:75" s="134" customFormat="1" x14ac:dyDescent="0.2">
      <c r="B241" s="145"/>
      <c r="D241" s="145"/>
      <c r="AA241" s="141"/>
      <c r="AE241" s="140"/>
      <c r="AI241" s="141"/>
      <c r="AM241" s="141"/>
      <c r="AY241" s="141"/>
      <c r="BC241" s="141"/>
      <c r="BG241" s="141"/>
      <c r="BK241" s="141"/>
      <c r="BO241" s="141"/>
      <c r="BW241" s="141"/>
    </row>
    <row r="242" spans="2:75" s="134" customFormat="1" x14ac:dyDescent="0.2">
      <c r="B242" s="145"/>
      <c r="D242" s="145"/>
      <c r="AA242" s="141"/>
      <c r="AE242" s="140"/>
      <c r="AI242" s="141"/>
      <c r="AM242" s="141"/>
      <c r="AY242" s="141"/>
      <c r="BC242" s="141"/>
      <c r="BG242" s="141"/>
      <c r="BK242" s="141"/>
      <c r="BO242" s="141"/>
      <c r="BW242" s="141"/>
    </row>
    <row r="243" spans="2:75" s="134" customFormat="1" x14ac:dyDescent="0.2">
      <c r="B243" s="145"/>
      <c r="D243" s="145"/>
      <c r="AA243" s="141"/>
      <c r="AE243" s="140"/>
      <c r="AI243" s="141"/>
      <c r="AM243" s="141"/>
      <c r="AY243" s="141"/>
      <c r="BC243" s="141"/>
      <c r="BG243" s="141"/>
      <c r="BK243" s="141"/>
      <c r="BO243" s="141"/>
      <c r="BW243" s="141"/>
    </row>
    <row r="244" spans="2:75" s="134" customFormat="1" x14ac:dyDescent="0.2">
      <c r="B244" s="145"/>
      <c r="D244" s="145"/>
      <c r="AA244" s="141"/>
      <c r="AE244" s="140"/>
      <c r="AI244" s="141"/>
      <c r="AM244" s="141"/>
      <c r="AY244" s="141"/>
      <c r="BC244" s="141"/>
      <c r="BG244" s="141"/>
      <c r="BK244" s="141"/>
      <c r="BO244" s="141"/>
      <c r="BW244" s="141"/>
    </row>
    <row r="245" spans="2:75" s="134" customFormat="1" x14ac:dyDescent="0.2">
      <c r="B245" s="145"/>
      <c r="D245" s="145"/>
      <c r="AA245" s="141"/>
      <c r="AE245" s="140"/>
      <c r="AI245" s="141"/>
      <c r="AM245" s="141"/>
      <c r="AY245" s="141"/>
      <c r="BC245" s="141"/>
      <c r="BG245" s="141"/>
      <c r="BK245" s="141"/>
      <c r="BO245" s="141"/>
      <c r="BW245" s="141"/>
    </row>
    <row r="246" spans="2:75" s="134" customFormat="1" x14ac:dyDescent="0.2">
      <c r="B246" s="145"/>
      <c r="D246" s="145"/>
      <c r="AA246" s="141"/>
      <c r="AE246" s="140"/>
      <c r="AI246" s="141"/>
      <c r="AM246" s="141"/>
      <c r="AY246" s="141"/>
      <c r="BC246" s="141"/>
      <c r="BG246" s="141"/>
      <c r="BK246" s="141"/>
      <c r="BO246" s="141"/>
      <c r="BW246" s="141"/>
    </row>
    <row r="247" spans="2:75" s="134" customFormat="1" x14ac:dyDescent="0.2">
      <c r="B247" s="145"/>
      <c r="D247" s="145"/>
      <c r="AA247" s="141"/>
      <c r="AE247" s="140"/>
      <c r="AI247" s="141"/>
      <c r="AM247" s="141"/>
      <c r="AY247" s="141"/>
      <c r="BC247" s="141"/>
      <c r="BG247" s="141"/>
      <c r="BK247" s="141"/>
      <c r="BO247" s="141"/>
      <c r="BW247" s="141"/>
    </row>
    <row r="248" spans="2:75" s="134" customFormat="1" x14ac:dyDescent="0.2">
      <c r="B248" s="145"/>
      <c r="D248" s="145"/>
      <c r="AA248" s="141"/>
      <c r="AE248" s="140"/>
      <c r="AI248" s="141"/>
      <c r="AM248" s="141"/>
      <c r="AY248" s="141"/>
      <c r="BC248" s="141"/>
      <c r="BG248" s="141"/>
      <c r="BK248" s="141"/>
      <c r="BO248" s="141"/>
      <c r="BW248" s="141"/>
    </row>
    <row r="249" spans="2:75" s="134" customFormat="1" x14ac:dyDescent="0.2">
      <c r="B249" s="145"/>
      <c r="D249" s="145"/>
      <c r="AA249" s="141"/>
      <c r="AE249" s="140"/>
      <c r="AI249" s="141"/>
      <c r="AM249" s="141"/>
      <c r="AY249" s="141"/>
      <c r="BC249" s="141"/>
      <c r="BG249" s="141"/>
      <c r="BK249" s="141"/>
      <c r="BO249" s="141"/>
      <c r="BW249" s="141"/>
    </row>
    <row r="250" spans="2:75" s="134" customFormat="1" x14ac:dyDescent="0.2">
      <c r="B250" s="145"/>
      <c r="D250" s="145"/>
      <c r="AA250" s="141"/>
      <c r="AE250" s="140"/>
      <c r="AI250" s="141"/>
      <c r="AM250" s="141"/>
      <c r="AY250" s="141"/>
      <c r="BC250" s="141"/>
      <c r="BG250" s="141"/>
      <c r="BK250" s="141"/>
      <c r="BO250" s="141"/>
      <c r="BW250" s="141"/>
    </row>
    <row r="251" spans="2:75" s="134" customFormat="1" x14ac:dyDescent="0.2">
      <c r="B251" s="145"/>
      <c r="D251" s="145"/>
      <c r="AA251" s="141"/>
      <c r="AE251" s="140"/>
      <c r="AI251" s="141"/>
      <c r="AM251" s="141"/>
      <c r="AY251" s="141"/>
      <c r="BC251" s="141"/>
      <c r="BG251" s="141"/>
      <c r="BK251" s="141"/>
      <c r="BO251" s="141"/>
      <c r="BW251" s="141"/>
    </row>
    <row r="252" spans="2:75" s="134" customFormat="1" x14ac:dyDescent="0.2">
      <c r="B252" s="145"/>
      <c r="D252" s="145"/>
      <c r="AA252" s="141"/>
      <c r="AE252" s="140"/>
      <c r="AI252" s="141"/>
      <c r="AM252" s="141"/>
      <c r="AY252" s="141"/>
      <c r="BC252" s="141"/>
      <c r="BG252" s="141"/>
      <c r="BK252" s="141"/>
      <c r="BO252" s="141"/>
      <c r="BW252" s="141"/>
    </row>
    <row r="253" spans="2:75" s="134" customFormat="1" x14ac:dyDescent="0.2">
      <c r="B253" s="145"/>
      <c r="D253" s="145"/>
      <c r="AA253" s="141"/>
      <c r="AE253" s="140"/>
      <c r="AI253" s="141"/>
      <c r="AM253" s="141"/>
      <c r="AY253" s="141"/>
      <c r="BC253" s="141"/>
      <c r="BG253" s="141"/>
      <c r="BK253" s="141"/>
      <c r="BO253" s="141"/>
      <c r="BW253" s="141"/>
    </row>
    <row r="254" spans="2:75" s="134" customFormat="1" x14ac:dyDescent="0.2">
      <c r="B254" s="145"/>
      <c r="D254" s="145"/>
      <c r="AA254" s="141"/>
      <c r="AE254" s="140"/>
      <c r="AI254" s="141"/>
      <c r="AM254" s="141"/>
      <c r="AY254" s="141"/>
      <c r="BC254" s="141"/>
      <c r="BG254" s="141"/>
      <c r="BK254" s="141"/>
      <c r="BO254" s="141"/>
      <c r="BW254" s="141"/>
    </row>
    <row r="255" spans="2:75" s="134" customFormat="1" x14ac:dyDescent="0.2">
      <c r="B255" s="145"/>
      <c r="D255" s="145"/>
      <c r="AA255" s="141"/>
      <c r="AE255" s="140"/>
      <c r="AI255" s="141"/>
      <c r="AM255" s="141"/>
      <c r="AY255" s="141"/>
      <c r="BC255" s="141"/>
      <c r="BG255" s="141"/>
      <c r="BK255" s="141"/>
      <c r="BO255" s="141"/>
      <c r="BW255" s="141"/>
    </row>
    <row r="256" spans="2:75" s="134" customFormat="1" x14ac:dyDescent="0.2">
      <c r="B256" s="145"/>
      <c r="D256" s="145"/>
      <c r="AA256" s="141"/>
      <c r="AE256" s="140"/>
      <c r="AI256" s="141"/>
      <c r="AM256" s="141"/>
      <c r="AY256" s="141"/>
      <c r="BC256" s="141"/>
      <c r="BG256" s="141"/>
      <c r="BK256" s="141"/>
      <c r="BO256" s="141"/>
      <c r="BW256" s="141"/>
    </row>
    <row r="257" spans="2:75" s="134" customFormat="1" x14ac:dyDescent="0.2">
      <c r="B257" s="145"/>
      <c r="D257" s="145"/>
      <c r="AA257" s="141"/>
      <c r="AE257" s="140"/>
      <c r="AI257" s="141"/>
      <c r="AM257" s="141"/>
      <c r="AY257" s="141"/>
      <c r="BC257" s="141"/>
      <c r="BG257" s="141"/>
      <c r="BK257" s="141"/>
      <c r="BO257" s="141"/>
      <c r="BW257" s="141"/>
    </row>
    <row r="258" spans="2:75" s="134" customFormat="1" x14ac:dyDescent="0.2">
      <c r="B258" s="145"/>
      <c r="D258" s="145"/>
      <c r="AA258" s="141"/>
      <c r="AE258" s="140"/>
      <c r="AI258" s="141"/>
      <c r="AM258" s="141"/>
      <c r="AY258" s="141"/>
      <c r="BC258" s="141"/>
      <c r="BG258" s="141"/>
      <c r="BK258" s="141"/>
      <c r="BO258" s="141"/>
      <c r="BW258" s="141"/>
    </row>
    <row r="259" spans="2:75" s="134" customFormat="1" x14ac:dyDescent="0.2">
      <c r="B259" s="145"/>
      <c r="D259" s="145"/>
      <c r="AA259" s="141"/>
      <c r="AE259" s="140"/>
      <c r="AI259" s="141"/>
      <c r="AM259" s="141"/>
      <c r="AY259" s="141"/>
      <c r="BC259" s="141"/>
      <c r="BG259" s="141"/>
      <c r="BK259" s="141"/>
      <c r="BO259" s="141"/>
      <c r="BW259" s="141"/>
    </row>
    <row r="260" spans="2:75" s="134" customFormat="1" x14ac:dyDescent="0.2">
      <c r="B260" s="145"/>
      <c r="D260" s="145"/>
      <c r="AA260" s="141"/>
      <c r="AE260" s="140"/>
      <c r="AI260" s="141"/>
      <c r="AM260" s="141"/>
      <c r="AY260" s="141"/>
      <c r="BC260" s="141"/>
      <c r="BG260" s="141"/>
      <c r="BK260" s="141"/>
      <c r="BO260" s="141"/>
      <c r="BW260" s="141"/>
    </row>
    <row r="261" spans="2:75" s="134" customFormat="1" x14ac:dyDescent="0.2">
      <c r="B261" s="145"/>
      <c r="D261" s="145"/>
      <c r="AA261" s="141"/>
      <c r="AE261" s="140"/>
      <c r="AI261" s="141"/>
      <c r="AM261" s="141"/>
      <c r="AY261" s="141"/>
      <c r="BC261" s="141"/>
      <c r="BG261" s="141"/>
      <c r="BK261" s="141"/>
      <c r="BO261" s="141"/>
      <c r="BW261" s="141"/>
    </row>
    <row r="262" spans="2:75" s="134" customFormat="1" x14ac:dyDescent="0.2">
      <c r="B262" s="145"/>
      <c r="D262" s="145"/>
      <c r="AA262" s="141"/>
      <c r="AE262" s="140"/>
      <c r="AI262" s="141"/>
      <c r="AM262" s="141"/>
      <c r="AY262" s="141"/>
      <c r="BC262" s="141"/>
      <c r="BG262" s="141"/>
      <c r="BK262" s="141"/>
      <c r="BO262" s="141"/>
      <c r="BW262" s="141"/>
    </row>
    <row r="263" spans="2:75" s="134" customFormat="1" x14ac:dyDescent="0.2">
      <c r="B263" s="145"/>
      <c r="D263" s="145"/>
      <c r="AA263" s="141"/>
      <c r="AE263" s="140"/>
      <c r="AI263" s="141"/>
      <c r="AM263" s="141"/>
      <c r="AY263" s="141"/>
      <c r="BC263" s="141"/>
      <c r="BG263" s="141"/>
      <c r="BK263" s="141"/>
      <c r="BO263" s="141"/>
      <c r="BW263" s="141"/>
    </row>
    <row r="264" spans="2:75" s="134" customFormat="1" x14ac:dyDescent="0.2">
      <c r="B264" s="145"/>
      <c r="D264" s="145"/>
      <c r="AA264" s="141"/>
      <c r="AE264" s="140"/>
      <c r="AI264" s="141"/>
      <c r="AM264" s="141"/>
      <c r="AY264" s="141"/>
      <c r="BC264" s="141"/>
      <c r="BG264" s="141"/>
      <c r="BK264" s="141"/>
      <c r="BO264" s="141"/>
      <c r="BW264" s="141"/>
    </row>
    <row r="265" spans="2:75" s="134" customFormat="1" x14ac:dyDescent="0.2">
      <c r="B265" s="145"/>
      <c r="D265" s="145"/>
      <c r="AA265" s="141"/>
      <c r="AE265" s="140"/>
      <c r="AI265" s="141"/>
      <c r="AM265" s="141"/>
      <c r="AY265" s="141"/>
      <c r="BC265" s="141"/>
      <c r="BG265" s="141"/>
      <c r="BK265" s="141"/>
      <c r="BO265" s="141"/>
      <c r="BW265" s="141"/>
    </row>
    <row r="266" spans="2:75" s="134" customFormat="1" x14ac:dyDescent="0.2">
      <c r="B266" s="145"/>
      <c r="D266" s="145"/>
      <c r="AA266" s="141"/>
      <c r="AE266" s="140"/>
      <c r="AI266" s="141"/>
      <c r="AM266" s="141"/>
      <c r="AY266" s="141"/>
      <c r="BC266" s="141"/>
      <c r="BG266" s="141"/>
      <c r="BK266" s="141"/>
      <c r="BO266" s="141"/>
      <c r="BW266" s="141"/>
    </row>
    <row r="267" spans="2:75" s="134" customFormat="1" x14ac:dyDescent="0.2">
      <c r="B267" s="145"/>
      <c r="D267" s="145"/>
      <c r="AA267" s="141"/>
      <c r="AE267" s="140"/>
      <c r="AI267" s="141"/>
      <c r="AM267" s="141"/>
      <c r="AY267" s="141"/>
      <c r="BC267" s="141"/>
      <c r="BG267" s="141"/>
      <c r="BK267" s="141"/>
      <c r="BO267" s="141"/>
      <c r="BW267" s="141"/>
    </row>
    <row r="268" spans="2:75" s="134" customFormat="1" x14ac:dyDescent="0.2">
      <c r="B268" s="145"/>
      <c r="D268" s="145"/>
      <c r="AA268" s="141"/>
      <c r="AE268" s="140"/>
      <c r="AI268" s="141"/>
      <c r="AM268" s="141"/>
      <c r="AY268" s="141"/>
      <c r="BC268" s="141"/>
      <c r="BG268" s="141"/>
      <c r="BK268" s="141"/>
      <c r="BO268" s="141"/>
      <c r="BW268" s="141"/>
    </row>
    <row r="269" spans="2:75" s="134" customFormat="1" x14ac:dyDescent="0.2">
      <c r="B269" s="145"/>
      <c r="D269" s="145"/>
      <c r="AA269" s="141"/>
      <c r="AE269" s="140"/>
      <c r="AI269" s="141"/>
      <c r="AM269" s="141"/>
      <c r="AY269" s="141"/>
      <c r="BC269" s="141"/>
      <c r="BG269" s="141"/>
      <c r="BK269" s="141"/>
      <c r="BO269" s="141"/>
      <c r="BW269" s="141"/>
    </row>
    <row r="270" spans="2:75" s="134" customFormat="1" x14ac:dyDescent="0.2">
      <c r="B270" s="145"/>
      <c r="D270" s="145"/>
      <c r="AA270" s="141"/>
      <c r="AE270" s="140"/>
      <c r="AI270" s="141"/>
      <c r="AM270" s="141"/>
      <c r="AY270" s="141"/>
      <c r="BC270" s="141"/>
      <c r="BG270" s="141"/>
      <c r="BK270" s="141"/>
      <c r="BO270" s="141"/>
      <c r="BW270" s="141"/>
    </row>
    <row r="271" spans="2:75" s="134" customFormat="1" x14ac:dyDescent="0.2">
      <c r="B271" s="145"/>
      <c r="D271" s="145"/>
      <c r="AA271" s="141"/>
      <c r="AE271" s="140"/>
      <c r="AI271" s="141"/>
      <c r="AM271" s="141"/>
      <c r="AY271" s="141"/>
      <c r="BC271" s="141"/>
      <c r="BG271" s="141"/>
      <c r="BK271" s="141"/>
      <c r="BO271" s="141"/>
      <c r="BW271" s="141"/>
    </row>
    <row r="272" spans="2:75" s="134" customFormat="1" x14ac:dyDescent="0.2">
      <c r="B272" s="145"/>
      <c r="D272" s="145"/>
      <c r="AA272" s="141"/>
      <c r="AE272" s="140"/>
      <c r="AI272" s="141"/>
      <c r="AM272" s="141"/>
      <c r="AY272" s="141"/>
      <c r="BC272" s="141"/>
      <c r="BG272" s="141"/>
      <c r="BK272" s="141"/>
      <c r="BO272" s="141"/>
      <c r="BW272" s="141"/>
    </row>
    <row r="273" spans="2:75" s="134" customFormat="1" x14ac:dyDescent="0.2">
      <c r="B273" s="145"/>
      <c r="D273" s="145"/>
      <c r="AA273" s="141"/>
      <c r="AE273" s="140"/>
      <c r="AI273" s="141"/>
      <c r="AM273" s="141"/>
      <c r="AY273" s="141"/>
      <c r="BC273" s="141"/>
      <c r="BG273" s="141"/>
      <c r="BK273" s="141"/>
      <c r="BO273" s="141"/>
      <c r="BW273" s="141"/>
    </row>
    <row r="274" spans="2:75" s="134" customFormat="1" x14ac:dyDescent="0.2">
      <c r="B274" s="145"/>
      <c r="D274" s="145"/>
      <c r="AA274" s="141"/>
      <c r="AE274" s="140"/>
      <c r="AI274" s="141"/>
      <c r="AM274" s="141"/>
      <c r="AY274" s="141"/>
      <c r="BC274" s="141"/>
      <c r="BG274" s="141"/>
      <c r="BK274" s="141"/>
      <c r="BO274" s="141"/>
      <c r="BW274" s="141"/>
    </row>
    <row r="275" spans="2:75" s="134" customFormat="1" x14ac:dyDescent="0.2">
      <c r="B275" s="145"/>
      <c r="D275" s="145"/>
      <c r="AA275" s="141"/>
      <c r="AE275" s="140"/>
      <c r="AI275" s="141"/>
      <c r="AM275" s="141"/>
      <c r="AY275" s="141"/>
      <c r="BC275" s="141"/>
      <c r="BG275" s="141"/>
      <c r="BK275" s="141"/>
      <c r="BO275" s="141"/>
      <c r="BW275" s="141"/>
    </row>
    <row r="276" spans="2:75" s="134" customFormat="1" x14ac:dyDescent="0.2">
      <c r="B276" s="145"/>
      <c r="D276" s="145"/>
      <c r="AA276" s="141"/>
      <c r="AE276" s="140"/>
      <c r="AI276" s="141"/>
      <c r="AM276" s="141"/>
      <c r="AY276" s="141"/>
      <c r="BC276" s="141"/>
      <c r="BG276" s="141"/>
      <c r="BK276" s="141"/>
      <c r="BO276" s="141"/>
      <c r="BW276" s="141"/>
    </row>
    <row r="277" spans="2:75" s="134" customFormat="1" x14ac:dyDescent="0.2">
      <c r="B277" s="145"/>
      <c r="D277" s="145"/>
      <c r="AA277" s="141"/>
      <c r="AE277" s="140"/>
      <c r="AI277" s="141"/>
      <c r="AM277" s="141"/>
      <c r="AY277" s="141"/>
      <c r="BC277" s="141"/>
      <c r="BG277" s="141"/>
      <c r="BK277" s="141"/>
      <c r="BO277" s="141"/>
      <c r="BW277" s="141"/>
    </row>
    <row r="278" spans="2:75" s="134" customFormat="1" x14ac:dyDescent="0.2">
      <c r="B278" s="145"/>
      <c r="D278" s="145"/>
      <c r="AA278" s="141"/>
      <c r="AE278" s="140"/>
      <c r="AI278" s="141"/>
      <c r="AM278" s="141"/>
      <c r="AY278" s="141"/>
      <c r="BC278" s="141"/>
      <c r="BG278" s="141"/>
      <c r="BK278" s="141"/>
      <c r="BO278" s="141"/>
      <c r="BW278" s="141"/>
    </row>
    <row r="279" spans="2:75" s="134" customFormat="1" x14ac:dyDescent="0.2">
      <c r="B279" s="145"/>
      <c r="D279" s="145"/>
      <c r="AA279" s="141"/>
      <c r="AE279" s="140"/>
      <c r="AI279" s="141"/>
      <c r="AM279" s="141"/>
      <c r="AY279" s="141"/>
      <c r="BC279" s="141"/>
      <c r="BG279" s="141"/>
      <c r="BK279" s="141"/>
      <c r="BO279" s="141"/>
      <c r="BW279" s="141"/>
    </row>
    <row r="280" spans="2:75" s="134" customFormat="1" x14ac:dyDescent="0.2">
      <c r="B280" s="145"/>
      <c r="D280" s="145"/>
      <c r="AA280" s="141"/>
      <c r="AE280" s="140"/>
      <c r="AI280" s="141"/>
      <c r="AM280" s="141"/>
      <c r="AY280" s="141"/>
      <c r="BC280" s="141"/>
      <c r="BG280" s="141"/>
      <c r="BK280" s="141"/>
      <c r="BO280" s="141"/>
      <c r="BW280" s="141"/>
    </row>
    <row r="281" spans="2:75" s="134" customFormat="1" x14ac:dyDescent="0.2">
      <c r="B281" s="145"/>
      <c r="D281" s="145"/>
      <c r="AA281" s="141"/>
      <c r="AE281" s="140"/>
      <c r="AI281" s="141"/>
      <c r="AM281" s="141"/>
      <c r="AY281" s="141"/>
      <c r="BC281" s="141"/>
      <c r="BG281" s="141"/>
      <c r="BK281" s="141"/>
      <c r="BO281" s="141"/>
      <c r="BW281" s="141"/>
    </row>
    <row r="282" spans="2:75" s="134" customFormat="1" x14ac:dyDescent="0.2">
      <c r="B282" s="145"/>
      <c r="D282" s="145"/>
      <c r="AA282" s="141"/>
      <c r="AE282" s="140"/>
      <c r="AI282" s="141"/>
      <c r="AM282" s="141"/>
      <c r="AY282" s="141"/>
      <c r="BC282" s="141"/>
      <c r="BG282" s="141"/>
      <c r="BK282" s="141"/>
      <c r="BO282" s="141"/>
      <c r="BW282" s="141"/>
    </row>
    <row r="283" spans="2:75" s="134" customFormat="1" x14ac:dyDescent="0.2">
      <c r="B283" s="145"/>
      <c r="D283" s="145"/>
      <c r="AA283" s="141"/>
      <c r="AE283" s="140"/>
      <c r="AI283" s="141"/>
      <c r="AM283" s="141"/>
      <c r="AY283" s="141"/>
      <c r="BC283" s="141"/>
      <c r="BG283" s="141"/>
      <c r="BK283" s="141"/>
      <c r="BO283" s="141"/>
      <c r="BW283" s="141"/>
    </row>
    <row r="284" spans="2:75" s="134" customFormat="1" x14ac:dyDescent="0.2">
      <c r="B284" s="145"/>
      <c r="D284" s="145"/>
      <c r="AA284" s="141"/>
      <c r="AE284" s="140"/>
      <c r="AI284" s="141"/>
      <c r="AM284" s="141"/>
      <c r="AY284" s="141"/>
      <c r="BC284" s="141"/>
      <c r="BG284" s="141"/>
      <c r="BK284" s="141"/>
      <c r="BO284" s="141"/>
      <c r="BW284" s="141"/>
    </row>
    <row r="285" spans="2:75" s="134" customFormat="1" x14ac:dyDescent="0.2">
      <c r="B285" s="145"/>
      <c r="D285" s="145"/>
      <c r="AA285" s="141"/>
      <c r="AE285" s="140"/>
      <c r="AI285" s="141"/>
      <c r="AM285" s="141"/>
      <c r="AY285" s="141"/>
      <c r="BC285" s="141"/>
      <c r="BG285" s="141"/>
      <c r="BK285" s="141"/>
      <c r="BO285" s="141"/>
      <c r="BW285" s="141"/>
    </row>
    <row r="286" spans="2:75" s="134" customFormat="1" x14ac:dyDescent="0.2">
      <c r="B286" s="145"/>
      <c r="D286" s="145"/>
      <c r="AA286" s="141"/>
      <c r="AE286" s="140"/>
      <c r="AI286" s="141"/>
      <c r="AM286" s="141"/>
      <c r="AY286" s="141"/>
      <c r="BC286" s="141"/>
      <c r="BG286" s="141"/>
      <c r="BK286" s="141"/>
      <c r="BO286" s="141"/>
      <c r="BW286" s="141"/>
    </row>
    <row r="287" spans="2:75" s="134" customFormat="1" x14ac:dyDescent="0.2">
      <c r="B287" s="145"/>
      <c r="D287" s="145"/>
      <c r="AA287" s="141"/>
      <c r="AE287" s="140"/>
      <c r="AI287" s="141"/>
      <c r="AM287" s="141"/>
      <c r="AY287" s="141"/>
      <c r="BC287" s="141"/>
      <c r="BG287" s="141"/>
      <c r="BK287" s="141"/>
      <c r="BO287" s="141"/>
      <c r="BW287" s="141"/>
    </row>
    <row r="288" spans="2:75" s="134" customFormat="1" x14ac:dyDescent="0.2">
      <c r="B288" s="145"/>
      <c r="D288" s="145"/>
      <c r="AA288" s="141"/>
      <c r="AE288" s="140"/>
      <c r="AI288" s="141"/>
      <c r="AM288" s="141"/>
      <c r="AY288" s="141"/>
      <c r="BC288" s="141"/>
      <c r="BG288" s="141"/>
      <c r="BK288" s="141"/>
      <c r="BO288" s="141"/>
      <c r="BW288" s="141"/>
    </row>
    <row r="289" spans="2:75" s="134" customFormat="1" x14ac:dyDescent="0.2">
      <c r="B289" s="145"/>
      <c r="D289" s="145"/>
      <c r="AA289" s="141"/>
      <c r="AE289" s="140"/>
      <c r="AI289" s="141"/>
      <c r="AM289" s="141"/>
      <c r="AY289" s="141"/>
      <c r="BC289" s="141"/>
      <c r="BG289" s="141"/>
      <c r="BK289" s="141"/>
      <c r="BO289" s="141"/>
      <c r="BW289" s="141"/>
    </row>
    <row r="290" spans="2:75" s="134" customFormat="1" x14ac:dyDescent="0.2">
      <c r="B290" s="145"/>
      <c r="D290" s="145"/>
      <c r="AA290" s="141"/>
      <c r="AE290" s="140"/>
      <c r="AI290" s="141"/>
      <c r="AM290" s="141"/>
      <c r="AY290" s="141"/>
      <c r="BC290" s="141"/>
      <c r="BG290" s="141"/>
      <c r="BK290" s="141"/>
      <c r="BO290" s="141"/>
      <c r="BW290" s="141"/>
    </row>
    <row r="291" spans="2:75" s="134" customFormat="1" x14ac:dyDescent="0.2">
      <c r="B291" s="145"/>
      <c r="D291" s="145"/>
      <c r="AA291" s="141"/>
      <c r="AE291" s="140"/>
      <c r="AI291" s="141"/>
      <c r="AM291" s="141"/>
      <c r="AY291" s="141"/>
      <c r="BC291" s="141"/>
      <c r="BG291" s="141"/>
      <c r="BK291" s="141"/>
      <c r="BO291" s="141"/>
      <c r="BW291" s="141"/>
    </row>
    <row r="292" spans="2:75" s="134" customFormat="1" x14ac:dyDescent="0.2">
      <c r="B292" s="145"/>
      <c r="D292" s="145"/>
      <c r="AA292" s="141"/>
      <c r="AE292" s="140"/>
      <c r="AI292" s="141"/>
      <c r="AM292" s="141"/>
      <c r="AY292" s="141"/>
      <c r="BC292" s="141"/>
      <c r="BG292" s="141"/>
      <c r="BK292" s="141"/>
      <c r="BO292" s="141"/>
      <c r="BW292" s="141"/>
    </row>
    <row r="293" spans="2:75" s="134" customFormat="1" x14ac:dyDescent="0.2">
      <c r="B293" s="145"/>
      <c r="D293" s="145"/>
      <c r="AA293" s="141"/>
      <c r="AE293" s="140"/>
      <c r="AI293" s="141"/>
      <c r="AM293" s="141"/>
      <c r="AY293" s="141"/>
      <c r="BC293" s="141"/>
      <c r="BG293" s="141"/>
      <c r="BK293" s="141"/>
      <c r="BO293" s="141"/>
      <c r="BW293" s="141"/>
    </row>
    <row r="294" spans="2:75" s="134" customFormat="1" x14ac:dyDescent="0.2">
      <c r="B294" s="145"/>
      <c r="D294" s="145"/>
      <c r="AA294" s="141"/>
      <c r="AE294" s="140"/>
      <c r="AI294" s="141"/>
      <c r="AM294" s="141"/>
      <c r="AY294" s="141"/>
      <c r="BC294" s="141"/>
      <c r="BG294" s="141"/>
      <c r="BK294" s="141"/>
      <c r="BO294" s="141"/>
      <c r="BW294" s="141"/>
    </row>
    <row r="295" spans="2:75" s="134" customFormat="1" x14ac:dyDescent="0.2">
      <c r="B295" s="145"/>
      <c r="D295" s="145"/>
      <c r="AA295" s="141"/>
      <c r="AE295" s="140"/>
      <c r="AI295" s="141"/>
      <c r="AM295" s="141"/>
      <c r="AY295" s="141"/>
      <c r="BC295" s="141"/>
      <c r="BG295" s="141"/>
      <c r="BK295" s="141"/>
      <c r="BO295" s="141"/>
      <c r="BW295" s="141"/>
    </row>
    <row r="296" spans="2:75" s="134" customFormat="1" x14ac:dyDescent="0.2">
      <c r="B296" s="145"/>
      <c r="D296" s="145"/>
      <c r="AA296" s="141"/>
      <c r="AE296" s="140"/>
      <c r="AI296" s="141"/>
      <c r="AM296" s="141"/>
      <c r="AY296" s="141"/>
      <c r="BC296" s="141"/>
      <c r="BG296" s="141"/>
      <c r="BK296" s="141"/>
      <c r="BO296" s="141"/>
      <c r="BW296" s="141"/>
    </row>
    <row r="297" spans="2:75" s="134" customFormat="1" x14ac:dyDescent="0.2">
      <c r="B297" s="145"/>
      <c r="D297" s="145"/>
      <c r="AA297" s="141"/>
      <c r="AE297" s="140"/>
      <c r="AI297" s="141"/>
      <c r="AM297" s="141"/>
      <c r="AY297" s="141"/>
      <c r="BC297" s="141"/>
      <c r="BG297" s="141"/>
      <c r="BK297" s="141"/>
      <c r="BO297" s="141"/>
      <c r="BW297" s="141"/>
    </row>
    <row r="298" spans="2:75" s="134" customFormat="1" x14ac:dyDescent="0.2">
      <c r="B298" s="145"/>
      <c r="D298" s="145"/>
      <c r="AA298" s="141"/>
      <c r="AE298" s="140"/>
      <c r="AI298" s="141"/>
      <c r="AM298" s="141"/>
      <c r="AY298" s="141"/>
      <c r="BC298" s="141"/>
      <c r="BG298" s="141"/>
      <c r="BK298" s="141"/>
      <c r="BO298" s="141"/>
      <c r="BW298" s="141"/>
    </row>
    <row r="299" spans="2:75" s="134" customFormat="1" x14ac:dyDescent="0.2">
      <c r="B299" s="145"/>
      <c r="D299" s="145"/>
      <c r="AA299" s="141"/>
      <c r="AE299" s="140"/>
      <c r="AI299" s="141"/>
      <c r="AM299" s="141"/>
      <c r="AY299" s="141"/>
      <c r="BC299" s="141"/>
      <c r="BG299" s="141"/>
      <c r="BK299" s="141"/>
      <c r="BO299" s="141"/>
      <c r="BW299" s="141"/>
    </row>
    <row r="300" spans="2:75" s="134" customFormat="1" x14ac:dyDescent="0.2">
      <c r="B300" s="145"/>
      <c r="D300" s="145"/>
      <c r="AA300" s="141"/>
      <c r="AE300" s="140"/>
      <c r="AI300" s="141"/>
      <c r="AM300" s="141"/>
      <c r="AY300" s="141"/>
      <c r="BC300" s="141"/>
      <c r="BG300" s="141"/>
      <c r="BK300" s="141"/>
      <c r="BO300" s="141"/>
      <c r="BW300" s="141"/>
    </row>
    <row r="301" spans="2:75" s="134" customFormat="1" x14ac:dyDescent="0.2">
      <c r="B301" s="145"/>
      <c r="D301" s="145"/>
      <c r="AA301" s="141"/>
      <c r="AE301" s="140"/>
      <c r="AI301" s="141"/>
      <c r="AM301" s="141"/>
      <c r="AY301" s="141"/>
      <c r="BC301" s="141"/>
      <c r="BG301" s="141"/>
      <c r="BK301" s="141"/>
      <c r="BO301" s="141"/>
      <c r="BW301" s="141"/>
    </row>
    <row r="302" spans="2:75" s="134" customFormat="1" x14ac:dyDescent="0.2">
      <c r="B302" s="145"/>
      <c r="D302" s="145"/>
      <c r="AA302" s="141"/>
      <c r="AE302" s="140"/>
      <c r="AI302" s="141"/>
      <c r="AM302" s="141"/>
      <c r="AY302" s="141"/>
      <c r="BC302" s="141"/>
      <c r="BG302" s="141"/>
      <c r="BK302" s="141"/>
      <c r="BO302" s="141"/>
      <c r="BW302" s="141"/>
    </row>
    <row r="303" spans="2:75" s="134" customFormat="1" x14ac:dyDescent="0.2">
      <c r="B303" s="145"/>
      <c r="D303" s="145"/>
      <c r="AA303" s="141"/>
      <c r="AE303" s="140"/>
      <c r="AI303" s="141"/>
      <c r="AM303" s="141"/>
      <c r="AY303" s="141"/>
      <c r="BC303" s="141"/>
      <c r="BG303" s="141"/>
      <c r="BK303" s="141"/>
      <c r="BO303" s="141"/>
      <c r="BW303" s="141"/>
    </row>
    <row r="304" spans="2:75" s="134" customFormat="1" x14ac:dyDescent="0.2">
      <c r="B304" s="145"/>
      <c r="D304" s="145"/>
      <c r="AA304" s="141"/>
      <c r="AE304" s="140"/>
      <c r="AI304" s="141"/>
      <c r="AM304" s="141"/>
      <c r="AY304" s="141"/>
      <c r="BC304" s="141"/>
      <c r="BG304" s="141"/>
      <c r="BK304" s="141"/>
      <c r="BO304" s="141"/>
      <c r="BW304" s="141"/>
    </row>
    <row r="305" spans="2:75" s="134" customFormat="1" x14ac:dyDescent="0.2">
      <c r="B305" s="145"/>
      <c r="D305" s="145"/>
      <c r="AA305" s="141"/>
      <c r="AE305" s="140"/>
      <c r="AI305" s="141"/>
      <c r="AM305" s="141"/>
      <c r="AY305" s="141"/>
      <c r="BC305" s="141"/>
      <c r="BG305" s="141"/>
      <c r="BK305" s="141"/>
      <c r="BO305" s="141"/>
      <c r="BW305" s="141"/>
    </row>
    <row r="306" spans="2:75" s="134" customFormat="1" x14ac:dyDescent="0.2">
      <c r="B306" s="145"/>
      <c r="D306" s="145"/>
      <c r="AA306" s="141"/>
      <c r="AE306" s="140"/>
      <c r="AI306" s="141"/>
      <c r="AM306" s="141"/>
      <c r="AY306" s="141"/>
      <c r="BC306" s="141"/>
      <c r="BG306" s="141"/>
      <c r="BK306" s="141"/>
      <c r="BO306" s="141"/>
      <c r="BW306" s="141"/>
    </row>
    <row r="307" spans="2:75" s="134" customFormat="1" x14ac:dyDescent="0.2">
      <c r="B307" s="145"/>
      <c r="D307" s="145"/>
      <c r="AA307" s="141"/>
      <c r="AE307" s="140"/>
      <c r="AI307" s="141"/>
      <c r="AM307" s="141"/>
      <c r="AY307" s="141"/>
      <c r="BC307" s="141"/>
      <c r="BG307" s="141"/>
      <c r="BK307" s="141"/>
      <c r="BO307" s="141"/>
      <c r="BW307" s="141"/>
    </row>
    <row r="308" spans="2:75" s="134" customFormat="1" x14ac:dyDescent="0.2">
      <c r="B308" s="145"/>
      <c r="D308" s="145"/>
      <c r="AA308" s="141"/>
      <c r="AE308" s="140"/>
      <c r="AI308" s="141"/>
      <c r="AM308" s="141"/>
      <c r="AY308" s="141"/>
      <c r="BC308" s="141"/>
      <c r="BG308" s="141"/>
      <c r="BK308" s="141"/>
      <c r="BO308" s="141"/>
      <c r="BW308" s="141"/>
    </row>
    <row r="309" spans="2:75" s="134" customFormat="1" x14ac:dyDescent="0.2">
      <c r="B309" s="145"/>
      <c r="D309" s="145"/>
      <c r="AA309" s="141"/>
      <c r="AE309" s="140"/>
      <c r="AI309" s="141"/>
      <c r="AM309" s="141"/>
      <c r="AY309" s="141"/>
      <c r="BC309" s="141"/>
      <c r="BG309" s="141"/>
      <c r="BK309" s="141"/>
      <c r="BO309" s="141"/>
      <c r="BW309" s="141"/>
    </row>
    <row r="310" spans="2:75" s="134" customFormat="1" x14ac:dyDescent="0.2">
      <c r="B310" s="145"/>
      <c r="D310" s="145"/>
      <c r="AA310" s="141"/>
      <c r="AE310" s="140"/>
      <c r="AI310" s="141"/>
      <c r="AM310" s="141"/>
      <c r="AY310" s="141"/>
      <c r="BC310" s="141"/>
      <c r="BG310" s="141"/>
      <c r="BK310" s="141"/>
      <c r="BO310" s="141"/>
      <c r="BW310" s="141"/>
    </row>
    <row r="311" spans="2:75" s="134" customFormat="1" x14ac:dyDescent="0.2">
      <c r="B311" s="145"/>
      <c r="D311" s="145"/>
      <c r="AA311" s="141"/>
      <c r="AE311" s="140"/>
      <c r="AI311" s="141"/>
      <c r="AM311" s="141"/>
      <c r="AY311" s="141"/>
      <c r="BC311" s="141"/>
      <c r="BG311" s="141"/>
      <c r="BK311" s="141"/>
      <c r="BO311" s="141"/>
      <c r="BW311" s="141"/>
    </row>
    <row r="312" spans="2:75" s="134" customFormat="1" x14ac:dyDescent="0.2">
      <c r="B312" s="145"/>
      <c r="D312" s="145"/>
      <c r="AA312" s="141"/>
      <c r="AE312" s="140"/>
      <c r="AI312" s="141"/>
      <c r="AM312" s="141"/>
      <c r="AY312" s="141"/>
      <c r="BC312" s="141"/>
      <c r="BG312" s="141"/>
      <c r="BK312" s="141"/>
      <c r="BO312" s="141"/>
      <c r="BW312" s="141"/>
    </row>
    <row r="313" spans="2:75" s="134" customFormat="1" x14ac:dyDescent="0.2">
      <c r="B313" s="145"/>
      <c r="D313" s="145"/>
      <c r="AA313" s="141"/>
      <c r="AE313" s="140"/>
      <c r="AI313" s="141"/>
      <c r="AM313" s="141"/>
      <c r="AY313" s="141"/>
      <c r="BC313" s="141"/>
      <c r="BG313" s="141"/>
      <c r="BK313" s="141"/>
      <c r="BO313" s="141"/>
      <c r="BW313" s="141"/>
    </row>
    <row r="314" spans="2:75" s="134" customFormat="1" x14ac:dyDescent="0.2">
      <c r="B314" s="145"/>
      <c r="D314" s="145"/>
      <c r="AA314" s="141"/>
      <c r="AE314" s="140"/>
      <c r="AI314" s="141"/>
      <c r="AM314" s="141"/>
      <c r="AY314" s="141"/>
      <c r="BC314" s="141"/>
      <c r="BG314" s="141"/>
      <c r="BK314" s="141"/>
      <c r="BO314" s="141"/>
      <c r="BW314" s="141"/>
    </row>
    <row r="315" spans="2:75" s="134" customFormat="1" x14ac:dyDescent="0.2">
      <c r="B315" s="145"/>
      <c r="D315" s="145"/>
      <c r="AA315" s="141"/>
      <c r="AE315" s="140"/>
      <c r="AI315" s="141"/>
      <c r="AM315" s="141"/>
      <c r="AY315" s="141"/>
      <c r="BC315" s="141"/>
      <c r="BG315" s="141"/>
      <c r="BK315" s="141"/>
      <c r="BO315" s="141"/>
      <c r="BW315" s="141"/>
    </row>
    <row r="316" spans="2:75" s="134" customFormat="1" x14ac:dyDescent="0.2">
      <c r="B316" s="145"/>
      <c r="D316" s="145"/>
      <c r="AA316" s="141"/>
      <c r="AE316" s="140"/>
      <c r="AI316" s="141"/>
      <c r="AM316" s="141"/>
      <c r="AY316" s="141"/>
      <c r="BC316" s="141"/>
      <c r="BG316" s="141"/>
      <c r="BK316" s="141"/>
      <c r="BO316" s="141"/>
      <c r="BW316" s="141"/>
    </row>
    <row r="317" spans="2:75" s="134" customFormat="1" x14ac:dyDescent="0.2">
      <c r="B317" s="145"/>
      <c r="D317" s="145"/>
      <c r="AA317" s="141"/>
      <c r="AE317" s="140"/>
      <c r="AI317" s="141"/>
      <c r="AM317" s="141"/>
      <c r="AY317" s="141"/>
      <c r="BC317" s="141"/>
      <c r="BG317" s="141"/>
      <c r="BK317" s="141"/>
      <c r="BO317" s="141"/>
      <c r="BW317" s="141"/>
    </row>
    <row r="318" spans="2:75" s="134" customFormat="1" x14ac:dyDescent="0.2">
      <c r="B318" s="145"/>
      <c r="D318" s="145"/>
      <c r="AA318" s="141"/>
      <c r="AE318" s="140"/>
      <c r="AI318" s="141"/>
      <c r="AM318" s="141"/>
      <c r="AY318" s="141"/>
      <c r="BC318" s="141"/>
      <c r="BG318" s="141"/>
      <c r="BK318" s="141"/>
      <c r="BO318" s="141"/>
      <c r="BW318" s="141"/>
    </row>
    <row r="319" spans="2:75" s="134" customFormat="1" x14ac:dyDescent="0.2">
      <c r="B319" s="145"/>
      <c r="D319" s="145"/>
      <c r="AA319" s="141"/>
      <c r="AE319" s="140"/>
      <c r="AI319" s="141"/>
      <c r="AM319" s="141"/>
      <c r="AY319" s="141"/>
      <c r="BC319" s="141"/>
      <c r="BG319" s="141"/>
      <c r="BK319" s="141"/>
      <c r="BO319" s="141"/>
      <c r="BW319" s="141"/>
    </row>
    <row r="320" spans="2:75" s="134" customFormat="1" x14ac:dyDescent="0.2">
      <c r="B320" s="145"/>
      <c r="D320" s="145"/>
      <c r="AA320" s="141"/>
      <c r="AE320" s="140"/>
      <c r="AI320" s="141"/>
      <c r="AM320" s="141"/>
      <c r="AY320" s="141"/>
      <c r="BC320" s="141"/>
      <c r="BG320" s="141"/>
      <c r="BK320" s="141"/>
      <c r="BO320" s="141"/>
      <c r="BW320" s="141"/>
    </row>
    <row r="321" spans="2:75" s="134" customFormat="1" x14ac:dyDescent="0.2">
      <c r="B321" s="145"/>
      <c r="D321" s="145"/>
      <c r="AA321" s="141"/>
      <c r="AE321" s="140"/>
      <c r="AI321" s="141"/>
      <c r="AM321" s="141"/>
      <c r="AY321" s="141"/>
      <c r="BC321" s="141"/>
      <c r="BG321" s="141"/>
      <c r="BK321" s="141"/>
      <c r="BO321" s="141"/>
      <c r="BW321" s="141"/>
    </row>
    <row r="322" spans="2:75" s="134" customFormat="1" x14ac:dyDescent="0.2">
      <c r="B322" s="145"/>
      <c r="D322" s="145"/>
      <c r="AA322" s="141"/>
      <c r="AE322" s="140"/>
      <c r="AI322" s="141"/>
      <c r="AM322" s="141"/>
      <c r="AY322" s="141"/>
      <c r="BC322" s="141"/>
      <c r="BG322" s="141"/>
      <c r="BK322" s="141"/>
      <c r="BO322" s="141"/>
      <c r="BW322" s="141"/>
    </row>
    <row r="323" spans="2:75" s="134" customFormat="1" x14ac:dyDescent="0.2">
      <c r="B323" s="145"/>
      <c r="D323" s="145"/>
      <c r="AA323" s="141"/>
      <c r="AE323" s="140"/>
      <c r="AI323" s="141"/>
      <c r="AM323" s="141"/>
      <c r="AY323" s="141"/>
      <c r="BC323" s="141"/>
      <c r="BG323" s="141"/>
      <c r="BK323" s="141"/>
      <c r="BO323" s="141"/>
      <c r="BW323" s="141"/>
    </row>
    <row r="324" spans="2:75" s="134" customFormat="1" x14ac:dyDescent="0.2">
      <c r="B324" s="145"/>
      <c r="D324" s="145"/>
      <c r="AA324" s="141"/>
      <c r="AE324" s="140"/>
      <c r="AI324" s="141"/>
      <c r="AM324" s="141"/>
      <c r="AY324" s="141"/>
      <c r="BC324" s="141"/>
      <c r="BG324" s="141"/>
      <c r="BK324" s="141"/>
      <c r="BO324" s="141"/>
      <c r="BW324" s="141"/>
    </row>
    <row r="325" spans="2:75" s="134" customFormat="1" x14ac:dyDescent="0.2">
      <c r="B325" s="145"/>
      <c r="D325" s="145"/>
      <c r="AA325" s="141"/>
      <c r="AE325" s="140"/>
      <c r="AI325" s="141"/>
      <c r="AM325" s="141"/>
      <c r="AY325" s="141"/>
      <c r="BC325" s="141"/>
      <c r="BG325" s="141"/>
      <c r="BK325" s="141"/>
      <c r="BO325" s="141"/>
      <c r="BW325" s="141"/>
    </row>
    <row r="326" spans="2:75" s="134" customFormat="1" x14ac:dyDescent="0.2">
      <c r="B326" s="145"/>
      <c r="D326" s="145"/>
      <c r="AA326" s="141"/>
      <c r="AE326" s="140"/>
      <c r="AI326" s="141"/>
      <c r="AM326" s="141"/>
      <c r="AY326" s="141"/>
      <c r="BC326" s="141"/>
      <c r="BG326" s="141"/>
      <c r="BK326" s="141"/>
      <c r="BO326" s="141"/>
      <c r="BW326" s="141"/>
    </row>
    <row r="327" spans="2:75" s="134" customFormat="1" x14ac:dyDescent="0.2">
      <c r="B327" s="145"/>
      <c r="D327" s="145"/>
      <c r="AA327" s="141"/>
      <c r="AE327" s="140"/>
      <c r="AI327" s="141"/>
      <c r="AM327" s="141"/>
      <c r="AY327" s="141"/>
      <c r="BC327" s="141"/>
      <c r="BG327" s="141"/>
      <c r="BK327" s="141"/>
      <c r="BO327" s="141"/>
      <c r="BW327" s="141"/>
    </row>
    <row r="328" spans="2:75" s="134" customFormat="1" x14ac:dyDescent="0.2">
      <c r="B328" s="145"/>
      <c r="D328" s="145"/>
      <c r="AA328" s="141"/>
      <c r="AE328" s="140"/>
      <c r="AI328" s="141"/>
      <c r="AM328" s="141"/>
      <c r="AY328" s="141"/>
      <c r="BC328" s="141"/>
      <c r="BG328" s="141"/>
      <c r="BK328" s="141"/>
      <c r="BO328" s="141"/>
      <c r="BW328" s="141"/>
    </row>
    <row r="329" spans="2:75" s="134" customFormat="1" x14ac:dyDescent="0.2">
      <c r="B329" s="145"/>
      <c r="D329" s="145"/>
      <c r="AA329" s="141"/>
      <c r="AE329" s="140"/>
      <c r="AI329" s="141"/>
      <c r="AM329" s="141"/>
      <c r="AY329" s="141"/>
      <c r="BC329" s="141"/>
      <c r="BG329" s="141"/>
      <c r="BK329" s="141"/>
      <c r="BO329" s="141"/>
      <c r="BW329" s="141"/>
    </row>
    <row r="330" spans="2:75" s="134" customFormat="1" x14ac:dyDescent="0.2">
      <c r="B330" s="145"/>
      <c r="D330" s="145"/>
      <c r="AA330" s="141"/>
      <c r="AE330" s="140"/>
      <c r="AI330" s="141"/>
      <c r="AM330" s="141"/>
      <c r="AY330" s="141"/>
      <c r="BC330" s="141"/>
      <c r="BG330" s="141"/>
      <c r="BK330" s="141"/>
      <c r="BO330" s="141"/>
      <c r="BW330" s="141"/>
    </row>
    <row r="331" spans="2:75" s="134" customFormat="1" x14ac:dyDescent="0.2">
      <c r="B331" s="145"/>
      <c r="D331" s="145"/>
      <c r="AA331" s="141"/>
      <c r="AE331" s="140"/>
      <c r="AI331" s="141"/>
      <c r="AM331" s="141"/>
      <c r="AY331" s="141"/>
      <c r="BC331" s="141"/>
      <c r="BG331" s="141"/>
      <c r="BK331" s="141"/>
      <c r="BO331" s="141"/>
      <c r="BW331" s="141"/>
    </row>
    <row r="332" spans="2:75" s="134" customFormat="1" x14ac:dyDescent="0.2">
      <c r="B332" s="145"/>
      <c r="D332" s="145"/>
      <c r="AA332" s="141"/>
      <c r="AE332" s="140"/>
      <c r="AI332" s="141"/>
      <c r="AM332" s="141"/>
      <c r="AY332" s="141"/>
      <c r="BC332" s="141"/>
      <c r="BG332" s="141"/>
      <c r="BK332" s="141"/>
      <c r="BO332" s="141"/>
      <c r="BW332" s="141"/>
    </row>
    <row r="333" spans="2:75" s="134" customFormat="1" x14ac:dyDescent="0.2">
      <c r="B333" s="145"/>
      <c r="D333" s="145"/>
      <c r="AA333" s="141"/>
      <c r="AE333" s="140"/>
      <c r="AI333" s="141"/>
      <c r="AM333" s="141"/>
      <c r="AY333" s="141"/>
      <c r="BC333" s="141"/>
      <c r="BG333" s="141"/>
      <c r="BK333" s="141"/>
      <c r="BO333" s="141"/>
      <c r="BW333" s="141"/>
    </row>
    <row r="334" spans="2:75" s="134" customFormat="1" x14ac:dyDescent="0.2">
      <c r="B334" s="145"/>
      <c r="D334" s="145"/>
      <c r="AA334" s="141"/>
      <c r="AE334" s="140"/>
      <c r="AI334" s="141"/>
      <c r="AM334" s="141"/>
      <c r="AY334" s="141"/>
      <c r="BC334" s="141"/>
      <c r="BG334" s="141"/>
      <c r="BK334" s="141"/>
      <c r="BO334" s="141"/>
      <c r="BW334" s="141"/>
    </row>
    <row r="335" spans="2:75" s="134" customFormat="1" x14ac:dyDescent="0.2">
      <c r="B335" s="145"/>
      <c r="D335" s="145"/>
      <c r="AA335" s="141"/>
      <c r="AE335" s="140"/>
      <c r="AI335" s="141"/>
      <c r="AM335" s="141"/>
      <c r="AY335" s="141"/>
      <c r="BC335" s="141"/>
      <c r="BG335" s="141"/>
      <c r="BK335" s="141"/>
      <c r="BO335" s="141"/>
      <c r="BW335" s="141"/>
    </row>
    <row r="336" spans="2:75" s="134" customFormat="1" x14ac:dyDescent="0.2">
      <c r="B336" s="145"/>
      <c r="D336" s="145"/>
      <c r="AA336" s="141"/>
      <c r="AE336" s="140"/>
      <c r="AI336" s="141"/>
      <c r="AM336" s="141"/>
      <c r="AY336" s="141"/>
      <c r="BC336" s="141"/>
      <c r="BG336" s="141"/>
      <c r="BK336" s="141"/>
      <c r="BO336" s="141"/>
      <c r="BW336" s="141"/>
    </row>
    <row r="337" spans="2:75" s="134" customFormat="1" x14ac:dyDescent="0.2">
      <c r="B337" s="145"/>
      <c r="D337" s="145"/>
      <c r="AA337" s="141"/>
      <c r="AE337" s="140"/>
      <c r="AI337" s="141"/>
      <c r="AM337" s="141"/>
      <c r="AY337" s="141"/>
      <c r="BC337" s="141"/>
      <c r="BG337" s="141"/>
      <c r="BK337" s="141"/>
      <c r="BO337" s="141"/>
      <c r="BW337" s="141"/>
    </row>
    <row r="338" spans="2:75" s="134" customFormat="1" x14ac:dyDescent="0.2">
      <c r="B338" s="145"/>
      <c r="D338" s="145"/>
      <c r="AA338" s="141"/>
      <c r="AE338" s="140"/>
      <c r="AI338" s="141"/>
      <c r="AM338" s="141"/>
      <c r="AY338" s="141"/>
      <c r="BC338" s="141"/>
      <c r="BG338" s="141"/>
      <c r="BK338" s="141"/>
      <c r="BO338" s="141"/>
      <c r="BW338" s="141"/>
    </row>
    <row r="339" spans="2:75" s="134" customFormat="1" x14ac:dyDescent="0.2">
      <c r="B339" s="145"/>
      <c r="D339" s="145"/>
      <c r="AA339" s="141"/>
      <c r="AE339" s="140"/>
      <c r="AI339" s="141"/>
      <c r="AM339" s="141"/>
      <c r="AY339" s="141"/>
      <c r="BC339" s="141"/>
      <c r="BG339" s="141"/>
      <c r="BK339" s="141"/>
      <c r="BO339" s="141"/>
      <c r="BW339" s="141"/>
    </row>
    <row r="340" spans="2:75" s="134" customFormat="1" x14ac:dyDescent="0.2">
      <c r="B340" s="145"/>
      <c r="D340" s="145"/>
      <c r="AA340" s="141"/>
      <c r="AE340" s="140"/>
      <c r="AI340" s="141"/>
      <c r="AM340" s="141"/>
      <c r="AY340" s="141"/>
      <c r="BC340" s="141"/>
      <c r="BG340" s="141"/>
      <c r="BK340" s="141"/>
      <c r="BO340" s="141"/>
      <c r="BW340" s="141"/>
    </row>
    <row r="341" spans="2:75" s="134" customFormat="1" x14ac:dyDescent="0.2">
      <c r="B341" s="145"/>
      <c r="D341" s="145"/>
      <c r="AA341" s="141"/>
      <c r="AE341" s="140"/>
      <c r="AI341" s="141"/>
      <c r="AM341" s="141"/>
      <c r="AY341" s="141"/>
      <c r="BC341" s="141"/>
      <c r="BG341" s="141"/>
      <c r="BK341" s="141"/>
      <c r="BO341" s="141"/>
      <c r="BW341" s="141"/>
    </row>
    <row r="342" spans="2:75" s="134" customFormat="1" x14ac:dyDescent="0.2">
      <c r="B342" s="145"/>
      <c r="D342" s="145"/>
      <c r="AA342" s="141"/>
      <c r="AE342" s="140"/>
      <c r="AI342" s="141"/>
      <c r="AM342" s="141"/>
      <c r="AY342" s="141"/>
      <c r="BC342" s="141"/>
      <c r="BG342" s="141"/>
      <c r="BK342" s="141"/>
      <c r="BO342" s="141"/>
      <c r="BW342" s="141"/>
    </row>
    <row r="343" spans="2:75" s="134" customFormat="1" x14ac:dyDescent="0.2">
      <c r="B343" s="145"/>
      <c r="D343" s="145"/>
      <c r="AA343" s="141"/>
      <c r="AE343" s="140"/>
      <c r="AI343" s="141"/>
      <c r="AM343" s="141"/>
      <c r="AY343" s="141"/>
      <c r="BC343" s="141"/>
      <c r="BG343" s="141"/>
      <c r="BK343" s="141"/>
      <c r="BO343" s="141"/>
      <c r="BW343" s="141"/>
    </row>
    <row r="344" spans="2:75" s="134" customFormat="1" x14ac:dyDescent="0.2">
      <c r="B344" s="145"/>
      <c r="D344" s="145"/>
      <c r="AA344" s="141"/>
      <c r="AE344" s="140"/>
      <c r="AI344" s="141"/>
      <c r="AM344" s="141"/>
      <c r="AY344" s="141"/>
      <c r="BC344" s="141"/>
      <c r="BG344" s="141"/>
      <c r="BK344" s="141"/>
      <c r="BO344" s="141"/>
      <c r="BW344" s="141"/>
    </row>
    <row r="345" spans="2:75" s="134" customFormat="1" x14ac:dyDescent="0.2">
      <c r="B345" s="145"/>
      <c r="D345" s="145"/>
      <c r="AA345" s="141"/>
      <c r="AE345" s="140"/>
      <c r="AI345" s="141"/>
      <c r="AM345" s="141"/>
      <c r="AY345" s="141"/>
      <c r="BC345" s="141"/>
      <c r="BG345" s="141"/>
      <c r="BK345" s="141"/>
      <c r="BO345" s="141"/>
      <c r="BW345" s="141"/>
    </row>
    <row r="346" spans="2:75" s="134" customFormat="1" x14ac:dyDescent="0.2">
      <c r="B346" s="145"/>
      <c r="D346" s="145"/>
      <c r="AA346" s="141"/>
      <c r="AE346" s="140"/>
      <c r="AI346" s="141"/>
      <c r="AM346" s="141"/>
      <c r="AY346" s="141"/>
      <c r="BC346" s="141"/>
      <c r="BG346" s="141"/>
      <c r="BK346" s="141"/>
      <c r="BO346" s="141"/>
      <c r="BW346" s="141"/>
    </row>
    <row r="347" spans="2:75" s="134" customFormat="1" x14ac:dyDescent="0.2">
      <c r="B347" s="145"/>
      <c r="D347" s="145"/>
      <c r="AA347" s="141"/>
      <c r="AE347" s="140"/>
      <c r="AI347" s="141"/>
      <c r="AM347" s="141"/>
      <c r="AY347" s="141"/>
      <c r="BC347" s="141"/>
      <c r="BG347" s="141"/>
      <c r="BK347" s="141"/>
      <c r="BO347" s="141"/>
      <c r="BW347" s="141"/>
    </row>
    <row r="348" spans="2:75" s="134" customFormat="1" x14ac:dyDescent="0.2">
      <c r="B348" s="145"/>
      <c r="D348" s="145"/>
      <c r="AA348" s="141"/>
      <c r="AE348" s="140"/>
      <c r="AI348" s="141"/>
      <c r="AM348" s="141"/>
      <c r="AY348" s="141"/>
      <c r="BC348" s="141"/>
      <c r="BG348" s="141"/>
      <c r="BK348" s="141"/>
      <c r="BO348" s="141"/>
      <c r="BW348" s="141"/>
    </row>
    <row r="349" spans="2:75" s="134" customFormat="1" x14ac:dyDescent="0.2">
      <c r="B349" s="145"/>
      <c r="D349" s="145"/>
      <c r="AA349" s="141"/>
      <c r="AE349" s="140"/>
      <c r="AI349" s="141"/>
      <c r="AM349" s="141"/>
      <c r="AY349" s="141"/>
      <c r="BC349" s="141"/>
      <c r="BG349" s="141"/>
      <c r="BK349" s="141"/>
      <c r="BO349" s="141"/>
      <c r="BW349" s="141"/>
    </row>
    <row r="350" spans="2:75" s="134" customFormat="1" x14ac:dyDescent="0.2">
      <c r="B350" s="145"/>
      <c r="D350" s="145"/>
      <c r="AA350" s="141"/>
      <c r="AE350" s="140"/>
      <c r="AI350" s="141"/>
      <c r="AM350" s="141"/>
      <c r="AY350" s="141"/>
      <c r="BC350" s="141"/>
      <c r="BG350" s="141"/>
      <c r="BK350" s="141"/>
      <c r="BO350" s="141"/>
      <c r="BW350" s="141"/>
    </row>
    <row r="351" spans="2:75" s="134" customFormat="1" x14ac:dyDescent="0.2">
      <c r="B351" s="145"/>
      <c r="D351" s="145"/>
      <c r="AA351" s="141"/>
      <c r="AE351" s="140"/>
      <c r="AI351" s="141"/>
      <c r="AM351" s="141"/>
      <c r="AY351" s="141"/>
      <c r="BC351" s="141"/>
      <c r="BG351" s="141"/>
      <c r="BK351" s="141"/>
      <c r="BO351" s="141"/>
      <c r="BW351" s="141"/>
    </row>
    <row r="352" spans="2:75" s="134" customFormat="1" x14ac:dyDescent="0.2">
      <c r="B352" s="145"/>
      <c r="D352" s="145"/>
      <c r="AA352" s="141"/>
      <c r="AE352" s="140"/>
      <c r="AI352" s="141"/>
      <c r="AM352" s="141"/>
      <c r="AY352" s="141"/>
      <c r="BC352" s="141"/>
      <c r="BG352" s="141"/>
      <c r="BK352" s="141"/>
      <c r="BO352" s="141"/>
      <c r="BW352" s="141"/>
    </row>
    <row r="353" spans="2:75" s="134" customFormat="1" x14ac:dyDescent="0.2">
      <c r="B353" s="145"/>
      <c r="D353" s="145"/>
      <c r="AA353" s="141"/>
      <c r="AE353" s="140"/>
      <c r="AI353" s="141"/>
      <c r="AM353" s="141"/>
      <c r="AY353" s="141"/>
      <c r="BC353" s="141"/>
      <c r="BG353" s="141"/>
      <c r="BK353" s="141"/>
      <c r="BO353" s="141"/>
      <c r="BW353" s="141"/>
    </row>
    <row r="354" spans="2:75" s="134" customFormat="1" x14ac:dyDescent="0.2">
      <c r="B354" s="145"/>
      <c r="D354" s="145"/>
      <c r="AA354" s="141"/>
      <c r="AE354" s="140"/>
      <c r="AI354" s="141"/>
      <c r="AM354" s="141"/>
      <c r="AY354" s="141"/>
      <c r="BC354" s="141"/>
      <c r="BG354" s="141"/>
      <c r="BK354" s="141"/>
      <c r="BO354" s="141"/>
      <c r="BW354" s="141"/>
    </row>
    <row r="355" spans="2:75" s="134" customFormat="1" x14ac:dyDescent="0.2">
      <c r="B355" s="145"/>
      <c r="D355" s="145"/>
      <c r="AA355" s="141"/>
      <c r="AE355" s="140"/>
      <c r="AI355" s="141"/>
      <c r="AM355" s="141"/>
      <c r="AY355" s="141"/>
      <c r="BC355" s="141"/>
      <c r="BG355" s="141"/>
      <c r="BK355" s="141"/>
      <c r="BO355" s="141"/>
      <c r="BW355" s="141"/>
    </row>
    <row r="356" spans="2:75" s="134" customFormat="1" x14ac:dyDescent="0.2">
      <c r="B356" s="145"/>
      <c r="D356" s="145"/>
      <c r="AA356" s="141"/>
      <c r="AE356" s="140"/>
      <c r="AI356" s="141"/>
      <c r="AM356" s="141"/>
      <c r="AY356" s="141"/>
      <c r="BC356" s="141"/>
      <c r="BG356" s="141"/>
      <c r="BK356" s="141"/>
      <c r="BO356" s="141"/>
      <c r="BW356" s="141"/>
    </row>
    <row r="357" spans="2:75" s="134" customFormat="1" x14ac:dyDescent="0.2">
      <c r="B357" s="145"/>
      <c r="D357" s="145"/>
      <c r="AA357" s="141"/>
      <c r="AE357" s="140"/>
      <c r="AI357" s="141"/>
      <c r="AM357" s="141"/>
      <c r="AY357" s="141"/>
      <c r="BC357" s="141"/>
      <c r="BG357" s="141"/>
      <c r="BK357" s="141"/>
      <c r="BO357" s="141"/>
      <c r="BW357" s="141"/>
    </row>
    <row r="358" spans="2:75" s="134" customFormat="1" x14ac:dyDescent="0.2">
      <c r="B358" s="145"/>
      <c r="D358" s="145"/>
      <c r="AA358" s="141"/>
      <c r="AE358" s="140"/>
      <c r="AI358" s="141"/>
      <c r="AM358" s="141"/>
      <c r="AY358" s="141"/>
      <c r="BC358" s="141"/>
      <c r="BG358" s="141"/>
      <c r="BK358" s="141"/>
      <c r="BO358" s="141"/>
      <c r="BW358" s="141"/>
    </row>
    <row r="359" spans="2:75" s="134" customFormat="1" x14ac:dyDescent="0.2">
      <c r="B359" s="145"/>
      <c r="D359" s="145"/>
      <c r="AA359" s="141"/>
      <c r="AE359" s="140"/>
      <c r="AI359" s="141"/>
      <c r="AM359" s="141"/>
      <c r="AY359" s="141"/>
      <c r="BC359" s="141"/>
      <c r="BG359" s="141"/>
      <c r="BK359" s="141"/>
      <c r="BO359" s="141"/>
      <c r="BW359" s="141"/>
    </row>
    <row r="360" spans="2:75" s="134" customFormat="1" x14ac:dyDescent="0.2">
      <c r="B360" s="145"/>
      <c r="D360" s="145"/>
      <c r="AA360" s="141"/>
      <c r="AE360" s="140"/>
      <c r="AI360" s="141"/>
      <c r="AM360" s="141"/>
      <c r="AY360" s="141"/>
      <c r="BC360" s="141"/>
      <c r="BG360" s="141"/>
      <c r="BK360" s="141"/>
      <c r="BO360" s="141"/>
      <c r="BW360" s="141"/>
    </row>
    <row r="361" spans="2:75" s="134" customFormat="1" x14ac:dyDescent="0.2">
      <c r="B361" s="145"/>
      <c r="D361" s="145"/>
      <c r="AA361" s="141"/>
      <c r="AE361" s="140"/>
      <c r="AI361" s="141"/>
      <c r="AM361" s="141"/>
      <c r="AY361" s="141"/>
      <c r="BC361" s="141"/>
      <c r="BG361" s="141"/>
      <c r="BK361" s="141"/>
      <c r="BO361" s="141"/>
      <c r="BW361" s="141"/>
    </row>
    <row r="362" spans="2:75" s="134" customFormat="1" x14ac:dyDescent="0.2">
      <c r="B362" s="145"/>
      <c r="D362" s="145"/>
      <c r="AA362" s="141"/>
      <c r="AE362" s="140"/>
      <c r="AI362" s="141"/>
      <c r="AM362" s="141"/>
      <c r="AY362" s="141"/>
      <c r="BC362" s="141"/>
      <c r="BG362" s="141"/>
      <c r="BK362" s="141"/>
      <c r="BO362" s="141"/>
      <c r="BW362" s="141"/>
    </row>
    <row r="363" spans="2:75" s="134" customFormat="1" x14ac:dyDescent="0.2">
      <c r="B363" s="145"/>
      <c r="D363" s="145"/>
      <c r="AA363" s="141"/>
      <c r="AE363" s="140"/>
      <c r="AI363" s="141"/>
      <c r="AM363" s="141"/>
      <c r="AY363" s="141"/>
      <c r="BC363" s="141"/>
      <c r="BG363" s="141"/>
      <c r="BK363" s="141"/>
      <c r="BO363" s="141"/>
      <c r="BW363" s="141"/>
    </row>
    <row r="364" spans="2:75" s="134" customFormat="1" x14ac:dyDescent="0.2">
      <c r="B364" s="145"/>
      <c r="D364" s="145"/>
      <c r="AA364" s="141"/>
      <c r="AE364" s="140"/>
      <c r="AI364" s="141"/>
      <c r="AM364" s="141"/>
      <c r="AY364" s="141"/>
      <c r="BC364" s="141"/>
      <c r="BG364" s="141"/>
      <c r="BK364" s="141"/>
      <c r="BO364" s="141"/>
      <c r="BW364" s="141"/>
    </row>
    <row r="365" spans="2:75" s="134" customFormat="1" x14ac:dyDescent="0.2">
      <c r="B365" s="145"/>
      <c r="D365" s="145"/>
      <c r="AA365" s="141"/>
      <c r="AE365" s="140"/>
      <c r="AI365" s="141"/>
      <c r="AM365" s="141"/>
      <c r="AY365" s="141"/>
      <c r="BC365" s="141"/>
      <c r="BG365" s="141"/>
      <c r="BK365" s="141"/>
      <c r="BO365" s="141"/>
      <c r="BW365" s="141"/>
    </row>
    <row r="366" spans="2:75" s="134" customFormat="1" x14ac:dyDescent="0.2">
      <c r="B366" s="145"/>
      <c r="D366" s="145"/>
      <c r="AA366" s="141"/>
      <c r="AE366" s="140"/>
      <c r="AI366" s="141"/>
      <c r="AM366" s="141"/>
      <c r="AY366" s="141"/>
      <c r="BC366" s="141"/>
      <c r="BG366" s="141"/>
      <c r="BK366" s="141"/>
      <c r="BO366" s="141"/>
      <c r="BW366" s="141"/>
    </row>
    <row r="367" spans="2:75" s="134" customFormat="1" x14ac:dyDescent="0.2">
      <c r="B367" s="145"/>
      <c r="D367" s="145"/>
      <c r="AA367" s="141"/>
      <c r="AE367" s="140"/>
      <c r="AI367" s="141"/>
      <c r="AM367" s="141"/>
      <c r="AY367" s="141"/>
      <c r="BC367" s="141"/>
      <c r="BG367" s="141"/>
      <c r="BK367" s="141"/>
      <c r="BO367" s="141"/>
      <c r="BW367" s="141"/>
    </row>
    <row r="368" spans="2:75" s="134" customFormat="1" x14ac:dyDescent="0.2">
      <c r="B368" s="145"/>
      <c r="D368" s="145"/>
      <c r="AA368" s="141"/>
      <c r="AE368" s="140"/>
      <c r="AI368" s="141"/>
      <c r="AM368" s="141"/>
      <c r="AY368" s="141"/>
      <c r="BC368" s="141"/>
      <c r="BG368" s="141"/>
      <c r="BK368" s="141"/>
      <c r="BO368" s="141"/>
      <c r="BW368" s="141"/>
    </row>
    <row r="369" spans="2:75" s="134" customFormat="1" x14ac:dyDescent="0.2">
      <c r="B369" s="145"/>
      <c r="D369" s="145"/>
      <c r="AA369" s="141"/>
      <c r="AE369" s="140"/>
      <c r="AI369" s="141"/>
      <c r="AM369" s="141"/>
      <c r="AY369" s="141"/>
      <c r="BC369" s="141"/>
      <c r="BG369" s="141"/>
      <c r="BK369" s="141"/>
      <c r="BO369" s="141"/>
      <c r="BW369" s="141"/>
    </row>
    <row r="370" spans="2:75" s="134" customFormat="1" x14ac:dyDescent="0.2">
      <c r="B370" s="145"/>
      <c r="D370" s="145"/>
      <c r="AA370" s="141"/>
      <c r="AE370" s="140"/>
      <c r="AI370" s="141"/>
      <c r="AM370" s="141"/>
      <c r="AY370" s="141"/>
      <c r="BC370" s="141"/>
      <c r="BG370" s="141"/>
      <c r="BK370" s="141"/>
      <c r="BO370" s="141"/>
      <c r="BW370" s="141"/>
    </row>
    <row r="371" spans="2:75" s="134" customFormat="1" x14ac:dyDescent="0.2">
      <c r="B371" s="145"/>
      <c r="D371" s="145"/>
      <c r="AA371" s="141"/>
      <c r="AE371" s="140"/>
      <c r="AI371" s="141"/>
      <c r="AM371" s="141"/>
      <c r="AY371" s="141"/>
      <c r="BC371" s="141"/>
      <c r="BG371" s="141"/>
      <c r="BK371" s="141"/>
      <c r="BO371" s="141"/>
      <c r="BW371" s="141"/>
    </row>
    <row r="372" spans="2:75" s="134" customFormat="1" x14ac:dyDescent="0.2">
      <c r="B372" s="145"/>
      <c r="D372" s="145"/>
      <c r="AA372" s="141"/>
      <c r="AE372" s="140"/>
      <c r="AI372" s="141"/>
      <c r="AM372" s="141"/>
      <c r="AY372" s="141"/>
      <c r="BC372" s="141"/>
      <c r="BG372" s="141"/>
      <c r="BK372" s="141"/>
      <c r="BO372" s="141"/>
      <c r="BW372" s="141"/>
    </row>
    <row r="373" spans="2:75" s="134" customFormat="1" x14ac:dyDescent="0.2">
      <c r="B373" s="145"/>
      <c r="D373" s="145"/>
      <c r="AA373" s="141"/>
      <c r="AE373" s="140"/>
      <c r="AI373" s="141"/>
      <c r="AM373" s="141"/>
      <c r="AY373" s="141"/>
      <c r="BC373" s="141"/>
      <c r="BG373" s="141"/>
      <c r="BK373" s="141"/>
      <c r="BO373" s="141"/>
      <c r="BW373" s="141"/>
    </row>
    <row r="374" spans="2:75" s="134" customFormat="1" x14ac:dyDescent="0.2">
      <c r="B374" s="145"/>
      <c r="D374" s="145"/>
      <c r="AA374" s="141"/>
      <c r="AE374" s="140"/>
      <c r="AI374" s="141"/>
      <c r="AM374" s="141"/>
      <c r="AY374" s="141"/>
      <c r="BC374" s="141"/>
      <c r="BG374" s="141"/>
      <c r="BK374" s="141"/>
      <c r="BO374" s="141"/>
      <c r="BW374" s="141"/>
    </row>
    <row r="375" spans="2:75" s="134" customFormat="1" x14ac:dyDescent="0.2">
      <c r="B375" s="145"/>
      <c r="D375" s="145"/>
      <c r="AA375" s="141"/>
      <c r="AE375" s="140"/>
      <c r="AI375" s="141"/>
      <c r="AM375" s="141"/>
      <c r="AY375" s="141"/>
      <c r="BC375" s="141"/>
      <c r="BG375" s="141"/>
      <c r="BK375" s="141"/>
      <c r="BO375" s="141"/>
      <c r="BW375" s="141"/>
    </row>
    <row r="376" spans="2:75" s="134" customFormat="1" x14ac:dyDescent="0.2">
      <c r="B376" s="145"/>
      <c r="D376" s="145"/>
      <c r="AA376" s="141"/>
      <c r="AE376" s="140"/>
      <c r="AI376" s="141"/>
      <c r="AM376" s="141"/>
      <c r="AY376" s="141"/>
      <c r="BC376" s="141"/>
      <c r="BG376" s="141"/>
      <c r="BK376" s="141"/>
      <c r="BO376" s="141"/>
      <c r="BW376" s="141"/>
    </row>
    <row r="377" spans="2:75" s="134" customFormat="1" x14ac:dyDescent="0.2">
      <c r="B377" s="145"/>
      <c r="D377" s="145"/>
      <c r="AA377" s="141"/>
      <c r="AE377" s="140"/>
      <c r="AI377" s="141"/>
      <c r="AM377" s="141"/>
      <c r="AY377" s="141"/>
      <c r="BC377" s="141"/>
      <c r="BG377" s="141"/>
      <c r="BK377" s="141"/>
      <c r="BO377" s="141"/>
      <c r="BW377" s="141"/>
    </row>
    <row r="378" spans="2:75" s="134" customFormat="1" x14ac:dyDescent="0.2">
      <c r="B378" s="145"/>
      <c r="D378" s="145"/>
      <c r="AA378" s="141"/>
      <c r="AE378" s="140"/>
      <c r="AI378" s="141"/>
      <c r="AM378" s="141"/>
      <c r="AY378" s="141"/>
      <c r="BC378" s="141"/>
      <c r="BG378" s="141"/>
      <c r="BK378" s="141"/>
      <c r="BO378" s="141"/>
      <c r="BW378" s="141"/>
    </row>
    <row r="379" spans="2:75" s="134" customFormat="1" x14ac:dyDescent="0.2">
      <c r="B379" s="145"/>
      <c r="D379" s="145"/>
      <c r="AA379" s="141"/>
      <c r="AE379" s="140"/>
      <c r="AI379" s="141"/>
      <c r="AM379" s="141"/>
      <c r="AY379" s="141"/>
      <c r="BC379" s="141"/>
      <c r="BG379" s="141"/>
      <c r="BK379" s="141"/>
      <c r="BO379" s="141"/>
      <c r="BW379" s="141"/>
    </row>
    <row r="380" spans="2:75" s="134" customFormat="1" x14ac:dyDescent="0.2">
      <c r="B380" s="145"/>
      <c r="D380" s="145"/>
      <c r="AA380" s="141"/>
      <c r="AE380" s="140"/>
      <c r="AI380" s="141"/>
      <c r="AM380" s="141"/>
      <c r="AY380" s="141"/>
      <c r="BC380" s="141"/>
      <c r="BG380" s="141"/>
      <c r="BK380" s="141"/>
      <c r="BO380" s="141"/>
      <c r="BW380" s="141"/>
    </row>
    <row r="381" spans="2:75" s="134" customFormat="1" x14ac:dyDescent="0.2">
      <c r="B381" s="145"/>
      <c r="D381" s="145"/>
      <c r="AA381" s="141"/>
      <c r="AE381" s="140"/>
      <c r="AI381" s="141"/>
      <c r="AM381" s="141"/>
      <c r="AY381" s="141"/>
      <c r="BC381" s="141"/>
      <c r="BG381" s="141"/>
      <c r="BK381" s="141"/>
      <c r="BO381" s="141"/>
      <c r="BW381" s="141"/>
    </row>
    <row r="382" spans="2:75" s="134" customFormat="1" x14ac:dyDescent="0.2">
      <c r="B382" s="145"/>
      <c r="D382" s="145"/>
      <c r="AA382" s="141"/>
      <c r="AE382" s="140"/>
      <c r="AI382" s="141"/>
      <c r="AM382" s="141"/>
      <c r="AY382" s="141"/>
      <c r="BC382" s="141"/>
      <c r="BG382" s="141"/>
      <c r="BK382" s="141"/>
      <c r="BO382" s="141"/>
      <c r="BW382" s="141"/>
    </row>
    <row r="383" spans="2:75" s="134" customFormat="1" x14ac:dyDescent="0.2">
      <c r="B383" s="145"/>
      <c r="D383" s="145"/>
      <c r="AA383" s="141"/>
      <c r="AE383" s="140"/>
      <c r="AI383" s="141"/>
      <c r="AM383" s="141"/>
      <c r="AY383" s="141"/>
      <c r="BC383" s="141"/>
      <c r="BG383" s="141"/>
      <c r="BK383" s="141"/>
      <c r="BO383" s="141"/>
      <c r="BW383" s="141"/>
    </row>
    <row r="384" spans="2:75" s="134" customFormat="1" x14ac:dyDescent="0.2">
      <c r="B384" s="145"/>
      <c r="D384" s="145"/>
      <c r="AA384" s="141"/>
      <c r="AE384" s="140"/>
      <c r="AI384" s="141"/>
      <c r="AM384" s="141"/>
      <c r="AY384" s="141"/>
      <c r="BC384" s="141"/>
      <c r="BG384" s="141"/>
      <c r="BK384" s="141"/>
      <c r="BO384" s="141"/>
      <c r="BW384" s="141"/>
    </row>
    <row r="385" spans="2:75" s="134" customFormat="1" x14ac:dyDescent="0.2">
      <c r="B385" s="145"/>
      <c r="D385" s="145"/>
      <c r="AA385" s="141"/>
      <c r="AE385" s="140"/>
      <c r="AI385" s="141"/>
      <c r="AM385" s="141"/>
      <c r="AY385" s="141"/>
      <c r="BC385" s="141"/>
      <c r="BG385" s="141"/>
      <c r="BK385" s="141"/>
      <c r="BO385" s="141"/>
      <c r="BW385" s="141"/>
    </row>
    <row r="386" spans="2:75" s="134" customFormat="1" x14ac:dyDescent="0.2">
      <c r="B386" s="145"/>
      <c r="D386" s="145"/>
      <c r="AA386" s="141"/>
      <c r="AE386" s="140"/>
      <c r="AI386" s="141"/>
      <c r="AM386" s="141"/>
      <c r="AY386" s="141"/>
      <c r="BC386" s="141"/>
      <c r="BG386" s="141"/>
      <c r="BK386" s="141"/>
      <c r="BO386" s="141"/>
      <c r="BW386" s="141"/>
    </row>
    <row r="387" spans="2:75" s="134" customFormat="1" x14ac:dyDescent="0.2">
      <c r="B387" s="145"/>
      <c r="D387" s="145"/>
      <c r="AA387" s="141"/>
      <c r="AE387" s="140"/>
      <c r="AI387" s="141"/>
      <c r="AM387" s="141"/>
      <c r="AY387" s="141"/>
      <c r="BC387" s="141"/>
      <c r="BG387" s="141"/>
      <c r="BK387" s="141"/>
      <c r="BO387" s="141"/>
      <c r="BW387" s="141"/>
    </row>
    <row r="388" spans="2:75" s="134" customFormat="1" x14ac:dyDescent="0.2">
      <c r="B388" s="145"/>
      <c r="D388" s="145"/>
      <c r="AA388" s="141"/>
      <c r="AE388" s="140"/>
      <c r="AI388" s="141"/>
      <c r="AM388" s="141"/>
      <c r="AY388" s="141"/>
      <c r="BC388" s="141"/>
      <c r="BG388" s="141"/>
      <c r="BK388" s="141"/>
      <c r="BO388" s="141"/>
      <c r="BW388" s="141"/>
    </row>
    <row r="389" spans="2:75" s="134" customFormat="1" x14ac:dyDescent="0.2">
      <c r="B389" s="145"/>
      <c r="D389" s="145"/>
      <c r="AA389" s="141"/>
      <c r="AE389" s="140"/>
      <c r="AI389" s="141"/>
      <c r="AM389" s="141"/>
      <c r="AY389" s="141"/>
      <c r="BC389" s="141"/>
      <c r="BG389" s="141"/>
      <c r="BK389" s="141"/>
      <c r="BO389" s="141"/>
      <c r="BW389" s="141"/>
    </row>
    <row r="390" spans="2:75" s="134" customFormat="1" x14ac:dyDescent="0.2">
      <c r="B390" s="145"/>
      <c r="D390" s="145"/>
      <c r="AA390" s="141"/>
      <c r="AE390" s="140"/>
      <c r="AI390" s="141"/>
      <c r="AM390" s="141"/>
      <c r="AY390" s="141"/>
      <c r="BC390" s="141"/>
      <c r="BG390" s="141"/>
      <c r="BK390" s="141"/>
      <c r="BO390" s="141"/>
      <c r="BW390" s="141"/>
    </row>
    <row r="391" spans="2:75" s="134" customFormat="1" x14ac:dyDescent="0.2">
      <c r="B391" s="145"/>
      <c r="D391" s="145"/>
      <c r="AA391" s="141"/>
      <c r="AE391" s="140"/>
      <c r="AI391" s="141"/>
      <c r="AM391" s="141"/>
      <c r="AY391" s="141"/>
      <c r="BC391" s="141"/>
      <c r="BG391" s="141"/>
      <c r="BK391" s="141"/>
      <c r="BO391" s="141"/>
      <c r="BW391" s="141"/>
    </row>
    <row r="392" spans="2:75" s="134" customFormat="1" x14ac:dyDescent="0.2">
      <c r="B392" s="145"/>
      <c r="D392" s="145"/>
      <c r="AA392" s="141"/>
      <c r="AE392" s="140"/>
      <c r="AI392" s="141"/>
      <c r="AM392" s="141"/>
      <c r="AY392" s="141"/>
      <c r="BC392" s="141"/>
      <c r="BG392" s="141"/>
      <c r="BK392" s="141"/>
      <c r="BO392" s="141"/>
      <c r="BW392" s="141"/>
    </row>
    <row r="393" spans="2:75" s="134" customFormat="1" x14ac:dyDescent="0.2">
      <c r="B393" s="145"/>
      <c r="D393" s="145"/>
      <c r="AA393" s="141"/>
      <c r="AE393" s="140"/>
      <c r="AI393" s="141"/>
      <c r="AM393" s="141"/>
      <c r="AY393" s="141"/>
      <c r="BC393" s="141"/>
      <c r="BG393" s="141"/>
      <c r="BK393" s="141"/>
      <c r="BO393" s="141"/>
      <c r="BW393" s="141"/>
    </row>
    <row r="394" spans="2:75" s="134" customFormat="1" x14ac:dyDescent="0.2">
      <c r="B394" s="145"/>
      <c r="D394" s="145"/>
      <c r="AA394" s="141"/>
      <c r="AE394" s="140"/>
      <c r="AI394" s="141"/>
      <c r="AM394" s="141"/>
      <c r="AY394" s="141"/>
      <c r="BC394" s="141"/>
      <c r="BG394" s="141"/>
      <c r="BK394" s="141"/>
      <c r="BO394" s="141"/>
      <c r="BW394" s="141"/>
    </row>
    <row r="395" spans="2:75" s="134" customFormat="1" x14ac:dyDescent="0.2">
      <c r="B395" s="145"/>
      <c r="D395" s="145"/>
      <c r="AA395" s="141"/>
      <c r="AE395" s="140"/>
      <c r="AI395" s="141"/>
      <c r="AM395" s="141"/>
      <c r="AY395" s="141"/>
      <c r="BC395" s="141"/>
      <c r="BG395" s="141"/>
      <c r="BK395" s="141"/>
      <c r="BO395" s="141"/>
      <c r="BW395" s="141"/>
    </row>
    <row r="396" spans="2:75" s="134" customFormat="1" x14ac:dyDescent="0.2">
      <c r="B396" s="145"/>
      <c r="D396" s="145"/>
      <c r="AA396" s="141"/>
      <c r="AE396" s="140"/>
      <c r="AI396" s="141"/>
      <c r="AM396" s="141"/>
      <c r="AY396" s="141"/>
      <c r="BC396" s="141"/>
      <c r="BG396" s="141"/>
      <c r="BK396" s="141"/>
      <c r="BO396" s="141"/>
      <c r="BW396" s="141"/>
    </row>
    <row r="397" spans="2:75" s="134" customFormat="1" x14ac:dyDescent="0.2">
      <c r="B397" s="145"/>
      <c r="D397" s="145"/>
      <c r="AA397" s="141"/>
      <c r="AE397" s="140"/>
      <c r="AI397" s="141"/>
      <c r="AM397" s="141"/>
      <c r="AY397" s="141"/>
      <c r="BC397" s="141"/>
      <c r="BG397" s="141"/>
      <c r="BK397" s="141"/>
      <c r="BO397" s="141"/>
      <c r="BW397" s="141"/>
    </row>
    <row r="398" spans="2:75" s="134" customFormat="1" x14ac:dyDescent="0.2">
      <c r="B398" s="145"/>
      <c r="D398" s="145"/>
      <c r="AA398" s="141"/>
      <c r="AE398" s="140"/>
      <c r="AI398" s="141"/>
      <c r="AM398" s="141"/>
      <c r="AY398" s="141"/>
      <c r="BC398" s="141"/>
      <c r="BG398" s="141"/>
      <c r="BK398" s="141"/>
      <c r="BO398" s="141"/>
      <c r="BW398" s="141"/>
    </row>
    <row r="399" spans="2:75" s="134" customFormat="1" x14ac:dyDescent="0.2">
      <c r="B399" s="145"/>
      <c r="D399" s="145"/>
      <c r="AA399" s="141"/>
      <c r="AE399" s="140"/>
      <c r="AI399" s="141"/>
      <c r="AM399" s="141"/>
      <c r="AY399" s="141"/>
      <c r="BC399" s="141"/>
      <c r="BG399" s="141"/>
      <c r="BK399" s="141"/>
      <c r="BO399" s="141"/>
      <c r="BW399" s="141"/>
    </row>
    <row r="400" spans="2:75" s="134" customFormat="1" x14ac:dyDescent="0.2">
      <c r="B400" s="145"/>
      <c r="D400" s="145"/>
      <c r="AA400" s="141"/>
      <c r="AE400" s="140"/>
      <c r="AI400" s="141"/>
      <c r="AM400" s="141"/>
      <c r="AY400" s="141"/>
      <c r="BC400" s="141"/>
      <c r="BG400" s="141"/>
      <c r="BK400" s="141"/>
      <c r="BO400" s="141"/>
      <c r="BW400" s="141"/>
    </row>
    <row r="401" spans="2:75" s="134" customFormat="1" x14ac:dyDescent="0.2">
      <c r="B401" s="145"/>
      <c r="D401" s="145"/>
      <c r="AA401" s="141"/>
      <c r="AE401" s="140"/>
      <c r="AI401" s="141"/>
      <c r="AM401" s="141"/>
      <c r="AY401" s="141"/>
      <c r="BC401" s="141"/>
      <c r="BG401" s="141"/>
      <c r="BK401" s="141"/>
      <c r="BO401" s="141"/>
      <c r="BW401" s="141"/>
    </row>
    <row r="402" spans="2:75" s="134" customFormat="1" x14ac:dyDescent="0.2">
      <c r="B402" s="145"/>
      <c r="D402" s="145"/>
      <c r="AA402" s="141"/>
      <c r="AE402" s="140"/>
      <c r="AI402" s="141"/>
      <c r="AM402" s="141"/>
      <c r="AY402" s="141"/>
      <c r="BC402" s="141"/>
      <c r="BG402" s="141"/>
      <c r="BK402" s="141"/>
      <c r="BO402" s="141"/>
      <c r="BW402" s="141"/>
    </row>
    <row r="403" spans="2:75" s="134" customFormat="1" x14ac:dyDescent="0.2">
      <c r="B403" s="145"/>
      <c r="D403" s="145"/>
      <c r="AA403" s="141"/>
      <c r="AE403" s="140"/>
      <c r="AI403" s="141"/>
      <c r="AM403" s="141"/>
      <c r="AY403" s="141"/>
      <c r="BC403" s="141"/>
      <c r="BG403" s="141"/>
      <c r="BK403" s="141"/>
      <c r="BO403" s="141"/>
      <c r="BW403" s="141"/>
    </row>
    <row r="404" spans="2:75" s="134" customFormat="1" x14ac:dyDescent="0.2">
      <c r="B404" s="145"/>
      <c r="D404" s="145"/>
      <c r="AA404" s="141"/>
      <c r="AE404" s="140"/>
      <c r="AI404" s="141"/>
      <c r="AM404" s="141"/>
      <c r="AY404" s="141"/>
      <c r="BC404" s="141"/>
      <c r="BG404" s="141"/>
      <c r="BK404" s="141"/>
      <c r="BO404" s="141"/>
      <c r="BW404" s="141"/>
    </row>
    <row r="405" spans="2:75" s="134" customFormat="1" x14ac:dyDescent="0.2">
      <c r="B405" s="145"/>
      <c r="D405" s="145"/>
      <c r="AA405" s="141"/>
      <c r="AE405" s="140"/>
      <c r="AI405" s="141"/>
      <c r="AM405" s="141"/>
      <c r="AY405" s="141"/>
      <c r="BC405" s="141"/>
      <c r="BG405" s="141"/>
      <c r="BK405" s="141"/>
      <c r="BO405" s="141"/>
      <c r="BW405" s="141"/>
    </row>
    <row r="406" spans="2:75" s="134" customFormat="1" x14ac:dyDescent="0.2">
      <c r="B406" s="145"/>
      <c r="D406" s="145"/>
      <c r="AA406" s="141"/>
      <c r="AE406" s="140"/>
      <c r="AI406" s="141"/>
      <c r="AM406" s="141"/>
      <c r="AY406" s="141"/>
      <c r="BC406" s="141"/>
      <c r="BG406" s="141"/>
      <c r="BK406" s="141"/>
      <c r="BO406" s="141"/>
      <c r="BW406" s="141"/>
    </row>
    <row r="407" spans="2:75" s="134" customFormat="1" x14ac:dyDescent="0.2">
      <c r="B407" s="145"/>
      <c r="D407" s="145"/>
      <c r="AA407" s="141"/>
      <c r="AE407" s="140"/>
      <c r="AI407" s="141"/>
      <c r="AM407" s="141"/>
      <c r="AY407" s="141"/>
      <c r="BC407" s="141"/>
      <c r="BG407" s="141"/>
      <c r="BK407" s="141"/>
      <c r="BO407" s="141"/>
      <c r="BW407" s="141"/>
    </row>
    <row r="408" spans="2:75" s="134" customFormat="1" x14ac:dyDescent="0.2">
      <c r="B408" s="145"/>
      <c r="D408" s="145"/>
      <c r="AA408" s="141"/>
      <c r="AE408" s="140"/>
      <c r="AI408" s="141"/>
      <c r="AM408" s="141"/>
      <c r="AY408" s="141"/>
      <c r="BC408" s="141"/>
      <c r="BG408" s="141"/>
      <c r="BK408" s="141"/>
      <c r="BO408" s="141"/>
      <c r="BW408" s="141"/>
    </row>
    <row r="409" spans="2:75" s="134" customFormat="1" x14ac:dyDescent="0.2">
      <c r="B409" s="145"/>
      <c r="D409" s="145"/>
      <c r="AA409" s="141"/>
      <c r="AE409" s="140"/>
      <c r="AI409" s="141"/>
      <c r="AM409" s="141"/>
      <c r="AY409" s="141"/>
      <c r="BC409" s="141"/>
      <c r="BG409" s="141"/>
      <c r="BK409" s="141"/>
      <c r="BO409" s="141"/>
      <c r="BW409" s="141"/>
    </row>
    <row r="410" spans="2:75" s="134" customFormat="1" x14ac:dyDescent="0.2">
      <c r="B410" s="145"/>
      <c r="D410" s="145"/>
      <c r="AA410" s="141"/>
      <c r="AE410" s="140"/>
      <c r="AI410" s="141"/>
      <c r="AM410" s="141"/>
      <c r="AY410" s="141"/>
      <c r="BC410" s="141"/>
      <c r="BG410" s="141"/>
      <c r="BK410" s="141"/>
      <c r="BO410" s="141"/>
      <c r="BW410" s="141"/>
    </row>
    <row r="411" spans="2:75" s="134" customFormat="1" x14ac:dyDescent="0.2">
      <c r="B411" s="145"/>
      <c r="D411" s="145"/>
      <c r="AA411" s="141"/>
      <c r="AE411" s="140"/>
      <c r="AI411" s="141"/>
      <c r="AM411" s="141"/>
      <c r="AY411" s="141"/>
      <c r="BC411" s="141"/>
      <c r="BG411" s="141"/>
      <c r="BK411" s="141"/>
      <c r="BO411" s="141"/>
      <c r="BW411" s="141"/>
    </row>
    <row r="412" spans="2:75" s="134" customFormat="1" x14ac:dyDescent="0.2">
      <c r="B412" s="145"/>
      <c r="D412" s="145"/>
      <c r="AA412" s="141"/>
      <c r="AE412" s="140"/>
      <c r="AI412" s="141"/>
      <c r="AM412" s="141"/>
      <c r="AY412" s="141"/>
      <c r="BC412" s="141"/>
      <c r="BG412" s="141"/>
      <c r="BK412" s="141"/>
      <c r="BO412" s="141"/>
      <c r="BW412" s="141"/>
    </row>
    <row r="413" spans="2:75" s="134" customFormat="1" x14ac:dyDescent="0.2">
      <c r="B413" s="145"/>
      <c r="D413" s="145"/>
      <c r="AA413" s="141"/>
      <c r="AE413" s="140"/>
      <c r="AI413" s="141"/>
      <c r="AM413" s="141"/>
      <c r="AY413" s="141"/>
      <c r="BC413" s="141"/>
      <c r="BG413" s="141"/>
      <c r="BK413" s="141"/>
      <c r="BO413" s="141"/>
      <c r="BW413" s="141"/>
    </row>
    <row r="414" spans="2:75" s="134" customFormat="1" x14ac:dyDescent="0.2">
      <c r="B414" s="145"/>
      <c r="D414" s="145"/>
      <c r="AA414" s="141"/>
      <c r="AE414" s="140"/>
      <c r="AI414" s="141"/>
      <c r="AM414" s="141"/>
      <c r="AY414" s="141"/>
      <c r="BC414" s="141"/>
      <c r="BG414" s="141"/>
      <c r="BK414" s="141"/>
      <c r="BO414" s="141"/>
      <c r="BW414" s="141"/>
    </row>
    <row r="415" spans="2:75" s="134" customFormat="1" x14ac:dyDescent="0.2">
      <c r="B415" s="145"/>
      <c r="D415" s="145"/>
      <c r="AA415" s="141"/>
      <c r="AE415" s="140"/>
      <c r="AI415" s="141"/>
      <c r="AM415" s="141"/>
      <c r="AY415" s="141"/>
      <c r="BC415" s="141"/>
      <c r="BG415" s="141"/>
      <c r="BK415" s="141"/>
      <c r="BO415" s="141"/>
      <c r="BW415" s="141"/>
    </row>
    <row r="416" spans="2:75" s="134" customFormat="1" x14ac:dyDescent="0.2">
      <c r="B416" s="145"/>
      <c r="D416" s="145"/>
      <c r="AA416" s="141"/>
      <c r="AE416" s="140"/>
      <c r="AI416" s="141"/>
      <c r="AM416" s="141"/>
      <c r="AY416" s="141"/>
      <c r="BC416" s="141"/>
      <c r="BG416" s="141"/>
      <c r="BK416" s="141"/>
      <c r="BO416" s="141"/>
      <c r="BW416" s="141"/>
    </row>
    <row r="417" spans="2:75" s="134" customFormat="1" x14ac:dyDescent="0.2">
      <c r="B417" s="145"/>
      <c r="D417" s="145"/>
      <c r="AA417" s="141"/>
      <c r="AE417" s="140"/>
      <c r="AI417" s="141"/>
      <c r="AM417" s="141"/>
      <c r="AY417" s="141"/>
      <c r="BC417" s="141"/>
      <c r="BG417" s="141"/>
      <c r="BK417" s="141"/>
      <c r="BO417" s="141"/>
      <c r="BW417" s="141"/>
    </row>
    <row r="418" spans="2:75" s="134" customFormat="1" x14ac:dyDescent="0.2">
      <c r="B418" s="145"/>
      <c r="D418" s="145"/>
      <c r="AA418" s="141"/>
      <c r="AE418" s="140"/>
      <c r="AI418" s="141"/>
      <c r="AM418" s="141"/>
      <c r="AY418" s="141"/>
      <c r="BC418" s="141"/>
      <c r="BG418" s="141"/>
      <c r="BK418" s="141"/>
      <c r="BO418" s="141"/>
      <c r="BW418" s="141"/>
    </row>
    <row r="419" spans="2:75" s="134" customFormat="1" x14ac:dyDescent="0.2">
      <c r="B419" s="145"/>
      <c r="D419" s="145"/>
      <c r="AA419" s="141"/>
      <c r="AE419" s="140"/>
      <c r="AI419" s="141"/>
      <c r="AM419" s="141"/>
      <c r="AY419" s="141"/>
      <c r="BC419" s="141"/>
      <c r="BG419" s="141"/>
      <c r="BK419" s="141"/>
      <c r="BO419" s="141"/>
      <c r="BW419" s="141"/>
    </row>
    <row r="420" spans="2:75" s="134" customFormat="1" x14ac:dyDescent="0.2">
      <c r="B420" s="145"/>
      <c r="D420" s="145"/>
      <c r="AA420" s="141"/>
      <c r="AE420" s="140"/>
      <c r="AI420" s="141"/>
      <c r="AM420" s="141"/>
      <c r="AY420" s="141"/>
      <c r="BC420" s="141"/>
      <c r="BG420" s="141"/>
      <c r="BK420" s="141"/>
      <c r="BO420" s="141"/>
      <c r="BW420" s="141"/>
    </row>
    <row r="421" spans="2:75" s="134" customFormat="1" x14ac:dyDescent="0.2">
      <c r="B421" s="145"/>
      <c r="D421" s="145"/>
      <c r="AA421" s="141"/>
      <c r="AE421" s="140"/>
      <c r="AI421" s="141"/>
      <c r="AM421" s="141"/>
      <c r="AY421" s="141"/>
      <c r="BC421" s="141"/>
      <c r="BG421" s="141"/>
      <c r="BK421" s="141"/>
      <c r="BO421" s="141"/>
      <c r="BW421" s="141"/>
    </row>
    <row r="422" spans="2:75" s="134" customFormat="1" x14ac:dyDescent="0.2">
      <c r="B422" s="145"/>
      <c r="D422" s="145"/>
      <c r="AA422" s="141"/>
      <c r="AE422" s="140"/>
      <c r="AI422" s="141"/>
      <c r="AM422" s="141"/>
      <c r="AY422" s="141"/>
      <c r="BC422" s="141"/>
      <c r="BG422" s="141"/>
      <c r="BK422" s="141"/>
      <c r="BO422" s="141"/>
      <c r="BW422" s="141"/>
    </row>
    <row r="423" spans="2:75" s="134" customFormat="1" x14ac:dyDescent="0.2">
      <c r="B423" s="145"/>
      <c r="D423" s="145"/>
      <c r="AA423" s="141"/>
      <c r="AE423" s="140"/>
      <c r="AI423" s="141"/>
      <c r="AM423" s="141"/>
      <c r="AY423" s="141"/>
      <c r="BC423" s="141"/>
      <c r="BG423" s="141"/>
      <c r="BK423" s="141"/>
      <c r="BO423" s="141"/>
      <c r="BW423" s="141"/>
    </row>
    <row r="424" spans="2:75" s="134" customFormat="1" x14ac:dyDescent="0.2">
      <c r="B424" s="145"/>
      <c r="D424" s="145"/>
      <c r="AA424" s="141"/>
      <c r="AE424" s="140"/>
      <c r="AI424" s="141"/>
      <c r="AM424" s="141"/>
      <c r="AY424" s="141"/>
      <c r="BC424" s="141"/>
      <c r="BG424" s="141"/>
      <c r="BK424" s="141"/>
      <c r="BO424" s="141"/>
      <c r="BW424" s="141"/>
    </row>
    <row r="425" spans="2:75" s="134" customFormat="1" x14ac:dyDescent="0.2">
      <c r="B425" s="145"/>
      <c r="D425" s="145"/>
      <c r="AA425" s="141"/>
      <c r="AE425" s="140"/>
      <c r="AI425" s="141"/>
      <c r="AM425" s="141"/>
      <c r="AY425" s="141"/>
      <c r="BC425" s="141"/>
      <c r="BG425" s="141"/>
      <c r="BK425" s="141"/>
      <c r="BO425" s="141"/>
      <c r="BW425" s="141"/>
    </row>
    <row r="426" spans="2:75" s="134" customFormat="1" x14ac:dyDescent="0.2">
      <c r="B426" s="145"/>
      <c r="D426" s="145"/>
      <c r="AA426" s="141"/>
      <c r="AE426" s="140"/>
      <c r="AI426" s="141"/>
      <c r="AM426" s="141"/>
      <c r="AY426" s="141"/>
      <c r="BC426" s="141"/>
      <c r="BG426" s="141"/>
      <c r="BK426" s="141"/>
      <c r="BO426" s="141"/>
      <c r="BW426" s="141"/>
    </row>
    <row r="427" spans="2:75" s="134" customFormat="1" x14ac:dyDescent="0.2">
      <c r="B427" s="145"/>
      <c r="D427" s="145"/>
      <c r="AA427" s="141"/>
      <c r="AE427" s="140"/>
      <c r="AI427" s="141"/>
      <c r="AM427" s="141"/>
      <c r="AY427" s="141"/>
      <c r="BC427" s="141"/>
      <c r="BG427" s="141"/>
      <c r="BK427" s="141"/>
      <c r="BO427" s="141"/>
      <c r="BW427" s="141"/>
    </row>
    <row r="428" spans="2:75" s="134" customFormat="1" x14ac:dyDescent="0.2">
      <c r="B428" s="145"/>
      <c r="D428" s="145"/>
      <c r="AA428" s="141"/>
      <c r="AE428" s="140"/>
      <c r="AI428" s="141"/>
      <c r="AM428" s="141"/>
      <c r="AY428" s="141"/>
      <c r="BC428" s="141"/>
      <c r="BG428" s="141"/>
      <c r="BK428" s="141"/>
      <c r="BO428" s="141"/>
      <c r="BW428" s="141"/>
    </row>
    <row r="429" spans="2:75" s="134" customFormat="1" x14ac:dyDescent="0.2">
      <c r="B429" s="145"/>
      <c r="D429" s="145"/>
      <c r="AA429" s="141"/>
      <c r="AE429" s="140"/>
      <c r="AI429" s="141"/>
      <c r="AM429" s="141"/>
      <c r="AY429" s="141"/>
      <c r="BC429" s="141"/>
      <c r="BG429" s="141"/>
      <c r="BK429" s="141"/>
      <c r="BO429" s="141"/>
      <c r="BW429" s="141"/>
    </row>
    <row r="430" spans="2:75" s="134" customFormat="1" x14ac:dyDescent="0.2">
      <c r="B430" s="145"/>
      <c r="D430" s="145"/>
      <c r="AA430" s="141"/>
      <c r="AE430" s="140"/>
      <c r="AI430" s="141"/>
      <c r="AM430" s="141"/>
      <c r="AY430" s="141"/>
      <c r="BC430" s="141"/>
      <c r="BG430" s="141"/>
      <c r="BK430" s="141"/>
      <c r="BO430" s="141"/>
      <c r="BW430" s="141"/>
    </row>
    <row r="431" spans="2:75" s="134" customFormat="1" x14ac:dyDescent="0.2">
      <c r="B431" s="145"/>
      <c r="D431" s="145"/>
      <c r="AA431" s="141"/>
      <c r="AE431" s="140"/>
      <c r="AI431" s="141"/>
      <c r="AM431" s="141"/>
      <c r="AY431" s="141"/>
      <c r="BC431" s="141"/>
      <c r="BG431" s="141"/>
      <c r="BK431" s="141"/>
      <c r="BO431" s="141"/>
      <c r="BW431" s="141"/>
    </row>
    <row r="432" spans="2:75" s="134" customFormat="1" x14ac:dyDescent="0.2">
      <c r="B432" s="145"/>
      <c r="D432" s="145"/>
      <c r="AA432" s="141"/>
      <c r="AE432" s="140"/>
      <c r="AI432" s="141"/>
      <c r="AM432" s="141"/>
      <c r="AY432" s="141"/>
      <c r="BC432" s="141"/>
      <c r="BG432" s="141"/>
      <c r="BK432" s="141"/>
      <c r="BO432" s="141"/>
      <c r="BW432" s="141"/>
    </row>
    <row r="433" spans="2:75" s="134" customFormat="1" x14ac:dyDescent="0.2">
      <c r="B433" s="145"/>
      <c r="D433" s="145"/>
      <c r="AA433" s="141"/>
      <c r="AE433" s="140"/>
      <c r="AI433" s="141"/>
      <c r="AM433" s="141"/>
      <c r="AY433" s="141"/>
      <c r="BC433" s="141"/>
      <c r="BG433" s="141"/>
      <c r="BK433" s="141"/>
      <c r="BO433" s="141"/>
      <c r="BW433" s="141"/>
    </row>
    <row r="434" spans="2:75" s="134" customFormat="1" x14ac:dyDescent="0.2">
      <c r="B434" s="145"/>
      <c r="D434" s="145"/>
      <c r="AA434" s="141"/>
      <c r="AE434" s="140"/>
      <c r="AI434" s="141"/>
      <c r="AM434" s="141"/>
      <c r="AY434" s="141"/>
      <c r="BC434" s="141"/>
      <c r="BG434" s="141"/>
      <c r="BK434" s="141"/>
      <c r="BO434" s="141"/>
      <c r="BW434" s="141"/>
    </row>
    <row r="435" spans="2:75" s="134" customFormat="1" x14ac:dyDescent="0.2">
      <c r="B435" s="145"/>
      <c r="D435" s="145"/>
      <c r="AA435" s="141"/>
      <c r="AE435" s="140"/>
      <c r="AI435" s="141"/>
      <c r="AM435" s="141"/>
      <c r="AY435" s="141"/>
      <c r="BC435" s="141"/>
      <c r="BG435" s="141"/>
      <c r="BK435" s="141"/>
      <c r="BO435" s="141"/>
      <c r="BW435" s="141"/>
    </row>
    <row r="436" spans="2:75" s="134" customFormat="1" x14ac:dyDescent="0.2">
      <c r="B436" s="145"/>
      <c r="D436" s="145"/>
      <c r="AA436" s="141"/>
      <c r="AE436" s="140"/>
      <c r="AI436" s="141"/>
      <c r="AM436" s="141"/>
      <c r="AY436" s="141"/>
      <c r="BC436" s="141"/>
      <c r="BG436" s="141"/>
      <c r="BK436" s="141"/>
      <c r="BO436" s="141"/>
      <c r="BW436" s="141"/>
    </row>
    <row r="437" spans="2:75" s="134" customFormat="1" x14ac:dyDescent="0.2">
      <c r="B437" s="145"/>
      <c r="D437" s="145"/>
      <c r="AA437" s="141"/>
      <c r="AE437" s="140"/>
      <c r="AI437" s="141"/>
      <c r="AM437" s="141"/>
      <c r="AY437" s="141"/>
      <c r="BC437" s="141"/>
      <c r="BG437" s="141"/>
      <c r="BK437" s="141"/>
      <c r="BO437" s="141"/>
      <c r="BW437" s="141"/>
    </row>
    <row r="438" spans="2:75" s="134" customFormat="1" x14ac:dyDescent="0.2">
      <c r="B438" s="145"/>
      <c r="D438" s="145"/>
      <c r="AA438" s="141"/>
      <c r="AE438" s="140"/>
      <c r="AI438" s="141"/>
      <c r="AM438" s="141"/>
      <c r="AY438" s="141"/>
      <c r="BC438" s="141"/>
      <c r="BG438" s="141"/>
      <c r="BK438" s="141"/>
      <c r="BO438" s="141"/>
      <c r="BW438" s="141"/>
    </row>
    <row r="439" spans="2:75" s="134" customFormat="1" x14ac:dyDescent="0.2">
      <c r="B439" s="145"/>
      <c r="D439" s="145"/>
      <c r="AA439" s="141"/>
      <c r="AE439" s="140"/>
      <c r="AI439" s="141"/>
      <c r="AM439" s="141"/>
      <c r="AY439" s="141"/>
      <c r="BC439" s="141"/>
      <c r="BG439" s="141"/>
      <c r="BK439" s="141"/>
      <c r="BO439" s="141"/>
      <c r="BW439" s="141"/>
    </row>
    <row r="440" spans="2:75" s="134" customFormat="1" x14ac:dyDescent="0.2">
      <c r="B440" s="145"/>
      <c r="D440" s="145"/>
      <c r="AA440" s="141"/>
      <c r="AE440" s="140"/>
      <c r="AI440" s="141"/>
      <c r="AM440" s="141"/>
      <c r="AY440" s="141"/>
      <c r="BC440" s="141"/>
      <c r="BG440" s="141"/>
      <c r="BK440" s="141"/>
      <c r="BO440" s="141"/>
      <c r="BW440" s="141"/>
    </row>
    <row r="441" spans="2:75" s="134" customFormat="1" x14ac:dyDescent="0.2">
      <c r="B441" s="145"/>
      <c r="D441" s="145"/>
      <c r="AA441" s="141"/>
      <c r="AE441" s="140"/>
      <c r="AI441" s="141"/>
      <c r="AM441" s="141"/>
      <c r="AY441" s="141"/>
      <c r="BC441" s="141"/>
      <c r="BG441" s="141"/>
      <c r="BK441" s="141"/>
      <c r="BO441" s="141"/>
      <c r="BW441" s="141"/>
    </row>
    <row r="442" spans="2:75" s="134" customFormat="1" x14ac:dyDescent="0.2">
      <c r="B442" s="145"/>
      <c r="D442" s="145"/>
      <c r="AA442" s="141"/>
      <c r="AE442" s="140"/>
      <c r="AI442" s="141"/>
      <c r="AM442" s="141"/>
      <c r="AY442" s="141"/>
      <c r="BC442" s="141"/>
      <c r="BG442" s="141"/>
      <c r="BK442" s="141"/>
      <c r="BO442" s="141"/>
      <c r="BW442" s="141"/>
    </row>
    <row r="443" spans="2:75" s="134" customFormat="1" x14ac:dyDescent="0.2">
      <c r="B443" s="145"/>
      <c r="D443" s="145"/>
      <c r="AA443" s="141"/>
      <c r="AE443" s="140"/>
      <c r="AI443" s="141"/>
      <c r="AM443" s="141"/>
      <c r="AY443" s="141"/>
      <c r="BC443" s="141"/>
      <c r="BG443" s="141"/>
      <c r="BK443" s="141"/>
      <c r="BO443" s="141"/>
      <c r="BW443" s="141"/>
    </row>
    <row r="444" spans="2:75" s="134" customFormat="1" x14ac:dyDescent="0.2">
      <c r="B444" s="145"/>
      <c r="D444" s="145"/>
      <c r="AA444" s="141"/>
      <c r="AE444" s="140"/>
      <c r="AI444" s="141"/>
      <c r="AM444" s="141"/>
      <c r="AY444" s="141"/>
      <c r="BC444" s="141"/>
      <c r="BG444" s="141"/>
      <c r="BK444" s="141"/>
      <c r="BO444" s="141"/>
      <c r="BW444" s="141"/>
    </row>
    <row r="445" spans="2:75" s="134" customFormat="1" x14ac:dyDescent="0.2">
      <c r="B445" s="145"/>
      <c r="D445" s="145"/>
      <c r="AA445" s="141"/>
      <c r="AE445" s="140"/>
      <c r="AI445" s="141"/>
      <c r="AM445" s="141"/>
      <c r="AY445" s="141"/>
      <c r="BC445" s="141"/>
      <c r="BG445" s="141"/>
      <c r="BK445" s="141"/>
      <c r="BO445" s="141"/>
      <c r="BW445" s="141"/>
    </row>
    <row r="446" spans="2:75" s="134" customFormat="1" x14ac:dyDescent="0.2">
      <c r="B446" s="145"/>
      <c r="D446" s="145"/>
      <c r="AA446" s="141"/>
      <c r="AE446" s="140"/>
      <c r="AI446" s="141"/>
      <c r="AM446" s="141"/>
      <c r="AY446" s="141"/>
      <c r="BC446" s="141"/>
      <c r="BG446" s="141"/>
      <c r="BK446" s="141"/>
      <c r="BO446" s="141"/>
      <c r="BW446" s="141"/>
    </row>
    <row r="447" spans="2:75" s="134" customFormat="1" x14ac:dyDescent="0.2">
      <c r="B447" s="145"/>
      <c r="D447" s="145"/>
      <c r="AA447" s="141"/>
      <c r="AE447" s="140"/>
      <c r="AI447" s="141"/>
      <c r="AM447" s="141"/>
      <c r="AY447" s="141"/>
      <c r="BC447" s="141"/>
      <c r="BG447" s="141"/>
      <c r="BK447" s="141"/>
      <c r="BO447" s="141"/>
      <c r="BW447" s="141"/>
    </row>
    <row r="448" spans="2:75" s="134" customFormat="1" x14ac:dyDescent="0.2">
      <c r="B448" s="145"/>
      <c r="D448" s="145"/>
      <c r="AA448" s="141"/>
      <c r="AE448" s="140"/>
      <c r="AI448" s="141"/>
      <c r="AM448" s="141"/>
      <c r="AY448" s="141"/>
      <c r="BC448" s="141"/>
      <c r="BG448" s="141"/>
      <c r="BK448" s="141"/>
      <c r="BO448" s="141"/>
      <c r="BW448" s="141"/>
    </row>
    <row r="449" spans="2:75" s="134" customFormat="1" x14ac:dyDescent="0.2">
      <c r="B449" s="145"/>
      <c r="D449" s="145"/>
      <c r="AA449" s="141"/>
      <c r="AE449" s="140"/>
      <c r="AI449" s="141"/>
      <c r="AM449" s="141"/>
      <c r="AY449" s="141"/>
      <c r="BC449" s="141"/>
      <c r="BG449" s="141"/>
      <c r="BK449" s="141"/>
      <c r="BO449" s="141"/>
      <c r="BW449" s="141"/>
    </row>
    <row r="450" spans="2:75" s="134" customFormat="1" x14ac:dyDescent="0.2">
      <c r="B450" s="145"/>
      <c r="D450" s="145"/>
      <c r="AA450" s="141"/>
      <c r="AE450" s="140"/>
      <c r="AI450" s="141"/>
      <c r="AM450" s="141"/>
      <c r="AY450" s="141"/>
      <c r="BC450" s="141"/>
      <c r="BG450" s="141"/>
      <c r="BK450" s="141"/>
      <c r="BO450" s="141"/>
      <c r="BW450" s="141"/>
    </row>
    <row r="451" spans="2:75" s="134" customFormat="1" x14ac:dyDescent="0.2">
      <c r="B451" s="145"/>
      <c r="D451" s="145"/>
      <c r="AA451" s="141"/>
      <c r="AE451" s="140"/>
      <c r="AI451" s="141"/>
      <c r="AM451" s="141"/>
      <c r="AY451" s="141"/>
      <c r="BC451" s="141"/>
      <c r="BG451" s="141"/>
      <c r="BK451" s="141"/>
      <c r="BO451" s="141"/>
      <c r="BW451" s="141"/>
    </row>
    <row r="452" spans="2:75" s="134" customFormat="1" x14ac:dyDescent="0.2">
      <c r="B452" s="145"/>
      <c r="D452" s="145"/>
      <c r="AA452" s="141"/>
      <c r="AE452" s="140"/>
      <c r="AI452" s="141"/>
      <c r="AM452" s="141"/>
      <c r="AY452" s="141"/>
      <c r="BC452" s="141"/>
      <c r="BG452" s="141"/>
      <c r="BK452" s="141"/>
      <c r="BO452" s="141"/>
      <c r="BW452" s="141"/>
    </row>
    <row r="453" spans="2:75" s="134" customFormat="1" x14ac:dyDescent="0.2">
      <c r="B453" s="145"/>
      <c r="D453" s="145"/>
      <c r="AA453" s="141"/>
      <c r="AE453" s="140"/>
      <c r="AI453" s="141"/>
      <c r="AM453" s="141"/>
      <c r="AY453" s="141"/>
      <c r="BC453" s="141"/>
      <c r="BG453" s="141"/>
      <c r="BK453" s="141"/>
      <c r="BO453" s="141"/>
      <c r="BW453" s="141"/>
    </row>
    <row r="454" spans="2:75" s="134" customFormat="1" x14ac:dyDescent="0.2">
      <c r="B454" s="145"/>
      <c r="D454" s="145"/>
      <c r="AA454" s="141"/>
      <c r="AE454" s="140"/>
      <c r="AI454" s="141"/>
      <c r="AM454" s="141"/>
      <c r="AY454" s="141"/>
      <c r="BC454" s="141"/>
      <c r="BG454" s="141"/>
      <c r="BK454" s="141"/>
      <c r="BO454" s="141"/>
      <c r="BW454" s="141"/>
    </row>
    <row r="455" spans="2:75" s="134" customFormat="1" x14ac:dyDescent="0.2">
      <c r="B455" s="145"/>
      <c r="D455" s="145"/>
      <c r="AA455" s="141"/>
      <c r="AE455" s="140"/>
      <c r="AI455" s="141"/>
      <c r="AM455" s="141"/>
      <c r="AY455" s="141"/>
      <c r="BC455" s="141"/>
      <c r="BG455" s="141"/>
      <c r="BK455" s="141"/>
      <c r="BO455" s="141"/>
      <c r="BW455" s="141"/>
    </row>
    <row r="456" spans="2:75" s="134" customFormat="1" x14ac:dyDescent="0.2">
      <c r="B456" s="145"/>
      <c r="D456" s="145"/>
      <c r="AA456" s="141"/>
      <c r="AE456" s="140"/>
      <c r="AI456" s="141"/>
      <c r="AM456" s="141"/>
      <c r="AY456" s="141"/>
      <c r="BC456" s="141"/>
      <c r="BG456" s="141"/>
      <c r="BK456" s="141"/>
      <c r="BO456" s="141"/>
      <c r="BW456" s="141"/>
    </row>
    <row r="457" spans="2:75" s="134" customFormat="1" x14ac:dyDescent="0.2">
      <c r="B457" s="145"/>
      <c r="D457" s="145"/>
      <c r="AA457" s="141"/>
      <c r="AE457" s="140"/>
      <c r="AI457" s="141"/>
      <c r="AM457" s="141"/>
      <c r="AY457" s="141"/>
      <c r="BC457" s="141"/>
      <c r="BG457" s="141"/>
      <c r="BK457" s="141"/>
      <c r="BO457" s="141"/>
      <c r="BW457" s="141"/>
    </row>
    <row r="458" spans="2:75" s="134" customFormat="1" x14ac:dyDescent="0.2">
      <c r="B458" s="145"/>
      <c r="D458" s="145"/>
      <c r="AA458" s="141"/>
      <c r="AE458" s="140"/>
      <c r="AI458" s="141"/>
      <c r="AM458" s="141"/>
      <c r="AY458" s="141"/>
      <c r="BC458" s="141"/>
      <c r="BG458" s="141"/>
      <c r="BK458" s="141"/>
      <c r="BO458" s="141"/>
      <c r="BW458" s="141"/>
    </row>
    <row r="459" spans="2:75" s="134" customFormat="1" x14ac:dyDescent="0.2">
      <c r="B459" s="145"/>
      <c r="D459" s="145"/>
      <c r="AA459" s="141"/>
      <c r="AE459" s="140"/>
      <c r="AI459" s="141"/>
      <c r="AM459" s="141"/>
      <c r="AY459" s="141"/>
      <c r="BC459" s="141"/>
      <c r="BG459" s="141"/>
      <c r="BK459" s="141"/>
      <c r="BO459" s="141"/>
      <c r="BW459" s="141"/>
    </row>
    <row r="460" spans="2:75" s="134" customFormat="1" x14ac:dyDescent="0.2">
      <c r="B460" s="145"/>
      <c r="D460" s="145"/>
      <c r="AA460" s="141"/>
      <c r="AE460" s="140"/>
      <c r="AI460" s="141"/>
      <c r="AM460" s="141"/>
      <c r="AY460" s="141"/>
      <c r="BC460" s="141"/>
      <c r="BG460" s="141"/>
      <c r="BK460" s="141"/>
      <c r="BO460" s="141"/>
      <c r="BW460" s="141"/>
    </row>
    <row r="461" spans="2:75" s="134" customFormat="1" x14ac:dyDescent="0.2">
      <c r="B461" s="145"/>
      <c r="D461" s="145"/>
      <c r="AA461" s="141"/>
      <c r="AE461" s="140"/>
      <c r="AI461" s="141"/>
      <c r="AM461" s="141"/>
      <c r="AY461" s="141"/>
      <c r="BC461" s="141"/>
      <c r="BG461" s="141"/>
      <c r="BK461" s="141"/>
      <c r="BO461" s="141"/>
      <c r="BW461" s="141"/>
    </row>
    <row r="462" spans="2:75" s="134" customFormat="1" x14ac:dyDescent="0.2">
      <c r="B462" s="145"/>
      <c r="D462" s="145"/>
      <c r="AA462" s="141"/>
      <c r="AE462" s="140"/>
      <c r="AI462" s="141"/>
      <c r="AM462" s="141"/>
      <c r="AY462" s="141"/>
      <c r="BC462" s="141"/>
      <c r="BG462" s="141"/>
      <c r="BK462" s="141"/>
      <c r="BO462" s="141"/>
      <c r="BW462" s="141"/>
    </row>
    <row r="463" spans="2:75" s="134" customFormat="1" x14ac:dyDescent="0.2">
      <c r="B463" s="145"/>
      <c r="D463" s="145"/>
      <c r="AA463" s="141"/>
      <c r="AE463" s="140"/>
      <c r="AI463" s="141"/>
      <c r="AM463" s="141"/>
      <c r="AY463" s="141"/>
      <c r="BC463" s="141"/>
      <c r="BG463" s="141"/>
      <c r="BK463" s="141"/>
      <c r="BO463" s="141"/>
      <c r="BW463" s="141"/>
    </row>
    <row r="464" spans="2:75" s="134" customFormat="1" x14ac:dyDescent="0.2">
      <c r="B464" s="145"/>
      <c r="D464" s="145"/>
      <c r="AA464" s="141"/>
      <c r="AE464" s="140"/>
      <c r="AI464" s="141"/>
      <c r="AM464" s="141"/>
      <c r="AY464" s="141"/>
      <c r="BC464" s="141"/>
      <c r="BG464" s="141"/>
      <c r="BK464" s="141"/>
      <c r="BO464" s="141"/>
      <c r="BW464" s="141"/>
    </row>
    <row r="465" spans="2:75" s="134" customFormat="1" x14ac:dyDescent="0.2">
      <c r="B465" s="145"/>
      <c r="D465" s="145"/>
      <c r="AA465" s="141"/>
      <c r="AE465" s="140"/>
      <c r="AI465" s="141"/>
      <c r="AM465" s="141"/>
      <c r="AY465" s="141"/>
      <c r="BC465" s="141"/>
      <c r="BG465" s="141"/>
      <c r="BK465" s="141"/>
      <c r="BO465" s="141"/>
      <c r="BW465" s="141"/>
    </row>
    <row r="466" spans="2:75" s="134" customFormat="1" x14ac:dyDescent="0.2">
      <c r="B466" s="145"/>
      <c r="D466" s="145"/>
      <c r="AA466" s="141"/>
      <c r="AE466" s="140"/>
      <c r="AI466" s="141"/>
      <c r="AM466" s="141"/>
      <c r="AY466" s="141"/>
      <c r="BC466" s="141"/>
      <c r="BG466" s="141"/>
      <c r="BK466" s="141"/>
      <c r="BO466" s="141"/>
      <c r="BW466" s="141"/>
    </row>
    <row r="467" spans="2:75" s="134" customFormat="1" x14ac:dyDescent="0.2">
      <c r="B467" s="145"/>
      <c r="D467" s="145"/>
      <c r="AA467" s="141"/>
      <c r="AE467" s="140"/>
      <c r="AI467" s="141"/>
      <c r="AM467" s="141"/>
      <c r="AY467" s="141"/>
      <c r="BC467" s="141"/>
      <c r="BG467" s="141"/>
      <c r="BK467" s="141"/>
      <c r="BO467" s="141"/>
      <c r="BW467" s="141"/>
    </row>
    <row r="468" spans="2:75" s="134" customFormat="1" x14ac:dyDescent="0.2">
      <c r="B468" s="145"/>
      <c r="D468" s="145"/>
      <c r="AA468" s="141"/>
      <c r="AE468" s="140"/>
      <c r="AI468" s="141"/>
      <c r="AM468" s="141"/>
      <c r="AY468" s="141"/>
      <c r="BC468" s="141"/>
      <c r="BG468" s="141"/>
      <c r="BK468" s="141"/>
      <c r="BO468" s="141"/>
      <c r="BW468" s="141"/>
    </row>
    <row r="469" spans="2:75" s="134" customFormat="1" x14ac:dyDescent="0.2">
      <c r="B469" s="145"/>
      <c r="D469" s="145"/>
      <c r="AA469" s="141"/>
      <c r="AE469" s="140"/>
      <c r="AI469" s="141"/>
      <c r="AM469" s="141"/>
      <c r="AY469" s="141"/>
      <c r="BC469" s="141"/>
      <c r="BG469" s="141"/>
      <c r="BK469" s="141"/>
      <c r="BO469" s="141"/>
      <c r="BW469" s="141"/>
    </row>
    <row r="470" spans="2:75" s="134" customFormat="1" x14ac:dyDescent="0.2">
      <c r="B470" s="145"/>
      <c r="D470" s="145"/>
      <c r="AA470" s="141"/>
      <c r="AE470" s="140"/>
      <c r="AI470" s="141"/>
      <c r="AM470" s="141"/>
      <c r="AY470" s="141"/>
      <c r="BC470" s="141"/>
      <c r="BG470" s="141"/>
      <c r="BK470" s="141"/>
      <c r="BO470" s="141"/>
      <c r="BW470" s="141"/>
    </row>
    <row r="471" spans="2:75" s="134" customFormat="1" x14ac:dyDescent="0.2">
      <c r="B471" s="145"/>
      <c r="D471" s="145"/>
      <c r="AA471" s="141"/>
      <c r="AE471" s="140"/>
      <c r="AI471" s="141"/>
      <c r="AM471" s="141"/>
      <c r="AY471" s="141"/>
      <c r="BC471" s="141"/>
      <c r="BG471" s="141"/>
      <c r="BK471" s="141"/>
      <c r="BO471" s="141"/>
      <c r="BW471" s="141"/>
    </row>
    <row r="472" spans="2:75" s="134" customFormat="1" x14ac:dyDescent="0.2">
      <c r="B472" s="145"/>
      <c r="D472" s="145"/>
      <c r="AA472" s="141"/>
      <c r="AE472" s="140"/>
      <c r="AI472" s="141"/>
      <c r="AM472" s="141"/>
      <c r="AY472" s="141"/>
      <c r="BC472" s="141"/>
      <c r="BG472" s="141"/>
      <c r="BK472" s="141"/>
      <c r="BO472" s="141"/>
      <c r="BW472" s="141"/>
    </row>
    <row r="473" spans="2:75" s="134" customFormat="1" x14ac:dyDescent="0.2">
      <c r="B473" s="145"/>
      <c r="D473" s="145"/>
      <c r="AA473" s="141"/>
      <c r="AE473" s="140"/>
      <c r="AI473" s="141"/>
      <c r="AM473" s="141"/>
      <c r="AY473" s="141"/>
      <c r="BC473" s="141"/>
      <c r="BG473" s="141"/>
      <c r="BK473" s="141"/>
      <c r="BO473" s="141"/>
      <c r="BW473" s="141"/>
    </row>
    <row r="474" spans="2:75" s="134" customFormat="1" x14ac:dyDescent="0.2">
      <c r="B474" s="145"/>
      <c r="D474" s="145"/>
      <c r="AA474" s="141"/>
      <c r="AE474" s="140"/>
      <c r="AI474" s="141"/>
      <c r="AM474" s="141"/>
      <c r="AY474" s="141"/>
      <c r="BC474" s="141"/>
      <c r="BG474" s="141"/>
      <c r="BK474" s="141"/>
      <c r="BO474" s="141"/>
      <c r="BW474" s="141"/>
    </row>
    <row r="475" spans="2:75" s="134" customFormat="1" x14ac:dyDescent="0.2">
      <c r="B475" s="145"/>
      <c r="D475" s="145"/>
      <c r="AA475" s="141"/>
      <c r="AE475" s="140"/>
      <c r="AI475" s="141"/>
      <c r="AM475" s="141"/>
      <c r="AY475" s="141"/>
      <c r="BC475" s="141"/>
      <c r="BG475" s="141"/>
      <c r="BK475" s="141"/>
      <c r="BO475" s="141"/>
      <c r="BW475" s="141"/>
    </row>
    <row r="476" spans="2:75" s="134" customFormat="1" x14ac:dyDescent="0.2">
      <c r="B476" s="145"/>
      <c r="D476" s="145"/>
      <c r="AA476" s="141"/>
      <c r="AE476" s="140"/>
      <c r="AI476" s="141"/>
      <c r="AM476" s="141"/>
      <c r="AY476" s="141"/>
      <c r="BC476" s="141"/>
      <c r="BG476" s="141"/>
      <c r="BK476" s="141"/>
      <c r="BO476" s="141"/>
      <c r="BW476" s="141"/>
    </row>
    <row r="477" spans="2:75" s="134" customFormat="1" x14ac:dyDescent="0.2">
      <c r="B477" s="145"/>
      <c r="D477" s="145"/>
      <c r="AA477" s="141"/>
      <c r="AE477" s="140"/>
      <c r="AI477" s="141"/>
      <c r="AM477" s="141"/>
      <c r="AY477" s="141"/>
      <c r="BC477" s="141"/>
      <c r="BG477" s="141"/>
      <c r="BK477" s="141"/>
      <c r="BO477" s="141"/>
      <c r="BW477" s="141"/>
    </row>
    <row r="478" spans="2:75" s="134" customFormat="1" x14ac:dyDescent="0.2">
      <c r="B478" s="145"/>
      <c r="D478" s="145"/>
      <c r="AA478" s="141"/>
      <c r="AE478" s="140"/>
      <c r="AI478" s="141"/>
      <c r="AM478" s="141"/>
      <c r="AY478" s="141"/>
      <c r="BC478" s="141"/>
      <c r="BG478" s="141"/>
      <c r="BK478" s="141"/>
      <c r="BO478" s="141"/>
      <c r="BW478" s="141"/>
    </row>
    <row r="479" spans="2:75" s="134" customFormat="1" x14ac:dyDescent="0.2">
      <c r="B479" s="145"/>
      <c r="D479" s="145"/>
      <c r="AA479" s="141"/>
      <c r="AE479" s="140"/>
      <c r="AI479" s="141"/>
      <c r="AM479" s="141"/>
      <c r="AY479" s="141"/>
      <c r="BC479" s="141"/>
      <c r="BG479" s="141"/>
      <c r="BK479" s="141"/>
      <c r="BO479" s="141"/>
      <c r="BW479" s="141"/>
    </row>
    <row r="480" spans="2:75" s="134" customFormat="1" x14ac:dyDescent="0.2">
      <c r="B480" s="145"/>
      <c r="D480" s="145"/>
      <c r="AA480" s="141"/>
      <c r="AE480" s="140"/>
      <c r="AI480" s="141"/>
      <c r="AM480" s="141"/>
      <c r="AY480" s="141"/>
      <c r="BC480" s="141"/>
      <c r="BG480" s="141"/>
      <c r="BK480" s="141"/>
      <c r="BO480" s="141"/>
      <c r="BW480" s="141"/>
    </row>
    <row r="481" spans="2:75" s="134" customFormat="1" x14ac:dyDescent="0.2">
      <c r="B481" s="145"/>
      <c r="D481" s="145"/>
      <c r="AA481" s="141"/>
      <c r="AE481" s="140"/>
      <c r="AI481" s="141"/>
      <c r="AM481" s="141"/>
      <c r="AY481" s="141"/>
      <c r="BC481" s="141"/>
      <c r="BG481" s="141"/>
      <c r="BK481" s="141"/>
      <c r="BO481" s="141"/>
      <c r="BW481" s="141"/>
    </row>
    <row r="482" spans="2:75" s="134" customFormat="1" x14ac:dyDescent="0.2">
      <c r="B482" s="145"/>
      <c r="D482" s="145"/>
      <c r="AA482" s="141"/>
      <c r="AE482" s="140"/>
      <c r="AI482" s="141"/>
      <c r="AM482" s="141"/>
      <c r="AY482" s="141"/>
      <c r="BC482" s="141"/>
      <c r="BG482" s="141"/>
      <c r="BK482" s="141"/>
      <c r="BO482" s="141"/>
      <c r="BW482" s="141"/>
    </row>
    <row r="483" spans="2:75" s="134" customFormat="1" x14ac:dyDescent="0.2">
      <c r="B483" s="145"/>
      <c r="D483" s="145"/>
      <c r="AA483" s="141"/>
      <c r="AE483" s="140"/>
      <c r="AI483" s="141"/>
      <c r="AM483" s="141"/>
      <c r="AY483" s="141"/>
      <c r="BC483" s="141"/>
      <c r="BG483" s="141"/>
      <c r="BK483" s="141"/>
      <c r="BO483" s="141"/>
      <c r="BW483" s="141"/>
    </row>
    <row r="484" spans="2:75" s="134" customFormat="1" x14ac:dyDescent="0.2">
      <c r="B484" s="145"/>
      <c r="D484" s="145"/>
      <c r="AA484" s="141"/>
      <c r="AE484" s="140"/>
      <c r="AI484" s="141"/>
      <c r="AM484" s="141"/>
      <c r="AY484" s="141"/>
      <c r="BC484" s="141"/>
      <c r="BG484" s="141"/>
      <c r="BK484" s="141"/>
      <c r="BO484" s="141"/>
      <c r="BW484" s="141"/>
    </row>
    <row r="485" spans="2:75" s="134" customFormat="1" x14ac:dyDescent="0.2">
      <c r="B485" s="145"/>
      <c r="D485" s="145"/>
      <c r="AA485" s="141"/>
      <c r="AE485" s="140"/>
      <c r="AI485" s="141"/>
      <c r="AM485" s="141"/>
      <c r="AY485" s="141"/>
      <c r="BC485" s="141"/>
      <c r="BG485" s="141"/>
      <c r="BK485" s="141"/>
      <c r="BO485" s="141"/>
      <c r="BW485" s="141"/>
    </row>
    <row r="486" spans="2:75" s="134" customFormat="1" x14ac:dyDescent="0.2">
      <c r="B486" s="145"/>
      <c r="D486" s="145"/>
      <c r="AA486" s="141"/>
      <c r="AE486" s="140"/>
      <c r="AI486" s="141"/>
      <c r="AM486" s="141"/>
      <c r="AY486" s="141"/>
      <c r="BC486" s="141"/>
      <c r="BG486" s="141"/>
      <c r="BK486" s="141"/>
      <c r="BO486" s="141"/>
      <c r="BW486" s="141"/>
    </row>
    <row r="487" spans="2:75" s="134" customFormat="1" x14ac:dyDescent="0.2">
      <c r="B487" s="145"/>
      <c r="D487" s="145"/>
      <c r="AA487" s="141"/>
      <c r="AE487" s="140"/>
      <c r="AI487" s="141"/>
      <c r="AM487" s="141"/>
      <c r="AY487" s="141"/>
      <c r="BC487" s="141"/>
      <c r="BG487" s="141"/>
      <c r="BK487" s="141"/>
      <c r="BO487" s="141"/>
      <c r="BW487" s="141"/>
    </row>
    <row r="488" spans="2:75" s="134" customFormat="1" x14ac:dyDescent="0.2">
      <c r="B488" s="145"/>
      <c r="D488" s="145"/>
      <c r="AA488" s="141"/>
      <c r="AE488" s="140"/>
      <c r="AI488" s="141"/>
      <c r="AM488" s="141"/>
      <c r="AY488" s="141"/>
      <c r="BC488" s="141"/>
      <c r="BG488" s="141"/>
      <c r="BK488" s="141"/>
      <c r="BO488" s="141"/>
      <c r="BW488" s="141"/>
    </row>
    <row r="489" spans="2:75" s="134" customFormat="1" x14ac:dyDescent="0.2">
      <c r="B489" s="145"/>
      <c r="D489" s="145"/>
      <c r="AA489" s="141"/>
      <c r="AE489" s="140"/>
      <c r="AI489" s="141"/>
      <c r="AM489" s="141"/>
      <c r="AY489" s="141"/>
      <c r="BC489" s="141"/>
      <c r="BG489" s="141"/>
      <c r="BK489" s="141"/>
      <c r="BO489" s="141"/>
      <c r="BW489" s="141"/>
    </row>
    <row r="490" spans="2:75" s="134" customFormat="1" x14ac:dyDescent="0.2">
      <c r="B490" s="145"/>
      <c r="D490" s="145"/>
      <c r="AA490" s="141"/>
      <c r="AE490" s="140"/>
      <c r="AI490" s="141"/>
      <c r="AM490" s="141"/>
      <c r="AY490" s="141"/>
      <c r="BC490" s="141"/>
      <c r="BG490" s="141"/>
      <c r="BK490" s="141"/>
      <c r="BO490" s="141"/>
      <c r="BW490" s="141"/>
    </row>
    <row r="491" spans="2:75" s="134" customFormat="1" x14ac:dyDescent="0.2">
      <c r="B491" s="145"/>
      <c r="D491" s="145"/>
      <c r="AA491" s="141"/>
      <c r="AE491" s="140"/>
      <c r="AI491" s="141"/>
      <c r="AM491" s="141"/>
      <c r="AY491" s="141"/>
      <c r="BC491" s="141"/>
      <c r="BG491" s="141"/>
      <c r="BK491" s="141"/>
      <c r="BO491" s="141"/>
      <c r="BW491" s="141"/>
    </row>
    <row r="492" spans="2:75" s="134" customFormat="1" x14ac:dyDescent="0.2">
      <c r="B492" s="145"/>
      <c r="D492" s="145"/>
      <c r="AA492" s="141"/>
      <c r="AE492" s="140"/>
      <c r="AI492" s="141"/>
      <c r="AM492" s="141"/>
      <c r="AY492" s="141"/>
      <c r="BC492" s="141"/>
      <c r="BG492" s="141"/>
      <c r="BK492" s="141"/>
      <c r="BO492" s="141"/>
      <c r="BW492" s="141"/>
    </row>
    <row r="493" spans="2:75" s="134" customFormat="1" x14ac:dyDescent="0.2">
      <c r="B493" s="145"/>
      <c r="D493" s="145"/>
      <c r="AA493" s="141"/>
      <c r="AE493" s="140"/>
      <c r="AI493" s="141"/>
      <c r="AM493" s="141"/>
      <c r="AY493" s="141"/>
      <c r="BC493" s="141"/>
      <c r="BG493" s="141"/>
      <c r="BK493" s="141"/>
      <c r="BO493" s="141"/>
      <c r="BW493" s="141"/>
    </row>
    <row r="494" spans="2:75" s="134" customFormat="1" x14ac:dyDescent="0.2">
      <c r="B494" s="145"/>
      <c r="D494" s="145"/>
      <c r="AA494" s="141"/>
      <c r="AE494" s="140"/>
      <c r="AI494" s="141"/>
      <c r="AM494" s="141"/>
      <c r="AY494" s="141"/>
      <c r="BC494" s="141"/>
      <c r="BG494" s="141"/>
      <c r="BK494" s="141"/>
      <c r="BO494" s="141"/>
      <c r="BW494" s="141"/>
    </row>
    <row r="495" spans="2:75" s="134" customFormat="1" x14ac:dyDescent="0.2">
      <c r="B495" s="145"/>
      <c r="D495" s="145"/>
      <c r="AA495" s="141"/>
      <c r="AE495" s="140"/>
      <c r="AI495" s="141"/>
      <c r="AM495" s="141"/>
      <c r="AY495" s="141"/>
      <c r="BC495" s="141"/>
      <c r="BG495" s="141"/>
      <c r="BK495" s="141"/>
      <c r="BO495" s="141"/>
      <c r="BW495" s="141"/>
    </row>
    <row r="496" spans="2:75" s="134" customFormat="1" x14ac:dyDescent="0.2">
      <c r="B496" s="145"/>
      <c r="D496" s="145"/>
      <c r="AA496" s="141"/>
      <c r="AE496" s="140"/>
      <c r="AI496" s="141"/>
      <c r="AM496" s="141"/>
      <c r="AY496" s="141"/>
      <c r="BC496" s="141"/>
      <c r="BG496" s="141"/>
      <c r="BK496" s="141"/>
      <c r="BO496" s="141"/>
      <c r="BW496" s="141"/>
    </row>
    <row r="497" spans="2:75" s="134" customFormat="1" x14ac:dyDescent="0.2">
      <c r="B497" s="145"/>
      <c r="D497" s="145"/>
      <c r="AA497" s="141"/>
      <c r="AE497" s="140"/>
      <c r="AI497" s="141"/>
      <c r="AM497" s="141"/>
      <c r="AY497" s="141"/>
      <c r="BC497" s="141"/>
      <c r="BG497" s="141"/>
      <c r="BK497" s="141"/>
      <c r="BO497" s="141"/>
      <c r="BW497" s="141"/>
    </row>
    <row r="498" spans="2:75" s="134" customFormat="1" x14ac:dyDescent="0.2">
      <c r="B498" s="145"/>
      <c r="D498" s="145"/>
      <c r="AA498" s="141"/>
      <c r="AE498" s="140"/>
      <c r="AI498" s="141"/>
      <c r="AM498" s="141"/>
      <c r="AY498" s="141"/>
      <c r="BC498" s="141"/>
      <c r="BG498" s="141"/>
      <c r="BK498" s="141"/>
      <c r="BO498" s="141"/>
      <c r="BW498" s="141"/>
    </row>
    <row r="499" spans="2:75" s="134" customFormat="1" x14ac:dyDescent="0.2">
      <c r="B499" s="145"/>
      <c r="D499" s="145"/>
      <c r="AA499" s="141"/>
      <c r="AE499" s="140"/>
      <c r="AI499" s="141"/>
      <c r="AM499" s="141"/>
      <c r="AY499" s="141"/>
      <c r="BC499" s="141"/>
      <c r="BG499" s="141"/>
      <c r="BK499" s="141"/>
      <c r="BO499" s="141"/>
      <c r="BW499" s="141"/>
    </row>
    <row r="500" spans="2:75" s="134" customFormat="1" x14ac:dyDescent="0.2">
      <c r="B500" s="145"/>
      <c r="D500" s="145"/>
      <c r="AA500" s="141"/>
      <c r="AE500" s="140"/>
      <c r="AI500" s="141"/>
      <c r="AM500" s="141"/>
      <c r="AY500" s="141"/>
      <c r="BC500" s="141"/>
      <c r="BG500" s="141"/>
      <c r="BK500" s="141"/>
      <c r="BO500" s="141"/>
      <c r="BW500" s="141"/>
    </row>
    <row r="501" spans="2:75" s="134" customFormat="1" x14ac:dyDescent="0.2">
      <c r="B501" s="145"/>
      <c r="D501" s="145"/>
      <c r="AA501" s="141"/>
      <c r="AE501" s="140"/>
      <c r="AI501" s="141"/>
      <c r="AM501" s="141"/>
      <c r="AY501" s="141"/>
      <c r="BC501" s="141"/>
      <c r="BG501" s="141"/>
      <c r="BK501" s="141"/>
      <c r="BO501" s="141"/>
      <c r="BW501" s="141"/>
    </row>
    <row r="502" spans="2:75" s="134" customFormat="1" x14ac:dyDescent="0.2">
      <c r="B502" s="145"/>
      <c r="D502" s="145"/>
      <c r="AA502" s="141"/>
      <c r="AE502" s="140"/>
      <c r="AI502" s="141"/>
      <c r="AM502" s="141"/>
      <c r="AY502" s="141"/>
      <c r="BC502" s="141"/>
      <c r="BG502" s="141"/>
      <c r="BK502" s="141"/>
      <c r="BO502" s="141"/>
      <c r="BW502" s="141"/>
    </row>
    <row r="503" spans="2:75" s="134" customFormat="1" x14ac:dyDescent="0.2">
      <c r="B503" s="145"/>
      <c r="D503" s="145"/>
      <c r="AA503" s="141"/>
      <c r="AE503" s="140"/>
      <c r="AI503" s="141"/>
      <c r="AM503" s="141"/>
      <c r="AY503" s="141"/>
      <c r="BC503" s="141"/>
      <c r="BG503" s="141"/>
      <c r="BK503" s="141"/>
      <c r="BO503" s="141"/>
      <c r="BW503" s="141"/>
    </row>
    <row r="504" spans="2:75" s="134" customFormat="1" x14ac:dyDescent="0.2">
      <c r="B504" s="145"/>
      <c r="D504" s="145"/>
      <c r="AA504" s="141"/>
      <c r="AE504" s="140"/>
      <c r="AI504" s="141"/>
      <c r="AM504" s="141"/>
      <c r="AY504" s="141"/>
      <c r="BC504" s="141"/>
      <c r="BG504" s="141"/>
      <c r="BK504" s="141"/>
      <c r="BO504" s="141"/>
      <c r="BW504" s="141"/>
    </row>
    <row r="505" spans="2:75" s="134" customFormat="1" x14ac:dyDescent="0.2">
      <c r="B505" s="145"/>
      <c r="D505" s="145"/>
      <c r="AA505" s="141"/>
      <c r="AE505" s="140"/>
      <c r="AI505" s="141"/>
      <c r="AM505" s="141"/>
      <c r="AY505" s="141"/>
      <c r="BC505" s="141"/>
      <c r="BG505" s="141"/>
      <c r="BK505" s="141"/>
      <c r="BO505" s="141"/>
      <c r="BW505" s="141"/>
    </row>
    <row r="506" spans="2:75" s="134" customFormat="1" x14ac:dyDescent="0.2">
      <c r="B506" s="145"/>
      <c r="D506" s="145"/>
      <c r="AA506" s="141"/>
      <c r="AE506" s="140"/>
      <c r="AI506" s="141"/>
      <c r="AM506" s="141"/>
      <c r="AY506" s="141"/>
      <c r="BC506" s="141"/>
      <c r="BG506" s="141"/>
      <c r="BK506" s="141"/>
      <c r="BO506" s="141"/>
      <c r="BW506" s="141"/>
    </row>
    <row r="507" spans="2:75" s="134" customFormat="1" x14ac:dyDescent="0.2">
      <c r="B507" s="145"/>
      <c r="D507" s="145"/>
      <c r="AA507" s="141"/>
      <c r="AE507" s="140"/>
      <c r="AI507" s="141"/>
      <c r="AM507" s="141"/>
      <c r="AY507" s="141"/>
      <c r="BC507" s="141"/>
      <c r="BG507" s="141"/>
      <c r="BK507" s="141"/>
      <c r="BO507" s="141"/>
      <c r="BW507" s="141"/>
    </row>
    <row r="508" spans="2:75" s="134" customFormat="1" x14ac:dyDescent="0.2">
      <c r="B508" s="145"/>
      <c r="D508" s="145"/>
      <c r="AA508" s="141"/>
      <c r="AE508" s="140"/>
      <c r="AI508" s="141"/>
      <c r="AM508" s="141"/>
      <c r="AY508" s="141"/>
      <c r="BC508" s="141"/>
      <c r="BG508" s="141"/>
      <c r="BK508" s="141"/>
      <c r="BO508" s="141"/>
      <c r="BW508" s="141"/>
    </row>
    <row r="509" spans="2:75" s="134" customFormat="1" x14ac:dyDescent="0.2">
      <c r="B509" s="145"/>
      <c r="D509" s="145"/>
      <c r="AA509" s="141"/>
      <c r="AE509" s="140"/>
      <c r="AI509" s="141"/>
      <c r="AM509" s="141"/>
      <c r="AY509" s="141"/>
      <c r="BC509" s="141"/>
      <c r="BG509" s="141"/>
      <c r="BK509" s="141"/>
      <c r="BO509" s="141"/>
      <c r="BW509" s="141"/>
    </row>
    <row r="510" spans="2:75" s="134" customFormat="1" x14ac:dyDescent="0.2">
      <c r="B510" s="145"/>
      <c r="D510" s="145"/>
      <c r="AA510" s="141"/>
      <c r="AE510" s="140"/>
      <c r="AI510" s="141"/>
      <c r="AM510" s="141"/>
      <c r="AY510" s="141"/>
      <c r="BC510" s="141"/>
      <c r="BG510" s="141"/>
      <c r="BK510" s="141"/>
      <c r="BO510" s="141"/>
      <c r="BW510" s="141"/>
    </row>
    <row r="511" spans="2:75" s="134" customFormat="1" x14ac:dyDescent="0.2">
      <c r="B511" s="145"/>
      <c r="D511" s="145"/>
      <c r="AA511" s="141"/>
      <c r="AE511" s="140"/>
      <c r="AI511" s="141"/>
      <c r="AM511" s="141"/>
      <c r="AY511" s="141"/>
      <c r="BC511" s="141"/>
      <c r="BG511" s="141"/>
      <c r="BK511" s="141"/>
      <c r="BO511" s="141"/>
      <c r="BW511" s="141"/>
    </row>
    <row r="512" spans="2:75" s="134" customFormat="1" x14ac:dyDescent="0.2">
      <c r="B512" s="145"/>
      <c r="D512" s="145"/>
      <c r="AA512" s="141"/>
      <c r="AE512" s="140"/>
      <c r="AI512" s="141"/>
      <c r="AM512" s="141"/>
      <c r="AY512" s="141"/>
      <c r="BC512" s="141"/>
      <c r="BG512" s="141"/>
      <c r="BK512" s="141"/>
      <c r="BO512" s="141"/>
      <c r="BW512" s="141"/>
    </row>
    <row r="513" spans="2:75" s="134" customFormat="1" x14ac:dyDescent="0.2">
      <c r="B513" s="145"/>
      <c r="D513" s="145"/>
      <c r="AA513" s="141"/>
      <c r="AE513" s="140"/>
      <c r="AI513" s="141"/>
      <c r="AM513" s="141"/>
      <c r="AY513" s="141"/>
      <c r="BC513" s="141"/>
      <c r="BG513" s="141"/>
      <c r="BK513" s="141"/>
      <c r="BO513" s="141"/>
      <c r="BW513" s="141"/>
    </row>
    <row r="514" spans="2:75" s="134" customFormat="1" x14ac:dyDescent="0.2">
      <c r="B514" s="145"/>
      <c r="D514" s="145"/>
      <c r="AA514" s="141"/>
      <c r="AE514" s="140"/>
      <c r="AI514" s="141"/>
      <c r="AM514" s="141"/>
      <c r="AY514" s="141"/>
      <c r="BC514" s="141"/>
      <c r="BG514" s="141"/>
      <c r="BK514" s="141"/>
      <c r="BO514" s="141"/>
      <c r="BW514" s="141"/>
    </row>
    <row r="515" spans="2:75" s="134" customFormat="1" x14ac:dyDescent="0.2">
      <c r="B515" s="145"/>
      <c r="D515" s="145"/>
      <c r="AA515" s="141"/>
      <c r="AE515" s="140"/>
      <c r="AI515" s="141"/>
      <c r="AM515" s="141"/>
      <c r="AY515" s="141"/>
      <c r="BC515" s="141"/>
      <c r="BG515" s="141"/>
      <c r="BK515" s="141"/>
      <c r="BO515" s="141"/>
      <c r="BW515" s="141"/>
    </row>
    <row r="516" spans="2:75" s="134" customFormat="1" x14ac:dyDescent="0.2">
      <c r="B516" s="145"/>
      <c r="D516" s="145"/>
      <c r="AA516" s="141"/>
      <c r="AE516" s="140"/>
      <c r="AI516" s="141"/>
      <c r="AM516" s="141"/>
      <c r="AY516" s="141"/>
      <c r="BC516" s="141"/>
      <c r="BG516" s="141"/>
      <c r="BK516" s="141"/>
      <c r="BO516" s="141"/>
      <c r="BW516" s="141"/>
    </row>
    <row r="517" spans="2:75" s="134" customFormat="1" x14ac:dyDescent="0.2">
      <c r="B517" s="145"/>
      <c r="D517" s="145"/>
      <c r="AA517" s="141"/>
      <c r="AE517" s="140"/>
      <c r="AI517" s="141"/>
      <c r="AM517" s="141"/>
      <c r="AY517" s="141"/>
      <c r="BC517" s="141"/>
      <c r="BG517" s="141"/>
      <c r="BK517" s="141"/>
      <c r="BO517" s="141"/>
      <c r="BW517" s="141"/>
    </row>
    <row r="518" spans="2:75" s="134" customFormat="1" x14ac:dyDescent="0.2">
      <c r="B518" s="145"/>
      <c r="D518" s="145"/>
      <c r="AA518" s="141"/>
      <c r="AE518" s="140"/>
      <c r="AI518" s="141"/>
      <c r="AM518" s="141"/>
      <c r="AY518" s="141"/>
      <c r="BC518" s="141"/>
      <c r="BG518" s="141"/>
      <c r="BK518" s="141"/>
      <c r="BO518" s="141"/>
      <c r="BW518" s="141"/>
    </row>
    <row r="519" spans="2:75" s="134" customFormat="1" x14ac:dyDescent="0.2">
      <c r="B519" s="145"/>
      <c r="D519" s="145"/>
      <c r="AA519" s="141"/>
      <c r="AE519" s="140"/>
      <c r="AI519" s="141"/>
      <c r="AM519" s="141"/>
      <c r="AY519" s="141"/>
      <c r="BC519" s="141"/>
      <c r="BG519" s="141"/>
      <c r="BK519" s="141"/>
      <c r="BO519" s="141"/>
      <c r="BW519" s="141"/>
    </row>
    <row r="520" spans="2:75" s="134" customFormat="1" x14ac:dyDescent="0.2">
      <c r="B520" s="145"/>
      <c r="D520" s="145"/>
      <c r="AA520" s="141"/>
      <c r="AE520" s="140"/>
      <c r="AI520" s="141"/>
      <c r="AM520" s="141"/>
      <c r="AY520" s="141"/>
      <c r="BC520" s="141"/>
      <c r="BG520" s="141"/>
      <c r="BK520" s="141"/>
      <c r="BO520" s="141"/>
      <c r="BW520" s="141"/>
    </row>
    <row r="521" spans="2:75" s="134" customFormat="1" x14ac:dyDescent="0.2">
      <c r="B521" s="145"/>
      <c r="D521" s="145"/>
      <c r="AA521" s="141"/>
      <c r="AE521" s="140"/>
      <c r="AI521" s="141"/>
      <c r="AM521" s="141"/>
      <c r="AY521" s="141"/>
      <c r="BC521" s="141"/>
      <c r="BG521" s="141"/>
      <c r="BK521" s="141"/>
      <c r="BO521" s="141"/>
      <c r="BW521" s="141"/>
    </row>
    <row r="522" spans="2:75" s="134" customFormat="1" x14ac:dyDescent="0.2">
      <c r="B522" s="145"/>
      <c r="D522" s="145"/>
      <c r="AA522" s="141"/>
      <c r="AE522" s="140"/>
      <c r="AI522" s="141"/>
      <c r="AM522" s="141"/>
      <c r="AY522" s="141"/>
      <c r="BC522" s="141"/>
      <c r="BG522" s="141"/>
      <c r="BK522" s="141"/>
      <c r="BO522" s="141"/>
      <c r="BW522" s="141"/>
    </row>
    <row r="523" spans="2:75" s="134" customFormat="1" x14ac:dyDescent="0.2">
      <c r="B523" s="145"/>
      <c r="D523" s="145"/>
      <c r="AA523" s="141"/>
      <c r="AE523" s="140"/>
      <c r="AI523" s="141"/>
      <c r="AM523" s="141"/>
      <c r="AY523" s="141"/>
      <c r="BC523" s="141"/>
      <c r="BG523" s="141"/>
      <c r="BK523" s="141"/>
      <c r="BO523" s="141"/>
      <c r="BW523" s="141"/>
    </row>
    <row r="524" spans="2:75" s="134" customFormat="1" x14ac:dyDescent="0.2">
      <c r="B524" s="145"/>
      <c r="D524" s="145"/>
      <c r="AA524" s="141"/>
      <c r="AE524" s="140"/>
      <c r="AI524" s="141"/>
      <c r="AM524" s="141"/>
      <c r="AY524" s="141"/>
      <c r="BC524" s="141"/>
      <c r="BG524" s="141"/>
      <c r="BK524" s="141"/>
      <c r="BO524" s="141"/>
      <c r="BW524" s="141"/>
    </row>
    <row r="525" spans="2:75" s="134" customFormat="1" x14ac:dyDescent="0.2">
      <c r="B525" s="145"/>
      <c r="D525" s="145"/>
      <c r="AA525" s="141"/>
      <c r="AE525" s="140"/>
      <c r="AI525" s="141"/>
      <c r="AM525" s="141"/>
      <c r="AY525" s="141"/>
      <c r="BC525" s="141"/>
      <c r="BG525" s="141"/>
      <c r="BK525" s="141"/>
      <c r="BO525" s="141"/>
      <c r="BW525" s="141"/>
    </row>
    <row r="526" spans="2:75" s="134" customFormat="1" x14ac:dyDescent="0.2">
      <c r="B526" s="145"/>
      <c r="D526" s="145"/>
      <c r="AA526" s="141"/>
      <c r="AE526" s="140"/>
      <c r="AI526" s="141"/>
      <c r="AM526" s="141"/>
      <c r="AY526" s="141"/>
      <c r="BC526" s="141"/>
      <c r="BG526" s="141"/>
      <c r="BK526" s="141"/>
      <c r="BO526" s="141"/>
      <c r="BW526" s="141"/>
    </row>
    <row r="527" spans="2:75" s="134" customFormat="1" x14ac:dyDescent="0.2">
      <c r="B527" s="145"/>
      <c r="D527" s="145"/>
      <c r="AA527" s="141"/>
      <c r="AE527" s="140"/>
      <c r="AI527" s="141"/>
      <c r="AM527" s="141"/>
      <c r="AY527" s="141"/>
      <c r="BC527" s="141"/>
      <c r="BG527" s="141"/>
      <c r="BK527" s="141"/>
      <c r="BO527" s="141"/>
      <c r="BW527" s="141"/>
    </row>
    <row r="528" spans="2:75" s="134" customFormat="1" x14ac:dyDescent="0.2">
      <c r="B528" s="145"/>
      <c r="D528" s="145"/>
      <c r="AA528" s="141"/>
      <c r="AE528" s="140"/>
      <c r="AI528" s="141"/>
      <c r="AM528" s="141"/>
      <c r="AY528" s="141"/>
      <c r="BC528" s="141"/>
      <c r="BG528" s="141"/>
      <c r="BK528" s="141"/>
      <c r="BO528" s="141"/>
      <c r="BW528" s="141"/>
    </row>
    <row r="529" spans="2:75" s="134" customFormat="1" x14ac:dyDescent="0.2">
      <c r="B529" s="145"/>
      <c r="D529" s="145"/>
      <c r="AA529" s="141"/>
      <c r="AE529" s="140"/>
      <c r="AI529" s="141"/>
      <c r="AM529" s="141"/>
      <c r="AY529" s="141"/>
      <c r="BC529" s="141"/>
      <c r="BG529" s="141"/>
      <c r="BK529" s="141"/>
      <c r="BO529" s="141"/>
      <c r="BW529" s="141"/>
    </row>
    <row r="530" spans="2:75" s="134" customFormat="1" x14ac:dyDescent="0.2">
      <c r="B530" s="145"/>
      <c r="D530" s="145"/>
      <c r="AA530" s="141"/>
      <c r="AE530" s="140"/>
      <c r="AI530" s="141"/>
      <c r="AM530" s="141"/>
      <c r="AY530" s="141"/>
      <c r="BC530" s="141"/>
      <c r="BG530" s="141"/>
      <c r="BK530" s="141"/>
      <c r="BO530" s="141"/>
      <c r="BW530" s="141"/>
    </row>
    <row r="531" spans="2:75" s="134" customFormat="1" x14ac:dyDescent="0.2">
      <c r="B531" s="145"/>
      <c r="D531" s="145"/>
      <c r="AA531" s="141"/>
      <c r="AE531" s="140"/>
      <c r="AI531" s="141"/>
      <c r="AM531" s="141"/>
      <c r="AY531" s="141"/>
      <c r="BC531" s="141"/>
      <c r="BG531" s="141"/>
      <c r="BK531" s="141"/>
      <c r="BO531" s="141"/>
      <c r="BW531" s="141"/>
    </row>
    <row r="532" spans="2:75" s="134" customFormat="1" x14ac:dyDescent="0.2">
      <c r="B532" s="145"/>
      <c r="D532" s="145"/>
      <c r="AA532" s="141"/>
      <c r="AE532" s="140"/>
      <c r="AI532" s="141"/>
      <c r="AM532" s="141"/>
      <c r="AY532" s="141"/>
      <c r="BC532" s="141"/>
      <c r="BG532" s="141"/>
      <c r="BK532" s="141"/>
      <c r="BO532" s="141"/>
      <c r="BW532" s="141"/>
    </row>
    <row r="533" spans="2:75" s="134" customFormat="1" x14ac:dyDescent="0.2">
      <c r="B533" s="145"/>
      <c r="D533" s="145"/>
      <c r="AA533" s="141"/>
      <c r="AE533" s="140"/>
      <c r="AI533" s="141"/>
      <c r="AM533" s="141"/>
      <c r="AY533" s="141"/>
      <c r="BC533" s="141"/>
      <c r="BG533" s="141"/>
      <c r="BK533" s="141"/>
      <c r="BO533" s="141"/>
      <c r="BW533" s="141"/>
    </row>
    <row r="534" spans="2:75" s="134" customFormat="1" x14ac:dyDescent="0.2">
      <c r="B534" s="145"/>
      <c r="D534" s="145"/>
      <c r="AA534" s="141"/>
      <c r="AE534" s="140"/>
      <c r="AI534" s="141"/>
      <c r="AM534" s="141"/>
      <c r="AY534" s="141"/>
      <c r="BC534" s="141"/>
      <c r="BG534" s="141"/>
      <c r="BK534" s="141"/>
      <c r="BO534" s="141"/>
      <c r="BW534" s="141"/>
    </row>
    <row r="535" spans="2:75" s="134" customFormat="1" x14ac:dyDescent="0.2">
      <c r="B535" s="145"/>
      <c r="D535" s="145"/>
      <c r="AA535" s="141"/>
      <c r="AE535" s="140"/>
      <c r="AI535" s="141"/>
      <c r="AM535" s="141"/>
      <c r="AY535" s="141"/>
      <c r="BC535" s="141"/>
      <c r="BG535" s="141"/>
      <c r="BK535" s="141"/>
      <c r="BO535" s="141"/>
      <c r="BW535" s="141"/>
    </row>
    <row r="536" spans="2:75" s="134" customFormat="1" x14ac:dyDescent="0.2">
      <c r="B536" s="145"/>
      <c r="D536" s="145"/>
      <c r="AA536" s="141"/>
      <c r="AE536" s="140"/>
      <c r="AI536" s="141"/>
      <c r="AM536" s="141"/>
      <c r="AY536" s="141"/>
      <c r="BC536" s="141"/>
      <c r="BG536" s="141"/>
      <c r="BK536" s="141"/>
      <c r="BO536" s="141"/>
      <c r="BW536" s="141"/>
    </row>
    <row r="537" spans="2:75" s="134" customFormat="1" x14ac:dyDescent="0.2">
      <c r="B537" s="145"/>
      <c r="D537" s="145"/>
      <c r="AA537" s="141"/>
      <c r="AE537" s="140"/>
      <c r="AI537" s="141"/>
      <c r="AM537" s="141"/>
      <c r="AY537" s="141"/>
      <c r="BC537" s="141"/>
      <c r="BG537" s="141"/>
      <c r="BK537" s="141"/>
      <c r="BO537" s="141"/>
      <c r="BW537" s="141"/>
    </row>
    <row r="538" spans="2:75" s="134" customFormat="1" x14ac:dyDescent="0.2">
      <c r="B538" s="145"/>
      <c r="D538" s="145"/>
      <c r="AA538" s="141"/>
      <c r="AE538" s="140"/>
      <c r="AI538" s="141"/>
      <c r="AM538" s="141"/>
      <c r="AY538" s="141"/>
      <c r="BC538" s="141"/>
      <c r="BG538" s="141"/>
      <c r="BK538" s="141"/>
      <c r="BO538" s="141"/>
      <c r="BW538" s="141"/>
    </row>
    <row r="539" spans="2:75" s="134" customFormat="1" x14ac:dyDescent="0.2">
      <c r="B539" s="145"/>
      <c r="D539" s="145"/>
      <c r="AA539" s="141"/>
      <c r="AE539" s="140"/>
      <c r="AI539" s="141"/>
      <c r="AM539" s="141"/>
      <c r="AY539" s="141"/>
      <c r="BC539" s="141"/>
      <c r="BG539" s="141"/>
      <c r="BK539" s="141"/>
      <c r="BO539" s="141"/>
      <c r="BW539" s="141"/>
    </row>
    <row r="540" spans="2:75" s="134" customFormat="1" x14ac:dyDescent="0.2">
      <c r="B540" s="145"/>
      <c r="D540" s="145"/>
      <c r="AA540" s="141"/>
      <c r="AE540" s="140"/>
      <c r="AI540" s="141"/>
      <c r="AM540" s="141"/>
      <c r="AY540" s="141"/>
      <c r="BC540" s="141"/>
      <c r="BG540" s="141"/>
      <c r="BK540" s="141"/>
      <c r="BO540" s="141"/>
      <c r="BW540" s="141"/>
    </row>
    <row r="541" spans="2:75" s="134" customFormat="1" x14ac:dyDescent="0.2">
      <c r="B541" s="145"/>
      <c r="D541" s="145"/>
      <c r="AA541" s="141"/>
      <c r="AE541" s="140"/>
      <c r="AI541" s="141"/>
      <c r="AM541" s="141"/>
      <c r="AY541" s="141"/>
      <c r="BC541" s="141"/>
      <c r="BG541" s="141"/>
      <c r="BK541" s="141"/>
      <c r="BO541" s="141"/>
      <c r="BW541" s="141"/>
    </row>
    <row r="542" spans="2:75" s="134" customFormat="1" x14ac:dyDescent="0.2">
      <c r="B542" s="145"/>
      <c r="D542" s="145"/>
      <c r="AA542" s="141"/>
      <c r="AE542" s="140"/>
      <c r="AI542" s="141"/>
      <c r="AM542" s="141"/>
      <c r="AY542" s="141"/>
      <c r="BC542" s="141"/>
      <c r="BG542" s="141"/>
      <c r="BK542" s="141"/>
      <c r="BO542" s="141"/>
      <c r="BW542" s="141"/>
    </row>
    <row r="543" spans="2:75" s="134" customFormat="1" x14ac:dyDescent="0.2">
      <c r="B543" s="145"/>
      <c r="D543" s="145"/>
      <c r="AA543" s="141"/>
      <c r="AE543" s="140"/>
      <c r="AI543" s="141"/>
      <c r="AM543" s="141"/>
      <c r="AY543" s="141"/>
      <c r="BC543" s="141"/>
      <c r="BG543" s="141"/>
      <c r="BK543" s="141"/>
      <c r="BO543" s="141"/>
      <c r="BW543" s="141"/>
    </row>
    <row r="544" spans="2:75" s="134" customFormat="1" x14ac:dyDescent="0.2">
      <c r="B544" s="145"/>
      <c r="D544" s="145"/>
      <c r="AA544" s="141"/>
      <c r="AE544" s="140"/>
      <c r="AI544" s="141"/>
      <c r="AM544" s="141"/>
      <c r="AY544" s="141"/>
      <c r="BC544" s="141"/>
      <c r="BG544" s="141"/>
      <c r="BK544" s="141"/>
      <c r="BO544" s="141"/>
      <c r="BW544" s="141"/>
    </row>
    <row r="545" spans="2:75" s="134" customFormat="1" x14ac:dyDescent="0.2">
      <c r="B545" s="145"/>
      <c r="D545" s="145"/>
      <c r="AA545" s="141"/>
      <c r="AE545" s="140"/>
      <c r="AI545" s="141"/>
      <c r="AM545" s="141"/>
      <c r="AY545" s="141"/>
      <c r="BC545" s="141"/>
      <c r="BG545" s="141"/>
      <c r="BK545" s="141"/>
      <c r="BO545" s="141"/>
      <c r="BW545" s="141"/>
    </row>
    <row r="546" spans="2:75" s="134" customFormat="1" x14ac:dyDescent="0.2">
      <c r="B546" s="145"/>
      <c r="D546" s="145"/>
      <c r="AA546" s="141"/>
      <c r="AE546" s="140"/>
      <c r="AI546" s="141"/>
      <c r="AM546" s="141"/>
      <c r="AY546" s="141"/>
      <c r="BC546" s="141"/>
      <c r="BG546" s="141"/>
      <c r="BK546" s="141"/>
      <c r="BO546" s="141"/>
      <c r="BW546" s="141"/>
    </row>
    <row r="547" spans="2:75" s="134" customFormat="1" x14ac:dyDescent="0.2">
      <c r="B547" s="145"/>
      <c r="D547" s="145"/>
      <c r="AA547" s="141"/>
      <c r="AE547" s="140"/>
      <c r="AI547" s="141"/>
      <c r="AM547" s="141"/>
      <c r="AY547" s="141"/>
      <c r="BC547" s="141"/>
      <c r="BG547" s="141"/>
      <c r="BK547" s="141"/>
      <c r="BO547" s="141"/>
      <c r="BW547" s="141"/>
    </row>
    <row r="548" spans="2:75" s="134" customFormat="1" x14ac:dyDescent="0.2">
      <c r="B548" s="145"/>
      <c r="D548" s="145"/>
      <c r="AA548" s="141"/>
      <c r="AE548" s="140"/>
      <c r="AI548" s="141"/>
      <c r="AM548" s="141"/>
      <c r="AY548" s="141"/>
      <c r="BC548" s="141"/>
      <c r="BG548" s="141"/>
      <c r="BK548" s="141"/>
      <c r="BO548" s="141"/>
      <c r="BW548" s="141"/>
    </row>
    <row r="549" spans="2:75" s="134" customFormat="1" x14ac:dyDescent="0.2">
      <c r="B549" s="145"/>
      <c r="D549" s="145"/>
      <c r="AA549" s="141"/>
      <c r="AE549" s="140"/>
      <c r="AI549" s="141"/>
      <c r="AM549" s="141"/>
      <c r="AY549" s="141"/>
      <c r="BC549" s="141"/>
      <c r="BG549" s="141"/>
      <c r="BK549" s="141"/>
      <c r="BO549" s="141"/>
      <c r="BW549" s="141"/>
    </row>
    <row r="550" spans="2:75" s="134" customFormat="1" x14ac:dyDescent="0.2">
      <c r="B550" s="145"/>
      <c r="D550" s="145"/>
      <c r="AA550" s="141"/>
      <c r="AE550" s="140"/>
      <c r="AI550" s="141"/>
      <c r="AM550" s="141"/>
      <c r="AY550" s="141"/>
      <c r="BC550" s="141"/>
      <c r="BG550" s="141"/>
      <c r="BK550" s="141"/>
      <c r="BO550" s="141"/>
      <c r="BW550" s="141"/>
    </row>
    <row r="551" spans="2:75" s="134" customFormat="1" x14ac:dyDescent="0.2">
      <c r="B551" s="145"/>
      <c r="D551" s="145"/>
      <c r="AA551" s="141"/>
      <c r="AE551" s="140"/>
      <c r="AI551" s="141"/>
      <c r="AM551" s="141"/>
      <c r="AY551" s="141"/>
      <c r="BC551" s="141"/>
      <c r="BG551" s="141"/>
      <c r="BK551" s="141"/>
      <c r="BO551" s="141"/>
      <c r="BW551" s="141"/>
    </row>
    <row r="552" spans="2:75" s="134" customFormat="1" x14ac:dyDescent="0.2">
      <c r="B552" s="145"/>
      <c r="D552" s="145"/>
      <c r="AA552" s="141"/>
      <c r="AE552" s="140"/>
      <c r="AI552" s="141"/>
      <c r="AM552" s="141"/>
      <c r="AY552" s="141"/>
      <c r="BC552" s="141"/>
      <c r="BG552" s="141"/>
      <c r="BK552" s="141"/>
      <c r="BO552" s="141"/>
      <c r="BW552" s="141"/>
    </row>
    <row r="553" spans="2:75" s="134" customFormat="1" x14ac:dyDescent="0.2">
      <c r="B553" s="145"/>
      <c r="D553" s="145"/>
      <c r="AA553" s="141"/>
      <c r="AE553" s="140"/>
      <c r="AI553" s="141"/>
      <c r="AM553" s="141"/>
      <c r="AY553" s="141"/>
      <c r="BC553" s="141"/>
      <c r="BG553" s="141"/>
      <c r="BK553" s="141"/>
      <c r="BO553" s="141"/>
      <c r="BW553" s="141"/>
    </row>
    <row r="554" spans="2:75" s="134" customFormat="1" x14ac:dyDescent="0.2">
      <c r="B554" s="145"/>
      <c r="D554" s="145"/>
      <c r="AA554" s="141"/>
      <c r="AE554" s="140"/>
      <c r="AI554" s="141"/>
      <c r="AM554" s="141"/>
      <c r="AY554" s="141"/>
      <c r="BC554" s="141"/>
      <c r="BG554" s="141"/>
      <c r="BK554" s="141"/>
      <c r="BO554" s="141"/>
      <c r="BW554" s="141"/>
    </row>
    <row r="555" spans="2:75" s="134" customFormat="1" x14ac:dyDescent="0.2">
      <c r="B555" s="145"/>
      <c r="D555" s="145"/>
      <c r="AA555" s="141"/>
      <c r="AE555" s="140"/>
      <c r="AI555" s="141"/>
      <c r="AM555" s="141"/>
      <c r="AY555" s="141"/>
      <c r="BC555" s="141"/>
      <c r="BG555" s="141"/>
      <c r="BK555" s="141"/>
      <c r="BO555" s="141"/>
      <c r="BW555" s="141"/>
    </row>
    <row r="556" spans="2:75" s="134" customFormat="1" x14ac:dyDescent="0.2">
      <c r="B556" s="145"/>
      <c r="D556" s="145"/>
      <c r="AA556" s="141"/>
      <c r="AE556" s="140"/>
      <c r="AI556" s="141"/>
      <c r="AM556" s="141"/>
      <c r="AY556" s="141"/>
      <c r="BC556" s="141"/>
      <c r="BG556" s="141"/>
      <c r="BK556" s="141"/>
      <c r="BO556" s="141"/>
      <c r="BW556" s="141"/>
    </row>
    <row r="557" spans="2:75" s="134" customFormat="1" x14ac:dyDescent="0.2">
      <c r="B557" s="145"/>
      <c r="D557" s="145"/>
      <c r="AA557" s="141"/>
      <c r="AE557" s="140"/>
      <c r="AI557" s="141"/>
      <c r="AM557" s="141"/>
      <c r="AY557" s="141"/>
      <c r="BC557" s="141"/>
      <c r="BG557" s="141"/>
      <c r="BK557" s="141"/>
      <c r="BO557" s="141"/>
      <c r="BW557" s="141"/>
    </row>
    <row r="558" spans="2:75" s="134" customFormat="1" x14ac:dyDescent="0.2">
      <c r="B558" s="145"/>
      <c r="D558" s="145"/>
      <c r="AA558" s="141"/>
      <c r="AE558" s="140"/>
      <c r="AI558" s="141"/>
      <c r="AM558" s="141"/>
      <c r="AY558" s="141"/>
      <c r="BC558" s="141"/>
      <c r="BG558" s="141"/>
      <c r="BK558" s="141"/>
      <c r="BO558" s="141"/>
      <c r="BW558" s="141"/>
    </row>
    <row r="559" spans="2:75" s="134" customFormat="1" x14ac:dyDescent="0.2">
      <c r="B559" s="145"/>
      <c r="D559" s="145"/>
      <c r="AA559" s="141"/>
      <c r="AE559" s="140"/>
      <c r="AI559" s="141"/>
      <c r="AM559" s="141"/>
      <c r="AY559" s="141"/>
      <c r="BC559" s="141"/>
      <c r="BG559" s="141"/>
      <c r="BK559" s="141"/>
      <c r="BO559" s="141"/>
      <c r="BW559" s="141"/>
    </row>
    <row r="560" spans="2:75" s="134" customFormat="1" x14ac:dyDescent="0.2">
      <c r="B560" s="145"/>
      <c r="D560" s="145"/>
      <c r="AA560" s="141"/>
      <c r="AE560" s="140"/>
      <c r="AI560" s="141"/>
      <c r="AM560" s="141"/>
      <c r="AY560" s="141"/>
      <c r="BC560" s="141"/>
      <c r="BG560" s="141"/>
      <c r="BK560" s="141"/>
      <c r="BO560" s="141"/>
      <c r="BW560" s="141"/>
    </row>
    <row r="561" spans="2:75" s="134" customFormat="1" x14ac:dyDescent="0.2">
      <c r="B561" s="145"/>
      <c r="D561" s="145"/>
      <c r="AA561" s="141"/>
      <c r="AE561" s="140"/>
      <c r="AI561" s="141"/>
      <c r="AM561" s="141"/>
      <c r="AY561" s="141"/>
      <c r="BC561" s="141"/>
      <c r="BG561" s="141"/>
      <c r="BK561" s="141"/>
      <c r="BO561" s="141"/>
      <c r="BW561" s="141"/>
    </row>
    <row r="562" spans="2:75" s="134" customFormat="1" x14ac:dyDescent="0.2">
      <c r="B562" s="145"/>
      <c r="D562" s="145"/>
      <c r="AA562" s="141"/>
      <c r="AE562" s="140"/>
      <c r="AI562" s="141"/>
      <c r="AM562" s="141"/>
      <c r="AY562" s="141"/>
      <c r="BC562" s="141"/>
      <c r="BG562" s="141"/>
      <c r="BK562" s="141"/>
      <c r="BO562" s="141"/>
      <c r="BW562" s="141"/>
    </row>
    <row r="563" spans="2:75" s="134" customFormat="1" x14ac:dyDescent="0.2">
      <c r="B563" s="145"/>
      <c r="D563" s="145"/>
      <c r="AA563" s="141"/>
      <c r="AE563" s="140"/>
      <c r="AI563" s="141"/>
      <c r="AM563" s="141"/>
      <c r="AY563" s="141"/>
      <c r="BC563" s="141"/>
      <c r="BG563" s="141"/>
      <c r="BK563" s="141"/>
      <c r="BO563" s="141"/>
      <c r="BW563" s="141"/>
    </row>
    <row r="564" spans="2:75" s="134" customFormat="1" x14ac:dyDescent="0.2">
      <c r="B564" s="145"/>
      <c r="D564" s="145"/>
      <c r="AA564" s="141"/>
      <c r="AE564" s="140"/>
      <c r="AI564" s="141"/>
      <c r="AM564" s="141"/>
      <c r="AY564" s="141"/>
      <c r="BC564" s="141"/>
      <c r="BG564" s="141"/>
      <c r="BK564" s="141"/>
      <c r="BO564" s="141"/>
      <c r="BW564" s="141"/>
    </row>
    <row r="565" spans="2:75" s="134" customFormat="1" x14ac:dyDescent="0.2">
      <c r="B565" s="145"/>
      <c r="D565" s="145"/>
      <c r="AA565" s="141"/>
      <c r="AE565" s="140"/>
      <c r="AI565" s="141"/>
      <c r="AM565" s="141"/>
      <c r="AY565" s="141"/>
      <c r="BC565" s="141"/>
      <c r="BG565" s="141"/>
      <c r="BK565" s="141"/>
      <c r="BO565" s="141"/>
      <c r="BW565" s="141"/>
    </row>
    <row r="566" spans="2:75" s="134" customFormat="1" x14ac:dyDescent="0.2">
      <c r="B566" s="145"/>
      <c r="D566" s="145"/>
      <c r="AA566" s="141"/>
      <c r="AE566" s="140"/>
      <c r="AI566" s="141"/>
      <c r="AM566" s="141"/>
      <c r="AY566" s="141"/>
      <c r="BC566" s="141"/>
      <c r="BG566" s="141"/>
      <c r="BK566" s="141"/>
      <c r="BO566" s="141"/>
      <c r="BW566" s="141"/>
    </row>
    <row r="567" spans="2:75" s="134" customFormat="1" x14ac:dyDescent="0.2">
      <c r="B567" s="145"/>
      <c r="D567" s="145"/>
      <c r="AA567" s="141"/>
      <c r="AE567" s="140"/>
      <c r="AI567" s="141"/>
      <c r="AM567" s="141"/>
      <c r="AY567" s="141"/>
      <c r="BC567" s="141"/>
      <c r="BG567" s="141"/>
      <c r="BK567" s="141"/>
      <c r="BO567" s="141"/>
      <c r="BW567" s="141"/>
    </row>
    <row r="568" spans="2:75" s="134" customFormat="1" x14ac:dyDescent="0.2">
      <c r="B568" s="145"/>
      <c r="D568" s="145"/>
      <c r="AA568" s="141"/>
      <c r="AE568" s="140"/>
      <c r="AI568" s="141"/>
      <c r="AM568" s="141"/>
      <c r="AY568" s="141"/>
      <c r="BC568" s="141"/>
      <c r="BG568" s="141"/>
      <c r="BK568" s="141"/>
      <c r="BO568" s="141"/>
      <c r="BW568" s="141"/>
    </row>
    <row r="569" spans="2:75" s="134" customFormat="1" x14ac:dyDescent="0.2">
      <c r="B569" s="145"/>
      <c r="D569" s="145"/>
      <c r="AA569" s="141"/>
      <c r="AE569" s="140"/>
      <c r="AI569" s="141"/>
      <c r="AM569" s="141"/>
      <c r="AY569" s="141"/>
      <c r="BC569" s="141"/>
      <c r="BG569" s="141"/>
      <c r="BK569" s="141"/>
      <c r="BO569" s="141"/>
      <c r="BW569" s="141"/>
    </row>
    <row r="570" spans="2:75" s="134" customFormat="1" x14ac:dyDescent="0.2">
      <c r="B570" s="145"/>
      <c r="D570" s="145"/>
      <c r="AA570" s="141"/>
      <c r="AE570" s="140"/>
      <c r="AI570" s="141"/>
      <c r="AM570" s="141"/>
      <c r="AY570" s="141"/>
      <c r="BC570" s="141"/>
      <c r="BG570" s="141"/>
      <c r="BK570" s="141"/>
      <c r="BO570" s="141"/>
      <c r="BW570" s="141"/>
    </row>
    <row r="571" spans="2:75" s="134" customFormat="1" x14ac:dyDescent="0.2">
      <c r="B571" s="145"/>
      <c r="D571" s="145"/>
      <c r="AA571" s="141"/>
      <c r="AE571" s="140"/>
      <c r="AI571" s="141"/>
      <c r="AM571" s="141"/>
      <c r="AY571" s="141"/>
      <c r="BC571" s="141"/>
      <c r="BG571" s="141"/>
      <c r="BK571" s="141"/>
      <c r="BO571" s="141"/>
      <c r="BW571" s="141"/>
    </row>
    <row r="572" spans="2:75" s="134" customFormat="1" x14ac:dyDescent="0.2">
      <c r="B572" s="145"/>
      <c r="D572" s="145"/>
      <c r="AA572" s="141"/>
      <c r="AE572" s="140"/>
      <c r="AI572" s="141"/>
      <c r="AM572" s="141"/>
      <c r="AY572" s="141"/>
      <c r="BC572" s="141"/>
      <c r="BG572" s="141"/>
      <c r="BK572" s="141"/>
      <c r="BO572" s="141"/>
      <c r="BW572" s="141"/>
    </row>
    <row r="573" spans="2:75" s="134" customFormat="1" x14ac:dyDescent="0.2">
      <c r="B573" s="145"/>
      <c r="D573" s="145"/>
      <c r="AA573" s="141"/>
      <c r="AE573" s="140"/>
      <c r="AI573" s="141"/>
      <c r="AM573" s="141"/>
      <c r="AY573" s="141"/>
      <c r="BC573" s="141"/>
      <c r="BG573" s="141"/>
      <c r="BK573" s="141"/>
      <c r="BO573" s="141"/>
      <c r="BW573" s="141"/>
    </row>
    <row r="574" spans="2:75" s="134" customFormat="1" x14ac:dyDescent="0.2">
      <c r="B574" s="145"/>
      <c r="D574" s="145"/>
      <c r="AA574" s="141"/>
      <c r="AE574" s="140"/>
      <c r="AI574" s="141"/>
      <c r="AM574" s="141"/>
      <c r="AY574" s="141"/>
      <c r="BC574" s="141"/>
      <c r="BG574" s="141"/>
      <c r="BK574" s="141"/>
      <c r="BO574" s="141"/>
      <c r="BW574" s="141"/>
    </row>
    <row r="575" spans="2:75" s="134" customFormat="1" x14ac:dyDescent="0.2">
      <c r="B575" s="145"/>
      <c r="D575" s="145"/>
      <c r="AA575" s="141"/>
      <c r="AE575" s="140"/>
      <c r="AI575" s="141"/>
      <c r="AM575" s="141"/>
      <c r="AY575" s="141"/>
      <c r="BC575" s="141"/>
      <c r="BG575" s="141"/>
      <c r="BK575" s="141"/>
      <c r="BO575" s="141"/>
      <c r="BW575" s="141"/>
    </row>
    <row r="576" spans="2:75" s="134" customFormat="1" x14ac:dyDescent="0.2">
      <c r="B576" s="145"/>
      <c r="D576" s="145"/>
      <c r="AA576" s="141"/>
      <c r="AE576" s="140"/>
      <c r="AI576" s="141"/>
      <c r="AM576" s="141"/>
      <c r="AY576" s="141"/>
      <c r="BC576" s="141"/>
      <c r="BG576" s="141"/>
      <c r="BK576" s="141"/>
      <c r="BO576" s="141"/>
      <c r="BW576" s="141"/>
    </row>
    <row r="577" spans="2:75" s="134" customFormat="1" x14ac:dyDescent="0.2">
      <c r="B577" s="145"/>
      <c r="D577" s="145"/>
      <c r="AA577" s="141"/>
      <c r="AE577" s="140"/>
      <c r="AI577" s="141"/>
      <c r="AM577" s="141"/>
      <c r="AY577" s="141"/>
      <c r="BC577" s="141"/>
      <c r="BG577" s="141"/>
      <c r="BK577" s="141"/>
      <c r="BO577" s="141"/>
      <c r="BW577" s="141"/>
    </row>
    <row r="578" spans="2:75" s="134" customFormat="1" x14ac:dyDescent="0.2">
      <c r="B578" s="145"/>
      <c r="D578" s="145"/>
      <c r="AA578" s="141"/>
      <c r="AE578" s="140"/>
      <c r="AI578" s="141"/>
      <c r="AM578" s="141"/>
      <c r="AY578" s="141"/>
      <c r="BC578" s="141"/>
      <c r="BG578" s="141"/>
      <c r="BK578" s="141"/>
      <c r="BO578" s="141"/>
      <c r="BW578" s="141"/>
    </row>
    <row r="579" spans="2:75" s="134" customFormat="1" x14ac:dyDescent="0.2">
      <c r="B579" s="145"/>
      <c r="D579" s="145"/>
      <c r="AA579" s="141"/>
      <c r="AE579" s="140"/>
      <c r="AI579" s="141"/>
      <c r="AM579" s="141"/>
      <c r="AY579" s="141"/>
      <c r="BC579" s="141"/>
      <c r="BG579" s="141"/>
      <c r="BK579" s="141"/>
      <c r="BO579" s="141"/>
      <c r="BW579" s="141"/>
    </row>
    <row r="580" spans="2:75" s="134" customFormat="1" x14ac:dyDescent="0.2">
      <c r="B580" s="145"/>
      <c r="D580" s="145"/>
      <c r="AA580" s="141"/>
      <c r="AE580" s="140"/>
      <c r="AI580" s="141"/>
      <c r="AM580" s="141"/>
      <c r="AY580" s="141"/>
      <c r="BC580" s="141"/>
      <c r="BG580" s="141"/>
      <c r="BK580" s="141"/>
      <c r="BO580" s="141"/>
      <c r="BW580" s="141"/>
    </row>
    <row r="581" spans="2:75" s="134" customFormat="1" x14ac:dyDescent="0.2">
      <c r="B581" s="145"/>
      <c r="D581" s="145"/>
      <c r="AA581" s="141"/>
      <c r="AE581" s="140"/>
      <c r="AI581" s="141"/>
      <c r="AM581" s="141"/>
      <c r="AY581" s="141"/>
      <c r="BC581" s="141"/>
      <c r="BG581" s="141"/>
      <c r="BK581" s="141"/>
      <c r="BO581" s="141"/>
      <c r="BW581" s="141"/>
    </row>
    <row r="582" spans="2:75" s="134" customFormat="1" x14ac:dyDescent="0.2">
      <c r="B582" s="145"/>
      <c r="D582" s="145"/>
      <c r="AA582" s="141"/>
      <c r="AE582" s="140"/>
      <c r="AI582" s="141"/>
      <c r="AM582" s="141"/>
      <c r="AY582" s="141"/>
      <c r="BC582" s="141"/>
      <c r="BG582" s="141"/>
      <c r="BK582" s="141"/>
      <c r="BO582" s="141"/>
      <c r="BW582" s="141"/>
    </row>
    <row r="583" spans="2:75" s="134" customFormat="1" x14ac:dyDescent="0.2">
      <c r="B583" s="145"/>
      <c r="D583" s="145"/>
      <c r="AA583" s="141"/>
      <c r="AE583" s="140"/>
      <c r="AI583" s="141"/>
      <c r="AM583" s="141"/>
      <c r="AY583" s="141"/>
      <c r="BC583" s="141"/>
      <c r="BG583" s="141"/>
      <c r="BK583" s="141"/>
      <c r="BO583" s="141"/>
      <c r="BW583" s="141"/>
    </row>
    <row r="584" spans="2:75" s="134" customFormat="1" x14ac:dyDescent="0.2">
      <c r="B584" s="145"/>
      <c r="D584" s="145"/>
      <c r="AA584" s="141"/>
      <c r="AE584" s="140"/>
      <c r="AI584" s="141"/>
      <c r="AM584" s="141"/>
      <c r="AY584" s="141"/>
      <c r="BC584" s="141"/>
      <c r="BG584" s="141"/>
      <c r="BK584" s="141"/>
      <c r="BO584" s="141"/>
      <c r="BW584" s="141"/>
    </row>
    <row r="585" spans="2:75" s="134" customFormat="1" x14ac:dyDescent="0.2">
      <c r="B585" s="145"/>
      <c r="D585" s="145"/>
      <c r="AA585" s="141"/>
      <c r="AE585" s="140"/>
      <c r="AI585" s="141"/>
      <c r="AM585" s="141"/>
      <c r="AY585" s="141"/>
      <c r="BC585" s="141"/>
      <c r="BG585" s="141"/>
      <c r="BK585" s="141"/>
      <c r="BO585" s="141"/>
      <c r="BW585" s="141"/>
    </row>
    <row r="586" spans="2:75" s="134" customFormat="1" x14ac:dyDescent="0.2">
      <c r="B586" s="145"/>
      <c r="D586" s="145"/>
      <c r="AA586" s="141"/>
      <c r="AE586" s="140"/>
      <c r="AI586" s="141"/>
      <c r="AM586" s="141"/>
      <c r="AY586" s="141"/>
      <c r="BC586" s="141"/>
      <c r="BG586" s="141"/>
      <c r="BK586" s="141"/>
      <c r="BO586" s="141"/>
      <c r="BW586" s="141"/>
    </row>
    <row r="587" spans="2:75" s="134" customFormat="1" x14ac:dyDescent="0.2">
      <c r="B587" s="145"/>
      <c r="D587" s="145"/>
      <c r="AA587" s="141"/>
      <c r="AE587" s="140"/>
      <c r="AI587" s="141"/>
      <c r="AM587" s="141"/>
      <c r="AY587" s="141"/>
      <c r="BC587" s="141"/>
      <c r="BG587" s="141"/>
      <c r="BK587" s="141"/>
      <c r="BO587" s="141"/>
      <c r="BW587" s="141"/>
    </row>
    <row r="588" spans="2:75" s="134" customFormat="1" x14ac:dyDescent="0.2">
      <c r="B588" s="145"/>
      <c r="D588" s="145"/>
      <c r="AA588" s="141"/>
      <c r="AE588" s="140"/>
      <c r="AI588" s="141"/>
      <c r="AM588" s="141"/>
      <c r="AY588" s="141"/>
      <c r="BC588" s="141"/>
      <c r="BG588" s="141"/>
      <c r="BK588" s="141"/>
      <c r="BO588" s="141"/>
      <c r="BW588" s="141"/>
    </row>
    <row r="589" spans="2:75" s="134" customFormat="1" x14ac:dyDescent="0.2">
      <c r="B589" s="145"/>
      <c r="D589" s="145"/>
      <c r="AA589" s="141"/>
      <c r="AE589" s="140"/>
      <c r="AI589" s="141"/>
      <c r="AM589" s="141"/>
      <c r="AY589" s="141"/>
      <c r="BC589" s="141"/>
      <c r="BG589" s="141"/>
      <c r="BK589" s="141"/>
      <c r="BO589" s="141"/>
      <c r="BW589" s="141"/>
    </row>
    <row r="590" spans="2:75" s="134" customFormat="1" x14ac:dyDescent="0.2">
      <c r="B590" s="145"/>
      <c r="D590" s="145"/>
      <c r="AA590" s="141"/>
      <c r="AE590" s="140"/>
      <c r="AI590" s="141"/>
      <c r="AM590" s="141"/>
      <c r="AY590" s="141"/>
      <c r="BC590" s="141"/>
      <c r="BG590" s="141"/>
      <c r="BK590" s="141"/>
      <c r="BO590" s="141"/>
      <c r="BW590" s="141"/>
    </row>
    <row r="591" spans="2:75" s="134" customFormat="1" x14ac:dyDescent="0.2">
      <c r="B591" s="145"/>
      <c r="D591" s="145"/>
      <c r="AA591" s="141"/>
      <c r="AE591" s="140"/>
      <c r="AI591" s="141"/>
      <c r="AM591" s="141"/>
      <c r="AY591" s="141"/>
      <c r="BC591" s="141"/>
      <c r="BG591" s="141"/>
      <c r="BK591" s="141"/>
      <c r="BO591" s="141"/>
      <c r="BW591" s="141"/>
    </row>
    <row r="592" spans="2:75" s="134" customFormat="1" x14ac:dyDescent="0.2">
      <c r="B592" s="145"/>
      <c r="D592" s="145"/>
      <c r="AA592" s="141"/>
      <c r="AE592" s="140"/>
      <c r="AI592" s="141"/>
      <c r="AM592" s="141"/>
      <c r="AY592" s="141"/>
      <c r="BC592" s="141"/>
      <c r="BG592" s="141"/>
      <c r="BK592" s="141"/>
      <c r="BO592" s="141"/>
      <c r="BW592" s="141"/>
    </row>
    <row r="593" spans="2:75" s="134" customFormat="1" x14ac:dyDescent="0.2">
      <c r="B593" s="145"/>
      <c r="D593" s="145"/>
      <c r="AA593" s="141"/>
      <c r="AE593" s="140"/>
      <c r="AI593" s="141"/>
      <c r="AM593" s="141"/>
      <c r="AY593" s="141"/>
      <c r="BC593" s="141"/>
      <c r="BG593" s="141"/>
      <c r="BK593" s="141"/>
      <c r="BO593" s="141"/>
      <c r="BW593" s="141"/>
    </row>
    <row r="594" spans="2:75" s="134" customFormat="1" x14ac:dyDescent="0.2">
      <c r="B594" s="145"/>
      <c r="D594" s="145"/>
      <c r="AA594" s="141"/>
      <c r="AE594" s="140"/>
      <c r="AI594" s="141"/>
      <c r="AM594" s="141"/>
      <c r="AY594" s="141"/>
      <c r="BC594" s="141"/>
      <c r="BG594" s="141"/>
      <c r="BK594" s="141"/>
      <c r="BO594" s="141"/>
      <c r="BW594" s="141"/>
    </row>
    <row r="595" spans="2:75" s="134" customFormat="1" x14ac:dyDescent="0.2">
      <c r="B595" s="145"/>
      <c r="D595" s="145"/>
      <c r="AA595" s="141"/>
      <c r="AE595" s="140"/>
      <c r="AI595" s="141"/>
      <c r="AM595" s="141"/>
      <c r="AY595" s="141"/>
      <c r="BC595" s="141"/>
      <c r="BG595" s="141"/>
      <c r="BK595" s="141"/>
      <c r="BO595" s="141"/>
      <c r="BW595" s="141"/>
    </row>
    <row r="596" spans="2:75" s="134" customFormat="1" x14ac:dyDescent="0.2">
      <c r="B596" s="145"/>
      <c r="D596" s="145"/>
      <c r="AA596" s="141"/>
      <c r="AE596" s="140"/>
      <c r="AI596" s="141"/>
      <c r="AM596" s="141"/>
      <c r="AY596" s="141"/>
      <c r="BC596" s="141"/>
      <c r="BG596" s="141"/>
      <c r="BK596" s="141"/>
      <c r="BO596" s="141"/>
      <c r="BW596" s="141"/>
    </row>
    <row r="597" spans="2:75" s="134" customFormat="1" x14ac:dyDescent="0.2">
      <c r="B597" s="145"/>
      <c r="D597" s="145"/>
      <c r="AA597" s="141"/>
      <c r="AE597" s="140"/>
      <c r="AI597" s="141"/>
      <c r="AM597" s="141"/>
      <c r="AY597" s="141"/>
      <c r="BC597" s="141"/>
      <c r="BG597" s="141"/>
      <c r="BK597" s="141"/>
      <c r="BO597" s="141"/>
      <c r="BW597" s="141"/>
    </row>
    <row r="598" spans="2:75" s="134" customFormat="1" x14ac:dyDescent="0.2">
      <c r="B598" s="145"/>
      <c r="D598" s="145"/>
      <c r="AA598" s="141"/>
      <c r="AE598" s="140"/>
      <c r="AI598" s="141"/>
      <c r="AM598" s="141"/>
      <c r="AY598" s="141"/>
      <c r="BC598" s="141"/>
      <c r="BG598" s="141"/>
      <c r="BK598" s="141"/>
      <c r="BO598" s="141"/>
      <c r="BW598" s="141"/>
    </row>
    <row r="599" spans="2:75" s="134" customFormat="1" x14ac:dyDescent="0.2">
      <c r="B599" s="145"/>
      <c r="D599" s="145"/>
      <c r="AA599" s="141"/>
      <c r="AE599" s="140"/>
      <c r="AI599" s="141"/>
      <c r="AM599" s="141"/>
      <c r="AY599" s="141"/>
      <c r="BC599" s="141"/>
      <c r="BG599" s="141"/>
      <c r="BK599" s="141"/>
      <c r="BO599" s="141"/>
      <c r="BW599" s="141"/>
    </row>
    <row r="600" spans="2:75" s="134" customFormat="1" x14ac:dyDescent="0.2">
      <c r="B600" s="145"/>
      <c r="D600" s="145"/>
      <c r="AA600" s="141"/>
      <c r="AE600" s="140"/>
      <c r="AI600" s="141"/>
      <c r="AM600" s="141"/>
      <c r="AY600" s="141"/>
      <c r="BC600" s="141"/>
      <c r="BG600" s="141"/>
      <c r="BK600" s="141"/>
      <c r="BO600" s="141"/>
      <c r="BW600" s="141"/>
    </row>
    <row r="601" spans="2:75" s="134" customFormat="1" x14ac:dyDescent="0.2">
      <c r="B601" s="145"/>
      <c r="D601" s="145"/>
      <c r="AA601" s="141"/>
      <c r="AE601" s="140"/>
      <c r="AI601" s="141"/>
      <c r="AM601" s="141"/>
      <c r="AY601" s="141"/>
      <c r="BC601" s="141"/>
      <c r="BG601" s="141"/>
      <c r="BK601" s="141"/>
      <c r="BO601" s="141"/>
      <c r="BW601" s="141"/>
    </row>
    <row r="602" spans="2:75" s="134" customFormat="1" x14ac:dyDescent="0.2">
      <c r="B602" s="145"/>
      <c r="D602" s="145"/>
      <c r="AA602" s="141"/>
      <c r="AE602" s="140"/>
      <c r="AI602" s="141"/>
      <c r="AM602" s="141"/>
      <c r="AY602" s="141"/>
      <c r="BC602" s="141"/>
      <c r="BG602" s="141"/>
      <c r="BK602" s="141"/>
      <c r="BO602" s="141"/>
      <c r="BW602" s="141"/>
    </row>
    <row r="603" spans="2:75" s="134" customFormat="1" x14ac:dyDescent="0.2">
      <c r="B603" s="145"/>
      <c r="D603" s="145"/>
      <c r="AA603" s="141"/>
      <c r="AE603" s="140"/>
      <c r="AI603" s="141"/>
      <c r="AM603" s="141"/>
      <c r="AY603" s="141"/>
      <c r="BC603" s="141"/>
      <c r="BG603" s="141"/>
      <c r="BK603" s="141"/>
      <c r="BO603" s="141"/>
      <c r="BW603" s="141"/>
    </row>
    <row r="604" spans="2:75" s="134" customFormat="1" x14ac:dyDescent="0.2">
      <c r="B604" s="145"/>
      <c r="D604" s="145"/>
      <c r="AA604" s="141"/>
      <c r="AE604" s="140"/>
      <c r="AI604" s="141"/>
      <c r="AM604" s="141"/>
      <c r="AY604" s="141"/>
      <c r="BC604" s="141"/>
      <c r="BG604" s="141"/>
      <c r="BK604" s="141"/>
      <c r="BO604" s="141"/>
      <c r="BW604" s="141"/>
    </row>
    <row r="605" spans="2:75" s="134" customFormat="1" x14ac:dyDescent="0.2">
      <c r="B605" s="145"/>
      <c r="D605" s="145"/>
      <c r="AA605" s="141"/>
      <c r="AE605" s="140"/>
      <c r="AI605" s="141"/>
      <c r="AM605" s="141"/>
      <c r="AY605" s="141"/>
      <c r="BC605" s="141"/>
      <c r="BG605" s="141"/>
      <c r="BK605" s="141"/>
      <c r="BO605" s="141"/>
      <c r="BW605" s="141"/>
    </row>
    <row r="606" spans="2:75" s="134" customFormat="1" x14ac:dyDescent="0.2">
      <c r="B606" s="145"/>
      <c r="D606" s="145"/>
      <c r="AA606" s="141"/>
      <c r="AE606" s="140"/>
      <c r="AI606" s="141"/>
      <c r="AM606" s="141"/>
      <c r="AY606" s="141"/>
      <c r="BC606" s="141"/>
      <c r="BG606" s="141"/>
      <c r="BK606" s="141"/>
      <c r="BO606" s="141"/>
      <c r="BW606" s="141"/>
    </row>
    <row r="607" spans="2:75" s="134" customFormat="1" x14ac:dyDescent="0.2">
      <c r="B607" s="145"/>
      <c r="D607" s="145"/>
      <c r="AA607" s="141"/>
      <c r="AE607" s="140"/>
      <c r="AI607" s="141"/>
      <c r="AM607" s="141"/>
      <c r="AY607" s="141"/>
      <c r="BC607" s="141"/>
      <c r="BG607" s="141"/>
      <c r="BK607" s="141"/>
      <c r="BO607" s="141"/>
      <c r="BW607" s="141"/>
    </row>
    <row r="608" spans="2:75" s="134" customFormat="1" x14ac:dyDescent="0.2">
      <c r="B608" s="145"/>
      <c r="D608" s="145"/>
      <c r="AA608" s="141"/>
      <c r="AE608" s="140"/>
      <c r="AI608" s="141"/>
      <c r="AM608" s="141"/>
      <c r="AY608" s="141"/>
      <c r="BC608" s="141"/>
      <c r="BG608" s="141"/>
      <c r="BK608" s="141"/>
      <c r="BO608" s="141"/>
      <c r="BW608" s="141"/>
    </row>
    <row r="609" spans="2:75" s="134" customFormat="1" x14ac:dyDescent="0.2">
      <c r="B609" s="145"/>
      <c r="D609" s="145"/>
      <c r="AA609" s="141"/>
      <c r="AE609" s="140"/>
      <c r="AI609" s="141"/>
      <c r="AM609" s="141"/>
      <c r="AY609" s="141"/>
      <c r="BC609" s="141"/>
      <c r="BG609" s="141"/>
      <c r="BK609" s="141"/>
      <c r="BO609" s="141"/>
      <c r="BW609" s="141"/>
    </row>
    <row r="610" spans="2:75" s="134" customFormat="1" x14ac:dyDescent="0.2">
      <c r="B610" s="145"/>
      <c r="D610" s="145"/>
      <c r="AA610" s="141"/>
      <c r="AE610" s="140"/>
      <c r="AI610" s="141"/>
      <c r="AM610" s="141"/>
      <c r="AY610" s="141"/>
      <c r="BC610" s="141"/>
      <c r="BG610" s="141"/>
      <c r="BK610" s="141"/>
      <c r="BO610" s="141"/>
      <c r="BW610" s="141"/>
    </row>
    <row r="611" spans="2:75" s="134" customFormat="1" x14ac:dyDescent="0.2">
      <c r="B611" s="145"/>
      <c r="D611" s="145"/>
      <c r="AA611" s="141"/>
      <c r="AE611" s="140"/>
      <c r="AI611" s="141"/>
      <c r="AM611" s="141"/>
      <c r="AY611" s="141"/>
      <c r="BC611" s="141"/>
      <c r="BG611" s="141"/>
      <c r="BK611" s="141"/>
      <c r="BO611" s="141"/>
      <c r="BW611" s="141"/>
    </row>
    <row r="612" spans="2:75" s="134" customFormat="1" x14ac:dyDescent="0.2">
      <c r="B612" s="145"/>
      <c r="D612" s="145"/>
      <c r="AA612" s="141"/>
      <c r="AE612" s="140"/>
      <c r="AI612" s="141"/>
      <c r="AM612" s="141"/>
      <c r="AY612" s="141"/>
      <c r="BC612" s="141"/>
      <c r="BG612" s="141"/>
      <c r="BK612" s="141"/>
      <c r="BO612" s="141"/>
      <c r="BW612" s="141"/>
    </row>
    <row r="613" spans="2:75" s="134" customFormat="1" x14ac:dyDescent="0.2">
      <c r="B613" s="145"/>
      <c r="D613" s="145"/>
      <c r="AA613" s="141"/>
      <c r="AE613" s="140"/>
      <c r="AI613" s="141"/>
      <c r="AM613" s="141"/>
      <c r="AY613" s="141"/>
      <c r="BC613" s="141"/>
      <c r="BG613" s="141"/>
      <c r="BK613" s="141"/>
      <c r="BO613" s="141"/>
      <c r="BW613" s="141"/>
    </row>
    <row r="614" spans="2:75" s="134" customFormat="1" x14ac:dyDescent="0.2">
      <c r="B614" s="145"/>
      <c r="D614" s="145"/>
      <c r="AA614" s="141"/>
      <c r="AE614" s="140"/>
      <c r="AI614" s="141"/>
      <c r="AM614" s="141"/>
      <c r="AY614" s="141"/>
      <c r="BC614" s="141"/>
      <c r="BG614" s="141"/>
      <c r="BK614" s="141"/>
      <c r="BO614" s="141"/>
      <c r="BW614" s="141"/>
    </row>
    <row r="615" spans="2:75" s="134" customFormat="1" x14ac:dyDescent="0.2">
      <c r="B615" s="145"/>
      <c r="D615" s="145"/>
      <c r="AA615" s="141"/>
      <c r="AE615" s="140"/>
      <c r="AI615" s="141"/>
      <c r="AM615" s="141"/>
      <c r="AY615" s="141"/>
      <c r="BC615" s="141"/>
      <c r="BG615" s="141"/>
      <c r="BK615" s="141"/>
      <c r="BO615" s="141"/>
      <c r="BW615" s="141"/>
    </row>
    <row r="616" spans="2:75" s="134" customFormat="1" x14ac:dyDescent="0.2">
      <c r="B616" s="145"/>
      <c r="D616" s="145"/>
      <c r="AA616" s="141"/>
      <c r="AE616" s="140"/>
      <c r="AI616" s="141"/>
      <c r="AM616" s="141"/>
      <c r="AY616" s="141"/>
      <c r="BC616" s="141"/>
      <c r="BG616" s="141"/>
      <c r="BK616" s="141"/>
      <c r="BO616" s="141"/>
      <c r="BW616" s="141"/>
    </row>
    <row r="617" spans="2:75" s="134" customFormat="1" x14ac:dyDescent="0.2">
      <c r="B617" s="145"/>
      <c r="D617" s="145"/>
      <c r="AA617" s="141"/>
      <c r="AE617" s="140"/>
      <c r="AI617" s="141"/>
      <c r="AM617" s="141"/>
      <c r="AY617" s="141"/>
      <c r="BC617" s="141"/>
      <c r="BG617" s="141"/>
      <c r="BK617" s="141"/>
      <c r="BO617" s="141"/>
      <c r="BW617" s="141"/>
    </row>
    <row r="618" spans="2:75" s="134" customFormat="1" x14ac:dyDescent="0.2">
      <c r="B618" s="145"/>
      <c r="D618" s="145"/>
      <c r="AA618" s="141"/>
      <c r="AE618" s="140"/>
      <c r="AI618" s="141"/>
      <c r="AM618" s="141"/>
      <c r="AY618" s="141"/>
      <c r="BC618" s="141"/>
      <c r="BG618" s="141"/>
      <c r="BK618" s="141"/>
      <c r="BO618" s="141"/>
      <c r="BW618" s="141"/>
    </row>
    <row r="619" spans="2:75" s="134" customFormat="1" x14ac:dyDescent="0.2">
      <c r="B619" s="145"/>
      <c r="D619" s="145"/>
      <c r="AA619" s="141"/>
      <c r="AE619" s="140"/>
      <c r="AI619" s="141"/>
      <c r="AM619" s="141"/>
      <c r="AY619" s="141"/>
      <c r="BC619" s="141"/>
      <c r="BG619" s="141"/>
      <c r="BK619" s="141"/>
      <c r="BO619" s="141"/>
      <c r="BW619" s="141"/>
    </row>
    <row r="620" spans="2:75" s="134" customFormat="1" x14ac:dyDescent="0.2">
      <c r="B620" s="145"/>
      <c r="D620" s="145"/>
      <c r="AA620" s="141"/>
      <c r="AE620" s="140"/>
      <c r="AI620" s="141"/>
      <c r="AM620" s="141"/>
      <c r="AY620" s="141"/>
      <c r="BC620" s="141"/>
      <c r="BG620" s="141"/>
      <c r="BK620" s="141"/>
      <c r="BO620" s="141"/>
      <c r="BW620" s="141"/>
    </row>
    <row r="621" spans="2:75" s="134" customFormat="1" x14ac:dyDescent="0.2">
      <c r="B621" s="145"/>
      <c r="D621" s="145"/>
      <c r="AA621" s="141"/>
      <c r="AE621" s="140"/>
      <c r="AI621" s="141"/>
      <c r="AM621" s="141"/>
      <c r="AY621" s="141"/>
      <c r="BC621" s="141"/>
      <c r="BG621" s="141"/>
      <c r="BK621" s="141"/>
      <c r="BO621" s="141"/>
      <c r="BW621" s="141"/>
    </row>
    <row r="622" spans="2:75" s="134" customFormat="1" x14ac:dyDescent="0.2">
      <c r="B622" s="145"/>
      <c r="D622" s="145"/>
      <c r="AA622" s="141"/>
      <c r="AE622" s="140"/>
      <c r="AI622" s="141"/>
      <c r="AM622" s="141"/>
      <c r="AY622" s="141"/>
      <c r="BC622" s="141"/>
      <c r="BG622" s="141"/>
      <c r="BK622" s="141"/>
      <c r="BO622" s="141"/>
      <c r="BW622" s="141"/>
    </row>
    <row r="623" spans="2:75" s="134" customFormat="1" x14ac:dyDescent="0.2">
      <c r="B623" s="145"/>
      <c r="D623" s="145"/>
      <c r="AA623" s="141"/>
      <c r="AE623" s="140"/>
      <c r="AI623" s="141"/>
      <c r="AM623" s="141"/>
      <c r="AY623" s="141"/>
      <c r="BC623" s="141"/>
      <c r="BG623" s="141"/>
      <c r="BK623" s="141"/>
      <c r="BO623" s="141"/>
      <c r="BW623" s="141"/>
    </row>
    <row r="624" spans="2:75" s="134" customFormat="1" x14ac:dyDescent="0.2">
      <c r="B624" s="145"/>
      <c r="D624" s="145"/>
      <c r="AA624" s="141"/>
      <c r="AE624" s="140"/>
      <c r="AI624" s="141"/>
      <c r="AM624" s="141"/>
      <c r="AY624" s="141"/>
      <c r="BC624" s="141"/>
      <c r="BG624" s="141"/>
      <c r="BK624" s="141"/>
      <c r="BO624" s="141"/>
      <c r="BW624" s="141"/>
    </row>
    <row r="625" spans="2:75" s="134" customFormat="1" x14ac:dyDescent="0.2">
      <c r="B625" s="145"/>
      <c r="D625" s="145"/>
      <c r="AA625" s="141"/>
      <c r="AE625" s="140"/>
      <c r="AI625" s="141"/>
      <c r="AM625" s="141"/>
      <c r="AY625" s="141"/>
      <c r="BC625" s="141"/>
      <c r="BG625" s="141"/>
      <c r="BK625" s="141"/>
      <c r="BO625" s="141"/>
      <c r="BW625" s="141"/>
    </row>
    <row r="626" spans="2:75" s="134" customFormat="1" x14ac:dyDescent="0.2">
      <c r="B626" s="145"/>
      <c r="D626" s="145"/>
      <c r="AA626" s="141"/>
      <c r="AE626" s="140"/>
      <c r="AI626" s="141"/>
      <c r="AM626" s="141"/>
      <c r="AY626" s="141"/>
      <c r="BC626" s="141"/>
      <c r="BG626" s="141"/>
      <c r="BK626" s="141"/>
      <c r="BO626" s="141"/>
      <c r="BW626" s="141"/>
    </row>
    <row r="627" spans="2:75" s="134" customFormat="1" x14ac:dyDescent="0.2">
      <c r="B627" s="145"/>
      <c r="D627" s="145"/>
      <c r="AA627" s="141"/>
      <c r="AE627" s="140"/>
      <c r="AI627" s="141"/>
      <c r="AM627" s="141"/>
      <c r="AY627" s="141"/>
      <c r="BC627" s="141"/>
      <c r="BG627" s="141"/>
      <c r="BK627" s="141"/>
      <c r="BO627" s="141"/>
      <c r="BW627" s="141"/>
    </row>
    <row r="628" spans="2:75" s="134" customFormat="1" x14ac:dyDescent="0.2">
      <c r="B628" s="145"/>
      <c r="D628" s="145"/>
      <c r="AA628" s="141"/>
      <c r="AE628" s="140"/>
      <c r="AI628" s="141"/>
      <c r="AM628" s="141"/>
      <c r="AY628" s="141"/>
      <c r="BC628" s="141"/>
      <c r="BG628" s="141"/>
      <c r="BK628" s="141"/>
      <c r="BO628" s="141"/>
      <c r="BW628" s="141"/>
    </row>
    <row r="629" spans="2:75" s="134" customFormat="1" x14ac:dyDescent="0.2">
      <c r="B629" s="145"/>
      <c r="D629" s="145"/>
      <c r="AA629" s="141"/>
      <c r="AE629" s="140"/>
      <c r="AI629" s="141"/>
      <c r="AM629" s="141"/>
      <c r="AY629" s="141"/>
      <c r="BC629" s="141"/>
      <c r="BG629" s="141"/>
      <c r="BK629" s="141"/>
      <c r="BO629" s="141"/>
      <c r="BW629" s="141"/>
    </row>
    <row r="630" spans="2:75" s="134" customFormat="1" x14ac:dyDescent="0.2">
      <c r="B630" s="145"/>
      <c r="D630" s="145"/>
      <c r="AA630" s="141"/>
      <c r="AE630" s="140"/>
      <c r="AI630" s="141"/>
      <c r="AM630" s="141"/>
      <c r="AY630" s="141"/>
      <c r="BC630" s="141"/>
      <c r="BG630" s="141"/>
      <c r="BK630" s="141"/>
      <c r="BO630" s="141"/>
      <c r="BW630" s="141"/>
    </row>
    <row r="631" spans="2:75" s="134" customFormat="1" x14ac:dyDescent="0.2">
      <c r="B631" s="145"/>
      <c r="D631" s="145"/>
      <c r="AA631" s="141"/>
      <c r="AE631" s="140"/>
      <c r="AI631" s="141"/>
      <c r="AM631" s="141"/>
      <c r="AY631" s="141"/>
      <c r="BC631" s="141"/>
      <c r="BG631" s="141"/>
      <c r="BK631" s="141"/>
      <c r="BO631" s="141"/>
      <c r="BW631" s="141"/>
    </row>
    <row r="632" spans="2:75" s="134" customFormat="1" x14ac:dyDescent="0.2">
      <c r="B632" s="145"/>
      <c r="D632" s="145"/>
      <c r="AA632" s="141"/>
      <c r="AE632" s="140"/>
      <c r="AI632" s="141"/>
      <c r="AM632" s="141"/>
      <c r="AY632" s="141"/>
      <c r="BC632" s="141"/>
      <c r="BG632" s="141"/>
      <c r="BK632" s="141"/>
      <c r="BO632" s="141"/>
      <c r="BW632" s="141"/>
    </row>
    <row r="633" spans="2:75" s="134" customFormat="1" x14ac:dyDescent="0.2">
      <c r="B633" s="145"/>
      <c r="D633" s="145"/>
      <c r="AA633" s="141"/>
      <c r="AE633" s="140"/>
      <c r="AI633" s="141"/>
      <c r="AM633" s="141"/>
      <c r="AY633" s="141"/>
      <c r="BC633" s="141"/>
      <c r="BG633" s="141"/>
      <c r="BK633" s="141"/>
      <c r="BO633" s="141"/>
      <c r="BW633" s="141"/>
    </row>
    <row r="634" spans="2:75" s="134" customFormat="1" x14ac:dyDescent="0.2">
      <c r="B634" s="145"/>
      <c r="D634" s="145"/>
      <c r="AA634" s="141"/>
      <c r="AE634" s="140"/>
      <c r="AI634" s="141"/>
      <c r="AM634" s="141"/>
      <c r="AY634" s="141"/>
      <c r="BC634" s="141"/>
      <c r="BG634" s="141"/>
      <c r="BK634" s="141"/>
      <c r="BO634" s="141"/>
      <c r="BW634" s="141"/>
    </row>
    <row r="635" spans="2:75" s="134" customFormat="1" x14ac:dyDescent="0.2">
      <c r="B635" s="145"/>
      <c r="D635" s="145"/>
      <c r="AA635" s="141"/>
      <c r="AE635" s="140"/>
      <c r="AI635" s="141"/>
      <c r="AM635" s="141"/>
      <c r="AY635" s="141"/>
      <c r="BC635" s="141"/>
      <c r="BG635" s="141"/>
      <c r="BK635" s="141"/>
      <c r="BO635" s="141"/>
      <c r="BW635" s="141"/>
    </row>
    <row r="636" spans="2:75" s="134" customFormat="1" x14ac:dyDescent="0.2">
      <c r="B636" s="145"/>
      <c r="D636" s="145"/>
      <c r="AA636" s="141"/>
      <c r="AE636" s="140"/>
      <c r="AI636" s="141"/>
      <c r="AM636" s="141"/>
      <c r="AY636" s="141"/>
      <c r="BC636" s="141"/>
      <c r="BG636" s="141"/>
      <c r="BK636" s="141"/>
      <c r="BO636" s="141"/>
      <c r="BW636" s="141"/>
    </row>
    <row r="637" spans="2:75" s="134" customFormat="1" x14ac:dyDescent="0.2">
      <c r="B637" s="145"/>
      <c r="D637" s="145"/>
      <c r="AA637" s="141"/>
      <c r="AE637" s="140"/>
      <c r="AI637" s="141"/>
      <c r="AM637" s="141"/>
      <c r="AY637" s="141"/>
      <c r="BC637" s="141"/>
      <c r="BG637" s="141"/>
      <c r="BK637" s="141"/>
      <c r="BO637" s="141"/>
      <c r="BW637" s="141"/>
    </row>
    <row r="638" spans="2:75" s="134" customFormat="1" x14ac:dyDescent="0.2">
      <c r="B638" s="145"/>
      <c r="D638" s="145"/>
      <c r="AA638" s="141"/>
      <c r="AE638" s="140"/>
      <c r="AI638" s="141"/>
      <c r="AM638" s="141"/>
      <c r="AY638" s="141"/>
      <c r="BC638" s="141"/>
      <c r="BG638" s="141"/>
      <c r="BK638" s="141"/>
      <c r="BO638" s="141"/>
      <c r="BW638" s="141"/>
    </row>
    <row r="639" spans="2:75" s="134" customFormat="1" x14ac:dyDescent="0.2">
      <c r="B639" s="145"/>
      <c r="D639" s="145"/>
      <c r="AA639" s="141"/>
      <c r="AE639" s="140"/>
      <c r="AI639" s="141"/>
      <c r="AM639" s="141"/>
      <c r="AY639" s="141"/>
      <c r="BC639" s="141"/>
      <c r="BG639" s="141"/>
      <c r="BK639" s="141"/>
      <c r="BO639" s="141"/>
      <c r="BW639" s="141"/>
    </row>
    <row r="640" spans="2:75" s="134" customFormat="1" x14ac:dyDescent="0.2">
      <c r="B640" s="145"/>
      <c r="D640" s="145"/>
      <c r="AA640" s="141"/>
      <c r="AE640" s="140"/>
      <c r="AI640" s="141"/>
      <c r="AM640" s="141"/>
      <c r="AY640" s="141"/>
      <c r="BC640" s="141"/>
      <c r="BG640" s="141"/>
      <c r="BK640" s="141"/>
      <c r="BO640" s="141"/>
      <c r="BW640" s="141"/>
    </row>
    <row r="641" spans="2:75" s="134" customFormat="1" x14ac:dyDescent="0.2">
      <c r="B641" s="145"/>
      <c r="D641" s="145"/>
      <c r="AA641" s="141"/>
      <c r="AE641" s="140"/>
      <c r="AI641" s="141"/>
      <c r="AM641" s="141"/>
      <c r="AY641" s="141"/>
      <c r="BC641" s="141"/>
      <c r="BG641" s="141"/>
      <c r="BK641" s="141"/>
      <c r="BO641" s="141"/>
      <c r="BW641" s="141"/>
    </row>
    <row r="642" spans="2:75" s="134" customFormat="1" x14ac:dyDescent="0.2">
      <c r="B642" s="145"/>
      <c r="D642" s="145"/>
      <c r="AA642" s="141"/>
      <c r="AE642" s="140"/>
      <c r="AI642" s="141"/>
      <c r="AM642" s="141"/>
      <c r="AY642" s="141"/>
      <c r="BC642" s="141"/>
      <c r="BG642" s="141"/>
      <c r="BK642" s="141"/>
      <c r="BO642" s="141"/>
      <c r="BW642" s="141"/>
    </row>
    <row r="643" spans="2:75" s="134" customFormat="1" x14ac:dyDescent="0.2">
      <c r="B643" s="145"/>
      <c r="D643" s="145"/>
      <c r="AA643" s="141"/>
      <c r="AE643" s="140"/>
      <c r="AI643" s="141"/>
      <c r="AM643" s="141"/>
      <c r="AY643" s="141"/>
      <c r="BC643" s="141"/>
      <c r="BG643" s="141"/>
      <c r="BK643" s="141"/>
      <c r="BO643" s="141"/>
      <c r="BW643" s="141"/>
    </row>
    <row r="644" spans="2:75" s="134" customFormat="1" x14ac:dyDescent="0.2">
      <c r="B644" s="145"/>
      <c r="D644" s="145"/>
      <c r="AA644" s="141"/>
      <c r="AE644" s="140"/>
      <c r="AI644" s="141"/>
      <c r="AM644" s="141"/>
      <c r="AY644" s="141"/>
      <c r="BC644" s="141"/>
      <c r="BG644" s="141"/>
      <c r="BK644" s="141"/>
      <c r="BO644" s="141"/>
      <c r="BW644" s="141"/>
    </row>
    <row r="645" spans="2:75" s="134" customFormat="1" x14ac:dyDescent="0.2">
      <c r="B645" s="145"/>
      <c r="D645" s="145"/>
      <c r="AA645" s="141"/>
      <c r="AE645" s="140"/>
      <c r="AI645" s="141"/>
      <c r="AM645" s="141"/>
      <c r="AY645" s="141"/>
      <c r="BC645" s="141"/>
      <c r="BG645" s="141"/>
      <c r="BK645" s="141"/>
      <c r="BO645" s="141"/>
      <c r="BW645" s="141"/>
    </row>
    <row r="646" spans="2:75" s="134" customFormat="1" x14ac:dyDescent="0.2">
      <c r="B646" s="145"/>
      <c r="D646" s="145"/>
      <c r="AA646" s="141"/>
      <c r="AE646" s="140"/>
      <c r="AI646" s="141"/>
      <c r="AM646" s="141"/>
      <c r="AY646" s="141"/>
      <c r="BC646" s="141"/>
      <c r="BG646" s="141"/>
      <c r="BK646" s="141"/>
      <c r="BO646" s="141"/>
      <c r="BW646" s="141"/>
    </row>
    <row r="647" spans="2:75" s="134" customFormat="1" x14ac:dyDescent="0.2">
      <c r="B647" s="145"/>
      <c r="D647" s="145"/>
      <c r="AA647" s="141"/>
      <c r="AE647" s="140"/>
      <c r="AI647" s="141"/>
      <c r="AM647" s="141"/>
      <c r="AY647" s="141"/>
      <c r="BC647" s="141"/>
      <c r="BG647" s="141"/>
      <c r="BK647" s="141"/>
      <c r="BO647" s="141"/>
      <c r="BW647" s="141"/>
    </row>
    <row r="648" spans="2:75" s="134" customFormat="1" x14ac:dyDescent="0.2">
      <c r="B648" s="145"/>
      <c r="D648" s="145"/>
      <c r="AA648" s="141"/>
      <c r="AE648" s="140"/>
      <c r="AI648" s="141"/>
      <c r="AM648" s="141"/>
      <c r="AY648" s="141"/>
      <c r="BC648" s="141"/>
      <c r="BG648" s="141"/>
      <c r="BK648" s="141"/>
      <c r="BO648" s="141"/>
      <c r="BW648" s="141"/>
    </row>
    <row r="649" spans="2:75" s="134" customFormat="1" x14ac:dyDescent="0.2">
      <c r="B649" s="145"/>
      <c r="D649" s="145"/>
      <c r="AA649" s="141"/>
      <c r="AE649" s="140"/>
      <c r="AI649" s="141"/>
      <c r="AM649" s="141"/>
      <c r="AY649" s="141"/>
      <c r="BC649" s="141"/>
      <c r="BG649" s="141"/>
      <c r="BK649" s="141"/>
      <c r="BO649" s="141"/>
      <c r="BW649" s="141"/>
    </row>
    <row r="650" spans="2:75" s="134" customFormat="1" x14ac:dyDescent="0.2">
      <c r="B650" s="145"/>
      <c r="D650" s="145"/>
      <c r="AA650" s="141"/>
      <c r="AE650" s="140"/>
      <c r="AI650" s="141"/>
      <c r="AM650" s="141"/>
      <c r="AY650" s="141"/>
      <c r="BC650" s="141"/>
      <c r="BG650" s="141"/>
      <c r="BK650" s="141"/>
      <c r="BO650" s="141"/>
      <c r="BW650" s="141"/>
    </row>
    <row r="651" spans="2:75" s="134" customFormat="1" x14ac:dyDescent="0.2">
      <c r="B651" s="145"/>
      <c r="D651" s="145"/>
      <c r="AA651" s="141"/>
      <c r="AE651" s="140"/>
      <c r="AI651" s="141"/>
      <c r="AM651" s="141"/>
      <c r="AY651" s="141"/>
      <c r="BC651" s="141"/>
      <c r="BG651" s="141"/>
      <c r="BK651" s="141"/>
      <c r="BO651" s="141"/>
      <c r="BW651" s="141"/>
    </row>
    <row r="652" spans="2:75" s="134" customFormat="1" x14ac:dyDescent="0.2">
      <c r="B652" s="145"/>
      <c r="D652" s="145"/>
      <c r="AA652" s="141"/>
      <c r="AE652" s="140"/>
      <c r="AI652" s="141"/>
      <c r="AM652" s="141"/>
      <c r="AY652" s="141"/>
      <c r="BC652" s="141"/>
      <c r="BG652" s="141"/>
      <c r="BK652" s="141"/>
      <c r="BO652" s="141"/>
      <c r="BW652" s="141"/>
    </row>
    <row r="653" spans="2:75" s="134" customFormat="1" x14ac:dyDescent="0.2">
      <c r="B653" s="145"/>
      <c r="D653" s="145"/>
      <c r="AA653" s="141"/>
      <c r="AE653" s="140"/>
      <c r="AI653" s="141"/>
      <c r="AM653" s="141"/>
      <c r="AY653" s="141"/>
      <c r="BC653" s="141"/>
      <c r="BG653" s="141"/>
      <c r="BK653" s="141"/>
      <c r="BO653" s="141"/>
      <c r="BW653" s="141"/>
    </row>
    <row r="654" spans="2:75" s="134" customFormat="1" x14ac:dyDescent="0.2">
      <c r="B654" s="145"/>
      <c r="D654" s="145"/>
      <c r="AA654" s="141"/>
      <c r="AE654" s="140"/>
      <c r="AI654" s="141"/>
      <c r="AM654" s="141"/>
      <c r="AY654" s="141"/>
      <c r="BC654" s="141"/>
      <c r="BG654" s="141"/>
      <c r="BK654" s="141"/>
      <c r="BO654" s="141"/>
      <c r="BW654" s="141"/>
    </row>
    <row r="655" spans="2:75" s="134" customFormat="1" x14ac:dyDescent="0.2">
      <c r="B655" s="145"/>
      <c r="D655" s="145"/>
      <c r="AA655" s="141"/>
      <c r="AE655" s="140"/>
      <c r="AI655" s="141"/>
      <c r="AM655" s="141"/>
      <c r="AY655" s="141"/>
      <c r="BC655" s="141"/>
      <c r="BG655" s="141"/>
      <c r="BK655" s="141"/>
      <c r="BO655" s="141"/>
      <c r="BW655" s="141"/>
    </row>
    <row r="656" spans="2:75" s="134" customFormat="1" x14ac:dyDescent="0.2">
      <c r="B656" s="145"/>
      <c r="D656" s="145"/>
      <c r="AA656" s="141"/>
      <c r="AE656" s="140"/>
      <c r="AI656" s="141"/>
      <c r="AM656" s="141"/>
      <c r="AY656" s="141"/>
      <c r="BC656" s="141"/>
      <c r="BG656" s="141"/>
      <c r="BK656" s="141"/>
      <c r="BO656" s="141"/>
      <c r="BW656" s="141"/>
    </row>
    <row r="657" spans="2:75" s="134" customFormat="1" x14ac:dyDescent="0.2">
      <c r="B657" s="145"/>
      <c r="D657" s="145"/>
      <c r="AA657" s="141"/>
      <c r="AE657" s="140"/>
      <c r="AI657" s="141"/>
      <c r="AM657" s="141"/>
      <c r="AY657" s="141"/>
      <c r="BC657" s="141"/>
      <c r="BG657" s="141"/>
      <c r="BK657" s="141"/>
      <c r="BO657" s="141"/>
      <c r="BW657" s="141"/>
    </row>
    <row r="658" spans="2:75" s="134" customFormat="1" x14ac:dyDescent="0.2">
      <c r="B658" s="145"/>
      <c r="D658" s="145"/>
      <c r="AA658" s="141"/>
      <c r="AE658" s="140"/>
      <c r="AI658" s="141"/>
      <c r="AM658" s="141"/>
      <c r="AY658" s="141"/>
      <c r="BC658" s="141"/>
      <c r="BG658" s="141"/>
      <c r="BK658" s="141"/>
      <c r="BO658" s="141"/>
      <c r="BW658" s="141"/>
    </row>
    <row r="659" spans="2:75" s="134" customFormat="1" x14ac:dyDescent="0.2">
      <c r="B659" s="145"/>
      <c r="D659" s="145"/>
      <c r="AA659" s="141"/>
      <c r="AE659" s="140"/>
      <c r="AI659" s="141"/>
      <c r="AM659" s="141"/>
      <c r="AY659" s="141"/>
      <c r="BC659" s="141"/>
      <c r="BG659" s="141"/>
      <c r="BK659" s="141"/>
      <c r="BO659" s="141"/>
      <c r="BW659" s="141"/>
    </row>
    <row r="660" spans="2:75" s="134" customFormat="1" x14ac:dyDescent="0.2">
      <c r="B660" s="145"/>
      <c r="D660" s="145"/>
      <c r="AA660" s="141"/>
      <c r="AE660" s="140"/>
      <c r="AI660" s="141"/>
      <c r="AM660" s="141"/>
      <c r="AY660" s="141"/>
      <c r="BC660" s="141"/>
      <c r="BG660" s="141"/>
      <c r="BK660" s="141"/>
      <c r="BO660" s="141"/>
      <c r="BW660" s="141"/>
    </row>
    <row r="661" spans="2:75" s="134" customFormat="1" x14ac:dyDescent="0.2">
      <c r="B661" s="145"/>
      <c r="D661" s="145"/>
      <c r="AA661" s="141"/>
      <c r="AE661" s="140"/>
      <c r="AI661" s="141"/>
      <c r="AM661" s="141"/>
      <c r="AY661" s="141"/>
      <c r="BC661" s="141"/>
      <c r="BG661" s="141"/>
      <c r="BK661" s="141"/>
      <c r="BO661" s="141"/>
      <c r="BW661" s="141"/>
    </row>
    <row r="662" spans="2:75" s="134" customFormat="1" x14ac:dyDescent="0.2">
      <c r="B662" s="145"/>
      <c r="D662" s="145"/>
      <c r="AA662" s="141"/>
      <c r="AE662" s="140"/>
      <c r="AI662" s="141"/>
      <c r="AM662" s="141"/>
      <c r="AY662" s="141"/>
      <c r="BC662" s="141"/>
      <c r="BG662" s="141"/>
      <c r="BK662" s="141"/>
      <c r="BO662" s="141"/>
      <c r="BW662" s="141"/>
    </row>
    <row r="663" spans="2:75" s="134" customFormat="1" x14ac:dyDescent="0.2">
      <c r="B663" s="145"/>
      <c r="D663" s="145"/>
      <c r="AA663" s="141"/>
      <c r="AE663" s="140"/>
      <c r="AI663" s="141"/>
      <c r="AM663" s="141"/>
      <c r="AY663" s="141"/>
      <c r="BC663" s="141"/>
      <c r="BG663" s="141"/>
      <c r="BK663" s="141"/>
      <c r="BO663" s="141"/>
      <c r="BW663" s="141"/>
    </row>
    <row r="664" spans="2:75" s="134" customFormat="1" x14ac:dyDescent="0.2">
      <c r="B664" s="145"/>
      <c r="D664" s="145"/>
      <c r="AA664" s="141"/>
      <c r="AE664" s="140"/>
      <c r="AI664" s="141"/>
      <c r="AM664" s="141"/>
      <c r="AY664" s="141"/>
      <c r="BC664" s="141"/>
      <c r="BG664" s="141"/>
      <c r="BK664" s="141"/>
      <c r="BO664" s="141"/>
      <c r="BW664" s="141"/>
    </row>
    <row r="665" spans="2:75" s="134" customFormat="1" x14ac:dyDescent="0.2">
      <c r="B665" s="145"/>
      <c r="D665" s="145"/>
      <c r="AA665" s="141"/>
      <c r="AE665" s="140"/>
      <c r="AI665" s="141"/>
      <c r="AM665" s="141"/>
      <c r="AY665" s="141"/>
      <c r="BC665" s="141"/>
      <c r="BG665" s="141"/>
      <c r="BK665" s="141"/>
      <c r="BO665" s="141"/>
      <c r="BW665" s="141"/>
    </row>
    <row r="666" spans="2:75" s="134" customFormat="1" x14ac:dyDescent="0.2">
      <c r="B666" s="145"/>
      <c r="D666" s="145"/>
      <c r="AA666" s="141"/>
      <c r="AE666" s="140"/>
      <c r="AI666" s="141"/>
      <c r="AM666" s="141"/>
      <c r="AY666" s="141"/>
      <c r="BC666" s="141"/>
      <c r="BG666" s="141"/>
      <c r="BK666" s="141"/>
      <c r="BO666" s="141"/>
      <c r="BW666" s="141"/>
    </row>
    <row r="667" spans="2:75" s="134" customFormat="1" x14ac:dyDescent="0.2">
      <c r="B667" s="145"/>
      <c r="D667" s="145"/>
      <c r="AA667" s="141"/>
      <c r="AE667" s="140"/>
      <c r="AI667" s="141"/>
      <c r="AM667" s="141"/>
      <c r="AY667" s="141"/>
      <c r="BC667" s="141"/>
      <c r="BG667" s="141"/>
      <c r="BK667" s="141"/>
      <c r="BO667" s="141"/>
      <c r="BW667" s="141"/>
    </row>
    <row r="668" spans="2:75" s="134" customFormat="1" x14ac:dyDescent="0.2">
      <c r="B668" s="145"/>
      <c r="D668" s="145"/>
      <c r="AA668" s="141"/>
      <c r="AE668" s="140"/>
      <c r="AI668" s="141"/>
      <c r="AM668" s="141"/>
      <c r="AY668" s="141"/>
      <c r="BC668" s="141"/>
      <c r="BG668" s="141"/>
      <c r="BK668" s="141"/>
      <c r="BO668" s="141"/>
      <c r="BW668" s="141"/>
    </row>
    <row r="669" spans="2:75" s="134" customFormat="1" x14ac:dyDescent="0.2">
      <c r="B669" s="145"/>
      <c r="D669" s="145"/>
      <c r="AA669" s="141"/>
      <c r="AE669" s="140"/>
      <c r="AI669" s="141"/>
      <c r="AM669" s="141"/>
      <c r="AY669" s="141"/>
      <c r="BC669" s="141"/>
      <c r="BG669" s="141"/>
      <c r="BK669" s="141"/>
      <c r="BO669" s="141"/>
      <c r="BW669" s="141"/>
    </row>
    <row r="670" spans="2:75" s="134" customFormat="1" x14ac:dyDescent="0.2">
      <c r="B670" s="145"/>
      <c r="D670" s="145"/>
      <c r="AA670" s="141"/>
      <c r="AE670" s="140"/>
      <c r="AI670" s="141"/>
      <c r="AM670" s="141"/>
      <c r="AY670" s="141"/>
      <c r="BC670" s="141"/>
      <c r="BG670" s="141"/>
      <c r="BK670" s="141"/>
      <c r="BO670" s="141"/>
      <c r="BW670" s="141"/>
    </row>
    <row r="671" spans="2:75" s="134" customFormat="1" x14ac:dyDescent="0.2">
      <c r="B671" s="145"/>
      <c r="D671" s="145"/>
      <c r="AA671" s="141"/>
      <c r="AE671" s="140"/>
      <c r="AI671" s="141"/>
      <c r="AM671" s="141"/>
      <c r="AY671" s="141"/>
      <c r="BC671" s="141"/>
      <c r="BG671" s="141"/>
      <c r="BK671" s="141"/>
      <c r="BO671" s="141"/>
      <c r="BW671" s="141"/>
    </row>
    <row r="672" spans="2:75" s="134" customFormat="1" x14ac:dyDescent="0.2">
      <c r="B672" s="145"/>
      <c r="D672" s="145"/>
      <c r="AA672" s="141"/>
      <c r="AE672" s="140"/>
      <c r="AI672" s="141"/>
      <c r="AM672" s="141"/>
      <c r="AY672" s="141"/>
      <c r="BC672" s="141"/>
      <c r="BG672" s="141"/>
      <c r="BK672" s="141"/>
      <c r="BO672" s="141"/>
      <c r="BW672" s="141"/>
    </row>
    <row r="673" spans="2:75" s="134" customFormat="1" x14ac:dyDescent="0.2">
      <c r="B673" s="145"/>
      <c r="D673" s="145"/>
      <c r="AA673" s="141"/>
      <c r="AE673" s="140"/>
      <c r="AI673" s="141"/>
      <c r="AM673" s="141"/>
      <c r="AY673" s="141"/>
      <c r="BC673" s="141"/>
      <c r="BG673" s="141"/>
      <c r="BK673" s="141"/>
      <c r="BO673" s="141"/>
      <c r="BW673" s="141"/>
    </row>
    <row r="674" spans="2:75" s="134" customFormat="1" x14ac:dyDescent="0.2">
      <c r="B674" s="145"/>
      <c r="D674" s="145"/>
      <c r="AA674" s="141"/>
      <c r="AE674" s="140"/>
      <c r="AI674" s="141"/>
      <c r="AM674" s="141"/>
      <c r="AY674" s="141"/>
      <c r="BC674" s="141"/>
      <c r="BG674" s="141"/>
      <c r="BK674" s="141"/>
      <c r="BO674" s="141"/>
      <c r="BW674" s="141"/>
    </row>
    <row r="675" spans="2:75" s="134" customFormat="1" x14ac:dyDescent="0.2">
      <c r="B675" s="145"/>
      <c r="D675" s="145"/>
      <c r="AA675" s="141"/>
      <c r="AE675" s="140"/>
      <c r="AI675" s="141"/>
      <c r="AM675" s="141"/>
      <c r="AY675" s="141"/>
      <c r="BC675" s="141"/>
      <c r="BG675" s="141"/>
      <c r="BK675" s="141"/>
      <c r="BO675" s="141"/>
      <c r="BW675" s="141"/>
    </row>
    <row r="676" spans="2:75" s="134" customFormat="1" x14ac:dyDescent="0.2">
      <c r="B676" s="145"/>
      <c r="D676" s="145"/>
      <c r="AA676" s="141"/>
      <c r="AE676" s="140"/>
      <c r="AI676" s="141"/>
      <c r="AM676" s="141"/>
      <c r="AY676" s="141"/>
      <c r="BC676" s="141"/>
      <c r="BG676" s="141"/>
      <c r="BK676" s="141"/>
      <c r="BO676" s="141"/>
      <c r="BW676" s="141"/>
    </row>
    <row r="677" spans="2:75" s="134" customFormat="1" x14ac:dyDescent="0.2">
      <c r="B677" s="145"/>
      <c r="D677" s="145"/>
      <c r="AA677" s="141"/>
      <c r="AE677" s="140"/>
      <c r="AI677" s="141"/>
      <c r="AM677" s="141"/>
      <c r="AY677" s="141"/>
      <c r="BC677" s="141"/>
      <c r="BG677" s="141"/>
      <c r="BK677" s="141"/>
      <c r="BO677" s="141"/>
      <c r="BW677" s="141"/>
    </row>
    <row r="678" spans="2:75" s="134" customFormat="1" x14ac:dyDescent="0.2">
      <c r="B678" s="145"/>
      <c r="D678" s="145"/>
      <c r="AA678" s="141"/>
      <c r="AE678" s="140"/>
      <c r="AI678" s="141"/>
      <c r="AM678" s="141"/>
      <c r="AY678" s="141"/>
      <c r="BC678" s="141"/>
      <c r="BG678" s="141"/>
      <c r="BK678" s="141"/>
      <c r="BO678" s="141"/>
      <c r="BW678" s="141"/>
    </row>
    <row r="679" spans="2:75" s="134" customFormat="1" x14ac:dyDescent="0.2">
      <c r="B679" s="145"/>
      <c r="D679" s="145"/>
      <c r="AA679" s="141"/>
      <c r="AE679" s="140"/>
      <c r="AI679" s="141"/>
      <c r="AM679" s="141"/>
      <c r="AY679" s="141"/>
      <c r="BC679" s="141"/>
      <c r="BG679" s="141"/>
      <c r="BK679" s="141"/>
      <c r="BO679" s="141"/>
      <c r="BW679" s="141"/>
    </row>
    <row r="680" spans="2:75" s="134" customFormat="1" x14ac:dyDescent="0.2">
      <c r="B680" s="145"/>
      <c r="D680" s="145"/>
      <c r="AA680" s="141"/>
      <c r="AE680" s="140"/>
      <c r="AI680" s="141"/>
      <c r="AM680" s="141"/>
      <c r="AY680" s="141"/>
      <c r="BC680" s="141"/>
      <c r="BG680" s="141"/>
      <c r="BK680" s="141"/>
      <c r="BO680" s="141"/>
      <c r="BW680" s="141"/>
    </row>
    <row r="681" spans="2:75" s="134" customFormat="1" x14ac:dyDescent="0.2">
      <c r="B681" s="145"/>
      <c r="D681" s="145"/>
      <c r="AA681" s="141"/>
      <c r="AE681" s="140"/>
      <c r="AI681" s="141"/>
      <c r="AM681" s="141"/>
      <c r="AY681" s="141"/>
      <c r="BC681" s="141"/>
      <c r="BG681" s="141"/>
      <c r="BK681" s="141"/>
      <c r="BO681" s="141"/>
      <c r="BW681" s="141"/>
    </row>
    <row r="682" spans="2:75" s="134" customFormat="1" x14ac:dyDescent="0.2">
      <c r="B682" s="145"/>
      <c r="D682" s="145"/>
      <c r="AA682" s="141"/>
      <c r="AE682" s="140"/>
      <c r="AI682" s="141"/>
      <c r="AM682" s="141"/>
      <c r="AY682" s="141"/>
      <c r="BC682" s="141"/>
      <c r="BG682" s="141"/>
      <c r="BK682" s="141"/>
      <c r="BO682" s="141"/>
      <c r="BW682" s="141"/>
    </row>
    <row r="683" spans="2:75" s="134" customFormat="1" x14ac:dyDescent="0.2">
      <c r="B683" s="145"/>
      <c r="D683" s="145"/>
      <c r="AA683" s="141"/>
      <c r="AE683" s="140"/>
      <c r="AI683" s="141"/>
      <c r="AM683" s="141"/>
      <c r="AY683" s="141"/>
      <c r="BC683" s="141"/>
      <c r="BG683" s="141"/>
      <c r="BK683" s="141"/>
      <c r="BO683" s="141"/>
      <c r="BW683" s="141"/>
    </row>
    <row r="684" spans="2:75" s="134" customFormat="1" x14ac:dyDescent="0.2">
      <c r="B684" s="145"/>
      <c r="D684" s="145"/>
      <c r="AA684" s="141"/>
      <c r="AE684" s="140"/>
      <c r="AI684" s="141"/>
      <c r="AM684" s="141"/>
      <c r="AY684" s="141"/>
      <c r="BC684" s="141"/>
      <c r="BG684" s="141"/>
      <c r="BK684" s="141"/>
      <c r="BO684" s="141"/>
      <c r="BW684" s="141"/>
    </row>
    <row r="685" spans="2:75" s="134" customFormat="1" x14ac:dyDescent="0.2">
      <c r="B685" s="145"/>
      <c r="D685" s="145"/>
      <c r="AA685" s="141"/>
      <c r="AE685" s="140"/>
      <c r="AI685" s="141"/>
      <c r="AM685" s="141"/>
      <c r="AY685" s="141"/>
      <c r="BC685" s="141"/>
      <c r="BG685" s="141"/>
      <c r="BK685" s="141"/>
      <c r="BO685" s="141"/>
      <c r="BW685" s="141"/>
    </row>
    <row r="686" spans="2:75" s="134" customFormat="1" x14ac:dyDescent="0.2">
      <c r="B686" s="145"/>
      <c r="D686" s="145"/>
      <c r="AA686" s="141"/>
      <c r="AE686" s="140"/>
      <c r="AI686" s="141"/>
      <c r="AM686" s="141"/>
      <c r="AY686" s="141"/>
      <c r="BC686" s="141"/>
      <c r="BG686" s="141"/>
      <c r="BK686" s="141"/>
      <c r="BO686" s="141"/>
      <c r="BW686" s="141"/>
    </row>
    <row r="687" spans="2:75" s="134" customFormat="1" x14ac:dyDescent="0.2">
      <c r="B687" s="145"/>
      <c r="D687" s="145"/>
      <c r="AA687" s="141"/>
      <c r="AE687" s="140"/>
      <c r="AI687" s="141"/>
      <c r="AM687" s="141"/>
      <c r="AY687" s="141"/>
      <c r="BC687" s="141"/>
      <c r="BG687" s="141"/>
      <c r="BK687" s="141"/>
      <c r="BO687" s="141"/>
      <c r="BW687" s="141"/>
    </row>
    <row r="688" spans="2:75" s="134" customFormat="1" x14ac:dyDescent="0.2">
      <c r="B688" s="145"/>
      <c r="D688" s="145"/>
      <c r="AA688" s="141"/>
      <c r="AE688" s="140"/>
      <c r="AI688" s="141"/>
      <c r="AM688" s="141"/>
      <c r="AY688" s="141"/>
      <c r="BC688" s="141"/>
      <c r="BG688" s="141"/>
      <c r="BK688" s="141"/>
      <c r="BO688" s="141"/>
      <c r="BW688" s="141"/>
    </row>
    <row r="689" spans="2:75" s="134" customFormat="1" x14ac:dyDescent="0.2">
      <c r="B689" s="145"/>
      <c r="D689" s="145"/>
      <c r="AA689" s="141"/>
      <c r="AE689" s="140"/>
      <c r="AI689" s="141"/>
      <c r="AM689" s="141"/>
      <c r="AY689" s="141"/>
      <c r="BC689" s="141"/>
      <c r="BG689" s="141"/>
      <c r="BK689" s="141"/>
      <c r="BO689" s="141"/>
      <c r="BW689" s="141"/>
    </row>
    <row r="690" spans="2:75" s="134" customFormat="1" x14ac:dyDescent="0.2">
      <c r="B690" s="145"/>
      <c r="D690" s="145"/>
      <c r="AA690" s="141"/>
      <c r="AE690" s="140"/>
      <c r="AI690" s="141"/>
      <c r="AM690" s="141"/>
      <c r="AY690" s="141"/>
      <c r="BC690" s="141"/>
      <c r="BG690" s="141"/>
      <c r="BK690" s="141"/>
      <c r="BO690" s="141"/>
      <c r="BW690" s="141"/>
    </row>
    <row r="691" spans="2:75" s="134" customFormat="1" x14ac:dyDescent="0.2">
      <c r="B691" s="145"/>
      <c r="D691" s="145"/>
      <c r="AA691" s="141"/>
      <c r="AE691" s="140"/>
      <c r="AI691" s="141"/>
      <c r="AM691" s="141"/>
      <c r="AY691" s="141"/>
      <c r="BC691" s="141"/>
      <c r="BG691" s="141"/>
      <c r="BK691" s="141"/>
      <c r="BO691" s="141"/>
      <c r="BW691" s="141"/>
    </row>
    <row r="692" spans="2:75" s="134" customFormat="1" x14ac:dyDescent="0.2">
      <c r="B692" s="145"/>
      <c r="D692" s="145"/>
      <c r="AA692" s="141"/>
      <c r="AE692" s="140"/>
      <c r="AI692" s="141"/>
      <c r="AM692" s="141"/>
      <c r="AY692" s="141"/>
      <c r="BC692" s="141"/>
      <c r="BG692" s="141"/>
      <c r="BK692" s="141"/>
      <c r="BO692" s="141"/>
      <c r="BW692" s="141"/>
    </row>
    <row r="693" spans="2:75" s="134" customFormat="1" x14ac:dyDescent="0.2">
      <c r="B693" s="145"/>
      <c r="D693" s="145"/>
      <c r="AA693" s="141"/>
      <c r="AE693" s="140"/>
      <c r="AI693" s="141"/>
      <c r="AM693" s="141"/>
      <c r="AY693" s="141"/>
      <c r="BC693" s="141"/>
      <c r="BG693" s="141"/>
      <c r="BK693" s="141"/>
      <c r="BO693" s="141"/>
      <c r="BW693" s="141"/>
    </row>
    <row r="694" spans="2:75" s="134" customFormat="1" x14ac:dyDescent="0.2">
      <c r="B694" s="145"/>
      <c r="D694" s="145"/>
      <c r="AA694" s="141"/>
      <c r="AE694" s="140"/>
      <c r="AI694" s="141"/>
      <c r="AM694" s="141"/>
      <c r="AY694" s="141"/>
      <c r="BC694" s="141"/>
      <c r="BG694" s="141"/>
      <c r="BK694" s="141"/>
      <c r="BO694" s="141"/>
      <c r="BW694" s="141"/>
    </row>
    <row r="695" spans="2:75" s="134" customFormat="1" x14ac:dyDescent="0.2">
      <c r="B695" s="145"/>
      <c r="D695" s="145"/>
      <c r="AA695" s="141"/>
      <c r="AE695" s="140"/>
      <c r="AI695" s="141"/>
      <c r="AM695" s="141"/>
      <c r="AY695" s="141"/>
      <c r="BC695" s="141"/>
      <c r="BG695" s="141"/>
      <c r="BK695" s="141"/>
      <c r="BO695" s="141"/>
      <c r="BW695" s="141"/>
    </row>
    <row r="696" spans="2:75" s="134" customFormat="1" x14ac:dyDescent="0.2">
      <c r="B696" s="145"/>
      <c r="D696" s="145"/>
      <c r="AA696" s="141"/>
      <c r="AE696" s="140"/>
      <c r="AI696" s="141"/>
      <c r="AM696" s="141"/>
      <c r="AY696" s="141"/>
      <c r="BC696" s="141"/>
      <c r="BG696" s="141"/>
      <c r="BK696" s="141"/>
      <c r="BO696" s="141"/>
      <c r="BW696" s="141"/>
    </row>
    <row r="697" spans="2:75" s="134" customFormat="1" x14ac:dyDescent="0.2">
      <c r="B697" s="145"/>
      <c r="D697" s="145"/>
      <c r="AA697" s="141"/>
      <c r="AE697" s="140"/>
      <c r="AI697" s="141"/>
      <c r="AM697" s="141"/>
      <c r="AY697" s="141"/>
      <c r="BC697" s="141"/>
      <c r="BG697" s="141"/>
      <c r="BK697" s="141"/>
      <c r="BO697" s="141"/>
      <c r="BW697" s="141"/>
    </row>
    <row r="698" spans="2:75" s="134" customFormat="1" x14ac:dyDescent="0.2">
      <c r="B698" s="145"/>
      <c r="D698" s="145"/>
      <c r="AA698" s="141"/>
      <c r="AE698" s="140"/>
      <c r="AI698" s="141"/>
      <c r="AM698" s="141"/>
      <c r="AY698" s="141"/>
      <c r="BC698" s="141"/>
      <c r="BG698" s="141"/>
      <c r="BK698" s="141"/>
      <c r="BO698" s="141"/>
      <c r="BW698" s="141"/>
    </row>
    <row r="699" spans="2:75" s="134" customFormat="1" x14ac:dyDescent="0.2">
      <c r="B699" s="145"/>
      <c r="D699" s="145"/>
      <c r="AA699" s="141"/>
      <c r="AE699" s="140"/>
      <c r="AI699" s="141"/>
      <c r="AM699" s="141"/>
      <c r="AY699" s="141"/>
      <c r="BC699" s="141"/>
      <c r="BG699" s="141"/>
      <c r="BK699" s="141"/>
      <c r="BO699" s="141"/>
      <c r="BW699" s="141"/>
    </row>
    <row r="700" spans="2:75" s="134" customFormat="1" x14ac:dyDescent="0.2">
      <c r="B700" s="145"/>
      <c r="D700" s="145"/>
      <c r="AA700" s="141"/>
      <c r="AE700" s="140"/>
      <c r="AI700" s="141"/>
      <c r="AM700" s="141"/>
      <c r="AY700" s="141"/>
      <c r="BC700" s="141"/>
      <c r="BG700" s="141"/>
      <c r="BK700" s="141"/>
      <c r="BO700" s="141"/>
      <c r="BW700" s="141"/>
    </row>
    <row r="701" spans="2:75" s="134" customFormat="1" x14ac:dyDescent="0.2">
      <c r="B701" s="145"/>
      <c r="D701" s="145"/>
      <c r="AA701" s="141"/>
      <c r="AE701" s="140"/>
      <c r="AI701" s="141"/>
      <c r="AM701" s="141"/>
      <c r="AY701" s="141"/>
      <c r="BC701" s="141"/>
      <c r="BG701" s="141"/>
      <c r="BK701" s="141"/>
      <c r="BO701" s="141"/>
      <c r="BW701" s="141"/>
    </row>
    <row r="702" spans="2:75" s="134" customFormat="1" x14ac:dyDescent="0.2">
      <c r="B702" s="145"/>
      <c r="D702" s="145"/>
      <c r="AA702" s="141"/>
      <c r="AE702" s="140"/>
      <c r="AI702" s="141"/>
      <c r="AM702" s="141"/>
      <c r="AY702" s="141"/>
      <c r="BC702" s="141"/>
      <c r="BG702" s="141"/>
      <c r="BK702" s="141"/>
      <c r="BO702" s="141"/>
      <c r="BW702" s="141"/>
    </row>
    <row r="703" spans="2:75" s="134" customFormat="1" x14ac:dyDescent="0.2">
      <c r="B703" s="145"/>
      <c r="D703" s="145"/>
      <c r="AA703" s="141"/>
      <c r="AE703" s="140"/>
      <c r="AI703" s="141"/>
      <c r="AM703" s="141"/>
      <c r="AY703" s="141"/>
      <c r="BC703" s="141"/>
      <c r="BG703" s="141"/>
      <c r="BK703" s="141"/>
      <c r="BO703" s="141"/>
      <c r="BW703" s="141"/>
    </row>
    <row r="704" spans="2:75" s="134" customFormat="1" x14ac:dyDescent="0.2">
      <c r="B704" s="145"/>
      <c r="D704" s="145"/>
      <c r="AA704" s="141"/>
      <c r="AE704" s="140"/>
      <c r="AI704" s="141"/>
      <c r="AM704" s="141"/>
      <c r="AY704" s="141"/>
      <c r="BC704" s="141"/>
      <c r="BG704" s="141"/>
      <c r="BK704" s="141"/>
      <c r="BO704" s="141"/>
      <c r="BW704" s="141"/>
    </row>
    <row r="705" spans="2:75" s="134" customFormat="1" x14ac:dyDescent="0.2">
      <c r="B705" s="145"/>
      <c r="D705" s="145"/>
      <c r="AA705" s="141"/>
      <c r="AE705" s="140"/>
      <c r="AI705" s="141"/>
      <c r="AM705" s="141"/>
      <c r="AY705" s="141"/>
      <c r="BC705" s="141"/>
      <c r="BG705" s="141"/>
      <c r="BK705" s="141"/>
      <c r="BO705" s="141"/>
      <c r="BW705" s="141"/>
    </row>
    <row r="706" spans="2:75" s="134" customFormat="1" x14ac:dyDescent="0.2">
      <c r="B706" s="145"/>
      <c r="D706" s="145"/>
      <c r="AA706" s="141"/>
      <c r="AE706" s="140"/>
      <c r="AI706" s="141"/>
      <c r="AM706" s="141"/>
      <c r="AY706" s="141"/>
      <c r="BC706" s="141"/>
      <c r="BG706" s="141"/>
      <c r="BK706" s="141"/>
      <c r="BO706" s="141"/>
      <c r="BW706" s="141"/>
    </row>
    <row r="707" spans="2:75" s="134" customFormat="1" x14ac:dyDescent="0.2">
      <c r="B707" s="145"/>
      <c r="D707" s="145"/>
      <c r="AA707" s="141"/>
      <c r="AE707" s="140"/>
      <c r="AI707" s="141"/>
      <c r="AM707" s="141"/>
      <c r="AY707" s="141"/>
      <c r="BC707" s="141"/>
      <c r="BG707" s="141"/>
      <c r="BK707" s="141"/>
      <c r="BO707" s="141"/>
      <c r="BW707" s="141"/>
    </row>
    <row r="708" spans="2:75" s="134" customFormat="1" x14ac:dyDescent="0.2">
      <c r="B708" s="145"/>
      <c r="D708" s="145"/>
      <c r="AA708" s="141"/>
      <c r="AE708" s="140"/>
      <c r="AI708" s="141"/>
      <c r="AM708" s="141"/>
      <c r="AY708" s="141"/>
      <c r="BC708" s="141"/>
      <c r="BG708" s="141"/>
      <c r="BK708" s="141"/>
      <c r="BO708" s="141"/>
      <c r="BW708" s="141"/>
    </row>
    <row r="709" spans="2:75" s="134" customFormat="1" x14ac:dyDescent="0.2">
      <c r="B709" s="145"/>
      <c r="D709" s="145"/>
      <c r="AA709" s="141"/>
      <c r="AE709" s="140"/>
      <c r="AI709" s="141"/>
      <c r="AM709" s="141"/>
      <c r="AY709" s="141"/>
      <c r="BC709" s="141"/>
      <c r="BG709" s="141"/>
      <c r="BK709" s="141"/>
      <c r="BO709" s="141"/>
      <c r="BW709" s="141"/>
    </row>
    <row r="710" spans="2:75" s="134" customFormat="1" x14ac:dyDescent="0.2">
      <c r="B710" s="145"/>
      <c r="D710" s="145"/>
      <c r="AA710" s="141"/>
      <c r="AE710" s="140"/>
      <c r="AI710" s="141"/>
      <c r="AM710" s="141"/>
      <c r="AY710" s="141"/>
      <c r="BC710" s="141"/>
      <c r="BG710" s="141"/>
      <c r="BK710" s="141"/>
      <c r="BO710" s="141"/>
      <c r="BW710" s="141"/>
    </row>
    <row r="711" spans="2:75" s="134" customFormat="1" x14ac:dyDescent="0.2">
      <c r="B711" s="145"/>
      <c r="D711" s="145"/>
      <c r="AA711" s="141"/>
      <c r="AE711" s="140"/>
      <c r="AI711" s="141"/>
      <c r="AM711" s="141"/>
      <c r="AY711" s="141"/>
      <c r="BC711" s="141"/>
      <c r="BG711" s="141"/>
      <c r="BK711" s="141"/>
      <c r="BO711" s="141"/>
      <c r="BW711" s="141"/>
    </row>
    <row r="712" spans="2:75" s="134" customFormat="1" x14ac:dyDescent="0.2">
      <c r="B712" s="145"/>
      <c r="D712" s="145"/>
      <c r="AA712" s="141"/>
      <c r="AE712" s="140"/>
      <c r="AI712" s="141"/>
      <c r="AM712" s="141"/>
      <c r="AY712" s="141"/>
      <c r="BC712" s="141"/>
      <c r="BG712" s="141"/>
      <c r="BK712" s="141"/>
      <c r="BO712" s="141"/>
      <c r="BW712" s="141"/>
    </row>
    <row r="713" spans="2:75" s="134" customFormat="1" x14ac:dyDescent="0.2">
      <c r="B713" s="145"/>
      <c r="D713" s="145"/>
      <c r="AA713" s="141"/>
      <c r="AE713" s="140"/>
      <c r="AI713" s="141"/>
      <c r="AM713" s="141"/>
      <c r="AY713" s="141"/>
      <c r="BC713" s="141"/>
      <c r="BG713" s="141"/>
      <c r="BK713" s="141"/>
      <c r="BO713" s="141"/>
      <c r="BW713" s="141"/>
    </row>
    <row r="714" spans="2:75" s="134" customFormat="1" x14ac:dyDescent="0.2">
      <c r="B714" s="145"/>
      <c r="D714" s="145"/>
      <c r="AA714" s="141"/>
      <c r="AE714" s="140"/>
      <c r="AI714" s="141"/>
      <c r="AM714" s="141"/>
      <c r="AY714" s="141"/>
      <c r="BC714" s="141"/>
      <c r="BG714" s="141"/>
      <c r="BK714" s="141"/>
      <c r="BO714" s="141"/>
      <c r="BW714" s="141"/>
    </row>
    <row r="715" spans="2:75" s="134" customFormat="1" x14ac:dyDescent="0.2">
      <c r="B715" s="145"/>
      <c r="D715" s="145"/>
      <c r="AA715" s="141"/>
      <c r="AE715" s="140"/>
      <c r="AI715" s="141"/>
      <c r="AM715" s="141"/>
      <c r="AY715" s="141"/>
      <c r="BC715" s="141"/>
      <c r="BG715" s="141"/>
      <c r="BK715" s="141"/>
      <c r="BO715" s="141"/>
      <c r="BW715" s="141"/>
    </row>
    <row r="716" spans="2:75" s="134" customFormat="1" x14ac:dyDescent="0.2">
      <c r="B716" s="145"/>
      <c r="D716" s="145"/>
      <c r="AA716" s="141"/>
      <c r="AE716" s="140"/>
      <c r="AI716" s="141"/>
      <c r="AM716" s="141"/>
      <c r="AY716" s="141"/>
      <c r="BC716" s="141"/>
      <c r="BG716" s="141"/>
      <c r="BK716" s="141"/>
      <c r="BO716" s="141"/>
      <c r="BW716" s="141"/>
    </row>
    <row r="717" spans="2:75" s="134" customFormat="1" x14ac:dyDescent="0.2">
      <c r="B717" s="145"/>
      <c r="D717" s="145"/>
      <c r="AA717" s="141"/>
      <c r="AE717" s="140"/>
      <c r="AI717" s="141"/>
      <c r="AM717" s="141"/>
      <c r="AY717" s="141"/>
      <c r="BC717" s="141"/>
      <c r="BG717" s="141"/>
      <c r="BK717" s="141"/>
      <c r="BO717" s="141"/>
      <c r="BW717" s="141"/>
    </row>
    <row r="718" spans="2:75" s="134" customFormat="1" x14ac:dyDescent="0.2">
      <c r="B718" s="145"/>
      <c r="D718" s="145"/>
      <c r="AA718" s="141"/>
      <c r="AE718" s="140"/>
      <c r="AI718" s="141"/>
      <c r="AM718" s="141"/>
      <c r="AY718" s="141"/>
      <c r="BC718" s="141"/>
      <c r="BG718" s="141"/>
      <c r="BK718" s="141"/>
      <c r="BO718" s="141"/>
      <c r="BW718" s="141"/>
    </row>
    <row r="719" spans="2:75" s="134" customFormat="1" x14ac:dyDescent="0.2">
      <c r="B719" s="145"/>
      <c r="D719" s="145"/>
      <c r="AA719" s="141"/>
      <c r="AE719" s="140"/>
      <c r="AI719" s="141"/>
      <c r="AM719" s="141"/>
      <c r="AY719" s="141"/>
      <c r="BC719" s="141"/>
      <c r="BG719" s="141"/>
      <c r="BK719" s="141"/>
      <c r="BO719" s="141"/>
      <c r="BW719" s="141"/>
    </row>
    <row r="720" spans="2:75" s="134" customFormat="1" x14ac:dyDescent="0.2">
      <c r="B720" s="145"/>
      <c r="D720" s="145"/>
      <c r="AA720" s="141"/>
      <c r="AE720" s="140"/>
      <c r="AI720" s="141"/>
      <c r="AM720" s="141"/>
      <c r="AY720" s="141"/>
      <c r="BC720" s="141"/>
      <c r="BG720" s="141"/>
      <c r="BK720" s="141"/>
      <c r="BO720" s="141"/>
      <c r="BW720" s="141"/>
    </row>
    <row r="721" spans="2:75" s="134" customFormat="1" x14ac:dyDescent="0.2">
      <c r="B721" s="145"/>
      <c r="D721" s="145"/>
      <c r="AA721" s="141"/>
      <c r="AE721" s="140"/>
      <c r="AI721" s="141"/>
      <c r="AM721" s="141"/>
      <c r="AY721" s="141"/>
      <c r="BC721" s="141"/>
      <c r="BG721" s="141"/>
      <c r="BK721" s="141"/>
      <c r="BO721" s="141"/>
      <c r="BW721" s="141"/>
    </row>
    <row r="722" spans="2:75" s="134" customFormat="1" x14ac:dyDescent="0.2">
      <c r="B722" s="145"/>
      <c r="D722" s="145"/>
      <c r="AA722" s="141"/>
      <c r="AE722" s="140"/>
      <c r="AI722" s="141"/>
      <c r="AM722" s="141"/>
      <c r="AY722" s="141"/>
      <c r="BC722" s="141"/>
      <c r="BG722" s="141"/>
      <c r="BK722" s="141"/>
      <c r="BO722" s="141"/>
      <c r="BW722" s="141"/>
    </row>
    <row r="723" spans="2:75" s="134" customFormat="1" x14ac:dyDescent="0.2">
      <c r="B723" s="145"/>
      <c r="D723" s="145"/>
      <c r="AA723" s="141"/>
      <c r="AE723" s="140"/>
      <c r="AI723" s="141"/>
      <c r="AM723" s="141"/>
      <c r="AY723" s="141"/>
      <c r="BC723" s="141"/>
      <c r="BG723" s="141"/>
      <c r="BK723" s="141"/>
      <c r="BO723" s="141"/>
      <c r="BW723" s="141"/>
    </row>
    <row r="724" spans="2:75" s="134" customFormat="1" x14ac:dyDescent="0.2">
      <c r="B724" s="145"/>
      <c r="D724" s="145"/>
      <c r="AA724" s="141"/>
      <c r="AE724" s="140"/>
      <c r="AI724" s="141"/>
      <c r="AM724" s="141"/>
      <c r="AY724" s="141"/>
      <c r="BC724" s="141"/>
      <c r="BG724" s="141"/>
      <c r="BK724" s="141"/>
      <c r="BO724" s="141"/>
      <c r="BW724" s="141"/>
    </row>
    <row r="725" spans="2:75" s="134" customFormat="1" x14ac:dyDescent="0.2">
      <c r="B725" s="145"/>
      <c r="D725" s="145"/>
      <c r="AA725" s="141"/>
      <c r="AE725" s="140"/>
      <c r="AI725" s="141"/>
      <c r="AM725" s="141"/>
      <c r="AY725" s="141"/>
      <c r="BC725" s="141"/>
      <c r="BG725" s="141"/>
      <c r="BK725" s="141"/>
      <c r="BO725" s="141"/>
      <c r="BW725" s="141"/>
    </row>
    <row r="726" spans="2:75" s="134" customFormat="1" x14ac:dyDescent="0.2">
      <c r="B726" s="145"/>
      <c r="D726" s="145"/>
      <c r="AA726" s="141"/>
      <c r="AE726" s="140"/>
      <c r="AI726" s="141"/>
      <c r="AM726" s="141"/>
      <c r="AY726" s="141"/>
      <c r="BC726" s="141"/>
      <c r="BG726" s="141"/>
      <c r="BK726" s="141"/>
      <c r="BO726" s="141"/>
      <c r="BW726" s="141"/>
    </row>
    <row r="727" spans="2:75" s="134" customFormat="1" x14ac:dyDescent="0.2">
      <c r="B727" s="145"/>
      <c r="D727" s="145"/>
      <c r="AA727" s="141"/>
      <c r="AE727" s="140"/>
      <c r="AI727" s="141"/>
      <c r="AM727" s="141"/>
      <c r="AY727" s="141"/>
      <c r="BC727" s="141"/>
      <c r="BG727" s="141"/>
      <c r="BK727" s="141"/>
      <c r="BO727" s="141"/>
      <c r="BW727" s="141"/>
    </row>
    <row r="728" spans="2:75" s="134" customFormat="1" x14ac:dyDescent="0.2">
      <c r="B728" s="145"/>
      <c r="D728" s="145"/>
      <c r="AA728" s="141"/>
      <c r="AE728" s="140"/>
      <c r="AI728" s="141"/>
      <c r="AM728" s="141"/>
      <c r="AY728" s="141"/>
      <c r="BC728" s="141"/>
      <c r="BG728" s="141"/>
      <c r="BK728" s="141"/>
      <c r="BO728" s="141"/>
      <c r="BW728" s="141"/>
    </row>
    <row r="729" spans="2:75" s="134" customFormat="1" x14ac:dyDescent="0.2">
      <c r="B729" s="145"/>
      <c r="D729" s="145"/>
      <c r="AA729" s="141"/>
      <c r="AE729" s="140"/>
      <c r="AI729" s="141"/>
      <c r="AM729" s="141"/>
      <c r="AY729" s="141"/>
      <c r="BC729" s="141"/>
      <c r="BG729" s="141"/>
      <c r="BK729" s="141"/>
      <c r="BO729" s="141"/>
      <c r="BW729" s="141"/>
    </row>
    <row r="730" spans="2:75" s="134" customFormat="1" x14ac:dyDescent="0.2">
      <c r="B730" s="145"/>
      <c r="D730" s="145"/>
      <c r="AA730" s="141"/>
      <c r="AE730" s="140"/>
      <c r="AI730" s="141"/>
      <c r="AM730" s="141"/>
      <c r="AY730" s="141"/>
      <c r="BC730" s="141"/>
      <c r="BG730" s="141"/>
      <c r="BK730" s="141"/>
      <c r="BO730" s="141"/>
      <c r="BW730" s="141"/>
    </row>
    <row r="731" spans="2:75" s="134" customFormat="1" x14ac:dyDescent="0.2">
      <c r="B731" s="145"/>
      <c r="D731" s="145"/>
      <c r="AA731" s="141"/>
      <c r="AE731" s="140"/>
      <c r="AI731" s="141"/>
      <c r="AM731" s="141"/>
      <c r="AY731" s="141"/>
      <c r="BC731" s="141"/>
      <c r="BG731" s="141"/>
      <c r="BK731" s="141"/>
      <c r="BO731" s="141"/>
      <c r="BW731" s="141"/>
    </row>
    <row r="732" spans="2:75" s="134" customFormat="1" x14ac:dyDescent="0.2">
      <c r="B732" s="145"/>
      <c r="D732" s="145"/>
      <c r="AA732" s="141"/>
      <c r="AE732" s="140"/>
      <c r="AI732" s="141"/>
      <c r="AM732" s="141"/>
      <c r="AY732" s="141"/>
      <c r="BC732" s="141"/>
      <c r="BG732" s="141"/>
      <c r="BK732" s="141"/>
      <c r="BO732" s="141"/>
      <c r="BW732" s="141"/>
    </row>
    <row r="733" spans="2:75" s="134" customFormat="1" x14ac:dyDescent="0.2">
      <c r="B733" s="145"/>
      <c r="D733" s="145"/>
      <c r="AA733" s="141"/>
      <c r="AE733" s="140"/>
      <c r="AI733" s="141"/>
      <c r="AM733" s="141"/>
      <c r="AY733" s="141"/>
      <c r="BC733" s="141"/>
      <c r="BG733" s="141"/>
      <c r="BK733" s="141"/>
      <c r="BO733" s="141"/>
      <c r="BW733" s="141"/>
    </row>
    <row r="734" spans="2:75" s="134" customFormat="1" x14ac:dyDescent="0.2">
      <c r="B734" s="145"/>
      <c r="D734" s="145"/>
      <c r="AA734" s="141"/>
      <c r="AE734" s="140"/>
      <c r="AI734" s="141"/>
      <c r="AM734" s="141"/>
      <c r="AY734" s="141"/>
      <c r="BC734" s="141"/>
      <c r="BG734" s="141"/>
      <c r="BK734" s="141"/>
      <c r="BO734" s="141"/>
      <c r="BW734" s="141"/>
    </row>
    <row r="735" spans="2:75" s="134" customFormat="1" x14ac:dyDescent="0.2">
      <c r="B735" s="145"/>
      <c r="D735" s="145"/>
      <c r="AA735" s="141"/>
      <c r="AE735" s="140"/>
      <c r="AI735" s="141"/>
      <c r="AM735" s="141"/>
      <c r="AY735" s="141"/>
      <c r="BC735" s="141"/>
      <c r="BG735" s="141"/>
      <c r="BK735" s="141"/>
      <c r="BO735" s="141"/>
      <c r="BW735" s="141"/>
    </row>
    <row r="736" spans="2:75" s="134" customFormat="1" x14ac:dyDescent="0.2">
      <c r="B736" s="145"/>
      <c r="D736" s="145"/>
      <c r="AA736" s="141"/>
      <c r="AE736" s="140"/>
      <c r="AI736" s="141"/>
      <c r="AM736" s="141"/>
      <c r="AY736" s="141"/>
      <c r="BC736" s="141"/>
      <c r="BG736" s="141"/>
      <c r="BK736" s="141"/>
      <c r="BO736" s="141"/>
      <c r="BW736" s="141"/>
    </row>
    <row r="737" spans="2:75" s="134" customFormat="1" x14ac:dyDescent="0.2">
      <c r="B737" s="145"/>
      <c r="D737" s="145"/>
      <c r="AA737" s="141"/>
      <c r="AE737" s="140"/>
      <c r="AI737" s="141"/>
      <c r="AM737" s="141"/>
      <c r="AY737" s="141"/>
      <c r="BC737" s="141"/>
      <c r="BG737" s="141"/>
      <c r="BK737" s="141"/>
      <c r="BO737" s="141"/>
      <c r="BW737" s="141"/>
    </row>
    <row r="738" spans="2:75" s="134" customFormat="1" x14ac:dyDescent="0.2">
      <c r="B738" s="145"/>
      <c r="D738" s="145"/>
      <c r="AA738" s="141"/>
      <c r="AE738" s="140"/>
      <c r="AI738" s="141"/>
      <c r="AM738" s="141"/>
      <c r="AY738" s="141"/>
      <c r="BC738" s="141"/>
      <c r="BG738" s="141"/>
      <c r="BK738" s="141"/>
      <c r="BO738" s="141"/>
      <c r="BW738" s="141"/>
    </row>
    <row r="739" spans="2:75" s="134" customFormat="1" x14ac:dyDescent="0.2">
      <c r="B739" s="145"/>
      <c r="D739" s="145"/>
      <c r="AA739" s="141"/>
      <c r="AE739" s="140"/>
      <c r="AI739" s="141"/>
      <c r="AM739" s="141"/>
      <c r="AY739" s="141"/>
      <c r="BC739" s="141"/>
      <c r="BG739" s="141"/>
      <c r="BK739" s="141"/>
      <c r="BO739" s="141"/>
      <c r="BW739" s="141"/>
    </row>
    <row r="740" spans="2:75" s="134" customFormat="1" x14ac:dyDescent="0.2">
      <c r="B740" s="145"/>
      <c r="D740" s="145"/>
      <c r="AA740" s="141"/>
      <c r="AE740" s="140"/>
      <c r="AI740" s="141"/>
      <c r="AM740" s="141"/>
      <c r="AY740" s="141"/>
      <c r="BC740" s="141"/>
      <c r="BG740" s="141"/>
      <c r="BK740" s="141"/>
      <c r="BO740" s="141"/>
      <c r="BW740" s="141"/>
    </row>
    <row r="741" spans="2:75" s="134" customFormat="1" x14ac:dyDescent="0.2">
      <c r="B741" s="145"/>
      <c r="D741" s="145"/>
      <c r="AA741" s="141"/>
      <c r="AE741" s="140"/>
      <c r="AI741" s="141"/>
      <c r="AM741" s="141"/>
      <c r="AY741" s="141"/>
      <c r="BC741" s="141"/>
      <c r="BG741" s="141"/>
      <c r="BK741" s="141"/>
      <c r="BO741" s="141"/>
      <c r="BW741" s="141"/>
    </row>
    <row r="742" spans="2:75" s="134" customFormat="1" x14ac:dyDescent="0.2">
      <c r="B742" s="145"/>
      <c r="D742" s="145"/>
      <c r="AA742" s="141"/>
      <c r="AE742" s="140"/>
      <c r="AI742" s="141"/>
      <c r="AM742" s="141"/>
      <c r="AY742" s="141"/>
      <c r="BC742" s="141"/>
      <c r="BG742" s="141"/>
      <c r="BK742" s="141"/>
      <c r="BO742" s="141"/>
      <c r="BW742" s="141"/>
    </row>
    <row r="743" spans="2:75" s="134" customFormat="1" x14ac:dyDescent="0.2">
      <c r="B743" s="145"/>
      <c r="D743" s="145"/>
      <c r="AA743" s="141"/>
      <c r="AE743" s="140"/>
      <c r="AI743" s="141"/>
      <c r="AM743" s="141"/>
      <c r="AY743" s="141"/>
      <c r="BC743" s="141"/>
      <c r="BG743" s="141"/>
      <c r="BK743" s="141"/>
      <c r="BO743" s="141"/>
      <c r="BW743" s="141"/>
    </row>
    <row r="744" spans="2:75" s="134" customFormat="1" x14ac:dyDescent="0.2">
      <c r="B744" s="145"/>
      <c r="D744" s="145"/>
      <c r="AA744" s="141"/>
      <c r="AE744" s="140"/>
      <c r="AI744" s="141"/>
      <c r="AM744" s="141"/>
      <c r="AY744" s="141"/>
      <c r="BC744" s="141"/>
      <c r="BG744" s="141"/>
      <c r="BK744" s="141"/>
      <c r="BO744" s="141"/>
      <c r="BW744" s="141"/>
    </row>
    <row r="745" spans="2:75" s="134" customFormat="1" x14ac:dyDescent="0.2">
      <c r="B745" s="145"/>
      <c r="D745" s="145"/>
      <c r="AA745" s="141"/>
      <c r="AE745" s="140"/>
      <c r="AI745" s="141"/>
      <c r="AM745" s="141"/>
      <c r="AY745" s="141"/>
      <c r="BC745" s="141"/>
      <c r="BG745" s="141"/>
      <c r="BK745" s="141"/>
      <c r="BO745" s="141"/>
      <c r="BW745" s="141"/>
    </row>
    <row r="746" spans="2:75" s="134" customFormat="1" x14ac:dyDescent="0.2">
      <c r="B746" s="145"/>
      <c r="D746" s="145"/>
      <c r="AA746" s="141"/>
      <c r="AE746" s="140"/>
      <c r="AI746" s="141"/>
      <c r="AM746" s="141"/>
      <c r="AY746" s="141"/>
      <c r="BC746" s="141"/>
      <c r="BG746" s="141"/>
      <c r="BK746" s="141"/>
      <c r="BO746" s="141"/>
      <c r="BW746" s="141"/>
    </row>
    <row r="747" spans="2:75" s="134" customFormat="1" x14ac:dyDescent="0.2">
      <c r="B747" s="145"/>
      <c r="D747" s="145"/>
      <c r="AA747" s="141"/>
      <c r="AE747" s="140"/>
      <c r="AI747" s="141"/>
      <c r="AM747" s="141"/>
      <c r="AY747" s="141"/>
      <c r="BC747" s="141"/>
      <c r="BG747" s="141"/>
      <c r="BK747" s="141"/>
      <c r="BO747" s="141"/>
      <c r="BW747" s="141"/>
    </row>
    <row r="748" spans="2:75" s="134" customFormat="1" x14ac:dyDescent="0.2">
      <c r="B748" s="145"/>
      <c r="D748" s="145"/>
      <c r="AA748" s="141"/>
      <c r="AE748" s="140"/>
      <c r="AI748" s="141"/>
      <c r="AM748" s="141"/>
      <c r="AY748" s="141"/>
      <c r="BC748" s="141"/>
      <c r="BG748" s="141"/>
      <c r="BK748" s="141"/>
      <c r="BO748" s="141"/>
      <c r="BW748" s="141"/>
    </row>
    <row r="749" spans="2:75" s="134" customFormat="1" x14ac:dyDescent="0.2">
      <c r="B749" s="145"/>
      <c r="D749" s="145"/>
      <c r="AA749" s="141"/>
      <c r="AE749" s="140"/>
      <c r="AI749" s="141"/>
      <c r="AM749" s="141"/>
      <c r="AY749" s="141"/>
      <c r="BC749" s="141"/>
      <c r="BG749" s="141"/>
      <c r="BK749" s="141"/>
      <c r="BO749" s="141"/>
      <c r="BW749" s="141"/>
    </row>
    <row r="750" spans="2:75" s="134" customFormat="1" x14ac:dyDescent="0.2">
      <c r="B750" s="145"/>
      <c r="D750" s="145"/>
      <c r="AA750" s="141"/>
      <c r="AE750" s="140"/>
      <c r="AI750" s="141"/>
      <c r="AM750" s="141"/>
      <c r="AY750" s="141"/>
      <c r="BC750" s="141"/>
      <c r="BG750" s="141"/>
      <c r="BK750" s="141"/>
      <c r="BO750" s="141"/>
      <c r="BW750" s="141"/>
    </row>
    <row r="751" spans="2:75" s="134" customFormat="1" x14ac:dyDescent="0.2">
      <c r="B751" s="145"/>
      <c r="D751" s="145"/>
      <c r="AA751" s="141"/>
      <c r="AE751" s="140"/>
      <c r="AI751" s="141"/>
      <c r="AM751" s="141"/>
      <c r="AY751" s="141"/>
      <c r="BC751" s="141"/>
      <c r="BG751" s="141"/>
      <c r="BK751" s="141"/>
      <c r="BO751" s="141"/>
      <c r="BW751" s="141"/>
    </row>
    <row r="752" spans="2:75" s="134" customFormat="1" x14ac:dyDescent="0.2">
      <c r="B752" s="145"/>
      <c r="D752" s="145"/>
      <c r="AA752" s="141"/>
      <c r="AE752" s="140"/>
      <c r="AI752" s="141"/>
      <c r="AM752" s="141"/>
      <c r="AY752" s="141"/>
      <c r="BC752" s="141"/>
      <c r="BG752" s="141"/>
      <c r="BK752" s="141"/>
      <c r="BO752" s="141"/>
      <c r="BW752" s="141"/>
    </row>
    <row r="753" spans="2:75" s="134" customFormat="1" x14ac:dyDescent="0.2">
      <c r="B753" s="145"/>
      <c r="D753" s="145"/>
      <c r="AA753" s="141"/>
      <c r="AE753" s="140"/>
      <c r="AI753" s="141"/>
      <c r="AM753" s="141"/>
      <c r="AY753" s="141"/>
      <c r="BC753" s="141"/>
      <c r="BG753" s="141"/>
      <c r="BK753" s="141"/>
      <c r="BO753" s="141"/>
      <c r="BW753" s="141"/>
    </row>
    <row r="754" spans="2:75" s="134" customFormat="1" x14ac:dyDescent="0.2">
      <c r="B754" s="145"/>
      <c r="D754" s="145"/>
      <c r="AA754" s="141"/>
      <c r="AE754" s="140"/>
      <c r="AI754" s="141"/>
      <c r="AM754" s="141"/>
      <c r="AY754" s="141"/>
      <c r="BC754" s="141"/>
      <c r="BG754" s="141"/>
      <c r="BK754" s="141"/>
      <c r="BO754" s="141"/>
      <c r="BW754" s="141"/>
    </row>
    <row r="755" spans="2:75" s="134" customFormat="1" x14ac:dyDescent="0.2">
      <c r="B755" s="145"/>
      <c r="D755" s="145"/>
      <c r="AA755" s="141"/>
      <c r="AE755" s="140"/>
      <c r="AI755" s="141"/>
      <c r="AM755" s="141"/>
      <c r="AY755" s="141"/>
      <c r="BC755" s="141"/>
      <c r="BG755" s="141"/>
      <c r="BK755" s="141"/>
      <c r="BO755" s="141"/>
      <c r="BW755" s="141"/>
    </row>
    <row r="756" spans="2:75" s="134" customFormat="1" x14ac:dyDescent="0.2">
      <c r="B756" s="145"/>
      <c r="D756" s="145"/>
      <c r="AA756" s="141"/>
      <c r="AE756" s="140"/>
      <c r="AI756" s="141"/>
      <c r="AM756" s="141"/>
      <c r="AY756" s="141"/>
      <c r="BC756" s="141"/>
      <c r="BG756" s="141"/>
      <c r="BK756" s="141"/>
      <c r="BO756" s="141"/>
      <c r="BW756" s="141"/>
    </row>
    <row r="757" spans="2:75" s="134" customFormat="1" x14ac:dyDescent="0.2">
      <c r="B757" s="145"/>
      <c r="D757" s="145"/>
      <c r="AA757" s="141"/>
      <c r="AE757" s="140"/>
      <c r="AI757" s="141"/>
      <c r="AM757" s="141"/>
      <c r="AY757" s="141"/>
      <c r="BC757" s="141"/>
      <c r="BG757" s="141"/>
      <c r="BK757" s="141"/>
      <c r="BO757" s="141"/>
      <c r="BW757" s="141"/>
    </row>
    <row r="758" spans="2:75" s="134" customFormat="1" x14ac:dyDescent="0.2">
      <c r="B758" s="145"/>
      <c r="D758" s="145"/>
      <c r="AA758" s="141"/>
      <c r="AE758" s="140"/>
      <c r="AI758" s="141"/>
      <c r="AM758" s="141"/>
      <c r="AY758" s="141"/>
      <c r="BC758" s="141"/>
      <c r="BG758" s="141"/>
      <c r="BK758" s="141"/>
      <c r="BO758" s="141"/>
      <c r="BW758" s="141"/>
    </row>
    <row r="759" spans="2:75" s="134" customFormat="1" x14ac:dyDescent="0.2">
      <c r="B759" s="145"/>
      <c r="D759" s="145"/>
      <c r="AA759" s="141"/>
      <c r="AE759" s="140"/>
      <c r="AI759" s="141"/>
      <c r="AM759" s="141"/>
      <c r="AY759" s="141"/>
      <c r="BC759" s="141"/>
      <c r="BG759" s="141"/>
      <c r="BK759" s="141"/>
      <c r="BO759" s="141"/>
      <c r="BW759" s="141"/>
    </row>
    <row r="760" spans="2:75" s="134" customFormat="1" x14ac:dyDescent="0.2">
      <c r="B760" s="145"/>
      <c r="D760" s="145"/>
      <c r="AA760" s="141"/>
      <c r="AE760" s="140"/>
      <c r="AI760" s="141"/>
      <c r="AM760" s="141"/>
      <c r="AY760" s="141"/>
      <c r="BC760" s="141"/>
      <c r="BG760" s="141"/>
      <c r="BK760" s="141"/>
      <c r="BO760" s="141"/>
      <c r="BW760" s="141"/>
    </row>
  </sheetData>
  <mergeCells count="24">
    <mergeCell ref="BV14:BY14"/>
    <mergeCell ref="BZ14:CA14"/>
    <mergeCell ref="B145:E145"/>
    <mergeCell ref="B146:G146"/>
    <mergeCell ref="B9:AC10"/>
    <mergeCell ref="Z14:AC14"/>
    <mergeCell ref="AD14:AG14"/>
    <mergeCell ref="AH14:AK14"/>
    <mergeCell ref="AL14:AO14"/>
    <mergeCell ref="BR14:BU14"/>
    <mergeCell ref="B144:I144"/>
    <mergeCell ref="AT14:AW14"/>
    <mergeCell ref="AX14:BA14"/>
    <mergeCell ref="BB14:BE14"/>
    <mergeCell ref="BF14:BI14"/>
    <mergeCell ref="BJ14:BM14"/>
    <mergeCell ref="BN14:BQ14"/>
    <mergeCell ref="AP14:AS14"/>
    <mergeCell ref="B1:AC2"/>
    <mergeCell ref="B3:AC4"/>
    <mergeCell ref="B5:AC5"/>
    <mergeCell ref="B6:AC6"/>
    <mergeCell ref="B7:AC7"/>
    <mergeCell ref="B8:AC8"/>
  </mergeCells>
  <conditionalFormatting sqref="D16">
    <cfRule type="duplicateValues" dxfId="23" priority="3"/>
  </conditionalFormatting>
  <conditionalFormatting sqref="D16">
    <cfRule type="duplicateValues" dxfId="22" priority="4"/>
  </conditionalFormatting>
  <conditionalFormatting sqref="D143">
    <cfRule type="duplicateValues" dxfId="21" priority="5"/>
  </conditionalFormatting>
  <conditionalFormatting sqref="D142">
    <cfRule type="duplicateValues" dxfId="20" priority="6"/>
  </conditionalFormatting>
  <conditionalFormatting sqref="D17:D123 D125:D141">
    <cfRule type="duplicateValues" dxfId="19" priority="1"/>
  </conditionalFormatting>
  <conditionalFormatting sqref="D17:D123 D125:D141">
    <cfRule type="duplicateValues" dxfId="18" priority="2"/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U337"/>
  <sheetViews>
    <sheetView topLeftCell="A12" workbookViewId="0">
      <selection activeCell="Q34" sqref="Q34"/>
    </sheetView>
  </sheetViews>
  <sheetFormatPr baseColWidth="10" defaultRowHeight="11.25" x14ac:dyDescent="0.2"/>
  <cols>
    <col min="1" max="1" width="5" style="134" customWidth="1"/>
    <col min="2" max="2" width="9.7109375" style="145" bestFit="1" customWidth="1"/>
    <col min="3" max="3" width="10.28515625" style="134" customWidth="1"/>
    <col min="4" max="4" width="9.7109375" style="145" customWidth="1"/>
    <col min="5" max="5" width="39" style="134" customWidth="1"/>
    <col min="6" max="6" width="13.140625" style="134" customWidth="1"/>
    <col min="7" max="7" width="11.28515625" style="134" customWidth="1"/>
    <col min="8" max="8" width="18.85546875" style="134" customWidth="1"/>
    <col min="9" max="10" width="9.7109375" style="134" customWidth="1"/>
    <col min="11" max="24" width="9.42578125" style="134" customWidth="1"/>
    <col min="25" max="25" width="11.42578125" style="134" customWidth="1"/>
    <col min="26" max="26" width="12.42578125" style="134" customWidth="1"/>
    <col min="27" max="27" width="10.140625" style="141" customWidth="1"/>
    <col min="28" max="29" width="10.140625" style="580" customWidth="1"/>
    <col min="30" max="30" width="11.28515625" style="134" customWidth="1"/>
    <col min="31" max="31" width="10.140625" style="140" customWidth="1"/>
    <col min="32" max="32" width="11.140625" style="580" customWidth="1"/>
    <col min="33" max="33" width="10.140625" style="580" customWidth="1"/>
    <col min="34" max="34" width="10.140625" style="140" customWidth="1"/>
    <col min="35" max="35" width="10.140625" style="141" customWidth="1"/>
    <col min="36" max="37" width="10.140625" style="580" customWidth="1"/>
    <col min="38" max="38" width="10.140625" style="134" customWidth="1"/>
    <col min="39" max="39" width="10.140625" style="141" customWidth="1"/>
    <col min="40" max="41" width="10.140625" style="580" customWidth="1"/>
    <col min="42" max="42" width="10.140625" style="134" customWidth="1"/>
    <col min="43" max="43" width="10.140625" style="141" customWidth="1"/>
    <col min="44" max="45" width="10.140625" style="134" customWidth="1"/>
    <col min="46" max="16384" width="11.42578125" style="134"/>
  </cols>
  <sheetData>
    <row r="1" spans="2:47" hidden="1" x14ac:dyDescent="0.2">
      <c r="B1" s="743"/>
      <c r="C1" s="743"/>
      <c r="D1" s="744"/>
      <c r="E1" s="744"/>
      <c r="F1" s="744"/>
      <c r="G1" s="744"/>
      <c r="H1" s="744"/>
      <c r="I1" s="744"/>
      <c r="J1" s="744"/>
      <c r="K1" s="744"/>
      <c r="L1" s="744"/>
      <c r="M1" s="744"/>
      <c r="N1" s="744"/>
      <c r="O1" s="744"/>
      <c r="P1" s="744"/>
      <c r="Q1" s="744"/>
      <c r="R1" s="744"/>
      <c r="S1" s="744"/>
      <c r="T1" s="744"/>
      <c r="U1" s="744"/>
      <c r="V1" s="744"/>
      <c r="W1" s="744"/>
      <c r="X1" s="744"/>
      <c r="Y1" s="744"/>
      <c r="Z1" s="744"/>
      <c r="AA1" s="744"/>
      <c r="AB1" s="744"/>
      <c r="AC1" s="744"/>
      <c r="AD1" s="132"/>
      <c r="AE1" s="131"/>
      <c r="AF1" s="579"/>
      <c r="AG1" s="579"/>
      <c r="AH1" s="131"/>
      <c r="AI1" s="133"/>
      <c r="AJ1" s="579"/>
      <c r="AK1" s="579"/>
      <c r="AL1" s="132"/>
      <c r="AM1" s="133"/>
      <c r="AN1" s="579"/>
      <c r="AO1" s="579"/>
      <c r="AP1" s="132"/>
      <c r="AQ1" s="133"/>
      <c r="AR1" s="132"/>
      <c r="AS1" s="132"/>
    </row>
    <row r="2" spans="2:47" hidden="1" x14ac:dyDescent="0.2">
      <c r="B2" s="744"/>
      <c r="C2" s="744"/>
      <c r="D2" s="744"/>
      <c r="E2" s="744"/>
      <c r="F2" s="744"/>
      <c r="G2" s="744"/>
      <c r="H2" s="744"/>
      <c r="I2" s="744"/>
      <c r="J2" s="744"/>
      <c r="K2" s="744"/>
      <c r="L2" s="744"/>
      <c r="M2" s="744"/>
      <c r="N2" s="744"/>
      <c r="O2" s="744"/>
      <c r="P2" s="744"/>
      <c r="Q2" s="744"/>
      <c r="R2" s="744"/>
      <c r="S2" s="744"/>
      <c r="T2" s="744"/>
      <c r="U2" s="744"/>
      <c r="V2" s="744"/>
      <c r="W2" s="744"/>
      <c r="X2" s="744"/>
      <c r="Y2" s="744"/>
      <c r="Z2" s="744"/>
      <c r="AA2" s="744"/>
      <c r="AB2" s="744"/>
      <c r="AC2" s="744"/>
      <c r="AD2" s="132"/>
      <c r="AE2" s="131"/>
      <c r="AF2" s="579"/>
      <c r="AG2" s="579"/>
      <c r="AH2" s="131"/>
      <c r="AI2" s="133"/>
      <c r="AJ2" s="579"/>
      <c r="AK2" s="579"/>
      <c r="AL2" s="132"/>
      <c r="AM2" s="133"/>
      <c r="AN2" s="579"/>
      <c r="AO2" s="579"/>
      <c r="AP2" s="132"/>
      <c r="AQ2" s="133"/>
      <c r="AR2" s="132"/>
      <c r="AS2" s="132"/>
    </row>
    <row r="3" spans="2:47" ht="45.75" hidden="1" customHeight="1" x14ac:dyDescent="0.2">
      <c r="B3" s="742"/>
      <c r="C3" s="742"/>
      <c r="D3" s="742"/>
      <c r="E3" s="742"/>
      <c r="F3" s="742"/>
      <c r="G3" s="742"/>
      <c r="H3" s="742"/>
      <c r="I3" s="742"/>
      <c r="J3" s="742"/>
      <c r="K3" s="742"/>
      <c r="L3" s="742"/>
      <c r="M3" s="742"/>
      <c r="N3" s="742"/>
      <c r="O3" s="742"/>
      <c r="P3" s="742"/>
      <c r="Q3" s="742"/>
      <c r="R3" s="742"/>
      <c r="S3" s="742"/>
      <c r="T3" s="742"/>
      <c r="U3" s="742"/>
      <c r="V3" s="742"/>
      <c r="W3" s="742"/>
      <c r="X3" s="742"/>
      <c r="Y3" s="742"/>
      <c r="Z3" s="742"/>
      <c r="AA3" s="742"/>
      <c r="AB3" s="742"/>
      <c r="AC3" s="742"/>
      <c r="AD3" s="137"/>
      <c r="AE3" s="136"/>
      <c r="AF3" s="582"/>
      <c r="AG3" s="582"/>
      <c r="AH3" s="136"/>
      <c r="AI3" s="138"/>
      <c r="AJ3" s="582"/>
      <c r="AK3" s="582"/>
      <c r="AL3" s="137"/>
      <c r="AM3" s="138"/>
      <c r="AN3" s="582"/>
      <c r="AO3" s="582"/>
      <c r="AP3" s="137"/>
      <c r="AQ3" s="138"/>
      <c r="AR3" s="137"/>
      <c r="AS3" s="137"/>
    </row>
    <row r="4" spans="2:47" ht="45.75" hidden="1" customHeight="1" x14ac:dyDescent="0.2">
      <c r="B4" s="742"/>
      <c r="C4" s="742"/>
      <c r="D4" s="742"/>
      <c r="E4" s="742"/>
      <c r="F4" s="742"/>
      <c r="G4" s="742"/>
      <c r="H4" s="742"/>
      <c r="I4" s="742"/>
      <c r="J4" s="742"/>
      <c r="K4" s="742"/>
      <c r="L4" s="742"/>
      <c r="M4" s="742"/>
      <c r="N4" s="742"/>
      <c r="O4" s="742"/>
      <c r="P4" s="742"/>
      <c r="Q4" s="742"/>
      <c r="R4" s="742"/>
      <c r="S4" s="742"/>
      <c r="T4" s="742"/>
      <c r="U4" s="742"/>
      <c r="V4" s="742"/>
      <c r="W4" s="742"/>
      <c r="X4" s="742"/>
      <c r="Y4" s="742"/>
      <c r="Z4" s="742"/>
      <c r="AA4" s="742"/>
      <c r="AB4" s="742"/>
      <c r="AC4" s="742"/>
      <c r="AD4" s="137"/>
      <c r="AE4" s="136"/>
      <c r="AF4" s="582"/>
      <c r="AG4" s="582"/>
      <c r="AH4" s="136"/>
      <c r="AI4" s="138"/>
      <c r="AJ4" s="582"/>
      <c r="AK4" s="582"/>
      <c r="AL4" s="137"/>
      <c r="AM4" s="138"/>
      <c r="AN4" s="582"/>
      <c r="AO4" s="582"/>
      <c r="AP4" s="137"/>
      <c r="AQ4" s="138"/>
      <c r="AR4" s="137"/>
      <c r="AS4" s="137"/>
    </row>
    <row r="5" spans="2:47" ht="45.75" hidden="1" customHeight="1" x14ac:dyDescent="0.2">
      <c r="B5" s="742"/>
      <c r="C5" s="742"/>
      <c r="D5" s="742"/>
      <c r="E5" s="742"/>
      <c r="F5" s="742"/>
      <c r="G5" s="742"/>
      <c r="H5" s="742"/>
      <c r="I5" s="742"/>
      <c r="J5" s="742"/>
      <c r="K5" s="742"/>
      <c r="L5" s="742"/>
      <c r="M5" s="742"/>
      <c r="N5" s="742"/>
      <c r="O5" s="742"/>
      <c r="P5" s="742"/>
      <c r="Q5" s="742"/>
      <c r="R5" s="742"/>
      <c r="S5" s="742"/>
      <c r="T5" s="742"/>
      <c r="U5" s="742"/>
      <c r="V5" s="742"/>
      <c r="W5" s="742"/>
      <c r="X5" s="742"/>
      <c r="Y5" s="742"/>
      <c r="Z5" s="742"/>
      <c r="AA5" s="742"/>
      <c r="AB5" s="742"/>
      <c r="AC5" s="742"/>
      <c r="AD5" s="137"/>
      <c r="AE5" s="136"/>
      <c r="AF5" s="582"/>
      <c r="AG5" s="582"/>
      <c r="AH5" s="136"/>
      <c r="AI5" s="138"/>
      <c r="AJ5" s="582"/>
      <c r="AK5" s="582"/>
      <c r="AL5" s="137"/>
      <c r="AM5" s="138"/>
      <c r="AN5" s="582"/>
      <c r="AO5" s="582"/>
      <c r="AP5" s="137"/>
      <c r="AQ5" s="138"/>
      <c r="AR5" s="137"/>
      <c r="AS5" s="137"/>
    </row>
    <row r="6" spans="2:47" ht="45.75" hidden="1" customHeight="1" x14ac:dyDescent="0.2">
      <c r="B6" s="742"/>
      <c r="C6" s="742"/>
      <c r="D6" s="742"/>
      <c r="E6" s="742"/>
      <c r="F6" s="742"/>
      <c r="G6" s="742"/>
      <c r="H6" s="742"/>
      <c r="I6" s="742"/>
      <c r="J6" s="742"/>
      <c r="K6" s="742"/>
      <c r="L6" s="742"/>
      <c r="M6" s="742"/>
      <c r="N6" s="742"/>
      <c r="O6" s="742"/>
      <c r="P6" s="742"/>
      <c r="Q6" s="742"/>
      <c r="R6" s="742"/>
      <c r="S6" s="742"/>
      <c r="T6" s="742"/>
      <c r="U6" s="742"/>
      <c r="V6" s="742"/>
      <c r="W6" s="742"/>
      <c r="X6" s="742"/>
      <c r="Y6" s="742"/>
      <c r="Z6" s="742"/>
      <c r="AA6" s="742"/>
      <c r="AB6" s="742"/>
      <c r="AC6" s="742"/>
      <c r="AD6" s="137"/>
      <c r="AE6" s="136"/>
      <c r="AF6" s="582"/>
      <c r="AG6" s="582"/>
      <c r="AH6" s="136"/>
      <c r="AI6" s="138"/>
      <c r="AJ6" s="582"/>
      <c r="AK6" s="582"/>
      <c r="AL6" s="137"/>
      <c r="AM6" s="138"/>
      <c r="AN6" s="582"/>
      <c r="AO6" s="582"/>
      <c r="AP6" s="137"/>
      <c r="AQ6" s="138"/>
      <c r="AR6" s="137"/>
      <c r="AS6" s="137"/>
    </row>
    <row r="7" spans="2:47" ht="45.75" hidden="1" customHeight="1" x14ac:dyDescent="0.2">
      <c r="B7" s="742"/>
      <c r="C7" s="742"/>
      <c r="D7" s="742"/>
      <c r="E7" s="742"/>
      <c r="F7" s="742"/>
      <c r="G7" s="742"/>
      <c r="H7" s="742"/>
      <c r="I7" s="742"/>
      <c r="J7" s="742"/>
      <c r="K7" s="742"/>
      <c r="L7" s="742"/>
      <c r="M7" s="742"/>
      <c r="N7" s="742"/>
      <c r="O7" s="742"/>
      <c r="P7" s="742"/>
      <c r="Q7" s="742"/>
      <c r="R7" s="742"/>
      <c r="S7" s="742"/>
      <c r="T7" s="742"/>
      <c r="U7" s="742"/>
      <c r="V7" s="742"/>
      <c r="W7" s="742"/>
      <c r="X7" s="742"/>
      <c r="Y7" s="742"/>
      <c r="Z7" s="742"/>
      <c r="AA7" s="742"/>
      <c r="AB7" s="742"/>
      <c r="AC7" s="742"/>
      <c r="AD7" s="137"/>
      <c r="AE7" s="136"/>
      <c r="AF7" s="582"/>
      <c r="AG7" s="582"/>
      <c r="AH7" s="136"/>
      <c r="AI7" s="138"/>
      <c r="AJ7" s="582"/>
      <c r="AK7" s="582"/>
      <c r="AL7" s="137"/>
      <c r="AM7" s="138"/>
      <c r="AN7" s="582"/>
      <c r="AO7" s="582"/>
      <c r="AP7" s="137"/>
      <c r="AQ7" s="138"/>
      <c r="AR7" s="137"/>
      <c r="AS7" s="137"/>
    </row>
    <row r="8" spans="2:47" ht="45.75" hidden="1" customHeight="1" x14ac:dyDescent="0.2">
      <c r="B8" s="742"/>
      <c r="C8" s="742"/>
      <c r="D8" s="742"/>
      <c r="E8" s="742"/>
      <c r="F8" s="742"/>
      <c r="G8" s="742"/>
      <c r="H8" s="742"/>
      <c r="I8" s="742"/>
      <c r="J8" s="742"/>
      <c r="K8" s="742"/>
      <c r="L8" s="742"/>
      <c r="M8" s="742"/>
      <c r="N8" s="742"/>
      <c r="O8" s="742"/>
      <c r="P8" s="742"/>
      <c r="Q8" s="742"/>
      <c r="R8" s="742"/>
      <c r="S8" s="742"/>
      <c r="T8" s="742"/>
      <c r="U8" s="742"/>
      <c r="V8" s="742"/>
      <c r="W8" s="742"/>
      <c r="X8" s="742"/>
      <c r="Y8" s="742"/>
      <c r="Z8" s="742"/>
      <c r="AA8" s="742"/>
      <c r="AB8" s="742"/>
      <c r="AC8" s="742"/>
      <c r="AD8" s="137"/>
      <c r="AE8" s="136"/>
      <c r="AF8" s="582"/>
      <c r="AG8" s="582"/>
      <c r="AH8" s="136"/>
      <c r="AI8" s="138"/>
      <c r="AJ8" s="582"/>
      <c r="AK8" s="582"/>
      <c r="AL8" s="137"/>
      <c r="AM8" s="138"/>
      <c r="AN8" s="582"/>
      <c r="AO8" s="582"/>
      <c r="AP8" s="137"/>
      <c r="AQ8" s="138"/>
      <c r="AR8" s="137"/>
      <c r="AS8" s="137"/>
    </row>
    <row r="9" spans="2:47" ht="18.75" customHeight="1" x14ac:dyDescent="0.2">
      <c r="B9" s="786" t="s">
        <v>0</v>
      </c>
      <c r="C9" s="786"/>
      <c r="D9" s="786"/>
      <c r="E9" s="786"/>
      <c r="F9" s="786"/>
      <c r="G9" s="786"/>
      <c r="H9" s="786"/>
      <c r="I9" s="786"/>
      <c r="J9" s="786"/>
      <c r="K9" s="786"/>
      <c r="L9" s="786"/>
      <c r="M9" s="786"/>
      <c r="N9" s="786"/>
      <c r="O9" s="786"/>
      <c r="P9" s="786"/>
      <c r="Q9" s="786"/>
      <c r="R9" s="786"/>
      <c r="S9" s="786"/>
      <c r="T9" s="786"/>
      <c r="U9" s="786"/>
      <c r="V9" s="786"/>
      <c r="W9" s="786"/>
      <c r="X9" s="786"/>
      <c r="Y9" s="786"/>
      <c r="Z9" s="786"/>
      <c r="AA9" s="786"/>
      <c r="AB9" s="786"/>
      <c r="AC9" s="786"/>
      <c r="AD9" s="137"/>
      <c r="AE9" s="136"/>
      <c r="AF9" s="582"/>
      <c r="AG9" s="582"/>
      <c r="AH9" s="136"/>
      <c r="AI9" s="138"/>
      <c r="AJ9" s="582"/>
      <c r="AK9" s="582"/>
      <c r="AL9" s="137"/>
      <c r="AM9" s="138"/>
      <c r="AN9" s="582"/>
      <c r="AO9" s="582"/>
      <c r="AP9" s="137"/>
      <c r="AQ9" s="138"/>
      <c r="AR9" s="137"/>
      <c r="AS9" s="137"/>
    </row>
    <row r="10" spans="2:47" ht="11.25" customHeight="1" x14ac:dyDescent="0.2">
      <c r="B10" s="786"/>
      <c r="C10" s="786"/>
      <c r="D10" s="786"/>
      <c r="E10" s="786"/>
      <c r="F10" s="786"/>
      <c r="G10" s="786"/>
      <c r="H10" s="786"/>
      <c r="I10" s="786"/>
      <c r="J10" s="786"/>
      <c r="K10" s="786"/>
      <c r="L10" s="786"/>
      <c r="M10" s="786"/>
      <c r="N10" s="786"/>
      <c r="O10" s="786"/>
      <c r="P10" s="786"/>
      <c r="Q10" s="786"/>
      <c r="R10" s="786"/>
      <c r="S10" s="786"/>
      <c r="T10" s="786"/>
      <c r="U10" s="786"/>
      <c r="V10" s="786"/>
      <c r="W10" s="786"/>
      <c r="X10" s="786"/>
      <c r="Y10" s="786"/>
      <c r="Z10" s="786"/>
      <c r="AA10" s="786"/>
      <c r="AB10" s="786"/>
      <c r="AC10" s="786"/>
    </row>
    <row r="11" spans="2:47" x14ac:dyDescent="0.2">
      <c r="B11" s="132"/>
      <c r="C11" s="132"/>
      <c r="D11" s="132"/>
      <c r="E11" s="132"/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32"/>
      <c r="Q11" s="132"/>
      <c r="R11" s="132"/>
      <c r="S11" s="132"/>
      <c r="T11" s="132"/>
      <c r="U11" s="132"/>
      <c r="V11" s="132"/>
      <c r="W11" s="132"/>
      <c r="X11" s="132"/>
      <c r="Y11" s="132"/>
      <c r="Z11" s="132"/>
      <c r="AA11" s="132"/>
      <c r="AB11" s="579"/>
      <c r="AC11" s="579"/>
    </row>
    <row r="12" spans="2:47" ht="42" customHeight="1" x14ac:dyDescent="0.2">
      <c r="B12" s="216" t="s">
        <v>1</v>
      </c>
      <c r="C12" s="216" t="s">
        <v>2</v>
      </c>
      <c r="D12" s="217" t="s">
        <v>3</v>
      </c>
      <c r="E12" s="218" t="s">
        <v>4</v>
      </c>
      <c r="F12" s="119"/>
      <c r="G12" s="132"/>
      <c r="H12" s="132"/>
      <c r="I12" s="132"/>
      <c r="J12" s="132"/>
      <c r="K12" s="132"/>
      <c r="L12" s="132"/>
      <c r="M12" s="132"/>
      <c r="N12" s="132"/>
      <c r="O12" s="132"/>
      <c r="P12" s="132"/>
      <c r="Q12" s="132"/>
      <c r="R12" s="132"/>
      <c r="S12" s="132"/>
      <c r="T12" s="132"/>
      <c r="U12" s="132"/>
      <c r="V12" s="132"/>
      <c r="W12" s="132"/>
      <c r="X12" s="132"/>
      <c r="Y12" s="132"/>
      <c r="Z12" s="579"/>
      <c r="AA12" s="579"/>
      <c r="AB12" s="134"/>
      <c r="AC12" s="140"/>
      <c r="AD12" s="580"/>
      <c r="AE12" s="580"/>
      <c r="AF12" s="140"/>
      <c r="AG12" s="141"/>
      <c r="AH12" s="580"/>
      <c r="AI12" s="580"/>
      <c r="AJ12" s="134"/>
      <c r="AK12" s="141"/>
      <c r="AL12" s="580"/>
      <c r="AM12" s="580"/>
      <c r="AN12" s="134"/>
      <c r="AO12" s="141"/>
      <c r="AQ12" s="134"/>
    </row>
    <row r="13" spans="2:47" x14ac:dyDescent="0.2">
      <c r="B13" s="129">
        <v>30792063</v>
      </c>
      <c r="C13" s="129">
        <v>30792063</v>
      </c>
      <c r="D13" s="129">
        <v>30792063</v>
      </c>
      <c r="E13" s="129">
        <f>+Y337</f>
        <v>43215036.800999999</v>
      </c>
      <c r="F13" s="581"/>
      <c r="G13" s="132"/>
      <c r="H13" s="132"/>
      <c r="I13" s="132"/>
      <c r="J13" s="132"/>
      <c r="K13" s="132"/>
      <c r="L13" s="132"/>
      <c r="M13" s="132"/>
      <c r="N13" s="132"/>
      <c r="O13" s="132"/>
      <c r="P13" s="132"/>
      <c r="Q13" s="132"/>
      <c r="R13" s="132"/>
      <c r="S13" s="132"/>
      <c r="T13" s="132"/>
      <c r="U13" s="132"/>
      <c r="V13" s="132"/>
      <c r="W13" s="132"/>
      <c r="X13" s="132"/>
      <c r="Y13" s="132"/>
      <c r="Z13" s="579"/>
      <c r="AA13" s="579"/>
      <c r="AB13" s="134"/>
      <c r="AC13" s="140"/>
      <c r="AD13" s="580"/>
      <c r="AE13" s="580"/>
      <c r="AF13" s="140"/>
      <c r="AG13" s="141"/>
      <c r="AH13" s="580"/>
      <c r="AI13" s="580"/>
      <c r="AJ13" s="134"/>
      <c r="AK13" s="141"/>
      <c r="AL13" s="580"/>
      <c r="AM13" s="580"/>
      <c r="AN13" s="134"/>
      <c r="AO13" s="141"/>
      <c r="AQ13" s="134"/>
    </row>
    <row r="14" spans="2:47" ht="15" customHeight="1" x14ac:dyDescent="0.2">
      <c r="X14" s="583"/>
      <c r="Y14" s="583"/>
      <c r="Z14" s="784" t="s">
        <v>5</v>
      </c>
      <c r="AA14" s="784"/>
      <c r="AB14" s="784"/>
      <c r="AC14" s="784"/>
      <c r="AD14" s="782" t="s">
        <v>6</v>
      </c>
      <c r="AE14" s="785"/>
      <c r="AF14" s="785"/>
      <c r="AG14" s="783"/>
      <c r="AH14" s="782" t="s">
        <v>6</v>
      </c>
      <c r="AI14" s="785"/>
      <c r="AJ14" s="785"/>
      <c r="AK14" s="783"/>
      <c r="AL14" s="782" t="s">
        <v>6</v>
      </c>
      <c r="AM14" s="785"/>
      <c r="AN14" s="785"/>
      <c r="AO14" s="783"/>
      <c r="AP14" s="782" t="s">
        <v>6</v>
      </c>
      <c r="AQ14" s="785"/>
      <c r="AR14" s="785"/>
      <c r="AS14" s="783"/>
      <c r="AT14" s="782" t="s">
        <v>7</v>
      </c>
      <c r="AU14" s="783"/>
    </row>
    <row r="15" spans="2:47" s="148" customFormat="1" ht="55.5" customHeight="1" x14ac:dyDescent="0.25">
      <c r="B15" s="592" t="s">
        <v>8</v>
      </c>
      <c r="C15" s="592" t="s">
        <v>9</v>
      </c>
      <c r="D15" s="592" t="s">
        <v>10</v>
      </c>
      <c r="E15" s="593" t="s">
        <v>11</v>
      </c>
      <c r="F15" s="593" t="s">
        <v>12</v>
      </c>
      <c r="G15" s="593" t="s">
        <v>13</v>
      </c>
      <c r="H15" s="593" t="s">
        <v>14</v>
      </c>
      <c r="I15" s="593" t="s">
        <v>122</v>
      </c>
      <c r="J15" s="593" t="s">
        <v>15</v>
      </c>
      <c r="K15" s="593" t="s">
        <v>16</v>
      </c>
      <c r="L15" s="593" t="s">
        <v>17</v>
      </c>
      <c r="M15" s="598" t="s">
        <v>18</v>
      </c>
      <c r="N15" s="598" t="s">
        <v>19</v>
      </c>
      <c r="O15" s="598" t="s">
        <v>20</v>
      </c>
      <c r="P15" s="598" t="s">
        <v>21</v>
      </c>
      <c r="Q15" s="598" t="s">
        <v>22</v>
      </c>
      <c r="R15" s="598" t="s">
        <v>23</v>
      </c>
      <c r="S15" s="598" t="s">
        <v>24</v>
      </c>
      <c r="T15" s="598" t="s">
        <v>25</v>
      </c>
      <c r="U15" s="598" t="s">
        <v>26</v>
      </c>
      <c r="V15" s="598" t="s">
        <v>27</v>
      </c>
      <c r="W15" s="599" t="s">
        <v>28</v>
      </c>
      <c r="X15" s="600" t="s">
        <v>29</v>
      </c>
      <c r="Y15" s="601" t="s">
        <v>30</v>
      </c>
      <c r="Z15" s="218" t="s">
        <v>31</v>
      </c>
      <c r="AA15" s="220" t="s">
        <v>32</v>
      </c>
      <c r="AB15" s="602" t="s">
        <v>33</v>
      </c>
      <c r="AC15" s="602" t="s">
        <v>34</v>
      </c>
      <c r="AD15" s="593" t="s">
        <v>35</v>
      </c>
      <c r="AE15" s="594" t="s">
        <v>32</v>
      </c>
      <c r="AF15" s="603" t="s">
        <v>33</v>
      </c>
      <c r="AG15" s="603" t="s">
        <v>34</v>
      </c>
      <c r="AH15" s="594" t="s">
        <v>35</v>
      </c>
      <c r="AI15" s="594" t="s">
        <v>32</v>
      </c>
      <c r="AJ15" s="603" t="s">
        <v>33</v>
      </c>
      <c r="AK15" s="603" t="s">
        <v>34</v>
      </c>
      <c r="AL15" s="593" t="s">
        <v>35</v>
      </c>
      <c r="AM15" s="594" t="s">
        <v>32</v>
      </c>
      <c r="AN15" s="603" t="s">
        <v>33</v>
      </c>
      <c r="AO15" s="603" t="s">
        <v>34</v>
      </c>
      <c r="AP15" s="593" t="s">
        <v>35</v>
      </c>
      <c r="AQ15" s="594" t="s">
        <v>32</v>
      </c>
      <c r="AR15" s="593" t="s">
        <v>33</v>
      </c>
      <c r="AS15" s="593" t="s">
        <v>34</v>
      </c>
      <c r="AT15" s="593" t="s">
        <v>36</v>
      </c>
      <c r="AU15" s="593" t="s">
        <v>37</v>
      </c>
    </row>
    <row r="16" spans="2:47" s="148" customFormat="1" ht="21.75" customHeight="1" x14ac:dyDescent="0.25">
      <c r="B16" s="149">
        <v>1</v>
      </c>
      <c r="C16" s="149" t="s">
        <v>38</v>
      </c>
      <c r="D16" s="450">
        <v>20144816</v>
      </c>
      <c r="E16" s="451" t="s">
        <v>2099</v>
      </c>
      <c r="F16" s="451" t="s">
        <v>200</v>
      </c>
      <c r="G16" s="452" t="s">
        <v>2100</v>
      </c>
      <c r="H16" s="451" t="s">
        <v>2101</v>
      </c>
      <c r="I16" s="451" t="s">
        <v>1958</v>
      </c>
      <c r="J16" s="451">
        <v>3116335</v>
      </c>
      <c r="K16" s="451"/>
      <c r="L16" s="451"/>
      <c r="M16" s="454">
        <v>0</v>
      </c>
      <c r="N16" s="454">
        <v>0</v>
      </c>
      <c r="O16" s="454">
        <v>0</v>
      </c>
      <c r="P16" s="454">
        <v>0</v>
      </c>
      <c r="Q16" s="454">
        <v>0</v>
      </c>
      <c r="R16" s="454">
        <v>0</v>
      </c>
      <c r="S16" s="454"/>
      <c r="T16" s="454"/>
      <c r="U16" s="454"/>
      <c r="V16" s="454"/>
      <c r="W16" s="454"/>
      <c r="X16" s="454"/>
      <c r="Y16" s="454">
        <f>SUM(M16:X16)</f>
        <v>0</v>
      </c>
      <c r="Z16" s="454">
        <v>1000</v>
      </c>
      <c r="AA16" s="451">
        <v>4</v>
      </c>
      <c r="AB16" s="587">
        <v>44221</v>
      </c>
      <c r="AC16" s="587">
        <v>44280</v>
      </c>
      <c r="AD16" s="454"/>
      <c r="AE16" s="451"/>
      <c r="AF16" s="587"/>
      <c r="AG16" s="587"/>
      <c r="AH16" s="454"/>
      <c r="AI16" s="451"/>
      <c r="AJ16" s="587"/>
      <c r="AK16" s="587"/>
      <c r="AL16" s="454"/>
      <c r="AM16" s="451"/>
      <c r="AN16" s="587"/>
      <c r="AO16" s="587"/>
      <c r="AP16" s="454"/>
      <c r="AQ16" s="451"/>
      <c r="AR16" s="588"/>
      <c r="AS16" s="588"/>
      <c r="AT16" s="154">
        <f>+Z16+AD16+AH16+AL16+AP16</f>
        <v>1000</v>
      </c>
      <c r="AU16" s="461">
        <f t="shared" ref="AU16:AU79" si="0">+AT16-Y16</f>
        <v>1000</v>
      </c>
    </row>
    <row r="17" spans="2:47" s="148" customFormat="1" ht="22.5" x14ac:dyDescent="0.25">
      <c r="B17" s="149">
        <v>2</v>
      </c>
      <c r="C17" s="149" t="s">
        <v>38</v>
      </c>
      <c r="D17" s="450">
        <v>30034860</v>
      </c>
      <c r="E17" s="451" t="s">
        <v>2102</v>
      </c>
      <c r="F17" s="451" t="s">
        <v>200</v>
      </c>
      <c r="G17" s="452" t="s">
        <v>2100</v>
      </c>
      <c r="H17" s="451" t="s">
        <v>2103</v>
      </c>
      <c r="I17" s="451" t="s">
        <v>1958</v>
      </c>
      <c r="J17" s="451">
        <v>32844</v>
      </c>
      <c r="K17" s="451"/>
      <c r="L17" s="451"/>
      <c r="M17" s="454">
        <v>0</v>
      </c>
      <c r="N17" s="454">
        <v>0</v>
      </c>
      <c r="O17" s="454">
        <v>32703.469000000001</v>
      </c>
      <c r="P17" s="454">
        <v>0</v>
      </c>
      <c r="Q17" s="454">
        <v>0</v>
      </c>
      <c r="R17" s="454">
        <v>0</v>
      </c>
      <c r="S17" s="454"/>
      <c r="T17" s="454"/>
      <c r="U17" s="454"/>
      <c r="V17" s="454"/>
      <c r="W17" s="454"/>
      <c r="X17" s="454"/>
      <c r="Y17" s="454">
        <f t="shared" ref="Y17:Y80" si="1">SUM(M17:X17)</f>
        <v>32703.469000000001</v>
      </c>
      <c r="Z17" s="454">
        <v>1000</v>
      </c>
      <c r="AA17" s="451">
        <v>8</v>
      </c>
      <c r="AB17" s="587">
        <v>44252</v>
      </c>
      <c r="AC17" s="587">
        <v>44292</v>
      </c>
      <c r="AD17" s="454">
        <v>31704</v>
      </c>
      <c r="AE17" s="451">
        <v>10</v>
      </c>
      <c r="AF17" s="587">
        <v>44286</v>
      </c>
      <c r="AG17" s="587">
        <v>44306</v>
      </c>
      <c r="AH17" s="454"/>
      <c r="AI17" s="451"/>
      <c r="AJ17" s="587"/>
      <c r="AK17" s="587"/>
      <c r="AL17" s="454"/>
      <c r="AM17" s="451"/>
      <c r="AN17" s="587"/>
      <c r="AO17" s="587"/>
      <c r="AP17" s="454"/>
      <c r="AQ17" s="451"/>
      <c r="AR17" s="588"/>
      <c r="AS17" s="588"/>
      <c r="AT17" s="154">
        <f t="shared" ref="AT17:AT80" si="2">+Z17+AD17+AH17+AL17+AP17</f>
        <v>32704</v>
      </c>
      <c r="AU17" s="461">
        <f t="shared" si="0"/>
        <v>0.53099999999903957</v>
      </c>
    </row>
    <row r="18" spans="2:47" s="148" customFormat="1" ht="22.5" x14ac:dyDescent="0.25">
      <c r="B18" s="149">
        <v>3</v>
      </c>
      <c r="C18" s="149" t="s">
        <v>38</v>
      </c>
      <c r="D18" s="450">
        <v>30040131</v>
      </c>
      <c r="E18" s="451" t="s">
        <v>2104</v>
      </c>
      <c r="F18" s="451" t="s">
        <v>200</v>
      </c>
      <c r="G18" s="452" t="s">
        <v>2100</v>
      </c>
      <c r="H18" s="451" t="s">
        <v>2105</v>
      </c>
      <c r="I18" s="451" t="s">
        <v>1958</v>
      </c>
      <c r="J18" s="451">
        <v>285683</v>
      </c>
      <c r="K18" s="451"/>
      <c r="L18" s="451"/>
      <c r="M18" s="454">
        <v>0</v>
      </c>
      <c r="N18" s="454">
        <v>4014.2620000000002</v>
      </c>
      <c r="O18" s="454">
        <v>33405.040000000001</v>
      </c>
      <c r="P18" s="454">
        <v>0</v>
      </c>
      <c r="Q18" s="454">
        <v>0</v>
      </c>
      <c r="R18" s="454">
        <v>28271.806</v>
      </c>
      <c r="S18" s="454"/>
      <c r="T18" s="454"/>
      <c r="U18" s="454"/>
      <c r="V18" s="454"/>
      <c r="W18" s="454"/>
      <c r="X18" s="454"/>
      <c r="Y18" s="454">
        <f t="shared" si="1"/>
        <v>65691.108000000007</v>
      </c>
      <c r="Z18" s="454">
        <v>121466</v>
      </c>
      <c r="AA18" s="451">
        <v>8</v>
      </c>
      <c r="AB18" s="587">
        <v>44252</v>
      </c>
      <c r="AC18" s="587">
        <v>44292</v>
      </c>
      <c r="AD18" s="454"/>
      <c r="AE18" s="451"/>
      <c r="AF18" s="587"/>
      <c r="AG18" s="587"/>
      <c r="AH18" s="454"/>
      <c r="AI18" s="451"/>
      <c r="AJ18" s="587"/>
      <c r="AK18" s="587"/>
      <c r="AL18" s="454"/>
      <c r="AM18" s="451"/>
      <c r="AN18" s="587"/>
      <c r="AO18" s="587"/>
      <c r="AP18" s="454"/>
      <c r="AQ18" s="451"/>
      <c r="AR18" s="588"/>
      <c r="AS18" s="588"/>
      <c r="AT18" s="154">
        <f t="shared" si="2"/>
        <v>121466</v>
      </c>
      <c r="AU18" s="461">
        <f t="shared" si="0"/>
        <v>55774.891999999993</v>
      </c>
    </row>
    <row r="19" spans="2:47" s="148" customFormat="1" ht="22.5" x14ac:dyDescent="0.25">
      <c r="B19" s="149">
        <v>4</v>
      </c>
      <c r="C19" s="149" t="s">
        <v>38</v>
      </c>
      <c r="D19" s="450">
        <v>30060303</v>
      </c>
      <c r="E19" s="451" t="s">
        <v>2106</v>
      </c>
      <c r="F19" s="451" t="s">
        <v>200</v>
      </c>
      <c r="G19" s="452" t="s">
        <v>2100</v>
      </c>
      <c r="H19" s="451" t="s">
        <v>2107</v>
      </c>
      <c r="I19" s="451" t="s">
        <v>1958</v>
      </c>
      <c r="J19" s="451">
        <v>1320720</v>
      </c>
      <c r="K19" s="451"/>
      <c r="L19" s="451"/>
      <c r="M19" s="454">
        <v>64491.483</v>
      </c>
      <c r="N19" s="454">
        <v>1850</v>
      </c>
      <c r="O19" s="454">
        <v>1850</v>
      </c>
      <c r="P19" s="454">
        <v>195523.149</v>
      </c>
      <c r="Q19" s="454">
        <v>1850</v>
      </c>
      <c r="R19" s="454">
        <v>248245.15599999999</v>
      </c>
      <c r="S19" s="454"/>
      <c r="T19" s="454"/>
      <c r="U19" s="454"/>
      <c r="V19" s="454"/>
      <c r="W19" s="454"/>
      <c r="X19" s="454"/>
      <c r="Y19" s="454">
        <f t="shared" si="1"/>
        <v>513809.78799999994</v>
      </c>
      <c r="Z19" s="454">
        <v>210000</v>
      </c>
      <c r="AA19" s="451">
        <v>4</v>
      </c>
      <c r="AB19" s="587">
        <v>44221</v>
      </c>
      <c r="AC19" s="587">
        <v>44280</v>
      </c>
      <c r="AD19" s="454">
        <v>300000</v>
      </c>
      <c r="AE19" s="451">
        <v>14</v>
      </c>
      <c r="AF19" s="587">
        <v>44313</v>
      </c>
      <c r="AG19" s="587">
        <v>44322</v>
      </c>
      <c r="AH19" s="454"/>
      <c r="AI19" s="451"/>
      <c r="AJ19" s="587"/>
      <c r="AK19" s="587"/>
      <c r="AL19" s="454"/>
      <c r="AM19" s="451"/>
      <c r="AN19" s="587"/>
      <c r="AO19" s="587"/>
      <c r="AP19" s="454"/>
      <c r="AQ19" s="451"/>
      <c r="AR19" s="588"/>
      <c r="AS19" s="588"/>
      <c r="AT19" s="154">
        <f t="shared" si="2"/>
        <v>510000</v>
      </c>
      <c r="AU19" s="461">
        <f t="shared" si="0"/>
        <v>-3809.7879999999423</v>
      </c>
    </row>
    <row r="20" spans="2:47" s="148" customFormat="1" ht="22.5" x14ac:dyDescent="0.25">
      <c r="B20" s="149">
        <v>5</v>
      </c>
      <c r="C20" s="149" t="s">
        <v>38</v>
      </c>
      <c r="D20" s="450">
        <v>30066107</v>
      </c>
      <c r="E20" s="451" t="s">
        <v>2108</v>
      </c>
      <c r="F20" s="451" t="s">
        <v>200</v>
      </c>
      <c r="G20" s="452" t="s">
        <v>2100</v>
      </c>
      <c r="H20" s="451" t="s">
        <v>2109</v>
      </c>
      <c r="I20" s="451" t="s">
        <v>1958</v>
      </c>
      <c r="J20" s="451">
        <v>1623381</v>
      </c>
      <c r="K20" s="451"/>
      <c r="L20" s="451"/>
      <c r="M20" s="454">
        <v>0</v>
      </c>
      <c r="N20" s="454">
        <v>0</v>
      </c>
      <c r="O20" s="454">
        <v>0</v>
      </c>
      <c r="P20" s="454">
        <v>0</v>
      </c>
      <c r="Q20" s="454">
        <v>0</v>
      </c>
      <c r="R20" s="454">
        <v>0</v>
      </c>
      <c r="S20" s="454"/>
      <c r="T20" s="454"/>
      <c r="U20" s="454"/>
      <c r="V20" s="454"/>
      <c r="W20" s="454"/>
      <c r="X20" s="454"/>
      <c r="Y20" s="454">
        <f t="shared" si="1"/>
        <v>0</v>
      </c>
      <c r="Z20" s="454">
        <v>1000</v>
      </c>
      <c r="AA20" s="451">
        <v>4</v>
      </c>
      <c r="AB20" s="587">
        <v>44221</v>
      </c>
      <c r="AC20" s="587">
        <v>44280</v>
      </c>
      <c r="AD20" s="454"/>
      <c r="AE20" s="451"/>
      <c r="AF20" s="587"/>
      <c r="AG20" s="587"/>
      <c r="AH20" s="454"/>
      <c r="AI20" s="451"/>
      <c r="AJ20" s="587"/>
      <c r="AK20" s="587"/>
      <c r="AL20" s="454"/>
      <c r="AM20" s="451"/>
      <c r="AN20" s="587"/>
      <c r="AO20" s="587"/>
      <c r="AP20" s="454"/>
      <c r="AQ20" s="451"/>
      <c r="AR20" s="588"/>
      <c r="AS20" s="588"/>
      <c r="AT20" s="154">
        <f t="shared" si="2"/>
        <v>1000</v>
      </c>
      <c r="AU20" s="461">
        <f t="shared" si="0"/>
        <v>1000</v>
      </c>
    </row>
    <row r="21" spans="2:47" s="148" customFormat="1" ht="22.5" x14ac:dyDescent="0.25">
      <c r="B21" s="149">
        <v>6</v>
      </c>
      <c r="C21" s="149" t="s">
        <v>38</v>
      </c>
      <c r="D21" s="450">
        <v>30072851</v>
      </c>
      <c r="E21" s="451" t="s">
        <v>2110</v>
      </c>
      <c r="F21" s="451" t="s">
        <v>200</v>
      </c>
      <c r="G21" s="452" t="s">
        <v>2100</v>
      </c>
      <c r="H21" s="451" t="s">
        <v>2111</v>
      </c>
      <c r="I21" s="451" t="s">
        <v>1958</v>
      </c>
      <c r="J21" s="451">
        <v>419291</v>
      </c>
      <c r="K21" s="451"/>
      <c r="L21" s="451"/>
      <c r="M21" s="454">
        <v>0</v>
      </c>
      <c r="N21" s="454">
        <v>0</v>
      </c>
      <c r="O21" s="454">
        <v>0</v>
      </c>
      <c r="P21" s="454">
        <v>0</v>
      </c>
      <c r="Q21" s="454">
        <v>0</v>
      </c>
      <c r="R21" s="454">
        <v>0</v>
      </c>
      <c r="S21" s="454"/>
      <c r="T21" s="454"/>
      <c r="U21" s="454"/>
      <c r="V21" s="454"/>
      <c r="W21" s="454"/>
      <c r="X21" s="454"/>
      <c r="Y21" s="454">
        <f t="shared" si="1"/>
        <v>0</v>
      </c>
      <c r="Z21" s="454">
        <v>1000</v>
      </c>
      <c r="AA21" s="451">
        <v>4</v>
      </c>
      <c r="AB21" s="587">
        <v>44221</v>
      </c>
      <c r="AC21" s="587">
        <v>44280</v>
      </c>
      <c r="AD21" s="454"/>
      <c r="AE21" s="451"/>
      <c r="AF21" s="587"/>
      <c r="AG21" s="587"/>
      <c r="AH21" s="454"/>
      <c r="AI21" s="451"/>
      <c r="AJ21" s="587"/>
      <c r="AK21" s="587"/>
      <c r="AL21" s="454"/>
      <c r="AM21" s="451"/>
      <c r="AN21" s="587"/>
      <c r="AO21" s="587"/>
      <c r="AP21" s="454"/>
      <c r="AQ21" s="451"/>
      <c r="AR21" s="588"/>
      <c r="AS21" s="588"/>
      <c r="AT21" s="154">
        <f t="shared" si="2"/>
        <v>1000</v>
      </c>
      <c r="AU21" s="461">
        <f t="shared" si="0"/>
        <v>1000</v>
      </c>
    </row>
    <row r="22" spans="2:47" s="148" customFormat="1" ht="33.75" x14ac:dyDescent="0.25">
      <c r="B22" s="149">
        <v>7</v>
      </c>
      <c r="C22" s="149" t="s">
        <v>38</v>
      </c>
      <c r="D22" s="450">
        <v>30074676</v>
      </c>
      <c r="E22" s="451" t="s">
        <v>2112</v>
      </c>
      <c r="F22" s="451" t="s">
        <v>200</v>
      </c>
      <c r="G22" s="452" t="s">
        <v>2100</v>
      </c>
      <c r="H22" s="451" t="s">
        <v>2113</v>
      </c>
      <c r="I22" s="451" t="s">
        <v>1958</v>
      </c>
      <c r="J22" s="451">
        <v>48453</v>
      </c>
      <c r="K22" s="451"/>
      <c r="L22" s="451"/>
      <c r="M22" s="454">
        <v>1800</v>
      </c>
      <c r="N22" s="454">
        <v>0</v>
      </c>
      <c r="O22" s="454">
        <v>13890.615</v>
      </c>
      <c r="P22" s="454">
        <v>0</v>
      </c>
      <c r="Q22" s="454">
        <v>0</v>
      </c>
      <c r="R22" s="454">
        <v>9387.8169999999991</v>
      </c>
      <c r="S22" s="454"/>
      <c r="T22" s="454"/>
      <c r="U22" s="454"/>
      <c r="V22" s="454"/>
      <c r="W22" s="454"/>
      <c r="X22" s="454"/>
      <c r="Y22" s="454">
        <f t="shared" si="1"/>
        <v>25078.432000000001</v>
      </c>
      <c r="Z22" s="454">
        <v>5400</v>
      </c>
      <c r="AA22" s="451">
        <v>4</v>
      </c>
      <c r="AB22" s="587">
        <v>44221</v>
      </c>
      <c r="AC22" s="587">
        <v>44280</v>
      </c>
      <c r="AD22" s="454">
        <v>17783</v>
      </c>
      <c r="AE22" s="451">
        <v>10</v>
      </c>
      <c r="AF22" s="587">
        <v>44286</v>
      </c>
      <c r="AG22" s="587">
        <v>44306</v>
      </c>
      <c r="AH22" s="454"/>
      <c r="AI22" s="451"/>
      <c r="AJ22" s="587"/>
      <c r="AK22" s="587"/>
      <c r="AL22" s="454"/>
      <c r="AM22" s="451"/>
      <c r="AN22" s="587"/>
      <c r="AO22" s="587"/>
      <c r="AP22" s="454"/>
      <c r="AQ22" s="451"/>
      <c r="AR22" s="588"/>
      <c r="AS22" s="588"/>
      <c r="AT22" s="154">
        <f t="shared" si="2"/>
        <v>23183</v>
      </c>
      <c r="AU22" s="461">
        <f t="shared" si="0"/>
        <v>-1895.4320000000007</v>
      </c>
    </row>
    <row r="23" spans="2:47" s="148" customFormat="1" ht="33.75" x14ac:dyDescent="0.25">
      <c r="B23" s="149">
        <v>8</v>
      </c>
      <c r="C23" s="149" t="s">
        <v>38</v>
      </c>
      <c r="D23" s="450">
        <v>30076137</v>
      </c>
      <c r="E23" s="451" t="s">
        <v>2114</v>
      </c>
      <c r="F23" s="451" t="s">
        <v>204</v>
      </c>
      <c r="G23" s="452" t="s">
        <v>2100</v>
      </c>
      <c r="H23" s="451" t="s">
        <v>2115</v>
      </c>
      <c r="I23" s="451" t="s">
        <v>1958</v>
      </c>
      <c r="J23" s="451">
        <v>48450</v>
      </c>
      <c r="K23" s="451"/>
      <c r="L23" s="451"/>
      <c r="M23" s="454">
        <v>5575</v>
      </c>
      <c r="N23" s="454">
        <v>0</v>
      </c>
      <c r="O23" s="454">
        <v>0</v>
      </c>
      <c r="P23" s="454">
        <v>0</v>
      </c>
      <c r="Q23" s="454">
        <v>0</v>
      </c>
      <c r="R23" s="454">
        <v>0</v>
      </c>
      <c r="S23" s="454"/>
      <c r="T23" s="454"/>
      <c r="U23" s="454"/>
      <c r="V23" s="454"/>
      <c r="W23" s="454"/>
      <c r="X23" s="454"/>
      <c r="Y23" s="454">
        <f t="shared" si="1"/>
        <v>5575</v>
      </c>
      <c r="Z23" s="454">
        <v>48450</v>
      </c>
      <c r="AA23" s="451">
        <v>4</v>
      </c>
      <c r="AB23" s="587">
        <v>44221</v>
      </c>
      <c r="AC23" s="587">
        <v>44280</v>
      </c>
      <c r="AD23" s="454"/>
      <c r="AE23" s="451"/>
      <c r="AF23" s="587"/>
      <c r="AG23" s="587"/>
      <c r="AH23" s="454"/>
      <c r="AI23" s="451"/>
      <c r="AJ23" s="587"/>
      <c r="AK23" s="587"/>
      <c r="AL23" s="454"/>
      <c r="AM23" s="451"/>
      <c r="AN23" s="587"/>
      <c r="AO23" s="587"/>
      <c r="AP23" s="454"/>
      <c r="AQ23" s="451"/>
      <c r="AR23" s="588"/>
      <c r="AS23" s="588"/>
      <c r="AT23" s="154">
        <f t="shared" si="2"/>
        <v>48450</v>
      </c>
      <c r="AU23" s="461">
        <f t="shared" si="0"/>
        <v>42875</v>
      </c>
    </row>
    <row r="24" spans="2:47" s="148" customFormat="1" ht="33.75" x14ac:dyDescent="0.25">
      <c r="B24" s="149">
        <v>9</v>
      </c>
      <c r="C24" s="149" t="s">
        <v>38</v>
      </c>
      <c r="D24" s="450">
        <v>30076311</v>
      </c>
      <c r="E24" s="451" t="s">
        <v>2116</v>
      </c>
      <c r="F24" s="451" t="s">
        <v>200</v>
      </c>
      <c r="G24" s="452" t="s">
        <v>2100</v>
      </c>
      <c r="H24" s="451" t="s">
        <v>2117</v>
      </c>
      <c r="I24" s="451" t="s">
        <v>1958</v>
      </c>
      <c r="J24" s="451">
        <v>56300</v>
      </c>
      <c r="K24" s="451"/>
      <c r="L24" s="451"/>
      <c r="M24" s="454">
        <v>31858.912999999997</v>
      </c>
      <c r="N24" s="454">
        <v>0</v>
      </c>
      <c r="O24" s="454">
        <v>1839.8140000000001</v>
      </c>
      <c r="P24" s="454">
        <v>18384.298000000003</v>
      </c>
      <c r="Q24" s="454">
        <v>0</v>
      </c>
      <c r="R24" s="454">
        <v>0</v>
      </c>
      <c r="S24" s="454"/>
      <c r="T24" s="454"/>
      <c r="U24" s="454"/>
      <c r="V24" s="454"/>
      <c r="W24" s="454"/>
      <c r="X24" s="454"/>
      <c r="Y24" s="454">
        <f t="shared" si="1"/>
        <v>52083.025000000001</v>
      </c>
      <c r="Z24" s="454">
        <v>56300</v>
      </c>
      <c r="AA24" s="451">
        <v>4</v>
      </c>
      <c r="AB24" s="587">
        <v>44221</v>
      </c>
      <c r="AC24" s="587">
        <v>44280</v>
      </c>
      <c r="AD24" s="454"/>
      <c r="AE24" s="451"/>
      <c r="AF24" s="587"/>
      <c r="AG24" s="587"/>
      <c r="AH24" s="454"/>
      <c r="AI24" s="451"/>
      <c r="AJ24" s="587"/>
      <c r="AK24" s="587"/>
      <c r="AL24" s="454"/>
      <c r="AM24" s="451"/>
      <c r="AN24" s="587"/>
      <c r="AO24" s="587"/>
      <c r="AP24" s="454"/>
      <c r="AQ24" s="451"/>
      <c r="AR24" s="588"/>
      <c r="AS24" s="588"/>
      <c r="AT24" s="154">
        <f t="shared" si="2"/>
        <v>56300</v>
      </c>
      <c r="AU24" s="461">
        <f t="shared" si="0"/>
        <v>4216.9749999999985</v>
      </c>
    </row>
    <row r="25" spans="2:47" s="148" customFormat="1" ht="22.5" x14ac:dyDescent="0.25">
      <c r="B25" s="149">
        <v>10</v>
      </c>
      <c r="C25" s="149" t="s">
        <v>38</v>
      </c>
      <c r="D25" s="450">
        <v>30076719</v>
      </c>
      <c r="E25" s="451" t="s">
        <v>2118</v>
      </c>
      <c r="F25" s="451" t="s">
        <v>200</v>
      </c>
      <c r="G25" s="452" t="s">
        <v>2100</v>
      </c>
      <c r="H25" s="451" t="s">
        <v>2119</v>
      </c>
      <c r="I25" s="451" t="s">
        <v>1958</v>
      </c>
      <c r="J25" s="451">
        <v>1583065</v>
      </c>
      <c r="K25" s="451"/>
      <c r="L25" s="451"/>
      <c r="M25" s="454">
        <v>0</v>
      </c>
      <c r="N25" s="454">
        <v>0</v>
      </c>
      <c r="O25" s="454">
        <v>182584.052</v>
      </c>
      <c r="P25" s="454">
        <v>423897.28</v>
      </c>
      <c r="Q25" s="454">
        <v>0</v>
      </c>
      <c r="R25" s="454">
        <v>212164.033</v>
      </c>
      <c r="S25" s="454"/>
      <c r="T25" s="454"/>
      <c r="U25" s="454"/>
      <c r="V25" s="454"/>
      <c r="W25" s="454"/>
      <c r="X25" s="454"/>
      <c r="Y25" s="454">
        <f t="shared" si="1"/>
        <v>818645.36499999999</v>
      </c>
      <c r="Z25" s="454">
        <v>1000</v>
      </c>
      <c r="AA25" s="451">
        <v>1</v>
      </c>
      <c r="AB25" s="587">
        <v>44207</v>
      </c>
      <c r="AC25" s="587">
        <v>44249</v>
      </c>
      <c r="AD25" s="454">
        <v>850000</v>
      </c>
      <c r="AE25" s="451">
        <v>10</v>
      </c>
      <c r="AF25" s="587">
        <v>44286</v>
      </c>
      <c r="AG25" s="587">
        <v>44306</v>
      </c>
      <c r="AH25" s="454"/>
      <c r="AI25" s="451"/>
      <c r="AJ25" s="587"/>
      <c r="AK25" s="587"/>
      <c r="AL25" s="454"/>
      <c r="AM25" s="451"/>
      <c r="AN25" s="587"/>
      <c r="AO25" s="587"/>
      <c r="AP25" s="454"/>
      <c r="AQ25" s="451"/>
      <c r="AR25" s="588"/>
      <c r="AS25" s="588"/>
      <c r="AT25" s="154">
        <f t="shared" si="2"/>
        <v>851000</v>
      </c>
      <c r="AU25" s="461">
        <f t="shared" si="0"/>
        <v>32354.635000000009</v>
      </c>
    </row>
    <row r="26" spans="2:47" s="148" customFormat="1" ht="33.75" x14ac:dyDescent="0.25">
      <c r="B26" s="149">
        <v>11</v>
      </c>
      <c r="C26" s="149" t="s">
        <v>38</v>
      </c>
      <c r="D26" s="450">
        <v>30082319</v>
      </c>
      <c r="E26" s="451" t="s">
        <v>2120</v>
      </c>
      <c r="F26" s="451" t="s">
        <v>204</v>
      </c>
      <c r="G26" s="452" t="s">
        <v>2100</v>
      </c>
      <c r="H26" s="451" t="s">
        <v>2121</v>
      </c>
      <c r="I26" s="451" t="s">
        <v>1958</v>
      </c>
      <c r="J26" s="451">
        <v>12658</v>
      </c>
      <c r="K26" s="451"/>
      <c r="L26" s="451"/>
      <c r="M26" s="454">
        <v>0</v>
      </c>
      <c r="N26" s="454">
        <v>0</v>
      </c>
      <c r="O26" s="454">
        <v>0</v>
      </c>
      <c r="P26" s="454">
        <v>0</v>
      </c>
      <c r="Q26" s="454">
        <v>0</v>
      </c>
      <c r="R26" s="454">
        <v>0</v>
      </c>
      <c r="S26" s="454"/>
      <c r="T26" s="454"/>
      <c r="U26" s="454"/>
      <c r="V26" s="454"/>
      <c r="W26" s="454"/>
      <c r="X26" s="454"/>
      <c r="Y26" s="454">
        <f t="shared" si="1"/>
        <v>0</v>
      </c>
      <c r="Z26" s="454">
        <v>12000</v>
      </c>
      <c r="AA26" s="451">
        <v>4</v>
      </c>
      <c r="AB26" s="587">
        <v>44221</v>
      </c>
      <c r="AC26" s="587">
        <v>44280</v>
      </c>
      <c r="AD26" s="454"/>
      <c r="AE26" s="451"/>
      <c r="AF26" s="587"/>
      <c r="AG26" s="587"/>
      <c r="AH26" s="454"/>
      <c r="AI26" s="451"/>
      <c r="AJ26" s="587"/>
      <c r="AK26" s="587"/>
      <c r="AL26" s="454"/>
      <c r="AM26" s="451"/>
      <c r="AN26" s="587"/>
      <c r="AO26" s="587"/>
      <c r="AP26" s="454"/>
      <c r="AQ26" s="451"/>
      <c r="AR26" s="588"/>
      <c r="AS26" s="588"/>
      <c r="AT26" s="154">
        <f t="shared" si="2"/>
        <v>12000</v>
      </c>
      <c r="AU26" s="461">
        <f t="shared" si="0"/>
        <v>12000</v>
      </c>
    </row>
    <row r="27" spans="2:47" s="148" customFormat="1" ht="22.5" x14ac:dyDescent="0.25">
      <c r="B27" s="149">
        <v>12</v>
      </c>
      <c r="C27" s="149" t="s">
        <v>38</v>
      </c>
      <c r="D27" s="450">
        <v>30091999</v>
      </c>
      <c r="E27" s="451" t="s">
        <v>2122</v>
      </c>
      <c r="F27" s="451" t="s">
        <v>200</v>
      </c>
      <c r="G27" s="452" t="s">
        <v>2100</v>
      </c>
      <c r="H27" s="451" t="s">
        <v>2123</v>
      </c>
      <c r="I27" s="451" t="s">
        <v>1958</v>
      </c>
      <c r="J27" s="451">
        <v>1282519</v>
      </c>
      <c r="K27" s="451"/>
      <c r="L27" s="451"/>
      <c r="M27" s="454">
        <v>0</v>
      </c>
      <c r="N27" s="454">
        <v>0</v>
      </c>
      <c r="O27" s="454">
        <v>0</v>
      </c>
      <c r="P27" s="454">
        <v>0</v>
      </c>
      <c r="Q27" s="454">
        <v>0</v>
      </c>
      <c r="R27" s="454">
        <v>0</v>
      </c>
      <c r="S27" s="454"/>
      <c r="T27" s="454"/>
      <c r="U27" s="454"/>
      <c r="V27" s="454"/>
      <c r="W27" s="454"/>
      <c r="X27" s="454"/>
      <c r="Y27" s="454">
        <f t="shared" si="1"/>
        <v>0</v>
      </c>
      <c r="Z27" s="454">
        <v>1000</v>
      </c>
      <c r="AA27" s="451">
        <v>1</v>
      </c>
      <c r="AB27" s="587">
        <v>44207</v>
      </c>
      <c r="AC27" s="587">
        <v>44249</v>
      </c>
      <c r="AD27" s="454"/>
      <c r="AE27" s="451"/>
      <c r="AF27" s="587"/>
      <c r="AG27" s="587"/>
      <c r="AH27" s="454"/>
      <c r="AI27" s="451"/>
      <c r="AJ27" s="587"/>
      <c r="AK27" s="587"/>
      <c r="AL27" s="454"/>
      <c r="AM27" s="451"/>
      <c r="AN27" s="587"/>
      <c r="AO27" s="587"/>
      <c r="AP27" s="454"/>
      <c r="AQ27" s="451"/>
      <c r="AR27" s="588"/>
      <c r="AS27" s="588"/>
      <c r="AT27" s="154">
        <f t="shared" si="2"/>
        <v>1000</v>
      </c>
      <c r="AU27" s="461">
        <f t="shared" si="0"/>
        <v>1000</v>
      </c>
    </row>
    <row r="28" spans="2:47" s="148" customFormat="1" ht="22.5" x14ac:dyDescent="0.25">
      <c r="B28" s="149">
        <v>13</v>
      </c>
      <c r="C28" s="149" t="s">
        <v>38</v>
      </c>
      <c r="D28" s="450">
        <v>30092387</v>
      </c>
      <c r="E28" s="451" t="s">
        <v>2124</v>
      </c>
      <c r="F28" s="451" t="s">
        <v>200</v>
      </c>
      <c r="G28" s="452" t="s">
        <v>2100</v>
      </c>
      <c r="H28" s="451" t="s">
        <v>2125</v>
      </c>
      <c r="I28" s="451" t="s">
        <v>1958</v>
      </c>
      <c r="J28" s="451">
        <v>206714</v>
      </c>
      <c r="K28" s="451"/>
      <c r="L28" s="451"/>
      <c r="M28" s="454">
        <v>0</v>
      </c>
      <c r="N28" s="454">
        <v>0</v>
      </c>
      <c r="O28" s="454">
        <v>0</v>
      </c>
      <c r="P28" s="454">
        <v>0</v>
      </c>
      <c r="Q28" s="454">
        <v>0</v>
      </c>
      <c r="R28" s="454">
        <v>0</v>
      </c>
      <c r="S28" s="454"/>
      <c r="T28" s="454"/>
      <c r="U28" s="454"/>
      <c r="V28" s="454"/>
      <c r="W28" s="454"/>
      <c r="X28" s="454"/>
      <c r="Y28" s="454">
        <f t="shared" si="1"/>
        <v>0</v>
      </c>
      <c r="Z28" s="454">
        <v>1000</v>
      </c>
      <c r="AA28" s="451">
        <v>8</v>
      </c>
      <c r="AB28" s="587">
        <v>44252</v>
      </c>
      <c r="AC28" s="587">
        <v>44292</v>
      </c>
      <c r="AD28" s="454"/>
      <c r="AE28" s="451"/>
      <c r="AF28" s="587"/>
      <c r="AG28" s="587"/>
      <c r="AH28" s="454"/>
      <c r="AI28" s="451"/>
      <c r="AJ28" s="587"/>
      <c r="AK28" s="587"/>
      <c r="AL28" s="454"/>
      <c r="AM28" s="451"/>
      <c r="AN28" s="587"/>
      <c r="AO28" s="587"/>
      <c r="AP28" s="454"/>
      <c r="AQ28" s="451"/>
      <c r="AR28" s="588"/>
      <c r="AS28" s="588"/>
      <c r="AT28" s="154">
        <f t="shared" si="2"/>
        <v>1000</v>
      </c>
      <c r="AU28" s="461">
        <f t="shared" si="0"/>
        <v>1000</v>
      </c>
    </row>
    <row r="29" spans="2:47" s="148" customFormat="1" ht="22.5" x14ac:dyDescent="0.25">
      <c r="B29" s="149">
        <v>14</v>
      </c>
      <c r="C29" s="149" t="s">
        <v>38</v>
      </c>
      <c r="D29" s="450">
        <v>30092698</v>
      </c>
      <c r="E29" s="451" t="s">
        <v>2126</v>
      </c>
      <c r="F29" s="451" t="s">
        <v>200</v>
      </c>
      <c r="G29" s="452" t="s">
        <v>2100</v>
      </c>
      <c r="H29" s="451" t="s">
        <v>2125</v>
      </c>
      <c r="I29" s="451" t="s">
        <v>1958</v>
      </c>
      <c r="J29" s="451">
        <v>23037</v>
      </c>
      <c r="K29" s="451"/>
      <c r="L29" s="451"/>
      <c r="M29" s="454">
        <v>0</v>
      </c>
      <c r="N29" s="454">
        <v>0</v>
      </c>
      <c r="O29" s="454">
        <v>0</v>
      </c>
      <c r="P29" s="454">
        <v>0</v>
      </c>
      <c r="Q29" s="454">
        <v>0</v>
      </c>
      <c r="R29" s="454">
        <v>0</v>
      </c>
      <c r="S29" s="454"/>
      <c r="T29" s="454"/>
      <c r="U29" s="454"/>
      <c r="V29" s="454"/>
      <c r="W29" s="454"/>
      <c r="X29" s="454"/>
      <c r="Y29" s="454">
        <f t="shared" si="1"/>
        <v>0</v>
      </c>
      <c r="Z29" s="454">
        <v>12094</v>
      </c>
      <c r="AA29" s="451">
        <v>4</v>
      </c>
      <c r="AB29" s="587">
        <v>44221</v>
      </c>
      <c r="AC29" s="587">
        <v>44280</v>
      </c>
      <c r="AD29" s="454"/>
      <c r="AE29" s="451"/>
      <c r="AF29" s="587"/>
      <c r="AG29" s="587"/>
      <c r="AH29" s="454"/>
      <c r="AI29" s="451"/>
      <c r="AJ29" s="587"/>
      <c r="AK29" s="587"/>
      <c r="AL29" s="454"/>
      <c r="AM29" s="451"/>
      <c r="AN29" s="587"/>
      <c r="AO29" s="587"/>
      <c r="AP29" s="454"/>
      <c r="AQ29" s="451"/>
      <c r="AR29" s="588"/>
      <c r="AS29" s="588"/>
      <c r="AT29" s="154">
        <f t="shared" si="2"/>
        <v>12094</v>
      </c>
      <c r="AU29" s="461">
        <f t="shared" si="0"/>
        <v>12094</v>
      </c>
    </row>
    <row r="30" spans="2:47" s="148" customFormat="1" ht="22.5" x14ac:dyDescent="0.25">
      <c r="B30" s="149">
        <v>15</v>
      </c>
      <c r="C30" s="149" t="s">
        <v>38</v>
      </c>
      <c r="D30" s="450">
        <v>30094511</v>
      </c>
      <c r="E30" s="451" t="s">
        <v>2127</v>
      </c>
      <c r="F30" s="451" t="s">
        <v>200</v>
      </c>
      <c r="G30" s="452" t="s">
        <v>2100</v>
      </c>
      <c r="H30" s="451" t="s">
        <v>2128</v>
      </c>
      <c r="I30" s="451" t="s">
        <v>1958</v>
      </c>
      <c r="J30" s="451">
        <v>1089085</v>
      </c>
      <c r="K30" s="451"/>
      <c r="L30" s="451"/>
      <c r="M30" s="454">
        <v>0</v>
      </c>
      <c r="N30" s="454">
        <v>0</v>
      </c>
      <c r="O30" s="454">
        <v>0</v>
      </c>
      <c r="P30" s="454">
        <v>0</v>
      </c>
      <c r="Q30" s="454">
        <v>0</v>
      </c>
      <c r="R30" s="454">
        <v>0</v>
      </c>
      <c r="S30" s="454"/>
      <c r="T30" s="454"/>
      <c r="U30" s="454"/>
      <c r="V30" s="454"/>
      <c r="W30" s="454"/>
      <c r="X30" s="454"/>
      <c r="Y30" s="454">
        <f t="shared" si="1"/>
        <v>0</v>
      </c>
      <c r="Z30" s="454">
        <v>1000</v>
      </c>
      <c r="AA30" s="451">
        <v>4</v>
      </c>
      <c r="AB30" s="587">
        <v>44221</v>
      </c>
      <c r="AC30" s="587">
        <v>44280</v>
      </c>
      <c r="AD30" s="454"/>
      <c r="AE30" s="451"/>
      <c r="AF30" s="587"/>
      <c r="AG30" s="587"/>
      <c r="AH30" s="454"/>
      <c r="AI30" s="451"/>
      <c r="AJ30" s="587"/>
      <c r="AK30" s="587"/>
      <c r="AL30" s="454"/>
      <c r="AM30" s="451"/>
      <c r="AN30" s="587"/>
      <c r="AO30" s="587"/>
      <c r="AP30" s="454"/>
      <c r="AQ30" s="451"/>
      <c r="AR30" s="588"/>
      <c r="AS30" s="588"/>
      <c r="AT30" s="154">
        <f t="shared" si="2"/>
        <v>1000</v>
      </c>
      <c r="AU30" s="461">
        <f t="shared" si="0"/>
        <v>1000</v>
      </c>
    </row>
    <row r="31" spans="2:47" s="148" customFormat="1" ht="22.5" x14ac:dyDescent="0.25">
      <c r="B31" s="149">
        <v>16</v>
      </c>
      <c r="C31" s="149" t="s">
        <v>38</v>
      </c>
      <c r="D31" s="450">
        <v>30094580</v>
      </c>
      <c r="E31" s="451" t="s">
        <v>2129</v>
      </c>
      <c r="F31" s="451" t="s">
        <v>200</v>
      </c>
      <c r="G31" s="452" t="s">
        <v>2100</v>
      </c>
      <c r="H31" s="451" t="s">
        <v>2130</v>
      </c>
      <c r="I31" s="451" t="s">
        <v>1958</v>
      </c>
      <c r="J31" s="451">
        <v>221190</v>
      </c>
      <c r="K31" s="451"/>
      <c r="L31" s="451"/>
      <c r="M31" s="454">
        <v>0</v>
      </c>
      <c r="N31" s="454">
        <v>0</v>
      </c>
      <c r="O31" s="454">
        <v>0</v>
      </c>
      <c r="P31" s="454">
        <v>0</v>
      </c>
      <c r="Q31" s="454">
        <v>0</v>
      </c>
      <c r="R31" s="454">
        <v>0</v>
      </c>
      <c r="S31" s="454"/>
      <c r="T31" s="454"/>
      <c r="U31" s="454"/>
      <c r="V31" s="454"/>
      <c r="W31" s="454"/>
      <c r="X31" s="454"/>
      <c r="Y31" s="454">
        <f t="shared" si="1"/>
        <v>0</v>
      </c>
      <c r="Z31" s="454">
        <v>1000</v>
      </c>
      <c r="AA31" s="451">
        <v>8</v>
      </c>
      <c r="AB31" s="587">
        <v>44252</v>
      </c>
      <c r="AC31" s="587">
        <v>44292</v>
      </c>
      <c r="AD31" s="454"/>
      <c r="AE31" s="451"/>
      <c r="AF31" s="587"/>
      <c r="AG31" s="587"/>
      <c r="AH31" s="454"/>
      <c r="AI31" s="451"/>
      <c r="AJ31" s="587"/>
      <c r="AK31" s="587"/>
      <c r="AL31" s="454"/>
      <c r="AM31" s="451"/>
      <c r="AN31" s="587"/>
      <c r="AO31" s="587"/>
      <c r="AP31" s="454"/>
      <c r="AQ31" s="451"/>
      <c r="AR31" s="588"/>
      <c r="AS31" s="588"/>
      <c r="AT31" s="154">
        <f t="shared" si="2"/>
        <v>1000</v>
      </c>
      <c r="AU31" s="461">
        <f t="shared" si="0"/>
        <v>1000</v>
      </c>
    </row>
    <row r="32" spans="2:47" s="148" customFormat="1" ht="22.5" x14ac:dyDescent="0.25">
      <c r="B32" s="149">
        <v>17</v>
      </c>
      <c r="C32" s="149" t="s">
        <v>38</v>
      </c>
      <c r="D32" s="450">
        <v>30094637</v>
      </c>
      <c r="E32" s="451" t="s">
        <v>2131</v>
      </c>
      <c r="F32" s="451" t="s">
        <v>200</v>
      </c>
      <c r="G32" s="452" t="s">
        <v>2100</v>
      </c>
      <c r="H32" s="451" t="s">
        <v>2132</v>
      </c>
      <c r="I32" s="451" t="s">
        <v>1958</v>
      </c>
      <c r="J32" s="451">
        <v>848549</v>
      </c>
      <c r="K32" s="451"/>
      <c r="L32" s="451"/>
      <c r="M32" s="454">
        <v>74448.2</v>
      </c>
      <c r="N32" s="454">
        <v>60910.822999999997</v>
      </c>
      <c r="O32" s="454">
        <v>1450</v>
      </c>
      <c r="P32" s="454">
        <v>89043.020999999993</v>
      </c>
      <c r="Q32" s="454">
        <v>42748.692999999999</v>
      </c>
      <c r="R32" s="454">
        <v>77119.442999999999</v>
      </c>
      <c r="S32" s="454"/>
      <c r="T32" s="454"/>
      <c r="U32" s="454"/>
      <c r="V32" s="454"/>
      <c r="W32" s="454"/>
      <c r="X32" s="454"/>
      <c r="Y32" s="454">
        <f t="shared" si="1"/>
        <v>345720.17999999993</v>
      </c>
      <c r="Z32" s="454">
        <v>274449</v>
      </c>
      <c r="AA32" s="451">
        <v>4</v>
      </c>
      <c r="AB32" s="587">
        <v>44221</v>
      </c>
      <c r="AC32" s="587">
        <v>44280</v>
      </c>
      <c r="AD32" s="454">
        <v>2900</v>
      </c>
      <c r="AE32" s="451">
        <v>8</v>
      </c>
      <c r="AF32" s="587">
        <v>44252</v>
      </c>
      <c r="AG32" s="587">
        <v>44292</v>
      </c>
      <c r="AH32" s="454">
        <v>202900</v>
      </c>
      <c r="AI32" s="451">
        <v>10</v>
      </c>
      <c r="AJ32" s="587">
        <v>44286</v>
      </c>
      <c r="AK32" s="587">
        <v>44306</v>
      </c>
      <c r="AL32" s="454"/>
      <c r="AM32" s="451"/>
      <c r="AN32" s="587"/>
      <c r="AO32" s="587"/>
      <c r="AP32" s="454"/>
      <c r="AQ32" s="451"/>
      <c r="AR32" s="588"/>
      <c r="AS32" s="588"/>
      <c r="AT32" s="154">
        <f t="shared" si="2"/>
        <v>480249</v>
      </c>
      <c r="AU32" s="461">
        <f t="shared" si="0"/>
        <v>134528.82000000007</v>
      </c>
    </row>
    <row r="33" spans="2:47" s="148" customFormat="1" ht="22.5" x14ac:dyDescent="0.25">
      <c r="B33" s="149">
        <v>18</v>
      </c>
      <c r="C33" s="149" t="s">
        <v>38</v>
      </c>
      <c r="D33" s="450">
        <v>30094721</v>
      </c>
      <c r="E33" s="451" t="s">
        <v>2133</v>
      </c>
      <c r="F33" s="451" t="s">
        <v>204</v>
      </c>
      <c r="G33" s="452" t="s">
        <v>2100</v>
      </c>
      <c r="H33" s="451" t="s">
        <v>2134</v>
      </c>
      <c r="I33" s="451" t="s">
        <v>1958</v>
      </c>
      <c r="J33" s="451">
        <v>43770</v>
      </c>
      <c r="K33" s="451"/>
      <c r="L33" s="451"/>
      <c r="M33" s="454">
        <v>0</v>
      </c>
      <c r="N33" s="454">
        <v>0</v>
      </c>
      <c r="O33" s="454">
        <v>0</v>
      </c>
      <c r="P33" s="454">
        <v>0</v>
      </c>
      <c r="Q33" s="454">
        <v>0</v>
      </c>
      <c r="R33" s="454">
        <v>0</v>
      </c>
      <c r="S33" s="454"/>
      <c r="T33" s="454"/>
      <c r="U33" s="454"/>
      <c r="V33" s="454"/>
      <c r="W33" s="454"/>
      <c r="X33" s="454"/>
      <c r="Y33" s="454">
        <f t="shared" si="1"/>
        <v>0</v>
      </c>
      <c r="Z33" s="454">
        <v>1000</v>
      </c>
      <c r="AA33" s="451">
        <v>4</v>
      </c>
      <c r="AB33" s="587">
        <v>44221</v>
      </c>
      <c r="AC33" s="587">
        <v>44280</v>
      </c>
      <c r="AD33" s="454">
        <v>22881</v>
      </c>
      <c r="AE33" s="451">
        <v>10</v>
      </c>
      <c r="AF33" s="587">
        <v>44286</v>
      </c>
      <c r="AG33" s="587">
        <v>44306</v>
      </c>
      <c r="AH33" s="454"/>
      <c r="AI33" s="451"/>
      <c r="AJ33" s="587"/>
      <c r="AK33" s="587"/>
      <c r="AL33" s="454"/>
      <c r="AM33" s="451"/>
      <c r="AN33" s="587"/>
      <c r="AO33" s="587"/>
      <c r="AP33" s="454"/>
      <c r="AQ33" s="451"/>
      <c r="AR33" s="588"/>
      <c r="AS33" s="588"/>
      <c r="AT33" s="154">
        <f t="shared" si="2"/>
        <v>23881</v>
      </c>
      <c r="AU33" s="461">
        <f t="shared" si="0"/>
        <v>23881</v>
      </c>
    </row>
    <row r="34" spans="2:47" s="148" customFormat="1" ht="22.5" x14ac:dyDescent="0.25">
      <c r="B34" s="149">
        <v>19</v>
      </c>
      <c r="C34" s="149" t="s">
        <v>38</v>
      </c>
      <c r="D34" s="450">
        <v>30094738</v>
      </c>
      <c r="E34" s="451" t="s">
        <v>2135</v>
      </c>
      <c r="F34" s="451" t="s">
        <v>204</v>
      </c>
      <c r="G34" s="452" t="s">
        <v>2100</v>
      </c>
      <c r="H34" s="451" t="s">
        <v>2136</v>
      </c>
      <c r="I34" s="451" t="s">
        <v>1958</v>
      </c>
      <c r="J34" s="451">
        <v>43648</v>
      </c>
      <c r="K34" s="451"/>
      <c r="L34" s="451"/>
      <c r="M34" s="454">
        <v>0</v>
      </c>
      <c r="N34" s="454">
        <v>21450</v>
      </c>
      <c r="O34" s="454">
        <v>0</v>
      </c>
      <c r="P34" s="454">
        <v>0</v>
      </c>
      <c r="Q34" s="454">
        <v>0</v>
      </c>
      <c r="R34" s="454">
        <v>0</v>
      </c>
      <c r="S34" s="454"/>
      <c r="T34" s="454"/>
      <c r="U34" s="454"/>
      <c r="V34" s="454"/>
      <c r="W34" s="454"/>
      <c r="X34" s="454"/>
      <c r="Y34" s="454">
        <f t="shared" si="1"/>
        <v>21450</v>
      </c>
      <c r="Z34" s="454">
        <v>42900</v>
      </c>
      <c r="AA34" s="451">
        <v>8</v>
      </c>
      <c r="AB34" s="587">
        <v>44252</v>
      </c>
      <c r="AC34" s="587">
        <v>44292</v>
      </c>
      <c r="AD34" s="454"/>
      <c r="AE34" s="451"/>
      <c r="AF34" s="587"/>
      <c r="AG34" s="587"/>
      <c r="AH34" s="454"/>
      <c r="AI34" s="451"/>
      <c r="AJ34" s="587"/>
      <c r="AK34" s="587"/>
      <c r="AL34" s="454"/>
      <c r="AM34" s="451"/>
      <c r="AN34" s="587"/>
      <c r="AO34" s="587"/>
      <c r="AP34" s="454"/>
      <c r="AQ34" s="451"/>
      <c r="AR34" s="588"/>
      <c r="AS34" s="588"/>
      <c r="AT34" s="154">
        <f t="shared" si="2"/>
        <v>42900</v>
      </c>
      <c r="AU34" s="461">
        <f t="shared" si="0"/>
        <v>21450</v>
      </c>
    </row>
    <row r="35" spans="2:47" s="148" customFormat="1" ht="22.5" x14ac:dyDescent="0.25">
      <c r="B35" s="149">
        <v>20</v>
      </c>
      <c r="C35" s="149" t="s">
        <v>38</v>
      </c>
      <c r="D35" s="450">
        <v>30094962</v>
      </c>
      <c r="E35" s="451" t="s">
        <v>2137</v>
      </c>
      <c r="F35" s="451" t="s">
        <v>200</v>
      </c>
      <c r="G35" s="452" t="s">
        <v>2100</v>
      </c>
      <c r="H35" s="451" t="s">
        <v>2136</v>
      </c>
      <c r="I35" s="451" t="s">
        <v>1958</v>
      </c>
      <c r="J35" s="451">
        <v>3424021</v>
      </c>
      <c r="K35" s="451"/>
      <c r="L35" s="451"/>
      <c r="M35" s="454">
        <v>112337.004</v>
      </c>
      <c r="N35" s="454">
        <v>0</v>
      </c>
      <c r="O35" s="454">
        <v>72662.759000000005</v>
      </c>
      <c r="P35" s="454">
        <v>1910.771</v>
      </c>
      <c r="Q35" s="454">
        <v>11687.62</v>
      </c>
      <c r="R35" s="454">
        <v>59762.156999999999</v>
      </c>
      <c r="S35" s="454"/>
      <c r="T35" s="454"/>
      <c r="U35" s="454"/>
      <c r="V35" s="454"/>
      <c r="W35" s="454"/>
      <c r="X35" s="454"/>
      <c r="Y35" s="454">
        <f t="shared" si="1"/>
        <v>258360.31100000002</v>
      </c>
      <c r="Z35" s="454">
        <v>430000</v>
      </c>
      <c r="AA35" s="451">
        <v>4</v>
      </c>
      <c r="AB35" s="587">
        <v>44221</v>
      </c>
      <c r="AC35" s="587">
        <v>44280</v>
      </c>
      <c r="AD35" s="454"/>
      <c r="AE35" s="451"/>
      <c r="AF35" s="587"/>
      <c r="AG35" s="587"/>
      <c r="AH35" s="454"/>
      <c r="AI35" s="451"/>
      <c r="AJ35" s="587"/>
      <c r="AK35" s="587"/>
      <c r="AL35" s="454"/>
      <c r="AM35" s="451"/>
      <c r="AN35" s="587"/>
      <c r="AO35" s="587"/>
      <c r="AP35" s="454"/>
      <c r="AQ35" s="451"/>
      <c r="AR35" s="588"/>
      <c r="AS35" s="588"/>
      <c r="AT35" s="154">
        <f t="shared" si="2"/>
        <v>430000</v>
      </c>
      <c r="AU35" s="461">
        <f t="shared" si="0"/>
        <v>171639.68899999998</v>
      </c>
    </row>
    <row r="36" spans="2:47" s="148" customFormat="1" ht="22.5" x14ac:dyDescent="0.25">
      <c r="B36" s="149">
        <v>21</v>
      </c>
      <c r="C36" s="149" t="s">
        <v>38</v>
      </c>
      <c r="D36" s="450">
        <v>30095025</v>
      </c>
      <c r="E36" s="451" t="s">
        <v>2138</v>
      </c>
      <c r="F36" s="451" t="s">
        <v>204</v>
      </c>
      <c r="G36" s="452" t="s">
        <v>2100</v>
      </c>
      <c r="H36" s="451" t="s">
        <v>2139</v>
      </c>
      <c r="I36" s="451" t="s">
        <v>1958</v>
      </c>
      <c r="J36" s="451">
        <v>28856</v>
      </c>
      <c r="K36" s="451"/>
      <c r="L36" s="451"/>
      <c r="M36" s="454">
        <v>0</v>
      </c>
      <c r="N36" s="454">
        <v>0</v>
      </c>
      <c r="O36" s="454">
        <v>0</v>
      </c>
      <c r="P36" s="454">
        <v>0</v>
      </c>
      <c r="Q36" s="454">
        <v>0</v>
      </c>
      <c r="R36" s="454">
        <v>0</v>
      </c>
      <c r="S36" s="454"/>
      <c r="T36" s="454"/>
      <c r="U36" s="454"/>
      <c r="V36" s="454"/>
      <c r="W36" s="454"/>
      <c r="X36" s="454"/>
      <c r="Y36" s="454">
        <f t="shared" si="1"/>
        <v>0</v>
      </c>
      <c r="Z36" s="454">
        <v>1000</v>
      </c>
      <c r="AA36" s="451">
        <v>8</v>
      </c>
      <c r="AB36" s="587">
        <v>44252</v>
      </c>
      <c r="AC36" s="587">
        <v>44292</v>
      </c>
      <c r="AD36" s="454"/>
      <c r="AE36" s="451"/>
      <c r="AF36" s="587"/>
      <c r="AG36" s="587"/>
      <c r="AH36" s="454"/>
      <c r="AI36" s="451"/>
      <c r="AJ36" s="587"/>
      <c r="AK36" s="587"/>
      <c r="AL36" s="454"/>
      <c r="AM36" s="451"/>
      <c r="AN36" s="587"/>
      <c r="AO36" s="587"/>
      <c r="AP36" s="454"/>
      <c r="AQ36" s="451"/>
      <c r="AR36" s="588"/>
      <c r="AS36" s="588"/>
      <c r="AT36" s="154">
        <f t="shared" si="2"/>
        <v>1000</v>
      </c>
      <c r="AU36" s="461">
        <f t="shared" si="0"/>
        <v>1000</v>
      </c>
    </row>
    <row r="37" spans="2:47" s="148" customFormat="1" ht="22.5" x14ac:dyDescent="0.25">
      <c r="B37" s="149">
        <v>22</v>
      </c>
      <c r="C37" s="149" t="s">
        <v>38</v>
      </c>
      <c r="D37" s="450">
        <v>30102523</v>
      </c>
      <c r="E37" s="451" t="s">
        <v>2140</v>
      </c>
      <c r="F37" s="451" t="s">
        <v>200</v>
      </c>
      <c r="G37" s="452" t="s">
        <v>2100</v>
      </c>
      <c r="H37" s="451" t="s">
        <v>2141</v>
      </c>
      <c r="I37" s="451" t="s">
        <v>1958</v>
      </c>
      <c r="J37" s="451">
        <v>73867</v>
      </c>
      <c r="K37" s="451"/>
      <c r="L37" s="451"/>
      <c r="M37" s="454">
        <v>0</v>
      </c>
      <c r="N37" s="454">
        <v>0</v>
      </c>
      <c r="O37" s="454">
        <v>0</v>
      </c>
      <c r="P37" s="454">
        <v>0</v>
      </c>
      <c r="Q37" s="454">
        <v>0</v>
      </c>
      <c r="R37" s="454">
        <v>0</v>
      </c>
      <c r="S37" s="454"/>
      <c r="T37" s="454"/>
      <c r="U37" s="454"/>
      <c r="V37" s="454"/>
      <c r="W37" s="454"/>
      <c r="X37" s="454"/>
      <c r="Y37" s="454">
        <f t="shared" si="1"/>
        <v>0</v>
      </c>
      <c r="Z37" s="454">
        <v>1000</v>
      </c>
      <c r="AA37" s="451">
        <v>4</v>
      </c>
      <c r="AB37" s="587">
        <v>44221</v>
      </c>
      <c r="AC37" s="587">
        <v>44280</v>
      </c>
      <c r="AD37" s="454">
        <v>28995</v>
      </c>
      <c r="AE37" s="451">
        <v>10</v>
      </c>
      <c r="AF37" s="587">
        <v>44286</v>
      </c>
      <c r="AG37" s="587">
        <v>44306</v>
      </c>
      <c r="AH37" s="454"/>
      <c r="AI37" s="451"/>
      <c r="AJ37" s="587"/>
      <c r="AK37" s="587"/>
      <c r="AL37" s="454"/>
      <c r="AM37" s="451"/>
      <c r="AN37" s="587"/>
      <c r="AO37" s="587"/>
      <c r="AP37" s="454"/>
      <c r="AQ37" s="451"/>
      <c r="AR37" s="588"/>
      <c r="AS37" s="588"/>
      <c r="AT37" s="154">
        <f t="shared" si="2"/>
        <v>29995</v>
      </c>
      <c r="AU37" s="461">
        <f t="shared" si="0"/>
        <v>29995</v>
      </c>
    </row>
    <row r="38" spans="2:47" s="148" customFormat="1" ht="22.5" x14ac:dyDescent="0.25">
      <c r="B38" s="149">
        <v>23</v>
      </c>
      <c r="C38" s="149" t="s">
        <v>38</v>
      </c>
      <c r="D38" s="450">
        <v>30102581</v>
      </c>
      <c r="E38" s="451" t="s">
        <v>2142</v>
      </c>
      <c r="F38" s="451" t="s">
        <v>200</v>
      </c>
      <c r="G38" s="452" t="s">
        <v>2100</v>
      </c>
      <c r="H38" s="451" t="s">
        <v>2143</v>
      </c>
      <c r="I38" s="451" t="s">
        <v>1958</v>
      </c>
      <c r="J38" s="451">
        <v>36685</v>
      </c>
      <c r="K38" s="451"/>
      <c r="L38" s="451"/>
      <c r="M38" s="454">
        <v>0</v>
      </c>
      <c r="N38" s="454">
        <v>0</v>
      </c>
      <c r="O38" s="454">
        <v>0</v>
      </c>
      <c r="P38" s="454">
        <v>0</v>
      </c>
      <c r="Q38" s="454">
        <v>0</v>
      </c>
      <c r="R38" s="454">
        <v>0</v>
      </c>
      <c r="S38" s="454"/>
      <c r="T38" s="454"/>
      <c r="U38" s="454"/>
      <c r="V38" s="454"/>
      <c r="W38" s="454"/>
      <c r="X38" s="454"/>
      <c r="Y38" s="454">
        <f t="shared" si="1"/>
        <v>0</v>
      </c>
      <c r="Z38" s="454">
        <v>1000</v>
      </c>
      <c r="AA38" s="451">
        <v>8</v>
      </c>
      <c r="AB38" s="587">
        <v>44252</v>
      </c>
      <c r="AC38" s="587">
        <v>44292</v>
      </c>
      <c r="AD38" s="454"/>
      <c r="AE38" s="451"/>
      <c r="AF38" s="587"/>
      <c r="AG38" s="587"/>
      <c r="AH38" s="454"/>
      <c r="AI38" s="451"/>
      <c r="AJ38" s="587"/>
      <c r="AK38" s="587"/>
      <c r="AL38" s="454"/>
      <c r="AM38" s="451"/>
      <c r="AN38" s="587"/>
      <c r="AO38" s="587"/>
      <c r="AP38" s="454"/>
      <c r="AQ38" s="451"/>
      <c r="AR38" s="588"/>
      <c r="AS38" s="588"/>
      <c r="AT38" s="154">
        <f t="shared" si="2"/>
        <v>1000</v>
      </c>
      <c r="AU38" s="461">
        <f t="shared" si="0"/>
        <v>1000</v>
      </c>
    </row>
    <row r="39" spans="2:47" s="148" customFormat="1" ht="22.5" x14ac:dyDescent="0.25">
      <c r="B39" s="149">
        <v>24</v>
      </c>
      <c r="C39" s="149" t="s">
        <v>38</v>
      </c>
      <c r="D39" s="450">
        <v>30102654</v>
      </c>
      <c r="E39" s="451" t="s">
        <v>2144</v>
      </c>
      <c r="F39" s="451" t="s">
        <v>200</v>
      </c>
      <c r="G39" s="452" t="s">
        <v>2100</v>
      </c>
      <c r="H39" s="451" t="s">
        <v>2143</v>
      </c>
      <c r="I39" s="451" t="s">
        <v>1958</v>
      </c>
      <c r="J39" s="451">
        <v>5120</v>
      </c>
      <c r="K39" s="451"/>
      <c r="L39" s="451"/>
      <c r="M39" s="454">
        <v>0</v>
      </c>
      <c r="N39" s="454">
        <v>0</v>
      </c>
      <c r="O39" s="454">
        <v>0</v>
      </c>
      <c r="P39" s="454">
        <v>0</v>
      </c>
      <c r="Q39" s="454">
        <v>0</v>
      </c>
      <c r="R39" s="454">
        <v>0</v>
      </c>
      <c r="S39" s="454"/>
      <c r="T39" s="454"/>
      <c r="U39" s="454"/>
      <c r="V39" s="454"/>
      <c r="W39" s="454"/>
      <c r="X39" s="454"/>
      <c r="Y39" s="454">
        <f t="shared" si="1"/>
        <v>0</v>
      </c>
      <c r="Z39" s="454">
        <v>1000</v>
      </c>
      <c r="AA39" s="451">
        <v>4</v>
      </c>
      <c r="AB39" s="587">
        <v>44221</v>
      </c>
      <c r="AC39" s="587">
        <v>44280</v>
      </c>
      <c r="AD39" s="454"/>
      <c r="AE39" s="451"/>
      <c r="AF39" s="587"/>
      <c r="AG39" s="587"/>
      <c r="AH39" s="454"/>
      <c r="AI39" s="451"/>
      <c r="AJ39" s="587"/>
      <c r="AK39" s="587"/>
      <c r="AL39" s="454"/>
      <c r="AM39" s="451"/>
      <c r="AN39" s="587"/>
      <c r="AO39" s="587"/>
      <c r="AP39" s="454"/>
      <c r="AQ39" s="451"/>
      <c r="AR39" s="588"/>
      <c r="AS39" s="588"/>
      <c r="AT39" s="154">
        <f t="shared" si="2"/>
        <v>1000</v>
      </c>
      <c r="AU39" s="461">
        <f t="shared" si="0"/>
        <v>1000</v>
      </c>
    </row>
    <row r="40" spans="2:47" s="148" customFormat="1" ht="33.75" x14ac:dyDescent="0.25">
      <c r="B40" s="149">
        <v>25</v>
      </c>
      <c r="C40" s="149" t="s">
        <v>38</v>
      </c>
      <c r="D40" s="450">
        <v>30102677</v>
      </c>
      <c r="E40" s="451" t="s">
        <v>2145</v>
      </c>
      <c r="F40" s="451" t="s">
        <v>200</v>
      </c>
      <c r="G40" s="452" t="s">
        <v>2100</v>
      </c>
      <c r="H40" s="451" t="s">
        <v>2115</v>
      </c>
      <c r="I40" s="451" t="s">
        <v>1958</v>
      </c>
      <c r="J40" s="451">
        <v>134741</v>
      </c>
      <c r="K40" s="451"/>
      <c r="L40" s="451"/>
      <c r="M40" s="454">
        <v>0</v>
      </c>
      <c r="N40" s="454">
        <v>0</v>
      </c>
      <c r="O40" s="454">
        <v>0</v>
      </c>
      <c r="P40" s="454">
        <v>0</v>
      </c>
      <c r="Q40" s="454">
        <v>0</v>
      </c>
      <c r="R40" s="454">
        <v>0</v>
      </c>
      <c r="S40" s="454"/>
      <c r="T40" s="454"/>
      <c r="U40" s="454"/>
      <c r="V40" s="454"/>
      <c r="W40" s="454"/>
      <c r="X40" s="454"/>
      <c r="Y40" s="454">
        <f t="shared" si="1"/>
        <v>0</v>
      </c>
      <c r="Z40" s="454">
        <v>1000</v>
      </c>
      <c r="AA40" s="451">
        <v>4</v>
      </c>
      <c r="AB40" s="587">
        <v>44221</v>
      </c>
      <c r="AC40" s="587">
        <v>44280</v>
      </c>
      <c r="AD40" s="454"/>
      <c r="AE40" s="451"/>
      <c r="AF40" s="587"/>
      <c r="AG40" s="587"/>
      <c r="AH40" s="454"/>
      <c r="AI40" s="451"/>
      <c r="AJ40" s="587"/>
      <c r="AK40" s="587"/>
      <c r="AL40" s="454"/>
      <c r="AM40" s="451"/>
      <c r="AN40" s="587"/>
      <c r="AO40" s="587"/>
      <c r="AP40" s="454"/>
      <c r="AQ40" s="451"/>
      <c r="AR40" s="588"/>
      <c r="AS40" s="588"/>
      <c r="AT40" s="154">
        <f t="shared" si="2"/>
        <v>1000</v>
      </c>
      <c r="AU40" s="461">
        <f t="shared" si="0"/>
        <v>1000</v>
      </c>
    </row>
    <row r="41" spans="2:47" s="148" customFormat="1" ht="22.5" x14ac:dyDescent="0.25">
      <c r="B41" s="149">
        <v>26</v>
      </c>
      <c r="C41" s="149" t="s">
        <v>38</v>
      </c>
      <c r="D41" s="450">
        <v>30102818</v>
      </c>
      <c r="E41" s="451" t="s">
        <v>2146</v>
      </c>
      <c r="F41" s="451" t="s">
        <v>200</v>
      </c>
      <c r="G41" s="452" t="s">
        <v>2100</v>
      </c>
      <c r="H41" s="451" t="s">
        <v>2147</v>
      </c>
      <c r="I41" s="451" t="s">
        <v>1958</v>
      </c>
      <c r="J41" s="451">
        <v>545664</v>
      </c>
      <c r="K41" s="451"/>
      <c r="L41" s="451"/>
      <c r="M41" s="454">
        <v>0</v>
      </c>
      <c r="N41" s="454">
        <v>0</v>
      </c>
      <c r="O41" s="454">
        <v>0</v>
      </c>
      <c r="P41" s="454">
        <v>15955.077000000001</v>
      </c>
      <c r="Q41" s="454">
        <v>0</v>
      </c>
      <c r="R41" s="454">
        <v>38935.857000000004</v>
      </c>
      <c r="S41" s="454"/>
      <c r="T41" s="454"/>
      <c r="U41" s="454"/>
      <c r="V41" s="454"/>
      <c r="W41" s="454"/>
      <c r="X41" s="454"/>
      <c r="Y41" s="454">
        <f t="shared" si="1"/>
        <v>54890.934000000008</v>
      </c>
      <c r="Z41" s="454">
        <v>6199</v>
      </c>
      <c r="AA41" s="451">
        <v>8</v>
      </c>
      <c r="AB41" s="587">
        <v>44252</v>
      </c>
      <c r="AC41" s="587">
        <v>44292</v>
      </c>
      <c r="AD41" s="454">
        <v>12577</v>
      </c>
      <c r="AE41" s="451">
        <v>11</v>
      </c>
      <c r="AF41" s="587">
        <v>44299</v>
      </c>
      <c r="AG41" s="587">
        <v>44312</v>
      </c>
      <c r="AH41" s="454">
        <v>28000</v>
      </c>
      <c r="AI41" s="451">
        <v>14</v>
      </c>
      <c r="AJ41" s="587">
        <v>44313</v>
      </c>
      <c r="AK41" s="587">
        <v>44322</v>
      </c>
      <c r="AL41" s="454"/>
      <c r="AM41" s="451"/>
      <c r="AN41" s="587"/>
      <c r="AO41" s="587"/>
      <c r="AP41" s="454"/>
      <c r="AQ41" s="451"/>
      <c r="AR41" s="588"/>
      <c r="AS41" s="588"/>
      <c r="AT41" s="154">
        <f t="shared" si="2"/>
        <v>46776</v>
      </c>
      <c r="AU41" s="461">
        <f t="shared" si="0"/>
        <v>-8114.9340000000084</v>
      </c>
    </row>
    <row r="42" spans="2:47" s="148" customFormat="1" ht="22.5" x14ac:dyDescent="0.25">
      <c r="B42" s="149">
        <v>27</v>
      </c>
      <c r="C42" s="149" t="s">
        <v>38</v>
      </c>
      <c r="D42" s="450">
        <v>30102860</v>
      </c>
      <c r="E42" s="451" t="s">
        <v>2148</v>
      </c>
      <c r="F42" s="451" t="s">
        <v>200</v>
      </c>
      <c r="G42" s="452" t="s">
        <v>2100</v>
      </c>
      <c r="H42" s="451" t="s">
        <v>2149</v>
      </c>
      <c r="I42" s="451" t="s">
        <v>1958</v>
      </c>
      <c r="J42" s="451">
        <v>85907</v>
      </c>
      <c r="K42" s="451"/>
      <c r="L42" s="451"/>
      <c r="M42" s="454">
        <v>0</v>
      </c>
      <c r="N42" s="454">
        <v>0</v>
      </c>
      <c r="O42" s="454">
        <v>0</v>
      </c>
      <c r="P42" s="454">
        <v>80514.608999999997</v>
      </c>
      <c r="Q42" s="454">
        <v>0</v>
      </c>
      <c r="R42" s="454">
        <v>0</v>
      </c>
      <c r="S42" s="454"/>
      <c r="T42" s="454"/>
      <c r="U42" s="454"/>
      <c r="V42" s="454"/>
      <c r="W42" s="454"/>
      <c r="X42" s="454"/>
      <c r="Y42" s="454">
        <f t="shared" si="1"/>
        <v>80514.608999999997</v>
      </c>
      <c r="Z42" s="454">
        <v>85907</v>
      </c>
      <c r="AA42" s="451">
        <v>4</v>
      </c>
      <c r="AB42" s="587">
        <v>44221</v>
      </c>
      <c r="AC42" s="587">
        <v>44280</v>
      </c>
      <c r="AD42" s="454"/>
      <c r="AE42" s="451"/>
      <c r="AF42" s="587"/>
      <c r="AG42" s="587"/>
      <c r="AH42" s="454"/>
      <c r="AI42" s="451"/>
      <c r="AJ42" s="587"/>
      <c r="AK42" s="587"/>
      <c r="AL42" s="454"/>
      <c r="AM42" s="451"/>
      <c r="AN42" s="587"/>
      <c r="AO42" s="587"/>
      <c r="AP42" s="454"/>
      <c r="AQ42" s="451"/>
      <c r="AR42" s="588"/>
      <c r="AS42" s="588"/>
      <c r="AT42" s="154">
        <f t="shared" si="2"/>
        <v>85907</v>
      </c>
      <c r="AU42" s="461">
        <f t="shared" si="0"/>
        <v>5392.3910000000033</v>
      </c>
    </row>
    <row r="43" spans="2:47" s="148" customFormat="1" ht="22.5" x14ac:dyDescent="0.25">
      <c r="B43" s="149">
        <v>28</v>
      </c>
      <c r="C43" s="149" t="s">
        <v>38</v>
      </c>
      <c r="D43" s="450">
        <v>30102927</v>
      </c>
      <c r="E43" s="451" t="s">
        <v>2150</v>
      </c>
      <c r="F43" s="451" t="s">
        <v>200</v>
      </c>
      <c r="G43" s="452" t="s">
        <v>2100</v>
      </c>
      <c r="H43" s="451" t="s">
        <v>2151</v>
      </c>
      <c r="I43" s="451" t="s">
        <v>1958</v>
      </c>
      <c r="J43" s="451">
        <v>1604747</v>
      </c>
      <c r="K43" s="451"/>
      <c r="L43" s="451"/>
      <c r="M43" s="454">
        <v>0</v>
      </c>
      <c r="N43" s="454">
        <v>83455.074999999997</v>
      </c>
      <c r="O43" s="454">
        <v>74067.608999999997</v>
      </c>
      <c r="P43" s="454">
        <v>58192.646000000001</v>
      </c>
      <c r="Q43" s="454">
        <v>268562.21000000002</v>
      </c>
      <c r="R43" s="454">
        <v>430359.99900000001</v>
      </c>
      <c r="S43" s="454"/>
      <c r="T43" s="454"/>
      <c r="U43" s="454"/>
      <c r="V43" s="454"/>
      <c r="W43" s="454"/>
      <c r="X43" s="454"/>
      <c r="Y43" s="454">
        <f t="shared" si="1"/>
        <v>914637.53900000011</v>
      </c>
      <c r="Z43" s="454">
        <v>1000</v>
      </c>
      <c r="AA43" s="451">
        <v>1</v>
      </c>
      <c r="AB43" s="587">
        <v>44207</v>
      </c>
      <c r="AC43" s="587">
        <v>44249</v>
      </c>
      <c r="AD43" s="454">
        <v>293000</v>
      </c>
      <c r="AE43" s="451">
        <v>8</v>
      </c>
      <c r="AF43" s="587">
        <v>44252</v>
      </c>
      <c r="AG43" s="587">
        <v>44292</v>
      </c>
      <c r="AH43" s="454">
        <v>35000</v>
      </c>
      <c r="AI43" s="451">
        <v>10</v>
      </c>
      <c r="AJ43" s="587">
        <v>44286</v>
      </c>
      <c r="AK43" s="587">
        <v>44306</v>
      </c>
      <c r="AL43" s="454">
        <v>400000</v>
      </c>
      <c r="AM43" s="451">
        <v>23</v>
      </c>
      <c r="AN43" s="587">
        <v>44340</v>
      </c>
      <c r="AO43" s="587">
        <v>44350</v>
      </c>
      <c r="AP43" s="454">
        <v>0</v>
      </c>
      <c r="AQ43" s="451">
        <v>0</v>
      </c>
      <c r="AR43" s="588"/>
      <c r="AS43" s="588"/>
      <c r="AT43" s="154">
        <f t="shared" si="2"/>
        <v>729000</v>
      </c>
      <c r="AU43" s="461">
        <f t="shared" si="0"/>
        <v>-185637.53900000011</v>
      </c>
    </row>
    <row r="44" spans="2:47" s="148" customFormat="1" ht="22.5" x14ac:dyDescent="0.25">
      <c r="B44" s="149">
        <v>29</v>
      </c>
      <c r="C44" s="149" t="s">
        <v>38</v>
      </c>
      <c r="D44" s="450">
        <v>30105687</v>
      </c>
      <c r="E44" s="451" t="s">
        <v>2152</v>
      </c>
      <c r="F44" s="451" t="s">
        <v>200</v>
      </c>
      <c r="G44" s="452" t="s">
        <v>2100</v>
      </c>
      <c r="H44" s="451" t="s">
        <v>2101</v>
      </c>
      <c r="I44" s="451" t="s">
        <v>1958</v>
      </c>
      <c r="J44" s="451">
        <v>362567</v>
      </c>
      <c r="K44" s="451"/>
      <c r="L44" s="451"/>
      <c r="M44" s="454">
        <v>0</v>
      </c>
      <c r="N44" s="454">
        <v>0</v>
      </c>
      <c r="O44" s="454">
        <v>0</v>
      </c>
      <c r="P44" s="454">
        <v>0</v>
      </c>
      <c r="Q44" s="454">
        <v>0</v>
      </c>
      <c r="R44" s="454">
        <v>0</v>
      </c>
      <c r="S44" s="454"/>
      <c r="T44" s="454"/>
      <c r="U44" s="454"/>
      <c r="V44" s="454"/>
      <c r="W44" s="454"/>
      <c r="X44" s="454"/>
      <c r="Y44" s="454">
        <f t="shared" si="1"/>
        <v>0</v>
      </c>
      <c r="Z44" s="454">
        <v>1000</v>
      </c>
      <c r="AA44" s="451">
        <v>1</v>
      </c>
      <c r="AB44" s="587">
        <v>44207</v>
      </c>
      <c r="AC44" s="587">
        <v>44249</v>
      </c>
      <c r="AD44" s="454"/>
      <c r="AE44" s="451"/>
      <c r="AF44" s="587"/>
      <c r="AG44" s="587"/>
      <c r="AH44" s="454"/>
      <c r="AI44" s="451"/>
      <c r="AJ44" s="587"/>
      <c r="AK44" s="587"/>
      <c r="AL44" s="454"/>
      <c r="AM44" s="451"/>
      <c r="AN44" s="587"/>
      <c r="AO44" s="587"/>
      <c r="AP44" s="454"/>
      <c r="AQ44" s="451"/>
      <c r="AR44" s="588"/>
      <c r="AS44" s="588"/>
      <c r="AT44" s="154">
        <f t="shared" si="2"/>
        <v>1000</v>
      </c>
      <c r="AU44" s="461">
        <f t="shared" si="0"/>
        <v>1000</v>
      </c>
    </row>
    <row r="45" spans="2:47" s="148" customFormat="1" ht="22.5" x14ac:dyDescent="0.25">
      <c r="B45" s="149">
        <v>30</v>
      </c>
      <c r="C45" s="149" t="s">
        <v>38</v>
      </c>
      <c r="D45" s="450">
        <v>30106557</v>
      </c>
      <c r="E45" s="451" t="s">
        <v>2153</v>
      </c>
      <c r="F45" s="451" t="s">
        <v>200</v>
      </c>
      <c r="G45" s="452" t="s">
        <v>2100</v>
      </c>
      <c r="H45" s="451" t="s">
        <v>2154</v>
      </c>
      <c r="I45" s="451" t="s">
        <v>1958</v>
      </c>
      <c r="J45" s="451">
        <v>5217798</v>
      </c>
      <c r="K45" s="451"/>
      <c r="L45" s="451"/>
      <c r="M45" s="454">
        <v>0</v>
      </c>
      <c r="N45" s="454">
        <v>0</v>
      </c>
      <c r="O45" s="454">
        <v>349523.45299999998</v>
      </c>
      <c r="P45" s="454">
        <v>699046.90599999996</v>
      </c>
      <c r="Q45" s="454">
        <v>604534.56799999997</v>
      </c>
      <c r="R45" s="454">
        <v>0</v>
      </c>
      <c r="S45" s="454"/>
      <c r="T45" s="454"/>
      <c r="U45" s="454"/>
      <c r="V45" s="454"/>
      <c r="W45" s="454"/>
      <c r="X45" s="454"/>
      <c r="Y45" s="454">
        <f t="shared" si="1"/>
        <v>1653104.9269999999</v>
      </c>
      <c r="Z45" s="454">
        <v>1000</v>
      </c>
      <c r="AA45" s="451">
        <v>8</v>
      </c>
      <c r="AB45" s="587">
        <v>44252</v>
      </c>
      <c r="AC45" s="587">
        <v>44292</v>
      </c>
      <c r="AD45" s="454">
        <v>1200000</v>
      </c>
      <c r="AE45" s="451">
        <v>10</v>
      </c>
      <c r="AF45" s="587">
        <v>44286</v>
      </c>
      <c r="AG45" s="587">
        <v>44306</v>
      </c>
      <c r="AH45" s="454">
        <v>1100000</v>
      </c>
      <c r="AI45" s="451">
        <v>23</v>
      </c>
      <c r="AJ45" s="587">
        <v>44340</v>
      </c>
      <c r="AK45" s="587">
        <v>44350</v>
      </c>
      <c r="AL45" s="454">
        <v>0</v>
      </c>
      <c r="AM45" s="451">
        <v>0</v>
      </c>
      <c r="AN45" s="587"/>
      <c r="AO45" s="587"/>
      <c r="AP45" s="454"/>
      <c r="AQ45" s="451"/>
      <c r="AR45" s="588"/>
      <c r="AS45" s="588"/>
      <c r="AT45" s="154">
        <f t="shared" si="2"/>
        <v>2301000</v>
      </c>
      <c r="AU45" s="461">
        <f t="shared" si="0"/>
        <v>647895.07300000009</v>
      </c>
    </row>
    <row r="46" spans="2:47" s="148" customFormat="1" ht="33.75" x14ac:dyDescent="0.25">
      <c r="B46" s="149">
        <v>31</v>
      </c>
      <c r="C46" s="149" t="s">
        <v>38</v>
      </c>
      <c r="D46" s="450">
        <v>30107242</v>
      </c>
      <c r="E46" s="451" t="s">
        <v>2155</v>
      </c>
      <c r="F46" s="451" t="s">
        <v>200</v>
      </c>
      <c r="G46" s="452" t="s">
        <v>2100</v>
      </c>
      <c r="H46" s="451" t="s">
        <v>2121</v>
      </c>
      <c r="I46" s="451" t="s">
        <v>1958</v>
      </c>
      <c r="J46" s="451">
        <v>19730</v>
      </c>
      <c r="K46" s="451"/>
      <c r="L46" s="451"/>
      <c r="M46" s="454">
        <v>14808.391</v>
      </c>
      <c r="N46" s="454">
        <v>0</v>
      </c>
      <c r="O46" s="454">
        <v>0</v>
      </c>
      <c r="P46" s="454">
        <v>0</v>
      </c>
      <c r="Q46" s="454">
        <v>0</v>
      </c>
      <c r="R46" s="454">
        <v>0</v>
      </c>
      <c r="S46" s="454"/>
      <c r="T46" s="454"/>
      <c r="U46" s="454"/>
      <c r="V46" s="454"/>
      <c r="W46" s="454"/>
      <c r="X46" s="454"/>
      <c r="Y46" s="454">
        <f t="shared" si="1"/>
        <v>14808.391</v>
      </c>
      <c r="Z46" s="454">
        <v>17295</v>
      </c>
      <c r="AA46" s="451">
        <v>4</v>
      </c>
      <c r="AB46" s="587">
        <v>44221</v>
      </c>
      <c r="AC46" s="587">
        <v>44280</v>
      </c>
      <c r="AD46" s="454"/>
      <c r="AE46" s="451"/>
      <c r="AF46" s="587"/>
      <c r="AG46" s="587"/>
      <c r="AH46" s="454"/>
      <c r="AI46" s="451"/>
      <c r="AJ46" s="587"/>
      <c r="AK46" s="587"/>
      <c r="AL46" s="454"/>
      <c r="AM46" s="451"/>
      <c r="AN46" s="587"/>
      <c r="AO46" s="587"/>
      <c r="AP46" s="454"/>
      <c r="AQ46" s="451"/>
      <c r="AR46" s="588"/>
      <c r="AS46" s="588"/>
      <c r="AT46" s="154">
        <f t="shared" si="2"/>
        <v>17295</v>
      </c>
      <c r="AU46" s="461">
        <f t="shared" si="0"/>
        <v>2486.6090000000004</v>
      </c>
    </row>
    <row r="47" spans="2:47" s="148" customFormat="1" ht="22.5" x14ac:dyDescent="0.25">
      <c r="B47" s="149">
        <v>32</v>
      </c>
      <c r="C47" s="149" t="s">
        <v>38</v>
      </c>
      <c r="D47" s="450">
        <v>30109118</v>
      </c>
      <c r="E47" s="451" t="s">
        <v>2156</v>
      </c>
      <c r="F47" s="451" t="s">
        <v>200</v>
      </c>
      <c r="G47" s="452" t="s">
        <v>2100</v>
      </c>
      <c r="H47" s="451" t="s">
        <v>2103</v>
      </c>
      <c r="I47" s="451" t="s">
        <v>1958</v>
      </c>
      <c r="J47" s="451">
        <v>3618316</v>
      </c>
      <c r="K47" s="451"/>
      <c r="L47" s="451"/>
      <c r="M47" s="454">
        <v>0</v>
      </c>
      <c r="N47" s="454">
        <v>0</v>
      </c>
      <c r="O47" s="454">
        <v>0</v>
      </c>
      <c r="P47" s="454">
        <v>0</v>
      </c>
      <c r="Q47" s="454">
        <v>0</v>
      </c>
      <c r="R47" s="454">
        <v>0</v>
      </c>
      <c r="S47" s="454"/>
      <c r="T47" s="454"/>
      <c r="U47" s="454"/>
      <c r="V47" s="454"/>
      <c r="W47" s="454"/>
      <c r="X47" s="454"/>
      <c r="Y47" s="454">
        <f t="shared" si="1"/>
        <v>0</v>
      </c>
      <c r="Z47" s="454">
        <v>1000</v>
      </c>
      <c r="AA47" s="451">
        <v>1</v>
      </c>
      <c r="AB47" s="587">
        <v>44207</v>
      </c>
      <c r="AC47" s="587">
        <v>44249</v>
      </c>
      <c r="AD47" s="454"/>
      <c r="AE47" s="451"/>
      <c r="AF47" s="587"/>
      <c r="AG47" s="587"/>
      <c r="AH47" s="454"/>
      <c r="AI47" s="451"/>
      <c r="AJ47" s="587"/>
      <c r="AK47" s="587"/>
      <c r="AL47" s="454"/>
      <c r="AM47" s="451"/>
      <c r="AN47" s="587"/>
      <c r="AO47" s="587"/>
      <c r="AP47" s="454"/>
      <c r="AQ47" s="451"/>
      <c r="AR47" s="588"/>
      <c r="AS47" s="588"/>
      <c r="AT47" s="154">
        <f t="shared" si="2"/>
        <v>1000</v>
      </c>
      <c r="AU47" s="461">
        <f t="shared" si="0"/>
        <v>1000</v>
      </c>
    </row>
    <row r="48" spans="2:47" s="148" customFormat="1" ht="22.5" x14ac:dyDescent="0.25">
      <c r="B48" s="149">
        <v>33</v>
      </c>
      <c r="C48" s="149" t="s">
        <v>38</v>
      </c>
      <c r="D48" s="450">
        <v>30109635</v>
      </c>
      <c r="E48" s="451" t="s">
        <v>2157</v>
      </c>
      <c r="F48" s="451" t="s">
        <v>200</v>
      </c>
      <c r="G48" s="452" t="s">
        <v>2100</v>
      </c>
      <c r="H48" s="451" t="s">
        <v>2158</v>
      </c>
      <c r="I48" s="451" t="s">
        <v>1958</v>
      </c>
      <c r="J48" s="451">
        <v>161736</v>
      </c>
      <c r="K48" s="451"/>
      <c r="L48" s="451"/>
      <c r="M48" s="454">
        <v>0</v>
      </c>
      <c r="N48" s="454">
        <v>0</v>
      </c>
      <c r="O48" s="454">
        <v>0</v>
      </c>
      <c r="P48" s="454">
        <v>0</v>
      </c>
      <c r="Q48" s="454">
        <v>0</v>
      </c>
      <c r="R48" s="454">
        <v>0</v>
      </c>
      <c r="S48" s="454"/>
      <c r="T48" s="454"/>
      <c r="U48" s="454"/>
      <c r="V48" s="454"/>
      <c r="W48" s="454"/>
      <c r="X48" s="454"/>
      <c r="Y48" s="454">
        <f t="shared" si="1"/>
        <v>0</v>
      </c>
      <c r="Z48" s="454">
        <v>1000</v>
      </c>
      <c r="AA48" s="451">
        <v>1</v>
      </c>
      <c r="AB48" s="587">
        <v>44207</v>
      </c>
      <c r="AC48" s="587">
        <v>44249</v>
      </c>
      <c r="AD48" s="454"/>
      <c r="AE48" s="451"/>
      <c r="AF48" s="587"/>
      <c r="AG48" s="587"/>
      <c r="AH48" s="454"/>
      <c r="AI48" s="451"/>
      <c r="AJ48" s="587"/>
      <c r="AK48" s="587"/>
      <c r="AL48" s="454"/>
      <c r="AM48" s="451"/>
      <c r="AN48" s="587"/>
      <c r="AO48" s="587"/>
      <c r="AP48" s="454"/>
      <c r="AQ48" s="451"/>
      <c r="AR48" s="588"/>
      <c r="AS48" s="588"/>
      <c r="AT48" s="154">
        <f t="shared" si="2"/>
        <v>1000</v>
      </c>
      <c r="AU48" s="461">
        <f t="shared" si="0"/>
        <v>1000</v>
      </c>
    </row>
    <row r="49" spans="2:47" s="148" customFormat="1" ht="22.5" x14ac:dyDescent="0.25">
      <c r="B49" s="149">
        <v>34</v>
      </c>
      <c r="C49" s="149" t="s">
        <v>38</v>
      </c>
      <c r="D49" s="450">
        <v>30110669</v>
      </c>
      <c r="E49" s="451" t="s">
        <v>2159</v>
      </c>
      <c r="F49" s="451" t="s">
        <v>200</v>
      </c>
      <c r="G49" s="452" t="s">
        <v>2100</v>
      </c>
      <c r="H49" s="451" t="s">
        <v>2160</v>
      </c>
      <c r="I49" s="451" t="s">
        <v>1958</v>
      </c>
      <c r="J49" s="451">
        <v>46066</v>
      </c>
      <c r="K49" s="451"/>
      <c r="L49" s="451"/>
      <c r="M49" s="454">
        <v>0</v>
      </c>
      <c r="N49" s="454">
        <v>0</v>
      </c>
      <c r="O49" s="454">
        <v>0</v>
      </c>
      <c r="P49" s="454">
        <v>19441.454000000002</v>
      </c>
      <c r="Q49" s="454">
        <v>0</v>
      </c>
      <c r="R49" s="454">
        <v>0</v>
      </c>
      <c r="S49" s="454"/>
      <c r="T49" s="454"/>
      <c r="U49" s="454"/>
      <c r="V49" s="454"/>
      <c r="W49" s="454"/>
      <c r="X49" s="454"/>
      <c r="Y49" s="454">
        <f t="shared" si="1"/>
        <v>19441.454000000002</v>
      </c>
      <c r="Z49" s="454">
        <v>1000</v>
      </c>
      <c r="AA49" s="451">
        <v>8</v>
      </c>
      <c r="AB49" s="587">
        <v>44252</v>
      </c>
      <c r="AC49" s="587">
        <v>44292</v>
      </c>
      <c r="AD49" s="454">
        <v>12000</v>
      </c>
      <c r="AE49" s="451">
        <v>11</v>
      </c>
      <c r="AF49" s="587">
        <v>44299</v>
      </c>
      <c r="AG49" s="587">
        <v>44312</v>
      </c>
      <c r="AH49" s="454">
        <v>19432</v>
      </c>
      <c r="AI49" s="451">
        <v>14</v>
      </c>
      <c r="AJ49" s="587">
        <v>44313</v>
      </c>
      <c r="AK49" s="587">
        <v>44322</v>
      </c>
      <c r="AL49" s="454">
        <v>0</v>
      </c>
      <c r="AM49" s="451">
        <v>0</v>
      </c>
      <c r="AN49" s="587"/>
      <c r="AO49" s="587"/>
      <c r="AP49" s="454"/>
      <c r="AQ49" s="451"/>
      <c r="AR49" s="588"/>
      <c r="AS49" s="588"/>
      <c r="AT49" s="154">
        <f t="shared" si="2"/>
        <v>32432</v>
      </c>
      <c r="AU49" s="461">
        <f t="shared" si="0"/>
        <v>12990.545999999998</v>
      </c>
    </row>
    <row r="50" spans="2:47" s="148" customFormat="1" ht="22.5" x14ac:dyDescent="0.25">
      <c r="B50" s="149">
        <v>35</v>
      </c>
      <c r="C50" s="149" t="s">
        <v>38</v>
      </c>
      <c r="D50" s="450">
        <v>30113181</v>
      </c>
      <c r="E50" s="451" t="s">
        <v>2161</v>
      </c>
      <c r="F50" s="451" t="s">
        <v>204</v>
      </c>
      <c r="G50" s="452" t="s">
        <v>2100</v>
      </c>
      <c r="H50" s="451" t="s">
        <v>2162</v>
      </c>
      <c r="I50" s="451" t="s">
        <v>1958</v>
      </c>
      <c r="J50" s="451">
        <v>25026</v>
      </c>
      <c r="K50" s="451"/>
      <c r="L50" s="451"/>
      <c r="M50" s="454">
        <v>0</v>
      </c>
      <c r="N50" s="454">
        <v>0</v>
      </c>
      <c r="O50" s="454">
        <v>0</v>
      </c>
      <c r="P50" s="454">
        <v>0</v>
      </c>
      <c r="Q50" s="454">
        <v>0</v>
      </c>
      <c r="R50" s="454">
        <v>0</v>
      </c>
      <c r="S50" s="454"/>
      <c r="T50" s="454"/>
      <c r="U50" s="454"/>
      <c r="V50" s="454"/>
      <c r="W50" s="454"/>
      <c r="X50" s="454"/>
      <c r="Y50" s="454">
        <f t="shared" si="1"/>
        <v>0</v>
      </c>
      <c r="Z50" s="454">
        <v>1000</v>
      </c>
      <c r="AA50" s="451">
        <v>8</v>
      </c>
      <c r="AB50" s="587">
        <v>44252</v>
      </c>
      <c r="AC50" s="587">
        <v>44292</v>
      </c>
      <c r="AD50" s="454"/>
      <c r="AE50" s="451"/>
      <c r="AF50" s="587"/>
      <c r="AG50" s="587"/>
      <c r="AH50" s="454"/>
      <c r="AI50" s="451"/>
      <c r="AJ50" s="587"/>
      <c r="AK50" s="587"/>
      <c r="AL50" s="454"/>
      <c r="AM50" s="451"/>
      <c r="AN50" s="587"/>
      <c r="AO50" s="587"/>
      <c r="AP50" s="454"/>
      <c r="AQ50" s="451"/>
      <c r="AR50" s="588"/>
      <c r="AS50" s="588"/>
      <c r="AT50" s="154">
        <f t="shared" si="2"/>
        <v>1000</v>
      </c>
      <c r="AU50" s="461">
        <f t="shared" si="0"/>
        <v>1000</v>
      </c>
    </row>
    <row r="51" spans="2:47" s="148" customFormat="1" ht="22.5" x14ac:dyDescent="0.25">
      <c r="B51" s="149">
        <v>36</v>
      </c>
      <c r="C51" s="149" t="s">
        <v>38</v>
      </c>
      <c r="D51" s="450">
        <v>30113459</v>
      </c>
      <c r="E51" s="451" t="s">
        <v>2163</v>
      </c>
      <c r="F51" s="451" t="s">
        <v>200</v>
      </c>
      <c r="G51" s="452" t="s">
        <v>2100</v>
      </c>
      <c r="H51" s="451" t="s">
        <v>2101</v>
      </c>
      <c r="I51" s="451" t="s">
        <v>1961</v>
      </c>
      <c r="J51" s="451">
        <v>472023</v>
      </c>
      <c r="K51" s="451"/>
      <c r="L51" s="451"/>
      <c r="M51" s="454">
        <v>0</v>
      </c>
      <c r="N51" s="454">
        <v>0</v>
      </c>
      <c r="O51" s="454">
        <v>0</v>
      </c>
      <c r="P51" s="454">
        <v>0</v>
      </c>
      <c r="Q51" s="454">
        <v>0</v>
      </c>
      <c r="R51" s="454">
        <v>0</v>
      </c>
      <c r="S51" s="454"/>
      <c r="T51" s="454"/>
      <c r="U51" s="454"/>
      <c r="V51" s="454"/>
      <c r="W51" s="454"/>
      <c r="X51" s="454"/>
      <c r="Y51" s="454">
        <f t="shared" si="1"/>
        <v>0</v>
      </c>
      <c r="Z51" s="454">
        <v>1000</v>
      </c>
      <c r="AA51" s="451">
        <v>1</v>
      </c>
      <c r="AB51" s="587">
        <v>44207</v>
      </c>
      <c r="AC51" s="587">
        <v>44249</v>
      </c>
      <c r="AD51" s="454"/>
      <c r="AE51" s="451"/>
      <c r="AF51" s="587"/>
      <c r="AG51" s="587"/>
      <c r="AH51" s="454"/>
      <c r="AI51" s="451"/>
      <c r="AJ51" s="587"/>
      <c r="AK51" s="587"/>
      <c r="AL51" s="454"/>
      <c r="AM51" s="451"/>
      <c r="AN51" s="587"/>
      <c r="AO51" s="587"/>
      <c r="AP51" s="454"/>
      <c r="AQ51" s="451"/>
      <c r="AR51" s="588"/>
      <c r="AS51" s="588"/>
      <c r="AT51" s="154">
        <f t="shared" si="2"/>
        <v>1000</v>
      </c>
      <c r="AU51" s="461">
        <f t="shared" si="0"/>
        <v>1000</v>
      </c>
    </row>
    <row r="52" spans="2:47" s="148" customFormat="1" ht="22.5" x14ac:dyDescent="0.25">
      <c r="B52" s="149">
        <v>37</v>
      </c>
      <c r="C52" s="149" t="s">
        <v>38</v>
      </c>
      <c r="D52" s="450">
        <v>30114624</v>
      </c>
      <c r="E52" s="451" t="s">
        <v>2164</v>
      </c>
      <c r="F52" s="451" t="s">
        <v>200</v>
      </c>
      <c r="G52" s="452" t="s">
        <v>2100</v>
      </c>
      <c r="H52" s="451" t="s">
        <v>2132</v>
      </c>
      <c r="I52" s="451" t="s">
        <v>1958</v>
      </c>
      <c r="J52" s="451">
        <v>70961</v>
      </c>
      <c r="K52" s="451"/>
      <c r="L52" s="451"/>
      <c r="M52" s="454">
        <v>45607.811999999998</v>
      </c>
      <c r="N52" s="454">
        <v>16646.585999999999</v>
      </c>
      <c r="O52" s="454">
        <v>0</v>
      </c>
      <c r="P52" s="454">
        <v>0</v>
      </c>
      <c r="Q52" s="454">
        <v>0</v>
      </c>
      <c r="R52" s="454">
        <v>0</v>
      </c>
      <c r="S52" s="454"/>
      <c r="T52" s="454"/>
      <c r="U52" s="454"/>
      <c r="V52" s="454"/>
      <c r="W52" s="454"/>
      <c r="X52" s="454"/>
      <c r="Y52" s="454">
        <f t="shared" si="1"/>
        <v>62254.398000000001</v>
      </c>
      <c r="Z52" s="454">
        <v>45607</v>
      </c>
      <c r="AA52" s="451">
        <v>4</v>
      </c>
      <c r="AB52" s="587">
        <v>44221</v>
      </c>
      <c r="AC52" s="587">
        <v>44280</v>
      </c>
      <c r="AD52" s="454">
        <v>16647</v>
      </c>
      <c r="AE52" s="451">
        <v>8</v>
      </c>
      <c r="AF52" s="587">
        <v>44252</v>
      </c>
      <c r="AG52" s="587">
        <v>44292</v>
      </c>
      <c r="AH52" s="454"/>
      <c r="AI52" s="451"/>
      <c r="AJ52" s="587"/>
      <c r="AK52" s="587"/>
      <c r="AL52" s="454"/>
      <c r="AM52" s="451"/>
      <c r="AN52" s="587"/>
      <c r="AO52" s="587"/>
      <c r="AP52" s="454"/>
      <c r="AQ52" s="451"/>
      <c r="AR52" s="588"/>
      <c r="AS52" s="588"/>
      <c r="AT52" s="154">
        <f t="shared" si="2"/>
        <v>62254</v>
      </c>
      <c r="AU52" s="461">
        <f t="shared" si="0"/>
        <v>-0.39800000000104774</v>
      </c>
    </row>
    <row r="53" spans="2:47" s="148" customFormat="1" ht="22.5" x14ac:dyDescent="0.25">
      <c r="B53" s="149">
        <v>38</v>
      </c>
      <c r="C53" s="149" t="s">
        <v>38</v>
      </c>
      <c r="D53" s="450">
        <v>30117533</v>
      </c>
      <c r="E53" s="451" t="s">
        <v>2165</v>
      </c>
      <c r="F53" s="451" t="s">
        <v>204</v>
      </c>
      <c r="G53" s="452" t="s">
        <v>2100</v>
      </c>
      <c r="H53" s="451" t="s">
        <v>2158</v>
      </c>
      <c r="I53" s="451" t="s">
        <v>1958</v>
      </c>
      <c r="J53" s="451">
        <v>13752</v>
      </c>
      <c r="K53" s="451"/>
      <c r="L53" s="451"/>
      <c r="M53" s="454">
        <v>0</v>
      </c>
      <c r="N53" s="454">
        <v>0</v>
      </c>
      <c r="O53" s="454">
        <v>0</v>
      </c>
      <c r="P53" s="454">
        <v>0</v>
      </c>
      <c r="Q53" s="454">
        <v>0</v>
      </c>
      <c r="R53" s="454">
        <v>0</v>
      </c>
      <c r="S53" s="454"/>
      <c r="T53" s="454"/>
      <c r="U53" s="454"/>
      <c r="V53" s="454"/>
      <c r="W53" s="454"/>
      <c r="X53" s="454"/>
      <c r="Y53" s="454">
        <f t="shared" si="1"/>
        <v>0</v>
      </c>
      <c r="Z53" s="454">
        <v>1000</v>
      </c>
      <c r="AA53" s="451">
        <v>8</v>
      </c>
      <c r="AB53" s="587">
        <v>44252</v>
      </c>
      <c r="AC53" s="587">
        <v>44292</v>
      </c>
      <c r="AD53" s="454"/>
      <c r="AE53" s="451"/>
      <c r="AF53" s="587"/>
      <c r="AG53" s="587"/>
      <c r="AH53" s="454"/>
      <c r="AI53" s="451"/>
      <c r="AJ53" s="587"/>
      <c r="AK53" s="587"/>
      <c r="AL53" s="454"/>
      <c r="AM53" s="451"/>
      <c r="AN53" s="587"/>
      <c r="AO53" s="587"/>
      <c r="AP53" s="454"/>
      <c r="AQ53" s="451"/>
      <c r="AR53" s="588"/>
      <c r="AS53" s="588"/>
      <c r="AT53" s="154">
        <f t="shared" si="2"/>
        <v>1000</v>
      </c>
      <c r="AU53" s="461">
        <f t="shared" si="0"/>
        <v>1000</v>
      </c>
    </row>
    <row r="54" spans="2:47" s="148" customFormat="1" ht="22.5" x14ac:dyDescent="0.25">
      <c r="B54" s="149">
        <v>39</v>
      </c>
      <c r="C54" s="149" t="s">
        <v>38</v>
      </c>
      <c r="D54" s="450">
        <v>30117624</v>
      </c>
      <c r="E54" s="451" t="s">
        <v>2166</v>
      </c>
      <c r="F54" s="451" t="s">
        <v>204</v>
      </c>
      <c r="G54" s="452" t="s">
        <v>2100</v>
      </c>
      <c r="H54" s="451" t="s">
        <v>2167</v>
      </c>
      <c r="I54" s="451" t="s">
        <v>1958</v>
      </c>
      <c r="J54" s="451">
        <v>30708</v>
      </c>
      <c r="K54" s="451"/>
      <c r="L54" s="451"/>
      <c r="M54" s="454">
        <v>0</v>
      </c>
      <c r="N54" s="454">
        <v>0</v>
      </c>
      <c r="O54" s="454">
        <v>0</v>
      </c>
      <c r="P54" s="454">
        <v>0</v>
      </c>
      <c r="Q54" s="454">
        <v>0</v>
      </c>
      <c r="R54" s="454">
        <v>0</v>
      </c>
      <c r="S54" s="454"/>
      <c r="T54" s="454"/>
      <c r="U54" s="454"/>
      <c r="V54" s="454"/>
      <c r="W54" s="454"/>
      <c r="X54" s="454"/>
      <c r="Y54" s="454">
        <f t="shared" si="1"/>
        <v>0</v>
      </c>
      <c r="Z54" s="454">
        <v>1000</v>
      </c>
      <c r="AA54" s="451">
        <v>1</v>
      </c>
      <c r="AB54" s="587">
        <v>44207</v>
      </c>
      <c r="AC54" s="587">
        <v>44249</v>
      </c>
      <c r="AD54" s="454"/>
      <c r="AE54" s="451"/>
      <c r="AF54" s="587"/>
      <c r="AG54" s="587"/>
      <c r="AH54" s="454"/>
      <c r="AI54" s="451"/>
      <c r="AJ54" s="587"/>
      <c r="AK54" s="587"/>
      <c r="AL54" s="454"/>
      <c r="AM54" s="451"/>
      <c r="AN54" s="587"/>
      <c r="AO54" s="587"/>
      <c r="AP54" s="454"/>
      <c r="AQ54" s="451"/>
      <c r="AR54" s="588"/>
      <c r="AS54" s="588"/>
      <c r="AT54" s="154">
        <f t="shared" si="2"/>
        <v>1000</v>
      </c>
      <c r="AU54" s="461">
        <f t="shared" si="0"/>
        <v>1000</v>
      </c>
    </row>
    <row r="55" spans="2:47" s="148" customFormat="1" ht="22.5" x14ac:dyDescent="0.25">
      <c r="B55" s="149">
        <v>40</v>
      </c>
      <c r="C55" s="149" t="s">
        <v>38</v>
      </c>
      <c r="D55" s="450">
        <v>30121518</v>
      </c>
      <c r="E55" s="451" t="s">
        <v>2168</v>
      </c>
      <c r="F55" s="451" t="s">
        <v>200</v>
      </c>
      <c r="G55" s="452" t="s">
        <v>2100</v>
      </c>
      <c r="H55" s="451" t="s">
        <v>2151</v>
      </c>
      <c r="I55" s="451" t="s">
        <v>1958</v>
      </c>
      <c r="J55" s="451">
        <v>2737277</v>
      </c>
      <c r="K55" s="451"/>
      <c r="L55" s="451"/>
      <c r="M55" s="454">
        <v>106214.11199999999</v>
      </c>
      <c r="N55" s="454">
        <v>272464.93300000002</v>
      </c>
      <c r="O55" s="454">
        <v>0</v>
      </c>
      <c r="P55" s="454">
        <v>141325.80100000001</v>
      </c>
      <c r="Q55" s="454">
        <v>0</v>
      </c>
      <c r="R55" s="454">
        <v>149064.204</v>
      </c>
      <c r="S55" s="454"/>
      <c r="T55" s="454"/>
      <c r="U55" s="454"/>
      <c r="V55" s="454"/>
      <c r="W55" s="454"/>
      <c r="X55" s="454"/>
      <c r="Y55" s="454">
        <f t="shared" si="1"/>
        <v>669069.05000000005</v>
      </c>
      <c r="Z55" s="454">
        <v>220000</v>
      </c>
      <c r="AA55" s="451">
        <v>4</v>
      </c>
      <c r="AB55" s="587">
        <v>44221</v>
      </c>
      <c r="AC55" s="587">
        <v>44280</v>
      </c>
      <c r="AD55" s="454">
        <v>500000</v>
      </c>
      <c r="AE55" s="451">
        <v>8</v>
      </c>
      <c r="AF55" s="587">
        <v>44252</v>
      </c>
      <c r="AG55" s="587">
        <v>44292</v>
      </c>
      <c r="AH55" s="454">
        <v>200000</v>
      </c>
      <c r="AI55" s="451">
        <v>10</v>
      </c>
      <c r="AJ55" s="587">
        <v>44286</v>
      </c>
      <c r="AK55" s="587">
        <v>44306</v>
      </c>
      <c r="AL55" s="454">
        <v>0</v>
      </c>
      <c r="AM55" s="451">
        <v>0</v>
      </c>
      <c r="AN55" s="587"/>
      <c r="AO55" s="587"/>
      <c r="AP55" s="454"/>
      <c r="AQ55" s="451"/>
      <c r="AR55" s="588"/>
      <c r="AS55" s="588"/>
      <c r="AT55" s="154">
        <f t="shared" si="2"/>
        <v>920000</v>
      </c>
      <c r="AU55" s="461">
        <f t="shared" si="0"/>
        <v>250930.94999999995</v>
      </c>
    </row>
    <row r="56" spans="2:47" s="148" customFormat="1" ht="22.5" x14ac:dyDescent="0.25">
      <c r="B56" s="149">
        <v>41</v>
      </c>
      <c r="C56" s="149" t="s">
        <v>38</v>
      </c>
      <c r="D56" s="450">
        <v>30121829</v>
      </c>
      <c r="E56" s="451" t="s">
        <v>2169</v>
      </c>
      <c r="F56" s="451" t="s">
        <v>200</v>
      </c>
      <c r="G56" s="452" t="s">
        <v>2100</v>
      </c>
      <c r="H56" s="451" t="s">
        <v>2170</v>
      </c>
      <c r="I56" s="451" t="s">
        <v>1958</v>
      </c>
      <c r="J56" s="451">
        <v>486771</v>
      </c>
      <c r="K56" s="451"/>
      <c r="L56" s="451"/>
      <c r="M56" s="454">
        <v>464313.20900000003</v>
      </c>
      <c r="N56" s="454">
        <v>0</v>
      </c>
      <c r="O56" s="454">
        <v>0</v>
      </c>
      <c r="P56" s="454">
        <v>0</v>
      </c>
      <c r="Q56" s="454">
        <v>0</v>
      </c>
      <c r="R56" s="454">
        <v>0</v>
      </c>
      <c r="S56" s="454"/>
      <c r="T56" s="454"/>
      <c r="U56" s="454"/>
      <c r="V56" s="454"/>
      <c r="W56" s="454"/>
      <c r="X56" s="454"/>
      <c r="Y56" s="454">
        <f t="shared" si="1"/>
        <v>464313.20900000003</v>
      </c>
      <c r="Z56" s="454">
        <v>486769</v>
      </c>
      <c r="AA56" s="451">
        <v>4</v>
      </c>
      <c r="AB56" s="587">
        <v>44221</v>
      </c>
      <c r="AC56" s="587">
        <v>44280</v>
      </c>
      <c r="AD56" s="454"/>
      <c r="AE56" s="451"/>
      <c r="AF56" s="587"/>
      <c r="AG56" s="587"/>
      <c r="AH56" s="454"/>
      <c r="AI56" s="451"/>
      <c r="AJ56" s="587"/>
      <c r="AK56" s="587"/>
      <c r="AL56" s="454"/>
      <c r="AM56" s="451"/>
      <c r="AN56" s="587"/>
      <c r="AO56" s="587"/>
      <c r="AP56" s="454"/>
      <c r="AQ56" s="451"/>
      <c r="AR56" s="588"/>
      <c r="AS56" s="588"/>
      <c r="AT56" s="154">
        <f t="shared" si="2"/>
        <v>486769</v>
      </c>
      <c r="AU56" s="461">
        <f t="shared" si="0"/>
        <v>22455.790999999968</v>
      </c>
    </row>
    <row r="57" spans="2:47" s="148" customFormat="1" ht="22.5" x14ac:dyDescent="0.25">
      <c r="B57" s="149">
        <v>42</v>
      </c>
      <c r="C57" s="149" t="s">
        <v>38</v>
      </c>
      <c r="D57" s="450">
        <v>30122174</v>
      </c>
      <c r="E57" s="451" t="s">
        <v>2171</v>
      </c>
      <c r="F57" s="451" t="s">
        <v>200</v>
      </c>
      <c r="G57" s="452" t="s">
        <v>2100</v>
      </c>
      <c r="H57" s="451" t="s">
        <v>2162</v>
      </c>
      <c r="I57" s="451" t="s">
        <v>1958</v>
      </c>
      <c r="J57" s="451">
        <v>396271</v>
      </c>
      <c r="K57" s="451"/>
      <c r="L57" s="451"/>
      <c r="M57" s="454">
        <v>199500.606</v>
      </c>
      <c r="N57" s="454">
        <v>4800</v>
      </c>
      <c r="O57" s="454">
        <v>80930.510999999999</v>
      </c>
      <c r="P57" s="454">
        <v>1600</v>
      </c>
      <c r="Q57" s="454">
        <v>85702.760999999999</v>
      </c>
      <c r="R57" s="454">
        <v>3200</v>
      </c>
      <c r="S57" s="454"/>
      <c r="T57" s="454"/>
      <c r="U57" s="454"/>
      <c r="V57" s="454"/>
      <c r="W57" s="454"/>
      <c r="X57" s="454"/>
      <c r="Y57" s="454">
        <f t="shared" si="1"/>
        <v>375733.87799999997</v>
      </c>
      <c r="Z57" s="454">
        <v>300000</v>
      </c>
      <c r="AA57" s="451">
        <v>4</v>
      </c>
      <c r="AB57" s="587">
        <v>44221</v>
      </c>
      <c r="AC57" s="587">
        <v>44280</v>
      </c>
      <c r="AD57" s="454">
        <v>9600</v>
      </c>
      <c r="AE57" s="451">
        <v>8</v>
      </c>
      <c r="AF57" s="587">
        <v>44252</v>
      </c>
      <c r="AG57" s="587">
        <v>44292</v>
      </c>
      <c r="AH57" s="454">
        <v>74720</v>
      </c>
      <c r="AI57" s="451">
        <v>18</v>
      </c>
      <c r="AJ57" s="587">
        <v>44327</v>
      </c>
      <c r="AK57" s="587">
        <v>44341</v>
      </c>
      <c r="AL57" s="454">
        <v>0</v>
      </c>
      <c r="AM57" s="451">
        <v>0</v>
      </c>
      <c r="AN57" s="587"/>
      <c r="AO57" s="587"/>
      <c r="AP57" s="454"/>
      <c r="AQ57" s="451"/>
      <c r="AR57" s="588"/>
      <c r="AS57" s="588"/>
      <c r="AT57" s="154">
        <f t="shared" si="2"/>
        <v>384320</v>
      </c>
      <c r="AU57" s="461">
        <f t="shared" si="0"/>
        <v>8586.1220000000321</v>
      </c>
    </row>
    <row r="58" spans="2:47" s="148" customFormat="1" ht="22.5" x14ac:dyDescent="0.25">
      <c r="B58" s="149">
        <v>43</v>
      </c>
      <c r="C58" s="149" t="s">
        <v>38</v>
      </c>
      <c r="D58" s="450">
        <v>30123379</v>
      </c>
      <c r="E58" s="451" t="s">
        <v>2172</v>
      </c>
      <c r="F58" s="451" t="s">
        <v>204</v>
      </c>
      <c r="G58" s="452" t="s">
        <v>2100</v>
      </c>
      <c r="H58" s="451" t="s">
        <v>2158</v>
      </c>
      <c r="I58" s="451" t="s">
        <v>1961</v>
      </c>
      <c r="J58" s="451">
        <v>37003</v>
      </c>
      <c r="K58" s="451"/>
      <c r="L58" s="451"/>
      <c r="M58" s="454">
        <v>0</v>
      </c>
      <c r="N58" s="454">
        <v>0</v>
      </c>
      <c r="O58" s="454">
        <v>0</v>
      </c>
      <c r="P58" s="454">
        <v>0</v>
      </c>
      <c r="Q58" s="454">
        <v>0</v>
      </c>
      <c r="R58" s="454">
        <v>0</v>
      </c>
      <c r="S58" s="454"/>
      <c r="T58" s="454"/>
      <c r="U58" s="454"/>
      <c r="V58" s="454"/>
      <c r="W58" s="454"/>
      <c r="X58" s="454"/>
      <c r="Y58" s="454">
        <f t="shared" si="1"/>
        <v>0</v>
      </c>
      <c r="Z58" s="454">
        <v>1000</v>
      </c>
      <c r="AA58" s="451">
        <v>1</v>
      </c>
      <c r="AB58" s="587">
        <v>44207</v>
      </c>
      <c r="AC58" s="587">
        <v>44249</v>
      </c>
      <c r="AD58" s="454"/>
      <c r="AE58" s="451"/>
      <c r="AF58" s="587"/>
      <c r="AG58" s="587"/>
      <c r="AH58" s="454"/>
      <c r="AI58" s="451"/>
      <c r="AJ58" s="587"/>
      <c r="AK58" s="587"/>
      <c r="AL58" s="454"/>
      <c r="AM58" s="451"/>
      <c r="AN58" s="587"/>
      <c r="AO58" s="587"/>
      <c r="AP58" s="454"/>
      <c r="AQ58" s="451"/>
      <c r="AR58" s="588"/>
      <c r="AS58" s="588"/>
      <c r="AT58" s="154">
        <f t="shared" si="2"/>
        <v>1000</v>
      </c>
      <c r="AU58" s="461">
        <f t="shared" si="0"/>
        <v>1000</v>
      </c>
    </row>
    <row r="59" spans="2:47" s="148" customFormat="1" ht="33.75" x14ac:dyDescent="0.25">
      <c r="B59" s="149">
        <v>44</v>
      </c>
      <c r="C59" s="149" t="s">
        <v>38</v>
      </c>
      <c r="D59" s="450">
        <v>30123750</v>
      </c>
      <c r="E59" s="451" t="s">
        <v>2173</v>
      </c>
      <c r="F59" s="451" t="s">
        <v>200</v>
      </c>
      <c r="G59" s="452" t="s">
        <v>2100</v>
      </c>
      <c r="H59" s="451" t="s">
        <v>2132</v>
      </c>
      <c r="I59" s="451" t="s">
        <v>1958</v>
      </c>
      <c r="J59" s="451">
        <v>17826</v>
      </c>
      <c r="K59" s="451"/>
      <c r="L59" s="451"/>
      <c r="M59" s="454">
        <v>0</v>
      </c>
      <c r="N59" s="454">
        <v>0</v>
      </c>
      <c r="O59" s="454">
        <v>0</v>
      </c>
      <c r="P59" s="454">
        <v>0</v>
      </c>
      <c r="Q59" s="454">
        <v>0</v>
      </c>
      <c r="R59" s="454">
        <v>0</v>
      </c>
      <c r="S59" s="454"/>
      <c r="T59" s="454"/>
      <c r="U59" s="454"/>
      <c r="V59" s="454"/>
      <c r="W59" s="454"/>
      <c r="X59" s="454"/>
      <c r="Y59" s="454">
        <f t="shared" si="1"/>
        <v>0</v>
      </c>
      <c r="Z59" s="454">
        <v>1000</v>
      </c>
      <c r="AA59" s="451">
        <v>8</v>
      </c>
      <c r="AB59" s="587">
        <v>44252</v>
      </c>
      <c r="AC59" s="587">
        <v>44292</v>
      </c>
      <c r="AD59" s="454"/>
      <c r="AE59" s="451"/>
      <c r="AF59" s="587"/>
      <c r="AG59" s="587"/>
      <c r="AH59" s="454"/>
      <c r="AI59" s="451"/>
      <c r="AJ59" s="587"/>
      <c r="AK59" s="587"/>
      <c r="AL59" s="454"/>
      <c r="AM59" s="451"/>
      <c r="AN59" s="587"/>
      <c r="AO59" s="587"/>
      <c r="AP59" s="454"/>
      <c r="AQ59" s="451"/>
      <c r="AR59" s="588"/>
      <c r="AS59" s="588"/>
      <c r="AT59" s="154">
        <f t="shared" si="2"/>
        <v>1000</v>
      </c>
      <c r="AU59" s="461">
        <f t="shared" si="0"/>
        <v>1000</v>
      </c>
    </row>
    <row r="60" spans="2:47" s="148" customFormat="1" ht="22.5" x14ac:dyDescent="0.25">
      <c r="B60" s="149">
        <v>45</v>
      </c>
      <c r="C60" s="149" t="s">
        <v>38</v>
      </c>
      <c r="D60" s="450">
        <v>30124066</v>
      </c>
      <c r="E60" s="451" t="s">
        <v>2174</v>
      </c>
      <c r="F60" s="451" t="s">
        <v>200</v>
      </c>
      <c r="G60" s="452" t="s">
        <v>2100</v>
      </c>
      <c r="H60" s="451" t="s">
        <v>2147</v>
      </c>
      <c r="I60" s="451" t="s">
        <v>1958</v>
      </c>
      <c r="J60" s="451">
        <v>1168987</v>
      </c>
      <c r="K60" s="451"/>
      <c r="L60" s="451"/>
      <c r="M60" s="454">
        <v>90033.095000000001</v>
      </c>
      <c r="N60" s="454">
        <v>101312.871</v>
      </c>
      <c r="O60" s="454">
        <v>155064.655</v>
      </c>
      <c r="P60" s="454">
        <v>89214.270999999993</v>
      </c>
      <c r="Q60" s="454">
        <v>76950.164000000004</v>
      </c>
      <c r="R60" s="454">
        <v>4248</v>
      </c>
      <c r="S60" s="454"/>
      <c r="T60" s="454"/>
      <c r="U60" s="454"/>
      <c r="V60" s="454"/>
      <c r="W60" s="454"/>
      <c r="X60" s="454"/>
      <c r="Y60" s="454">
        <f t="shared" si="1"/>
        <v>516823.05600000004</v>
      </c>
      <c r="Z60" s="454">
        <v>1000</v>
      </c>
      <c r="AA60" s="451">
        <v>1</v>
      </c>
      <c r="AB60" s="587">
        <v>44207</v>
      </c>
      <c r="AC60" s="587">
        <v>44249</v>
      </c>
      <c r="AD60" s="454">
        <v>280000</v>
      </c>
      <c r="AE60" s="451">
        <v>4</v>
      </c>
      <c r="AF60" s="587">
        <v>44221</v>
      </c>
      <c r="AG60" s="587">
        <v>44280</v>
      </c>
      <c r="AH60" s="454">
        <v>12750</v>
      </c>
      <c r="AI60" s="451">
        <v>8</v>
      </c>
      <c r="AJ60" s="587">
        <v>44252</v>
      </c>
      <c r="AK60" s="587">
        <v>44292</v>
      </c>
      <c r="AL60" s="454">
        <v>200000</v>
      </c>
      <c r="AM60" s="451">
        <v>10</v>
      </c>
      <c r="AN60" s="587">
        <v>44286</v>
      </c>
      <c r="AO60" s="587">
        <v>44306</v>
      </c>
      <c r="AP60" s="454">
        <v>120000</v>
      </c>
      <c r="AQ60" s="451">
        <v>23</v>
      </c>
      <c r="AR60" s="588">
        <v>44340</v>
      </c>
      <c r="AS60" s="588">
        <v>44350</v>
      </c>
      <c r="AT60" s="154">
        <f t="shared" si="2"/>
        <v>613750</v>
      </c>
      <c r="AU60" s="461">
        <f t="shared" si="0"/>
        <v>96926.943999999959</v>
      </c>
    </row>
    <row r="61" spans="2:47" s="148" customFormat="1" ht="22.5" x14ac:dyDescent="0.25">
      <c r="B61" s="149">
        <v>46</v>
      </c>
      <c r="C61" s="149" t="s">
        <v>41</v>
      </c>
      <c r="D61" s="450">
        <v>30124763</v>
      </c>
      <c r="E61" s="451" t="s">
        <v>2175</v>
      </c>
      <c r="F61" s="451" t="s">
        <v>200</v>
      </c>
      <c r="G61" s="452" t="s">
        <v>2100</v>
      </c>
      <c r="H61" s="451" t="s">
        <v>2109</v>
      </c>
      <c r="I61" s="451" t="s">
        <v>1958</v>
      </c>
      <c r="J61" s="451">
        <v>85904</v>
      </c>
      <c r="K61" s="451"/>
      <c r="L61" s="451"/>
      <c r="M61" s="454">
        <v>1119.8800000000001</v>
      </c>
      <c r="N61" s="454">
        <v>6394.3379999999997</v>
      </c>
      <c r="O61" s="454">
        <v>0</v>
      </c>
      <c r="P61" s="454">
        <v>0</v>
      </c>
      <c r="Q61" s="454">
        <v>0</v>
      </c>
      <c r="R61" s="454">
        <v>0</v>
      </c>
      <c r="S61" s="454"/>
      <c r="T61" s="454"/>
      <c r="U61" s="454"/>
      <c r="V61" s="454"/>
      <c r="W61" s="454"/>
      <c r="X61" s="454"/>
      <c r="Y61" s="454">
        <f t="shared" si="1"/>
        <v>7514.2179999999998</v>
      </c>
      <c r="Z61" s="454">
        <v>85291</v>
      </c>
      <c r="AA61" s="451">
        <v>1</v>
      </c>
      <c r="AB61" s="587">
        <v>44207</v>
      </c>
      <c r="AC61" s="587">
        <v>44249</v>
      </c>
      <c r="AD61" s="454"/>
      <c r="AE61" s="451"/>
      <c r="AF61" s="587"/>
      <c r="AG61" s="587"/>
      <c r="AH61" s="454"/>
      <c r="AI61" s="451"/>
      <c r="AJ61" s="587"/>
      <c r="AK61" s="587"/>
      <c r="AL61" s="454"/>
      <c r="AM61" s="451"/>
      <c r="AN61" s="587"/>
      <c r="AO61" s="587"/>
      <c r="AP61" s="454"/>
      <c r="AQ61" s="451"/>
      <c r="AR61" s="588"/>
      <c r="AS61" s="588"/>
      <c r="AT61" s="154">
        <f t="shared" si="2"/>
        <v>85291</v>
      </c>
      <c r="AU61" s="461">
        <f t="shared" si="0"/>
        <v>77776.782000000007</v>
      </c>
    </row>
    <row r="62" spans="2:47" s="148" customFormat="1" ht="22.5" x14ac:dyDescent="0.25">
      <c r="B62" s="149">
        <v>47</v>
      </c>
      <c r="C62" s="149" t="s">
        <v>38</v>
      </c>
      <c r="D62" s="450">
        <v>30127203</v>
      </c>
      <c r="E62" s="451" t="s">
        <v>2176</v>
      </c>
      <c r="F62" s="451" t="s">
        <v>200</v>
      </c>
      <c r="G62" s="452" t="s">
        <v>2100</v>
      </c>
      <c r="H62" s="451" t="s">
        <v>2123</v>
      </c>
      <c r="I62" s="451" t="s">
        <v>1958</v>
      </c>
      <c r="J62" s="451">
        <v>444470</v>
      </c>
      <c r="K62" s="451"/>
      <c r="L62" s="451"/>
      <c r="M62" s="454">
        <v>254596.448</v>
      </c>
      <c r="N62" s="454">
        <v>0</v>
      </c>
      <c r="O62" s="454">
        <v>0</v>
      </c>
      <c r="P62" s="454">
        <v>189874.098</v>
      </c>
      <c r="Q62" s="454">
        <v>0</v>
      </c>
      <c r="R62" s="454">
        <v>0</v>
      </c>
      <c r="S62" s="454"/>
      <c r="T62" s="454"/>
      <c r="U62" s="454"/>
      <c r="V62" s="454"/>
      <c r="W62" s="454"/>
      <c r="X62" s="454"/>
      <c r="Y62" s="454">
        <f t="shared" si="1"/>
        <v>444470.54599999997</v>
      </c>
      <c r="Z62" s="454">
        <v>444470</v>
      </c>
      <c r="AA62" s="451">
        <v>4</v>
      </c>
      <c r="AB62" s="587">
        <v>44221</v>
      </c>
      <c r="AC62" s="587">
        <v>44280</v>
      </c>
      <c r="AD62" s="454"/>
      <c r="AE62" s="451"/>
      <c r="AF62" s="587"/>
      <c r="AG62" s="587"/>
      <c r="AH62" s="454"/>
      <c r="AI62" s="451"/>
      <c r="AJ62" s="587"/>
      <c r="AK62" s="587"/>
      <c r="AL62" s="454"/>
      <c r="AM62" s="451"/>
      <c r="AN62" s="587"/>
      <c r="AO62" s="587"/>
      <c r="AP62" s="454"/>
      <c r="AQ62" s="451"/>
      <c r="AR62" s="588"/>
      <c r="AS62" s="588"/>
      <c r="AT62" s="154">
        <f t="shared" si="2"/>
        <v>444470</v>
      </c>
      <c r="AU62" s="461">
        <f t="shared" si="0"/>
        <v>-0.54599999997299165</v>
      </c>
    </row>
    <row r="63" spans="2:47" s="148" customFormat="1" ht="22.5" x14ac:dyDescent="0.25">
      <c r="B63" s="149">
        <v>48</v>
      </c>
      <c r="C63" s="149" t="s">
        <v>38</v>
      </c>
      <c r="D63" s="450">
        <v>30127410</v>
      </c>
      <c r="E63" s="451" t="s">
        <v>2177</v>
      </c>
      <c r="F63" s="451" t="s">
        <v>200</v>
      </c>
      <c r="G63" s="452" t="s">
        <v>2100</v>
      </c>
      <c r="H63" s="451" t="s">
        <v>2134</v>
      </c>
      <c r="I63" s="451" t="s">
        <v>1958</v>
      </c>
      <c r="J63" s="451">
        <v>138777</v>
      </c>
      <c r="K63" s="451"/>
      <c r="L63" s="451"/>
      <c r="M63" s="454">
        <v>0</v>
      </c>
      <c r="N63" s="454">
        <v>0</v>
      </c>
      <c r="O63" s="454">
        <v>0</v>
      </c>
      <c r="P63" s="454">
        <v>0</v>
      </c>
      <c r="Q63" s="454">
        <v>0</v>
      </c>
      <c r="R63" s="454">
        <v>0</v>
      </c>
      <c r="S63" s="454"/>
      <c r="T63" s="454"/>
      <c r="U63" s="454"/>
      <c r="V63" s="454"/>
      <c r="W63" s="454"/>
      <c r="X63" s="454"/>
      <c r="Y63" s="454">
        <f t="shared" si="1"/>
        <v>0</v>
      </c>
      <c r="Z63" s="454">
        <v>1000</v>
      </c>
      <c r="AA63" s="451">
        <v>8</v>
      </c>
      <c r="AB63" s="587">
        <v>44252</v>
      </c>
      <c r="AC63" s="587">
        <v>44292</v>
      </c>
      <c r="AD63" s="454">
        <v>137777</v>
      </c>
      <c r="AE63" s="451">
        <v>10</v>
      </c>
      <c r="AF63" s="587">
        <v>44286</v>
      </c>
      <c r="AG63" s="587">
        <v>44306</v>
      </c>
      <c r="AH63" s="454"/>
      <c r="AI63" s="451"/>
      <c r="AJ63" s="587"/>
      <c r="AK63" s="587"/>
      <c r="AL63" s="454"/>
      <c r="AM63" s="451"/>
      <c r="AN63" s="587"/>
      <c r="AO63" s="587"/>
      <c r="AP63" s="454"/>
      <c r="AQ63" s="451"/>
      <c r="AR63" s="588"/>
      <c r="AS63" s="588"/>
      <c r="AT63" s="154">
        <f t="shared" si="2"/>
        <v>138777</v>
      </c>
      <c r="AU63" s="461">
        <f t="shared" si="0"/>
        <v>138777</v>
      </c>
    </row>
    <row r="64" spans="2:47" s="148" customFormat="1" ht="22.5" x14ac:dyDescent="0.25">
      <c r="B64" s="149">
        <v>49</v>
      </c>
      <c r="C64" s="149" t="s">
        <v>38</v>
      </c>
      <c r="D64" s="450">
        <v>30128148</v>
      </c>
      <c r="E64" s="451" t="s">
        <v>2178</v>
      </c>
      <c r="F64" s="451" t="s">
        <v>200</v>
      </c>
      <c r="G64" s="452" t="s">
        <v>2100</v>
      </c>
      <c r="H64" s="451" t="s">
        <v>2119</v>
      </c>
      <c r="I64" s="451" t="s">
        <v>1958</v>
      </c>
      <c r="J64" s="451">
        <v>39497</v>
      </c>
      <c r="K64" s="451"/>
      <c r="L64" s="451"/>
      <c r="M64" s="454">
        <v>0</v>
      </c>
      <c r="N64" s="454">
        <v>0</v>
      </c>
      <c r="O64" s="454">
        <v>0</v>
      </c>
      <c r="P64" s="454">
        <v>0</v>
      </c>
      <c r="Q64" s="454">
        <v>0</v>
      </c>
      <c r="R64" s="454">
        <v>0</v>
      </c>
      <c r="S64" s="454"/>
      <c r="T64" s="454"/>
      <c r="U64" s="454"/>
      <c r="V64" s="454"/>
      <c r="W64" s="454"/>
      <c r="X64" s="454"/>
      <c r="Y64" s="454">
        <f t="shared" si="1"/>
        <v>0</v>
      </c>
      <c r="Z64" s="454">
        <v>1000</v>
      </c>
      <c r="AA64" s="451">
        <v>8</v>
      </c>
      <c r="AB64" s="587">
        <v>44252</v>
      </c>
      <c r="AC64" s="587">
        <v>44292</v>
      </c>
      <c r="AD64" s="454"/>
      <c r="AE64" s="451"/>
      <c r="AF64" s="587"/>
      <c r="AG64" s="587"/>
      <c r="AH64" s="454"/>
      <c r="AI64" s="451"/>
      <c r="AJ64" s="587"/>
      <c r="AK64" s="587"/>
      <c r="AL64" s="454"/>
      <c r="AM64" s="451"/>
      <c r="AN64" s="587"/>
      <c r="AO64" s="587"/>
      <c r="AP64" s="454"/>
      <c r="AQ64" s="451"/>
      <c r="AR64" s="588"/>
      <c r="AS64" s="588"/>
      <c r="AT64" s="154">
        <f t="shared" si="2"/>
        <v>1000</v>
      </c>
      <c r="AU64" s="461">
        <f t="shared" si="0"/>
        <v>1000</v>
      </c>
    </row>
    <row r="65" spans="2:47" s="148" customFormat="1" ht="22.5" x14ac:dyDescent="0.25">
      <c r="B65" s="149">
        <v>50</v>
      </c>
      <c r="C65" s="149" t="s">
        <v>38</v>
      </c>
      <c r="D65" s="450">
        <v>30128150</v>
      </c>
      <c r="E65" s="451" t="s">
        <v>2179</v>
      </c>
      <c r="F65" s="451" t="s">
        <v>200</v>
      </c>
      <c r="G65" s="452" t="s">
        <v>2100</v>
      </c>
      <c r="H65" s="451" t="s">
        <v>2119</v>
      </c>
      <c r="I65" s="451" t="s">
        <v>1958</v>
      </c>
      <c r="J65" s="451">
        <v>50834</v>
      </c>
      <c r="K65" s="451"/>
      <c r="L65" s="451"/>
      <c r="M65" s="454">
        <v>0</v>
      </c>
      <c r="N65" s="454">
        <v>0</v>
      </c>
      <c r="O65" s="454">
        <v>0</v>
      </c>
      <c r="P65" s="454">
        <v>0</v>
      </c>
      <c r="Q65" s="454">
        <v>0</v>
      </c>
      <c r="R65" s="454">
        <v>0</v>
      </c>
      <c r="S65" s="454"/>
      <c r="T65" s="454"/>
      <c r="U65" s="454"/>
      <c r="V65" s="454"/>
      <c r="W65" s="454"/>
      <c r="X65" s="454"/>
      <c r="Y65" s="454">
        <f t="shared" si="1"/>
        <v>0</v>
      </c>
      <c r="Z65" s="454">
        <v>1000</v>
      </c>
      <c r="AA65" s="451">
        <v>1</v>
      </c>
      <c r="AB65" s="587">
        <v>44207</v>
      </c>
      <c r="AC65" s="587">
        <v>44249</v>
      </c>
      <c r="AD65" s="454"/>
      <c r="AE65" s="451"/>
      <c r="AF65" s="587"/>
      <c r="AG65" s="587"/>
      <c r="AH65" s="454"/>
      <c r="AI65" s="451"/>
      <c r="AJ65" s="587"/>
      <c r="AK65" s="587"/>
      <c r="AL65" s="454"/>
      <c r="AM65" s="451"/>
      <c r="AN65" s="587"/>
      <c r="AO65" s="587"/>
      <c r="AP65" s="454"/>
      <c r="AQ65" s="451"/>
      <c r="AR65" s="588"/>
      <c r="AS65" s="588"/>
      <c r="AT65" s="154">
        <f t="shared" si="2"/>
        <v>1000</v>
      </c>
      <c r="AU65" s="461">
        <f t="shared" si="0"/>
        <v>1000</v>
      </c>
    </row>
    <row r="66" spans="2:47" s="148" customFormat="1" ht="33.75" x14ac:dyDescent="0.25">
      <c r="B66" s="149">
        <v>51</v>
      </c>
      <c r="C66" s="149" t="s">
        <v>38</v>
      </c>
      <c r="D66" s="450">
        <v>30133749</v>
      </c>
      <c r="E66" s="451" t="s">
        <v>2180</v>
      </c>
      <c r="F66" s="451" t="s">
        <v>200</v>
      </c>
      <c r="G66" s="452" t="s">
        <v>2100</v>
      </c>
      <c r="H66" s="451" t="s">
        <v>2181</v>
      </c>
      <c r="I66" s="451" t="s">
        <v>1958</v>
      </c>
      <c r="J66" s="451">
        <v>748741</v>
      </c>
      <c r="K66" s="451"/>
      <c r="L66" s="451"/>
      <c r="M66" s="454">
        <v>0</v>
      </c>
      <c r="N66" s="454">
        <v>0</v>
      </c>
      <c r="O66" s="454">
        <v>0</v>
      </c>
      <c r="P66" s="454">
        <v>0</v>
      </c>
      <c r="Q66" s="454">
        <v>0</v>
      </c>
      <c r="R66" s="454">
        <v>0</v>
      </c>
      <c r="S66" s="454"/>
      <c r="T66" s="454"/>
      <c r="U66" s="454"/>
      <c r="V66" s="454"/>
      <c r="W66" s="454"/>
      <c r="X66" s="454"/>
      <c r="Y66" s="454">
        <f t="shared" si="1"/>
        <v>0</v>
      </c>
      <c r="Z66" s="454">
        <v>1000</v>
      </c>
      <c r="AA66" s="451">
        <v>1</v>
      </c>
      <c r="AB66" s="587">
        <v>44207</v>
      </c>
      <c r="AC66" s="587">
        <v>44249</v>
      </c>
      <c r="AD66" s="454">
        <v>647328</v>
      </c>
      <c r="AE66" s="451">
        <v>8</v>
      </c>
      <c r="AF66" s="587">
        <v>44252</v>
      </c>
      <c r="AG66" s="587">
        <v>44292</v>
      </c>
      <c r="AH66" s="454"/>
      <c r="AI66" s="451"/>
      <c r="AJ66" s="587"/>
      <c r="AK66" s="587"/>
      <c r="AL66" s="454"/>
      <c r="AM66" s="451"/>
      <c r="AN66" s="587"/>
      <c r="AO66" s="587"/>
      <c r="AP66" s="454"/>
      <c r="AQ66" s="451"/>
      <c r="AR66" s="588"/>
      <c r="AS66" s="588"/>
      <c r="AT66" s="154">
        <f t="shared" si="2"/>
        <v>648328</v>
      </c>
      <c r="AU66" s="461">
        <f t="shared" si="0"/>
        <v>648328</v>
      </c>
    </row>
    <row r="67" spans="2:47" s="148" customFormat="1" ht="33.75" x14ac:dyDescent="0.25">
      <c r="B67" s="149">
        <v>52</v>
      </c>
      <c r="C67" s="149" t="s">
        <v>38</v>
      </c>
      <c r="D67" s="450">
        <v>30133832</v>
      </c>
      <c r="E67" s="451" t="s">
        <v>2182</v>
      </c>
      <c r="F67" s="451" t="s">
        <v>200</v>
      </c>
      <c r="G67" s="452" t="s">
        <v>2100</v>
      </c>
      <c r="H67" s="451" t="s">
        <v>2181</v>
      </c>
      <c r="I67" s="451" t="s">
        <v>1961</v>
      </c>
      <c r="J67" s="451">
        <v>94721</v>
      </c>
      <c r="K67" s="451"/>
      <c r="L67" s="451"/>
      <c r="M67" s="454">
        <v>0</v>
      </c>
      <c r="N67" s="454">
        <v>0</v>
      </c>
      <c r="O67" s="454">
        <v>0</v>
      </c>
      <c r="P67" s="454">
        <v>0</v>
      </c>
      <c r="Q67" s="454">
        <v>0</v>
      </c>
      <c r="R67" s="454">
        <v>0</v>
      </c>
      <c r="S67" s="454"/>
      <c r="T67" s="454"/>
      <c r="U67" s="454"/>
      <c r="V67" s="454"/>
      <c r="W67" s="454"/>
      <c r="X67" s="454"/>
      <c r="Y67" s="454">
        <f t="shared" si="1"/>
        <v>0</v>
      </c>
      <c r="Z67" s="454">
        <v>1000</v>
      </c>
      <c r="AA67" s="451">
        <v>1</v>
      </c>
      <c r="AB67" s="587">
        <v>44207</v>
      </c>
      <c r="AC67" s="587">
        <v>44249</v>
      </c>
      <c r="AD67" s="454"/>
      <c r="AE67" s="451"/>
      <c r="AF67" s="587"/>
      <c r="AG67" s="587"/>
      <c r="AH67" s="454"/>
      <c r="AI67" s="451"/>
      <c r="AJ67" s="587"/>
      <c r="AK67" s="587"/>
      <c r="AL67" s="454"/>
      <c r="AM67" s="451"/>
      <c r="AN67" s="587"/>
      <c r="AO67" s="587"/>
      <c r="AP67" s="454"/>
      <c r="AQ67" s="451"/>
      <c r="AR67" s="588"/>
      <c r="AS67" s="588"/>
      <c r="AT67" s="154">
        <f t="shared" si="2"/>
        <v>1000</v>
      </c>
      <c r="AU67" s="461">
        <f t="shared" si="0"/>
        <v>1000</v>
      </c>
    </row>
    <row r="68" spans="2:47" s="148" customFormat="1" ht="22.5" x14ac:dyDescent="0.25">
      <c r="B68" s="149">
        <v>53</v>
      </c>
      <c r="C68" s="149" t="s">
        <v>38</v>
      </c>
      <c r="D68" s="450">
        <v>30134512</v>
      </c>
      <c r="E68" s="451" t="s">
        <v>2183</v>
      </c>
      <c r="F68" s="451" t="s">
        <v>200</v>
      </c>
      <c r="G68" s="452" t="s">
        <v>2100</v>
      </c>
      <c r="H68" s="451" t="s">
        <v>2184</v>
      </c>
      <c r="I68" s="451" t="s">
        <v>1958</v>
      </c>
      <c r="J68" s="451">
        <v>327291</v>
      </c>
      <c r="K68" s="451"/>
      <c r="L68" s="451"/>
      <c r="M68" s="454">
        <v>44816.887000000002</v>
      </c>
      <c r="N68" s="454">
        <v>90687.20199999999</v>
      </c>
      <c r="O68" s="454">
        <v>137592.58199999999</v>
      </c>
      <c r="P68" s="454">
        <v>46946.561999999998</v>
      </c>
      <c r="Q68" s="454">
        <v>0</v>
      </c>
      <c r="R68" s="454">
        <v>0</v>
      </c>
      <c r="S68" s="454"/>
      <c r="T68" s="454"/>
      <c r="U68" s="454"/>
      <c r="V68" s="454"/>
      <c r="W68" s="454"/>
      <c r="X68" s="454"/>
      <c r="Y68" s="454">
        <f t="shared" si="1"/>
        <v>320043.23299999995</v>
      </c>
      <c r="Z68" s="454">
        <v>323643</v>
      </c>
      <c r="AA68" s="451">
        <v>8</v>
      </c>
      <c r="AB68" s="587">
        <v>44252</v>
      </c>
      <c r="AC68" s="587">
        <v>44292</v>
      </c>
      <c r="AD68" s="454"/>
      <c r="AE68" s="451"/>
      <c r="AF68" s="587"/>
      <c r="AG68" s="587"/>
      <c r="AH68" s="454"/>
      <c r="AI68" s="451"/>
      <c r="AJ68" s="587"/>
      <c r="AK68" s="587"/>
      <c r="AL68" s="454"/>
      <c r="AM68" s="451"/>
      <c r="AN68" s="587"/>
      <c r="AO68" s="587"/>
      <c r="AP68" s="454"/>
      <c r="AQ68" s="451"/>
      <c r="AR68" s="588"/>
      <c r="AS68" s="588"/>
      <c r="AT68" s="154">
        <f t="shared" si="2"/>
        <v>323643</v>
      </c>
      <c r="AU68" s="461">
        <f t="shared" si="0"/>
        <v>3599.7670000000508</v>
      </c>
    </row>
    <row r="69" spans="2:47" s="148" customFormat="1" ht="22.5" x14ac:dyDescent="0.25">
      <c r="B69" s="149">
        <v>54</v>
      </c>
      <c r="C69" s="149" t="s">
        <v>38</v>
      </c>
      <c r="D69" s="450">
        <v>30134665</v>
      </c>
      <c r="E69" s="451" t="s">
        <v>2185</v>
      </c>
      <c r="F69" s="451" t="s">
        <v>200</v>
      </c>
      <c r="G69" s="452" t="s">
        <v>2100</v>
      </c>
      <c r="H69" s="451" t="s">
        <v>2107</v>
      </c>
      <c r="I69" s="451" t="s">
        <v>1958</v>
      </c>
      <c r="J69" s="451">
        <v>7246</v>
      </c>
      <c r="K69" s="451"/>
      <c r="L69" s="451"/>
      <c r="M69" s="454">
        <v>0</v>
      </c>
      <c r="N69" s="454">
        <v>0</v>
      </c>
      <c r="O69" s="454">
        <v>0</v>
      </c>
      <c r="P69" s="454">
        <v>0</v>
      </c>
      <c r="Q69" s="454">
        <v>0</v>
      </c>
      <c r="R69" s="454">
        <v>0</v>
      </c>
      <c r="S69" s="454"/>
      <c r="T69" s="454"/>
      <c r="U69" s="454"/>
      <c r="V69" s="454"/>
      <c r="W69" s="454"/>
      <c r="X69" s="454"/>
      <c r="Y69" s="454">
        <f t="shared" si="1"/>
        <v>0</v>
      </c>
      <c r="Z69" s="454">
        <v>1000</v>
      </c>
      <c r="AA69" s="451">
        <v>8</v>
      </c>
      <c r="AB69" s="587">
        <v>44252</v>
      </c>
      <c r="AC69" s="587">
        <v>44292</v>
      </c>
      <c r="AD69" s="454"/>
      <c r="AE69" s="451"/>
      <c r="AF69" s="587"/>
      <c r="AG69" s="587"/>
      <c r="AH69" s="454"/>
      <c r="AI69" s="451"/>
      <c r="AJ69" s="587"/>
      <c r="AK69" s="587"/>
      <c r="AL69" s="454"/>
      <c r="AM69" s="451"/>
      <c r="AN69" s="587"/>
      <c r="AO69" s="587"/>
      <c r="AP69" s="454"/>
      <c r="AQ69" s="451"/>
      <c r="AR69" s="588"/>
      <c r="AS69" s="588"/>
      <c r="AT69" s="154">
        <f t="shared" si="2"/>
        <v>1000</v>
      </c>
      <c r="AU69" s="461">
        <f t="shared" si="0"/>
        <v>1000</v>
      </c>
    </row>
    <row r="70" spans="2:47" s="148" customFormat="1" ht="22.5" x14ac:dyDescent="0.25">
      <c r="B70" s="149">
        <v>55</v>
      </c>
      <c r="C70" s="149" t="s">
        <v>38</v>
      </c>
      <c r="D70" s="450">
        <v>30136379</v>
      </c>
      <c r="E70" s="451" t="s">
        <v>2186</v>
      </c>
      <c r="F70" s="451" t="s">
        <v>200</v>
      </c>
      <c r="G70" s="452" t="s">
        <v>2100</v>
      </c>
      <c r="H70" s="451" t="s">
        <v>2158</v>
      </c>
      <c r="I70" s="451" t="s">
        <v>1958</v>
      </c>
      <c r="J70" s="451">
        <v>732999</v>
      </c>
      <c r="K70" s="451"/>
      <c r="L70" s="451"/>
      <c r="M70" s="454">
        <v>492611.33799999999</v>
      </c>
      <c r="N70" s="454">
        <v>0</v>
      </c>
      <c r="O70" s="454">
        <v>0</v>
      </c>
      <c r="P70" s="454">
        <v>240387.011</v>
      </c>
      <c r="Q70" s="454">
        <v>0</v>
      </c>
      <c r="R70" s="454">
        <v>0</v>
      </c>
      <c r="S70" s="454"/>
      <c r="T70" s="454"/>
      <c r="U70" s="454"/>
      <c r="V70" s="454"/>
      <c r="W70" s="454"/>
      <c r="X70" s="454"/>
      <c r="Y70" s="454">
        <f t="shared" si="1"/>
        <v>732998.34899999993</v>
      </c>
      <c r="Z70" s="454">
        <v>552383</v>
      </c>
      <c r="AA70" s="451">
        <v>4</v>
      </c>
      <c r="AB70" s="587">
        <v>44221</v>
      </c>
      <c r="AC70" s="587">
        <v>44280</v>
      </c>
      <c r="AD70" s="454">
        <v>180615</v>
      </c>
      <c r="AE70" s="451">
        <v>14</v>
      </c>
      <c r="AF70" s="587">
        <v>44313</v>
      </c>
      <c r="AG70" s="587">
        <v>44322</v>
      </c>
      <c r="AH70" s="454"/>
      <c r="AI70" s="451"/>
      <c r="AJ70" s="587"/>
      <c r="AK70" s="587"/>
      <c r="AL70" s="454"/>
      <c r="AM70" s="451"/>
      <c r="AN70" s="587"/>
      <c r="AO70" s="587"/>
      <c r="AP70" s="454"/>
      <c r="AQ70" s="451"/>
      <c r="AR70" s="588"/>
      <c r="AS70" s="588"/>
      <c r="AT70" s="154">
        <f t="shared" si="2"/>
        <v>732998</v>
      </c>
      <c r="AU70" s="461">
        <f t="shared" si="0"/>
        <v>-0.34899999992921948</v>
      </c>
    </row>
    <row r="71" spans="2:47" s="148" customFormat="1" ht="22.5" x14ac:dyDescent="0.25">
      <c r="B71" s="149">
        <v>56</v>
      </c>
      <c r="C71" s="149" t="s">
        <v>38</v>
      </c>
      <c r="D71" s="450">
        <v>30137965</v>
      </c>
      <c r="E71" s="451" t="s">
        <v>2187</v>
      </c>
      <c r="F71" s="451" t="s">
        <v>200</v>
      </c>
      <c r="G71" s="452" t="s">
        <v>2100</v>
      </c>
      <c r="H71" s="451" t="s">
        <v>2188</v>
      </c>
      <c r="I71" s="451" t="s">
        <v>1958</v>
      </c>
      <c r="J71" s="451">
        <v>141627</v>
      </c>
      <c r="K71" s="451"/>
      <c r="L71" s="451"/>
      <c r="M71" s="454">
        <v>0</v>
      </c>
      <c r="N71" s="454">
        <v>0</v>
      </c>
      <c r="O71" s="454">
        <v>0</v>
      </c>
      <c r="P71" s="454">
        <v>0</v>
      </c>
      <c r="Q71" s="454">
        <v>0</v>
      </c>
      <c r="R71" s="454">
        <v>0</v>
      </c>
      <c r="S71" s="454"/>
      <c r="T71" s="454"/>
      <c r="U71" s="454"/>
      <c r="V71" s="454"/>
      <c r="W71" s="454"/>
      <c r="X71" s="454"/>
      <c r="Y71" s="454">
        <f t="shared" si="1"/>
        <v>0</v>
      </c>
      <c r="Z71" s="454">
        <v>1000</v>
      </c>
      <c r="AA71" s="451">
        <v>8</v>
      </c>
      <c r="AB71" s="587">
        <v>44252</v>
      </c>
      <c r="AC71" s="587">
        <v>44292</v>
      </c>
      <c r="AD71" s="454"/>
      <c r="AE71" s="451"/>
      <c r="AF71" s="587"/>
      <c r="AG71" s="587"/>
      <c r="AH71" s="454"/>
      <c r="AI71" s="451"/>
      <c r="AJ71" s="587"/>
      <c r="AK71" s="587"/>
      <c r="AL71" s="454"/>
      <c r="AM71" s="451"/>
      <c r="AN71" s="587"/>
      <c r="AO71" s="587"/>
      <c r="AP71" s="454"/>
      <c r="AQ71" s="451"/>
      <c r="AR71" s="588"/>
      <c r="AS71" s="588"/>
      <c r="AT71" s="154">
        <f t="shared" si="2"/>
        <v>1000</v>
      </c>
      <c r="AU71" s="461">
        <f t="shared" si="0"/>
        <v>1000</v>
      </c>
    </row>
    <row r="72" spans="2:47" s="148" customFormat="1" ht="22.5" x14ac:dyDescent="0.25">
      <c r="B72" s="149">
        <v>57</v>
      </c>
      <c r="C72" s="149" t="s">
        <v>38</v>
      </c>
      <c r="D72" s="450">
        <v>30140322</v>
      </c>
      <c r="E72" s="451" t="s">
        <v>2189</v>
      </c>
      <c r="F72" s="451" t="s">
        <v>200</v>
      </c>
      <c r="G72" s="452" t="s">
        <v>2100</v>
      </c>
      <c r="H72" s="451" t="s">
        <v>2151</v>
      </c>
      <c r="I72" s="451" t="s">
        <v>1958</v>
      </c>
      <c r="J72" s="451">
        <v>6031</v>
      </c>
      <c r="K72" s="451"/>
      <c r="L72" s="451"/>
      <c r="M72" s="454">
        <v>0</v>
      </c>
      <c r="N72" s="454">
        <v>0</v>
      </c>
      <c r="O72" s="454">
        <v>0</v>
      </c>
      <c r="P72" s="454">
        <v>0</v>
      </c>
      <c r="Q72" s="454">
        <v>0</v>
      </c>
      <c r="R72" s="454">
        <v>0</v>
      </c>
      <c r="S72" s="454"/>
      <c r="T72" s="454"/>
      <c r="U72" s="454"/>
      <c r="V72" s="454"/>
      <c r="W72" s="454"/>
      <c r="X72" s="454"/>
      <c r="Y72" s="454">
        <f t="shared" si="1"/>
        <v>0</v>
      </c>
      <c r="Z72" s="454">
        <v>1000</v>
      </c>
      <c r="AA72" s="451">
        <v>8</v>
      </c>
      <c r="AB72" s="587">
        <v>44252</v>
      </c>
      <c r="AC72" s="587">
        <v>44292</v>
      </c>
      <c r="AD72" s="454"/>
      <c r="AE72" s="451"/>
      <c r="AF72" s="587"/>
      <c r="AG72" s="587"/>
      <c r="AH72" s="454"/>
      <c r="AI72" s="451"/>
      <c r="AJ72" s="587"/>
      <c r="AK72" s="587"/>
      <c r="AL72" s="454"/>
      <c r="AM72" s="451"/>
      <c r="AN72" s="587"/>
      <c r="AO72" s="587"/>
      <c r="AP72" s="454"/>
      <c r="AQ72" s="451"/>
      <c r="AR72" s="588"/>
      <c r="AS72" s="588"/>
      <c r="AT72" s="154">
        <f t="shared" si="2"/>
        <v>1000</v>
      </c>
      <c r="AU72" s="461">
        <f t="shared" si="0"/>
        <v>1000</v>
      </c>
    </row>
    <row r="73" spans="2:47" s="148" customFormat="1" ht="22.5" x14ac:dyDescent="0.25">
      <c r="B73" s="149">
        <v>58</v>
      </c>
      <c r="C73" s="149" t="s">
        <v>38</v>
      </c>
      <c r="D73" s="450">
        <v>30165823</v>
      </c>
      <c r="E73" s="451" t="s">
        <v>2190</v>
      </c>
      <c r="F73" s="451" t="s">
        <v>200</v>
      </c>
      <c r="G73" s="452" t="s">
        <v>2100</v>
      </c>
      <c r="H73" s="451" t="s">
        <v>2191</v>
      </c>
      <c r="I73" s="451" t="s">
        <v>1958</v>
      </c>
      <c r="J73" s="451">
        <v>547589</v>
      </c>
      <c r="K73" s="451"/>
      <c r="L73" s="451"/>
      <c r="M73" s="454">
        <v>0</v>
      </c>
      <c r="N73" s="454">
        <v>0</v>
      </c>
      <c r="O73" s="454">
        <v>0</v>
      </c>
      <c r="P73" s="454">
        <v>0</v>
      </c>
      <c r="Q73" s="454">
        <v>0</v>
      </c>
      <c r="R73" s="454">
        <v>0</v>
      </c>
      <c r="S73" s="454"/>
      <c r="T73" s="454"/>
      <c r="U73" s="454"/>
      <c r="V73" s="454"/>
      <c r="W73" s="454"/>
      <c r="X73" s="454"/>
      <c r="Y73" s="454">
        <f t="shared" si="1"/>
        <v>0</v>
      </c>
      <c r="Z73" s="454">
        <v>1000</v>
      </c>
      <c r="AA73" s="451">
        <v>8</v>
      </c>
      <c r="AB73" s="587">
        <v>44252</v>
      </c>
      <c r="AC73" s="587">
        <v>44292</v>
      </c>
      <c r="AD73" s="454"/>
      <c r="AE73" s="451"/>
      <c r="AF73" s="587"/>
      <c r="AG73" s="587"/>
      <c r="AH73" s="454"/>
      <c r="AI73" s="451"/>
      <c r="AJ73" s="587"/>
      <c r="AK73" s="587"/>
      <c r="AL73" s="454"/>
      <c r="AM73" s="451"/>
      <c r="AN73" s="587"/>
      <c r="AO73" s="587"/>
      <c r="AP73" s="454"/>
      <c r="AQ73" s="451"/>
      <c r="AR73" s="588"/>
      <c r="AS73" s="588"/>
      <c r="AT73" s="154">
        <f t="shared" si="2"/>
        <v>1000</v>
      </c>
      <c r="AU73" s="461">
        <f t="shared" si="0"/>
        <v>1000</v>
      </c>
    </row>
    <row r="74" spans="2:47" s="148" customFormat="1" ht="22.5" x14ac:dyDescent="0.25">
      <c r="B74" s="149">
        <v>59</v>
      </c>
      <c r="C74" s="149" t="s">
        <v>38</v>
      </c>
      <c r="D74" s="450">
        <v>30173824</v>
      </c>
      <c r="E74" s="451" t="s">
        <v>2192</v>
      </c>
      <c r="F74" s="451" t="s">
        <v>200</v>
      </c>
      <c r="G74" s="452" t="s">
        <v>2100</v>
      </c>
      <c r="H74" s="451" t="s">
        <v>2193</v>
      </c>
      <c r="I74" s="451" t="s">
        <v>1958</v>
      </c>
      <c r="J74" s="451">
        <v>327814</v>
      </c>
      <c r="K74" s="451"/>
      <c r="L74" s="451"/>
      <c r="M74" s="454">
        <v>256842.98</v>
      </c>
      <c r="N74" s="454">
        <v>3515</v>
      </c>
      <c r="O74" s="454">
        <v>0</v>
      </c>
      <c r="P74" s="454">
        <v>0</v>
      </c>
      <c r="Q74" s="454">
        <v>0</v>
      </c>
      <c r="R74" s="454">
        <v>129984.85799999999</v>
      </c>
      <c r="S74" s="454"/>
      <c r="T74" s="454"/>
      <c r="U74" s="454"/>
      <c r="V74" s="454"/>
      <c r="W74" s="454"/>
      <c r="X74" s="454"/>
      <c r="Y74" s="454">
        <f t="shared" si="1"/>
        <v>390342.83799999999</v>
      </c>
      <c r="Z74" s="454">
        <v>318148</v>
      </c>
      <c r="AA74" s="451">
        <v>4</v>
      </c>
      <c r="AB74" s="587">
        <v>44221</v>
      </c>
      <c r="AC74" s="587">
        <v>44280</v>
      </c>
      <c r="AD74" s="454">
        <v>7030</v>
      </c>
      <c r="AE74" s="451">
        <v>8</v>
      </c>
      <c r="AF74" s="587">
        <v>44252</v>
      </c>
      <c r="AG74" s="587">
        <v>44292</v>
      </c>
      <c r="AH74" s="454"/>
      <c r="AI74" s="451"/>
      <c r="AJ74" s="587"/>
      <c r="AK74" s="587"/>
      <c r="AL74" s="454"/>
      <c r="AM74" s="451"/>
      <c r="AN74" s="587"/>
      <c r="AO74" s="587"/>
      <c r="AP74" s="454"/>
      <c r="AQ74" s="451"/>
      <c r="AR74" s="588"/>
      <c r="AS74" s="588"/>
      <c r="AT74" s="154">
        <f t="shared" si="2"/>
        <v>325178</v>
      </c>
      <c r="AU74" s="461">
        <f t="shared" si="0"/>
        <v>-65164.837999999989</v>
      </c>
    </row>
    <row r="75" spans="2:47" s="148" customFormat="1" ht="22.5" x14ac:dyDescent="0.25">
      <c r="B75" s="149">
        <v>60</v>
      </c>
      <c r="C75" s="149" t="s">
        <v>38</v>
      </c>
      <c r="D75" s="450">
        <v>30207272</v>
      </c>
      <c r="E75" s="451" t="s">
        <v>2194</v>
      </c>
      <c r="F75" s="451" t="s">
        <v>200</v>
      </c>
      <c r="G75" s="452" t="s">
        <v>2100</v>
      </c>
      <c r="H75" s="451" t="s">
        <v>2195</v>
      </c>
      <c r="I75" s="451" t="s">
        <v>1958</v>
      </c>
      <c r="J75" s="451">
        <v>3001809</v>
      </c>
      <c r="K75" s="451"/>
      <c r="L75" s="451"/>
      <c r="M75" s="454">
        <v>0</v>
      </c>
      <c r="N75" s="454">
        <v>0</v>
      </c>
      <c r="O75" s="454">
        <v>0</v>
      </c>
      <c r="P75" s="454">
        <v>0</v>
      </c>
      <c r="Q75" s="454">
        <v>0</v>
      </c>
      <c r="R75" s="454">
        <v>0</v>
      </c>
      <c r="S75" s="454"/>
      <c r="T75" s="454"/>
      <c r="U75" s="454"/>
      <c r="V75" s="454"/>
      <c r="W75" s="454"/>
      <c r="X75" s="454"/>
      <c r="Y75" s="454">
        <f t="shared" si="1"/>
        <v>0</v>
      </c>
      <c r="Z75" s="454">
        <v>1000</v>
      </c>
      <c r="AA75" s="451">
        <v>8</v>
      </c>
      <c r="AB75" s="587">
        <v>44252</v>
      </c>
      <c r="AC75" s="587">
        <v>44292</v>
      </c>
      <c r="AD75" s="454"/>
      <c r="AE75" s="451"/>
      <c r="AF75" s="587"/>
      <c r="AG75" s="587"/>
      <c r="AH75" s="454"/>
      <c r="AI75" s="451"/>
      <c r="AJ75" s="587"/>
      <c r="AK75" s="587"/>
      <c r="AL75" s="454"/>
      <c r="AM75" s="451"/>
      <c r="AN75" s="587"/>
      <c r="AO75" s="587"/>
      <c r="AP75" s="454"/>
      <c r="AQ75" s="451"/>
      <c r="AR75" s="588"/>
      <c r="AS75" s="588"/>
      <c r="AT75" s="154">
        <f t="shared" si="2"/>
        <v>1000</v>
      </c>
      <c r="AU75" s="461">
        <f t="shared" si="0"/>
        <v>1000</v>
      </c>
    </row>
    <row r="76" spans="2:47" s="148" customFormat="1" ht="22.5" x14ac:dyDescent="0.25">
      <c r="B76" s="149">
        <v>61</v>
      </c>
      <c r="C76" s="149" t="s">
        <v>38</v>
      </c>
      <c r="D76" s="450">
        <v>30210672</v>
      </c>
      <c r="E76" s="451" t="s">
        <v>2196</v>
      </c>
      <c r="F76" s="451" t="s">
        <v>204</v>
      </c>
      <c r="G76" s="452" t="s">
        <v>2100</v>
      </c>
      <c r="H76" s="451" t="s">
        <v>2197</v>
      </c>
      <c r="I76" s="451" t="s">
        <v>1958</v>
      </c>
      <c r="J76" s="451">
        <v>42796</v>
      </c>
      <c r="K76" s="451"/>
      <c r="L76" s="451"/>
      <c r="M76" s="454">
        <v>0</v>
      </c>
      <c r="N76" s="454">
        <v>0</v>
      </c>
      <c r="O76" s="454">
        <v>0</v>
      </c>
      <c r="P76" s="454">
        <v>0</v>
      </c>
      <c r="Q76" s="454">
        <v>0</v>
      </c>
      <c r="R76" s="454">
        <v>0</v>
      </c>
      <c r="S76" s="454"/>
      <c r="T76" s="454"/>
      <c r="U76" s="454"/>
      <c r="V76" s="454"/>
      <c r="W76" s="454"/>
      <c r="X76" s="454"/>
      <c r="Y76" s="454">
        <f t="shared" si="1"/>
        <v>0</v>
      </c>
      <c r="Z76" s="454">
        <v>1000</v>
      </c>
      <c r="AA76" s="451">
        <v>8</v>
      </c>
      <c r="AB76" s="587">
        <v>44252</v>
      </c>
      <c r="AC76" s="587">
        <v>44292</v>
      </c>
      <c r="AD76" s="454"/>
      <c r="AE76" s="451"/>
      <c r="AF76" s="587"/>
      <c r="AG76" s="587"/>
      <c r="AH76" s="454"/>
      <c r="AI76" s="451"/>
      <c r="AJ76" s="587"/>
      <c r="AK76" s="587"/>
      <c r="AL76" s="454"/>
      <c r="AM76" s="451"/>
      <c r="AN76" s="587"/>
      <c r="AO76" s="587"/>
      <c r="AP76" s="454"/>
      <c r="AQ76" s="451"/>
      <c r="AR76" s="588"/>
      <c r="AS76" s="588"/>
      <c r="AT76" s="154">
        <f t="shared" si="2"/>
        <v>1000</v>
      </c>
      <c r="AU76" s="461">
        <f t="shared" si="0"/>
        <v>1000</v>
      </c>
    </row>
    <row r="77" spans="2:47" s="148" customFormat="1" ht="22.5" x14ac:dyDescent="0.25">
      <c r="B77" s="149">
        <v>62</v>
      </c>
      <c r="C77" s="149" t="s">
        <v>38</v>
      </c>
      <c r="D77" s="450">
        <v>30217374</v>
      </c>
      <c r="E77" s="451" t="s">
        <v>2198</v>
      </c>
      <c r="F77" s="451" t="s">
        <v>200</v>
      </c>
      <c r="G77" s="452" t="s">
        <v>2100</v>
      </c>
      <c r="H77" s="451" t="s">
        <v>2154</v>
      </c>
      <c r="I77" s="451" t="s">
        <v>1958</v>
      </c>
      <c r="J77" s="451">
        <v>6295</v>
      </c>
      <c r="K77" s="451"/>
      <c r="L77" s="451"/>
      <c r="M77" s="454">
        <v>0</v>
      </c>
      <c r="N77" s="454">
        <v>0</v>
      </c>
      <c r="O77" s="454">
        <v>0</v>
      </c>
      <c r="P77" s="454">
        <v>0</v>
      </c>
      <c r="Q77" s="454">
        <v>0</v>
      </c>
      <c r="R77" s="454">
        <v>0</v>
      </c>
      <c r="S77" s="454"/>
      <c r="T77" s="454"/>
      <c r="U77" s="454"/>
      <c r="V77" s="454"/>
      <c r="W77" s="454"/>
      <c r="X77" s="454"/>
      <c r="Y77" s="454">
        <f t="shared" si="1"/>
        <v>0</v>
      </c>
      <c r="Z77" s="454">
        <v>1000</v>
      </c>
      <c r="AA77" s="451">
        <v>1</v>
      </c>
      <c r="AB77" s="587">
        <v>44207</v>
      </c>
      <c r="AC77" s="587">
        <v>44249</v>
      </c>
      <c r="AD77" s="454"/>
      <c r="AE77" s="451"/>
      <c r="AF77" s="587"/>
      <c r="AG77" s="587"/>
      <c r="AH77" s="454"/>
      <c r="AI77" s="451"/>
      <c r="AJ77" s="587"/>
      <c r="AK77" s="587"/>
      <c r="AL77" s="454"/>
      <c r="AM77" s="451"/>
      <c r="AN77" s="587"/>
      <c r="AO77" s="587"/>
      <c r="AP77" s="454"/>
      <c r="AQ77" s="451"/>
      <c r="AR77" s="588"/>
      <c r="AS77" s="588"/>
      <c r="AT77" s="154">
        <f t="shared" si="2"/>
        <v>1000</v>
      </c>
      <c r="AU77" s="461">
        <f t="shared" si="0"/>
        <v>1000</v>
      </c>
    </row>
    <row r="78" spans="2:47" s="148" customFormat="1" ht="22.5" x14ac:dyDescent="0.25">
      <c r="B78" s="149">
        <v>63</v>
      </c>
      <c r="C78" s="149" t="s">
        <v>38</v>
      </c>
      <c r="D78" s="450">
        <v>30264278</v>
      </c>
      <c r="E78" s="451" t="s">
        <v>2199</v>
      </c>
      <c r="F78" s="451" t="s">
        <v>204</v>
      </c>
      <c r="G78" s="452" t="s">
        <v>2100</v>
      </c>
      <c r="H78" s="451" t="s">
        <v>2200</v>
      </c>
      <c r="I78" s="451" t="s">
        <v>1958</v>
      </c>
      <c r="J78" s="451">
        <v>36900</v>
      </c>
      <c r="K78" s="451"/>
      <c r="L78" s="451"/>
      <c r="M78" s="454">
        <v>24600</v>
      </c>
      <c r="N78" s="454">
        <v>0</v>
      </c>
      <c r="O78" s="454">
        <v>0</v>
      </c>
      <c r="P78" s="454">
        <v>12300</v>
      </c>
      <c r="Q78" s="454">
        <v>0</v>
      </c>
      <c r="R78" s="454">
        <v>0</v>
      </c>
      <c r="S78" s="454"/>
      <c r="T78" s="454"/>
      <c r="U78" s="454"/>
      <c r="V78" s="454"/>
      <c r="W78" s="454"/>
      <c r="X78" s="454"/>
      <c r="Y78" s="454">
        <f t="shared" si="1"/>
        <v>36900</v>
      </c>
      <c r="Z78" s="454">
        <v>36900</v>
      </c>
      <c r="AA78" s="451">
        <v>4</v>
      </c>
      <c r="AB78" s="587">
        <v>44221</v>
      </c>
      <c r="AC78" s="587">
        <v>44280</v>
      </c>
      <c r="AD78" s="454"/>
      <c r="AE78" s="451"/>
      <c r="AF78" s="587"/>
      <c r="AG78" s="587"/>
      <c r="AH78" s="454"/>
      <c r="AI78" s="451"/>
      <c r="AJ78" s="587"/>
      <c r="AK78" s="587"/>
      <c r="AL78" s="454"/>
      <c r="AM78" s="451"/>
      <c r="AN78" s="587"/>
      <c r="AO78" s="587"/>
      <c r="AP78" s="454"/>
      <c r="AQ78" s="451"/>
      <c r="AR78" s="588"/>
      <c r="AS78" s="588"/>
      <c r="AT78" s="154">
        <f t="shared" si="2"/>
        <v>36900</v>
      </c>
      <c r="AU78" s="461">
        <f t="shared" si="0"/>
        <v>0</v>
      </c>
    </row>
    <row r="79" spans="2:47" s="148" customFormat="1" ht="22.5" x14ac:dyDescent="0.25">
      <c r="B79" s="149">
        <v>64</v>
      </c>
      <c r="C79" s="149" t="s">
        <v>38</v>
      </c>
      <c r="D79" s="450">
        <v>30274325</v>
      </c>
      <c r="E79" s="451" t="s">
        <v>2201</v>
      </c>
      <c r="F79" s="451" t="s">
        <v>200</v>
      </c>
      <c r="G79" s="452" t="s">
        <v>2100</v>
      </c>
      <c r="H79" s="451" t="s">
        <v>2202</v>
      </c>
      <c r="I79" s="451" t="s">
        <v>1958</v>
      </c>
      <c r="J79" s="451">
        <v>1758535</v>
      </c>
      <c r="K79" s="451"/>
      <c r="L79" s="451"/>
      <c r="M79" s="454">
        <v>176088.49799999999</v>
      </c>
      <c r="N79" s="454">
        <v>52140.61</v>
      </c>
      <c r="O79" s="454">
        <v>0</v>
      </c>
      <c r="P79" s="454">
        <v>94122.603000000003</v>
      </c>
      <c r="Q79" s="454">
        <v>0</v>
      </c>
      <c r="R79" s="454">
        <v>159526.52100000001</v>
      </c>
      <c r="S79" s="454"/>
      <c r="T79" s="454"/>
      <c r="U79" s="454"/>
      <c r="V79" s="454"/>
      <c r="W79" s="454"/>
      <c r="X79" s="454"/>
      <c r="Y79" s="454">
        <f t="shared" si="1"/>
        <v>481878.23200000002</v>
      </c>
      <c r="Z79" s="454">
        <v>400000</v>
      </c>
      <c r="AA79" s="451">
        <v>4</v>
      </c>
      <c r="AB79" s="587">
        <v>44221</v>
      </c>
      <c r="AC79" s="587">
        <v>44280</v>
      </c>
      <c r="AD79" s="454">
        <v>350000</v>
      </c>
      <c r="AE79" s="451">
        <v>10</v>
      </c>
      <c r="AF79" s="587">
        <v>44286</v>
      </c>
      <c r="AG79" s="587">
        <v>44306</v>
      </c>
      <c r="AH79" s="454">
        <v>772</v>
      </c>
      <c r="AI79" s="451">
        <v>14</v>
      </c>
      <c r="AJ79" s="587">
        <v>44313</v>
      </c>
      <c r="AK79" s="587">
        <v>44322</v>
      </c>
      <c r="AL79" s="454">
        <v>0</v>
      </c>
      <c r="AM79" s="451">
        <v>0</v>
      </c>
      <c r="AN79" s="587"/>
      <c r="AO79" s="587"/>
      <c r="AP79" s="454"/>
      <c r="AQ79" s="451"/>
      <c r="AR79" s="588"/>
      <c r="AS79" s="588"/>
      <c r="AT79" s="154">
        <f t="shared" si="2"/>
        <v>750772</v>
      </c>
      <c r="AU79" s="461">
        <f t="shared" si="0"/>
        <v>268893.76799999998</v>
      </c>
    </row>
    <row r="80" spans="2:47" s="148" customFormat="1" ht="22.5" x14ac:dyDescent="0.25">
      <c r="B80" s="149">
        <v>65</v>
      </c>
      <c r="C80" s="149" t="s">
        <v>38</v>
      </c>
      <c r="D80" s="450">
        <v>30280272</v>
      </c>
      <c r="E80" s="451" t="s">
        <v>2203</v>
      </c>
      <c r="F80" s="451" t="s">
        <v>200</v>
      </c>
      <c r="G80" s="452" t="s">
        <v>2100</v>
      </c>
      <c r="H80" s="451" t="s">
        <v>2130</v>
      </c>
      <c r="I80" s="451" t="s">
        <v>1958</v>
      </c>
      <c r="J80" s="451">
        <v>13986</v>
      </c>
      <c r="K80" s="451"/>
      <c r="L80" s="451"/>
      <c r="M80" s="454">
        <v>0</v>
      </c>
      <c r="N80" s="454">
        <v>0</v>
      </c>
      <c r="O80" s="454">
        <v>0</v>
      </c>
      <c r="P80" s="454">
        <v>0</v>
      </c>
      <c r="Q80" s="454">
        <v>0</v>
      </c>
      <c r="R80" s="454">
        <v>0</v>
      </c>
      <c r="S80" s="454"/>
      <c r="T80" s="454"/>
      <c r="U80" s="454"/>
      <c r="V80" s="454"/>
      <c r="W80" s="454"/>
      <c r="X80" s="454"/>
      <c r="Y80" s="454">
        <f t="shared" si="1"/>
        <v>0</v>
      </c>
      <c r="Z80" s="454">
        <v>1000</v>
      </c>
      <c r="AA80" s="451">
        <v>8</v>
      </c>
      <c r="AB80" s="587">
        <v>44252</v>
      </c>
      <c r="AC80" s="587">
        <v>44292</v>
      </c>
      <c r="AD80" s="454"/>
      <c r="AE80" s="451"/>
      <c r="AF80" s="587"/>
      <c r="AG80" s="587"/>
      <c r="AH80" s="454"/>
      <c r="AI80" s="451"/>
      <c r="AJ80" s="587"/>
      <c r="AK80" s="587"/>
      <c r="AL80" s="454"/>
      <c r="AM80" s="451"/>
      <c r="AN80" s="587"/>
      <c r="AO80" s="587"/>
      <c r="AP80" s="454"/>
      <c r="AQ80" s="451"/>
      <c r="AR80" s="588"/>
      <c r="AS80" s="588"/>
      <c r="AT80" s="154">
        <f t="shared" si="2"/>
        <v>1000</v>
      </c>
      <c r="AU80" s="461">
        <f t="shared" ref="AU80:AU143" si="3">+AT80-Y80</f>
        <v>1000</v>
      </c>
    </row>
    <row r="81" spans="2:47" s="148" customFormat="1" ht="22.5" x14ac:dyDescent="0.25">
      <c r="B81" s="149">
        <v>66</v>
      </c>
      <c r="C81" s="149" t="s">
        <v>38</v>
      </c>
      <c r="D81" s="450">
        <v>30282124</v>
      </c>
      <c r="E81" s="451" t="s">
        <v>2204</v>
      </c>
      <c r="F81" s="451" t="s">
        <v>200</v>
      </c>
      <c r="G81" s="452" t="s">
        <v>2100</v>
      </c>
      <c r="H81" s="451" t="s">
        <v>2158</v>
      </c>
      <c r="I81" s="451" t="s">
        <v>1958</v>
      </c>
      <c r="J81" s="451">
        <v>401223</v>
      </c>
      <c r="K81" s="451"/>
      <c r="L81" s="451"/>
      <c r="M81" s="454">
        <v>0</v>
      </c>
      <c r="N81" s="454">
        <v>0</v>
      </c>
      <c r="O81" s="454">
        <v>0</v>
      </c>
      <c r="P81" s="454">
        <v>0</v>
      </c>
      <c r="Q81" s="454">
        <v>0</v>
      </c>
      <c r="R81" s="454">
        <v>0</v>
      </c>
      <c r="S81" s="454"/>
      <c r="T81" s="454"/>
      <c r="U81" s="454"/>
      <c r="V81" s="454"/>
      <c r="W81" s="454"/>
      <c r="X81" s="454"/>
      <c r="Y81" s="454">
        <f t="shared" ref="Y81:Y144" si="4">SUM(M81:X81)</f>
        <v>0</v>
      </c>
      <c r="Z81" s="454">
        <v>150000</v>
      </c>
      <c r="AA81" s="451">
        <v>8</v>
      </c>
      <c r="AB81" s="587">
        <v>44252</v>
      </c>
      <c r="AC81" s="587">
        <v>44292</v>
      </c>
      <c r="AD81" s="454"/>
      <c r="AE81" s="451"/>
      <c r="AF81" s="587"/>
      <c r="AG81" s="587"/>
      <c r="AH81" s="454"/>
      <c r="AI81" s="451"/>
      <c r="AJ81" s="587"/>
      <c r="AK81" s="587"/>
      <c r="AL81" s="454"/>
      <c r="AM81" s="451"/>
      <c r="AN81" s="587"/>
      <c r="AO81" s="587"/>
      <c r="AP81" s="454"/>
      <c r="AQ81" s="451"/>
      <c r="AR81" s="588"/>
      <c r="AS81" s="588"/>
      <c r="AT81" s="154">
        <f t="shared" ref="AT81:AT144" si="5">+Z81+AD81+AH81+AL81+AP81</f>
        <v>150000</v>
      </c>
      <c r="AU81" s="461">
        <f t="shared" si="3"/>
        <v>150000</v>
      </c>
    </row>
    <row r="82" spans="2:47" s="148" customFormat="1" ht="22.5" x14ac:dyDescent="0.25">
      <c r="B82" s="149">
        <v>67</v>
      </c>
      <c r="C82" s="149" t="s">
        <v>38</v>
      </c>
      <c r="D82" s="450">
        <v>30301973</v>
      </c>
      <c r="E82" s="451" t="s">
        <v>2205</v>
      </c>
      <c r="F82" s="451" t="s">
        <v>200</v>
      </c>
      <c r="G82" s="452" t="s">
        <v>2100</v>
      </c>
      <c r="H82" s="451" t="s">
        <v>2139</v>
      </c>
      <c r="I82" s="451" t="s">
        <v>1958</v>
      </c>
      <c r="J82" s="451">
        <v>5621338</v>
      </c>
      <c r="K82" s="451"/>
      <c r="L82" s="451"/>
      <c r="M82" s="454">
        <v>0</v>
      </c>
      <c r="N82" s="454">
        <v>5000</v>
      </c>
      <c r="O82" s="454">
        <v>299646.55699999997</v>
      </c>
      <c r="P82" s="454">
        <v>336586.66600000003</v>
      </c>
      <c r="Q82" s="454">
        <v>0</v>
      </c>
      <c r="R82" s="454">
        <v>405176.288</v>
      </c>
      <c r="S82" s="454"/>
      <c r="T82" s="454"/>
      <c r="U82" s="454"/>
      <c r="V82" s="454"/>
      <c r="W82" s="454"/>
      <c r="X82" s="454"/>
      <c r="Y82" s="454">
        <f t="shared" si="4"/>
        <v>1046409.5109999999</v>
      </c>
      <c r="Z82" s="454">
        <v>15000</v>
      </c>
      <c r="AA82" s="451">
        <v>8</v>
      </c>
      <c r="AB82" s="587">
        <v>44252</v>
      </c>
      <c r="AC82" s="587">
        <v>44292</v>
      </c>
      <c r="AD82" s="454">
        <v>600000</v>
      </c>
      <c r="AE82" s="451">
        <v>10</v>
      </c>
      <c r="AF82" s="587">
        <v>44286</v>
      </c>
      <c r="AG82" s="587">
        <v>44306</v>
      </c>
      <c r="AH82" s="454">
        <v>400000</v>
      </c>
      <c r="AI82" s="451">
        <v>14</v>
      </c>
      <c r="AJ82" s="587">
        <v>44313</v>
      </c>
      <c r="AK82" s="587">
        <v>44322</v>
      </c>
      <c r="AL82" s="454">
        <v>0</v>
      </c>
      <c r="AM82" s="451">
        <v>0</v>
      </c>
      <c r="AN82" s="587"/>
      <c r="AO82" s="587"/>
      <c r="AP82" s="454"/>
      <c r="AQ82" s="451"/>
      <c r="AR82" s="588"/>
      <c r="AS82" s="588"/>
      <c r="AT82" s="154">
        <f t="shared" si="5"/>
        <v>1015000</v>
      </c>
      <c r="AU82" s="461">
        <f t="shared" si="3"/>
        <v>-31409.51099999994</v>
      </c>
    </row>
    <row r="83" spans="2:47" s="148" customFormat="1" x14ac:dyDescent="0.25">
      <c r="B83" s="149">
        <v>68</v>
      </c>
      <c r="C83" s="149" t="s">
        <v>38</v>
      </c>
      <c r="D83" s="450">
        <v>30312723</v>
      </c>
      <c r="E83" s="451" t="s">
        <v>2206</v>
      </c>
      <c r="F83" s="451" t="s">
        <v>200</v>
      </c>
      <c r="G83" s="452" t="s">
        <v>2100</v>
      </c>
      <c r="H83" s="451" t="s">
        <v>2191</v>
      </c>
      <c r="I83" s="451" t="s">
        <v>1958</v>
      </c>
      <c r="J83" s="451">
        <v>9862</v>
      </c>
      <c r="K83" s="451"/>
      <c r="L83" s="451"/>
      <c r="M83" s="454">
        <v>9548.4689999999991</v>
      </c>
      <c r="N83" s="454">
        <v>0</v>
      </c>
      <c r="O83" s="454">
        <v>0</v>
      </c>
      <c r="P83" s="454">
        <v>0</v>
      </c>
      <c r="Q83" s="454">
        <v>0</v>
      </c>
      <c r="R83" s="454">
        <v>0</v>
      </c>
      <c r="S83" s="454"/>
      <c r="T83" s="454"/>
      <c r="U83" s="454"/>
      <c r="V83" s="454"/>
      <c r="W83" s="454"/>
      <c r="X83" s="454"/>
      <c r="Y83" s="454">
        <f t="shared" si="4"/>
        <v>9548.4689999999991</v>
      </c>
      <c r="Z83" s="454">
        <v>9549</v>
      </c>
      <c r="AA83" s="451">
        <v>4</v>
      </c>
      <c r="AB83" s="587">
        <v>44221</v>
      </c>
      <c r="AC83" s="587">
        <v>44280</v>
      </c>
      <c r="AD83" s="454"/>
      <c r="AE83" s="451"/>
      <c r="AF83" s="587"/>
      <c r="AG83" s="587"/>
      <c r="AH83" s="454"/>
      <c r="AI83" s="451"/>
      <c r="AJ83" s="587"/>
      <c r="AK83" s="587"/>
      <c r="AL83" s="454"/>
      <c r="AM83" s="451"/>
      <c r="AN83" s="587"/>
      <c r="AO83" s="587"/>
      <c r="AP83" s="454"/>
      <c r="AQ83" s="451"/>
      <c r="AR83" s="588"/>
      <c r="AS83" s="588"/>
      <c r="AT83" s="154">
        <f t="shared" si="5"/>
        <v>9549</v>
      </c>
      <c r="AU83" s="461">
        <f t="shared" si="3"/>
        <v>0.53100000000085856</v>
      </c>
    </row>
    <row r="84" spans="2:47" s="148" customFormat="1" ht="22.5" x14ac:dyDescent="0.25">
      <c r="B84" s="149">
        <v>69</v>
      </c>
      <c r="C84" s="149" t="s">
        <v>38</v>
      </c>
      <c r="D84" s="450">
        <v>30322072</v>
      </c>
      <c r="E84" s="451" t="s">
        <v>2207</v>
      </c>
      <c r="F84" s="451" t="s">
        <v>200</v>
      </c>
      <c r="G84" s="452" t="s">
        <v>2100</v>
      </c>
      <c r="H84" s="451" t="s">
        <v>2149</v>
      </c>
      <c r="I84" s="451" t="s">
        <v>1958</v>
      </c>
      <c r="J84" s="451">
        <v>54926</v>
      </c>
      <c r="K84" s="451"/>
      <c r="L84" s="451"/>
      <c r="M84" s="454">
        <v>0</v>
      </c>
      <c r="N84" s="454">
        <v>0</v>
      </c>
      <c r="O84" s="454">
        <v>0</v>
      </c>
      <c r="P84" s="454">
        <v>0</v>
      </c>
      <c r="Q84" s="454">
        <v>0</v>
      </c>
      <c r="R84" s="454">
        <v>0</v>
      </c>
      <c r="S84" s="454"/>
      <c r="T84" s="454"/>
      <c r="U84" s="454"/>
      <c r="V84" s="454"/>
      <c r="W84" s="454"/>
      <c r="X84" s="454"/>
      <c r="Y84" s="454">
        <f t="shared" si="4"/>
        <v>0</v>
      </c>
      <c r="Z84" s="454">
        <v>1000</v>
      </c>
      <c r="AA84" s="451">
        <v>8</v>
      </c>
      <c r="AB84" s="587">
        <v>44252</v>
      </c>
      <c r="AC84" s="587">
        <v>44292</v>
      </c>
      <c r="AD84" s="454"/>
      <c r="AE84" s="451"/>
      <c r="AF84" s="587"/>
      <c r="AG84" s="587"/>
      <c r="AH84" s="454"/>
      <c r="AI84" s="451"/>
      <c r="AJ84" s="587"/>
      <c r="AK84" s="587"/>
      <c r="AL84" s="454"/>
      <c r="AM84" s="451"/>
      <c r="AN84" s="587"/>
      <c r="AO84" s="587"/>
      <c r="AP84" s="454"/>
      <c r="AQ84" s="451"/>
      <c r="AR84" s="588"/>
      <c r="AS84" s="588"/>
      <c r="AT84" s="154">
        <f t="shared" si="5"/>
        <v>1000</v>
      </c>
      <c r="AU84" s="461">
        <f t="shared" si="3"/>
        <v>1000</v>
      </c>
    </row>
    <row r="85" spans="2:47" s="148" customFormat="1" ht="22.5" x14ac:dyDescent="0.25">
      <c r="B85" s="149">
        <v>70</v>
      </c>
      <c r="C85" s="149" t="s">
        <v>38</v>
      </c>
      <c r="D85" s="450">
        <v>30328276</v>
      </c>
      <c r="E85" s="451" t="s">
        <v>2208</v>
      </c>
      <c r="F85" s="451" t="s">
        <v>200</v>
      </c>
      <c r="G85" s="452" t="s">
        <v>2100</v>
      </c>
      <c r="H85" s="451" t="s">
        <v>2209</v>
      </c>
      <c r="I85" s="451" t="s">
        <v>1958</v>
      </c>
      <c r="J85" s="451">
        <v>3979</v>
      </c>
      <c r="K85" s="451"/>
      <c r="L85" s="451"/>
      <c r="M85" s="454">
        <v>0</v>
      </c>
      <c r="N85" s="454">
        <v>0</v>
      </c>
      <c r="O85" s="454">
        <v>0</v>
      </c>
      <c r="P85" s="454">
        <v>3978.723</v>
      </c>
      <c r="Q85" s="454">
        <v>0</v>
      </c>
      <c r="R85" s="454">
        <v>0</v>
      </c>
      <c r="S85" s="454"/>
      <c r="T85" s="454"/>
      <c r="U85" s="454"/>
      <c r="V85" s="454"/>
      <c r="W85" s="454"/>
      <c r="X85" s="454"/>
      <c r="Y85" s="454">
        <f t="shared" si="4"/>
        <v>3978.723</v>
      </c>
      <c r="Z85" s="454">
        <v>1000</v>
      </c>
      <c r="AA85" s="451">
        <v>8</v>
      </c>
      <c r="AB85" s="587">
        <v>44252</v>
      </c>
      <c r="AC85" s="587">
        <v>44292</v>
      </c>
      <c r="AD85" s="454">
        <v>2979</v>
      </c>
      <c r="AE85" s="451">
        <v>14</v>
      </c>
      <c r="AF85" s="587">
        <v>44313</v>
      </c>
      <c r="AG85" s="587">
        <v>44322</v>
      </c>
      <c r="AH85" s="454"/>
      <c r="AI85" s="451"/>
      <c r="AJ85" s="587"/>
      <c r="AK85" s="587"/>
      <c r="AL85" s="454"/>
      <c r="AM85" s="451"/>
      <c r="AN85" s="587"/>
      <c r="AO85" s="587"/>
      <c r="AP85" s="454"/>
      <c r="AQ85" s="451"/>
      <c r="AR85" s="588"/>
      <c r="AS85" s="588"/>
      <c r="AT85" s="154">
        <f t="shared" si="5"/>
        <v>3979</v>
      </c>
      <c r="AU85" s="461">
        <f t="shared" si="3"/>
        <v>0.27700000000004366</v>
      </c>
    </row>
    <row r="86" spans="2:47" s="148" customFormat="1" ht="33.75" x14ac:dyDescent="0.25">
      <c r="B86" s="149">
        <v>71</v>
      </c>
      <c r="C86" s="149" t="s">
        <v>38</v>
      </c>
      <c r="D86" s="450">
        <v>30349329</v>
      </c>
      <c r="E86" s="451" t="s">
        <v>2210</v>
      </c>
      <c r="F86" s="451" t="s">
        <v>200</v>
      </c>
      <c r="G86" s="452" t="s">
        <v>2100</v>
      </c>
      <c r="H86" s="451" t="s">
        <v>2113</v>
      </c>
      <c r="I86" s="451" t="s">
        <v>1958</v>
      </c>
      <c r="J86" s="451">
        <v>7498</v>
      </c>
      <c r="K86" s="451"/>
      <c r="L86" s="451"/>
      <c r="M86" s="454">
        <v>0</v>
      </c>
      <c r="N86" s="454">
        <v>0</v>
      </c>
      <c r="O86" s="454">
        <v>0</v>
      </c>
      <c r="P86" s="454">
        <v>0</v>
      </c>
      <c r="Q86" s="454">
        <v>0</v>
      </c>
      <c r="R86" s="454">
        <v>0</v>
      </c>
      <c r="S86" s="454"/>
      <c r="T86" s="454"/>
      <c r="U86" s="454"/>
      <c r="V86" s="454"/>
      <c r="W86" s="454"/>
      <c r="X86" s="454"/>
      <c r="Y86" s="454">
        <f t="shared" si="4"/>
        <v>0</v>
      </c>
      <c r="Z86" s="454">
        <v>1000</v>
      </c>
      <c r="AA86" s="451">
        <v>8</v>
      </c>
      <c r="AB86" s="587">
        <v>44252</v>
      </c>
      <c r="AC86" s="587">
        <v>44292</v>
      </c>
      <c r="AD86" s="454"/>
      <c r="AE86" s="451"/>
      <c r="AF86" s="587"/>
      <c r="AG86" s="587"/>
      <c r="AH86" s="454"/>
      <c r="AI86" s="451"/>
      <c r="AJ86" s="587"/>
      <c r="AK86" s="587"/>
      <c r="AL86" s="454"/>
      <c r="AM86" s="451"/>
      <c r="AN86" s="587"/>
      <c r="AO86" s="587"/>
      <c r="AP86" s="454"/>
      <c r="AQ86" s="451"/>
      <c r="AR86" s="588"/>
      <c r="AS86" s="588"/>
      <c r="AT86" s="154">
        <f t="shared" si="5"/>
        <v>1000</v>
      </c>
      <c r="AU86" s="461">
        <f t="shared" si="3"/>
        <v>1000</v>
      </c>
    </row>
    <row r="87" spans="2:47" s="148" customFormat="1" ht="22.5" x14ac:dyDescent="0.25">
      <c r="B87" s="149">
        <v>72</v>
      </c>
      <c r="C87" s="149" t="s">
        <v>38</v>
      </c>
      <c r="D87" s="450">
        <v>30355674</v>
      </c>
      <c r="E87" s="451" t="s">
        <v>2211</v>
      </c>
      <c r="F87" s="451" t="s">
        <v>204</v>
      </c>
      <c r="G87" s="452" t="s">
        <v>2100</v>
      </c>
      <c r="H87" s="451" t="s">
        <v>2167</v>
      </c>
      <c r="I87" s="451" t="s">
        <v>1958</v>
      </c>
      <c r="J87" s="451">
        <v>27822</v>
      </c>
      <c r="K87" s="451"/>
      <c r="L87" s="451"/>
      <c r="M87" s="454">
        <v>0</v>
      </c>
      <c r="N87" s="454">
        <v>0</v>
      </c>
      <c r="O87" s="454">
        <v>0</v>
      </c>
      <c r="P87" s="454">
        <v>0</v>
      </c>
      <c r="Q87" s="454">
        <v>26814.645</v>
      </c>
      <c r="R87" s="454">
        <v>0</v>
      </c>
      <c r="S87" s="454"/>
      <c r="T87" s="454"/>
      <c r="U87" s="454"/>
      <c r="V87" s="454"/>
      <c r="W87" s="454"/>
      <c r="X87" s="454"/>
      <c r="Y87" s="454">
        <f t="shared" si="4"/>
        <v>26814.645</v>
      </c>
      <c r="Z87" s="454">
        <v>1000</v>
      </c>
      <c r="AA87" s="451">
        <v>8</v>
      </c>
      <c r="AB87" s="587">
        <v>44252</v>
      </c>
      <c r="AC87" s="587">
        <v>44292</v>
      </c>
      <c r="AD87" s="454">
        <v>25814</v>
      </c>
      <c r="AE87" s="451">
        <v>18</v>
      </c>
      <c r="AF87" s="587">
        <v>44327</v>
      </c>
      <c r="AG87" s="587">
        <v>44341</v>
      </c>
      <c r="AH87" s="454"/>
      <c r="AI87" s="451"/>
      <c r="AJ87" s="587"/>
      <c r="AK87" s="587"/>
      <c r="AL87" s="454"/>
      <c r="AM87" s="451"/>
      <c r="AN87" s="587"/>
      <c r="AO87" s="587"/>
      <c r="AP87" s="454"/>
      <c r="AQ87" s="451"/>
      <c r="AR87" s="588"/>
      <c r="AS87" s="588"/>
      <c r="AT87" s="154">
        <f t="shared" si="5"/>
        <v>26814</v>
      </c>
      <c r="AU87" s="461">
        <f t="shared" si="3"/>
        <v>-0.64500000000043656</v>
      </c>
    </row>
    <row r="88" spans="2:47" s="148" customFormat="1" ht="22.5" x14ac:dyDescent="0.25">
      <c r="B88" s="149">
        <v>73</v>
      </c>
      <c r="C88" s="149" t="s">
        <v>38</v>
      </c>
      <c r="D88" s="450">
        <v>30356525</v>
      </c>
      <c r="E88" s="451" t="s">
        <v>2212</v>
      </c>
      <c r="F88" s="451" t="s">
        <v>200</v>
      </c>
      <c r="G88" s="452" t="s">
        <v>2100</v>
      </c>
      <c r="H88" s="451" t="s">
        <v>2202</v>
      </c>
      <c r="I88" s="451" t="s">
        <v>1958</v>
      </c>
      <c r="J88" s="451">
        <v>321411</v>
      </c>
      <c r="K88" s="451"/>
      <c r="L88" s="451"/>
      <c r="M88" s="454">
        <v>25491.381000000001</v>
      </c>
      <c r="N88" s="454">
        <v>42453.258000000002</v>
      </c>
      <c r="O88" s="454">
        <v>52999.332000000002</v>
      </c>
      <c r="P88" s="454">
        <v>49991.754999999997</v>
      </c>
      <c r="Q88" s="454">
        <v>33948.392</v>
      </c>
      <c r="R88" s="454">
        <v>29826.154999999999</v>
      </c>
      <c r="S88" s="454"/>
      <c r="T88" s="454"/>
      <c r="U88" s="454"/>
      <c r="V88" s="454"/>
      <c r="W88" s="454"/>
      <c r="X88" s="454"/>
      <c r="Y88" s="454">
        <f t="shared" si="4"/>
        <v>234710.27299999999</v>
      </c>
      <c r="Z88" s="454">
        <v>150000</v>
      </c>
      <c r="AA88" s="451">
        <v>4</v>
      </c>
      <c r="AB88" s="587">
        <v>44221</v>
      </c>
      <c r="AC88" s="587">
        <v>44280</v>
      </c>
      <c r="AD88" s="454">
        <v>100000</v>
      </c>
      <c r="AE88" s="451">
        <v>10</v>
      </c>
      <c r="AF88" s="587">
        <v>44286</v>
      </c>
      <c r="AG88" s="587">
        <v>44306</v>
      </c>
      <c r="AH88" s="454"/>
      <c r="AI88" s="451"/>
      <c r="AJ88" s="587"/>
      <c r="AK88" s="587"/>
      <c r="AL88" s="454"/>
      <c r="AM88" s="451"/>
      <c r="AN88" s="587"/>
      <c r="AO88" s="587"/>
      <c r="AP88" s="454"/>
      <c r="AQ88" s="451"/>
      <c r="AR88" s="588"/>
      <c r="AS88" s="588"/>
      <c r="AT88" s="154">
        <f t="shared" si="5"/>
        <v>250000</v>
      </c>
      <c r="AU88" s="461">
        <f t="shared" si="3"/>
        <v>15289.727000000014</v>
      </c>
    </row>
    <row r="89" spans="2:47" s="148" customFormat="1" ht="22.5" x14ac:dyDescent="0.25">
      <c r="B89" s="149">
        <v>74</v>
      </c>
      <c r="C89" s="149" t="s">
        <v>38</v>
      </c>
      <c r="D89" s="450">
        <v>30357332</v>
      </c>
      <c r="E89" s="451" t="s">
        <v>2213</v>
      </c>
      <c r="F89" s="451" t="s">
        <v>200</v>
      </c>
      <c r="G89" s="452" t="s">
        <v>2100</v>
      </c>
      <c r="H89" s="451" t="s">
        <v>2111</v>
      </c>
      <c r="I89" s="451" t="s">
        <v>1958</v>
      </c>
      <c r="J89" s="451">
        <v>98684</v>
      </c>
      <c r="K89" s="451"/>
      <c r="L89" s="451"/>
      <c r="M89" s="454">
        <v>60836.546999999999</v>
      </c>
      <c r="N89" s="454">
        <v>0</v>
      </c>
      <c r="O89" s="454">
        <v>34806.428</v>
      </c>
      <c r="P89" s="454">
        <v>0</v>
      </c>
      <c r="Q89" s="454">
        <v>0</v>
      </c>
      <c r="R89" s="454">
        <v>0</v>
      </c>
      <c r="S89" s="454"/>
      <c r="T89" s="454"/>
      <c r="U89" s="454"/>
      <c r="V89" s="454"/>
      <c r="W89" s="454"/>
      <c r="X89" s="454"/>
      <c r="Y89" s="454">
        <f t="shared" si="4"/>
        <v>95642.975000000006</v>
      </c>
      <c r="Z89" s="454">
        <v>98684</v>
      </c>
      <c r="AA89" s="451">
        <v>4</v>
      </c>
      <c r="AB89" s="587">
        <v>44221</v>
      </c>
      <c r="AC89" s="587">
        <v>44280</v>
      </c>
      <c r="AD89" s="454"/>
      <c r="AE89" s="451"/>
      <c r="AF89" s="587"/>
      <c r="AG89" s="587"/>
      <c r="AH89" s="454"/>
      <c r="AI89" s="451"/>
      <c r="AJ89" s="587"/>
      <c r="AK89" s="587"/>
      <c r="AL89" s="454"/>
      <c r="AM89" s="451"/>
      <c r="AN89" s="587"/>
      <c r="AO89" s="587"/>
      <c r="AP89" s="454"/>
      <c r="AQ89" s="451"/>
      <c r="AR89" s="588"/>
      <c r="AS89" s="588"/>
      <c r="AT89" s="154">
        <f t="shared" si="5"/>
        <v>98684</v>
      </c>
      <c r="AU89" s="461">
        <f t="shared" si="3"/>
        <v>3041.0249999999942</v>
      </c>
    </row>
    <row r="90" spans="2:47" s="148" customFormat="1" ht="22.5" x14ac:dyDescent="0.25">
      <c r="B90" s="149">
        <v>75</v>
      </c>
      <c r="C90" s="149" t="s">
        <v>38</v>
      </c>
      <c r="D90" s="450">
        <v>30362424</v>
      </c>
      <c r="E90" s="451" t="s">
        <v>2214</v>
      </c>
      <c r="F90" s="451" t="s">
        <v>200</v>
      </c>
      <c r="G90" s="452" t="s">
        <v>2100</v>
      </c>
      <c r="H90" s="451" t="s">
        <v>2167</v>
      </c>
      <c r="I90" s="451" t="s">
        <v>1961</v>
      </c>
      <c r="J90" s="451">
        <v>102</v>
      </c>
      <c r="K90" s="451"/>
      <c r="L90" s="451"/>
      <c r="M90" s="454">
        <v>0</v>
      </c>
      <c r="N90" s="454">
        <v>0</v>
      </c>
      <c r="O90" s="454">
        <v>0</v>
      </c>
      <c r="P90" s="454">
        <v>0</v>
      </c>
      <c r="Q90" s="454">
        <v>0</v>
      </c>
      <c r="R90" s="454">
        <v>0</v>
      </c>
      <c r="S90" s="454"/>
      <c r="T90" s="454"/>
      <c r="U90" s="454"/>
      <c r="V90" s="454"/>
      <c r="W90" s="454"/>
      <c r="X90" s="454"/>
      <c r="Y90" s="454">
        <f t="shared" si="4"/>
        <v>0</v>
      </c>
      <c r="Z90" s="454">
        <v>102</v>
      </c>
      <c r="AA90" s="451">
        <v>1</v>
      </c>
      <c r="AB90" s="587">
        <v>44207</v>
      </c>
      <c r="AC90" s="587">
        <v>44249</v>
      </c>
      <c r="AD90" s="454"/>
      <c r="AE90" s="451"/>
      <c r="AF90" s="587"/>
      <c r="AG90" s="587"/>
      <c r="AH90" s="454"/>
      <c r="AI90" s="451"/>
      <c r="AJ90" s="587"/>
      <c r="AK90" s="587"/>
      <c r="AL90" s="454"/>
      <c r="AM90" s="451"/>
      <c r="AN90" s="587"/>
      <c r="AO90" s="587"/>
      <c r="AP90" s="454"/>
      <c r="AQ90" s="451"/>
      <c r="AR90" s="588"/>
      <c r="AS90" s="588"/>
      <c r="AT90" s="154">
        <f t="shared" si="5"/>
        <v>102</v>
      </c>
      <c r="AU90" s="461">
        <f t="shared" si="3"/>
        <v>102</v>
      </c>
    </row>
    <row r="91" spans="2:47" s="148" customFormat="1" ht="22.5" x14ac:dyDescent="0.25">
      <c r="B91" s="149">
        <v>76</v>
      </c>
      <c r="C91" s="149" t="s">
        <v>38</v>
      </c>
      <c r="D91" s="450">
        <v>30362573</v>
      </c>
      <c r="E91" s="451" t="s">
        <v>2215</v>
      </c>
      <c r="F91" s="451" t="s">
        <v>204</v>
      </c>
      <c r="G91" s="452" t="s">
        <v>2100</v>
      </c>
      <c r="H91" s="451" t="s">
        <v>2202</v>
      </c>
      <c r="I91" s="451" t="s">
        <v>1958</v>
      </c>
      <c r="J91" s="451">
        <v>48807</v>
      </c>
      <c r="K91" s="451"/>
      <c r="L91" s="451"/>
      <c r="M91" s="454">
        <v>0</v>
      </c>
      <c r="N91" s="454">
        <v>0</v>
      </c>
      <c r="O91" s="454">
        <v>0</v>
      </c>
      <c r="P91" s="454">
        <v>0</v>
      </c>
      <c r="Q91" s="454">
        <v>0</v>
      </c>
      <c r="R91" s="454">
        <v>0</v>
      </c>
      <c r="S91" s="454"/>
      <c r="T91" s="454"/>
      <c r="U91" s="454"/>
      <c r="V91" s="454"/>
      <c r="W91" s="454"/>
      <c r="X91" s="454"/>
      <c r="Y91" s="454">
        <f t="shared" si="4"/>
        <v>0</v>
      </c>
      <c r="Z91" s="454">
        <v>1000</v>
      </c>
      <c r="AA91" s="451">
        <v>8</v>
      </c>
      <c r="AB91" s="587">
        <v>44252</v>
      </c>
      <c r="AC91" s="587">
        <v>44292</v>
      </c>
      <c r="AD91" s="454"/>
      <c r="AE91" s="451"/>
      <c r="AF91" s="587"/>
      <c r="AG91" s="587"/>
      <c r="AH91" s="454"/>
      <c r="AI91" s="451"/>
      <c r="AJ91" s="587"/>
      <c r="AK91" s="587"/>
      <c r="AL91" s="454"/>
      <c r="AM91" s="451"/>
      <c r="AN91" s="587"/>
      <c r="AO91" s="587"/>
      <c r="AP91" s="454"/>
      <c r="AQ91" s="451"/>
      <c r="AR91" s="588"/>
      <c r="AS91" s="588"/>
      <c r="AT91" s="154">
        <f t="shared" si="5"/>
        <v>1000</v>
      </c>
      <c r="AU91" s="461">
        <f t="shared" si="3"/>
        <v>1000</v>
      </c>
    </row>
    <row r="92" spans="2:47" s="148" customFormat="1" ht="22.5" x14ac:dyDescent="0.25">
      <c r="B92" s="149">
        <v>77</v>
      </c>
      <c r="C92" s="149" t="s">
        <v>38</v>
      </c>
      <c r="D92" s="450">
        <v>30367477</v>
      </c>
      <c r="E92" s="451" t="s">
        <v>2216</v>
      </c>
      <c r="F92" s="451" t="s">
        <v>200</v>
      </c>
      <c r="G92" s="452" t="s">
        <v>2100</v>
      </c>
      <c r="H92" s="451" t="s">
        <v>2103</v>
      </c>
      <c r="I92" s="451" t="s">
        <v>1961</v>
      </c>
      <c r="J92" s="451">
        <v>157410</v>
      </c>
      <c r="K92" s="451"/>
      <c r="L92" s="451"/>
      <c r="M92" s="454">
        <v>0</v>
      </c>
      <c r="N92" s="454">
        <v>0</v>
      </c>
      <c r="O92" s="454">
        <v>0</v>
      </c>
      <c r="P92" s="454">
        <v>0</v>
      </c>
      <c r="Q92" s="454">
        <v>0</v>
      </c>
      <c r="R92" s="454">
        <v>0</v>
      </c>
      <c r="S92" s="454"/>
      <c r="T92" s="454"/>
      <c r="U92" s="454"/>
      <c r="V92" s="454"/>
      <c r="W92" s="454"/>
      <c r="X92" s="454"/>
      <c r="Y92" s="454">
        <f t="shared" si="4"/>
        <v>0</v>
      </c>
      <c r="Z92" s="454">
        <v>1000</v>
      </c>
      <c r="AA92" s="451">
        <v>1</v>
      </c>
      <c r="AB92" s="587">
        <v>44207</v>
      </c>
      <c r="AC92" s="587">
        <v>44249</v>
      </c>
      <c r="AD92" s="454"/>
      <c r="AE92" s="451"/>
      <c r="AF92" s="587"/>
      <c r="AG92" s="587"/>
      <c r="AH92" s="454"/>
      <c r="AI92" s="451"/>
      <c r="AJ92" s="587"/>
      <c r="AK92" s="587"/>
      <c r="AL92" s="454"/>
      <c r="AM92" s="451"/>
      <c r="AN92" s="587"/>
      <c r="AO92" s="587"/>
      <c r="AP92" s="454"/>
      <c r="AQ92" s="451"/>
      <c r="AR92" s="588"/>
      <c r="AS92" s="588"/>
      <c r="AT92" s="154">
        <f t="shared" si="5"/>
        <v>1000</v>
      </c>
      <c r="AU92" s="461">
        <f t="shared" si="3"/>
        <v>1000</v>
      </c>
    </row>
    <row r="93" spans="2:47" s="148" customFormat="1" ht="22.5" x14ac:dyDescent="0.25">
      <c r="B93" s="149">
        <v>78</v>
      </c>
      <c r="C93" s="149" t="s">
        <v>38</v>
      </c>
      <c r="D93" s="450">
        <v>30367573</v>
      </c>
      <c r="E93" s="451" t="s">
        <v>2217</v>
      </c>
      <c r="F93" s="451" t="s">
        <v>200</v>
      </c>
      <c r="G93" s="452" t="s">
        <v>2100</v>
      </c>
      <c r="H93" s="451" t="s">
        <v>2103</v>
      </c>
      <c r="I93" s="451" t="s">
        <v>1958</v>
      </c>
      <c r="J93" s="451">
        <v>535002</v>
      </c>
      <c r="K93" s="451"/>
      <c r="L93" s="451"/>
      <c r="M93" s="454">
        <v>247862.51</v>
      </c>
      <c r="N93" s="454">
        <v>111566.766</v>
      </c>
      <c r="O93" s="454">
        <v>101476.04399999999</v>
      </c>
      <c r="P93" s="454">
        <v>54511.353000000003</v>
      </c>
      <c r="Q93" s="454">
        <v>1500</v>
      </c>
      <c r="R93" s="454">
        <v>9896.9539999999997</v>
      </c>
      <c r="S93" s="454"/>
      <c r="T93" s="454"/>
      <c r="U93" s="454"/>
      <c r="V93" s="454"/>
      <c r="W93" s="454"/>
      <c r="X93" s="454"/>
      <c r="Y93" s="454">
        <f t="shared" si="4"/>
        <v>526813.62699999998</v>
      </c>
      <c r="Z93" s="454">
        <v>1350</v>
      </c>
      <c r="AA93" s="451">
        <v>1</v>
      </c>
      <c r="AB93" s="587">
        <v>44207</v>
      </c>
      <c r="AC93" s="587">
        <v>44249</v>
      </c>
      <c r="AD93" s="454">
        <v>533480</v>
      </c>
      <c r="AE93" s="451">
        <v>4</v>
      </c>
      <c r="AF93" s="587">
        <v>44221</v>
      </c>
      <c r="AG93" s="587">
        <v>44280</v>
      </c>
      <c r="AH93" s="454"/>
      <c r="AI93" s="451"/>
      <c r="AJ93" s="587"/>
      <c r="AK93" s="587"/>
      <c r="AL93" s="454"/>
      <c r="AM93" s="451"/>
      <c r="AN93" s="587"/>
      <c r="AO93" s="587"/>
      <c r="AP93" s="454"/>
      <c r="AQ93" s="451"/>
      <c r="AR93" s="588"/>
      <c r="AS93" s="588"/>
      <c r="AT93" s="154">
        <f t="shared" si="5"/>
        <v>534830</v>
      </c>
      <c r="AU93" s="461">
        <f t="shared" si="3"/>
        <v>8016.3730000000214</v>
      </c>
    </row>
    <row r="94" spans="2:47" s="148" customFormat="1" ht="22.5" x14ac:dyDescent="0.25">
      <c r="B94" s="149">
        <v>79</v>
      </c>
      <c r="C94" s="149" t="s">
        <v>38</v>
      </c>
      <c r="D94" s="450">
        <v>30368972</v>
      </c>
      <c r="E94" s="451" t="s">
        <v>2218</v>
      </c>
      <c r="F94" s="451" t="s">
        <v>200</v>
      </c>
      <c r="G94" s="452" t="s">
        <v>2100</v>
      </c>
      <c r="H94" s="451" t="s">
        <v>2219</v>
      </c>
      <c r="I94" s="451" t="s">
        <v>1958</v>
      </c>
      <c r="J94" s="451">
        <v>8481</v>
      </c>
      <c r="K94" s="451"/>
      <c r="L94" s="451"/>
      <c r="M94" s="454">
        <v>0</v>
      </c>
      <c r="N94" s="454">
        <v>0</v>
      </c>
      <c r="O94" s="454">
        <v>3967.625</v>
      </c>
      <c r="P94" s="454">
        <v>582.6</v>
      </c>
      <c r="Q94" s="454">
        <v>0</v>
      </c>
      <c r="R94" s="454">
        <v>321.988</v>
      </c>
      <c r="S94" s="454"/>
      <c r="T94" s="454"/>
      <c r="U94" s="454"/>
      <c r="V94" s="454"/>
      <c r="W94" s="454"/>
      <c r="X94" s="454"/>
      <c r="Y94" s="454">
        <f t="shared" si="4"/>
        <v>4872.2130000000006</v>
      </c>
      <c r="Z94" s="454">
        <v>1000</v>
      </c>
      <c r="AA94" s="451">
        <v>8</v>
      </c>
      <c r="AB94" s="587">
        <v>44252</v>
      </c>
      <c r="AC94" s="587">
        <v>44292</v>
      </c>
      <c r="AD94" s="454">
        <v>4067</v>
      </c>
      <c r="AE94" s="451">
        <v>10</v>
      </c>
      <c r="AF94" s="587">
        <v>44286</v>
      </c>
      <c r="AG94" s="587">
        <v>44306</v>
      </c>
      <c r="AH94" s="454">
        <v>2000</v>
      </c>
      <c r="AI94" s="451">
        <v>14</v>
      </c>
      <c r="AJ94" s="587">
        <v>44313</v>
      </c>
      <c r="AK94" s="587">
        <v>44322</v>
      </c>
      <c r="AL94" s="454">
        <v>0</v>
      </c>
      <c r="AM94" s="451">
        <v>0</v>
      </c>
      <c r="AN94" s="587"/>
      <c r="AO94" s="587"/>
      <c r="AP94" s="454"/>
      <c r="AQ94" s="451"/>
      <c r="AR94" s="588"/>
      <c r="AS94" s="588"/>
      <c r="AT94" s="154">
        <f t="shared" si="5"/>
        <v>7067</v>
      </c>
      <c r="AU94" s="461">
        <f t="shared" si="3"/>
        <v>2194.7869999999994</v>
      </c>
    </row>
    <row r="95" spans="2:47" s="148" customFormat="1" ht="22.5" x14ac:dyDescent="0.25">
      <c r="B95" s="149">
        <v>80</v>
      </c>
      <c r="C95" s="149" t="s">
        <v>38</v>
      </c>
      <c r="D95" s="450">
        <v>30369533</v>
      </c>
      <c r="E95" s="451" t="s">
        <v>2220</v>
      </c>
      <c r="F95" s="451" t="s">
        <v>200</v>
      </c>
      <c r="G95" s="452" t="s">
        <v>2100</v>
      </c>
      <c r="H95" s="451" t="s">
        <v>2191</v>
      </c>
      <c r="I95" s="451" t="s">
        <v>1958</v>
      </c>
      <c r="J95" s="451">
        <v>885603</v>
      </c>
      <c r="K95" s="451"/>
      <c r="L95" s="451"/>
      <c r="M95" s="454">
        <v>0</v>
      </c>
      <c r="N95" s="454">
        <v>0</v>
      </c>
      <c r="O95" s="454">
        <v>0</v>
      </c>
      <c r="P95" s="454">
        <v>0</v>
      </c>
      <c r="Q95" s="454">
        <v>0</v>
      </c>
      <c r="R95" s="454">
        <v>0</v>
      </c>
      <c r="S95" s="454"/>
      <c r="T95" s="454"/>
      <c r="U95" s="454"/>
      <c r="V95" s="454"/>
      <c r="W95" s="454"/>
      <c r="X95" s="454"/>
      <c r="Y95" s="454">
        <f t="shared" si="4"/>
        <v>0</v>
      </c>
      <c r="Z95" s="454">
        <v>1000</v>
      </c>
      <c r="AA95" s="451">
        <v>8</v>
      </c>
      <c r="AB95" s="587">
        <v>44252</v>
      </c>
      <c r="AC95" s="587">
        <v>44292</v>
      </c>
      <c r="AD95" s="454"/>
      <c r="AE95" s="451"/>
      <c r="AF95" s="587"/>
      <c r="AG95" s="587"/>
      <c r="AH95" s="454"/>
      <c r="AI95" s="451"/>
      <c r="AJ95" s="587"/>
      <c r="AK95" s="587"/>
      <c r="AL95" s="454"/>
      <c r="AM95" s="451"/>
      <c r="AN95" s="587"/>
      <c r="AO95" s="587"/>
      <c r="AP95" s="454"/>
      <c r="AQ95" s="451"/>
      <c r="AR95" s="588"/>
      <c r="AS95" s="588"/>
      <c r="AT95" s="154">
        <f t="shared" si="5"/>
        <v>1000</v>
      </c>
      <c r="AU95" s="461">
        <f t="shared" si="3"/>
        <v>1000</v>
      </c>
    </row>
    <row r="96" spans="2:47" s="148" customFormat="1" ht="22.5" x14ac:dyDescent="0.25">
      <c r="B96" s="149">
        <v>81</v>
      </c>
      <c r="C96" s="149" t="s">
        <v>38</v>
      </c>
      <c r="D96" s="450">
        <v>30369572</v>
      </c>
      <c r="E96" s="451" t="s">
        <v>2221</v>
      </c>
      <c r="F96" s="451" t="s">
        <v>204</v>
      </c>
      <c r="G96" s="452" t="s">
        <v>2100</v>
      </c>
      <c r="H96" s="451" t="s">
        <v>2132</v>
      </c>
      <c r="I96" s="451" t="s">
        <v>1958</v>
      </c>
      <c r="J96" s="451">
        <v>27420</v>
      </c>
      <c r="K96" s="451"/>
      <c r="L96" s="451"/>
      <c r="M96" s="454">
        <v>0</v>
      </c>
      <c r="N96" s="454">
        <v>0</v>
      </c>
      <c r="O96" s="454">
        <v>0</v>
      </c>
      <c r="P96" s="454">
        <v>0</v>
      </c>
      <c r="Q96" s="454">
        <v>0</v>
      </c>
      <c r="R96" s="454">
        <v>0</v>
      </c>
      <c r="S96" s="454"/>
      <c r="T96" s="454"/>
      <c r="U96" s="454"/>
      <c r="V96" s="454"/>
      <c r="W96" s="454"/>
      <c r="X96" s="454"/>
      <c r="Y96" s="454">
        <f t="shared" si="4"/>
        <v>0</v>
      </c>
      <c r="Z96" s="454">
        <v>1000</v>
      </c>
      <c r="AA96" s="451">
        <v>8</v>
      </c>
      <c r="AB96" s="587">
        <v>44252</v>
      </c>
      <c r="AC96" s="587">
        <v>44292</v>
      </c>
      <c r="AD96" s="454"/>
      <c r="AE96" s="451"/>
      <c r="AF96" s="587"/>
      <c r="AG96" s="587"/>
      <c r="AH96" s="454"/>
      <c r="AI96" s="451"/>
      <c r="AJ96" s="587"/>
      <c r="AK96" s="587"/>
      <c r="AL96" s="454"/>
      <c r="AM96" s="451"/>
      <c r="AN96" s="587"/>
      <c r="AO96" s="587"/>
      <c r="AP96" s="454"/>
      <c r="AQ96" s="451"/>
      <c r="AR96" s="588"/>
      <c r="AS96" s="588"/>
      <c r="AT96" s="154">
        <f t="shared" si="5"/>
        <v>1000</v>
      </c>
      <c r="AU96" s="461">
        <f t="shared" si="3"/>
        <v>1000</v>
      </c>
    </row>
    <row r="97" spans="2:47" s="148" customFormat="1" ht="22.5" x14ac:dyDescent="0.25">
      <c r="B97" s="149">
        <v>82</v>
      </c>
      <c r="C97" s="149" t="s">
        <v>38</v>
      </c>
      <c r="D97" s="450">
        <v>30376528</v>
      </c>
      <c r="E97" s="451" t="s">
        <v>2222</v>
      </c>
      <c r="F97" s="451" t="s">
        <v>200</v>
      </c>
      <c r="G97" s="452" t="s">
        <v>2100</v>
      </c>
      <c r="H97" s="451" t="s">
        <v>2162</v>
      </c>
      <c r="I97" s="451" t="s">
        <v>1958</v>
      </c>
      <c r="J97" s="451">
        <v>2156766</v>
      </c>
      <c r="K97" s="451"/>
      <c r="L97" s="451"/>
      <c r="M97" s="454">
        <v>0</v>
      </c>
      <c r="N97" s="454">
        <v>0</v>
      </c>
      <c r="O97" s="454">
        <v>0</v>
      </c>
      <c r="P97" s="454">
        <v>0</v>
      </c>
      <c r="Q97" s="454">
        <v>0</v>
      </c>
      <c r="R97" s="454">
        <v>0</v>
      </c>
      <c r="S97" s="454"/>
      <c r="T97" s="454"/>
      <c r="U97" s="454"/>
      <c r="V97" s="454"/>
      <c r="W97" s="454"/>
      <c r="X97" s="454"/>
      <c r="Y97" s="454">
        <f t="shared" si="4"/>
        <v>0</v>
      </c>
      <c r="Z97" s="454">
        <v>1000</v>
      </c>
      <c r="AA97" s="451">
        <v>8</v>
      </c>
      <c r="AB97" s="587">
        <v>44252</v>
      </c>
      <c r="AC97" s="587">
        <v>44292</v>
      </c>
      <c r="AD97" s="454"/>
      <c r="AE97" s="451"/>
      <c r="AF97" s="587"/>
      <c r="AG97" s="587"/>
      <c r="AH97" s="454"/>
      <c r="AI97" s="451"/>
      <c r="AJ97" s="587"/>
      <c r="AK97" s="587"/>
      <c r="AL97" s="454"/>
      <c r="AM97" s="451"/>
      <c r="AN97" s="587"/>
      <c r="AO97" s="587"/>
      <c r="AP97" s="454"/>
      <c r="AQ97" s="451"/>
      <c r="AR97" s="588"/>
      <c r="AS97" s="588"/>
      <c r="AT97" s="154">
        <f t="shared" si="5"/>
        <v>1000</v>
      </c>
      <c r="AU97" s="461">
        <f t="shared" si="3"/>
        <v>1000</v>
      </c>
    </row>
    <row r="98" spans="2:47" s="148" customFormat="1" ht="22.5" x14ac:dyDescent="0.25">
      <c r="B98" s="149">
        <v>83</v>
      </c>
      <c r="C98" s="149" t="s">
        <v>38</v>
      </c>
      <c r="D98" s="450">
        <v>30388029</v>
      </c>
      <c r="E98" s="451" t="s">
        <v>2223</v>
      </c>
      <c r="F98" s="451" t="s">
        <v>200</v>
      </c>
      <c r="G98" s="452" t="s">
        <v>2100</v>
      </c>
      <c r="H98" s="451" t="s">
        <v>2184</v>
      </c>
      <c r="I98" s="451" t="s">
        <v>1958</v>
      </c>
      <c r="J98" s="451">
        <v>55089</v>
      </c>
      <c r="K98" s="451"/>
      <c r="L98" s="451"/>
      <c r="M98" s="454">
        <v>43860.648999999998</v>
      </c>
      <c r="N98" s="454">
        <v>0</v>
      </c>
      <c r="O98" s="454">
        <v>0</v>
      </c>
      <c r="P98" s="454">
        <v>0</v>
      </c>
      <c r="Q98" s="454">
        <v>0</v>
      </c>
      <c r="R98" s="454">
        <v>0</v>
      </c>
      <c r="S98" s="454"/>
      <c r="T98" s="454"/>
      <c r="U98" s="454"/>
      <c r="V98" s="454"/>
      <c r="W98" s="454"/>
      <c r="X98" s="454"/>
      <c r="Y98" s="454">
        <f t="shared" si="4"/>
        <v>43860.648999999998</v>
      </c>
      <c r="Z98" s="454">
        <v>43861</v>
      </c>
      <c r="AA98" s="451">
        <v>4</v>
      </c>
      <c r="AB98" s="587">
        <v>44221</v>
      </c>
      <c r="AC98" s="587">
        <v>44280</v>
      </c>
      <c r="AD98" s="454"/>
      <c r="AE98" s="451"/>
      <c r="AF98" s="587"/>
      <c r="AG98" s="587"/>
      <c r="AH98" s="454"/>
      <c r="AI98" s="451"/>
      <c r="AJ98" s="587"/>
      <c r="AK98" s="587"/>
      <c r="AL98" s="454"/>
      <c r="AM98" s="451"/>
      <c r="AN98" s="587"/>
      <c r="AO98" s="587"/>
      <c r="AP98" s="454"/>
      <c r="AQ98" s="451"/>
      <c r="AR98" s="588"/>
      <c r="AS98" s="588"/>
      <c r="AT98" s="154">
        <f t="shared" si="5"/>
        <v>43861</v>
      </c>
      <c r="AU98" s="461">
        <f t="shared" si="3"/>
        <v>0.35100000000238651</v>
      </c>
    </row>
    <row r="99" spans="2:47" s="148" customFormat="1" ht="22.5" x14ac:dyDescent="0.25">
      <c r="B99" s="149">
        <v>84</v>
      </c>
      <c r="C99" s="149" t="s">
        <v>38</v>
      </c>
      <c r="D99" s="450">
        <v>30389274</v>
      </c>
      <c r="E99" s="451" t="s">
        <v>2224</v>
      </c>
      <c r="F99" s="451" t="s">
        <v>200</v>
      </c>
      <c r="G99" s="452" t="s">
        <v>2100</v>
      </c>
      <c r="H99" s="451" t="s">
        <v>2143</v>
      </c>
      <c r="I99" s="451" t="s">
        <v>1958</v>
      </c>
      <c r="J99" s="451">
        <v>1528</v>
      </c>
      <c r="K99" s="451"/>
      <c r="L99" s="451"/>
      <c r="M99" s="454">
        <v>0</v>
      </c>
      <c r="N99" s="454">
        <v>0</v>
      </c>
      <c r="O99" s="454">
        <v>0</v>
      </c>
      <c r="P99" s="454">
        <v>0</v>
      </c>
      <c r="Q99" s="454">
        <v>1527.3530000000001</v>
      </c>
      <c r="R99" s="454">
        <v>0</v>
      </c>
      <c r="S99" s="454"/>
      <c r="T99" s="454"/>
      <c r="U99" s="454"/>
      <c r="V99" s="454"/>
      <c r="W99" s="454"/>
      <c r="X99" s="454"/>
      <c r="Y99" s="454">
        <f t="shared" si="4"/>
        <v>1527.3530000000001</v>
      </c>
      <c r="Z99" s="454">
        <v>1528</v>
      </c>
      <c r="AA99" s="451">
        <v>8</v>
      </c>
      <c r="AB99" s="587">
        <v>44252</v>
      </c>
      <c r="AC99" s="587">
        <v>44292</v>
      </c>
      <c r="AD99" s="454"/>
      <c r="AE99" s="451"/>
      <c r="AF99" s="587"/>
      <c r="AG99" s="587"/>
      <c r="AH99" s="454"/>
      <c r="AI99" s="451"/>
      <c r="AJ99" s="587"/>
      <c r="AK99" s="587"/>
      <c r="AL99" s="454"/>
      <c r="AM99" s="451"/>
      <c r="AN99" s="587"/>
      <c r="AO99" s="587"/>
      <c r="AP99" s="454"/>
      <c r="AQ99" s="451"/>
      <c r="AR99" s="588"/>
      <c r="AS99" s="588"/>
      <c r="AT99" s="154">
        <f t="shared" si="5"/>
        <v>1528</v>
      </c>
      <c r="AU99" s="461">
        <f t="shared" si="3"/>
        <v>0.64699999999993452</v>
      </c>
    </row>
    <row r="100" spans="2:47" s="148" customFormat="1" ht="22.5" x14ac:dyDescent="0.25">
      <c r="B100" s="149">
        <v>85</v>
      </c>
      <c r="C100" s="149" t="s">
        <v>38</v>
      </c>
      <c r="D100" s="450">
        <v>30399923</v>
      </c>
      <c r="E100" s="451" t="s">
        <v>2225</v>
      </c>
      <c r="F100" s="451" t="s">
        <v>539</v>
      </c>
      <c r="G100" s="452" t="s">
        <v>2100</v>
      </c>
      <c r="H100" s="451" t="s">
        <v>2143</v>
      </c>
      <c r="I100" s="451" t="s">
        <v>1958</v>
      </c>
      <c r="J100" s="451">
        <v>399511</v>
      </c>
      <c r="K100" s="451"/>
      <c r="L100" s="451"/>
      <c r="M100" s="454">
        <v>0</v>
      </c>
      <c r="N100" s="454">
        <v>0</v>
      </c>
      <c r="O100" s="454">
        <v>0</v>
      </c>
      <c r="P100" s="454">
        <v>0</v>
      </c>
      <c r="Q100" s="454">
        <v>0</v>
      </c>
      <c r="R100" s="454">
        <v>0</v>
      </c>
      <c r="S100" s="454"/>
      <c r="T100" s="454"/>
      <c r="U100" s="454"/>
      <c r="V100" s="454"/>
      <c r="W100" s="454"/>
      <c r="X100" s="454"/>
      <c r="Y100" s="454">
        <f t="shared" si="4"/>
        <v>0</v>
      </c>
      <c r="Z100" s="454">
        <v>1000</v>
      </c>
      <c r="AA100" s="451">
        <v>1</v>
      </c>
      <c r="AB100" s="587">
        <v>44207</v>
      </c>
      <c r="AC100" s="587">
        <v>44249</v>
      </c>
      <c r="AD100" s="454"/>
      <c r="AE100" s="451"/>
      <c r="AF100" s="587"/>
      <c r="AG100" s="587"/>
      <c r="AH100" s="454"/>
      <c r="AI100" s="451"/>
      <c r="AJ100" s="587"/>
      <c r="AK100" s="587"/>
      <c r="AL100" s="454"/>
      <c r="AM100" s="451"/>
      <c r="AN100" s="587"/>
      <c r="AO100" s="587"/>
      <c r="AP100" s="454"/>
      <c r="AQ100" s="451"/>
      <c r="AR100" s="588"/>
      <c r="AS100" s="588"/>
      <c r="AT100" s="154">
        <f t="shared" si="5"/>
        <v>1000</v>
      </c>
      <c r="AU100" s="461">
        <f t="shared" si="3"/>
        <v>1000</v>
      </c>
    </row>
    <row r="101" spans="2:47" s="148" customFormat="1" ht="22.5" x14ac:dyDescent="0.25">
      <c r="B101" s="149">
        <v>86</v>
      </c>
      <c r="C101" s="149" t="s">
        <v>38</v>
      </c>
      <c r="D101" s="450">
        <v>30402326</v>
      </c>
      <c r="E101" s="451" t="s">
        <v>2226</v>
      </c>
      <c r="F101" s="451" t="s">
        <v>200</v>
      </c>
      <c r="G101" s="452" t="s">
        <v>2100</v>
      </c>
      <c r="H101" s="451" t="s">
        <v>2184</v>
      </c>
      <c r="I101" s="451" t="s">
        <v>1958</v>
      </c>
      <c r="J101" s="451">
        <v>54535</v>
      </c>
      <c r="K101" s="451"/>
      <c r="L101" s="451"/>
      <c r="M101" s="454">
        <v>54534.275000000001</v>
      </c>
      <c r="N101" s="454">
        <v>0</v>
      </c>
      <c r="O101" s="454">
        <v>0</v>
      </c>
      <c r="P101" s="454">
        <v>0</v>
      </c>
      <c r="Q101" s="454">
        <v>0</v>
      </c>
      <c r="R101" s="454">
        <v>0</v>
      </c>
      <c r="S101" s="454"/>
      <c r="T101" s="454"/>
      <c r="U101" s="454"/>
      <c r="V101" s="454"/>
      <c r="W101" s="454"/>
      <c r="X101" s="454"/>
      <c r="Y101" s="454">
        <f t="shared" si="4"/>
        <v>54534.275000000001</v>
      </c>
      <c r="Z101" s="454">
        <v>54534</v>
      </c>
      <c r="AA101" s="451">
        <v>4</v>
      </c>
      <c r="AB101" s="587">
        <v>44221</v>
      </c>
      <c r="AC101" s="587">
        <v>44280</v>
      </c>
      <c r="AD101" s="454"/>
      <c r="AE101" s="451"/>
      <c r="AF101" s="587"/>
      <c r="AG101" s="587"/>
      <c r="AH101" s="454"/>
      <c r="AI101" s="451"/>
      <c r="AJ101" s="587"/>
      <c r="AK101" s="587"/>
      <c r="AL101" s="454"/>
      <c r="AM101" s="451"/>
      <c r="AN101" s="587"/>
      <c r="AO101" s="587"/>
      <c r="AP101" s="454"/>
      <c r="AQ101" s="451"/>
      <c r="AR101" s="588"/>
      <c r="AS101" s="588"/>
      <c r="AT101" s="154">
        <f t="shared" si="5"/>
        <v>54534</v>
      </c>
      <c r="AU101" s="461">
        <f t="shared" si="3"/>
        <v>-0.27500000000145519</v>
      </c>
    </row>
    <row r="102" spans="2:47" s="148" customFormat="1" ht="22.5" x14ac:dyDescent="0.25">
      <c r="B102" s="149">
        <v>87</v>
      </c>
      <c r="C102" s="149" t="s">
        <v>38</v>
      </c>
      <c r="D102" s="450">
        <v>30403623</v>
      </c>
      <c r="E102" s="451" t="s">
        <v>2227</v>
      </c>
      <c r="F102" s="451" t="s">
        <v>200</v>
      </c>
      <c r="G102" s="452" t="s">
        <v>2100</v>
      </c>
      <c r="H102" s="451" t="s">
        <v>2228</v>
      </c>
      <c r="I102" s="451" t="s">
        <v>1958</v>
      </c>
      <c r="J102" s="451">
        <v>1431926</v>
      </c>
      <c r="K102" s="451"/>
      <c r="L102" s="451"/>
      <c r="M102" s="454">
        <v>0</v>
      </c>
      <c r="N102" s="454">
        <v>240732.41399999999</v>
      </c>
      <c r="O102" s="454">
        <v>164870.98199999999</v>
      </c>
      <c r="P102" s="454">
        <v>319325.65700000001</v>
      </c>
      <c r="Q102" s="454">
        <v>0</v>
      </c>
      <c r="R102" s="454">
        <v>208285.193</v>
      </c>
      <c r="S102" s="454"/>
      <c r="T102" s="454"/>
      <c r="U102" s="454"/>
      <c r="V102" s="454"/>
      <c r="W102" s="454"/>
      <c r="X102" s="454"/>
      <c r="Y102" s="454">
        <f t="shared" si="4"/>
        <v>933214.24599999993</v>
      </c>
      <c r="Z102" s="454">
        <v>518000</v>
      </c>
      <c r="AA102" s="451">
        <v>8</v>
      </c>
      <c r="AB102" s="587">
        <v>44252</v>
      </c>
      <c r="AC102" s="587">
        <v>44292</v>
      </c>
      <c r="AD102" s="454">
        <v>500000</v>
      </c>
      <c r="AE102" s="451">
        <v>11</v>
      </c>
      <c r="AF102" s="587">
        <v>44299</v>
      </c>
      <c r="AG102" s="587">
        <v>44312</v>
      </c>
      <c r="AH102" s="454"/>
      <c r="AI102" s="451"/>
      <c r="AJ102" s="587"/>
      <c r="AK102" s="587"/>
      <c r="AL102" s="454"/>
      <c r="AM102" s="451"/>
      <c r="AN102" s="587"/>
      <c r="AO102" s="587"/>
      <c r="AP102" s="454"/>
      <c r="AQ102" s="451"/>
      <c r="AR102" s="588"/>
      <c r="AS102" s="588"/>
      <c r="AT102" s="154">
        <f t="shared" si="5"/>
        <v>1018000</v>
      </c>
      <c r="AU102" s="461">
        <f t="shared" si="3"/>
        <v>84785.754000000074</v>
      </c>
    </row>
    <row r="103" spans="2:47" s="148" customFormat="1" ht="33.75" x14ac:dyDescent="0.25">
      <c r="B103" s="149">
        <v>88</v>
      </c>
      <c r="C103" s="149" t="s">
        <v>38</v>
      </c>
      <c r="D103" s="450">
        <v>30407980</v>
      </c>
      <c r="E103" s="451" t="s">
        <v>2229</v>
      </c>
      <c r="F103" s="451" t="s">
        <v>200</v>
      </c>
      <c r="G103" s="452" t="s">
        <v>2100</v>
      </c>
      <c r="H103" s="451" t="s">
        <v>2113</v>
      </c>
      <c r="I103" s="451" t="s">
        <v>1958</v>
      </c>
      <c r="J103" s="451">
        <v>14823881</v>
      </c>
      <c r="K103" s="451"/>
      <c r="L103" s="451"/>
      <c r="M103" s="454">
        <v>0</v>
      </c>
      <c r="N103" s="454">
        <v>3365.2080000000001</v>
      </c>
      <c r="O103" s="454">
        <v>10067.624</v>
      </c>
      <c r="P103" s="454">
        <v>329107.25699999998</v>
      </c>
      <c r="Q103" s="454">
        <v>269109.42200000002</v>
      </c>
      <c r="R103" s="454">
        <v>209290.571</v>
      </c>
      <c r="S103" s="454"/>
      <c r="T103" s="454"/>
      <c r="U103" s="454"/>
      <c r="V103" s="454"/>
      <c r="W103" s="454"/>
      <c r="X103" s="454"/>
      <c r="Y103" s="454">
        <f t="shared" si="4"/>
        <v>820940.08199999994</v>
      </c>
      <c r="Z103" s="454">
        <v>1000</v>
      </c>
      <c r="AA103" s="451">
        <v>1</v>
      </c>
      <c r="AB103" s="587">
        <v>44207</v>
      </c>
      <c r="AC103" s="587">
        <v>44249</v>
      </c>
      <c r="AD103" s="454">
        <v>150000</v>
      </c>
      <c r="AE103" s="451">
        <v>8</v>
      </c>
      <c r="AF103" s="587">
        <v>44252</v>
      </c>
      <c r="AG103" s="587">
        <v>44292</v>
      </c>
      <c r="AH103" s="454">
        <v>233000</v>
      </c>
      <c r="AI103" s="451">
        <v>10</v>
      </c>
      <c r="AJ103" s="587">
        <v>44286</v>
      </c>
      <c r="AK103" s="587">
        <v>44306</v>
      </c>
      <c r="AL103" s="454">
        <v>700000</v>
      </c>
      <c r="AM103" s="451">
        <v>14</v>
      </c>
      <c r="AN103" s="587">
        <v>44313</v>
      </c>
      <c r="AO103" s="587">
        <v>44322</v>
      </c>
      <c r="AP103" s="454"/>
      <c r="AQ103" s="451"/>
      <c r="AR103" s="588"/>
      <c r="AS103" s="588"/>
      <c r="AT103" s="154">
        <f t="shared" si="5"/>
        <v>1084000</v>
      </c>
      <c r="AU103" s="461">
        <f t="shared" si="3"/>
        <v>263059.91800000006</v>
      </c>
    </row>
    <row r="104" spans="2:47" s="148" customFormat="1" ht="22.5" x14ac:dyDescent="0.25">
      <c r="B104" s="149">
        <v>89</v>
      </c>
      <c r="C104" s="149" t="s">
        <v>38</v>
      </c>
      <c r="D104" s="450">
        <v>30413124</v>
      </c>
      <c r="E104" s="451" t="s">
        <v>2230</v>
      </c>
      <c r="F104" s="451" t="s">
        <v>200</v>
      </c>
      <c r="G104" s="452" t="s">
        <v>2100</v>
      </c>
      <c r="H104" s="451" t="s">
        <v>2231</v>
      </c>
      <c r="I104" s="451" t="s">
        <v>1958</v>
      </c>
      <c r="J104" s="451">
        <v>82933</v>
      </c>
      <c r="K104" s="451"/>
      <c r="L104" s="451"/>
      <c r="M104" s="454">
        <v>12940.674000000001</v>
      </c>
      <c r="N104" s="454">
        <v>0</v>
      </c>
      <c r="O104" s="454">
        <v>0</v>
      </c>
      <c r="P104" s="454">
        <v>40011.898000000001</v>
      </c>
      <c r="Q104" s="454">
        <v>0</v>
      </c>
      <c r="R104" s="454">
        <v>0</v>
      </c>
      <c r="S104" s="454"/>
      <c r="T104" s="454"/>
      <c r="U104" s="454"/>
      <c r="V104" s="454"/>
      <c r="W104" s="454"/>
      <c r="X104" s="454"/>
      <c r="Y104" s="454">
        <f t="shared" si="4"/>
        <v>52952.572</v>
      </c>
      <c r="Z104" s="454">
        <v>73857</v>
      </c>
      <c r="AA104" s="451">
        <v>4</v>
      </c>
      <c r="AB104" s="587">
        <v>44221</v>
      </c>
      <c r="AC104" s="587">
        <v>44280</v>
      </c>
      <c r="AD104" s="454"/>
      <c r="AE104" s="451"/>
      <c r="AF104" s="587"/>
      <c r="AG104" s="587"/>
      <c r="AH104" s="454"/>
      <c r="AI104" s="451"/>
      <c r="AJ104" s="587"/>
      <c r="AK104" s="587"/>
      <c r="AL104" s="454"/>
      <c r="AM104" s="451"/>
      <c r="AN104" s="587"/>
      <c r="AO104" s="587"/>
      <c r="AP104" s="454"/>
      <c r="AQ104" s="451"/>
      <c r="AR104" s="588"/>
      <c r="AS104" s="588"/>
      <c r="AT104" s="154">
        <f t="shared" si="5"/>
        <v>73857</v>
      </c>
      <c r="AU104" s="461">
        <f t="shared" si="3"/>
        <v>20904.428</v>
      </c>
    </row>
    <row r="105" spans="2:47" s="148" customFormat="1" ht="22.5" x14ac:dyDescent="0.25">
      <c r="B105" s="149">
        <v>90</v>
      </c>
      <c r="C105" s="149" t="s">
        <v>38</v>
      </c>
      <c r="D105" s="450">
        <v>30418930</v>
      </c>
      <c r="E105" s="451" t="s">
        <v>2232</v>
      </c>
      <c r="F105" s="451" t="s">
        <v>200</v>
      </c>
      <c r="G105" s="452" t="s">
        <v>2100</v>
      </c>
      <c r="H105" s="451" t="s">
        <v>2136</v>
      </c>
      <c r="I105" s="451" t="s">
        <v>1958</v>
      </c>
      <c r="J105" s="451">
        <v>128177</v>
      </c>
      <c r="K105" s="451"/>
      <c r="L105" s="451"/>
      <c r="M105" s="454">
        <v>0</v>
      </c>
      <c r="N105" s="454">
        <v>0</v>
      </c>
      <c r="O105" s="454">
        <v>0</v>
      </c>
      <c r="P105" s="454">
        <v>0</v>
      </c>
      <c r="Q105" s="454">
        <v>0</v>
      </c>
      <c r="R105" s="454">
        <v>0</v>
      </c>
      <c r="S105" s="454"/>
      <c r="T105" s="454"/>
      <c r="U105" s="454"/>
      <c r="V105" s="454"/>
      <c r="W105" s="454"/>
      <c r="X105" s="454"/>
      <c r="Y105" s="454">
        <f t="shared" si="4"/>
        <v>0</v>
      </c>
      <c r="Z105" s="454">
        <v>1000</v>
      </c>
      <c r="AA105" s="451">
        <v>1</v>
      </c>
      <c r="AB105" s="587">
        <v>44207</v>
      </c>
      <c r="AC105" s="587">
        <v>44249</v>
      </c>
      <c r="AD105" s="454"/>
      <c r="AE105" s="451"/>
      <c r="AF105" s="587"/>
      <c r="AG105" s="587"/>
      <c r="AH105" s="454"/>
      <c r="AI105" s="451"/>
      <c r="AJ105" s="587"/>
      <c r="AK105" s="587"/>
      <c r="AL105" s="454"/>
      <c r="AM105" s="451"/>
      <c r="AN105" s="587"/>
      <c r="AO105" s="587"/>
      <c r="AP105" s="454"/>
      <c r="AQ105" s="451"/>
      <c r="AR105" s="588"/>
      <c r="AS105" s="588"/>
      <c r="AT105" s="154">
        <f t="shared" si="5"/>
        <v>1000</v>
      </c>
      <c r="AU105" s="461">
        <f t="shared" si="3"/>
        <v>1000</v>
      </c>
    </row>
    <row r="106" spans="2:47" s="148" customFormat="1" ht="22.5" x14ac:dyDescent="0.25">
      <c r="B106" s="149">
        <v>91</v>
      </c>
      <c r="C106" s="149" t="s">
        <v>38</v>
      </c>
      <c r="D106" s="450">
        <v>30418937</v>
      </c>
      <c r="E106" s="451" t="s">
        <v>2233</v>
      </c>
      <c r="F106" s="451" t="s">
        <v>200</v>
      </c>
      <c r="G106" s="452" t="s">
        <v>2100</v>
      </c>
      <c r="H106" s="451" t="s">
        <v>2136</v>
      </c>
      <c r="I106" s="451" t="s">
        <v>1958</v>
      </c>
      <c r="J106" s="451">
        <v>103651</v>
      </c>
      <c r="K106" s="451"/>
      <c r="L106" s="451"/>
      <c r="M106" s="454">
        <v>0</v>
      </c>
      <c r="N106" s="454">
        <v>0</v>
      </c>
      <c r="O106" s="454">
        <v>0</v>
      </c>
      <c r="P106" s="454">
        <v>0</v>
      </c>
      <c r="Q106" s="454">
        <v>0</v>
      </c>
      <c r="R106" s="454">
        <v>0</v>
      </c>
      <c r="S106" s="454"/>
      <c r="T106" s="454"/>
      <c r="U106" s="454"/>
      <c r="V106" s="454"/>
      <c r="W106" s="454"/>
      <c r="X106" s="454"/>
      <c r="Y106" s="454">
        <f t="shared" si="4"/>
        <v>0</v>
      </c>
      <c r="Z106" s="454">
        <v>1000</v>
      </c>
      <c r="AA106" s="451">
        <v>1</v>
      </c>
      <c r="AB106" s="587">
        <v>44207</v>
      </c>
      <c r="AC106" s="587">
        <v>44249</v>
      </c>
      <c r="AD106" s="454"/>
      <c r="AE106" s="451"/>
      <c r="AF106" s="587"/>
      <c r="AG106" s="587"/>
      <c r="AH106" s="454"/>
      <c r="AI106" s="451"/>
      <c r="AJ106" s="587"/>
      <c r="AK106" s="587"/>
      <c r="AL106" s="454"/>
      <c r="AM106" s="451"/>
      <c r="AN106" s="587"/>
      <c r="AO106" s="587"/>
      <c r="AP106" s="454"/>
      <c r="AQ106" s="451"/>
      <c r="AR106" s="588"/>
      <c r="AS106" s="588"/>
      <c r="AT106" s="154">
        <f t="shared" si="5"/>
        <v>1000</v>
      </c>
      <c r="AU106" s="461">
        <f t="shared" si="3"/>
        <v>1000</v>
      </c>
    </row>
    <row r="107" spans="2:47" s="148" customFormat="1" ht="22.5" x14ac:dyDescent="0.25">
      <c r="B107" s="149">
        <v>92</v>
      </c>
      <c r="C107" s="149" t="s">
        <v>38</v>
      </c>
      <c r="D107" s="450">
        <v>30422491</v>
      </c>
      <c r="E107" s="451" t="s">
        <v>2234</v>
      </c>
      <c r="F107" s="451" t="s">
        <v>200</v>
      </c>
      <c r="G107" s="452" t="s">
        <v>2100</v>
      </c>
      <c r="H107" s="451" t="s">
        <v>2167</v>
      </c>
      <c r="I107" s="451" t="s">
        <v>1958</v>
      </c>
      <c r="J107" s="451">
        <v>27364</v>
      </c>
      <c r="K107" s="451"/>
      <c r="L107" s="451"/>
      <c r="M107" s="454">
        <v>0</v>
      </c>
      <c r="N107" s="454">
        <v>0</v>
      </c>
      <c r="O107" s="454">
        <v>0</v>
      </c>
      <c r="P107" s="454">
        <v>0</v>
      </c>
      <c r="Q107" s="454">
        <v>0</v>
      </c>
      <c r="R107" s="454">
        <v>0</v>
      </c>
      <c r="S107" s="454"/>
      <c r="T107" s="454"/>
      <c r="U107" s="454"/>
      <c r="V107" s="454"/>
      <c r="W107" s="454"/>
      <c r="X107" s="454"/>
      <c r="Y107" s="454">
        <f t="shared" si="4"/>
        <v>0</v>
      </c>
      <c r="Z107" s="454">
        <v>1000</v>
      </c>
      <c r="AA107" s="451">
        <v>8</v>
      </c>
      <c r="AB107" s="587">
        <v>44252</v>
      </c>
      <c r="AC107" s="587">
        <v>44292</v>
      </c>
      <c r="AD107" s="454"/>
      <c r="AE107" s="451"/>
      <c r="AF107" s="587"/>
      <c r="AG107" s="587"/>
      <c r="AH107" s="454"/>
      <c r="AI107" s="451"/>
      <c r="AJ107" s="587"/>
      <c r="AK107" s="587"/>
      <c r="AL107" s="454"/>
      <c r="AM107" s="451"/>
      <c r="AN107" s="587"/>
      <c r="AO107" s="587"/>
      <c r="AP107" s="454"/>
      <c r="AQ107" s="451"/>
      <c r="AR107" s="588"/>
      <c r="AS107" s="588"/>
      <c r="AT107" s="154">
        <f t="shared" si="5"/>
        <v>1000</v>
      </c>
      <c r="AU107" s="461">
        <f t="shared" si="3"/>
        <v>1000</v>
      </c>
    </row>
    <row r="108" spans="2:47" s="148" customFormat="1" ht="22.5" x14ac:dyDescent="0.25">
      <c r="B108" s="149">
        <v>93</v>
      </c>
      <c r="C108" s="149" t="s">
        <v>38</v>
      </c>
      <c r="D108" s="450">
        <v>30423472</v>
      </c>
      <c r="E108" s="451" t="s">
        <v>2235</v>
      </c>
      <c r="F108" s="451" t="s">
        <v>200</v>
      </c>
      <c r="G108" s="452" t="s">
        <v>2100</v>
      </c>
      <c r="H108" s="451" t="s">
        <v>2202</v>
      </c>
      <c r="I108" s="451" t="s">
        <v>1958</v>
      </c>
      <c r="J108" s="451">
        <v>44192</v>
      </c>
      <c r="K108" s="451"/>
      <c r="L108" s="451"/>
      <c r="M108" s="454">
        <v>0</v>
      </c>
      <c r="N108" s="454">
        <v>0</v>
      </c>
      <c r="O108" s="454">
        <v>0</v>
      </c>
      <c r="P108" s="454">
        <v>0</v>
      </c>
      <c r="Q108" s="454">
        <v>0</v>
      </c>
      <c r="R108" s="454">
        <v>0</v>
      </c>
      <c r="S108" s="454"/>
      <c r="T108" s="454"/>
      <c r="U108" s="454"/>
      <c r="V108" s="454"/>
      <c r="W108" s="454"/>
      <c r="X108" s="454"/>
      <c r="Y108" s="454">
        <f t="shared" si="4"/>
        <v>0</v>
      </c>
      <c r="Z108" s="454">
        <v>1000</v>
      </c>
      <c r="AA108" s="451">
        <v>8</v>
      </c>
      <c r="AB108" s="587">
        <v>44252</v>
      </c>
      <c r="AC108" s="587">
        <v>44292</v>
      </c>
      <c r="AD108" s="454"/>
      <c r="AE108" s="451"/>
      <c r="AF108" s="587"/>
      <c r="AG108" s="587"/>
      <c r="AH108" s="454"/>
      <c r="AI108" s="451"/>
      <c r="AJ108" s="587"/>
      <c r="AK108" s="587"/>
      <c r="AL108" s="454"/>
      <c r="AM108" s="451"/>
      <c r="AN108" s="587"/>
      <c r="AO108" s="587"/>
      <c r="AP108" s="454"/>
      <c r="AQ108" s="451"/>
      <c r="AR108" s="588"/>
      <c r="AS108" s="588"/>
      <c r="AT108" s="154">
        <f t="shared" si="5"/>
        <v>1000</v>
      </c>
      <c r="AU108" s="461">
        <f t="shared" si="3"/>
        <v>1000</v>
      </c>
    </row>
    <row r="109" spans="2:47" s="148" customFormat="1" ht="22.5" x14ac:dyDescent="0.25">
      <c r="B109" s="149">
        <v>94</v>
      </c>
      <c r="C109" s="149" t="s">
        <v>38</v>
      </c>
      <c r="D109" s="450">
        <v>30425724</v>
      </c>
      <c r="E109" s="451" t="s">
        <v>2236</v>
      </c>
      <c r="F109" s="451" t="s">
        <v>200</v>
      </c>
      <c r="G109" s="452" t="s">
        <v>2100</v>
      </c>
      <c r="H109" s="451" t="s">
        <v>2184</v>
      </c>
      <c r="I109" s="451" t="s">
        <v>1958</v>
      </c>
      <c r="J109" s="451">
        <v>168658</v>
      </c>
      <c r="K109" s="451"/>
      <c r="L109" s="451"/>
      <c r="M109" s="454">
        <v>13469.460999999999</v>
      </c>
      <c r="N109" s="454">
        <v>0</v>
      </c>
      <c r="O109" s="454">
        <v>146462.973</v>
      </c>
      <c r="P109" s="454">
        <v>0</v>
      </c>
      <c r="Q109" s="454">
        <v>0</v>
      </c>
      <c r="R109" s="454">
        <v>0</v>
      </c>
      <c r="S109" s="454"/>
      <c r="T109" s="454"/>
      <c r="U109" s="454"/>
      <c r="V109" s="454"/>
      <c r="W109" s="454"/>
      <c r="X109" s="454"/>
      <c r="Y109" s="454">
        <f t="shared" si="4"/>
        <v>159932.43400000001</v>
      </c>
      <c r="Z109" s="454">
        <v>162824</v>
      </c>
      <c r="AA109" s="451">
        <v>4</v>
      </c>
      <c r="AB109" s="587">
        <v>44221</v>
      </c>
      <c r="AC109" s="587">
        <v>44280</v>
      </c>
      <c r="AD109" s="454"/>
      <c r="AE109" s="451"/>
      <c r="AF109" s="587"/>
      <c r="AG109" s="587"/>
      <c r="AH109" s="454"/>
      <c r="AI109" s="451"/>
      <c r="AJ109" s="587"/>
      <c r="AK109" s="587"/>
      <c r="AL109" s="454"/>
      <c r="AM109" s="451"/>
      <c r="AN109" s="587"/>
      <c r="AO109" s="587"/>
      <c r="AP109" s="454"/>
      <c r="AQ109" s="451"/>
      <c r="AR109" s="588"/>
      <c r="AS109" s="588"/>
      <c r="AT109" s="154">
        <f t="shared" si="5"/>
        <v>162824</v>
      </c>
      <c r="AU109" s="461">
        <f t="shared" si="3"/>
        <v>2891.5659999999916</v>
      </c>
    </row>
    <row r="110" spans="2:47" s="148" customFormat="1" ht="22.5" x14ac:dyDescent="0.25">
      <c r="B110" s="149">
        <v>95</v>
      </c>
      <c r="C110" s="149" t="s">
        <v>38</v>
      </c>
      <c r="D110" s="450">
        <v>30427930</v>
      </c>
      <c r="E110" s="451" t="s">
        <v>2237</v>
      </c>
      <c r="F110" s="451" t="s">
        <v>200</v>
      </c>
      <c r="G110" s="452" t="s">
        <v>2100</v>
      </c>
      <c r="H110" s="451" t="s">
        <v>2151</v>
      </c>
      <c r="I110" s="451" t="s">
        <v>1958</v>
      </c>
      <c r="J110" s="451">
        <v>491856</v>
      </c>
      <c r="K110" s="451"/>
      <c r="L110" s="451"/>
      <c r="M110" s="454">
        <v>203498.166</v>
      </c>
      <c r="N110" s="454">
        <v>0</v>
      </c>
      <c r="O110" s="454">
        <v>195709.864</v>
      </c>
      <c r="P110" s="454">
        <v>0</v>
      </c>
      <c r="Q110" s="454">
        <v>0</v>
      </c>
      <c r="R110" s="454">
        <v>60178.074000000001</v>
      </c>
      <c r="S110" s="454"/>
      <c r="T110" s="454"/>
      <c r="U110" s="454"/>
      <c r="V110" s="454"/>
      <c r="W110" s="454"/>
      <c r="X110" s="454"/>
      <c r="Y110" s="454">
        <f t="shared" si="4"/>
        <v>459386.10400000005</v>
      </c>
      <c r="Z110" s="454">
        <v>491856</v>
      </c>
      <c r="AA110" s="451">
        <v>4</v>
      </c>
      <c r="AB110" s="587">
        <v>44221</v>
      </c>
      <c r="AC110" s="587">
        <v>44280</v>
      </c>
      <c r="AD110" s="454"/>
      <c r="AE110" s="451"/>
      <c r="AF110" s="587"/>
      <c r="AG110" s="587"/>
      <c r="AH110" s="454"/>
      <c r="AI110" s="451"/>
      <c r="AJ110" s="587"/>
      <c r="AK110" s="587"/>
      <c r="AL110" s="454"/>
      <c r="AM110" s="451"/>
      <c r="AN110" s="587"/>
      <c r="AO110" s="587"/>
      <c r="AP110" s="454"/>
      <c r="AQ110" s="451"/>
      <c r="AR110" s="588"/>
      <c r="AS110" s="588"/>
      <c r="AT110" s="154">
        <f t="shared" si="5"/>
        <v>491856</v>
      </c>
      <c r="AU110" s="461">
        <f t="shared" si="3"/>
        <v>32469.89599999995</v>
      </c>
    </row>
    <row r="111" spans="2:47" s="148" customFormat="1" ht="22.5" x14ac:dyDescent="0.25">
      <c r="B111" s="149">
        <v>96</v>
      </c>
      <c r="C111" s="149" t="s">
        <v>38</v>
      </c>
      <c r="D111" s="450">
        <v>30436276</v>
      </c>
      <c r="E111" s="451" t="s">
        <v>2238</v>
      </c>
      <c r="F111" s="451" t="s">
        <v>200</v>
      </c>
      <c r="G111" s="452" t="s">
        <v>2100</v>
      </c>
      <c r="H111" s="451" t="s">
        <v>2143</v>
      </c>
      <c r="I111" s="451" t="s">
        <v>1958</v>
      </c>
      <c r="J111" s="451">
        <v>445998</v>
      </c>
      <c r="K111" s="451"/>
      <c r="L111" s="451"/>
      <c r="M111" s="454">
        <v>0</v>
      </c>
      <c r="N111" s="454">
        <v>0</v>
      </c>
      <c r="O111" s="454">
        <v>0</v>
      </c>
      <c r="P111" s="454">
        <v>0</v>
      </c>
      <c r="Q111" s="454">
        <v>0</v>
      </c>
      <c r="R111" s="454">
        <v>0</v>
      </c>
      <c r="S111" s="454"/>
      <c r="T111" s="454"/>
      <c r="U111" s="454"/>
      <c r="V111" s="454"/>
      <c r="W111" s="454"/>
      <c r="X111" s="454"/>
      <c r="Y111" s="454">
        <f t="shared" si="4"/>
        <v>0</v>
      </c>
      <c r="Z111" s="454">
        <v>1000</v>
      </c>
      <c r="AA111" s="451">
        <v>1</v>
      </c>
      <c r="AB111" s="587">
        <v>44207</v>
      </c>
      <c r="AC111" s="587">
        <v>44249</v>
      </c>
      <c r="AD111" s="454"/>
      <c r="AE111" s="451"/>
      <c r="AF111" s="587"/>
      <c r="AG111" s="587"/>
      <c r="AH111" s="454"/>
      <c r="AI111" s="451"/>
      <c r="AJ111" s="587"/>
      <c r="AK111" s="587"/>
      <c r="AL111" s="454"/>
      <c r="AM111" s="451"/>
      <c r="AN111" s="587"/>
      <c r="AO111" s="587"/>
      <c r="AP111" s="454"/>
      <c r="AQ111" s="451"/>
      <c r="AR111" s="588"/>
      <c r="AS111" s="588"/>
      <c r="AT111" s="154">
        <f t="shared" si="5"/>
        <v>1000</v>
      </c>
      <c r="AU111" s="461">
        <f t="shared" si="3"/>
        <v>1000</v>
      </c>
    </row>
    <row r="112" spans="2:47" s="148" customFormat="1" ht="22.5" x14ac:dyDescent="0.25">
      <c r="B112" s="149">
        <v>97</v>
      </c>
      <c r="C112" s="149" t="s">
        <v>38</v>
      </c>
      <c r="D112" s="450">
        <v>30437922</v>
      </c>
      <c r="E112" s="451" t="s">
        <v>2239</v>
      </c>
      <c r="F112" s="451" t="s">
        <v>200</v>
      </c>
      <c r="G112" s="452" t="s">
        <v>2100</v>
      </c>
      <c r="H112" s="451" t="s">
        <v>2160</v>
      </c>
      <c r="I112" s="451" t="s">
        <v>1958</v>
      </c>
      <c r="J112" s="451">
        <v>1292186</v>
      </c>
      <c r="K112" s="451"/>
      <c r="L112" s="451"/>
      <c r="M112" s="454">
        <v>995815.17500000005</v>
      </c>
      <c r="N112" s="454">
        <v>120312.77800000001</v>
      </c>
      <c r="O112" s="454">
        <v>103377.034</v>
      </c>
      <c r="P112" s="454">
        <v>37290.502</v>
      </c>
      <c r="Q112" s="454">
        <v>0</v>
      </c>
      <c r="R112" s="454">
        <v>0</v>
      </c>
      <c r="S112" s="454"/>
      <c r="T112" s="454"/>
      <c r="U112" s="454"/>
      <c r="V112" s="454"/>
      <c r="W112" s="454"/>
      <c r="X112" s="454"/>
      <c r="Y112" s="454">
        <f t="shared" si="4"/>
        <v>1256795.4890000001</v>
      </c>
      <c r="Z112" s="454">
        <v>1003000</v>
      </c>
      <c r="AA112" s="451">
        <v>4</v>
      </c>
      <c r="AB112" s="587">
        <v>44221</v>
      </c>
      <c r="AC112" s="587">
        <v>44280</v>
      </c>
      <c r="AD112" s="454">
        <v>200000</v>
      </c>
      <c r="AE112" s="451">
        <v>8</v>
      </c>
      <c r="AF112" s="587">
        <v>44252</v>
      </c>
      <c r="AG112" s="587">
        <v>44292</v>
      </c>
      <c r="AH112" s="454">
        <v>16505</v>
      </c>
      <c r="AI112" s="451">
        <v>10</v>
      </c>
      <c r="AJ112" s="587">
        <v>44286</v>
      </c>
      <c r="AK112" s="587">
        <v>44306</v>
      </c>
      <c r="AL112" s="454">
        <v>72681</v>
      </c>
      <c r="AM112" s="451">
        <v>14</v>
      </c>
      <c r="AN112" s="587">
        <v>44313</v>
      </c>
      <c r="AO112" s="587">
        <v>44322</v>
      </c>
      <c r="AP112" s="454">
        <v>0</v>
      </c>
      <c r="AQ112" s="451">
        <v>0</v>
      </c>
      <c r="AR112" s="588"/>
      <c r="AS112" s="588"/>
      <c r="AT112" s="154">
        <f t="shared" si="5"/>
        <v>1292186</v>
      </c>
      <c r="AU112" s="461">
        <f t="shared" si="3"/>
        <v>35390.51099999994</v>
      </c>
    </row>
    <row r="113" spans="2:47" s="148" customFormat="1" ht="22.5" x14ac:dyDescent="0.25">
      <c r="B113" s="149">
        <v>98</v>
      </c>
      <c r="C113" s="149" t="s">
        <v>38</v>
      </c>
      <c r="D113" s="450">
        <v>30438223</v>
      </c>
      <c r="E113" s="451" t="s">
        <v>2240</v>
      </c>
      <c r="F113" s="451" t="s">
        <v>200</v>
      </c>
      <c r="G113" s="452" t="s">
        <v>2100</v>
      </c>
      <c r="H113" s="451" t="s">
        <v>2134</v>
      </c>
      <c r="I113" s="451" t="s">
        <v>1958</v>
      </c>
      <c r="J113" s="451">
        <v>156954</v>
      </c>
      <c r="K113" s="451"/>
      <c r="L113" s="451"/>
      <c r="M113" s="454">
        <v>0</v>
      </c>
      <c r="N113" s="454">
        <v>0</v>
      </c>
      <c r="O113" s="454">
        <v>0</v>
      </c>
      <c r="P113" s="454">
        <v>0</v>
      </c>
      <c r="Q113" s="454">
        <v>0</v>
      </c>
      <c r="R113" s="454">
        <v>0</v>
      </c>
      <c r="S113" s="454"/>
      <c r="T113" s="454"/>
      <c r="U113" s="454"/>
      <c r="V113" s="454"/>
      <c r="W113" s="454"/>
      <c r="X113" s="454"/>
      <c r="Y113" s="454">
        <f t="shared" si="4"/>
        <v>0</v>
      </c>
      <c r="Z113" s="454">
        <v>1000</v>
      </c>
      <c r="AA113" s="451">
        <v>1</v>
      </c>
      <c r="AB113" s="587">
        <v>44207</v>
      </c>
      <c r="AC113" s="587">
        <v>44249</v>
      </c>
      <c r="AD113" s="454"/>
      <c r="AE113" s="451"/>
      <c r="AF113" s="587"/>
      <c r="AG113" s="587"/>
      <c r="AH113" s="454"/>
      <c r="AI113" s="451"/>
      <c r="AJ113" s="587"/>
      <c r="AK113" s="587"/>
      <c r="AL113" s="454"/>
      <c r="AM113" s="451"/>
      <c r="AN113" s="587"/>
      <c r="AO113" s="587"/>
      <c r="AP113" s="454"/>
      <c r="AQ113" s="451"/>
      <c r="AR113" s="588"/>
      <c r="AS113" s="588"/>
      <c r="AT113" s="154">
        <f t="shared" si="5"/>
        <v>1000</v>
      </c>
      <c r="AU113" s="461">
        <f t="shared" si="3"/>
        <v>1000</v>
      </c>
    </row>
    <row r="114" spans="2:47" s="148" customFormat="1" ht="22.5" x14ac:dyDescent="0.25">
      <c r="B114" s="149">
        <v>99</v>
      </c>
      <c r="C114" s="149" t="s">
        <v>38</v>
      </c>
      <c r="D114" s="450">
        <v>30440874</v>
      </c>
      <c r="E114" s="451" t="s">
        <v>2241</v>
      </c>
      <c r="F114" s="451" t="s">
        <v>200</v>
      </c>
      <c r="G114" s="452" t="s">
        <v>2100</v>
      </c>
      <c r="H114" s="451" t="s">
        <v>2242</v>
      </c>
      <c r="I114" s="451" t="s">
        <v>1958</v>
      </c>
      <c r="J114" s="451">
        <v>215731</v>
      </c>
      <c r="K114" s="451"/>
      <c r="L114" s="451"/>
      <c r="M114" s="454">
        <v>72917.107999999993</v>
      </c>
      <c r="N114" s="454">
        <v>38191.589999999997</v>
      </c>
      <c r="O114" s="454">
        <v>41338.296999999999</v>
      </c>
      <c r="P114" s="454">
        <v>0</v>
      </c>
      <c r="Q114" s="454">
        <v>0</v>
      </c>
      <c r="R114" s="454">
        <v>0</v>
      </c>
      <c r="S114" s="454"/>
      <c r="T114" s="454"/>
      <c r="U114" s="454"/>
      <c r="V114" s="454"/>
      <c r="W114" s="454"/>
      <c r="X114" s="454"/>
      <c r="Y114" s="454">
        <f t="shared" si="4"/>
        <v>152446.995</v>
      </c>
      <c r="Z114" s="454">
        <v>201989</v>
      </c>
      <c r="AA114" s="451">
        <v>4</v>
      </c>
      <c r="AB114" s="587">
        <v>44221</v>
      </c>
      <c r="AC114" s="587">
        <v>44280</v>
      </c>
      <c r="AD114" s="454"/>
      <c r="AE114" s="451"/>
      <c r="AF114" s="587"/>
      <c r="AG114" s="587"/>
      <c r="AH114" s="454"/>
      <c r="AI114" s="451"/>
      <c r="AJ114" s="587"/>
      <c r="AK114" s="587"/>
      <c r="AL114" s="454"/>
      <c r="AM114" s="451"/>
      <c r="AN114" s="587"/>
      <c r="AO114" s="587"/>
      <c r="AP114" s="454"/>
      <c r="AQ114" s="451"/>
      <c r="AR114" s="588"/>
      <c r="AS114" s="588"/>
      <c r="AT114" s="154">
        <f t="shared" si="5"/>
        <v>201989</v>
      </c>
      <c r="AU114" s="461">
        <f t="shared" si="3"/>
        <v>49542.005000000005</v>
      </c>
    </row>
    <row r="115" spans="2:47" s="148" customFormat="1" ht="22.5" x14ac:dyDescent="0.25">
      <c r="B115" s="149">
        <v>100</v>
      </c>
      <c r="C115" s="149" t="s">
        <v>38</v>
      </c>
      <c r="D115" s="450">
        <v>30441226</v>
      </c>
      <c r="E115" s="451" t="s">
        <v>2243</v>
      </c>
      <c r="F115" s="451" t="s">
        <v>200</v>
      </c>
      <c r="G115" s="452" t="s">
        <v>2100</v>
      </c>
      <c r="H115" s="451" t="s">
        <v>2107</v>
      </c>
      <c r="I115" s="451" t="s">
        <v>1958</v>
      </c>
      <c r="J115" s="451">
        <v>14524</v>
      </c>
      <c r="K115" s="451"/>
      <c r="L115" s="451"/>
      <c r="M115" s="454">
        <v>3717.2910000000002</v>
      </c>
      <c r="N115" s="454">
        <v>0</v>
      </c>
      <c r="O115" s="454">
        <v>0</v>
      </c>
      <c r="P115" s="454">
        <v>0</v>
      </c>
      <c r="Q115" s="454">
        <v>0</v>
      </c>
      <c r="R115" s="454">
        <v>0</v>
      </c>
      <c r="S115" s="454"/>
      <c r="T115" s="454"/>
      <c r="U115" s="454"/>
      <c r="V115" s="454"/>
      <c r="W115" s="454"/>
      <c r="X115" s="454"/>
      <c r="Y115" s="454">
        <f t="shared" si="4"/>
        <v>3717.2910000000002</v>
      </c>
      <c r="Z115" s="454">
        <v>3718</v>
      </c>
      <c r="AA115" s="451">
        <v>4</v>
      </c>
      <c r="AB115" s="587">
        <v>44221</v>
      </c>
      <c r="AC115" s="587">
        <v>44280</v>
      </c>
      <c r="AD115" s="454"/>
      <c r="AE115" s="451"/>
      <c r="AF115" s="587"/>
      <c r="AG115" s="587"/>
      <c r="AH115" s="454"/>
      <c r="AI115" s="451"/>
      <c r="AJ115" s="587"/>
      <c r="AK115" s="587"/>
      <c r="AL115" s="454"/>
      <c r="AM115" s="451"/>
      <c r="AN115" s="587"/>
      <c r="AO115" s="587"/>
      <c r="AP115" s="454"/>
      <c r="AQ115" s="451"/>
      <c r="AR115" s="588"/>
      <c r="AS115" s="588"/>
      <c r="AT115" s="154">
        <f t="shared" si="5"/>
        <v>3718</v>
      </c>
      <c r="AU115" s="461">
        <f t="shared" si="3"/>
        <v>0.70899999999983265</v>
      </c>
    </row>
    <row r="116" spans="2:47" s="148" customFormat="1" ht="22.5" x14ac:dyDescent="0.25">
      <c r="B116" s="149">
        <v>101</v>
      </c>
      <c r="C116" s="149" t="s">
        <v>38</v>
      </c>
      <c r="D116" s="450">
        <v>30442022</v>
      </c>
      <c r="E116" s="451" t="s">
        <v>2244</v>
      </c>
      <c r="F116" s="451" t="s">
        <v>200</v>
      </c>
      <c r="G116" s="452" t="s">
        <v>2100</v>
      </c>
      <c r="H116" s="451" t="s">
        <v>2242</v>
      </c>
      <c r="I116" s="451" t="s">
        <v>1958</v>
      </c>
      <c r="J116" s="451">
        <v>35924</v>
      </c>
      <c r="K116" s="451"/>
      <c r="L116" s="451"/>
      <c r="M116" s="454">
        <v>0</v>
      </c>
      <c r="N116" s="454">
        <v>0</v>
      </c>
      <c r="O116" s="454">
        <v>24775.8</v>
      </c>
      <c r="P116" s="454">
        <v>0</v>
      </c>
      <c r="Q116" s="454">
        <v>2287.701</v>
      </c>
      <c r="R116" s="454">
        <v>0</v>
      </c>
      <c r="S116" s="454"/>
      <c r="T116" s="454"/>
      <c r="U116" s="454"/>
      <c r="V116" s="454"/>
      <c r="W116" s="454"/>
      <c r="X116" s="454"/>
      <c r="Y116" s="454">
        <f t="shared" si="4"/>
        <v>27063.501</v>
      </c>
      <c r="Z116" s="454">
        <v>1000</v>
      </c>
      <c r="AA116" s="451">
        <v>8</v>
      </c>
      <c r="AB116" s="587">
        <v>44252</v>
      </c>
      <c r="AC116" s="587">
        <v>44292</v>
      </c>
      <c r="AD116" s="454">
        <v>24775</v>
      </c>
      <c r="AE116" s="451">
        <v>10</v>
      </c>
      <c r="AF116" s="587">
        <v>44286</v>
      </c>
      <c r="AG116" s="587">
        <v>44306</v>
      </c>
      <c r="AH116" s="454">
        <v>2288</v>
      </c>
      <c r="AI116" s="451">
        <v>23</v>
      </c>
      <c r="AJ116" s="587">
        <v>44340</v>
      </c>
      <c r="AK116" s="587">
        <v>44350</v>
      </c>
      <c r="AL116" s="454">
        <v>0</v>
      </c>
      <c r="AM116" s="451">
        <v>0</v>
      </c>
      <c r="AN116" s="587"/>
      <c r="AO116" s="587"/>
      <c r="AP116" s="454">
        <v>0</v>
      </c>
      <c r="AQ116" s="451">
        <v>0</v>
      </c>
      <c r="AR116" s="588"/>
      <c r="AS116" s="588"/>
      <c r="AT116" s="154">
        <f t="shared" si="5"/>
        <v>28063</v>
      </c>
      <c r="AU116" s="461">
        <f t="shared" si="3"/>
        <v>999.4989999999998</v>
      </c>
    </row>
    <row r="117" spans="2:47" s="148" customFormat="1" ht="22.5" x14ac:dyDescent="0.25">
      <c r="B117" s="149">
        <v>102</v>
      </c>
      <c r="C117" s="149" t="s">
        <v>38</v>
      </c>
      <c r="D117" s="450">
        <v>30442622</v>
      </c>
      <c r="E117" s="451" t="s">
        <v>2245</v>
      </c>
      <c r="F117" s="451" t="s">
        <v>200</v>
      </c>
      <c r="G117" s="452" t="s">
        <v>2100</v>
      </c>
      <c r="H117" s="451" t="s">
        <v>2246</v>
      </c>
      <c r="I117" s="451" t="s">
        <v>1958</v>
      </c>
      <c r="J117" s="451">
        <v>28889</v>
      </c>
      <c r="K117" s="451"/>
      <c r="L117" s="451"/>
      <c r="M117" s="454">
        <v>28889.828000000001</v>
      </c>
      <c r="N117" s="454">
        <v>0</v>
      </c>
      <c r="O117" s="454">
        <v>1E-3</v>
      </c>
      <c r="P117" s="454">
        <v>0</v>
      </c>
      <c r="Q117" s="454">
        <v>0</v>
      </c>
      <c r="R117" s="454">
        <v>0</v>
      </c>
      <c r="S117" s="454"/>
      <c r="T117" s="454"/>
      <c r="U117" s="454"/>
      <c r="V117" s="454"/>
      <c r="W117" s="454"/>
      <c r="X117" s="454"/>
      <c r="Y117" s="454">
        <f t="shared" si="4"/>
        <v>28889.829000000002</v>
      </c>
      <c r="Z117" s="454">
        <v>28889</v>
      </c>
      <c r="AA117" s="451">
        <v>4</v>
      </c>
      <c r="AB117" s="587">
        <v>44221</v>
      </c>
      <c r="AC117" s="587">
        <v>44280</v>
      </c>
      <c r="AD117" s="454"/>
      <c r="AE117" s="451"/>
      <c r="AF117" s="587"/>
      <c r="AG117" s="587"/>
      <c r="AH117" s="454"/>
      <c r="AI117" s="451"/>
      <c r="AJ117" s="587"/>
      <c r="AK117" s="587"/>
      <c r="AL117" s="454"/>
      <c r="AM117" s="451"/>
      <c r="AN117" s="587"/>
      <c r="AO117" s="587"/>
      <c r="AP117" s="454"/>
      <c r="AQ117" s="451"/>
      <c r="AR117" s="588"/>
      <c r="AS117" s="588"/>
      <c r="AT117" s="154">
        <f t="shared" si="5"/>
        <v>28889</v>
      </c>
      <c r="AU117" s="461">
        <f t="shared" si="3"/>
        <v>-0.8290000000015425</v>
      </c>
    </row>
    <row r="118" spans="2:47" s="148" customFormat="1" ht="22.5" x14ac:dyDescent="0.25">
      <c r="B118" s="149">
        <v>103</v>
      </c>
      <c r="C118" s="149" t="s">
        <v>38</v>
      </c>
      <c r="D118" s="450">
        <v>30442824</v>
      </c>
      <c r="E118" s="451" t="s">
        <v>2247</v>
      </c>
      <c r="F118" s="451" t="s">
        <v>200</v>
      </c>
      <c r="G118" s="452" t="s">
        <v>2100</v>
      </c>
      <c r="H118" s="451" t="s">
        <v>2248</v>
      </c>
      <c r="I118" s="451" t="s">
        <v>1958</v>
      </c>
      <c r="J118" s="451">
        <v>265098</v>
      </c>
      <c r="K118" s="451"/>
      <c r="L118" s="451"/>
      <c r="M118" s="454">
        <v>167501.55799999999</v>
      </c>
      <c r="N118" s="454">
        <v>1500</v>
      </c>
      <c r="O118" s="454">
        <v>33154.370000000003</v>
      </c>
      <c r="P118" s="454">
        <v>16545.647000000001</v>
      </c>
      <c r="Q118" s="454">
        <v>0</v>
      </c>
      <c r="R118" s="454">
        <v>0</v>
      </c>
      <c r="S118" s="454"/>
      <c r="T118" s="454"/>
      <c r="U118" s="454"/>
      <c r="V118" s="454"/>
      <c r="W118" s="454"/>
      <c r="X118" s="454"/>
      <c r="Y118" s="454">
        <f t="shared" si="4"/>
        <v>218701.57499999998</v>
      </c>
      <c r="Z118" s="454">
        <v>1500</v>
      </c>
      <c r="AA118" s="451">
        <v>1</v>
      </c>
      <c r="AB118" s="587">
        <v>44207</v>
      </c>
      <c r="AC118" s="587">
        <v>44249</v>
      </c>
      <c r="AD118" s="454">
        <v>203618</v>
      </c>
      <c r="AE118" s="451">
        <v>4</v>
      </c>
      <c r="AF118" s="587">
        <v>44221</v>
      </c>
      <c r="AG118" s="587">
        <v>44280</v>
      </c>
      <c r="AH118" s="454">
        <v>3000</v>
      </c>
      <c r="AI118" s="451">
        <v>8</v>
      </c>
      <c r="AJ118" s="587">
        <v>44252</v>
      </c>
      <c r="AK118" s="587">
        <v>44292</v>
      </c>
      <c r="AL118" s="454">
        <v>16546</v>
      </c>
      <c r="AM118" s="451">
        <v>14</v>
      </c>
      <c r="AN118" s="587">
        <v>44313</v>
      </c>
      <c r="AO118" s="587">
        <v>44322</v>
      </c>
      <c r="AP118" s="454">
        <v>0</v>
      </c>
      <c r="AQ118" s="451">
        <v>0</v>
      </c>
      <c r="AR118" s="588"/>
      <c r="AS118" s="588"/>
      <c r="AT118" s="154">
        <f t="shared" si="5"/>
        <v>224664</v>
      </c>
      <c r="AU118" s="461">
        <f t="shared" si="3"/>
        <v>5962.4250000000175</v>
      </c>
    </row>
    <row r="119" spans="2:47" s="148" customFormat="1" ht="22.5" x14ac:dyDescent="0.25">
      <c r="B119" s="149">
        <v>104</v>
      </c>
      <c r="C119" s="149" t="s">
        <v>38</v>
      </c>
      <c r="D119" s="450">
        <v>30442825</v>
      </c>
      <c r="E119" s="451" t="s">
        <v>2249</v>
      </c>
      <c r="F119" s="451" t="s">
        <v>200</v>
      </c>
      <c r="G119" s="452" t="s">
        <v>2100</v>
      </c>
      <c r="H119" s="451" t="s">
        <v>2248</v>
      </c>
      <c r="I119" s="451" t="s">
        <v>1958</v>
      </c>
      <c r="J119" s="451">
        <v>416979</v>
      </c>
      <c r="K119" s="451"/>
      <c r="L119" s="451"/>
      <c r="M119" s="454">
        <v>131671.087</v>
      </c>
      <c r="N119" s="454">
        <v>146248.117</v>
      </c>
      <c r="O119" s="454">
        <v>105149.88499999999</v>
      </c>
      <c r="P119" s="454">
        <v>0</v>
      </c>
      <c r="Q119" s="454">
        <v>37722.946000000004</v>
      </c>
      <c r="R119" s="454">
        <v>24026.65</v>
      </c>
      <c r="S119" s="454"/>
      <c r="T119" s="454"/>
      <c r="U119" s="454"/>
      <c r="V119" s="454"/>
      <c r="W119" s="454"/>
      <c r="X119" s="454"/>
      <c r="Y119" s="454">
        <f t="shared" si="4"/>
        <v>444818.68500000006</v>
      </c>
      <c r="Z119" s="454">
        <v>3000</v>
      </c>
      <c r="AA119" s="451">
        <v>1</v>
      </c>
      <c r="AB119" s="587">
        <v>44207</v>
      </c>
      <c r="AC119" s="587">
        <v>44249</v>
      </c>
      <c r="AD119" s="454">
        <v>300000</v>
      </c>
      <c r="AE119" s="451">
        <v>4</v>
      </c>
      <c r="AF119" s="587">
        <v>44221</v>
      </c>
      <c r="AG119" s="587">
        <v>44280</v>
      </c>
      <c r="AH119" s="454">
        <v>110000</v>
      </c>
      <c r="AI119" s="451">
        <v>8</v>
      </c>
      <c r="AJ119" s="587">
        <v>44252</v>
      </c>
      <c r="AK119" s="587">
        <v>44292</v>
      </c>
      <c r="AL119" s="454">
        <v>20000</v>
      </c>
      <c r="AM119" s="451">
        <v>18</v>
      </c>
      <c r="AN119" s="587">
        <v>44327</v>
      </c>
      <c r="AO119" s="587">
        <v>44341</v>
      </c>
      <c r="AP119" s="454">
        <v>0</v>
      </c>
      <c r="AQ119" s="451">
        <v>0</v>
      </c>
      <c r="AR119" s="588"/>
      <c r="AS119" s="588"/>
      <c r="AT119" s="154">
        <f t="shared" si="5"/>
        <v>433000</v>
      </c>
      <c r="AU119" s="461">
        <f t="shared" si="3"/>
        <v>-11818.685000000056</v>
      </c>
    </row>
    <row r="120" spans="2:47" s="148" customFormat="1" ht="22.5" x14ac:dyDescent="0.25">
      <c r="B120" s="149">
        <v>105</v>
      </c>
      <c r="C120" s="149" t="s">
        <v>38</v>
      </c>
      <c r="D120" s="450">
        <v>30442826</v>
      </c>
      <c r="E120" s="451" t="s">
        <v>2250</v>
      </c>
      <c r="F120" s="451" t="s">
        <v>200</v>
      </c>
      <c r="G120" s="452" t="s">
        <v>2100</v>
      </c>
      <c r="H120" s="451" t="s">
        <v>2248</v>
      </c>
      <c r="I120" s="451" t="s">
        <v>1958</v>
      </c>
      <c r="J120" s="451">
        <v>5858</v>
      </c>
      <c r="K120" s="451"/>
      <c r="L120" s="451"/>
      <c r="M120" s="454">
        <v>0</v>
      </c>
      <c r="N120" s="454">
        <v>0</v>
      </c>
      <c r="O120" s="454">
        <v>0</v>
      </c>
      <c r="P120" s="454">
        <v>0</v>
      </c>
      <c r="Q120" s="454">
        <v>0</v>
      </c>
      <c r="R120" s="454">
        <v>0</v>
      </c>
      <c r="S120" s="454"/>
      <c r="T120" s="454"/>
      <c r="U120" s="454"/>
      <c r="V120" s="454"/>
      <c r="W120" s="454"/>
      <c r="X120" s="454"/>
      <c r="Y120" s="454">
        <f t="shared" si="4"/>
        <v>0</v>
      </c>
      <c r="Z120" s="454">
        <v>5858</v>
      </c>
      <c r="AA120" s="451">
        <v>8</v>
      </c>
      <c r="AB120" s="587">
        <v>44252</v>
      </c>
      <c r="AC120" s="587">
        <v>44292</v>
      </c>
      <c r="AD120" s="454"/>
      <c r="AE120" s="451"/>
      <c r="AF120" s="587"/>
      <c r="AG120" s="587"/>
      <c r="AH120" s="454"/>
      <c r="AI120" s="451"/>
      <c r="AJ120" s="587"/>
      <c r="AK120" s="587"/>
      <c r="AL120" s="454"/>
      <c r="AM120" s="451"/>
      <c r="AN120" s="587"/>
      <c r="AO120" s="587"/>
      <c r="AP120" s="454"/>
      <c r="AQ120" s="451"/>
      <c r="AR120" s="588"/>
      <c r="AS120" s="588"/>
      <c r="AT120" s="154">
        <f t="shared" si="5"/>
        <v>5858</v>
      </c>
      <c r="AU120" s="461">
        <f t="shared" si="3"/>
        <v>5858</v>
      </c>
    </row>
    <row r="121" spans="2:47" s="148" customFormat="1" ht="22.5" x14ac:dyDescent="0.25">
      <c r="B121" s="149">
        <v>106</v>
      </c>
      <c r="C121" s="149" t="s">
        <v>41</v>
      </c>
      <c r="D121" s="450">
        <v>30442829</v>
      </c>
      <c r="E121" s="451" t="s">
        <v>2251</v>
      </c>
      <c r="F121" s="451" t="s">
        <v>200</v>
      </c>
      <c r="G121" s="452" t="s">
        <v>2100</v>
      </c>
      <c r="H121" s="451" t="s">
        <v>2248</v>
      </c>
      <c r="I121" s="451" t="s">
        <v>1958</v>
      </c>
      <c r="J121" s="451">
        <v>71846</v>
      </c>
      <c r="K121" s="451"/>
      <c r="L121" s="451"/>
      <c r="M121" s="454">
        <v>0</v>
      </c>
      <c r="N121" s="454">
        <v>0</v>
      </c>
      <c r="O121" s="454">
        <v>0</v>
      </c>
      <c r="P121" s="454">
        <v>0</v>
      </c>
      <c r="Q121" s="454">
        <v>0</v>
      </c>
      <c r="R121" s="454">
        <v>0</v>
      </c>
      <c r="S121" s="454"/>
      <c r="T121" s="454"/>
      <c r="U121" s="454"/>
      <c r="V121" s="454"/>
      <c r="W121" s="454"/>
      <c r="X121" s="454"/>
      <c r="Y121" s="454">
        <f t="shared" si="4"/>
        <v>0</v>
      </c>
      <c r="Z121" s="454">
        <v>1000</v>
      </c>
      <c r="AA121" s="451">
        <v>8</v>
      </c>
      <c r="AB121" s="587">
        <v>44252</v>
      </c>
      <c r="AC121" s="587">
        <v>44292</v>
      </c>
      <c r="AD121" s="454"/>
      <c r="AE121" s="451"/>
      <c r="AF121" s="587"/>
      <c r="AG121" s="587"/>
      <c r="AH121" s="454"/>
      <c r="AI121" s="451"/>
      <c r="AJ121" s="587"/>
      <c r="AK121" s="587"/>
      <c r="AL121" s="454"/>
      <c r="AM121" s="451"/>
      <c r="AN121" s="587"/>
      <c r="AO121" s="587"/>
      <c r="AP121" s="454"/>
      <c r="AQ121" s="451"/>
      <c r="AR121" s="588"/>
      <c r="AS121" s="588"/>
      <c r="AT121" s="154">
        <f t="shared" si="5"/>
        <v>1000</v>
      </c>
      <c r="AU121" s="461">
        <f t="shared" si="3"/>
        <v>1000</v>
      </c>
    </row>
    <row r="122" spans="2:47" s="148" customFormat="1" ht="22.5" x14ac:dyDescent="0.25">
      <c r="B122" s="149">
        <v>107</v>
      </c>
      <c r="C122" s="149" t="s">
        <v>38</v>
      </c>
      <c r="D122" s="450">
        <v>30448824</v>
      </c>
      <c r="E122" s="451" t="s">
        <v>2252</v>
      </c>
      <c r="F122" s="451" t="s">
        <v>200</v>
      </c>
      <c r="G122" s="452" t="s">
        <v>2100</v>
      </c>
      <c r="H122" s="451" t="s">
        <v>2202</v>
      </c>
      <c r="I122" s="451" t="s">
        <v>1958</v>
      </c>
      <c r="J122" s="451">
        <v>103643</v>
      </c>
      <c r="K122" s="451"/>
      <c r="L122" s="451"/>
      <c r="M122" s="454">
        <v>0</v>
      </c>
      <c r="N122" s="454">
        <v>0</v>
      </c>
      <c r="O122" s="454">
        <v>0</v>
      </c>
      <c r="P122" s="454">
        <v>0</v>
      </c>
      <c r="Q122" s="454">
        <v>0</v>
      </c>
      <c r="R122" s="454">
        <v>0</v>
      </c>
      <c r="S122" s="454"/>
      <c r="T122" s="454"/>
      <c r="U122" s="454"/>
      <c r="V122" s="454"/>
      <c r="W122" s="454"/>
      <c r="X122" s="454"/>
      <c r="Y122" s="454">
        <f t="shared" si="4"/>
        <v>0</v>
      </c>
      <c r="Z122" s="454">
        <v>1000</v>
      </c>
      <c r="AA122" s="451">
        <v>8</v>
      </c>
      <c r="AB122" s="587">
        <v>44252</v>
      </c>
      <c r="AC122" s="587">
        <v>44292</v>
      </c>
      <c r="AD122" s="454"/>
      <c r="AE122" s="451"/>
      <c r="AF122" s="587"/>
      <c r="AG122" s="587"/>
      <c r="AH122" s="454"/>
      <c r="AI122" s="451"/>
      <c r="AJ122" s="587"/>
      <c r="AK122" s="587"/>
      <c r="AL122" s="454"/>
      <c r="AM122" s="451"/>
      <c r="AN122" s="587"/>
      <c r="AO122" s="587"/>
      <c r="AP122" s="454"/>
      <c r="AQ122" s="451"/>
      <c r="AR122" s="588"/>
      <c r="AS122" s="588"/>
      <c r="AT122" s="154">
        <f t="shared" si="5"/>
        <v>1000</v>
      </c>
      <c r="AU122" s="461">
        <f t="shared" si="3"/>
        <v>1000</v>
      </c>
    </row>
    <row r="123" spans="2:47" s="148" customFormat="1" ht="22.5" x14ac:dyDescent="0.25">
      <c r="B123" s="149">
        <v>108</v>
      </c>
      <c r="C123" s="149" t="s">
        <v>38</v>
      </c>
      <c r="D123" s="450">
        <v>30450573</v>
      </c>
      <c r="E123" s="451" t="s">
        <v>2253</v>
      </c>
      <c r="F123" s="451" t="s">
        <v>204</v>
      </c>
      <c r="G123" s="452" t="s">
        <v>2100</v>
      </c>
      <c r="H123" s="451" t="s">
        <v>2242</v>
      </c>
      <c r="I123" s="451" t="s">
        <v>1958</v>
      </c>
      <c r="J123" s="451">
        <v>7671</v>
      </c>
      <c r="K123" s="451"/>
      <c r="L123" s="451"/>
      <c r="M123" s="454">
        <v>0</v>
      </c>
      <c r="N123" s="454">
        <v>0</v>
      </c>
      <c r="O123" s="454">
        <v>0</v>
      </c>
      <c r="P123" s="454">
        <v>0</v>
      </c>
      <c r="Q123" s="454">
        <v>0</v>
      </c>
      <c r="R123" s="454">
        <v>0</v>
      </c>
      <c r="S123" s="454"/>
      <c r="T123" s="454"/>
      <c r="U123" s="454"/>
      <c r="V123" s="454"/>
      <c r="W123" s="454"/>
      <c r="X123" s="454"/>
      <c r="Y123" s="454">
        <f t="shared" si="4"/>
        <v>0</v>
      </c>
      <c r="Z123" s="454">
        <v>1000</v>
      </c>
      <c r="AA123" s="451">
        <v>8</v>
      </c>
      <c r="AB123" s="587">
        <v>44252</v>
      </c>
      <c r="AC123" s="587">
        <v>44292</v>
      </c>
      <c r="AD123" s="454"/>
      <c r="AE123" s="451"/>
      <c r="AF123" s="587"/>
      <c r="AG123" s="587"/>
      <c r="AH123" s="454"/>
      <c r="AI123" s="451"/>
      <c r="AJ123" s="587"/>
      <c r="AK123" s="587"/>
      <c r="AL123" s="454"/>
      <c r="AM123" s="451"/>
      <c r="AN123" s="587"/>
      <c r="AO123" s="587"/>
      <c r="AP123" s="454"/>
      <c r="AQ123" s="451"/>
      <c r="AR123" s="588"/>
      <c r="AS123" s="588"/>
      <c r="AT123" s="154">
        <f t="shared" si="5"/>
        <v>1000</v>
      </c>
      <c r="AU123" s="461">
        <f t="shared" si="3"/>
        <v>1000</v>
      </c>
    </row>
    <row r="124" spans="2:47" s="148" customFormat="1" ht="22.5" x14ac:dyDescent="0.25">
      <c r="B124" s="149">
        <v>109</v>
      </c>
      <c r="C124" s="149" t="s">
        <v>41</v>
      </c>
      <c r="D124" s="450">
        <v>30452677</v>
      </c>
      <c r="E124" s="451" t="s">
        <v>2254</v>
      </c>
      <c r="F124" s="451" t="s">
        <v>200</v>
      </c>
      <c r="G124" s="452" t="s">
        <v>2100</v>
      </c>
      <c r="H124" s="451" t="s">
        <v>2160</v>
      </c>
      <c r="I124" s="451" t="s">
        <v>1958</v>
      </c>
      <c r="J124" s="451">
        <v>207783</v>
      </c>
      <c r="K124" s="451"/>
      <c r="L124" s="451"/>
      <c r="M124" s="454">
        <v>0</v>
      </c>
      <c r="N124" s="454">
        <v>0</v>
      </c>
      <c r="O124" s="454">
        <v>0</v>
      </c>
      <c r="P124" s="454">
        <v>0</v>
      </c>
      <c r="Q124" s="454">
        <v>0</v>
      </c>
      <c r="R124" s="454">
        <v>0</v>
      </c>
      <c r="S124" s="454"/>
      <c r="T124" s="454"/>
      <c r="U124" s="454"/>
      <c r="V124" s="454"/>
      <c r="W124" s="454"/>
      <c r="X124" s="454"/>
      <c r="Y124" s="454">
        <f t="shared" si="4"/>
        <v>0</v>
      </c>
      <c r="Z124" s="454">
        <v>1000</v>
      </c>
      <c r="AA124" s="451">
        <v>1</v>
      </c>
      <c r="AB124" s="587">
        <v>44207</v>
      </c>
      <c r="AC124" s="587">
        <v>44249</v>
      </c>
      <c r="AD124" s="454"/>
      <c r="AE124" s="451"/>
      <c r="AF124" s="587"/>
      <c r="AG124" s="587"/>
      <c r="AH124" s="454"/>
      <c r="AI124" s="451"/>
      <c r="AJ124" s="587"/>
      <c r="AK124" s="587"/>
      <c r="AL124" s="454"/>
      <c r="AM124" s="451"/>
      <c r="AN124" s="587"/>
      <c r="AO124" s="587"/>
      <c r="AP124" s="454"/>
      <c r="AQ124" s="451"/>
      <c r="AR124" s="588"/>
      <c r="AS124" s="588"/>
      <c r="AT124" s="154">
        <f t="shared" si="5"/>
        <v>1000</v>
      </c>
      <c r="AU124" s="461">
        <f t="shared" si="3"/>
        <v>1000</v>
      </c>
    </row>
    <row r="125" spans="2:47" s="148" customFormat="1" ht="33.75" x14ac:dyDescent="0.25">
      <c r="B125" s="149">
        <v>110</v>
      </c>
      <c r="C125" s="149" t="s">
        <v>38</v>
      </c>
      <c r="D125" s="450">
        <v>30453028</v>
      </c>
      <c r="E125" s="451" t="s">
        <v>2255</v>
      </c>
      <c r="F125" s="451" t="s">
        <v>204</v>
      </c>
      <c r="G125" s="452" t="s">
        <v>2100</v>
      </c>
      <c r="H125" s="451" t="s">
        <v>2115</v>
      </c>
      <c r="I125" s="451" t="s">
        <v>1958</v>
      </c>
      <c r="J125" s="451">
        <v>74319</v>
      </c>
      <c r="K125" s="451"/>
      <c r="L125" s="451"/>
      <c r="M125" s="454">
        <v>0</v>
      </c>
      <c r="N125" s="454">
        <v>0</v>
      </c>
      <c r="O125" s="454">
        <v>0</v>
      </c>
      <c r="P125" s="454">
        <v>0</v>
      </c>
      <c r="Q125" s="454">
        <v>0</v>
      </c>
      <c r="R125" s="454">
        <v>0</v>
      </c>
      <c r="S125" s="454"/>
      <c r="T125" s="454"/>
      <c r="U125" s="454"/>
      <c r="V125" s="454"/>
      <c r="W125" s="454"/>
      <c r="X125" s="454"/>
      <c r="Y125" s="454">
        <f t="shared" si="4"/>
        <v>0</v>
      </c>
      <c r="Z125" s="454">
        <v>1000</v>
      </c>
      <c r="AA125" s="451">
        <v>8</v>
      </c>
      <c r="AB125" s="587">
        <v>44252</v>
      </c>
      <c r="AC125" s="587">
        <v>44292</v>
      </c>
      <c r="AD125" s="454"/>
      <c r="AE125" s="451"/>
      <c r="AF125" s="587"/>
      <c r="AG125" s="587"/>
      <c r="AH125" s="454"/>
      <c r="AI125" s="451"/>
      <c r="AJ125" s="587"/>
      <c r="AK125" s="587"/>
      <c r="AL125" s="454"/>
      <c r="AM125" s="451"/>
      <c r="AN125" s="587"/>
      <c r="AO125" s="587"/>
      <c r="AP125" s="454"/>
      <c r="AQ125" s="451"/>
      <c r="AR125" s="588"/>
      <c r="AS125" s="588"/>
      <c r="AT125" s="154">
        <f t="shared" si="5"/>
        <v>1000</v>
      </c>
      <c r="AU125" s="461">
        <f t="shared" si="3"/>
        <v>1000</v>
      </c>
    </row>
    <row r="126" spans="2:47" s="148" customFormat="1" ht="22.5" x14ac:dyDescent="0.25">
      <c r="B126" s="149">
        <v>111</v>
      </c>
      <c r="C126" s="149" t="s">
        <v>38</v>
      </c>
      <c r="D126" s="450">
        <v>30453924</v>
      </c>
      <c r="E126" s="451" t="s">
        <v>2256</v>
      </c>
      <c r="F126" s="451" t="s">
        <v>200</v>
      </c>
      <c r="G126" s="452" t="s">
        <v>2100</v>
      </c>
      <c r="H126" s="451" t="s">
        <v>2123</v>
      </c>
      <c r="I126" s="451" t="s">
        <v>1958</v>
      </c>
      <c r="J126" s="451">
        <v>4507751</v>
      </c>
      <c r="K126" s="451"/>
      <c r="L126" s="451"/>
      <c r="M126" s="454">
        <v>126568.253</v>
      </c>
      <c r="N126" s="454">
        <v>0</v>
      </c>
      <c r="O126" s="454">
        <v>96633.192999999999</v>
      </c>
      <c r="P126" s="454">
        <v>36692.678999999996</v>
      </c>
      <c r="Q126" s="454">
        <v>9000</v>
      </c>
      <c r="R126" s="454">
        <v>170606.658</v>
      </c>
      <c r="S126" s="454"/>
      <c r="T126" s="454"/>
      <c r="U126" s="454"/>
      <c r="V126" s="454"/>
      <c r="W126" s="454"/>
      <c r="X126" s="454"/>
      <c r="Y126" s="454">
        <f t="shared" si="4"/>
        <v>439500.783</v>
      </c>
      <c r="Z126" s="454">
        <v>430000</v>
      </c>
      <c r="AA126" s="451">
        <v>4</v>
      </c>
      <c r="AB126" s="587">
        <v>44221</v>
      </c>
      <c r="AC126" s="587">
        <v>44280</v>
      </c>
      <c r="AD126" s="454">
        <v>11899</v>
      </c>
      <c r="AE126" s="451">
        <v>23</v>
      </c>
      <c r="AF126" s="587">
        <v>44340</v>
      </c>
      <c r="AG126" s="587">
        <v>44350</v>
      </c>
      <c r="AH126" s="454"/>
      <c r="AI126" s="451"/>
      <c r="AJ126" s="587"/>
      <c r="AK126" s="587"/>
      <c r="AL126" s="454"/>
      <c r="AM126" s="451"/>
      <c r="AN126" s="587"/>
      <c r="AO126" s="587"/>
      <c r="AP126" s="454"/>
      <c r="AQ126" s="451"/>
      <c r="AR126" s="588"/>
      <c r="AS126" s="588"/>
      <c r="AT126" s="154">
        <f t="shared" si="5"/>
        <v>441899</v>
      </c>
      <c r="AU126" s="461">
        <f t="shared" si="3"/>
        <v>2398.2170000000042</v>
      </c>
    </row>
    <row r="127" spans="2:47" s="148" customFormat="1" ht="22.5" x14ac:dyDescent="0.25">
      <c r="B127" s="149">
        <v>112</v>
      </c>
      <c r="C127" s="149" t="s">
        <v>38</v>
      </c>
      <c r="D127" s="450">
        <v>30455673</v>
      </c>
      <c r="E127" s="451" t="s">
        <v>2257</v>
      </c>
      <c r="F127" s="451" t="s">
        <v>200</v>
      </c>
      <c r="G127" s="452" t="s">
        <v>2100</v>
      </c>
      <c r="H127" s="451" t="s">
        <v>2184</v>
      </c>
      <c r="I127" s="451" t="s">
        <v>1958</v>
      </c>
      <c r="J127" s="451">
        <v>482988</v>
      </c>
      <c r="K127" s="451"/>
      <c r="L127" s="451"/>
      <c r="M127" s="454">
        <v>0</v>
      </c>
      <c r="N127" s="454">
        <v>57355.682000000001</v>
      </c>
      <c r="O127" s="454">
        <v>44963.517999999996</v>
      </c>
      <c r="P127" s="454">
        <v>28616.725999999999</v>
      </c>
      <c r="Q127" s="454">
        <v>88670.040999999997</v>
      </c>
      <c r="R127" s="454">
        <v>43358.898000000001</v>
      </c>
      <c r="S127" s="454"/>
      <c r="T127" s="454"/>
      <c r="U127" s="454"/>
      <c r="V127" s="454"/>
      <c r="W127" s="454"/>
      <c r="X127" s="454"/>
      <c r="Y127" s="454">
        <f t="shared" si="4"/>
        <v>262964.86499999999</v>
      </c>
      <c r="Z127" s="454">
        <v>1000</v>
      </c>
      <c r="AA127" s="451">
        <v>1</v>
      </c>
      <c r="AB127" s="587">
        <v>44207</v>
      </c>
      <c r="AC127" s="587">
        <v>44249</v>
      </c>
      <c r="AD127" s="454">
        <v>257000</v>
      </c>
      <c r="AE127" s="451">
        <v>8</v>
      </c>
      <c r="AF127" s="587">
        <v>44252</v>
      </c>
      <c r="AG127" s="587">
        <v>44292</v>
      </c>
      <c r="AH127" s="454">
        <v>10800</v>
      </c>
      <c r="AI127" s="451">
        <v>11</v>
      </c>
      <c r="AJ127" s="587">
        <v>44299</v>
      </c>
      <c r="AK127" s="587">
        <v>44312</v>
      </c>
      <c r="AL127" s="454">
        <v>0</v>
      </c>
      <c r="AM127" s="451">
        <v>0</v>
      </c>
      <c r="AN127" s="587"/>
      <c r="AO127" s="587"/>
      <c r="AP127" s="454">
        <v>0</v>
      </c>
      <c r="AQ127" s="451">
        <v>0</v>
      </c>
      <c r="AR127" s="588"/>
      <c r="AS127" s="588"/>
      <c r="AT127" s="154">
        <f t="shared" si="5"/>
        <v>268800</v>
      </c>
      <c r="AU127" s="461">
        <f t="shared" si="3"/>
        <v>5835.1350000000093</v>
      </c>
    </row>
    <row r="128" spans="2:47" s="148" customFormat="1" ht="22.5" x14ac:dyDescent="0.25">
      <c r="B128" s="149">
        <v>113</v>
      </c>
      <c r="C128" s="149" t="s">
        <v>38</v>
      </c>
      <c r="D128" s="450">
        <v>30457982</v>
      </c>
      <c r="E128" s="451" t="s">
        <v>2258</v>
      </c>
      <c r="F128" s="451" t="s">
        <v>200</v>
      </c>
      <c r="G128" s="452" t="s">
        <v>2100</v>
      </c>
      <c r="H128" s="451" t="s">
        <v>2143</v>
      </c>
      <c r="I128" s="451" t="s">
        <v>1958</v>
      </c>
      <c r="J128" s="451">
        <v>49686</v>
      </c>
      <c r="K128" s="451"/>
      <c r="L128" s="451"/>
      <c r="M128" s="454">
        <v>0</v>
      </c>
      <c r="N128" s="454">
        <v>0</v>
      </c>
      <c r="O128" s="454">
        <v>0</v>
      </c>
      <c r="P128" s="454">
        <v>0</v>
      </c>
      <c r="Q128" s="454">
        <v>0</v>
      </c>
      <c r="R128" s="454">
        <v>0</v>
      </c>
      <c r="S128" s="454"/>
      <c r="T128" s="454"/>
      <c r="U128" s="454"/>
      <c r="V128" s="454"/>
      <c r="W128" s="454"/>
      <c r="X128" s="454"/>
      <c r="Y128" s="454">
        <f t="shared" si="4"/>
        <v>0</v>
      </c>
      <c r="Z128" s="454">
        <v>1000</v>
      </c>
      <c r="AA128" s="451">
        <v>8</v>
      </c>
      <c r="AB128" s="587">
        <v>44252</v>
      </c>
      <c r="AC128" s="587">
        <v>44292</v>
      </c>
      <c r="AD128" s="454"/>
      <c r="AE128" s="451"/>
      <c r="AF128" s="587"/>
      <c r="AG128" s="587"/>
      <c r="AH128" s="454"/>
      <c r="AI128" s="451"/>
      <c r="AJ128" s="587"/>
      <c r="AK128" s="587"/>
      <c r="AL128" s="454"/>
      <c r="AM128" s="451"/>
      <c r="AN128" s="587"/>
      <c r="AO128" s="587"/>
      <c r="AP128" s="454"/>
      <c r="AQ128" s="451"/>
      <c r="AR128" s="588"/>
      <c r="AS128" s="588"/>
      <c r="AT128" s="154">
        <f t="shared" si="5"/>
        <v>1000</v>
      </c>
      <c r="AU128" s="461">
        <f t="shared" si="3"/>
        <v>1000</v>
      </c>
    </row>
    <row r="129" spans="2:47" s="148" customFormat="1" ht="22.5" x14ac:dyDescent="0.25">
      <c r="B129" s="149">
        <v>114</v>
      </c>
      <c r="C129" s="149" t="s">
        <v>38</v>
      </c>
      <c r="D129" s="450">
        <v>30458281</v>
      </c>
      <c r="E129" s="451" t="s">
        <v>2259</v>
      </c>
      <c r="F129" s="451" t="s">
        <v>200</v>
      </c>
      <c r="G129" s="452" t="s">
        <v>2100</v>
      </c>
      <c r="H129" s="451" t="s">
        <v>2119</v>
      </c>
      <c r="I129" s="451" t="s">
        <v>1958</v>
      </c>
      <c r="J129" s="451">
        <v>11817</v>
      </c>
      <c r="K129" s="451"/>
      <c r="L129" s="451"/>
      <c r="M129" s="454">
        <v>0</v>
      </c>
      <c r="N129" s="454">
        <v>0</v>
      </c>
      <c r="O129" s="454">
        <v>0</v>
      </c>
      <c r="P129" s="454">
        <v>0</v>
      </c>
      <c r="Q129" s="454">
        <v>0</v>
      </c>
      <c r="R129" s="454">
        <v>3498.3850000000002</v>
      </c>
      <c r="S129" s="454"/>
      <c r="T129" s="454"/>
      <c r="U129" s="454"/>
      <c r="V129" s="454"/>
      <c r="W129" s="454"/>
      <c r="X129" s="454"/>
      <c r="Y129" s="454">
        <f t="shared" si="4"/>
        <v>3498.3850000000002</v>
      </c>
      <c r="Z129" s="454">
        <v>1000</v>
      </c>
      <c r="AA129" s="451">
        <v>8</v>
      </c>
      <c r="AB129" s="587">
        <v>44252</v>
      </c>
      <c r="AC129" s="587">
        <v>44292</v>
      </c>
      <c r="AD129" s="454"/>
      <c r="AE129" s="451"/>
      <c r="AF129" s="587"/>
      <c r="AG129" s="587"/>
      <c r="AH129" s="454"/>
      <c r="AI129" s="451"/>
      <c r="AJ129" s="587"/>
      <c r="AK129" s="587"/>
      <c r="AL129" s="454"/>
      <c r="AM129" s="451"/>
      <c r="AN129" s="587"/>
      <c r="AO129" s="587"/>
      <c r="AP129" s="454"/>
      <c r="AQ129" s="451"/>
      <c r="AR129" s="588"/>
      <c r="AS129" s="588"/>
      <c r="AT129" s="154">
        <f t="shared" si="5"/>
        <v>1000</v>
      </c>
      <c r="AU129" s="461">
        <f t="shared" si="3"/>
        <v>-2498.3850000000002</v>
      </c>
    </row>
    <row r="130" spans="2:47" s="148" customFormat="1" ht="22.5" x14ac:dyDescent="0.25">
      <c r="B130" s="149">
        <v>115</v>
      </c>
      <c r="C130" s="149" t="s">
        <v>38</v>
      </c>
      <c r="D130" s="450">
        <v>30459339</v>
      </c>
      <c r="E130" s="451" t="s">
        <v>2260</v>
      </c>
      <c r="F130" s="451" t="s">
        <v>200</v>
      </c>
      <c r="G130" s="452" t="s">
        <v>2100</v>
      </c>
      <c r="H130" s="451" t="s">
        <v>2188</v>
      </c>
      <c r="I130" s="451" t="s">
        <v>1958</v>
      </c>
      <c r="J130" s="451">
        <v>11130</v>
      </c>
      <c r="K130" s="451"/>
      <c r="L130" s="451"/>
      <c r="M130" s="454">
        <v>0</v>
      </c>
      <c r="N130" s="454">
        <v>0</v>
      </c>
      <c r="O130" s="454">
        <v>0</v>
      </c>
      <c r="P130" s="454">
        <v>11129.453</v>
      </c>
      <c r="Q130" s="454">
        <v>0</v>
      </c>
      <c r="R130" s="454">
        <v>0</v>
      </c>
      <c r="S130" s="454"/>
      <c r="T130" s="454"/>
      <c r="U130" s="454"/>
      <c r="V130" s="454"/>
      <c r="W130" s="454"/>
      <c r="X130" s="454"/>
      <c r="Y130" s="454">
        <f t="shared" si="4"/>
        <v>11129.453</v>
      </c>
      <c r="Z130" s="454">
        <v>1000</v>
      </c>
      <c r="AA130" s="451">
        <v>8</v>
      </c>
      <c r="AB130" s="587">
        <v>44252</v>
      </c>
      <c r="AC130" s="587">
        <v>44292</v>
      </c>
      <c r="AD130" s="454">
        <v>10129</v>
      </c>
      <c r="AE130" s="451">
        <v>14</v>
      </c>
      <c r="AF130" s="587">
        <v>44313</v>
      </c>
      <c r="AG130" s="587">
        <v>44322</v>
      </c>
      <c r="AH130" s="454"/>
      <c r="AI130" s="451"/>
      <c r="AJ130" s="587"/>
      <c r="AK130" s="587"/>
      <c r="AL130" s="454"/>
      <c r="AM130" s="451"/>
      <c r="AN130" s="587"/>
      <c r="AO130" s="587"/>
      <c r="AP130" s="454"/>
      <c r="AQ130" s="451"/>
      <c r="AR130" s="588"/>
      <c r="AS130" s="588"/>
      <c r="AT130" s="154">
        <f t="shared" si="5"/>
        <v>11129</v>
      </c>
      <c r="AU130" s="461">
        <f t="shared" si="3"/>
        <v>-0.45299999999951979</v>
      </c>
    </row>
    <row r="131" spans="2:47" s="148" customFormat="1" ht="22.5" x14ac:dyDescent="0.25">
      <c r="B131" s="149">
        <v>116</v>
      </c>
      <c r="C131" s="149" t="s">
        <v>38</v>
      </c>
      <c r="D131" s="450">
        <v>30459343</v>
      </c>
      <c r="E131" s="451" t="s">
        <v>2261</v>
      </c>
      <c r="F131" s="451" t="s">
        <v>200</v>
      </c>
      <c r="G131" s="452" t="s">
        <v>2100</v>
      </c>
      <c r="H131" s="451" t="s">
        <v>2188</v>
      </c>
      <c r="I131" s="451" t="s">
        <v>1958</v>
      </c>
      <c r="J131" s="451">
        <v>4143</v>
      </c>
      <c r="K131" s="451"/>
      <c r="L131" s="451"/>
      <c r="M131" s="454">
        <v>0</v>
      </c>
      <c r="N131" s="454">
        <v>0</v>
      </c>
      <c r="O131" s="454">
        <v>0</v>
      </c>
      <c r="P131" s="454">
        <v>4142.0940000000001</v>
      </c>
      <c r="Q131" s="454">
        <v>0</v>
      </c>
      <c r="R131" s="454">
        <v>0</v>
      </c>
      <c r="S131" s="454"/>
      <c r="T131" s="454"/>
      <c r="U131" s="454"/>
      <c r="V131" s="454"/>
      <c r="W131" s="454"/>
      <c r="X131" s="454"/>
      <c r="Y131" s="454">
        <f t="shared" si="4"/>
        <v>4142.0940000000001</v>
      </c>
      <c r="Z131" s="454">
        <v>1000</v>
      </c>
      <c r="AA131" s="451">
        <v>8</v>
      </c>
      <c r="AB131" s="587">
        <v>44252</v>
      </c>
      <c r="AC131" s="587">
        <v>44292</v>
      </c>
      <c r="AD131" s="454">
        <v>3142</v>
      </c>
      <c r="AE131" s="451">
        <v>14</v>
      </c>
      <c r="AF131" s="587">
        <v>44313</v>
      </c>
      <c r="AG131" s="587">
        <v>44322</v>
      </c>
      <c r="AH131" s="454"/>
      <c r="AI131" s="451"/>
      <c r="AJ131" s="587"/>
      <c r="AK131" s="587"/>
      <c r="AL131" s="454"/>
      <c r="AM131" s="451"/>
      <c r="AN131" s="587"/>
      <c r="AO131" s="587"/>
      <c r="AP131" s="454"/>
      <c r="AQ131" s="451"/>
      <c r="AR131" s="588"/>
      <c r="AS131" s="588"/>
      <c r="AT131" s="154">
        <f t="shared" si="5"/>
        <v>4142</v>
      </c>
      <c r="AU131" s="461">
        <f t="shared" si="3"/>
        <v>-9.4000000000050932E-2</v>
      </c>
    </row>
    <row r="132" spans="2:47" s="148" customFormat="1" ht="22.5" x14ac:dyDescent="0.25">
      <c r="B132" s="149">
        <v>117</v>
      </c>
      <c r="C132" s="149" t="s">
        <v>41</v>
      </c>
      <c r="D132" s="450">
        <v>30459346</v>
      </c>
      <c r="E132" s="451" t="s">
        <v>2262</v>
      </c>
      <c r="F132" s="451" t="s">
        <v>200</v>
      </c>
      <c r="G132" s="452" t="s">
        <v>2100</v>
      </c>
      <c r="H132" s="451" t="s">
        <v>2188</v>
      </c>
      <c r="I132" s="451" t="s">
        <v>1958</v>
      </c>
      <c r="J132" s="451">
        <v>210</v>
      </c>
      <c r="K132" s="451"/>
      <c r="L132" s="451"/>
      <c r="M132" s="454">
        <v>0</v>
      </c>
      <c r="N132" s="454">
        <v>0</v>
      </c>
      <c r="O132" s="454">
        <v>0</v>
      </c>
      <c r="P132" s="454">
        <v>0</v>
      </c>
      <c r="Q132" s="454">
        <v>0</v>
      </c>
      <c r="R132" s="454">
        <v>0</v>
      </c>
      <c r="S132" s="454"/>
      <c r="T132" s="454"/>
      <c r="U132" s="454"/>
      <c r="V132" s="454"/>
      <c r="W132" s="454"/>
      <c r="X132" s="454"/>
      <c r="Y132" s="454">
        <f t="shared" si="4"/>
        <v>0</v>
      </c>
      <c r="Z132" s="454">
        <v>210</v>
      </c>
      <c r="AA132" s="451">
        <v>8</v>
      </c>
      <c r="AB132" s="587">
        <v>44252</v>
      </c>
      <c r="AC132" s="587">
        <v>44292</v>
      </c>
      <c r="AD132" s="454"/>
      <c r="AE132" s="451"/>
      <c r="AF132" s="587"/>
      <c r="AG132" s="587"/>
      <c r="AH132" s="454"/>
      <c r="AI132" s="451"/>
      <c r="AJ132" s="587"/>
      <c r="AK132" s="587"/>
      <c r="AL132" s="454"/>
      <c r="AM132" s="451"/>
      <c r="AN132" s="587"/>
      <c r="AO132" s="587"/>
      <c r="AP132" s="454"/>
      <c r="AQ132" s="451"/>
      <c r="AR132" s="588"/>
      <c r="AS132" s="588"/>
      <c r="AT132" s="154">
        <f t="shared" si="5"/>
        <v>210</v>
      </c>
      <c r="AU132" s="461">
        <f t="shared" si="3"/>
        <v>210</v>
      </c>
    </row>
    <row r="133" spans="2:47" s="148" customFormat="1" ht="22.5" x14ac:dyDescent="0.25">
      <c r="B133" s="149">
        <v>118</v>
      </c>
      <c r="C133" s="149" t="s">
        <v>38</v>
      </c>
      <c r="D133" s="450">
        <v>30459372</v>
      </c>
      <c r="E133" s="451" t="s">
        <v>2263</v>
      </c>
      <c r="F133" s="451" t="s">
        <v>200</v>
      </c>
      <c r="G133" s="452" t="s">
        <v>2100</v>
      </c>
      <c r="H133" s="451" t="s">
        <v>2188</v>
      </c>
      <c r="I133" s="451" t="s">
        <v>1958</v>
      </c>
      <c r="J133" s="451">
        <v>16605</v>
      </c>
      <c r="K133" s="451"/>
      <c r="L133" s="451"/>
      <c r="M133" s="454">
        <v>0</v>
      </c>
      <c r="N133" s="454">
        <v>0</v>
      </c>
      <c r="O133" s="454">
        <v>0</v>
      </c>
      <c r="P133" s="454">
        <v>0</v>
      </c>
      <c r="Q133" s="454">
        <v>0</v>
      </c>
      <c r="R133" s="454">
        <v>0</v>
      </c>
      <c r="S133" s="454"/>
      <c r="T133" s="454"/>
      <c r="U133" s="454"/>
      <c r="V133" s="454"/>
      <c r="W133" s="454"/>
      <c r="X133" s="454"/>
      <c r="Y133" s="454">
        <f t="shared" si="4"/>
        <v>0</v>
      </c>
      <c r="Z133" s="454">
        <v>1000</v>
      </c>
      <c r="AA133" s="451">
        <v>8</v>
      </c>
      <c r="AB133" s="587">
        <v>44252</v>
      </c>
      <c r="AC133" s="587">
        <v>44292</v>
      </c>
      <c r="AD133" s="454"/>
      <c r="AE133" s="451"/>
      <c r="AF133" s="587"/>
      <c r="AG133" s="587"/>
      <c r="AH133" s="454"/>
      <c r="AI133" s="451"/>
      <c r="AJ133" s="587"/>
      <c r="AK133" s="587"/>
      <c r="AL133" s="454"/>
      <c r="AM133" s="451"/>
      <c r="AN133" s="587"/>
      <c r="AO133" s="587"/>
      <c r="AP133" s="454"/>
      <c r="AQ133" s="451"/>
      <c r="AR133" s="588"/>
      <c r="AS133" s="588"/>
      <c r="AT133" s="154">
        <f t="shared" si="5"/>
        <v>1000</v>
      </c>
      <c r="AU133" s="461">
        <f t="shared" si="3"/>
        <v>1000</v>
      </c>
    </row>
    <row r="134" spans="2:47" s="148" customFormat="1" ht="45" x14ac:dyDescent="0.25">
      <c r="B134" s="149">
        <v>119</v>
      </c>
      <c r="C134" s="149" t="s">
        <v>38</v>
      </c>
      <c r="D134" s="450">
        <v>30459952</v>
      </c>
      <c r="E134" s="451" t="s">
        <v>2264</v>
      </c>
      <c r="F134" s="451" t="s">
        <v>200</v>
      </c>
      <c r="G134" s="452" t="s">
        <v>2100</v>
      </c>
      <c r="H134" s="451" t="s">
        <v>2265</v>
      </c>
      <c r="I134" s="451" t="s">
        <v>1958</v>
      </c>
      <c r="J134" s="451">
        <v>433853</v>
      </c>
      <c r="K134" s="451"/>
      <c r="L134" s="451"/>
      <c r="M134" s="454">
        <v>18863.746999999999</v>
      </c>
      <c r="N134" s="454">
        <v>15940.794</v>
      </c>
      <c r="O134" s="454">
        <v>21929.953000000001</v>
      </c>
      <c r="P134" s="454">
        <v>3531.2</v>
      </c>
      <c r="Q134" s="454">
        <v>0</v>
      </c>
      <c r="R134" s="454">
        <v>0</v>
      </c>
      <c r="S134" s="454"/>
      <c r="T134" s="454"/>
      <c r="U134" s="454"/>
      <c r="V134" s="454"/>
      <c r="W134" s="454"/>
      <c r="X134" s="454"/>
      <c r="Y134" s="454">
        <f t="shared" si="4"/>
        <v>60265.693999999996</v>
      </c>
      <c r="Z134" s="454">
        <v>111501</v>
      </c>
      <c r="AA134" s="451">
        <v>4</v>
      </c>
      <c r="AB134" s="587">
        <v>44221</v>
      </c>
      <c r="AC134" s="587">
        <v>44280</v>
      </c>
      <c r="AD134" s="454">
        <v>254516</v>
      </c>
      <c r="AE134" s="451">
        <v>10</v>
      </c>
      <c r="AF134" s="587">
        <v>44286</v>
      </c>
      <c r="AG134" s="587">
        <v>44306</v>
      </c>
      <c r="AH134" s="454"/>
      <c r="AI134" s="451"/>
      <c r="AJ134" s="587"/>
      <c r="AK134" s="587"/>
      <c r="AL134" s="454"/>
      <c r="AM134" s="451"/>
      <c r="AN134" s="587"/>
      <c r="AO134" s="587"/>
      <c r="AP134" s="454"/>
      <c r="AQ134" s="451"/>
      <c r="AR134" s="588"/>
      <c r="AS134" s="588"/>
      <c r="AT134" s="154">
        <f t="shared" si="5"/>
        <v>366017</v>
      </c>
      <c r="AU134" s="461">
        <f t="shared" si="3"/>
        <v>305751.30599999998</v>
      </c>
    </row>
    <row r="135" spans="2:47" s="148" customFormat="1" ht="22.5" x14ac:dyDescent="0.25">
      <c r="B135" s="149">
        <v>120</v>
      </c>
      <c r="C135" s="149" t="s">
        <v>38</v>
      </c>
      <c r="D135" s="450">
        <v>30459992</v>
      </c>
      <c r="E135" s="451" t="s">
        <v>2266</v>
      </c>
      <c r="F135" s="451" t="s">
        <v>200</v>
      </c>
      <c r="G135" s="452" t="s">
        <v>2100</v>
      </c>
      <c r="H135" s="451" t="s">
        <v>2170</v>
      </c>
      <c r="I135" s="451" t="s">
        <v>1958</v>
      </c>
      <c r="J135" s="451">
        <v>905234</v>
      </c>
      <c r="K135" s="451"/>
      <c r="L135" s="451"/>
      <c r="M135" s="454">
        <v>0</v>
      </c>
      <c r="N135" s="454">
        <v>0</v>
      </c>
      <c r="O135" s="454">
        <v>323541.62099999998</v>
      </c>
      <c r="P135" s="454">
        <v>0</v>
      </c>
      <c r="Q135" s="454">
        <v>178658.88699999999</v>
      </c>
      <c r="R135" s="454">
        <v>2432.6129999999998</v>
      </c>
      <c r="S135" s="454"/>
      <c r="T135" s="454"/>
      <c r="U135" s="454"/>
      <c r="V135" s="454"/>
      <c r="W135" s="454"/>
      <c r="X135" s="454"/>
      <c r="Y135" s="454">
        <f t="shared" si="4"/>
        <v>504633.12099999998</v>
      </c>
      <c r="Z135" s="454">
        <v>1000</v>
      </c>
      <c r="AA135" s="451">
        <v>1</v>
      </c>
      <c r="AB135" s="587">
        <v>44207</v>
      </c>
      <c r="AC135" s="587">
        <v>44249</v>
      </c>
      <c r="AD135" s="454">
        <v>725000</v>
      </c>
      <c r="AE135" s="451">
        <v>10</v>
      </c>
      <c r="AF135" s="587">
        <v>44286</v>
      </c>
      <c r="AG135" s="587">
        <v>44306</v>
      </c>
      <c r="AH135" s="454"/>
      <c r="AI135" s="451"/>
      <c r="AJ135" s="587"/>
      <c r="AK135" s="587"/>
      <c r="AL135" s="454"/>
      <c r="AM135" s="451"/>
      <c r="AN135" s="587"/>
      <c r="AO135" s="587"/>
      <c r="AP135" s="454"/>
      <c r="AQ135" s="451"/>
      <c r="AR135" s="588"/>
      <c r="AS135" s="588"/>
      <c r="AT135" s="154">
        <f t="shared" si="5"/>
        <v>726000</v>
      </c>
      <c r="AU135" s="461">
        <f t="shared" si="3"/>
        <v>221366.87900000002</v>
      </c>
    </row>
    <row r="136" spans="2:47" s="148" customFormat="1" ht="22.5" x14ac:dyDescent="0.25">
      <c r="B136" s="149">
        <v>121</v>
      </c>
      <c r="C136" s="149" t="s">
        <v>38</v>
      </c>
      <c r="D136" s="450">
        <v>30460031</v>
      </c>
      <c r="E136" s="451" t="s">
        <v>2267</v>
      </c>
      <c r="F136" s="451" t="s">
        <v>200</v>
      </c>
      <c r="G136" s="452" t="s">
        <v>2100</v>
      </c>
      <c r="H136" s="451" t="s">
        <v>2268</v>
      </c>
      <c r="I136" s="451" t="s">
        <v>1958</v>
      </c>
      <c r="J136" s="451">
        <v>1120653</v>
      </c>
      <c r="K136" s="451"/>
      <c r="L136" s="451"/>
      <c r="M136" s="454">
        <v>153011.875</v>
      </c>
      <c r="N136" s="454">
        <v>21382.93</v>
      </c>
      <c r="O136" s="454">
        <v>124228.05</v>
      </c>
      <c r="P136" s="454">
        <v>25541.370999999999</v>
      </c>
      <c r="Q136" s="454">
        <v>57563.360999999997</v>
      </c>
      <c r="R136" s="454">
        <v>62376.222000000002</v>
      </c>
      <c r="S136" s="454"/>
      <c r="T136" s="454"/>
      <c r="U136" s="454"/>
      <c r="V136" s="454"/>
      <c r="W136" s="454"/>
      <c r="X136" s="454"/>
      <c r="Y136" s="454">
        <f t="shared" si="4"/>
        <v>444103.80899999995</v>
      </c>
      <c r="Z136" s="454">
        <v>300000</v>
      </c>
      <c r="AA136" s="451">
        <v>4</v>
      </c>
      <c r="AB136" s="587">
        <v>44221</v>
      </c>
      <c r="AC136" s="587">
        <v>44280</v>
      </c>
      <c r="AD136" s="454">
        <v>21382</v>
      </c>
      <c r="AE136" s="451">
        <v>8</v>
      </c>
      <c r="AF136" s="587">
        <v>44252</v>
      </c>
      <c r="AG136" s="587">
        <v>44292</v>
      </c>
      <c r="AH136" s="454">
        <v>130000</v>
      </c>
      <c r="AI136" s="451">
        <v>10</v>
      </c>
      <c r="AJ136" s="587">
        <v>44286</v>
      </c>
      <c r="AK136" s="587">
        <v>44306</v>
      </c>
      <c r="AL136" s="454">
        <v>0</v>
      </c>
      <c r="AM136" s="451">
        <v>0</v>
      </c>
      <c r="AN136" s="587"/>
      <c r="AO136" s="587"/>
      <c r="AP136" s="454"/>
      <c r="AQ136" s="451"/>
      <c r="AR136" s="588"/>
      <c r="AS136" s="588"/>
      <c r="AT136" s="154">
        <f t="shared" si="5"/>
        <v>451382</v>
      </c>
      <c r="AU136" s="461">
        <f t="shared" si="3"/>
        <v>7278.1910000000498</v>
      </c>
    </row>
    <row r="137" spans="2:47" s="148" customFormat="1" ht="22.5" x14ac:dyDescent="0.25">
      <c r="B137" s="149">
        <v>122</v>
      </c>
      <c r="C137" s="149" t="s">
        <v>38</v>
      </c>
      <c r="D137" s="450">
        <v>30462783</v>
      </c>
      <c r="E137" s="451" t="s">
        <v>2269</v>
      </c>
      <c r="F137" s="451" t="s">
        <v>200</v>
      </c>
      <c r="G137" s="452" t="s">
        <v>2100</v>
      </c>
      <c r="H137" s="451" t="s">
        <v>2270</v>
      </c>
      <c r="I137" s="451" t="s">
        <v>1958</v>
      </c>
      <c r="J137" s="451">
        <v>24558</v>
      </c>
      <c r="K137" s="451"/>
      <c r="L137" s="451"/>
      <c r="M137" s="454">
        <v>0</v>
      </c>
      <c r="N137" s="454">
        <v>0</v>
      </c>
      <c r="O137" s="454">
        <v>0</v>
      </c>
      <c r="P137" s="454">
        <v>0</v>
      </c>
      <c r="Q137" s="454">
        <v>0</v>
      </c>
      <c r="R137" s="454">
        <v>0</v>
      </c>
      <c r="S137" s="454"/>
      <c r="T137" s="454"/>
      <c r="U137" s="454"/>
      <c r="V137" s="454"/>
      <c r="W137" s="454"/>
      <c r="X137" s="454"/>
      <c r="Y137" s="454">
        <f t="shared" si="4"/>
        <v>0</v>
      </c>
      <c r="Z137" s="454">
        <v>1000</v>
      </c>
      <c r="AA137" s="451">
        <v>8</v>
      </c>
      <c r="AB137" s="587">
        <v>44252</v>
      </c>
      <c r="AC137" s="587">
        <v>44292</v>
      </c>
      <c r="AD137" s="454"/>
      <c r="AE137" s="451"/>
      <c r="AF137" s="587"/>
      <c r="AG137" s="587"/>
      <c r="AH137" s="454"/>
      <c r="AI137" s="451"/>
      <c r="AJ137" s="587"/>
      <c r="AK137" s="587"/>
      <c r="AL137" s="454"/>
      <c r="AM137" s="451"/>
      <c r="AN137" s="587"/>
      <c r="AO137" s="587"/>
      <c r="AP137" s="454"/>
      <c r="AQ137" s="451"/>
      <c r="AR137" s="588"/>
      <c r="AS137" s="588"/>
      <c r="AT137" s="154">
        <f t="shared" si="5"/>
        <v>1000</v>
      </c>
      <c r="AU137" s="461">
        <f t="shared" si="3"/>
        <v>1000</v>
      </c>
    </row>
    <row r="138" spans="2:47" s="148" customFormat="1" ht="22.5" x14ac:dyDescent="0.25">
      <c r="B138" s="149">
        <v>123</v>
      </c>
      <c r="C138" s="149" t="s">
        <v>38</v>
      </c>
      <c r="D138" s="450">
        <v>30464292</v>
      </c>
      <c r="E138" s="451" t="s">
        <v>2271</v>
      </c>
      <c r="F138" s="451" t="s">
        <v>200</v>
      </c>
      <c r="G138" s="452" t="s">
        <v>2100</v>
      </c>
      <c r="H138" s="451" t="s">
        <v>2130</v>
      </c>
      <c r="I138" s="451" t="s">
        <v>1958</v>
      </c>
      <c r="J138" s="451">
        <v>15799</v>
      </c>
      <c r="K138" s="451"/>
      <c r="L138" s="451"/>
      <c r="M138" s="454">
        <v>0</v>
      </c>
      <c r="N138" s="454">
        <v>0</v>
      </c>
      <c r="O138" s="454">
        <v>0</v>
      </c>
      <c r="P138" s="454">
        <v>0</v>
      </c>
      <c r="Q138" s="454">
        <v>0</v>
      </c>
      <c r="R138" s="454">
        <v>0</v>
      </c>
      <c r="S138" s="454"/>
      <c r="T138" s="454"/>
      <c r="U138" s="454"/>
      <c r="V138" s="454"/>
      <c r="W138" s="454"/>
      <c r="X138" s="454"/>
      <c r="Y138" s="454">
        <f t="shared" si="4"/>
        <v>0</v>
      </c>
      <c r="Z138" s="454">
        <v>1000</v>
      </c>
      <c r="AA138" s="451">
        <v>8</v>
      </c>
      <c r="AB138" s="587">
        <v>44252</v>
      </c>
      <c r="AC138" s="587">
        <v>44292</v>
      </c>
      <c r="AD138" s="454"/>
      <c r="AE138" s="451"/>
      <c r="AF138" s="587"/>
      <c r="AG138" s="587"/>
      <c r="AH138" s="454"/>
      <c r="AI138" s="451"/>
      <c r="AJ138" s="587"/>
      <c r="AK138" s="587"/>
      <c r="AL138" s="454"/>
      <c r="AM138" s="451"/>
      <c r="AN138" s="587"/>
      <c r="AO138" s="587"/>
      <c r="AP138" s="454"/>
      <c r="AQ138" s="451"/>
      <c r="AR138" s="588"/>
      <c r="AS138" s="588"/>
      <c r="AT138" s="154">
        <f t="shared" si="5"/>
        <v>1000</v>
      </c>
      <c r="AU138" s="461">
        <f t="shared" si="3"/>
        <v>1000</v>
      </c>
    </row>
    <row r="139" spans="2:47" s="148" customFormat="1" ht="22.5" x14ac:dyDescent="0.25">
      <c r="B139" s="149">
        <v>124</v>
      </c>
      <c r="C139" s="149" t="s">
        <v>38</v>
      </c>
      <c r="D139" s="450">
        <v>30467934</v>
      </c>
      <c r="E139" s="451" t="s">
        <v>2272</v>
      </c>
      <c r="F139" s="451" t="s">
        <v>200</v>
      </c>
      <c r="G139" s="452" t="s">
        <v>2100</v>
      </c>
      <c r="H139" s="451" t="s">
        <v>2195</v>
      </c>
      <c r="I139" s="451" t="s">
        <v>1958</v>
      </c>
      <c r="J139" s="451">
        <v>743939</v>
      </c>
      <c r="K139" s="451"/>
      <c r="L139" s="451"/>
      <c r="M139" s="454">
        <v>0</v>
      </c>
      <c r="N139" s="454">
        <v>0</v>
      </c>
      <c r="O139" s="454">
        <v>0</v>
      </c>
      <c r="P139" s="454">
        <v>0</v>
      </c>
      <c r="Q139" s="454">
        <v>0</v>
      </c>
      <c r="R139" s="454">
        <v>0</v>
      </c>
      <c r="S139" s="454"/>
      <c r="T139" s="454"/>
      <c r="U139" s="454"/>
      <c r="V139" s="454"/>
      <c r="W139" s="454"/>
      <c r="X139" s="454"/>
      <c r="Y139" s="454">
        <f t="shared" si="4"/>
        <v>0</v>
      </c>
      <c r="Z139" s="454">
        <v>1000</v>
      </c>
      <c r="AA139" s="451">
        <v>1</v>
      </c>
      <c r="AB139" s="587">
        <v>44207</v>
      </c>
      <c r="AC139" s="587">
        <v>44249</v>
      </c>
      <c r="AD139" s="454"/>
      <c r="AE139" s="451"/>
      <c r="AF139" s="587"/>
      <c r="AG139" s="587"/>
      <c r="AH139" s="454"/>
      <c r="AI139" s="451"/>
      <c r="AJ139" s="587"/>
      <c r="AK139" s="587"/>
      <c r="AL139" s="454"/>
      <c r="AM139" s="451"/>
      <c r="AN139" s="587"/>
      <c r="AO139" s="587"/>
      <c r="AP139" s="454"/>
      <c r="AQ139" s="451"/>
      <c r="AR139" s="588"/>
      <c r="AS139" s="588"/>
      <c r="AT139" s="154">
        <f t="shared" si="5"/>
        <v>1000</v>
      </c>
      <c r="AU139" s="461">
        <f t="shared" si="3"/>
        <v>1000</v>
      </c>
    </row>
    <row r="140" spans="2:47" s="148" customFormat="1" ht="22.5" x14ac:dyDescent="0.25">
      <c r="B140" s="149">
        <v>125</v>
      </c>
      <c r="C140" s="149" t="s">
        <v>38</v>
      </c>
      <c r="D140" s="450">
        <v>30468051</v>
      </c>
      <c r="E140" s="451" t="s">
        <v>2273</v>
      </c>
      <c r="F140" s="451" t="s">
        <v>200</v>
      </c>
      <c r="G140" s="452" t="s">
        <v>2100</v>
      </c>
      <c r="H140" s="451" t="s">
        <v>2139</v>
      </c>
      <c r="I140" s="451" t="s">
        <v>1958</v>
      </c>
      <c r="J140" s="451">
        <v>1674599</v>
      </c>
      <c r="K140" s="451"/>
      <c r="L140" s="451"/>
      <c r="M140" s="454">
        <v>0</v>
      </c>
      <c r="N140" s="454">
        <v>0</v>
      </c>
      <c r="O140" s="454">
        <v>0</v>
      </c>
      <c r="P140" s="454">
        <v>1750</v>
      </c>
      <c r="Q140" s="454">
        <v>54945.73</v>
      </c>
      <c r="R140" s="454">
        <v>279966.97700000001</v>
      </c>
      <c r="S140" s="454"/>
      <c r="T140" s="454"/>
      <c r="U140" s="454"/>
      <c r="V140" s="454"/>
      <c r="W140" s="454"/>
      <c r="X140" s="454"/>
      <c r="Y140" s="454">
        <f t="shared" si="4"/>
        <v>336662.70699999999</v>
      </c>
      <c r="Z140" s="454">
        <v>1000</v>
      </c>
      <c r="AA140" s="451">
        <v>1</v>
      </c>
      <c r="AB140" s="587">
        <v>44207</v>
      </c>
      <c r="AC140" s="587">
        <v>44249</v>
      </c>
      <c r="AD140" s="454">
        <v>13000</v>
      </c>
      <c r="AE140" s="451">
        <v>11</v>
      </c>
      <c r="AF140" s="587">
        <v>44299</v>
      </c>
      <c r="AG140" s="587">
        <v>44312</v>
      </c>
      <c r="AH140" s="454">
        <v>241000</v>
      </c>
      <c r="AI140" s="451">
        <v>18</v>
      </c>
      <c r="AJ140" s="587">
        <v>44327</v>
      </c>
      <c r="AK140" s="587">
        <v>44341</v>
      </c>
      <c r="AL140" s="454">
        <v>0</v>
      </c>
      <c r="AM140" s="451">
        <v>0</v>
      </c>
      <c r="AN140" s="587"/>
      <c r="AO140" s="587"/>
      <c r="AP140" s="454"/>
      <c r="AQ140" s="451"/>
      <c r="AR140" s="588"/>
      <c r="AS140" s="588"/>
      <c r="AT140" s="154">
        <f t="shared" si="5"/>
        <v>255000</v>
      </c>
      <c r="AU140" s="461">
        <f t="shared" si="3"/>
        <v>-81662.706999999995</v>
      </c>
    </row>
    <row r="141" spans="2:47" s="148" customFormat="1" ht="22.5" x14ac:dyDescent="0.25">
      <c r="B141" s="149">
        <v>126</v>
      </c>
      <c r="C141" s="149" t="s">
        <v>38</v>
      </c>
      <c r="D141" s="450">
        <v>30469983</v>
      </c>
      <c r="E141" s="451" t="s">
        <v>2274</v>
      </c>
      <c r="F141" s="451" t="s">
        <v>200</v>
      </c>
      <c r="G141" s="452" t="s">
        <v>2100</v>
      </c>
      <c r="H141" s="451" t="s">
        <v>2275</v>
      </c>
      <c r="I141" s="451" t="s">
        <v>1958</v>
      </c>
      <c r="J141" s="451">
        <v>3918</v>
      </c>
      <c r="K141" s="451"/>
      <c r="L141" s="451"/>
      <c r="M141" s="454">
        <v>0</v>
      </c>
      <c r="N141" s="454">
        <v>0</v>
      </c>
      <c r="O141" s="454">
        <v>0</v>
      </c>
      <c r="P141" s="454">
        <v>0</v>
      </c>
      <c r="Q141" s="454">
        <v>0</v>
      </c>
      <c r="R141" s="454">
        <v>0</v>
      </c>
      <c r="S141" s="454"/>
      <c r="T141" s="454"/>
      <c r="U141" s="454"/>
      <c r="V141" s="454"/>
      <c r="W141" s="454"/>
      <c r="X141" s="454"/>
      <c r="Y141" s="454">
        <f t="shared" si="4"/>
        <v>0</v>
      </c>
      <c r="Z141" s="454">
        <v>1000</v>
      </c>
      <c r="AA141" s="451">
        <v>8</v>
      </c>
      <c r="AB141" s="587">
        <v>44252</v>
      </c>
      <c r="AC141" s="587">
        <v>44292</v>
      </c>
      <c r="AD141" s="454"/>
      <c r="AE141" s="451"/>
      <c r="AF141" s="587"/>
      <c r="AG141" s="587"/>
      <c r="AH141" s="454"/>
      <c r="AI141" s="451"/>
      <c r="AJ141" s="587"/>
      <c r="AK141" s="587"/>
      <c r="AL141" s="454"/>
      <c r="AM141" s="451"/>
      <c r="AN141" s="587"/>
      <c r="AO141" s="587"/>
      <c r="AP141" s="454"/>
      <c r="AQ141" s="451"/>
      <c r="AR141" s="588"/>
      <c r="AS141" s="588"/>
      <c r="AT141" s="154">
        <f t="shared" si="5"/>
        <v>1000</v>
      </c>
      <c r="AU141" s="461">
        <f t="shared" si="3"/>
        <v>1000</v>
      </c>
    </row>
    <row r="142" spans="2:47" s="148" customFormat="1" ht="22.5" x14ac:dyDescent="0.25">
      <c r="B142" s="149">
        <v>127</v>
      </c>
      <c r="C142" s="149" t="s">
        <v>38</v>
      </c>
      <c r="D142" s="450">
        <v>30471091</v>
      </c>
      <c r="E142" s="451" t="s">
        <v>2276</v>
      </c>
      <c r="F142" s="451" t="s">
        <v>200</v>
      </c>
      <c r="G142" s="452" t="s">
        <v>2100</v>
      </c>
      <c r="H142" s="451" t="s">
        <v>2149</v>
      </c>
      <c r="I142" s="451" t="s">
        <v>1958</v>
      </c>
      <c r="J142" s="451">
        <v>285915</v>
      </c>
      <c r="K142" s="451"/>
      <c r="L142" s="451"/>
      <c r="M142" s="454">
        <v>146300.26199999999</v>
      </c>
      <c r="N142" s="454">
        <v>0</v>
      </c>
      <c r="O142" s="454">
        <v>83136.125</v>
      </c>
      <c r="P142" s="454">
        <v>0</v>
      </c>
      <c r="Q142" s="454">
        <v>0</v>
      </c>
      <c r="R142" s="454">
        <v>0</v>
      </c>
      <c r="S142" s="454"/>
      <c r="T142" s="454"/>
      <c r="U142" s="454"/>
      <c r="V142" s="454"/>
      <c r="W142" s="454"/>
      <c r="X142" s="454"/>
      <c r="Y142" s="454">
        <f t="shared" si="4"/>
        <v>229436.38699999999</v>
      </c>
      <c r="Z142" s="454">
        <v>285915</v>
      </c>
      <c r="AA142" s="451">
        <v>4</v>
      </c>
      <c r="AB142" s="587">
        <v>44221</v>
      </c>
      <c r="AC142" s="587">
        <v>44280</v>
      </c>
      <c r="AD142" s="454"/>
      <c r="AE142" s="451"/>
      <c r="AF142" s="587"/>
      <c r="AG142" s="587"/>
      <c r="AH142" s="454"/>
      <c r="AI142" s="451"/>
      <c r="AJ142" s="587"/>
      <c r="AK142" s="587"/>
      <c r="AL142" s="454"/>
      <c r="AM142" s="451"/>
      <c r="AN142" s="587"/>
      <c r="AO142" s="587"/>
      <c r="AP142" s="454"/>
      <c r="AQ142" s="451"/>
      <c r="AR142" s="588"/>
      <c r="AS142" s="588"/>
      <c r="AT142" s="154">
        <f t="shared" si="5"/>
        <v>285915</v>
      </c>
      <c r="AU142" s="461">
        <f t="shared" si="3"/>
        <v>56478.613000000012</v>
      </c>
    </row>
    <row r="143" spans="2:47" s="148" customFormat="1" ht="22.5" x14ac:dyDescent="0.25">
      <c r="B143" s="149">
        <v>128</v>
      </c>
      <c r="C143" s="149" t="s">
        <v>38</v>
      </c>
      <c r="D143" s="450">
        <v>30471586</v>
      </c>
      <c r="E143" s="451" t="s">
        <v>2277</v>
      </c>
      <c r="F143" s="451" t="s">
        <v>200</v>
      </c>
      <c r="G143" s="452" t="s">
        <v>2100</v>
      </c>
      <c r="H143" s="451" t="s">
        <v>2270</v>
      </c>
      <c r="I143" s="451" t="s">
        <v>1958</v>
      </c>
      <c r="J143" s="451">
        <v>51241</v>
      </c>
      <c r="K143" s="451"/>
      <c r="L143" s="451"/>
      <c r="M143" s="454">
        <v>0</v>
      </c>
      <c r="N143" s="454">
        <v>0</v>
      </c>
      <c r="O143" s="454">
        <v>0</v>
      </c>
      <c r="P143" s="454">
        <v>0</v>
      </c>
      <c r="Q143" s="454">
        <v>0</v>
      </c>
      <c r="R143" s="454">
        <v>0</v>
      </c>
      <c r="S143" s="454"/>
      <c r="T143" s="454"/>
      <c r="U143" s="454"/>
      <c r="V143" s="454"/>
      <c r="W143" s="454"/>
      <c r="X143" s="454"/>
      <c r="Y143" s="454">
        <f t="shared" si="4"/>
        <v>0</v>
      </c>
      <c r="Z143" s="454">
        <v>1000</v>
      </c>
      <c r="AA143" s="451">
        <v>8</v>
      </c>
      <c r="AB143" s="587">
        <v>44252</v>
      </c>
      <c r="AC143" s="587">
        <v>44292</v>
      </c>
      <c r="AD143" s="454"/>
      <c r="AE143" s="451"/>
      <c r="AF143" s="587"/>
      <c r="AG143" s="587"/>
      <c r="AH143" s="454"/>
      <c r="AI143" s="451"/>
      <c r="AJ143" s="587"/>
      <c r="AK143" s="587"/>
      <c r="AL143" s="454"/>
      <c r="AM143" s="451"/>
      <c r="AN143" s="587"/>
      <c r="AO143" s="587"/>
      <c r="AP143" s="454"/>
      <c r="AQ143" s="451"/>
      <c r="AR143" s="588"/>
      <c r="AS143" s="588"/>
      <c r="AT143" s="154">
        <f t="shared" si="5"/>
        <v>1000</v>
      </c>
      <c r="AU143" s="461">
        <f t="shared" si="3"/>
        <v>1000</v>
      </c>
    </row>
    <row r="144" spans="2:47" s="148" customFormat="1" ht="22.5" x14ac:dyDescent="0.25">
      <c r="B144" s="149">
        <v>129</v>
      </c>
      <c r="C144" s="149" t="s">
        <v>38</v>
      </c>
      <c r="D144" s="450">
        <v>30471634</v>
      </c>
      <c r="E144" s="451" t="s">
        <v>2278</v>
      </c>
      <c r="F144" s="451" t="s">
        <v>200</v>
      </c>
      <c r="G144" s="452" t="s">
        <v>2100</v>
      </c>
      <c r="H144" s="451" t="s">
        <v>2128</v>
      </c>
      <c r="I144" s="451" t="s">
        <v>1958</v>
      </c>
      <c r="J144" s="451">
        <v>34438</v>
      </c>
      <c r="K144" s="451"/>
      <c r="L144" s="451"/>
      <c r="M144" s="454">
        <v>0</v>
      </c>
      <c r="N144" s="454">
        <v>0</v>
      </c>
      <c r="O144" s="454">
        <v>0</v>
      </c>
      <c r="P144" s="454">
        <v>0</v>
      </c>
      <c r="Q144" s="454">
        <v>0</v>
      </c>
      <c r="R144" s="454">
        <v>0</v>
      </c>
      <c r="S144" s="454"/>
      <c r="T144" s="454"/>
      <c r="U144" s="454"/>
      <c r="V144" s="454"/>
      <c r="W144" s="454"/>
      <c r="X144" s="454"/>
      <c r="Y144" s="454">
        <f t="shared" si="4"/>
        <v>0</v>
      </c>
      <c r="Z144" s="454">
        <v>34438</v>
      </c>
      <c r="AA144" s="451">
        <v>8</v>
      </c>
      <c r="AB144" s="587">
        <v>44252</v>
      </c>
      <c r="AC144" s="587">
        <v>44292</v>
      </c>
      <c r="AD144" s="454"/>
      <c r="AE144" s="451"/>
      <c r="AF144" s="587"/>
      <c r="AG144" s="587"/>
      <c r="AH144" s="454"/>
      <c r="AI144" s="451"/>
      <c r="AJ144" s="587"/>
      <c r="AK144" s="587"/>
      <c r="AL144" s="454"/>
      <c r="AM144" s="451"/>
      <c r="AN144" s="587"/>
      <c r="AO144" s="587"/>
      <c r="AP144" s="454"/>
      <c r="AQ144" s="451"/>
      <c r="AR144" s="588"/>
      <c r="AS144" s="588"/>
      <c r="AT144" s="154">
        <f t="shared" si="5"/>
        <v>34438</v>
      </c>
      <c r="AU144" s="461">
        <f t="shared" ref="AU144:AU207" si="6">+AT144-Y144</f>
        <v>34438</v>
      </c>
    </row>
    <row r="145" spans="2:47" s="148" customFormat="1" ht="22.5" x14ac:dyDescent="0.25">
      <c r="B145" s="149">
        <v>130</v>
      </c>
      <c r="C145" s="149" t="s">
        <v>38</v>
      </c>
      <c r="D145" s="450">
        <v>30472638</v>
      </c>
      <c r="E145" s="451" t="s">
        <v>2279</v>
      </c>
      <c r="F145" s="451" t="s">
        <v>200</v>
      </c>
      <c r="G145" s="452" t="s">
        <v>2100</v>
      </c>
      <c r="H145" s="451" t="s">
        <v>2270</v>
      </c>
      <c r="I145" s="451" t="s">
        <v>1958</v>
      </c>
      <c r="J145" s="451">
        <v>79521</v>
      </c>
      <c r="K145" s="451"/>
      <c r="L145" s="451"/>
      <c r="M145" s="454">
        <v>0</v>
      </c>
      <c r="N145" s="454">
        <v>0</v>
      </c>
      <c r="O145" s="454">
        <v>13077.58</v>
      </c>
      <c r="P145" s="454">
        <v>0</v>
      </c>
      <c r="Q145" s="454">
        <v>0</v>
      </c>
      <c r="R145" s="454">
        <v>0</v>
      </c>
      <c r="S145" s="454"/>
      <c r="T145" s="454"/>
      <c r="U145" s="454"/>
      <c r="V145" s="454"/>
      <c r="W145" s="454"/>
      <c r="X145" s="454"/>
      <c r="Y145" s="454">
        <f t="shared" ref="Y145:Y208" si="7">SUM(M145:X145)</f>
        <v>13077.58</v>
      </c>
      <c r="Z145" s="454">
        <v>1000</v>
      </c>
      <c r="AA145" s="451">
        <v>8</v>
      </c>
      <c r="AB145" s="587">
        <v>44252</v>
      </c>
      <c r="AC145" s="587">
        <v>44292</v>
      </c>
      <c r="AD145" s="454">
        <v>12077</v>
      </c>
      <c r="AE145" s="451">
        <v>10</v>
      </c>
      <c r="AF145" s="587">
        <v>44286</v>
      </c>
      <c r="AG145" s="587">
        <v>44306</v>
      </c>
      <c r="AH145" s="454"/>
      <c r="AI145" s="451"/>
      <c r="AJ145" s="587"/>
      <c r="AK145" s="587"/>
      <c r="AL145" s="454"/>
      <c r="AM145" s="451"/>
      <c r="AN145" s="587"/>
      <c r="AO145" s="587"/>
      <c r="AP145" s="454"/>
      <c r="AQ145" s="451"/>
      <c r="AR145" s="588"/>
      <c r="AS145" s="588"/>
      <c r="AT145" s="154">
        <f t="shared" ref="AT145:AT208" si="8">+Z145+AD145+AH145+AL145+AP145</f>
        <v>13077</v>
      </c>
      <c r="AU145" s="461">
        <f t="shared" si="6"/>
        <v>-0.57999999999992724</v>
      </c>
    </row>
    <row r="146" spans="2:47" s="148" customFormat="1" ht="22.5" x14ac:dyDescent="0.25">
      <c r="B146" s="149">
        <v>131</v>
      </c>
      <c r="C146" s="149" t="s">
        <v>38</v>
      </c>
      <c r="D146" s="450">
        <v>30476592</v>
      </c>
      <c r="E146" s="451" t="s">
        <v>2280</v>
      </c>
      <c r="F146" s="451" t="s">
        <v>200</v>
      </c>
      <c r="G146" s="452" t="s">
        <v>2100</v>
      </c>
      <c r="H146" s="451" t="s">
        <v>2141</v>
      </c>
      <c r="I146" s="451" t="s">
        <v>1958</v>
      </c>
      <c r="J146" s="451">
        <v>702911</v>
      </c>
      <c r="K146" s="451"/>
      <c r="L146" s="451"/>
      <c r="M146" s="454">
        <v>0</v>
      </c>
      <c r="N146" s="454">
        <v>0</v>
      </c>
      <c r="O146" s="454">
        <v>0</v>
      </c>
      <c r="P146" s="454">
        <v>0</v>
      </c>
      <c r="Q146" s="454">
        <v>0</v>
      </c>
      <c r="R146" s="454">
        <v>0</v>
      </c>
      <c r="S146" s="454"/>
      <c r="T146" s="454"/>
      <c r="U146" s="454"/>
      <c r="V146" s="454"/>
      <c r="W146" s="454"/>
      <c r="X146" s="454"/>
      <c r="Y146" s="454">
        <f t="shared" si="7"/>
        <v>0</v>
      </c>
      <c r="Z146" s="454">
        <v>1000</v>
      </c>
      <c r="AA146" s="451">
        <v>1</v>
      </c>
      <c r="AB146" s="587">
        <v>44207</v>
      </c>
      <c r="AC146" s="587">
        <v>44249</v>
      </c>
      <c r="AD146" s="454"/>
      <c r="AE146" s="451"/>
      <c r="AF146" s="587"/>
      <c r="AG146" s="587"/>
      <c r="AH146" s="454"/>
      <c r="AI146" s="451"/>
      <c r="AJ146" s="587"/>
      <c r="AK146" s="587"/>
      <c r="AL146" s="454"/>
      <c r="AM146" s="451"/>
      <c r="AN146" s="587"/>
      <c r="AO146" s="587"/>
      <c r="AP146" s="454"/>
      <c r="AQ146" s="451"/>
      <c r="AR146" s="588"/>
      <c r="AS146" s="588"/>
      <c r="AT146" s="154">
        <f t="shared" si="8"/>
        <v>1000</v>
      </c>
      <c r="AU146" s="461">
        <f t="shared" si="6"/>
        <v>1000</v>
      </c>
    </row>
    <row r="147" spans="2:47" s="148" customFormat="1" ht="22.5" x14ac:dyDescent="0.25">
      <c r="B147" s="149">
        <v>132</v>
      </c>
      <c r="C147" s="149" t="s">
        <v>38</v>
      </c>
      <c r="D147" s="450">
        <v>30477033</v>
      </c>
      <c r="E147" s="451" t="s">
        <v>2281</v>
      </c>
      <c r="F147" s="451" t="s">
        <v>200</v>
      </c>
      <c r="G147" s="452" t="s">
        <v>2100</v>
      </c>
      <c r="H147" s="451" t="s">
        <v>2195</v>
      </c>
      <c r="I147" s="451" t="s">
        <v>1958</v>
      </c>
      <c r="J147" s="451">
        <v>47514</v>
      </c>
      <c r="K147" s="451"/>
      <c r="L147" s="451"/>
      <c r="M147" s="454">
        <v>0</v>
      </c>
      <c r="N147" s="454">
        <v>0</v>
      </c>
      <c r="O147" s="454">
        <v>0</v>
      </c>
      <c r="P147" s="454">
        <v>0</v>
      </c>
      <c r="Q147" s="454">
        <v>47513.527000000002</v>
      </c>
      <c r="R147" s="454">
        <v>0</v>
      </c>
      <c r="S147" s="454"/>
      <c r="T147" s="454"/>
      <c r="U147" s="454"/>
      <c r="V147" s="454"/>
      <c r="W147" s="454"/>
      <c r="X147" s="454"/>
      <c r="Y147" s="454">
        <f t="shared" si="7"/>
        <v>47513.527000000002</v>
      </c>
      <c r="Z147" s="454">
        <v>1000</v>
      </c>
      <c r="AA147" s="451">
        <v>8</v>
      </c>
      <c r="AB147" s="587">
        <v>44252</v>
      </c>
      <c r="AC147" s="587">
        <v>44292</v>
      </c>
      <c r="AD147" s="454">
        <v>46513</v>
      </c>
      <c r="AE147" s="451">
        <v>18</v>
      </c>
      <c r="AF147" s="587">
        <v>44327</v>
      </c>
      <c r="AG147" s="587">
        <v>44341</v>
      </c>
      <c r="AH147" s="454"/>
      <c r="AI147" s="451"/>
      <c r="AJ147" s="587"/>
      <c r="AK147" s="587"/>
      <c r="AL147" s="454"/>
      <c r="AM147" s="451"/>
      <c r="AN147" s="587"/>
      <c r="AO147" s="587"/>
      <c r="AP147" s="454"/>
      <c r="AQ147" s="451"/>
      <c r="AR147" s="588"/>
      <c r="AS147" s="588"/>
      <c r="AT147" s="154">
        <f t="shared" si="8"/>
        <v>47513</v>
      </c>
      <c r="AU147" s="461">
        <f t="shared" si="6"/>
        <v>-0.52700000000186265</v>
      </c>
    </row>
    <row r="148" spans="2:47" s="148" customFormat="1" ht="22.5" x14ac:dyDescent="0.25">
      <c r="B148" s="149">
        <v>133</v>
      </c>
      <c r="C148" s="149" t="s">
        <v>38</v>
      </c>
      <c r="D148" s="450">
        <v>30479336</v>
      </c>
      <c r="E148" s="451" t="s">
        <v>2282</v>
      </c>
      <c r="F148" s="451" t="s">
        <v>204</v>
      </c>
      <c r="G148" s="452" t="s">
        <v>2100</v>
      </c>
      <c r="H148" s="451" t="s">
        <v>2275</v>
      </c>
      <c r="I148" s="451" t="s">
        <v>1958</v>
      </c>
      <c r="J148" s="451">
        <v>55650</v>
      </c>
      <c r="K148" s="451"/>
      <c r="L148" s="451"/>
      <c r="M148" s="454">
        <v>0</v>
      </c>
      <c r="N148" s="454">
        <v>0</v>
      </c>
      <c r="O148" s="454">
        <v>0</v>
      </c>
      <c r="P148" s="454">
        <v>0</v>
      </c>
      <c r="Q148" s="454">
        <v>0</v>
      </c>
      <c r="R148" s="454">
        <v>0</v>
      </c>
      <c r="S148" s="454"/>
      <c r="T148" s="454"/>
      <c r="U148" s="454"/>
      <c r="V148" s="454"/>
      <c r="W148" s="454"/>
      <c r="X148" s="454"/>
      <c r="Y148" s="454">
        <f t="shared" si="7"/>
        <v>0</v>
      </c>
      <c r="Z148" s="454">
        <v>1000</v>
      </c>
      <c r="AA148" s="451">
        <v>8</v>
      </c>
      <c r="AB148" s="587">
        <v>44252</v>
      </c>
      <c r="AC148" s="587">
        <v>44292</v>
      </c>
      <c r="AD148" s="454"/>
      <c r="AE148" s="451"/>
      <c r="AF148" s="587"/>
      <c r="AG148" s="587"/>
      <c r="AH148" s="454"/>
      <c r="AI148" s="451"/>
      <c r="AJ148" s="587"/>
      <c r="AK148" s="587"/>
      <c r="AL148" s="454"/>
      <c r="AM148" s="451"/>
      <c r="AN148" s="587"/>
      <c r="AO148" s="587"/>
      <c r="AP148" s="454"/>
      <c r="AQ148" s="451"/>
      <c r="AR148" s="588"/>
      <c r="AS148" s="588"/>
      <c r="AT148" s="154">
        <f t="shared" si="8"/>
        <v>1000</v>
      </c>
      <c r="AU148" s="461">
        <f t="shared" si="6"/>
        <v>1000</v>
      </c>
    </row>
    <row r="149" spans="2:47" s="148" customFormat="1" ht="22.5" x14ac:dyDescent="0.25">
      <c r="B149" s="149">
        <v>134</v>
      </c>
      <c r="C149" s="149" t="s">
        <v>38</v>
      </c>
      <c r="D149" s="450">
        <v>30479437</v>
      </c>
      <c r="E149" s="451" t="s">
        <v>2283</v>
      </c>
      <c r="F149" s="451" t="s">
        <v>200</v>
      </c>
      <c r="G149" s="452" t="s">
        <v>2100</v>
      </c>
      <c r="H149" s="451" t="s">
        <v>2160</v>
      </c>
      <c r="I149" s="451" t="s">
        <v>1958</v>
      </c>
      <c r="J149" s="451">
        <v>596175</v>
      </c>
      <c r="K149" s="451"/>
      <c r="L149" s="451"/>
      <c r="M149" s="454">
        <v>0</v>
      </c>
      <c r="N149" s="454">
        <v>0</v>
      </c>
      <c r="O149" s="454">
        <v>0</v>
      </c>
      <c r="P149" s="454">
        <v>0</v>
      </c>
      <c r="Q149" s="454">
        <v>0</v>
      </c>
      <c r="R149" s="454">
        <v>0</v>
      </c>
      <c r="S149" s="454"/>
      <c r="T149" s="454"/>
      <c r="U149" s="454"/>
      <c r="V149" s="454"/>
      <c r="W149" s="454"/>
      <c r="X149" s="454"/>
      <c r="Y149" s="454">
        <f t="shared" si="7"/>
        <v>0</v>
      </c>
      <c r="Z149" s="454">
        <v>1000</v>
      </c>
      <c r="AA149" s="451">
        <v>1</v>
      </c>
      <c r="AB149" s="587">
        <v>44207</v>
      </c>
      <c r="AC149" s="587">
        <v>44249</v>
      </c>
      <c r="AD149" s="454"/>
      <c r="AE149" s="451"/>
      <c r="AF149" s="587"/>
      <c r="AG149" s="587"/>
      <c r="AH149" s="454"/>
      <c r="AI149" s="451"/>
      <c r="AJ149" s="587"/>
      <c r="AK149" s="587"/>
      <c r="AL149" s="454"/>
      <c r="AM149" s="451"/>
      <c r="AN149" s="587"/>
      <c r="AO149" s="587"/>
      <c r="AP149" s="454"/>
      <c r="AQ149" s="451"/>
      <c r="AR149" s="588"/>
      <c r="AS149" s="588"/>
      <c r="AT149" s="154">
        <f t="shared" si="8"/>
        <v>1000</v>
      </c>
      <c r="AU149" s="461">
        <f t="shared" si="6"/>
        <v>1000</v>
      </c>
    </row>
    <row r="150" spans="2:47" s="148" customFormat="1" ht="22.5" x14ac:dyDescent="0.25">
      <c r="B150" s="149">
        <v>135</v>
      </c>
      <c r="C150" s="149" t="s">
        <v>38</v>
      </c>
      <c r="D150" s="450">
        <v>30480702</v>
      </c>
      <c r="E150" s="451" t="s">
        <v>2284</v>
      </c>
      <c r="F150" s="451" t="s">
        <v>204</v>
      </c>
      <c r="G150" s="452" t="s">
        <v>2100</v>
      </c>
      <c r="H150" s="451" t="s">
        <v>2285</v>
      </c>
      <c r="I150" s="451" t="s">
        <v>1958</v>
      </c>
      <c r="J150" s="451">
        <v>621422</v>
      </c>
      <c r="K150" s="451"/>
      <c r="L150" s="451"/>
      <c r="M150" s="454">
        <v>0</v>
      </c>
      <c r="N150" s="454">
        <v>0</v>
      </c>
      <c r="O150" s="454">
        <v>44619.853000000003</v>
      </c>
      <c r="P150" s="454">
        <v>175950.527</v>
      </c>
      <c r="Q150" s="454">
        <v>1850</v>
      </c>
      <c r="R150" s="454">
        <v>134513.25899999999</v>
      </c>
      <c r="S150" s="454"/>
      <c r="T150" s="454"/>
      <c r="U150" s="454"/>
      <c r="V150" s="454"/>
      <c r="W150" s="454"/>
      <c r="X150" s="454"/>
      <c r="Y150" s="454">
        <f t="shared" si="7"/>
        <v>356933.63899999997</v>
      </c>
      <c r="Z150" s="454">
        <v>1000</v>
      </c>
      <c r="AA150" s="451">
        <v>1</v>
      </c>
      <c r="AB150" s="587">
        <v>44207</v>
      </c>
      <c r="AC150" s="587">
        <v>44249</v>
      </c>
      <c r="AD150" s="454">
        <v>257400</v>
      </c>
      <c r="AE150" s="451">
        <v>10</v>
      </c>
      <c r="AF150" s="587">
        <v>44286</v>
      </c>
      <c r="AG150" s="587">
        <v>44306</v>
      </c>
      <c r="AH150" s="454"/>
      <c r="AI150" s="451"/>
      <c r="AJ150" s="587"/>
      <c r="AK150" s="587"/>
      <c r="AL150" s="454"/>
      <c r="AM150" s="451"/>
      <c r="AN150" s="587"/>
      <c r="AO150" s="587"/>
      <c r="AP150" s="454"/>
      <c r="AQ150" s="451"/>
      <c r="AR150" s="588"/>
      <c r="AS150" s="588"/>
      <c r="AT150" s="154">
        <f t="shared" si="8"/>
        <v>258400</v>
      </c>
      <c r="AU150" s="461">
        <f t="shared" si="6"/>
        <v>-98533.638999999966</v>
      </c>
    </row>
    <row r="151" spans="2:47" s="148" customFormat="1" ht="22.5" x14ac:dyDescent="0.25">
      <c r="B151" s="149">
        <v>136</v>
      </c>
      <c r="C151" s="149" t="s">
        <v>38</v>
      </c>
      <c r="D151" s="450">
        <v>30480944</v>
      </c>
      <c r="E151" s="451" t="s">
        <v>2286</v>
      </c>
      <c r="F151" s="451" t="s">
        <v>200</v>
      </c>
      <c r="G151" s="452" t="s">
        <v>2100</v>
      </c>
      <c r="H151" s="451" t="s">
        <v>2111</v>
      </c>
      <c r="I151" s="451" t="s">
        <v>1958</v>
      </c>
      <c r="J151" s="451">
        <v>15505</v>
      </c>
      <c r="K151" s="451"/>
      <c r="L151" s="451"/>
      <c r="M151" s="454">
        <v>0</v>
      </c>
      <c r="N151" s="454">
        <v>0</v>
      </c>
      <c r="O151" s="454">
        <v>0</v>
      </c>
      <c r="P151" s="454">
        <v>0</v>
      </c>
      <c r="Q151" s="454">
        <v>0</v>
      </c>
      <c r="R151" s="454">
        <v>15504.909</v>
      </c>
      <c r="S151" s="454"/>
      <c r="T151" s="454"/>
      <c r="U151" s="454"/>
      <c r="V151" s="454"/>
      <c r="W151" s="454"/>
      <c r="X151" s="454"/>
      <c r="Y151" s="454">
        <f t="shared" si="7"/>
        <v>15504.909</v>
      </c>
      <c r="Z151" s="454">
        <v>1000</v>
      </c>
      <c r="AA151" s="451">
        <v>8</v>
      </c>
      <c r="AB151" s="587">
        <v>44252</v>
      </c>
      <c r="AC151" s="587">
        <v>44292</v>
      </c>
      <c r="AD151" s="454"/>
      <c r="AE151" s="451"/>
      <c r="AF151" s="587"/>
      <c r="AG151" s="587"/>
      <c r="AH151" s="454"/>
      <c r="AI151" s="451"/>
      <c r="AJ151" s="587"/>
      <c r="AK151" s="587"/>
      <c r="AL151" s="454"/>
      <c r="AM151" s="451"/>
      <c r="AN151" s="587"/>
      <c r="AO151" s="587"/>
      <c r="AP151" s="454"/>
      <c r="AQ151" s="451"/>
      <c r="AR151" s="588"/>
      <c r="AS151" s="588"/>
      <c r="AT151" s="154">
        <f t="shared" si="8"/>
        <v>1000</v>
      </c>
      <c r="AU151" s="461">
        <f t="shared" si="6"/>
        <v>-14504.909</v>
      </c>
    </row>
    <row r="152" spans="2:47" s="148" customFormat="1" ht="22.5" x14ac:dyDescent="0.25">
      <c r="B152" s="149">
        <v>137</v>
      </c>
      <c r="C152" s="149" t="s">
        <v>38</v>
      </c>
      <c r="D152" s="450">
        <v>30481690</v>
      </c>
      <c r="E152" s="451" t="s">
        <v>2287</v>
      </c>
      <c r="F152" s="451" t="s">
        <v>200</v>
      </c>
      <c r="G152" s="452" t="s">
        <v>2100</v>
      </c>
      <c r="H152" s="451" t="s">
        <v>2160</v>
      </c>
      <c r="I152" s="451" t="s">
        <v>1958</v>
      </c>
      <c r="J152" s="451">
        <v>2219</v>
      </c>
      <c r="K152" s="451"/>
      <c r="L152" s="451"/>
      <c r="M152" s="454">
        <v>0</v>
      </c>
      <c r="N152" s="454">
        <v>0</v>
      </c>
      <c r="O152" s="454">
        <v>0</v>
      </c>
      <c r="P152" s="454">
        <v>0</v>
      </c>
      <c r="Q152" s="454">
        <v>0</v>
      </c>
      <c r="R152" s="454">
        <v>0</v>
      </c>
      <c r="S152" s="454"/>
      <c r="T152" s="454"/>
      <c r="U152" s="454"/>
      <c r="V152" s="454"/>
      <c r="W152" s="454"/>
      <c r="X152" s="454"/>
      <c r="Y152" s="454">
        <f t="shared" si="7"/>
        <v>0</v>
      </c>
      <c r="Z152" s="454">
        <v>1000</v>
      </c>
      <c r="AA152" s="451">
        <v>8</v>
      </c>
      <c r="AB152" s="587">
        <v>44252</v>
      </c>
      <c r="AC152" s="587">
        <v>44292</v>
      </c>
      <c r="AD152" s="454"/>
      <c r="AE152" s="451"/>
      <c r="AF152" s="587"/>
      <c r="AG152" s="587"/>
      <c r="AH152" s="454"/>
      <c r="AI152" s="451"/>
      <c r="AJ152" s="587"/>
      <c r="AK152" s="587"/>
      <c r="AL152" s="454"/>
      <c r="AM152" s="451"/>
      <c r="AN152" s="587"/>
      <c r="AO152" s="587"/>
      <c r="AP152" s="454"/>
      <c r="AQ152" s="451"/>
      <c r="AR152" s="588"/>
      <c r="AS152" s="588"/>
      <c r="AT152" s="154">
        <f t="shared" si="8"/>
        <v>1000</v>
      </c>
      <c r="AU152" s="461">
        <f t="shared" si="6"/>
        <v>1000</v>
      </c>
    </row>
    <row r="153" spans="2:47" s="148" customFormat="1" ht="22.5" x14ac:dyDescent="0.25">
      <c r="B153" s="149">
        <v>138</v>
      </c>
      <c r="C153" s="149" t="s">
        <v>41</v>
      </c>
      <c r="D153" s="450">
        <v>30482317</v>
      </c>
      <c r="E153" s="451" t="s">
        <v>2288</v>
      </c>
      <c r="F153" s="451" t="s">
        <v>200</v>
      </c>
      <c r="G153" s="452" t="s">
        <v>2100</v>
      </c>
      <c r="H153" s="451" t="s">
        <v>2170</v>
      </c>
      <c r="I153" s="451" t="s">
        <v>1958</v>
      </c>
      <c r="J153" s="451">
        <v>251172</v>
      </c>
      <c r="K153" s="451"/>
      <c r="L153" s="451"/>
      <c r="M153" s="454">
        <v>0</v>
      </c>
      <c r="N153" s="454">
        <v>0</v>
      </c>
      <c r="O153" s="454">
        <v>0</v>
      </c>
      <c r="P153" s="454">
        <v>0</v>
      </c>
      <c r="Q153" s="454">
        <v>0</v>
      </c>
      <c r="R153" s="454">
        <v>0</v>
      </c>
      <c r="S153" s="454"/>
      <c r="T153" s="454"/>
      <c r="U153" s="454"/>
      <c r="V153" s="454"/>
      <c r="W153" s="454"/>
      <c r="X153" s="454"/>
      <c r="Y153" s="454">
        <f t="shared" si="7"/>
        <v>0</v>
      </c>
      <c r="Z153" s="454">
        <v>1000</v>
      </c>
      <c r="AA153" s="451">
        <v>1</v>
      </c>
      <c r="AB153" s="587">
        <v>44207</v>
      </c>
      <c r="AC153" s="587">
        <v>44249</v>
      </c>
      <c r="AD153" s="454"/>
      <c r="AE153" s="451"/>
      <c r="AF153" s="587"/>
      <c r="AG153" s="587"/>
      <c r="AH153" s="454"/>
      <c r="AI153" s="451"/>
      <c r="AJ153" s="587"/>
      <c r="AK153" s="587"/>
      <c r="AL153" s="454"/>
      <c r="AM153" s="451"/>
      <c r="AN153" s="587"/>
      <c r="AO153" s="587"/>
      <c r="AP153" s="454"/>
      <c r="AQ153" s="451"/>
      <c r="AR153" s="588"/>
      <c r="AS153" s="588"/>
      <c r="AT153" s="154">
        <f t="shared" si="8"/>
        <v>1000</v>
      </c>
      <c r="AU153" s="461">
        <f t="shared" si="6"/>
        <v>1000</v>
      </c>
    </row>
    <row r="154" spans="2:47" s="148" customFormat="1" ht="22.5" x14ac:dyDescent="0.25">
      <c r="B154" s="149">
        <v>139</v>
      </c>
      <c r="C154" s="149" t="s">
        <v>38</v>
      </c>
      <c r="D154" s="450">
        <v>30483517</v>
      </c>
      <c r="E154" s="451" t="s">
        <v>2289</v>
      </c>
      <c r="F154" s="451" t="s">
        <v>200</v>
      </c>
      <c r="G154" s="452" t="s">
        <v>2100</v>
      </c>
      <c r="H154" s="451" t="s">
        <v>2202</v>
      </c>
      <c r="I154" s="451" t="s">
        <v>1961</v>
      </c>
      <c r="J154" s="451">
        <v>1500991</v>
      </c>
      <c r="K154" s="451"/>
      <c r="L154" s="451"/>
      <c r="M154" s="454">
        <v>0</v>
      </c>
      <c r="N154" s="454">
        <v>0</v>
      </c>
      <c r="O154" s="454">
        <v>0</v>
      </c>
      <c r="P154" s="454">
        <v>0</v>
      </c>
      <c r="Q154" s="454">
        <v>0</v>
      </c>
      <c r="R154" s="454">
        <v>0</v>
      </c>
      <c r="S154" s="454"/>
      <c r="T154" s="454"/>
      <c r="U154" s="454"/>
      <c r="V154" s="454"/>
      <c r="W154" s="454"/>
      <c r="X154" s="454"/>
      <c r="Y154" s="454">
        <f t="shared" si="7"/>
        <v>0</v>
      </c>
      <c r="Z154" s="454">
        <v>1000</v>
      </c>
      <c r="AA154" s="451">
        <v>1</v>
      </c>
      <c r="AB154" s="587">
        <v>44207</v>
      </c>
      <c r="AC154" s="587">
        <v>44249</v>
      </c>
      <c r="AD154" s="454"/>
      <c r="AE154" s="451"/>
      <c r="AF154" s="587"/>
      <c r="AG154" s="587"/>
      <c r="AH154" s="454"/>
      <c r="AI154" s="451"/>
      <c r="AJ154" s="587"/>
      <c r="AK154" s="587"/>
      <c r="AL154" s="454"/>
      <c r="AM154" s="451"/>
      <c r="AN154" s="587"/>
      <c r="AO154" s="587"/>
      <c r="AP154" s="454"/>
      <c r="AQ154" s="451"/>
      <c r="AR154" s="588"/>
      <c r="AS154" s="588"/>
      <c r="AT154" s="154">
        <f t="shared" si="8"/>
        <v>1000</v>
      </c>
      <c r="AU154" s="461">
        <f t="shared" si="6"/>
        <v>1000</v>
      </c>
    </row>
    <row r="155" spans="2:47" s="148" customFormat="1" ht="22.5" x14ac:dyDescent="0.25">
      <c r="B155" s="149">
        <v>140</v>
      </c>
      <c r="C155" s="149" t="s">
        <v>38</v>
      </c>
      <c r="D155" s="450">
        <v>30483641</v>
      </c>
      <c r="E155" s="451" t="s">
        <v>2290</v>
      </c>
      <c r="F155" s="451" t="s">
        <v>200</v>
      </c>
      <c r="G155" s="452" t="s">
        <v>2100</v>
      </c>
      <c r="H155" s="451" t="s">
        <v>2132</v>
      </c>
      <c r="I155" s="451" t="s">
        <v>1958</v>
      </c>
      <c r="J155" s="451">
        <v>31244</v>
      </c>
      <c r="K155" s="451"/>
      <c r="L155" s="451"/>
      <c r="M155" s="454">
        <v>0</v>
      </c>
      <c r="N155" s="454">
        <v>0</v>
      </c>
      <c r="O155" s="454">
        <v>0</v>
      </c>
      <c r="P155" s="454">
        <v>0</v>
      </c>
      <c r="Q155" s="454">
        <v>0</v>
      </c>
      <c r="R155" s="454">
        <v>0</v>
      </c>
      <c r="S155" s="454"/>
      <c r="T155" s="454"/>
      <c r="U155" s="454"/>
      <c r="V155" s="454"/>
      <c r="W155" s="454"/>
      <c r="X155" s="454"/>
      <c r="Y155" s="454">
        <f t="shared" si="7"/>
        <v>0</v>
      </c>
      <c r="Z155" s="454">
        <v>1000</v>
      </c>
      <c r="AA155" s="451">
        <v>1</v>
      </c>
      <c r="AB155" s="587">
        <v>44207</v>
      </c>
      <c r="AC155" s="587">
        <v>44249</v>
      </c>
      <c r="AD155" s="454"/>
      <c r="AE155" s="451"/>
      <c r="AF155" s="587"/>
      <c r="AG155" s="587"/>
      <c r="AH155" s="454"/>
      <c r="AI155" s="451"/>
      <c r="AJ155" s="587"/>
      <c r="AK155" s="587"/>
      <c r="AL155" s="454"/>
      <c r="AM155" s="451"/>
      <c r="AN155" s="587"/>
      <c r="AO155" s="587"/>
      <c r="AP155" s="454"/>
      <c r="AQ155" s="451"/>
      <c r="AR155" s="588"/>
      <c r="AS155" s="588"/>
      <c r="AT155" s="154">
        <f t="shared" si="8"/>
        <v>1000</v>
      </c>
      <c r="AU155" s="461">
        <f t="shared" si="6"/>
        <v>1000</v>
      </c>
    </row>
    <row r="156" spans="2:47" s="148" customFormat="1" ht="22.5" x14ac:dyDescent="0.25">
      <c r="B156" s="149">
        <v>141</v>
      </c>
      <c r="C156" s="149" t="s">
        <v>38</v>
      </c>
      <c r="D156" s="450">
        <v>30484245</v>
      </c>
      <c r="E156" s="451" t="s">
        <v>2291</v>
      </c>
      <c r="F156" s="451" t="s">
        <v>200</v>
      </c>
      <c r="G156" s="452" t="s">
        <v>2100</v>
      </c>
      <c r="H156" s="451" t="s">
        <v>2154</v>
      </c>
      <c r="I156" s="451" t="s">
        <v>1958</v>
      </c>
      <c r="J156" s="451">
        <v>2060782</v>
      </c>
      <c r="K156" s="451"/>
      <c r="L156" s="451"/>
      <c r="M156" s="454">
        <v>0</v>
      </c>
      <c r="N156" s="454">
        <v>169259.56099999999</v>
      </c>
      <c r="O156" s="454">
        <v>0</v>
      </c>
      <c r="P156" s="454">
        <v>0</v>
      </c>
      <c r="Q156" s="454">
        <v>338519.12099999998</v>
      </c>
      <c r="R156" s="454">
        <v>211825.44899999999</v>
      </c>
      <c r="S156" s="454"/>
      <c r="T156" s="454"/>
      <c r="U156" s="454"/>
      <c r="V156" s="454"/>
      <c r="W156" s="454"/>
      <c r="X156" s="454"/>
      <c r="Y156" s="454">
        <f t="shared" si="7"/>
        <v>719604.13099999994</v>
      </c>
      <c r="Z156" s="454">
        <v>1000</v>
      </c>
      <c r="AA156" s="451">
        <v>1</v>
      </c>
      <c r="AB156" s="587">
        <v>44207</v>
      </c>
      <c r="AC156" s="587">
        <v>44249</v>
      </c>
      <c r="AD156" s="454">
        <v>320000</v>
      </c>
      <c r="AE156" s="451">
        <v>8</v>
      </c>
      <c r="AF156" s="587">
        <v>44252</v>
      </c>
      <c r="AG156" s="587">
        <v>44292</v>
      </c>
      <c r="AH156" s="454">
        <v>600000</v>
      </c>
      <c r="AI156" s="451">
        <v>18</v>
      </c>
      <c r="AJ156" s="587">
        <v>44327</v>
      </c>
      <c r="AK156" s="587">
        <v>44341</v>
      </c>
      <c r="AL156" s="454">
        <v>0</v>
      </c>
      <c r="AM156" s="451">
        <v>0</v>
      </c>
      <c r="AN156" s="587"/>
      <c r="AO156" s="587"/>
      <c r="AP156" s="454">
        <v>0</v>
      </c>
      <c r="AQ156" s="451">
        <v>0</v>
      </c>
      <c r="AR156" s="588"/>
      <c r="AS156" s="588"/>
      <c r="AT156" s="154">
        <f t="shared" si="8"/>
        <v>921000</v>
      </c>
      <c r="AU156" s="461">
        <f t="shared" si="6"/>
        <v>201395.86900000006</v>
      </c>
    </row>
    <row r="157" spans="2:47" s="148" customFormat="1" ht="22.5" x14ac:dyDescent="0.25">
      <c r="B157" s="149">
        <v>142</v>
      </c>
      <c r="C157" s="149" t="s">
        <v>38</v>
      </c>
      <c r="D157" s="450">
        <v>30484489</v>
      </c>
      <c r="E157" s="451" t="s">
        <v>2292</v>
      </c>
      <c r="F157" s="451" t="s">
        <v>200</v>
      </c>
      <c r="G157" s="452" t="s">
        <v>2100</v>
      </c>
      <c r="H157" s="451" t="s">
        <v>2143</v>
      </c>
      <c r="I157" s="451" t="s">
        <v>1958</v>
      </c>
      <c r="J157" s="451">
        <v>91242</v>
      </c>
      <c r="K157" s="451"/>
      <c r="L157" s="451"/>
      <c r="M157" s="454">
        <v>21081.200000000001</v>
      </c>
      <c r="N157" s="454">
        <v>2500</v>
      </c>
      <c r="O157" s="454">
        <v>1250</v>
      </c>
      <c r="P157" s="454">
        <v>1250</v>
      </c>
      <c r="Q157" s="454">
        <v>0</v>
      </c>
      <c r="R157" s="454">
        <v>21081.200000000001</v>
      </c>
      <c r="S157" s="454"/>
      <c r="T157" s="454"/>
      <c r="U157" s="454"/>
      <c r="V157" s="454"/>
      <c r="W157" s="454"/>
      <c r="X157" s="454"/>
      <c r="Y157" s="454">
        <f t="shared" si="7"/>
        <v>47162.400000000001</v>
      </c>
      <c r="Z157" s="454">
        <v>1000</v>
      </c>
      <c r="AA157" s="451">
        <v>1</v>
      </c>
      <c r="AB157" s="587">
        <v>44207</v>
      </c>
      <c r="AC157" s="587">
        <v>44249</v>
      </c>
      <c r="AD157" s="454">
        <v>80000</v>
      </c>
      <c r="AE157" s="451">
        <v>4</v>
      </c>
      <c r="AF157" s="587">
        <v>44221</v>
      </c>
      <c r="AG157" s="587">
        <v>44280</v>
      </c>
      <c r="AH157" s="454"/>
      <c r="AI157" s="451"/>
      <c r="AJ157" s="587"/>
      <c r="AK157" s="587"/>
      <c r="AL157" s="454"/>
      <c r="AM157" s="451"/>
      <c r="AN157" s="587"/>
      <c r="AO157" s="587"/>
      <c r="AP157" s="454"/>
      <c r="AQ157" s="451"/>
      <c r="AR157" s="588"/>
      <c r="AS157" s="588"/>
      <c r="AT157" s="154">
        <f t="shared" si="8"/>
        <v>81000</v>
      </c>
      <c r="AU157" s="461">
        <f t="shared" si="6"/>
        <v>33837.599999999999</v>
      </c>
    </row>
    <row r="158" spans="2:47" s="148" customFormat="1" x14ac:dyDescent="0.25">
      <c r="B158" s="149">
        <v>143</v>
      </c>
      <c r="C158" s="149" t="s">
        <v>38</v>
      </c>
      <c r="D158" s="450">
        <v>30484574</v>
      </c>
      <c r="E158" s="451" t="s">
        <v>2293</v>
      </c>
      <c r="F158" s="451" t="s">
        <v>200</v>
      </c>
      <c r="G158" s="452" t="s">
        <v>2100</v>
      </c>
      <c r="H158" s="451" t="s">
        <v>2294</v>
      </c>
      <c r="I158" s="451" t="s">
        <v>1958</v>
      </c>
      <c r="J158" s="451">
        <v>228500</v>
      </c>
      <c r="K158" s="451"/>
      <c r="L158" s="451"/>
      <c r="M158" s="454">
        <v>79106.737999999998</v>
      </c>
      <c r="N158" s="454">
        <v>55722.449000000001</v>
      </c>
      <c r="O158" s="454">
        <v>0</v>
      </c>
      <c r="P158" s="454">
        <v>0</v>
      </c>
      <c r="Q158" s="454">
        <v>0</v>
      </c>
      <c r="R158" s="454">
        <v>91772.769</v>
      </c>
      <c r="S158" s="454"/>
      <c r="T158" s="454"/>
      <c r="U158" s="454"/>
      <c r="V158" s="454"/>
      <c r="W158" s="454"/>
      <c r="X158" s="454"/>
      <c r="Y158" s="454">
        <f t="shared" si="7"/>
        <v>226601.95600000001</v>
      </c>
      <c r="Z158" s="454">
        <v>160000</v>
      </c>
      <c r="AA158" s="451">
        <v>4</v>
      </c>
      <c r="AB158" s="587">
        <v>44221</v>
      </c>
      <c r="AC158" s="587">
        <v>44280</v>
      </c>
      <c r="AD158" s="454">
        <v>28000</v>
      </c>
      <c r="AE158" s="451">
        <v>8</v>
      </c>
      <c r="AF158" s="587">
        <v>44252</v>
      </c>
      <c r="AG158" s="587">
        <v>44292</v>
      </c>
      <c r="AH158" s="454"/>
      <c r="AI158" s="451"/>
      <c r="AJ158" s="587"/>
      <c r="AK158" s="587"/>
      <c r="AL158" s="454"/>
      <c r="AM158" s="451"/>
      <c r="AN158" s="587"/>
      <c r="AO158" s="587"/>
      <c r="AP158" s="454"/>
      <c r="AQ158" s="451"/>
      <c r="AR158" s="588"/>
      <c r="AS158" s="588"/>
      <c r="AT158" s="154">
        <f t="shared" si="8"/>
        <v>188000</v>
      </c>
      <c r="AU158" s="461">
        <f t="shared" si="6"/>
        <v>-38601.956000000006</v>
      </c>
    </row>
    <row r="159" spans="2:47" s="148" customFormat="1" ht="22.5" x14ac:dyDescent="0.25">
      <c r="B159" s="149">
        <v>144</v>
      </c>
      <c r="C159" s="149" t="s">
        <v>38</v>
      </c>
      <c r="D159" s="450">
        <v>30485484</v>
      </c>
      <c r="E159" s="451" t="s">
        <v>2295</v>
      </c>
      <c r="F159" s="451" t="s">
        <v>200</v>
      </c>
      <c r="G159" s="452" t="s">
        <v>2100</v>
      </c>
      <c r="H159" s="451" t="s">
        <v>2111</v>
      </c>
      <c r="I159" s="451" t="s">
        <v>1961</v>
      </c>
      <c r="J159" s="451">
        <v>1840</v>
      </c>
      <c r="K159" s="451"/>
      <c r="L159" s="451"/>
      <c r="M159" s="454">
        <v>0</v>
      </c>
      <c r="N159" s="454">
        <v>0</v>
      </c>
      <c r="O159" s="454">
        <v>0</v>
      </c>
      <c r="P159" s="454">
        <v>0</v>
      </c>
      <c r="Q159" s="454">
        <v>0</v>
      </c>
      <c r="R159" s="454">
        <v>0</v>
      </c>
      <c r="S159" s="454"/>
      <c r="T159" s="454"/>
      <c r="U159" s="454"/>
      <c r="V159" s="454"/>
      <c r="W159" s="454"/>
      <c r="X159" s="454"/>
      <c r="Y159" s="454">
        <f t="shared" si="7"/>
        <v>0</v>
      </c>
      <c r="Z159" s="454">
        <v>1000</v>
      </c>
      <c r="AA159" s="451">
        <v>1</v>
      </c>
      <c r="AB159" s="587">
        <v>44207</v>
      </c>
      <c r="AC159" s="587">
        <v>44249</v>
      </c>
      <c r="AD159" s="454"/>
      <c r="AE159" s="451"/>
      <c r="AF159" s="587"/>
      <c r="AG159" s="587"/>
      <c r="AH159" s="454"/>
      <c r="AI159" s="451"/>
      <c r="AJ159" s="587"/>
      <c r="AK159" s="587"/>
      <c r="AL159" s="454"/>
      <c r="AM159" s="451"/>
      <c r="AN159" s="587"/>
      <c r="AO159" s="587"/>
      <c r="AP159" s="454"/>
      <c r="AQ159" s="451"/>
      <c r="AR159" s="588"/>
      <c r="AS159" s="588"/>
      <c r="AT159" s="154">
        <f t="shared" si="8"/>
        <v>1000</v>
      </c>
      <c r="AU159" s="461">
        <f t="shared" si="6"/>
        <v>1000</v>
      </c>
    </row>
    <row r="160" spans="2:47" s="148" customFormat="1" ht="22.5" x14ac:dyDescent="0.25">
      <c r="B160" s="149">
        <v>145</v>
      </c>
      <c r="C160" s="149" t="s">
        <v>38</v>
      </c>
      <c r="D160" s="450">
        <v>30485488</v>
      </c>
      <c r="E160" s="451" t="s">
        <v>2296</v>
      </c>
      <c r="F160" s="451" t="s">
        <v>200</v>
      </c>
      <c r="G160" s="452" t="s">
        <v>2100</v>
      </c>
      <c r="H160" s="451" t="s">
        <v>2111</v>
      </c>
      <c r="I160" s="451" t="s">
        <v>1958</v>
      </c>
      <c r="J160" s="451">
        <v>19930</v>
      </c>
      <c r="K160" s="451"/>
      <c r="L160" s="451"/>
      <c r="M160" s="454">
        <v>0</v>
      </c>
      <c r="N160" s="454">
        <v>19929.670999999998</v>
      </c>
      <c r="O160" s="454">
        <v>0</v>
      </c>
      <c r="P160" s="454">
        <v>0</v>
      </c>
      <c r="Q160" s="454">
        <v>0</v>
      </c>
      <c r="R160" s="454">
        <v>0</v>
      </c>
      <c r="S160" s="454"/>
      <c r="T160" s="454"/>
      <c r="U160" s="454"/>
      <c r="V160" s="454"/>
      <c r="W160" s="454"/>
      <c r="X160" s="454"/>
      <c r="Y160" s="454">
        <f t="shared" si="7"/>
        <v>19929.670999999998</v>
      </c>
      <c r="Z160" s="454">
        <v>19930</v>
      </c>
      <c r="AA160" s="451">
        <v>8</v>
      </c>
      <c r="AB160" s="587">
        <v>44252</v>
      </c>
      <c r="AC160" s="587">
        <v>44292</v>
      </c>
      <c r="AD160" s="454"/>
      <c r="AE160" s="451"/>
      <c r="AF160" s="587"/>
      <c r="AG160" s="587"/>
      <c r="AH160" s="454"/>
      <c r="AI160" s="451"/>
      <c r="AJ160" s="587"/>
      <c r="AK160" s="587"/>
      <c r="AL160" s="454"/>
      <c r="AM160" s="451"/>
      <c r="AN160" s="587"/>
      <c r="AO160" s="587"/>
      <c r="AP160" s="454"/>
      <c r="AQ160" s="451"/>
      <c r="AR160" s="588"/>
      <c r="AS160" s="588"/>
      <c r="AT160" s="154">
        <f t="shared" si="8"/>
        <v>19930</v>
      </c>
      <c r="AU160" s="461">
        <f t="shared" si="6"/>
        <v>0.3290000000015425</v>
      </c>
    </row>
    <row r="161" spans="2:47" s="148" customFormat="1" ht="22.5" x14ac:dyDescent="0.25">
      <c r="B161" s="149">
        <v>146</v>
      </c>
      <c r="C161" s="149" t="s">
        <v>38</v>
      </c>
      <c r="D161" s="450">
        <v>30486066</v>
      </c>
      <c r="E161" s="451" t="s">
        <v>2297</v>
      </c>
      <c r="F161" s="451" t="s">
        <v>200</v>
      </c>
      <c r="G161" s="452" t="s">
        <v>2100</v>
      </c>
      <c r="H161" s="451" t="s">
        <v>2191</v>
      </c>
      <c r="I161" s="451" t="s">
        <v>1958</v>
      </c>
      <c r="J161" s="451">
        <v>405915</v>
      </c>
      <c r="K161" s="451"/>
      <c r="L161" s="451"/>
      <c r="M161" s="454">
        <v>0</v>
      </c>
      <c r="N161" s="454">
        <v>58235.005999999994</v>
      </c>
      <c r="O161" s="454">
        <v>6315.5680000000002</v>
      </c>
      <c r="P161" s="454">
        <v>0</v>
      </c>
      <c r="Q161" s="454">
        <v>62610.66</v>
      </c>
      <c r="R161" s="454">
        <v>100369.591</v>
      </c>
      <c r="S161" s="454"/>
      <c r="T161" s="454"/>
      <c r="U161" s="454"/>
      <c r="V161" s="454"/>
      <c r="W161" s="454"/>
      <c r="X161" s="454"/>
      <c r="Y161" s="454">
        <f t="shared" si="7"/>
        <v>227530.82500000001</v>
      </c>
      <c r="Z161" s="454">
        <v>200000</v>
      </c>
      <c r="AA161" s="451">
        <v>8</v>
      </c>
      <c r="AB161" s="587">
        <v>44252</v>
      </c>
      <c r="AC161" s="587">
        <v>44292</v>
      </c>
      <c r="AD161" s="454"/>
      <c r="AE161" s="451"/>
      <c r="AF161" s="587"/>
      <c r="AG161" s="587"/>
      <c r="AH161" s="454"/>
      <c r="AI161" s="451"/>
      <c r="AJ161" s="587"/>
      <c r="AK161" s="587"/>
      <c r="AL161" s="454"/>
      <c r="AM161" s="451"/>
      <c r="AN161" s="587"/>
      <c r="AO161" s="587"/>
      <c r="AP161" s="454"/>
      <c r="AQ161" s="451"/>
      <c r="AR161" s="588"/>
      <c r="AS161" s="588"/>
      <c r="AT161" s="154">
        <f t="shared" si="8"/>
        <v>200000</v>
      </c>
      <c r="AU161" s="461">
        <f t="shared" si="6"/>
        <v>-27530.825000000012</v>
      </c>
    </row>
    <row r="162" spans="2:47" s="148" customFormat="1" ht="22.5" x14ac:dyDescent="0.25">
      <c r="B162" s="149">
        <v>147</v>
      </c>
      <c r="C162" s="149" t="s">
        <v>38</v>
      </c>
      <c r="D162" s="450">
        <v>30486419</v>
      </c>
      <c r="E162" s="451" t="s">
        <v>2298</v>
      </c>
      <c r="F162" s="451" t="s">
        <v>200</v>
      </c>
      <c r="G162" s="452" t="s">
        <v>2100</v>
      </c>
      <c r="H162" s="451" t="s">
        <v>2219</v>
      </c>
      <c r="I162" s="451" t="s">
        <v>1958</v>
      </c>
      <c r="J162" s="451">
        <v>469931</v>
      </c>
      <c r="K162" s="451"/>
      <c r="L162" s="451"/>
      <c r="M162" s="454">
        <v>0</v>
      </c>
      <c r="N162" s="454">
        <v>0</v>
      </c>
      <c r="O162" s="454">
        <v>0</v>
      </c>
      <c r="P162" s="454">
        <v>0</v>
      </c>
      <c r="Q162" s="454">
        <v>0</v>
      </c>
      <c r="R162" s="454">
        <v>17858.567999999999</v>
      </c>
      <c r="S162" s="454"/>
      <c r="T162" s="454"/>
      <c r="U162" s="454"/>
      <c r="V162" s="454"/>
      <c r="W162" s="454"/>
      <c r="X162" s="454"/>
      <c r="Y162" s="454">
        <f t="shared" si="7"/>
        <v>17858.567999999999</v>
      </c>
      <c r="Z162" s="454">
        <v>1000</v>
      </c>
      <c r="AA162" s="451">
        <v>1</v>
      </c>
      <c r="AB162" s="587">
        <v>44207</v>
      </c>
      <c r="AC162" s="587">
        <v>44249</v>
      </c>
      <c r="AD162" s="454"/>
      <c r="AE162" s="451"/>
      <c r="AF162" s="587"/>
      <c r="AG162" s="587"/>
      <c r="AH162" s="454"/>
      <c r="AI162" s="451"/>
      <c r="AJ162" s="587"/>
      <c r="AK162" s="587"/>
      <c r="AL162" s="454"/>
      <c r="AM162" s="451"/>
      <c r="AN162" s="587"/>
      <c r="AO162" s="587"/>
      <c r="AP162" s="454"/>
      <c r="AQ162" s="451"/>
      <c r="AR162" s="588"/>
      <c r="AS162" s="588"/>
      <c r="AT162" s="154">
        <f t="shared" si="8"/>
        <v>1000</v>
      </c>
      <c r="AU162" s="461">
        <f t="shared" si="6"/>
        <v>-16858.567999999999</v>
      </c>
    </row>
    <row r="163" spans="2:47" s="148" customFormat="1" ht="22.5" x14ac:dyDescent="0.25">
      <c r="B163" s="149">
        <v>148</v>
      </c>
      <c r="C163" s="149" t="s">
        <v>38</v>
      </c>
      <c r="D163" s="450">
        <v>30486659</v>
      </c>
      <c r="E163" s="451" t="s">
        <v>2299</v>
      </c>
      <c r="F163" s="451" t="s">
        <v>200</v>
      </c>
      <c r="G163" s="452" t="s">
        <v>2100</v>
      </c>
      <c r="H163" s="451" t="s">
        <v>2191</v>
      </c>
      <c r="I163" s="451" t="s">
        <v>1958</v>
      </c>
      <c r="J163" s="451">
        <v>615872</v>
      </c>
      <c r="K163" s="451"/>
      <c r="L163" s="451"/>
      <c r="M163" s="454">
        <v>34874.498</v>
      </c>
      <c r="N163" s="454">
        <v>12671.746999999999</v>
      </c>
      <c r="O163" s="454">
        <v>36130.258000000002</v>
      </c>
      <c r="P163" s="454">
        <v>114600.41800000001</v>
      </c>
      <c r="Q163" s="454">
        <v>0</v>
      </c>
      <c r="R163" s="454">
        <v>121477.27800000001</v>
      </c>
      <c r="S163" s="454"/>
      <c r="T163" s="454"/>
      <c r="U163" s="454"/>
      <c r="V163" s="454"/>
      <c r="W163" s="454"/>
      <c r="X163" s="454"/>
      <c r="Y163" s="454">
        <f t="shared" si="7"/>
        <v>319754.19900000002</v>
      </c>
      <c r="Z163" s="454">
        <v>1000</v>
      </c>
      <c r="AA163" s="451">
        <v>1</v>
      </c>
      <c r="AB163" s="587">
        <v>44207</v>
      </c>
      <c r="AC163" s="587">
        <v>44249</v>
      </c>
      <c r="AD163" s="454">
        <v>200000</v>
      </c>
      <c r="AE163" s="451">
        <v>4</v>
      </c>
      <c r="AF163" s="587">
        <v>44221</v>
      </c>
      <c r="AG163" s="587">
        <v>44280</v>
      </c>
      <c r="AH163" s="454"/>
      <c r="AI163" s="451"/>
      <c r="AJ163" s="587"/>
      <c r="AK163" s="587"/>
      <c r="AL163" s="454"/>
      <c r="AM163" s="451"/>
      <c r="AN163" s="587"/>
      <c r="AO163" s="587"/>
      <c r="AP163" s="454"/>
      <c r="AQ163" s="451"/>
      <c r="AR163" s="588"/>
      <c r="AS163" s="588"/>
      <c r="AT163" s="154">
        <f t="shared" si="8"/>
        <v>201000</v>
      </c>
      <c r="AU163" s="461">
        <f t="shared" si="6"/>
        <v>-118754.19900000002</v>
      </c>
    </row>
    <row r="164" spans="2:47" s="148" customFormat="1" ht="22.5" x14ac:dyDescent="0.25">
      <c r="B164" s="149">
        <v>149</v>
      </c>
      <c r="C164" s="149" t="s">
        <v>38</v>
      </c>
      <c r="D164" s="450">
        <v>30486687</v>
      </c>
      <c r="E164" s="451" t="s">
        <v>2300</v>
      </c>
      <c r="F164" s="451" t="s">
        <v>200</v>
      </c>
      <c r="G164" s="452" t="s">
        <v>2100</v>
      </c>
      <c r="H164" s="451" t="s">
        <v>2111</v>
      </c>
      <c r="I164" s="451" t="s">
        <v>1958</v>
      </c>
      <c r="J164" s="451">
        <v>144375</v>
      </c>
      <c r="K164" s="451"/>
      <c r="L164" s="451"/>
      <c r="M164" s="454">
        <v>74813.534</v>
      </c>
      <c r="N164" s="454">
        <v>0</v>
      </c>
      <c r="O164" s="454">
        <v>69560.493000000002</v>
      </c>
      <c r="P164" s="454">
        <v>0</v>
      </c>
      <c r="Q164" s="454">
        <v>0</v>
      </c>
      <c r="R164" s="454">
        <v>0</v>
      </c>
      <c r="S164" s="454"/>
      <c r="T164" s="454"/>
      <c r="U164" s="454"/>
      <c r="V164" s="454"/>
      <c r="W164" s="454"/>
      <c r="X164" s="454"/>
      <c r="Y164" s="454">
        <f t="shared" si="7"/>
        <v>144374.027</v>
      </c>
      <c r="Z164" s="454">
        <v>144374</v>
      </c>
      <c r="AA164" s="451">
        <v>4</v>
      </c>
      <c r="AB164" s="587">
        <v>44221</v>
      </c>
      <c r="AC164" s="587">
        <v>44280</v>
      </c>
      <c r="AD164" s="454"/>
      <c r="AE164" s="451"/>
      <c r="AF164" s="587"/>
      <c r="AG164" s="587"/>
      <c r="AH164" s="454"/>
      <c r="AI164" s="451"/>
      <c r="AJ164" s="587"/>
      <c r="AK164" s="587"/>
      <c r="AL164" s="454"/>
      <c r="AM164" s="451"/>
      <c r="AN164" s="587"/>
      <c r="AO164" s="587"/>
      <c r="AP164" s="454"/>
      <c r="AQ164" s="451"/>
      <c r="AR164" s="588"/>
      <c r="AS164" s="588"/>
      <c r="AT164" s="154">
        <f t="shared" si="8"/>
        <v>144374</v>
      </c>
      <c r="AU164" s="461">
        <f t="shared" si="6"/>
        <v>-2.7000000001862645E-2</v>
      </c>
    </row>
    <row r="165" spans="2:47" s="148" customFormat="1" ht="22.5" x14ac:dyDescent="0.25">
      <c r="B165" s="149">
        <v>150</v>
      </c>
      <c r="C165" s="149" t="s">
        <v>38</v>
      </c>
      <c r="D165" s="450">
        <v>30486983</v>
      </c>
      <c r="E165" s="451" t="s">
        <v>2301</v>
      </c>
      <c r="F165" s="451" t="s">
        <v>200</v>
      </c>
      <c r="G165" s="452" t="s">
        <v>2100</v>
      </c>
      <c r="H165" s="451" t="s">
        <v>2191</v>
      </c>
      <c r="I165" s="451" t="s">
        <v>1958</v>
      </c>
      <c r="J165" s="451">
        <v>1321691</v>
      </c>
      <c r="K165" s="451"/>
      <c r="L165" s="451"/>
      <c r="M165" s="454">
        <v>328564.03899999999</v>
      </c>
      <c r="N165" s="454">
        <v>0</v>
      </c>
      <c r="O165" s="454">
        <v>0</v>
      </c>
      <c r="P165" s="454">
        <v>0</v>
      </c>
      <c r="Q165" s="454">
        <v>339935.38099999999</v>
      </c>
      <c r="R165" s="454">
        <v>0</v>
      </c>
      <c r="S165" s="454"/>
      <c r="T165" s="454"/>
      <c r="U165" s="454"/>
      <c r="V165" s="454"/>
      <c r="W165" s="454"/>
      <c r="X165" s="454"/>
      <c r="Y165" s="454">
        <f t="shared" si="7"/>
        <v>668499.41999999993</v>
      </c>
      <c r="Z165" s="454">
        <v>1000</v>
      </c>
      <c r="AA165" s="451">
        <v>1</v>
      </c>
      <c r="AB165" s="587">
        <v>44207</v>
      </c>
      <c r="AC165" s="587">
        <v>44249</v>
      </c>
      <c r="AD165" s="454">
        <v>600000</v>
      </c>
      <c r="AE165" s="451">
        <v>4</v>
      </c>
      <c r="AF165" s="587">
        <v>44221</v>
      </c>
      <c r="AG165" s="587">
        <v>44280</v>
      </c>
      <c r="AH165" s="454">
        <v>200000</v>
      </c>
      <c r="AI165" s="451">
        <v>23</v>
      </c>
      <c r="AJ165" s="587">
        <v>44340</v>
      </c>
      <c r="AK165" s="587">
        <v>44350</v>
      </c>
      <c r="AL165" s="454">
        <v>0</v>
      </c>
      <c r="AM165" s="451">
        <v>0</v>
      </c>
      <c r="AN165" s="587"/>
      <c r="AO165" s="587"/>
      <c r="AP165" s="454"/>
      <c r="AQ165" s="451"/>
      <c r="AR165" s="588"/>
      <c r="AS165" s="588"/>
      <c r="AT165" s="154">
        <f t="shared" si="8"/>
        <v>801000</v>
      </c>
      <c r="AU165" s="461">
        <f t="shared" si="6"/>
        <v>132500.58000000007</v>
      </c>
    </row>
    <row r="166" spans="2:47" s="148" customFormat="1" ht="22.5" x14ac:dyDescent="0.25">
      <c r="B166" s="149">
        <v>151</v>
      </c>
      <c r="C166" s="149" t="s">
        <v>38</v>
      </c>
      <c r="D166" s="450">
        <v>30487072</v>
      </c>
      <c r="E166" s="451" t="s">
        <v>2302</v>
      </c>
      <c r="F166" s="451" t="s">
        <v>200</v>
      </c>
      <c r="G166" s="452" t="s">
        <v>2100</v>
      </c>
      <c r="H166" s="451" t="s">
        <v>2170</v>
      </c>
      <c r="I166" s="451" t="s">
        <v>1958</v>
      </c>
      <c r="J166" s="451">
        <v>1482032</v>
      </c>
      <c r="K166" s="451"/>
      <c r="L166" s="451"/>
      <c r="M166" s="454">
        <v>0</v>
      </c>
      <c r="N166" s="454">
        <v>290540.23700000002</v>
      </c>
      <c r="O166" s="454">
        <v>358396.13</v>
      </c>
      <c r="P166" s="454">
        <v>236418.66399999999</v>
      </c>
      <c r="Q166" s="454">
        <v>249488.49</v>
      </c>
      <c r="R166" s="454">
        <v>168654.88500000001</v>
      </c>
      <c r="S166" s="454"/>
      <c r="T166" s="454"/>
      <c r="U166" s="454"/>
      <c r="V166" s="454"/>
      <c r="W166" s="454"/>
      <c r="X166" s="454"/>
      <c r="Y166" s="454">
        <f t="shared" si="7"/>
        <v>1303498.4060000002</v>
      </c>
      <c r="Z166" s="454">
        <v>1000</v>
      </c>
      <c r="AA166" s="451">
        <v>1</v>
      </c>
      <c r="AB166" s="587">
        <v>44207</v>
      </c>
      <c r="AC166" s="587">
        <v>44249</v>
      </c>
      <c r="AD166" s="454">
        <v>600000</v>
      </c>
      <c r="AE166" s="451">
        <v>8</v>
      </c>
      <c r="AF166" s="587">
        <v>44252</v>
      </c>
      <c r="AG166" s="587">
        <v>44292</v>
      </c>
      <c r="AH166" s="454">
        <v>505400</v>
      </c>
      <c r="AI166" s="451">
        <v>10</v>
      </c>
      <c r="AJ166" s="587">
        <v>44286</v>
      </c>
      <c r="AK166" s="587">
        <v>44306</v>
      </c>
      <c r="AL166" s="454">
        <v>640</v>
      </c>
      <c r="AM166" s="451">
        <v>11</v>
      </c>
      <c r="AN166" s="587">
        <v>44299</v>
      </c>
      <c r="AO166" s="587">
        <v>44312</v>
      </c>
      <c r="AP166" s="454">
        <v>227997</v>
      </c>
      <c r="AQ166" s="451">
        <v>23</v>
      </c>
      <c r="AR166" s="588">
        <v>44340</v>
      </c>
      <c r="AS166" s="588">
        <v>44350</v>
      </c>
      <c r="AT166" s="154">
        <f t="shared" si="8"/>
        <v>1335037</v>
      </c>
      <c r="AU166" s="461">
        <f t="shared" si="6"/>
        <v>31538.593999999808</v>
      </c>
    </row>
    <row r="167" spans="2:47" s="148" customFormat="1" ht="22.5" x14ac:dyDescent="0.25">
      <c r="B167" s="149">
        <v>152</v>
      </c>
      <c r="C167" s="149" t="s">
        <v>38</v>
      </c>
      <c r="D167" s="450">
        <v>30487184</v>
      </c>
      <c r="E167" s="451" t="s">
        <v>2303</v>
      </c>
      <c r="F167" s="451" t="s">
        <v>200</v>
      </c>
      <c r="G167" s="452" t="s">
        <v>2100</v>
      </c>
      <c r="H167" s="451" t="s">
        <v>2170</v>
      </c>
      <c r="I167" s="451" t="s">
        <v>1958</v>
      </c>
      <c r="J167" s="451">
        <v>68862</v>
      </c>
      <c r="K167" s="451"/>
      <c r="L167" s="451"/>
      <c r="M167" s="454">
        <v>0</v>
      </c>
      <c r="N167" s="454">
        <v>0</v>
      </c>
      <c r="O167" s="454">
        <v>0</v>
      </c>
      <c r="P167" s="454">
        <v>0</v>
      </c>
      <c r="Q167" s="454">
        <v>0</v>
      </c>
      <c r="R167" s="454">
        <v>0</v>
      </c>
      <c r="S167" s="454"/>
      <c r="T167" s="454"/>
      <c r="U167" s="454"/>
      <c r="V167" s="454"/>
      <c r="W167" s="454"/>
      <c r="X167" s="454"/>
      <c r="Y167" s="454">
        <f t="shared" si="7"/>
        <v>0</v>
      </c>
      <c r="Z167" s="454">
        <v>1000</v>
      </c>
      <c r="AA167" s="451">
        <v>8</v>
      </c>
      <c r="AB167" s="587">
        <v>44252</v>
      </c>
      <c r="AC167" s="587">
        <v>44292</v>
      </c>
      <c r="AD167" s="454"/>
      <c r="AE167" s="451"/>
      <c r="AF167" s="587"/>
      <c r="AG167" s="587"/>
      <c r="AH167" s="454"/>
      <c r="AI167" s="451"/>
      <c r="AJ167" s="587"/>
      <c r="AK167" s="587"/>
      <c r="AL167" s="454"/>
      <c r="AM167" s="451"/>
      <c r="AN167" s="587"/>
      <c r="AO167" s="587"/>
      <c r="AP167" s="454"/>
      <c r="AQ167" s="451"/>
      <c r="AR167" s="588"/>
      <c r="AS167" s="588"/>
      <c r="AT167" s="154">
        <f t="shared" si="8"/>
        <v>1000</v>
      </c>
      <c r="AU167" s="461">
        <f t="shared" si="6"/>
        <v>1000</v>
      </c>
    </row>
    <row r="168" spans="2:47" s="148" customFormat="1" ht="22.5" x14ac:dyDescent="0.25">
      <c r="B168" s="149">
        <v>153</v>
      </c>
      <c r="C168" s="149" t="s">
        <v>38</v>
      </c>
      <c r="D168" s="450">
        <v>30487218</v>
      </c>
      <c r="E168" s="451" t="s">
        <v>2304</v>
      </c>
      <c r="F168" s="451" t="s">
        <v>200</v>
      </c>
      <c r="G168" s="452" t="s">
        <v>2100</v>
      </c>
      <c r="H168" s="451" t="s">
        <v>2158</v>
      </c>
      <c r="I168" s="451" t="s">
        <v>1958</v>
      </c>
      <c r="J168" s="451">
        <v>1345954</v>
      </c>
      <c r="K168" s="451"/>
      <c r="L168" s="451"/>
      <c r="M168" s="454">
        <v>0</v>
      </c>
      <c r="N168" s="454">
        <v>0</v>
      </c>
      <c r="O168" s="454">
        <v>0</v>
      </c>
      <c r="P168" s="454">
        <v>0</v>
      </c>
      <c r="Q168" s="454">
        <v>0</v>
      </c>
      <c r="R168" s="454">
        <v>0</v>
      </c>
      <c r="S168" s="454"/>
      <c r="T168" s="454"/>
      <c r="U168" s="454"/>
      <c r="V168" s="454"/>
      <c r="W168" s="454"/>
      <c r="X168" s="454"/>
      <c r="Y168" s="454">
        <f t="shared" si="7"/>
        <v>0</v>
      </c>
      <c r="Z168" s="454">
        <v>1000</v>
      </c>
      <c r="AA168" s="451">
        <v>1</v>
      </c>
      <c r="AB168" s="587">
        <v>44207</v>
      </c>
      <c r="AC168" s="587">
        <v>44249</v>
      </c>
      <c r="AD168" s="454"/>
      <c r="AE168" s="451"/>
      <c r="AF168" s="587"/>
      <c r="AG168" s="587"/>
      <c r="AH168" s="454"/>
      <c r="AI168" s="451"/>
      <c r="AJ168" s="587"/>
      <c r="AK168" s="587"/>
      <c r="AL168" s="454"/>
      <c r="AM168" s="451"/>
      <c r="AN168" s="587"/>
      <c r="AO168" s="587"/>
      <c r="AP168" s="454"/>
      <c r="AQ168" s="451"/>
      <c r="AR168" s="588"/>
      <c r="AS168" s="588"/>
      <c r="AT168" s="154">
        <f t="shared" si="8"/>
        <v>1000</v>
      </c>
      <c r="AU168" s="461">
        <f t="shared" si="6"/>
        <v>1000</v>
      </c>
    </row>
    <row r="169" spans="2:47" s="148" customFormat="1" ht="22.5" x14ac:dyDescent="0.25">
      <c r="B169" s="149">
        <v>154</v>
      </c>
      <c r="C169" s="149" t="s">
        <v>38</v>
      </c>
      <c r="D169" s="450">
        <v>30487247</v>
      </c>
      <c r="E169" s="451" t="s">
        <v>2305</v>
      </c>
      <c r="F169" s="451" t="s">
        <v>200</v>
      </c>
      <c r="G169" s="452" t="s">
        <v>2100</v>
      </c>
      <c r="H169" s="451" t="s">
        <v>2105</v>
      </c>
      <c r="I169" s="451" t="s">
        <v>1958</v>
      </c>
      <c r="J169" s="451">
        <v>899492</v>
      </c>
      <c r="K169" s="451"/>
      <c r="L169" s="451"/>
      <c r="M169" s="454">
        <v>2600</v>
      </c>
      <c r="N169" s="454">
        <v>149555.424</v>
      </c>
      <c r="O169" s="454">
        <v>94612.672000000006</v>
      </c>
      <c r="P169" s="454">
        <v>53011.947999999997</v>
      </c>
      <c r="Q169" s="454">
        <v>1300</v>
      </c>
      <c r="R169" s="454">
        <v>312078.84999999998</v>
      </c>
      <c r="S169" s="454"/>
      <c r="T169" s="454"/>
      <c r="U169" s="454"/>
      <c r="V169" s="454"/>
      <c r="W169" s="454"/>
      <c r="X169" s="454"/>
      <c r="Y169" s="454">
        <f t="shared" si="7"/>
        <v>613158.89399999997</v>
      </c>
      <c r="Z169" s="454">
        <v>6500</v>
      </c>
      <c r="AA169" s="451">
        <v>4</v>
      </c>
      <c r="AB169" s="587">
        <v>44221</v>
      </c>
      <c r="AC169" s="587">
        <v>44280</v>
      </c>
      <c r="AD169" s="454">
        <v>400000</v>
      </c>
      <c r="AE169" s="451">
        <v>8</v>
      </c>
      <c r="AF169" s="587">
        <v>44252</v>
      </c>
      <c r="AG169" s="587">
        <v>44292</v>
      </c>
      <c r="AH169" s="454">
        <v>80000</v>
      </c>
      <c r="AI169" s="451">
        <v>14</v>
      </c>
      <c r="AJ169" s="587">
        <v>44313</v>
      </c>
      <c r="AK169" s="587">
        <v>44322</v>
      </c>
      <c r="AL169" s="454">
        <v>1300</v>
      </c>
      <c r="AM169" s="451">
        <v>23</v>
      </c>
      <c r="AN169" s="587">
        <v>44340</v>
      </c>
      <c r="AO169" s="587">
        <v>44350</v>
      </c>
      <c r="AP169" s="454">
        <v>0</v>
      </c>
      <c r="AQ169" s="451">
        <v>0</v>
      </c>
      <c r="AR169" s="588"/>
      <c r="AS169" s="588"/>
      <c r="AT169" s="154">
        <f t="shared" si="8"/>
        <v>487800</v>
      </c>
      <c r="AU169" s="461">
        <f t="shared" si="6"/>
        <v>-125358.89399999997</v>
      </c>
    </row>
    <row r="170" spans="2:47" s="148" customFormat="1" ht="22.5" x14ac:dyDescent="0.25">
      <c r="B170" s="149">
        <v>155</v>
      </c>
      <c r="C170" s="149" t="s">
        <v>38</v>
      </c>
      <c r="D170" s="450">
        <v>30488914</v>
      </c>
      <c r="E170" s="451" t="s">
        <v>2306</v>
      </c>
      <c r="F170" s="451" t="s">
        <v>200</v>
      </c>
      <c r="G170" s="452" t="s">
        <v>2100</v>
      </c>
      <c r="H170" s="451" t="s">
        <v>2270</v>
      </c>
      <c r="I170" s="451" t="s">
        <v>1958</v>
      </c>
      <c r="J170" s="451">
        <v>90709</v>
      </c>
      <c r="K170" s="451"/>
      <c r="L170" s="451"/>
      <c r="M170" s="454">
        <v>90712.457000000009</v>
      </c>
      <c r="N170" s="454">
        <v>0</v>
      </c>
      <c r="O170" s="454">
        <v>0</v>
      </c>
      <c r="P170" s="454">
        <v>0</v>
      </c>
      <c r="Q170" s="454">
        <v>0</v>
      </c>
      <c r="R170" s="454">
        <v>0</v>
      </c>
      <c r="S170" s="454"/>
      <c r="T170" s="454"/>
      <c r="U170" s="454"/>
      <c r="V170" s="454"/>
      <c r="W170" s="454"/>
      <c r="X170" s="454"/>
      <c r="Y170" s="454">
        <f t="shared" si="7"/>
        <v>90712.457000000009</v>
      </c>
      <c r="Z170" s="454">
        <v>90708</v>
      </c>
      <c r="AA170" s="451">
        <v>4</v>
      </c>
      <c r="AB170" s="587">
        <v>44221</v>
      </c>
      <c r="AC170" s="587">
        <v>44280</v>
      </c>
      <c r="AD170" s="454">
        <v>1028</v>
      </c>
      <c r="AE170" s="451">
        <v>23</v>
      </c>
      <c r="AF170" s="587">
        <v>44340</v>
      </c>
      <c r="AG170" s="587">
        <v>44350</v>
      </c>
      <c r="AH170" s="454"/>
      <c r="AI170" s="451"/>
      <c r="AJ170" s="587"/>
      <c r="AK170" s="587"/>
      <c r="AL170" s="454"/>
      <c r="AM170" s="451"/>
      <c r="AN170" s="587"/>
      <c r="AO170" s="587"/>
      <c r="AP170" s="454"/>
      <c r="AQ170" s="451"/>
      <c r="AR170" s="588"/>
      <c r="AS170" s="588"/>
      <c r="AT170" s="154">
        <f t="shared" si="8"/>
        <v>91736</v>
      </c>
      <c r="AU170" s="461">
        <f t="shared" si="6"/>
        <v>1023.5429999999906</v>
      </c>
    </row>
    <row r="171" spans="2:47" s="148" customFormat="1" ht="22.5" x14ac:dyDescent="0.25">
      <c r="B171" s="149">
        <v>156</v>
      </c>
      <c r="C171" s="149" t="s">
        <v>38</v>
      </c>
      <c r="D171" s="450">
        <v>30488916</v>
      </c>
      <c r="E171" s="451" t="s">
        <v>2307</v>
      </c>
      <c r="F171" s="451" t="s">
        <v>200</v>
      </c>
      <c r="G171" s="452" t="s">
        <v>2100</v>
      </c>
      <c r="H171" s="451" t="s">
        <v>2270</v>
      </c>
      <c r="I171" s="451" t="s">
        <v>1958</v>
      </c>
      <c r="J171" s="451">
        <v>1067965</v>
      </c>
      <c r="K171" s="451"/>
      <c r="L171" s="451"/>
      <c r="M171" s="454">
        <v>0</v>
      </c>
      <c r="N171" s="454">
        <v>0</v>
      </c>
      <c r="O171" s="454">
        <v>1500</v>
      </c>
      <c r="P171" s="454">
        <v>1500</v>
      </c>
      <c r="Q171" s="454">
        <v>1500</v>
      </c>
      <c r="R171" s="454">
        <v>1500</v>
      </c>
      <c r="S171" s="454"/>
      <c r="T171" s="454"/>
      <c r="U171" s="454"/>
      <c r="V171" s="454"/>
      <c r="W171" s="454"/>
      <c r="X171" s="454"/>
      <c r="Y171" s="454">
        <f t="shared" si="7"/>
        <v>6000</v>
      </c>
      <c r="Z171" s="454">
        <v>1000</v>
      </c>
      <c r="AA171" s="451">
        <v>1</v>
      </c>
      <c r="AB171" s="587">
        <v>44207</v>
      </c>
      <c r="AC171" s="587">
        <v>44249</v>
      </c>
      <c r="AD171" s="454">
        <v>15500</v>
      </c>
      <c r="AE171" s="451">
        <v>10</v>
      </c>
      <c r="AF171" s="587">
        <v>44286</v>
      </c>
      <c r="AG171" s="587">
        <v>44306</v>
      </c>
      <c r="AH171" s="454"/>
      <c r="AI171" s="451"/>
      <c r="AJ171" s="587"/>
      <c r="AK171" s="587"/>
      <c r="AL171" s="454"/>
      <c r="AM171" s="451"/>
      <c r="AN171" s="587"/>
      <c r="AO171" s="587"/>
      <c r="AP171" s="454"/>
      <c r="AQ171" s="451"/>
      <c r="AR171" s="588"/>
      <c r="AS171" s="588"/>
      <c r="AT171" s="154">
        <f t="shared" si="8"/>
        <v>16500</v>
      </c>
      <c r="AU171" s="461">
        <f t="shared" si="6"/>
        <v>10500</v>
      </c>
    </row>
    <row r="172" spans="2:47" s="148" customFormat="1" ht="22.5" x14ac:dyDescent="0.25">
      <c r="B172" s="149">
        <v>157</v>
      </c>
      <c r="C172" s="149" t="s">
        <v>38</v>
      </c>
      <c r="D172" s="450">
        <v>30488925</v>
      </c>
      <c r="E172" s="451" t="s">
        <v>2308</v>
      </c>
      <c r="F172" s="451" t="s">
        <v>200</v>
      </c>
      <c r="G172" s="452" t="s">
        <v>2100</v>
      </c>
      <c r="H172" s="451" t="s">
        <v>2231</v>
      </c>
      <c r="I172" s="451" t="s">
        <v>1958</v>
      </c>
      <c r="J172" s="451">
        <v>590613</v>
      </c>
      <c r="K172" s="451"/>
      <c r="L172" s="451"/>
      <c r="M172" s="454">
        <v>196952.823</v>
      </c>
      <c r="N172" s="454">
        <v>0</v>
      </c>
      <c r="O172" s="454">
        <v>132014.693</v>
      </c>
      <c r="P172" s="454">
        <v>0</v>
      </c>
      <c r="Q172" s="454">
        <v>0</v>
      </c>
      <c r="R172" s="454">
        <v>5232.5739999999996</v>
      </c>
      <c r="S172" s="454"/>
      <c r="T172" s="454"/>
      <c r="U172" s="454"/>
      <c r="V172" s="454"/>
      <c r="W172" s="454"/>
      <c r="X172" s="454"/>
      <c r="Y172" s="454">
        <f t="shared" si="7"/>
        <v>334200.09000000003</v>
      </c>
      <c r="Z172" s="454">
        <v>400000</v>
      </c>
      <c r="AA172" s="451">
        <v>4</v>
      </c>
      <c r="AB172" s="587">
        <v>44221</v>
      </c>
      <c r="AC172" s="587">
        <v>44280</v>
      </c>
      <c r="AD172" s="454"/>
      <c r="AE172" s="451"/>
      <c r="AF172" s="587"/>
      <c r="AG172" s="587"/>
      <c r="AH172" s="454"/>
      <c r="AI172" s="451"/>
      <c r="AJ172" s="587"/>
      <c r="AK172" s="587"/>
      <c r="AL172" s="454"/>
      <c r="AM172" s="451"/>
      <c r="AN172" s="587"/>
      <c r="AO172" s="587"/>
      <c r="AP172" s="454"/>
      <c r="AQ172" s="451"/>
      <c r="AR172" s="588"/>
      <c r="AS172" s="588"/>
      <c r="AT172" s="154">
        <f t="shared" si="8"/>
        <v>400000</v>
      </c>
      <c r="AU172" s="461">
        <f t="shared" si="6"/>
        <v>65799.909999999974</v>
      </c>
    </row>
    <row r="173" spans="2:47" s="148" customFormat="1" x14ac:dyDescent="0.25">
      <c r="B173" s="149">
        <v>158</v>
      </c>
      <c r="C173" s="149" t="s">
        <v>38</v>
      </c>
      <c r="D173" s="450">
        <v>40000150</v>
      </c>
      <c r="E173" s="451" t="s">
        <v>2309</v>
      </c>
      <c r="F173" s="451" t="s">
        <v>200</v>
      </c>
      <c r="G173" s="452" t="s">
        <v>2100</v>
      </c>
      <c r="H173" s="451" t="s">
        <v>2294</v>
      </c>
      <c r="I173" s="451" t="s">
        <v>1958</v>
      </c>
      <c r="J173" s="451">
        <v>2817139</v>
      </c>
      <c r="K173" s="451"/>
      <c r="L173" s="451"/>
      <c r="M173" s="454">
        <v>0</v>
      </c>
      <c r="N173" s="454">
        <v>0</v>
      </c>
      <c r="O173" s="454">
        <v>0</v>
      </c>
      <c r="P173" s="454">
        <v>0</v>
      </c>
      <c r="Q173" s="454">
        <v>0</v>
      </c>
      <c r="R173" s="454">
        <v>0</v>
      </c>
      <c r="S173" s="454"/>
      <c r="T173" s="454"/>
      <c r="U173" s="454"/>
      <c r="V173" s="454"/>
      <c r="W173" s="454"/>
      <c r="X173" s="454"/>
      <c r="Y173" s="454">
        <f t="shared" si="7"/>
        <v>0</v>
      </c>
      <c r="Z173" s="454">
        <v>1000</v>
      </c>
      <c r="AA173" s="451">
        <v>1</v>
      </c>
      <c r="AB173" s="587">
        <v>44207</v>
      </c>
      <c r="AC173" s="587">
        <v>44249</v>
      </c>
      <c r="AD173" s="454"/>
      <c r="AE173" s="451"/>
      <c r="AF173" s="587"/>
      <c r="AG173" s="587"/>
      <c r="AH173" s="454"/>
      <c r="AI173" s="451"/>
      <c r="AJ173" s="587"/>
      <c r="AK173" s="587"/>
      <c r="AL173" s="454"/>
      <c r="AM173" s="451"/>
      <c r="AN173" s="587"/>
      <c r="AO173" s="587"/>
      <c r="AP173" s="454"/>
      <c r="AQ173" s="451"/>
      <c r="AR173" s="588"/>
      <c r="AS173" s="588"/>
      <c r="AT173" s="154">
        <f t="shared" si="8"/>
        <v>1000</v>
      </c>
      <c r="AU173" s="461">
        <f t="shared" si="6"/>
        <v>1000</v>
      </c>
    </row>
    <row r="174" spans="2:47" s="148" customFormat="1" ht="22.5" x14ac:dyDescent="0.25">
      <c r="B174" s="149">
        <v>159</v>
      </c>
      <c r="C174" s="149" t="s">
        <v>38</v>
      </c>
      <c r="D174" s="450">
        <v>40000345</v>
      </c>
      <c r="E174" s="451" t="s">
        <v>2310</v>
      </c>
      <c r="F174" s="451" t="s">
        <v>200</v>
      </c>
      <c r="G174" s="452" t="s">
        <v>2100</v>
      </c>
      <c r="H174" s="451" t="s">
        <v>2109</v>
      </c>
      <c r="I174" s="451" t="s">
        <v>1958</v>
      </c>
      <c r="J174" s="451">
        <v>1049082</v>
      </c>
      <c r="K174" s="451"/>
      <c r="L174" s="451"/>
      <c r="M174" s="454">
        <v>0</v>
      </c>
      <c r="N174" s="454">
        <v>0</v>
      </c>
      <c r="O174" s="454">
        <v>0</v>
      </c>
      <c r="P174" s="454">
        <v>173722.30100000001</v>
      </c>
      <c r="Q174" s="454">
        <v>0</v>
      </c>
      <c r="R174" s="454">
        <v>210472.451</v>
      </c>
      <c r="S174" s="454"/>
      <c r="T174" s="454"/>
      <c r="U174" s="454"/>
      <c r="V174" s="454"/>
      <c r="W174" s="454"/>
      <c r="X174" s="454"/>
      <c r="Y174" s="454">
        <f t="shared" si="7"/>
        <v>384194.75199999998</v>
      </c>
      <c r="Z174" s="454">
        <v>1000</v>
      </c>
      <c r="AA174" s="451">
        <v>1</v>
      </c>
      <c r="AB174" s="587">
        <v>44207</v>
      </c>
      <c r="AC174" s="587">
        <v>44249</v>
      </c>
      <c r="AD174" s="454">
        <v>600000</v>
      </c>
      <c r="AE174" s="451">
        <v>14</v>
      </c>
      <c r="AF174" s="587">
        <v>44313</v>
      </c>
      <c r="AG174" s="587">
        <v>44322</v>
      </c>
      <c r="AH174" s="454"/>
      <c r="AI174" s="451"/>
      <c r="AJ174" s="587"/>
      <c r="AK174" s="587"/>
      <c r="AL174" s="454"/>
      <c r="AM174" s="451"/>
      <c r="AN174" s="587"/>
      <c r="AO174" s="587"/>
      <c r="AP174" s="454"/>
      <c r="AQ174" s="451"/>
      <c r="AR174" s="588"/>
      <c r="AS174" s="588"/>
      <c r="AT174" s="154">
        <f t="shared" si="8"/>
        <v>601000</v>
      </c>
      <c r="AU174" s="461">
        <f t="shared" si="6"/>
        <v>216805.24800000002</v>
      </c>
    </row>
    <row r="175" spans="2:47" s="148" customFormat="1" ht="22.5" x14ac:dyDescent="0.25">
      <c r="B175" s="149">
        <v>160</v>
      </c>
      <c r="C175" s="149" t="s">
        <v>41</v>
      </c>
      <c r="D175" s="450">
        <v>40000375</v>
      </c>
      <c r="E175" s="451" t="s">
        <v>2311</v>
      </c>
      <c r="F175" s="451" t="s">
        <v>200</v>
      </c>
      <c r="G175" s="452" t="s">
        <v>2100</v>
      </c>
      <c r="H175" s="451" t="s">
        <v>2312</v>
      </c>
      <c r="I175" s="451" t="s">
        <v>1958</v>
      </c>
      <c r="J175" s="451">
        <v>137062</v>
      </c>
      <c r="K175" s="451"/>
      <c r="L175" s="451"/>
      <c r="M175" s="454">
        <v>0</v>
      </c>
      <c r="N175" s="454">
        <v>13053.1</v>
      </c>
      <c r="O175" s="454">
        <v>0</v>
      </c>
      <c r="P175" s="454">
        <v>0</v>
      </c>
      <c r="Q175" s="454">
        <v>39159.300000000003</v>
      </c>
      <c r="R175" s="454">
        <v>0</v>
      </c>
      <c r="S175" s="454"/>
      <c r="T175" s="454"/>
      <c r="U175" s="454"/>
      <c r="V175" s="454"/>
      <c r="W175" s="454"/>
      <c r="X175" s="454"/>
      <c r="Y175" s="454">
        <f t="shared" si="7"/>
        <v>52212.4</v>
      </c>
      <c r="Z175" s="454">
        <v>1000</v>
      </c>
      <c r="AA175" s="451">
        <v>1</v>
      </c>
      <c r="AB175" s="587">
        <v>44207</v>
      </c>
      <c r="AC175" s="587">
        <v>44249</v>
      </c>
      <c r="AD175" s="454">
        <v>80000</v>
      </c>
      <c r="AE175" s="451">
        <v>8</v>
      </c>
      <c r="AF175" s="587">
        <v>44252</v>
      </c>
      <c r="AG175" s="587">
        <v>44292</v>
      </c>
      <c r="AH175" s="454"/>
      <c r="AI175" s="451"/>
      <c r="AJ175" s="587"/>
      <c r="AK175" s="587"/>
      <c r="AL175" s="454"/>
      <c r="AM175" s="451"/>
      <c r="AN175" s="587"/>
      <c r="AO175" s="587"/>
      <c r="AP175" s="454"/>
      <c r="AQ175" s="451"/>
      <c r="AR175" s="588"/>
      <c r="AS175" s="588"/>
      <c r="AT175" s="154">
        <f t="shared" si="8"/>
        <v>81000</v>
      </c>
      <c r="AU175" s="461">
        <f t="shared" si="6"/>
        <v>28787.599999999999</v>
      </c>
    </row>
    <row r="176" spans="2:47" s="148" customFormat="1" ht="22.5" x14ac:dyDescent="0.25">
      <c r="B176" s="149">
        <v>161</v>
      </c>
      <c r="C176" s="149" t="s">
        <v>38</v>
      </c>
      <c r="D176" s="450">
        <v>40000408</v>
      </c>
      <c r="E176" s="451" t="s">
        <v>2313</v>
      </c>
      <c r="F176" s="451" t="s">
        <v>200</v>
      </c>
      <c r="G176" s="452" t="s">
        <v>2100</v>
      </c>
      <c r="H176" s="451" t="s">
        <v>2105</v>
      </c>
      <c r="I176" s="451" t="s">
        <v>1958</v>
      </c>
      <c r="J176" s="451">
        <v>860572</v>
      </c>
      <c r="K176" s="451"/>
      <c r="L176" s="451"/>
      <c r="M176" s="454">
        <v>309771.44300000003</v>
      </c>
      <c r="N176" s="454">
        <v>118632.537</v>
      </c>
      <c r="O176" s="454">
        <v>96645.989000000001</v>
      </c>
      <c r="P176" s="454">
        <v>182158.80299999999</v>
      </c>
      <c r="Q176" s="454">
        <v>140781.73800000001</v>
      </c>
      <c r="R176" s="454">
        <v>1300</v>
      </c>
      <c r="S176" s="454"/>
      <c r="T176" s="454"/>
      <c r="U176" s="454"/>
      <c r="V176" s="454"/>
      <c r="W176" s="454"/>
      <c r="X176" s="454"/>
      <c r="Y176" s="454">
        <f t="shared" si="7"/>
        <v>849290.51</v>
      </c>
      <c r="Z176" s="454">
        <v>700000</v>
      </c>
      <c r="AA176" s="451">
        <v>4</v>
      </c>
      <c r="AB176" s="587">
        <v>44221</v>
      </c>
      <c r="AC176" s="587">
        <v>44280</v>
      </c>
      <c r="AD176" s="454">
        <v>2600</v>
      </c>
      <c r="AE176" s="451">
        <v>8</v>
      </c>
      <c r="AF176" s="587">
        <v>44252</v>
      </c>
      <c r="AG176" s="587">
        <v>44292</v>
      </c>
      <c r="AH176" s="454">
        <v>1900</v>
      </c>
      <c r="AI176" s="451">
        <v>10</v>
      </c>
      <c r="AJ176" s="587">
        <v>44286</v>
      </c>
      <c r="AK176" s="587">
        <v>44306</v>
      </c>
      <c r="AL176" s="454">
        <v>156072</v>
      </c>
      <c r="AM176" s="451">
        <v>14</v>
      </c>
      <c r="AN176" s="587">
        <v>44313</v>
      </c>
      <c r="AO176" s="587">
        <v>44322</v>
      </c>
      <c r="AP176" s="454">
        <v>0</v>
      </c>
      <c r="AQ176" s="451">
        <v>0</v>
      </c>
      <c r="AR176" s="588"/>
      <c r="AS176" s="588"/>
      <c r="AT176" s="154">
        <f t="shared" si="8"/>
        <v>860572</v>
      </c>
      <c r="AU176" s="461">
        <f t="shared" si="6"/>
        <v>11281.489999999991</v>
      </c>
    </row>
    <row r="177" spans="2:47" s="148" customFormat="1" ht="22.5" x14ac:dyDescent="0.25">
      <c r="B177" s="149">
        <v>162</v>
      </c>
      <c r="C177" s="149" t="s">
        <v>38</v>
      </c>
      <c r="D177" s="450">
        <v>40000418</v>
      </c>
      <c r="E177" s="451" t="s">
        <v>2314</v>
      </c>
      <c r="F177" s="451" t="s">
        <v>200</v>
      </c>
      <c r="G177" s="452" t="s">
        <v>2100</v>
      </c>
      <c r="H177" s="451" t="s">
        <v>2315</v>
      </c>
      <c r="I177" s="451" t="s">
        <v>1958</v>
      </c>
      <c r="J177" s="451">
        <v>149249</v>
      </c>
      <c r="K177" s="451"/>
      <c r="L177" s="451"/>
      <c r="M177" s="454">
        <v>0</v>
      </c>
      <c r="N177" s="454">
        <v>0</v>
      </c>
      <c r="O177" s="454">
        <v>0</v>
      </c>
      <c r="P177" s="454">
        <v>50977.786999999997</v>
      </c>
      <c r="Q177" s="454">
        <v>0</v>
      </c>
      <c r="R177" s="454">
        <v>52729.114999999998</v>
      </c>
      <c r="S177" s="454"/>
      <c r="T177" s="454"/>
      <c r="U177" s="454"/>
      <c r="V177" s="454"/>
      <c r="W177" s="454"/>
      <c r="X177" s="454"/>
      <c r="Y177" s="454">
        <f t="shared" si="7"/>
        <v>103706.902</v>
      </c>
      <c r="Z177" s="454">
        <v>1000</v>
      </c>
      <c r="AA177" s="451">
        <v>1</v>
      </c>
      <c r="AB177" s="587">
        <v>44207</v>
      </c>
      <c r="AC177" s="587">
        <v>44249</v>
      </c>
      <c r="AD177" s="454">
        <v>140000</v>
      </c>
      <c r="AE177" s="451">
        <v>14</v>
      </c>
      <c r="AF177" s="587">
        <v>44313</v>
      </c>
      <c r="AG177" s="587">
        <v>44322</v>
      </c>
      <c r="AH177" s="454"/>
      <c r="AI177" s="451"/>
      <c r="AJ177" s="587"/>
      <c r="AK177" s="587"/>
      <c r="AL177" s="454"/>
      <c r="AM177" s="451"/>
      <c r="AN177" s="587"/>
      <c r="AO177" s="587"/>
      <c r="AP177" s="454"/>
      <c r="AQ177" s="451"/>
      <c r="AR177" s="588"/>
      <c r="AS177" s="588"/>
      <c r="AT177" s="154">
        <f t="shared" si="8"/>
        <v>141000</v>
      </c>
      <c r="AU177" s="461">
        <f t="shared" si="6"/>
        <v>37293.097999999998</v>
      </c>
    </row>
    <row r="178" spans="2:47" s="148" customFormat="1" ht="33.75" x14ac:dyDescent="0.25">
      <c r="B178" s="149">
        <v>163</v>
      </c>
      <c r="C178" s="149" t="s">
        <v>38</v>
      </c>
      <c r="D178" s="450">
        <v>40000609</v>
      </c>
      <c r="E178" s="451" t="s">
        <v>2316</v>
      </c>
      <c r="F178" s="451" t="s">
        <v>200</v>
      </c>
      <c r="G178" s="452" t="s">
        <v>2100</v>
      </c>
      <c r="H178" s="451" t="s">
        <v>2113</v>
      </c>
      <c r="I178" s="451" t="s">
        <v>1958</v>
      </c>
      <c r="J178" s="451">
        <v>2000</v>
      </c>
      <c r="K178" s="451"/>
      <c r="L178" s="451"/>
      <c r="M178" s="454">
        <v>0</v>
      </c>
      <c r="N178" s="454">
        <v>0</v>
      </c>
      <c r="O178" s="454">
        <v>0</v>
      </c>
      <c r="P178" s="454">
        <v>0</v>
      </c>
      <c r="Q178" s="454">
        <v>0</v>
      </c>
      <c r="R178" s="454">
        <v>0</v>
      </c>
      <c r="S178" s="454"/>
      <c r="T178" s="454"/>
      <c r="U178" s="454"/>
      <c r="V178" s="454"/>
      <c r="W178" s="454"/>
      <c r="X178" s="454"/>
      <c r="Y178" s="454">
        <f t="shared" si="7"/>
        <v>0</v>
      </c>
      <c r="Z178" s="454">
        <v>1000</v>
      </c>
      <c r="AA178" s="451">
        <v>8</v>
      </c>
      <c r="AB178" s="587">
        <v>44252</v>
      </c>
      <c r="AC178" s="587">
        <v>44292</v>
      </c>
      <c r="AD178" s="454"/>
      <c r="AE178" s="451"/>
      <c r="AF178" s="587"/>
      <c r="AG178" s="587"/>
      <c r="AH178" s="454"/>
      <c r="AI178" s="451"/>
      <c r="AJ178" s="587"/>
      <c r="AK178" s="587"/>
      <c r="AL178" s="454"/>
      <c r="AM178" s="451"/>
      <c r="AN178" s="587"/>
      <c r="AO178" s="587"/>
      <c r="AP178" s="454"/>
      <c r="AQ178" s="451"/>
      <c r="AR178" s="588"/>
      <c r="AS178" s="588"/>
      <c r="AT178" s="154">
        <f t="shared" si="8"/>
        <v>1000</v>
      </c>
      <c r="AU178" s="461">
        <f t="shared" si="6"/>
        <v>1000</v>
      </c>
    </row>
    <row r="179" spans="2:47" s="148" customFormat="1" ht="22.5" x14ac:dyDescent="0.25">
      <c r="B179" s="149">
        <v>164</v>
      </c>
      <c r="C179" s="149" t="s">
        <v>38</v>
      </c>
      <c r="D179" s="450">
        <v>40000615</v>
      </c>
      <c r="E179" s="451" t="s">
        <v>2317</v>
      </c>
      <c r="F179" s="451" t="s">
        <v>200</v>
      </c>
      <c r="G179" s="452" t="s">
        <v>2100</v>
      </c>
      <c r="H179" s="451" t="s">
        <v>2294</v>
      </c>
      <c r="I179" s="451" t="s">
        <v>1958</v>
      </c>
      <c r="J179" s="451">
        <v>180867</v>
      </c>
      <c r="K179" s="451"/>
      <c r="L179" s="451"/>
      <c r="M179" s="454">
        <v>36464.688000000002</v>
      </c>
      <c r="N179" s="454">
        <v>0</v>
      </c>
      <c r="O179" s="454">
        <v>0</v>
      </c>
      <c r="P179" s="454">
        <v>0</v>
      </c>
      <c r="Q179" s="454">
        <v>17494.689999999999</v>
      </c>
      <c r="R179" s="454">
        <v>203671.603</v>
      </c>
      <c r="S179" s="454"/>
      <c r="T179" s="454"/>
      <c r="U179" s="454"/>
      <c r="V179" s="454"/>
      <c r="W179" s="454"/>
      <c r="X179" s="454"/>
      <c r="Y179" s="454">
        <f t="shared" si="7"/>
        <v>257630.981</v>
      </c>
      <c r="Z179" s="454">
        <v>180867</v>
      </c>
      <c r="AA179" s="451">
        <v>4</v>
      </c>
      <c r="AB179" s="587">
        <v>44221</v>
      </c>
      <c r="AC179" s="587">
        <v>44280</v>
      </c>
      <c r="AD179" s="454"/>
      <c r="AE179" s="451"/>
      <c r="AF179" s="587"/>
      <c r="AG179" s="587"/>
      <c r="AH179" s="454"/>
      <c r="AI179" s="451"/>
      <c r="AJ179" s="587"/>
      <c r="AK179" s="587"/>
      <c r="AL179" s="454"/>
      <c r="AM179" s="451"/>
      <c r="AN179" s="587"/>
      <c r="AO179" s="587"/>
      <c r="AP179" s="454"/>
      <c r="AQ179" s="451"/>
      <c r="AR179" s="588"/>
      <c r="AS179" s="588"/>
      <c r="AT179" s="154">
        <f t="shared" si="8"/>
        <v>180867</v>
      </c>
      <c r="AU179" s="461">
        <f t="shared" si="6"/>
        <v>-76763.981</v>
      </c>
    </row>
    <row r="180" spans="2:47" s="148" customFormat="1" ht="22.5" x14ac:dyDescent="0.25">
      <c r="B180" s="149">
        <v>165</v>
      </c>
      <c r="C180" s="149" t="s">
        <v>38</v>
      </c>
      <c r="D180" s="450">
        <v>40000764</v>
      </c>
      <c r="E180" s="451" t="s">
        <v>2318</v>
      </c>
      <c r="F180" s="451" t="s">
        <v>200</v>
      </c>
      <c r="G180" s="452" t="s">
        <v>2100</v>
      </c>
      <c r="H180" s="451" t="s">
        <v>2130</v>
      </c>
      <c r="I180" s="451" t="s">
        <v>1958</v>
      </c>
      <c r="J180" s="451">
        <v>96252</v>
      </c>
      <c r="K180" s="451"/>
      <c r="L180" s="451"/>
      <c r="M180" s="454">
        <v>0</v>
      </c>
      <c r="N180" s="454">
        <v>0</v>
      </c>
      <c r="O180" s="454">
        <v>0</v>
      </c>
      <c r="P180" s="454">
        <v>0</v>
      </c>
      <c r="Q180" s="454">
        <v>0</v>
      </c>
      <c r="R180" s="454">
        <v>96252.095000000001</v>
      </c>
      <c r="S180" s="454"/>
      <c r="T180" s="454"/>
      <c r="U180" s="454"/>
      <c r="V180" s="454"/>
      <c r="W180" s="454"/>
      <c r="X180" s="454"/>
      <c r="Y180" s="454">
        <f t="shared" si="7"/>
        <v>96252.095000000001</v>
      </c>
      <c r="Z180" s="454">
        <v>1000</v>
      </c>
      <c r="AA180" s="451">
        <v>8</v>
      </c>
      <c r="AB180" s="587">
        <v>44252</v>
      </c>
      <c r="AC180" s="587">
        <v>44292</v>
      </c>
      <c r="AD180" s="454"/>
      <c r="AE180" s="451"/>
      <c r="AF180" s="587"/>
      <c r="AG180" s="587"/>
      <c r="AH180" s="454"/>
      <c r="AI180" s="451"/>
      <c r="AJ180" s="587"/>
      <c r="AK180" s="587"/>
      <c r="AL180" s="454"/>
      <c r="AM180" s="451"/>
      <c r="AN180" s="587"/>
      <c r="AO180" s="587"/>
      <c r="AP180" s="454"/>
      <c r="AQ180" s="451"/>
      <c r="AR180" s="588"/>
      <c r="AS180" s="588"/>
      <c r="AT180" s="154">
        <f t="shared" si="8"/>
        <v>1000</v>
      </c>
      <c r="AU180" s="461">
        <f t="shared" si="6"/>
        <v>-95252.095000000001</v>
      </c>
    </row>
    <row r="181" spans="2:47" s="148" customFormat="1" x14ac:dyDescent="0.25">
      <c r="B181" s="149">
        <v>166</v>
      </c>
      <c r="C181" s="149" t="s">
        <v>38</v>
      </c>
      <c r="D181" s="450">
        <v>40000809</v>
      </c>
      <c r="E181" s="451" t="s">
        <v>2319</v>
      </c>
      <c r="F181" s="451" t="s">
        <v>200</v>
      </c>
      <c r="G181" s="452" t="s">
        <v>2100</v>
      </c>
      <c r="H181" s="451" t="s">
        <v>2219</v>
      </c>
      <c r="I181" s="451" t="s">
        <v>1958</v>
      </c>
      <c r="J181" s="451">
        <v>271486</v>
      </c>
      <c r="K181" s="451"/>
      <c r="L181" s="451"/>
      <c r="M181" s="454">
        <v>0</v>
      </c>
      <c r="N181" s="454">
        <v>0</v>
      </c>
      <c r="O181" s="454">
        <v>0</v>
      </c>
      <c r="P181" s="454">
        <v>0</v>
      </c>
      <c r="Q181" s="454">
        <v>0</v>
      </c>
      <c r="R181" s="454">
        <v>0</v>
      </c>
      <c r="S181" s="454"/>
      <c r="T181" s="454"/>
      <c r="U181" s="454"/>
      <c r="V181" s="454"/>
      <c r="W181" s="454"/>
      <c r="X181" s="454"/>
      <c r="Y181" s="454">
        <f t="shared" si="7"/>
        <v>0</v>
      </c>
      <c r="Z181" s="454">
        <v>1000</v>
      </c>
      <c r="AA181" s="451">
        <v>1</v>
      </c>
      <c r="AB181" s="587">
        <v>44207</v>
      </c>
      <c r="AC181" s="587">
        <v>44249</v>
      </c>
      <c r="AD181" s="454"/>
      <c r="AE181" s="451"/>
      <c r="AF181" s="587"/>
      <c r="AG181" s="587"/>
      <c r="AH181" s="454"/>
      <c r="AI181" s="451"/>
      <c r="AJ181" s="587"/>
      <c r="AK181" s="587"/>
      <c r="AL181" s="454"/>
      <c r="AM181" s="451"/>
      <c r="AN181" s="587"/>
      <c r="AO181" s="587"/>
      <c r="AP181" s="454"/>
      <c r="AQ181" s="451"/>
      <c r="AR181" s="588"/>
      <c r="AS181" s="588"/>
      <c r="AT181" s="154">
        <f t="shared" si="8"/>
        <v>1000</v>
      </c>
      <c r="AU181" s="461">
        <f t="shared" si="6"/>
        <v>1000</v>
      </c>
    </row>
    <row r="182" spans="2:47" s="148" customFormat="1" ht="22.5" x14ac:dyDescent="0.25">
      <c r="B182" s="149">
        <v>167</v>
      </c>
      <c r="C182" s="149" t="s">
        <v>38</v>
      </c>
      <c r="D182" s="450">
        <v>40000892</v>
      </c>
      <c r="E182" s="451" t="s">
        <v>2320</v>
      </c>
      <c r="F182" s="451" t="s">
        <v>200</v>
      </c>
      <c r="G182" s="452" t="s">
        <v>2100</v>
      </c>
      <c r="H182" s="451" t="s">
        <v>2143</v>
      </c>
      <c r="I182" s="451" t="s">
        <v>1958</v>
      </c>
      <c r="J182" s="451">
        <v>268560</v>
      </c>
      <c r="K182" s="451"/>
      <c r="L182" s="451"/>
      <c r="M182" s="454">
        <v>0</v>
      </c>
      <c r="N182" s="454">
        <v>266690.78700000001</v>
      </c>
      <c r="O182" s="454">
        <v>0</v>
      </c>
      <c r="P182" s="454">
        <v>0</v>
      </c>
      <c r="Q182" s="454">
        <v>0</v>
      </c>
      <c r="R182" s="454">
        <v>0</v>
      </c>
      <c r="S182" s="454"/>
      <c r="T182" s="454"/>
      <c r="U182" s="454"/>
      <c r="V182" s="454"/>
      <c r="W182" s="454"/>
      <c r="X182" s="454"/>
      <c r="Y182" s="454">
        <f t="shared" si="7"/>
        <v>266690.78700000001</v>
      </c>
      <c r="Z182" s="454">
        <v>266692</v>
      </c>
      <c r="AA182" s="451">
        <v>8</v>
      </c>
      <c r="AB182" s="587">
        <v>44252</v>
      </c>
      <c r="AC182" s="587">
        <v>44292</v>
      </c>
      <c r="AD182" s="454"/>
      <c r="AE182" s="451"/>
      <c r="AF182" s="587"/>
      <c r="AG182" s="587"/>
      <c r="AH182" s="454"/>
      <c r="AI182" s="451"/>
      <c r="AJ182" s="587"/>
      <c r="AK182" s="587"/>
      <c r="AL182" s="454"/>
      <c r="AM182" s="451"/>
      <c r="AN182" s="587"/>
      <c r="AO182" s="587"/>
      <c r="AP182" s="454"/>
      <c r="AQ182" s="451"/>
      <c r="AR182" s="588"/>
      <c r="AS182" s="588"/>
      <c r="AT182" s="154">
        <f t="shared" si="8"/>
        <v>266692</v>
      </c>
      <c r="AU182" s="461">
        <f t="shared" si="6"/>
        <v>1.2129999999888241</v>
      </c>
    </row>
    <row r="183" spans="2:47" s="148" customFormat="1" ht="22.5" x14ac:dyDescent="0.25">
      <c r="B183" s="149">
        <v>168</v>
      </c>
      <c r="C183" s="149" t="s">
        <v>38</v>
      </c>
      <c r="D183" s="450">
        <v>40001075</v>
      </c>
      <c r="E183" s="451" t="s">
        <v>2321</v>
      </c>
      <c r="F183" s="451" t="s">
        <v>200</v>
      </c>
      <c r="G183" s="452" t="s">
        <v>2100</v>
      </c>
      <c r="H183" s="451" t="s">
        <v>2200</v>
      </c>
      <c r="I183" s="451" t="s">
        <v>1958</v>
      </c>
      <c r="J183" s="451">
        <v>14246</v>
      </c>
      <c r="K183" s="451"/>
      <c r="L183" s="451"/>
      <c r="M183" s="454">
        <v>0</v>
      </c>
      <c r="N183" s="454">
        <v>0</v>
      </c>
      <c r="O183" s="454">
        <v>0</v>
      </c>
      <c r="P183" s="454">
        <v>0</v>
      </c>
      <c r="Q183" s="454">
        <v>0</v>
      </c>
      <c r="R183" s="454">
        <v>0</v>
      </c>
      <c r="S183" s="454"/>
      <c r="T183" s="454"/>
      <c r="U183" s="454"/>
      <c r="V183" s="454"/>
      <c r="W183" s="454"/>
      <c r="X183" s="454"/>
      <c r="Y183" s="454">
        <f t="shared" si="7"/>
        <v>0</v>
      </c>
      <c r="Z183" s="454">
        <v>1000</v>
      </c>
      <c r="AA183" s="451">
        <v>8</v>
      </c>
      <c r="AB183" s="587">
        <v>44252</v>
      </c>
      <c r="AC183" s="587">
        <v>44292</v>
      </c>
      <c r="AD183" s="454"/>
      <c r="AE183" s="451"/>
      <c r="AF183" s="587"/>
      <c r="AG183" s="587"/>
      <c r="AH183" s="454"/>
      <c r="AI183" s="451"/>
      <c r="AJ183" s="587"/>
      <c r="AK183" s="587"/>
      <c r="AL183" s="454"/>
      <c r="AM183" s="451"/>
      <c r="AN183" s="587"/>
      <c r="AO183" s="587"/>
      <c r="AP183" s="454"/>
      <c r="AQ183" s="451"/>
      <c r="AR183" s="588"/>
      <c r="AS183" s="588"/>
      <c r="AT183" s="154">
        <f t="shared" si="8"/>
        <v>1000</v>
      </c>
      <c r="AU183" s="461">
        <f t="shared" si="6"/>
        <v>1000</v>
      </c>
    </row>
    <row r="184" spans="2:47" s="148" customFormat="1" ht="22.5" x14ac:dyDescent="0.25">
      <c r="B184" s="149">
        <v>169</v>
      </c>
      <c r="C184" s="149" t="s">
        <v>38</v>
      </c>
      <c r="D184" s="450">
        <v>40001158</v>
      </c>
      <c r="E184" s="451" t="s">
        <v>2322</v>
      </c>
      <c r="F184" s="451" t="s">
        <v>200</v>
      </c>
      <c r="G184" s="452" t="s">
        <v>2100</v>
      </c>
      <c r="H184" s="451" t="s">
        <v>2228</v>
      </c>
      <c r="I184" s="451" t="s">
        <v>1958</v>
      </c>
      <c r="J184" s="451">
        <v>7086</v>
      </c>
      <c r="K184" s="451"/>
      <c r="L184" s="451"/>
      <c r="M184" s="454">
        <v>0</v>
      </c>
      <c r="N184" s="454">
        <v>7085.7150000000001</v>
      </c>
      <c r="O184" s="454">
        <v>0</v>
      </c>
      <c r="P184" s="454">
        <v>0</v>
      </c>
      <c r="Q184" s="454">
        <v>0</v>
      </c>
      <c r="R184" s="454">
        <v>0</v>
      </c>
      <c r="S184" s="454"/>
      <c r="T184" s="454"/>
      <c r="U184" s="454"/>
      <c r="V184" s="454"/>
      <c r="W184" s="454"/>
      <c r="X184" s="454"/>
      <c r="Y184" s="454">
        <f t="shared" si="7"/>
        <v>7085.7150000000001</v>
      </c>
      <c r="Z184" s="454">
        <v>7086</v>
      </c>
      <c r="AA184" s="451">
        <v>8</v>
      </c>
      <c r="AB184" s="587">
        <v>44252</v>
      </c>
      <c r="AC184" s="587">
        <v>44292</v>
      </c>
      <c r="AD184" s="454"/>
      <c r="AE184" s="451"/>
      <c r="AF184" s="587"/>
      <c r="AG184" s="587"/>
      <c r="AH184" s="454"/>
      <c r="AI184" s="451"/>
      <c r="AJ184" s="587"/>
      <c r="AK184" s="587"/>
      <c r="AL184" s="454"/>
      <c r="AM184" s="451"/>
      <c r="AN184" s="587"/>
      <c r="AO184" s="587"/>
      <c r="AP184" s="454"/>
      <c r="AQ184" s="451"/>
      <c r="AR184" s="588"/>
      <c r="AS184" s="588"/>
      <c r="AT184" s="154">
        <f t="shared" si="8"/>
        <v>7086</v>
      </c>
      <c r="AU184" s="461">
        <f t="shared" si="6"/>
        <v>0.28499999999985448</v>
      </c>
    </row>
    <row r="185" spans="2:47" s="148" customFormat="1" ht="22.5" x14ac:dyDescent="0.25">
      <c r="B185" s="149">
        <v>170</v>
      </c>
      <c r="C185" s="149" t="s">
        <v>38</v>
      </c>
      <c r="D185" s="450">
        <v>40001188</v>
      </c>
      <c r="E185" s="451" t="s">
        <v>2323</v>
      </c>
      <c r="F185" s="451" t="s">
        <v>200</v>
      </c>
      <c r="G185" s="452" t="s">
        <v>2100</v>
      </c>
      <c r="H185" s="451" t="s">
        <v>2103</v>
      </c>
      <c r="I185" s="451" t="s">
        <v>1958</v>
      </c>
      <c r="J185" s="451">
        <v>1124748</v>
      </c>
      <c r="K185" s="451"/>
      <c r="L185" s="451"/>
      <c r="M185" s="454">
        <v>0</v>
      </c>
      <c r="N185" s="454">
        <v>0</v>
      </c>
      <c r="O185" s="454">
        <v>0</v>
      </c>
      <c r="P185" s="454">
        <v>0</v>
      </c>
      <c r="Q185" s="454">
        <v>0</v>
      </c>
      <c r="R185" s="454">
        <v>0</v>
      </c>
      <c r="S185" s="454"/>
      <c r="T185" s="454"/>
      <c r="U185" s="454"/>
      <c r="V185" s="454"/>
      <c r="W185" s="454"/>
      <c r="X185" s="454"/>
      <c r="Y185" s="454">
        <f t="shared" si="7"/>
        <v>0</v>
      </c>
      <c r="Z185" s="454">
        <v>1000</v>
      </c>
      <c r="AA185" s="451">
        <v>1</v>
      </c>
      <c r="AB185" s="587">
        <v>44207</v>
      </c>
      <c r="AC185" s="587">
        <v>44249</v>
      </c>
      <c r="AD185" s="454"/>
      <c r="AE185" s="451"/>
      <c r="AF185" s="587"/>
      <c r="AG185" s="587"/>
      <c r="AH185" s="454"/>
      <c r="AI185" s="451"/>
      <c r="AJ185" s="587"/>
      <c r="AK185" s="587"/>
      <c r="AL185" s="454"/>
      <c r="AM185" s="451"/>
      <c r="AN185" s="587"/>
      <c r="AO185" s="587"/>
      <c r="AP185" s="454"/>
      <c r="AQ185" s="451"/>
      <c r="AR185" s="588"/>
      <c r="AS185" s="588"/>
      <c r="AT185" s="154">
        <f t="shared" si="8"/>
        <v>1000</v>
      </c>
      <c r="AU185" s="461">
        <f t="shared" si="6"/>
        <v>1000</v>
      </c>
    </row>
    <row r="186" spans="2:47" s="148" customFormat="1" ht="33.75" x14ac:dyDescent="0.25">
      <c r="B186" s="149">
        <v>171</v>
      </c>
      <c r="C186" s="149" t="s">
        <v>41</v>
      </c>
      <c r="D186" s="450">
        <v>40001193</v>
      </c>
      <c r="E186" s="451" t="s">
        <v>2324</v>
      </c>
      <c r="F186" s="451" t="s">
        <v>200</v>
      </c>
      <c r="G186" s="452" t="s">
        <v>2100</v>
      </c>
      <c r="H186" s="451" t="s">
        <v>2113</v>
      </c>
      <c r="I186" s="451" t="s">
        <v>1958</v>
      </c>
      <c r="J186" s="451">
        <v>1825878</v>
      </c>
      <c r="K186" s="451"/>
      <c r="L186" s="451"/>
      <c r="M186" s="454">
        <v>88855.972999999998</v>
      </c>
      <c r="N186" s="454">
        <v>34348.5</v>
      </c>
      <c r="O186" s="454">
        <v>128626.05599999998</v>
      </c>
      <c r="P186" s="454">
        <v>70305.277000000002</v>
      </c>
      <c r="Q186" s="454">
        <v>122747.306</v>
      </c>
      <c r="R186" s="454">
        <v>87413.947</v>
      </c>
      <c r="S186" s="454"/>
      <c r="T186" s="454"/>
      <c r="U186" s="454"/>
      <c r="V186" s="454"/>
      <c r="W186" s="454"/>
      <c r="X186" s="454"/>
      <c r="Y186" s="454">
        <f t="shared" si="7"/>
        <v>532297.05900000001</v>
      </c>
      <c r="Z186" s="454">
        <v>270000</v>
      </c>
      <c r="AA186" s="451">
        <v>1</v>
      </c>
      <c r="AB186" s="587">
        <v>44207</v>
      </c>
      <c r="AC186" s="587">
        <v>44249</v>
      </c>
      <c r="AD186" s="454">
        <v>250000</v>
      </c>
      <c r="AE186" s="451">
        <v>10</v>
      </c>
      <c r="AF186" s="587">
        <v>44286</v>
      </c>
      <c r="AG186" s="587">
        <v>44306</v>
      </c>
      <c r="AH186" s="454"/>
      <c r="AI186" s="451"/>
      <c r="AJ186" s="587"/>
      <c r="AK186" s="587"/>
      <c r="AL186" s="454"/>
      <c r="AM186" s="451"/>
      <c r="AN186" s="587"/>
      <c r="AO186" s="587"/>
      <c r="AP186" s="454"/>
      <c r="AQ186" s="451"/>
      <c r="AR186" s="588"/>
      <c r="AS186" s="588"/>
      <c r="AT186" s="154">
        <f t="shared" si="8"/>
        <v>520000</v>
      </c>
      <c r="AU186" s="461">
        <f t="shared" si="6"/>
        <v>-12297.059000000008</v>
      </c>
    </row>
    <row r="187" spans="2:47" s="148" customFormat="1" ht="22.5" x14ac:dyDescent="0.25">
      <c r="B187" s="149">
        <v>172</v>
      </c>
      <c r="C187" s="149" t="s">
        <v>38</v>
      </c>
      <c r="D187" s="450">
        <v>40001393</v>
      </c>
      <c r="E187" s="451" t="s">
        <v>2325</v>
      </c>
      <c r="F187" s="451" t="s">
        <v>200</v>
      </c>
      <c r="G187" s="452" t="s">
        <v>2100</v>
      </c>
      <c r="H187" s="451" t="s">
        <v>2109</v>
      </c>
      <c r="I187" s="451" t="s">
        <v>1958</v>
      </c>
      <c r="J187" s="451">
        <v>55393</v>
      </c>
      <c r="K187" s="451"/>
      <c r="L187" s="451"/>
      <c r="M187" s="454">
        <v>0</v>
      </c>
      <c r="N187" s="454">
        <v>0</v>
      </c>
      <c r="O187" s="454">
        <v>0</v>
      </c>
      <c r="P187" s="454">
        <v>0</v>
      </c>
      <c r="Q187" s="454">
        <v>0</v>
      </c>
      <c r="R187" s="454">
        <v>0</v>
      </c>
      <c r="S187" s="454"/>
      <c r="T187" s="454"/>
      <c r="U187" s="454"/>
      <c r="V187" s="454"/>
      <c r="W187" s="454"/>
      <c r="X187" s="454"/>
      <c r="Y187" s="454">
        <f t="shared" si="7"/>
        <v>0</v>
      </c>
      <c r="Z187" s="454">
        <v>1000</v>
      </c>
      <c r="AA187" s="451">
        <v>8</v>
      </c>
      <c r="AB187" s="587">
        <v>44252</v>
      </c>
      <c r="AC187" s="587">
        <v>44292</v>
      </c>
      <c r="AD187" s="454"/>
      <c r="AE187" s="451"/>
      <c r="AF187" s="587"/>
      <c r="AG187" s="587"/>
      <c r="AH187" s="454"/>
      <c r="AI187" s="451"/>
      <c r="AJ187" s="587"/>
      <c r="AK187" s="587"/>
      <c r="AL187" s="454"/>
      <c r="AM187" s="451"/>
      <c r="AN187" s="587"/>
      <c r="AO187" s="587"/>
      <c r="AP187" s="454"/>
      <c r="AQ187" s="451"/>
      <c r="AR187" s="588"/>
      <c r="AS187" s="588"/>
      <c r="AT187" s="154">
        <f t="shared" si="8"/>
        <v>1000</v>
      </c>
      <c r="AU187" s="461">
        <f t="shared" si="6"/>
        <v>1000</v>
      </c>
    </row>
    <row r="188" spans="2:47" s="148" customFormat="1" ht="22.5" x14ac:dyDescent="0.25">
      <c r="B188" s="149">
        <v>173</v>
      </c>
      <c r="C188" s="149" t="s">
        <v>38</v>
      </c>
      <c r="D188" s="450">
        <v>40001420</v>
      </c>
      <c r="E188" s="451" t="s">
        <v>2326</v>
      </c>
      <c r="F188" s="451" t="s">
        <v>200</v>
      </c>
      <c r="G188" s="452" t="s">
        <v>2100</v>
      </c>
      <c r="H188" s="451" t="s">
        <v>2154</v>
      </c>
      <c r="I188" s="451" t="s">
        <v>1958</v>
      </c>
      <c r="J188" s="451">
        <v>39651</v>
      </c>
      <c r="K188" s="451"/>
      <c r="L188" s="451"/>
      <c r="M188" s="454">
        <v>0</v>
      </c>
      <c r="N188" s="454">
        <v>0</v>
      </c>
      <c r="O188" s="454">
        <v>5153.0499999999993</v>
      </c>
      <c r="P188" s="454">
        <v>735.40200000000004</v>
      </c>
      <c r="Q188" s="454">
        <v>0</v>
      </c>
      <c r="R188" s="454">
        <v>4177.7349999999997</v>
      </c>
      <c r="S188" s="454"/>
      <c r="T188" s="454"/>
      <c r="U188" s="454"/>
      <c r="V188" s="454"/>
      <c r="W188" s="454"/>
      <c r="X188" s="454"/>
      <c r="Y188" s="454">
        <f t="shared" si="7"/>
        <v>10066.186999999998</v>
      </c>
      <c r="Z188" s="454">
        <v>1000</v>
      </c>
      <c r="AA188" s="451">
        <v>8</v>
      </c>
      <c r="AB188" s="587">
        <v>44252</v>
      </c>
      <c r="AC188" s="587">
        <v>44292</v>
      </c>
      <c r="AD188" s="454">
        <v>12000</v>
      </c>
      <c r="AE188" s="451">
        <v>10</v>
      </c>
      <c r="AF188" s="587">
        <v>44286</v>
      </c>
      <c r="AG188" s="587">
        <v>44306</v>
      </c>
      <c r="AH188" s="454"/>
      <c r="AI188" s="451"/>
      <c r="AJ188" s="587"/>
      <c r="AK188" s="587"/>
      <c r="AL188" s="454"/>
      <c r="AM188" s="451"/>
      <c r="AN188" s="587"/>
      <c r="AO188" s="587"/>
      <c r="AP188" s="454"/>
      <c r="AQ188" s="451"/>
      <c r="AR188" s="588"/>
      <c r="AS188" s="588"/>
      <c r="AT188" s="154">
        <f t="shared" si="8"/>
        <v>13000</v>
      </c>
      <c r="AU188" s="461">
        <f t="shared" si="6"/>
        <v>2933.8130000000019</v>
      </c>
    </row>
    <row r="189" spans="2:47" s="148" customFormat="1" ht="22.5" x14ac:dyDescent="0.25">
      <c r="B189" s="149">
        <v>174</v>
      </c>
      <c r="C189" s="149" t="s">
        <v>38</v>
      </c>
      <c r="D189" s="450">
        <v>40001576</v>
      </c>
      <c r="E189" s="451" t="s">
        <v>2327</v>
      </c>
      <c r="F189" s="451" t="s">
        <v>200</v>
      </c>
      <c r="G189" s="452" t="s">
        <v>2100</v>
      </c>
      <c r="H189" s="451" t="s">
        <v>2328</v>
      </c>
      <c r="I189" s="451" t="s">
        <v>1958</v>
      </c>
      <c r="J189" s="451">
        <v>185272</v>
      </c>
      <c r="K189" s="451"/>
      <c r="L189" s="451"/>
      <c r="M189" s="454">
        <v>167346.89799999999</v>
      </c>
      <c r="N189" s="454">
        <v>0</v>
      </c>
      <c r="O189" s="454">
        <v>0</v>
      </c>
      <c r="P189" s="454">
        <v>17924.903999999999</v>
      </c>
      <c r="Q189" s="454">
        <v>0</v>
      </c>
      <c r="R189" s="454">
        <v>0</v>
      </c>
      <c r="S189" s="454"/>
      <c r="T189" s="454"/>
      <c r="U189" s="454"/>
      <c r="V189" s="454"/>
      <c r="W189" s="454"/>
      <c r="X189" s="454"/>
      <c r="Y189" s="454">
        <f t="shared" si="7"/>
        <v>185271.802</v>
      </c>
      <c r="Z189" s="454">
        <v>185272</v>
      </c>
      <c r="AA189" s="451">
        <v>4</v>
      </c>
      <c r="AB189" s="587">
        <v>44221</v>
      </c>
      <c r="AC189" s="587">
        <v>44280</v>
      </c>
      <c r="AD189" s="454"/>
      <c r="AE189" s="451"/>
      <c r="AF189" s="587"/>
      <c r="AG189" s="587"/>
      <c r="AH189" s="454"/>
      <c r="AI189" s="451"/>
      <c r="AJ189" s="587"/>
      <c r="AK189" s="587"/>
      <c r="AL189" s="454"/>
      <c r="AM189" s="451"/>
      <c r="AN189" s="587"/>
      <c r="AO189" s="587"/>
      <c r="AP189" s="454"/>
      <c r="AQ189" s="451"/>
      <c r="AR189" s="588"/>
      <c r="AS189" s="588"/>
      <c r="AT189" s="154">
        <f t="shared" si="8"/>
        <v>185272</v>
      </c>
      <c r="AU189" s="461">
        <f t="shared" si="6"/>
        <v>0.19800000000395812</v>
      </c>
    </row>
    <row r="190" spans="2:47" s="148" customFormat="1" ht="22.5" x14ac:dyDescent="0.25">
      <c r="B190" s="149">
        <v>175</v>
      </c>
      <c r="C190" s="149" t="s">
        <v>38</v>
      </c>
      <c r="D190" s="450">
        <v>40001641</v>
      </c>
      <c r="E190" s="451" t="s">
        <v>2329</v>
      </c>
      <c r="F190" s="451" t="s">
        <v>200</v>
      </c>
      <c r="G190" s="452" t="s">
        <v>2100</v>
      </c>
      <c r="H190" s="451" t="s">
        <v>2242</v>
      </c>
      <c r="I190" s="451" t="s">
        <v>1958</v>
      </c>
      <c r="J190" s="451">
        <v>418698</v>
      </c>
      <c r="K190" s="451"/>
      <c r="L190" s="451"/>
      <c r="M190" s="454">
        <v>0</v>
      </c>
      <c r="N190" s="454">
        <v>0</v>
      </c>
      <c r="O190" s="454">
        <v>0</v>
      </c>
      <c r="P190" s="454">
        <v>0</v>
      </c>
      <c r="Q190" s="454">
        <v>0</v>
      </c>
      <c r="R190" s="454">
        <v>0</v>
      </c>
      <c r="S190" s="454"/>
      <c r="T190" s="454"/>
      <c r="U190" s="454"/>
      <c r="V190" s="454"/>
      <c r="W190" s="454"/>
      <c r="X190" s="454"/>
      <c r="Y190" s="454">
        <f t="shared" si="7"/>
        <v>0</v>
      </c>
      <c r="Z190" s="454">
        <v>1000</v>
      </c>
      <c r="AA190" s="451">
        <v>1</v>
      </c>
      <c r="AB190" s="587">
        <v>44207</v>
      </c>
      <c r="AC190" s="587">
        <v>44249</v>
      </c>
      <c r="AD190" s="454"/>
      <c r="AE190" s="451"/>
      <c r="AF190" s="587"/>
      <c r="AG190" s="587"/>
      <c r="AH190" s="454"/>
      <c r="AI190" s="451"/>
      <c r="AJ190" s="587"/>
      <c r="AK190" s="587"/>
      <c r="AL190" s="454"/>
      <c r="AM190" s="451"/>
      <c r="AN190" s="587"/>
      <c r="AO190" s="587"/>
      <c r="AP190" s="454"/>
      <c r="AQ190" s="451"/>
      <c r="AR190" s="588"/>
      <c r="AS190" s="588"/>
      <c r="AT190" s="154">
        <f t="shared" si="8"/>
        <v>1000</v>
      </c>
      <c r="AU190" s="461">
        <f t="shared" si="6"/>
        <v>1000</v>
      </c>
    </row>
    <row r="191" spans="2:47" s="148" customFormat="1" ht="22.5" x14ac:dyDescent="0.25">
      <c r="B191" s="149">
        <v>176</v>
      </c>
      <c r="C191" s="149" t="s">
        <v>38</v>
      </c>
      <c r="D191" s="450">
        <v>40001838</v>
      </c>
      <c r="E191" s="451" t="s">
        <v>2330</v>
      </c>
      <c r="F191" s="451" t="s">
        <v>200</v>
      </c>
      <c r="G191" s="452" t="s">
        <v>2100</v>
      </c>
      <c r="H191" s="451" t="s">
        <v>2130</v>
      </c>
      <c r="I191" s="451" t="s">
        <v>1958</v>
      </c>
      <c r="J191" s="451">
        <v>224214</v>
      </c>
      <c r="K191" s="451"/>
      <c r="L191" s="451"/>
      <c r="M191" s="454">
        <v>0</v>
      </c>
      <c r="N191" s="454">
        <v>0</v>
      </c>
      <c r="O191" s="454">
        <v>0</v>
      </c>
      <c r="P191" s="454">
        <v>0</v>
      </c>
      <c r="Q191" s="454">
        <v>0</v>
      </c>
      <c r="R191" s="454">
        <v>0</v>
      </c>
      <c r="S191" s="454"/>
      <c r="T191" s="454"/>
      <c r="U191" s="454"/>
      <c r="V191" s="454"/>
      <c r="W191" s="454"/>
      <c r="X191" s="454"/>
      <c r="Y191" s="454">
        <f t="shared" si="7"/>
        <v>0</v>
      </c>
      <c r="Z191" s="454">
        <v>1000</v>
      </c>
      <c r="AA191" s="451">
        <v>1</v>
      </c>
      <c r="AB191" s="587">
        <v>44207</v>
      </c>
      <c r="AC191" s="587">
        <v>44249</v>
      </c>
      <c r="AD191" s="454"/>
      <c r="AE191" s="451"/>
      <c r="AF191" s="587"/>
      <c r="AG191" s="587"/>
      <c r="AH191" s="454"/>
      <c r="AI191" s="451"/>
      <c r="AJ191" s="587"/>
      <c r="AK191" s="587"/>
      <c r="AL191" s="454"/>
      <c r="AM191" s="451"/>
      <c r="AN191" s="587"/>
      <c r="AO191" s="587"/>
      <c r="AP191" s="454"/>
      <c r="AQ191" s="451"/>
      <c r="AR191" s="588"/>
      <c r="AS191" s="588"/>
      <c r="AT191" s="154">
        <f t="shared" si="8"/>
        <v>1000</v>
      </c>
      <c r="AU191" s="461">
        <f t="shared" si="6"/>
        <v>1000</v>
      </c>
    </row>
    <row r="192" spans="2:47" s="148" customFormat="1" ht="22.5" x14ac:dyDescent="0.25">
      <c r="B192" s="149">
        <v>177</v>
      </c>
      <c r="C192" s="149" t="s">
        <v>38</v>
      </c>
      <c r="D192" s="450">
        <v>40001866</v>
      </c>
      <c r="E192" s="451" t="s">
        <v>2331</v>
      </c>
      <c r="F192" s="451" t="s">
        <v>204</v>
      </c>
      <c r="G192" s="452" t="s">
        <v>2100</v>
      </c>
      <c r="H192" s="451" t="s">
        <v>2151</v>
      </c>
      <c r="I192" s="451" t="s">
        <v>1958</v>
      </c>
      <c r="J192" s="451">
        <v>1748834</v>
      </c>
      <c r="K192" s="451"/>
      <c r="L192" s="451"/>
      <c r="M192" s="454">
        <v>0</v>
      </c>
      <c r="N192" s="454">
        <v>0</v>
      </c>
      <c r="O192" s="454">
        <v>0</v>
      </c>
      <c r="P192" s="454">
        <v>0</v>
      </c>
      <c r="Q192" s="454">
        <v>0</v>
      </c>
      <c r="R192" s="454">
        <v>0</v>
      </c>
      <c r="S192" s="454"/>
      <c r="T192" s="454"/>
      <c r="U192" s="454"/>
      <c r="V192" s="454"/>
      <c r="W192" s="454"/>
      <c r="X192" s="454"/>
      <c r="Y192" s="454">
        <f t="shared" si="7"/>
        <v>0</v>
      </c>
      <c r="Z192" s="454">
        <v>1000</v>
      </c>
      <c r="AA192" s="451">
        <v>1</v>
      </c>
      <c r="AB192" s="587">
        <v>44207</v>
      </c>
      <c r="AC192" s="587">
        <v>44249</v>
      </c>
      <c r="AD192" s="454"/>
      <c r="AE192" s="451"/>
      <c r="AF192" s="587"/>
      <c r="AG192" s="587"/>
      <c r="AH192" s="454"/>
      <c r="AI192" s="451"/>
      <c r="AJ192" s="587"/>
      <c r="AK192" s="587"/>
      <c r="AL192" s="454"/>
      <c r="AM192" s="451"/>
      <c r="AN192" s="587"/>
      <c r="AO192" s="587"/>
      <c r="AP192" s="454"/>
      <c r="AQ192" s="451"/>
      <c r="AR192" s="588"/>
      <c r="AS192" s="588"/>
      <c r="AT192" s="154">
        <f t="shared" si="8"/>
        <v>1000</v>
      </c>
      <c r="AU192" s="461">
        <f t="shared" si="6"/>
        <v>1000</v>
      </c>
    </row>
    <row r="193" spans="2:47" s="148" customFormat="1" ht="22.5" x14ac:dyDescent="0.25">
      <c r="B193" s="149">
        <v>178</v>
      </c>
      <c r="C193" s="149" t="s">
        <v>38</v>
      </c>
      <c r="D193" s="450">
        <v>40002058</v>
      </c>
      <c r="E193" s="451" t="s">
        <v>2332</v>
      </c>
      <c r="F193" s="451" t="s">
        <v>200</v>
      </c>
      <c r="G193" s="452" t="s">
        <v>2100</v>
      </c>
      <c r="H193" s="451" t="s">
        <v>2228</v>
      </c>
      <c r="I193" s="451" t="s">
        <v>1958</v>
      </c>
      <c r="J193" s="451">
        <v>1835817</v>
      </c>
      <c r="K193" s="451"/>
      <c r="L193" s="451"/>
      <c r="M193" s="454">
        <v>758331.79200000002</v>
      </c>
      <c r="N193" s="454">
        <v>310453.21299999999</v>
      </c>
      <c r="O193" s="454">
        <v>409081.06799999997</v>
      </c>
      <c r="P193" s="454">
        <v>159756.584</v>
      </c>
      <c r="Q193" s="454">
        <v>79385.812000000005</v>
      </c>
      <c r="R193" s="454">
        <v>1176.472</v>
      </c>
      <c r="S193" s="454"/>
      <c r="T193" s="454"/>
      <c r="U193" s="454"/>
      <c r="V193" s="454"/>
      <c r="W193" s="454"/>
      <c r="X193" s="454"/>
      <c r="Y193" s="454">
        <f t="shared" si="7"/>
        <v>1718184.9409999999</v>
      </c>
      <c r="Z193" s="454">
        <v>810000</v>
      </c>
      <c r="AA193" s="451">
        <v>4</v>
      </c>
      <c r="AB193" s="587">
        <v>44221</v>
      </c>
      <c r="AC193" s="587">
        <v>44280</v>
      </c>
      <c r="AD193" s="454">
        <v>485000</v>
      </c>
      <c r="AE193" s="451">
        <v>8</v>
      </c>
      <c r="AF193" s="587">
        <v>44252</v>
      </c>
      <c r="AG193" s="587">
        <v>44292</v>
      </c>
      <c r="AH193" s="454">
        <v>388160</v>
      </c>
      <c r="AI193" s="451">
        <v>10</v>
      </c>
      <c r="AJ193" s="587">
        <v>44286</v>
      </c>
      <c r="AK193" s="587">
        <v>44306</v>
      </c>
      <c r="AL193" s="454">
        <v>2352</v>
      </c>
      <c r="AM193" s="451">
        <v>14</v>
      </c>
      <c r="AN193" s="587">
        <v>44313</v>
      </c>
      <c r="AO193" s="587">
        <v>44322</v>
      </c>
      <c r="AP193" s="454">
        <v>149127</v>
      </c>
      <c r="AQ193" s="451">
        <v>23</v>
      </c>
      <c r="AR193" s="588">
        <v>44340</v>
      </c>
      <c r="AS193" s="588">
        <v>44350</v>
      </c>
      <c r="AT193" s="154">
        <f t="shared" si="8"/>
        <v>1834639</v>
      </c>
      <c r="AU193" s="461">
        <f t="shared" si="6"/>
        <v>116454.05900000012</v>
      </c>
    </row>
    <row r="194" spans="2:47" s="148" customFormat="1" ht="22.5" x14ac:dyDescent="0.25">
      <c r="B194" s="149">
        <v>179</v>
      </c>
      <c r="C194" s="149" t="s">
        <v>38</v>
      </c>
      <c r="D194" s="450">
        <v>40002059</v>
      </c>
      <c r="E194" s="451" t="s">
        <v>2333</v>
      </c>
      <c r="F194" s="451" t="s">
        <v>200</v>
      </c>
      <c r="G194" s="452" t="s">
        <v>2100</v>
      </c>
      <c r="H194" s="451" t="s">
        <v>2228</v>
      </c>
      <c r="I194" s="451" t="s">
        <v>1958</v>
      </c>
      <c r="J194" s="451">
        <v>822501</v>
      </c>
      <c r="K194" s="451"/>
      <c r="L194" s="451"/>
      <c r="M194" s="454">
        <v>0</v>
      </c>
      <c r="N194" s="454">
        <v>0</v>
      </c>
      <c r="O194" s="454">
        <v>0</v>
      </c>
      <c r="P194" s="454">
        <v>0</v>
      </c>
      <c r="Q194" s="454">
        <v>0</v>
      </c>
      <c r="R194" s="454">
        <v>372380.13099999999</v>
      </c>
      <c r="S194" s="454"/>
      <c r="T194" s="454"/>
      <c r="U194" s="454"/>
      <c r="V194" s="454"/>
      <c r="W194" s="454"/>
      <c r="X194" s="454"/>
      <c r="Y194" s="454">
        <f t="shared" si="7"/>
        <v>372380.13099999999</v>
      </c>
      <c r="Z194" s="454">
        <v>1000</v>
      </c>
      <c r="AA194" s="451">
        <v>1</v>
      </c>
      <c r="AB194" s="587">
        <v>44207</v>
      </c>
      <c r="AC194" s="587">
        <v>44249</v>
      </c>
      <c r="AD194" s="454"/>
      <c r="AE194" s="451"/>
      <c r="AF194" s="587"/>
      <c r="AG194" s="587"/>
      <c r="AH194" s="454"/>
      <c r="AI194" s="451"/>
      <c r="AJ194" s="587"/>
      <c r="AK194" s="587"/>
      <c r="AL194" s="454"/>
      <c r="AM194" s="451"/>
      <c r="AN194" s="587"/>
      <c r="AO194" s="587"/>
      <c r="AP194" s="454"/>
      <c r="AQ194" s="451"/>
      <c r="AR194" s="588"/>
      <c r="AS194" s="588"/>
      <c r="AT194" s="154">
        <f t="shared" si="8"/>
        <v>1000</v>
      </c>
      <c r="AU194" s="461">
        <f t="shared" si="6"/>
        <v>-371380.13099999999</v>
      </c>
    </row>
    <row r="195" spans="2:47" s="148" customFormat="1" ht="33.75" x14ac:dyDescent="0.25">
      <c r="B195" s="149">
        <v>180</v>
      </c>
      <c r="C195" s="149" t="s">
        <v>38</v>
      </c>
      <c r="D195" s="450">
        <v>40002816</v>
      </c>
      <c r="E195" s="451" t="s">
        <v>2334</v>
      </c>
      <c r="F195" s="451" t="s">
        <v>204</v>
      </c>
      <c r="G195" s="452" t="s">
        <v>2100</v>
      </c>
      <c r="H195" s="451" t="s">
        <v>2113</v>
      </c>
      <c r="I195" s="451" t="s">
        <v>1958</v>
      </c>
      <c r="J195" s="451">
        <v>158891</v>
      </c>
      <c r="K195" s="451"/>
      <c r="L195" s="451"/>
      <c r="M195" s="454">
        <v>11000</v>
      </c>
      <c r="N195" s="454">
        <v>11000</v>
      </c>
      <c r="O195" s="454">
        <v>0</v>
      </c>
      <c r="P195" s="454">
        <v>0</v>
      </c>
      <c r="Q195" s="454">
        <v>0</v>
      </c>
      <c r="R195" s="454">
        <v>0</v>
      </c>
      <c r="S195" s="454"/>
      <c r="T195" s="454"/>
      <c r="U195" s="454"/>
      <c r="V195" s="454"/>
      <c r="W195" s="454"/>
      <c r="X195" s="454"/>
      <c r="Y195" s="454">
        <f t="shared" si="7"/>
        <v>22000</v>
      </c>
      <c r="Z195" s="454">
        <v>1000</v>
      </c>
      <c r="AA195" s="451">
        <v>1</v>
      </c>
      <c r="AB195" s="587">
        <v>44207</v>
      </c>
      <c r="AC195" s="587">
        <v>44249</v>
      </c>
      <c r="AD195" s="454">
        <v>99000</v>
      </c>
      <c r="AE195" s="451">
        <v>4</v>
      </c>
      <c r="AF195" s="587">
        <v>44221</v>
      </c>
      <c r="AG195" s="587">
        <v>44280</v>
      </c>
      <c r="AH195" s="454"/>
      <c r="AI195" s="451"/>
      <c r="AJ195" s="587"/>
      <c r="AK195" s="587"/>
      <c r="AL195" s="454"/>
      <c r="AM195" s="451"/>
      <c r="AN195" s="587"/>
      <c r="AO195" s="587"/>
      <c r="AP195" s="454"/>
      <c r="AQ195" s="451"/>
      <c r="AR195" s="588"/>
      <c r="AS195" s="588"/>
      <c r="AT195" s="154">
        <f t="shared" si="8"/>
        <v>100000</v>
      </c>
      <c r="AU195" s="461">
        <f t="shared" si="6"/>
        <v>78000</v>
      </c>
    </row>
    <row r="196" spans="2:47" s="148" customFormat="1" ht="22.5" x14ac:dyDescent="0.25">
      <c r="B196" s="149">
        <v>181</v>
      </c>
      <c r="C196" s="149" t="s">
        <v>38</v>
      </c>
      <c r="D196" s="450">
        <v>40002833</v>
      </c>
      <c r="E196" s="451" t="s">
        <v>2335</v>
      </c>
      <c r="F196" s="451" t="s">
        <v>200</v>
      </c>
      <c r="G196" s="452" t="s">
        <v>2100</v>
      </c>
      <c r="H196" s="451" t="s">
        <v>2285</v>
      </c>
      <c r="I196" s="451" t="s">
        <v>1961</v>
      </c>
      <c r="J196" s="451">
        <v>1837568</v>
      </c>
      <c r="K196" s="451"/>
      <c r="L196" s="451"/>
      <c r="M196" s="454">
        <v>0</v>
      </c>
      <c r="N196" s="454">
        <v>0</v>
      </c>
      <c r="O196" s="454">
        <v>0</v>
      </c>
      <c r="P196" s="454">
        <v>0</v>
      </c>
      <c r="Q196" s="454">
        <v>0</v>
      </c>
      <c r="R196" s="454">
        <v>0</v>
      </c>
      <c r="S196" s="454"/>
      <c r="T196" s="454"/>
      <c r="U196" s="454"/>
      <c r="V196" s="454"/>
      <c r="W196" s="454"/>
      <c r="X196" s="454"/>
      <c r="Y196" s="454">
        <f t="shared" si="7"/>
        <v>0</v>
      </c>
      <c r="Z196" s="454">
        <v>1000</v>
      </c>
      <c r="AA196" s="451">
        <v>1</v>
      </c>
      <c r="AB196" s="587">
        <v>44207</v>
      </c>
      <c r="AC196" s="587">
        <v>44249</v>
      </c>
      <c r="AD196" s="454"/>
      <c r="AE196" s="451"/>
      <c r="AF196" s="587"/>
      <c r="AG196" s="587"/>
      <c r="AH196" s="454"/>
      <c r="AI196" s="451"/>
      <c r="AJ196" s="587"/>
      <c r="AK196" s="587"/>
      <c r="AL196" s="454"/>
      <c r="AM196" s="451"/>
      <c r="AN196" s="587"/>
      <c r="AO196" s="587"/>
      <c r="AP196" s="454"/>
      <c r="AQ196" s="451"/>
      <c r="AR196" s="588"/>
      <c r="AS196" s="588"/>
      <c r="AT196" s="154">
        <f t="shared" si="8"/>
        <v>1000</v>
      </c>
      <c r="AU196" s="461">
        <f t="shared" si="6"/>
        <v>1000</v>
      </c>
    </row>
    <row r="197" spans="2:47" s="148" customFormat="1" ht="22.5" x14ac:dyDescent="0.25">
      <c r="B197" s="149">
        <v>182</v>
      </c>
      <c r="C197" s="149" t="s">
        <v>38</v>
      </c>
      <c r="D197" s="450">
        <v>40003010</v>
      </c>
      <c r="E197" s="451" t="s">
        <v>2336</v>
      </c>
      <c r="F197" s="451" t="s">
        <v>200</v>
      </c>
      <c r="G197" s="452" t="s">
        <v>2100</v>
      </c>
      <c r="H197" s="451" t="s">
        <v>2111</v>
      </c>
      <c r="I197" s="451" t="s">
        <v>1958</v>
      </c>
      <c r="J197" s="451">
        <v>44145</v>
      </c>
      <c r="K197" s="451"/>
      <c r="L197" s="451"/>
      <c r="M197" s="454">
        <v>0</v>
      </c>
      <c r="N197" s="454">
        <v>0</v>
      </c>
      <c r="O197" s="454">
        <v>0</v>
      </c>
      <c r="P197" s="454">
        <v>0</v>
      </c>
      <c r="Q197" s="454">
        <v>0</v>
      </c>
      <c r="R197" s="454">
        <v>0</v>
      </c>
      <c r="S197" s="454"/>
      <c r="T197" s="454"/>
      <c r="U197" s="454"/>
      <c r="V197" s="454"/>
      <c r="W197" s="454"/>
      <c r="X197" s="454"/>
      <c r="Y197" s="454">
        <f t="shared" si="7"/>
        <v>0</v>
      </c>
      <c r="Z197" s="454">
        <v>1000</v>
      </c>
      <c r="AA197" s="451">
        <v>8</v>
      </c>
      <c r="AB197" s="587">
        <v>44252</v>
      </c>
      <c r="AC197" s="587">
        <v>44292</v>
      </c>
      <c r="AD197" s="454"/>
      <c r="AE197" s="451"/>
      <c r="AF197" s="587"/>
      <c r="AG197" s="587"/>
      <c r="AH197" s="454"/>
      <c r="AI197" s="451"/>
      <c r="AJ197" s="587"/>
      <c r="AK197" s="587"/>
      <c r="AL197" s="454"/>
      <c r="AM197" s="451"/>
      <c r="AN197" s="587"/>
      <c r="AO197" s="587"/>
      <c r="AP197" s="454"/>
      <c r="AQ197" s="451"/>
      <c r="AR197" s="588"/>
      <c r="AS197" s="588"/>
      <c r="AT197" s="154">
        <f t="shared" si="8"/>
        <v>1000</v>
      </c>
      <c r="AU197" s="461">
        <f t="shared" si="6"/>
        <v>1000</v>
      </c>
    </row>
    <row r="198" spans="2:47" s="148" customFormat="1" ht="22.5" x14ac:dyDescent="0.25">
      <c r="B198" s="149">
        <v>183</v>
      </c>
      <c r="C198" s="149" t="s">
        <v>38</v>
      </c>
      <c r="D198" s="450">
        <v>40003085</v>
      </c>
      <c r="E198" s="451" t="s">
        <v>2337</v>
      </c>
      <c r="F198" s="451" t="s">
        <v>200</v>
      </c>
      <c r="G198" s="452" t="s">
        <v>2100</v>
      </c>
      <c r="H198" s="451" t="s">
        <v>2312</v>
      </c>
      <c r="I198" s="451" t="s">
        <v>1958</v>
      </c>
      <c r="J198" s="451">
        <v>942085</v>
      </c>
      <c r="K198" s="451"/>
      <c r="L198" s="451"/>
      <c r="M198" s="454">
        <v>124945.4</v>
      </c>
      <c r="N198" s="454">
        <v>115300.217</v>
      </c>
      <c r="O198" s="454">
        <v>310804.24699999997</v>
      </c>
      <c r="P198" s="454">
        <v>136284.038</v>
      </c>
      <c r="Q198" s="454">
        <v>231163.59100000001</v>
      </c>
      <c r="R198" s="454">
        <v>124112.39300000001</v>
      </c>
      <c r="S198" s="454"/>
      <c r="T198" s="454"/>
      <c r="U198" s="454"/>
      <c r="V198" s="454"/>
      <c r="W198" s="454"/>
      <c r="X198" s="454"/>
      <c r="Y198" s="454">
        <f t="shared" si="7"/>
        <v>1042609.8860000001</v>
      </c>
      <c r="Z198" s="454">
        <v>1000</v>
      </c>
      <c r="AA198" s="451">
        <v>1</v>
      </c>
      <c r="AB198" s="587">
        <v>44207</v>
      </c>
      <c r="AC198" s="587">
        <v>44249</v>
      </c>
      <c r="AD198" s="454">
        <v>550000</v>
      </c>
      <c r="AE198" s="451">
        <v>4</v>
      </c>
      <c r="AF198" s="587">
        <v>44221</v>
      </c>
      <c r="AG198" s="587">
        <v>44280</v>
      </c>
      <c r="AH198" s="454">
        <v>150000</v>
      </c>
      <c r="AI198" s="451">
        <v>10</v>
      </c>
      <c r="AJ198" s="587">
        <v>44286</v>
      </c>
      <c r="AK198" s="587">
        <v>44306</v>
      </c>
      <c r="AL198" s="454">
        <v>350000</v>
      </c>
      <c r="AM198" s="451">
        <v>18</v>
      </c>
      <c r="AN198" s="587">
        <v>44327</v>
      </c>
      <c r="AO198" s="587">
        <v>44341</v>
      </c>
      <c r="AP198" s="454">
        <v>0</v>
      </c>
      <c r="AQ198" s="451">
        <v>0</v>
      </c>
      <c r="AR198" s="588"/>
      <c r="AS198" s="588"/>
      <c r="AT198" s="154">
        <f t="shared" si="8"/>
        <v>1051000</v>
      </c>
      <c r="AU198" s="461">
        <f t="shared" si="6"/>
        <v>8390.1139999999432</v>
      </c>
    </row>
    <row r="199" spans="2:47" s="148" customFormat="1" ht="22.5" x14ac:dyDescent="0.25">
      <c r="B199" s="149">
        <v>184</v>
      </c>
      <c r="C199" s="149" t="s">
        <v>38</v>
      </c>
      <c r="D199" s="450">
        <v>40003255</v>
      </c>
      <c r="E199" s="451" t="s">
        <v>2338</v>
      </c>
      <c r="F199" s="451" t="s">
        <v>200</v>
      </c>
      <c r="G199" s="452" t="s">
        <v>2100</v>
      </c>
      <c r="H199" s="451" t="s">
        <v>2147</v>
      </c>
      <c r="I199" s="451" t="s">
        <v>1958</v>
      </c>
      <c r="J199" s="451">
        <v>82572</v>
      </c>
      <c r="K199" s="451"/>
      <c r="L199" s="451"/>
      <c r="M199" s="454">
        <v>82356.444000000003</v>
      </c>
      <c r="N199" s="454">
        <v>0</v>
      </c>
      <c r="O199" s="454">
        <v>0</v>
      </c>
      <c r="P199" s="454">
        <v>0</v>
      </c>
      <c r="Q199" s="454">
        <v>0</v>
      </c>
      <c r="R199" s="454">
        <v>0</v>
      </c>
      <c r="S199" s="454"/>
      <c r="T199" s="454"/>
      <c r="U199" s="454"/>
      <c r="V199" s="454"/>
      <c r="W199" s="454"/>
      <c r="X199" s="454"/>
      <c r="Y199" s="454">
        <f t="shared" si="7"/>
        <v>82356.444000000003</v>
      </c>
      <c r="Z199" s="454">
        <v>82357</v>
      </c>
      <c r="AA199" s="451">
        <v>4</v>
      </c>
      <c r="AB199" s="587">
        <v>44221</v>
      </c>
      <c r="AC199" s="587">
        <v>44280</v>
      </c>
      <c r="AD199" s="454"/>
      <c r="AE199" s="451"/>
      <c r="AF199" s="587"/>
      <c r="AG199" s="587"/>
      <c r="AH199" s="454"/>
      <c r="AI199" s="451"/>
      <c r="AJ199" s="587"/>
      <c r="AK199" s="587"/>
      <c r="AL199" s="454"/>
      <c r="AM199" s="451"/>
      <c r="AN199" s="587"/>
      <c r="AO199" s="587"/>
      <c r="AP199" s="454"/>
      <c r="AQ199" s="451"/>
      <c r="AR199" s="588"/>
      <c r="AS199" s="588"/>
      <c r="AT199" s="154">
        <f t="shared" si="8"/>
        <v>82357</v>
      </c>
      <c r="AU199" s="461">
        <f t="shared" si="6"/>
        <v>0.55599999999685679</v>
      </c>
    </row>
    <row r="200" spans="2:47" s="148" customFormat="1" ht="22.5" x14ac:dyDescent="0.25">
      <c r="B200" s="149">
        <v>185</v>
      </c>
      <c r="C200" s="149" t="s">
        <v>38</v>
      </c>
      <c r="D200" s="450">
        <v>40003393</v>
      </c>
      <c r="E200" s="451" t="s">
        <v>2339</v>
      </c>
      <c r="F200" s="451" t="s">
        <v>200</v>
      </c>
      <c r="G200" s="452" t="s">
        <v>2100</v>
      </c>
      <c r="H200" s="451" t="s">
        <v>2231</v>
      </c>
      <c r="I200" s="451" t="s">
        <v>1961</v>
      </c>
      <c r="J200" s="451">
        <v>8167</v>
      </c>
      <c r="K200" s="451"/>
      <c r="L200" s="451"/>
      <c r="M200" s="454">
        <v>0</v>
      </c>
      <c r="N200" s="454">
        <v>0</v>
      </c>
      <c r="O200" s="454">
        <v>0</v>
      </c>
      <c r="P200" s="454">
        <v>0</v>
      </c>
      <c r="Q200" s="454">
        <v>0</v>
      </c>
      <c r="R200" s="454">
        <v>0</v>
      </c>
      <c r="S200" s="454"/>
      <c r="T200" s="454"/>
      <c r="U200" s="454"/>
      <c r="V200" s="454"/>
      <c r="W200" s="454"/>
      <c r="X200" s="454"/>
      <c r="Y200" s="454">
        <f t="shared" si="7"/>
        <v>0</v>
      </c>
      <c r="Z200" s="454">
        <v>1000</v>
      </c>
      <c r="AA200" s="451">
        <v>1</v>
      </c>
      <c r="AB200" s="587">
        <v>44207</v>
      </c>
      <c r="AC200" s="587">
        <v>44249</v>
      </c>
      <c r="AD200" s="454"/>
      <c r="AE200" s="451"/>
      <c r="AF200" s="587"/>
      <c r="AG200" s="587"/>
      <c r="AH200" s="454"/>
      <c r="AI200" s="451"/>
      <c r="AJ200" s="587"/>
      <c r="AK200" s="587"/>
      <c r="AL200" s="454"/>
      <c r="AM200" s="451"/>
      <c r="AN200" s="587"/>
      <c r="AO200" s="587"/>
      <c r="AP200" s="454"/>
      <c r="AQ200" s="451"/>
      <c r="AR200" s="588"/>
      <c r="AS200" s="588"/>
      <c r="AT200" s="154">
        <f t="shared" si="8"/>
        <v>1000</v>
      </c>
      <c r="AU200" s="461">
        <f t="shared" si="6"/>
        <v>1000</v>
      </c>
    </row>
    <row r="201" spans="2:47" s="148" customFormat="1" ht="22.5" x14ac:dyDescent="0.25">
      <c r="B201" s="149">
        <v>186</v>
      </c>
      <c r="C201" s="149" t="s">
        <v>38</v>
      </c>
      <c r="D201" s="450">
        <v>40003612</v>
      </c>
      <c r="E201" s="451" t="s">
        <v>2340</v>
      </c>
      <c r="F201" s="451" t="s">
        <v>200</v>
      </c>
      <c r="G201" s="452" t="s">
        <v>2100</v>
      </c>
      <c r="H201" s="451" t="s">
        <v>2147</v>
      </c>
      <c r="I201" s="451" t="s">
        <v>1958</v>
      </c>
      <c r="J201" s="451">
        <v>328229</v>
      </c>
      <c r="K201" s="451"/>
      <c r="L201" s="451"/>
      <c r="M201" s="454">
        <v>0</v>
      </c>
      <c r="N201" s="454">
        <v>0</v>
      </c>
      <c r="O201" s="454">
        <v>0</v>
      </c>
      <c r="P201" s="454">
        <v>0</v>
      </c>
      <c r="Q201" s="454">
        <v>0</v>
      </c>
      <c r="R201" s="454">
        <v>0</v>
      </c>
      <c r="S201" s="454"/>
      <c r="T201" s="454"/>
      <c r="U201" s="454"/>
      <c r="V201" s="454"/>
      <c r="W201" s="454"/>
      <c r="X201" s="454"/>
      <c r="Y201" s="454">
        <f t="shared" si="7"/>
        <v>0</v>
      </c>
      <c r="Z201" s="454">
        <v>1000</v>
      </c>
      <c r="AA201" s="451">
        <v>1</v>
      </c>
      <c r="AB201" s="587">
        <v>44207</v>
      </c>
      <c r="AC201" s="587">
        <v>44249</v>
      </c>
      <c r="AD201" s="454"/>
      <c r="AE201" s="451"/>
      <c r="AF201" s="587"/>
      <c r="AG201" s="587"/>
      <c r="AH201" s="454"/>
      <c r="AI201" s="451"/>
      <c r="AJ201" s="587"/>
      <c r="AK201" s="587"/>
      <c r="AL201" s="454"/>
      <c r="AM201" s="451"/>
      <c r="AN201" s="587"/>
      <c r="AO201" s="587"/>
      <c r="AP201" s="454"/>
      <c r="AQ201" s="451"/>
      <c r="AR201" s="588"/>
      <c r="AS201" s="588"/>
      <c r="AT201" s="154">
        <f t="shared" si="8"/>
        <v>1000</v>
      </c>
      <c r="AU201" s="461">
        <f t="shared" si="6"/>
        <v>1000</v>
      </c>
    </row>
    <row r="202" spans="2:47" s="148" customFormat="1" ht="22.5" x14ac:dyDescent="0.25">
      <c r="B202" s="149">
        <v>187</v>
      </c>
      <c r="C202" s="149" t="s">
        <v>38</v>
      </c>
      <c r="D202" s="450">
        <v>40003652</v>
      </c>
      <c r="E202" s="451" t="s">
        <v>2341</v>
      </c>
      <c r="F202" s="451" t="s">
        <v>200</v>
      </c>
      <c r="G202" s="452" t="s">
        <v>2100</v>
      </c>
      <c r="H202" s="451" t="s">
        <v>2128</v>
      </c>
      <c r="I202" s="451" t="s">
        <v>1958</v>
      </c>
      <c r="J202" s="451">
        <v>1056932</v>
      </c>
      <c r="K202" s="451"/>
      <c r="L202" s="451"/>
      <c r="M202" s="454">
        <v>0</v>
      </c>
      <c r="N202" s="454">
        <v>0</v>
      </c>
      <c r="O202" s="454">
        <v>0</v>
      </c>
      <c r="P202" s="454">
        <v>0</v>
      </c>
      <c r="Q202" s="454">
        <v>0</v>
      </c>
      <c r="R202" s="454">
        <v>0</v>
      </c>
      <c r="S202" s="454"/>
      <c r="T202" s="454"/>
      <c r="U202" s="454"/>
      <c r="V202" s="454"/>
      <c r="W202" s="454"/>
      <c r="X202" s="454"/>
      <c r="Y202" s="454">
        <f t="shared" si="7"/>
        <v>0</v>
      </c>
      <c r="Z202" s="454">
        <v>1000</v>
      </c>
      <c r="AA202" s="451">
        <v>1</v>
      </c>
      <c r="AB202" s="587">
        <v>44207</v>
      </c>
      <c r="AC202" s="587">
        <v>44249</v>
      </c>
      <c r="AD202" s="454"/>
      <c r="AE202" s="451"/>
      <c r="AF202" s="587"/>
      <c r="AG202" s="587"/>
      <c r="AH202" s="454"/>
      <c r="AI202" s="451"/>
      <c r="AJ202" s="587"/>
      <c r="AK202" s="587"/>
      <c r="AL202" s="454"/>
      <c r="AM202" s="451"/>
      <c r="AN202" s="587"/>
      <c r="AO202" s="587"/>
      <c r="AP202" s="454"/>
      <c r="AQ202" s="451"/>
      <c r="AR202" s="588"/>
      <c r="AS202" s="588"/>
      <c r="AT202" s="154">
        <f t="shared" si="8"/>
        <v>1000</v>
      </c>
      <c r="AU202" s="461">
        <f t="shared" si="6"/>
        <v>1000</v>
      </c>
    </row>
    <row r="203" spans="2:47" s="148" customFormat="1" ht="22.5" x14ac:dyDescent="0.25">
      <c r="B203" s="149">
        <v>188</v>
      </c>
      <c r="C203" s="149" t="s">
        <v>38</v>
      </c>
      <c r="D203" s="450">
        <v>40003725</v>
      </c>
      <c r="E203" s="451" t="s">
        <v>2342</v>
      </c>
      <c r="F203" s="451" t="s">
        <v>200</v>
      </c>
      <c r="G203" s="452" t="s">
        <v>2100</v>
      </c>
      <c r="H203" s="451" t="s">
        <v>2200</v>
      </c>
      <c r="I203" s="451" t="s">
        <v>1958</v>
      </c>
      <c r="J203" s="451">
        <v>2859559</v>
      </c>
      <c r="K203" s="451"/>
      <c r="L203" s="451"/>
      <c r="M203" s="454">
        <v>123435.40399999999</v>
      </c>
      <c r="N203" s="454">
        <v>115641.553</v>
      </c>
      <c r="O203" s="454">
        <v>0</v>
      </c>
      <c r="P203" s="454">
        <v>96708.182000000001</v>
      </c>
      <c r="Q203" s="454">
        <v>117757.88400000001</v>
      </c>
      <c r="R203" s="454">
        <v>0</v>
      </c>
      <c r="S203" s="454"/>
      <c r="T203" s="454"/>
      <c r="U203" s="454"/>
      <c r="V203" s="454"/>
      <c r="W203" s="454"/>
      <c r="X203" s="454"/>
      <c r="Y203" s="454">
        <f t="shared" si="7"/>
        <v>453543.02299999999</v>
      </c>
      <c r="Z203" s="454">
        <v>400000</v>
      </c>
      <c r="AA203" s="451">
        <v>4</v>
      </c>
      <c r="AB203" s="587">
        <v>44221</v>
      </c>
      <c r="AC203" s="587">
        <v>44280</v>
      </c>
      <c r="AD203" s="454">
        <v>3000</v>
      </c>
      <c r="AE203" s="451">
        <v>11</v>
      </c>
      <c r="AF203" s="587">
        <v>44299</v>
      </c>
      <c r="AG203" s="587">
        <v>44312</v>
      </c>
      <c r="AH203" s="454">
        <v>250000</v>
      </c>
      <c r="AI203" s="451">
        <v>23</v>
      </c>
      <c r="AJ203" s="587">
        <v>44340</v>
      </c>
      <c r="AK203" s="587">
        <v>44350</v>
      </c>
      <c r="AL203" s="454">
        <v>0</v>
      </c>
      <c r="AM203" s="451">
        <v>0</v>
      </c>
      <c r="AN203" s="587"/>
      <c r="AO203" s="587"/>
      <c r="AP203" s="454">
        <v>0</v>
      </c>
      <c r="AQ203" s="451">
        <v>0</v>
      </c>
      <c r="AR203" s="588"/>
      <c r="AS203" s="588"/>
      <c r="AT203" s="154">
        <f t="shared" si="8"/>
        <v>653000</v>
      </c>
      <c r="AU203" s="461">
        <f t="shared" si="6"/>
        <v>199456.97700000001</v>
      </c>
    </row>
    <row r="204" spans="2:47" s="148" customFormat="1" ht="22.5" x14ac:dyDescent="0.25">
      <c r="B204" s="149">
        <v>189</v>
      </c>
      <c r="C204" s="149" t="s">
        <v>38</v>
      </c>
      <c r="D204" s="450">
        <v>40003910</v>
      </c>
      <c r="E204" s="451" t="s">
        <v>2343</v>
      </c>
      <c r="F204" s="451" t="s">
        <v>200</v>
      </c>
      <c r="G204" s="452" t="s">
        <v>2100</v>
      </c>
      <c r="H204" s="451" t="s">
        <v>2147</v>
      </c>
      <c r="I204" s="451" t="s">
        <v>1958</v>
      </c>
      <c r="J204" s="451">
        <v>1625156</v>
      </c>
      <c r="K204" s="451"/>
      <c r="L204" s="451"/>
      <c r="M204" s="454">
        <v>0</v>
      </c>
      <c r="N204" s="454">
        <v>0</v>
      </c>
      <c r="O204" s="454">
        <v>0</v>
      </c>
      <c r="P204" s="454">
        <v>215187.72</v>
      </c>
      <c r="Q204" s="454">
        <v>326946.65399999998</v>
      </c>
      <c r="R204" s="454">
        <v>420746.37599999999</v>
      </c>
      <c r="S204" s="454"/>
      <c r="T204" s="454"/>
      <c r="U204" s="454"/>
      <c r="V204" s="454"/>
      <c r="W204" s="454"/>
      <c r="X204" s="454"/>
      <c r="Y204" s="454">
        <f t="shared" si="7"/>
        <v>962880.75</v>
      </c>
      <c r="Z204" s="454">
        <v>1000</v>
      </c>
      <c r="AA204" s="451">
        <v>1</v>
      </c>
      <c r="AB204" s="587">
        <v>44207</v>
      </c>
      <c r="AC204" s="587">
        <v>44249</v>
      </c>
      <c r="AD204" s="454">
        <v>500000</v>
      </c>
      <c r="AE204" s="451">
        <v>11</v>
      </c>
      <c r="AF204" s="587">
        <v>44299</v>
      </c>
      <c r="AG204" s="587">
        <v>44312</v>
      </c>
      <c r="AH204" s="454">
        <v>350000</v>
      </c>
      <c r="AI204" s="451">
        <v>18</v>
      </c>
      <c r="AJ204" s="587">
        <v>44327</v>
      </c>
      <c r="AK204" s="587">
        <v>44341</v>
      </c>
      <c r="AL204" s="454">
        <v>0</v>
      </c>
      <c r="AM204" s="451">
        <v>0</v>
      </c>
      <c r="AN204" s="587"/>
      <c r="AO204" s="587"/>
      <c r="AP204" s="454">
        <v>0</v>
      </c>
      <c r="AQ204" s="451">
        <v>0</v>
      </c>
      <c r="AR204" s="588"/>
      <c r="AS204" s="588"/>
      <c r="AT204" s="154">
        <f t="shared" si="8"/>
        <v>851000</v>
      </c>
      <c r="AU204" s="461">
        <f t="shared" si="6"/>
        <v>-111880.75</v>
      </c>
    </row>
    <row r="205" spans="2:47" s="148" customFormat="1" ht="22.5" x14ac:dyDescent="0.25">
      <c r="B205" s="149">
        <v>190</v>
      </c>
      <c r="C205" s="149" t="s">
        <v>38</v>
      </c>
      <c r="D205" s="450">
        <v>40004435</v>
      </c>
      <c r="E205" s="451" t="s">
        <v>2344</v>
      </c>
      <c r="F205" s="451" t="s">
        <v>200</v>
      </c>
      <c r="G205" s="452" t="s">
        <v>2100</v>
      </c>
      <c r="H205" s="451" t="s">
        <v>2141</v>
      </c>
      <c r="I205" s="451" t="s">
        <v>1958</v>
      </c>
      <c r="J205" s="451">
        <v>2309952</v>
      </c>
      <c r="K205" s="451"/>
      <c r="L205" s="451"/>
      <c r="M205" s="454">
        <v>0</v>
      </c>
      <c r="N205" s="454">
        <v>0</v>
      </c>
      <c r="O205" s="454">
        <v>0</v>
      </c>
      <c r="P205" s="454">
        <v>0</v>
      </c>
      <c r="Q205" s="454">
        <v>0</v>
      </c>
      <c r="R205" s="454">
        <v>0</v>
      </c>
      <c r="S205" s="454"/>
      <c r="T205" s="454"/>
      <c r="U205" s="454"/>
      <c r="V205" s="454"/>
      <c r="W205" s="454"/>
      <c r="X205" s="454"/>
      <c r="Y205" s="454">
        <f t="shared" si="7"/>
        <v>0</v>
      </c>
      <c r="Z205" s="454">
        <v>1000</v>
      </c>
      <c r="AA205" s="451">
        <v>1</v>
      </c>
      <c r="AB205" s="587">
        <v>44207</v>
      </c>
      <c r="AC205" s="587">
        <v>44249</v>
      </c>
      <c r="AD205" s="454"/>
      <c r="AE205" s="451"/>
      <c r="AF205" s="587"/>
      <c r="AG205" s="587"/>
      <c r="AH205" s="454"/>
      <c r="AI205" s="451"/>
      <c r="AJ205" s="587"/>
      <c r="AK205" s="587"/>
      <c r="AL205" s="454"/>
      <c r="AM205" s="451"/>
      <c r="AN205" s="587"/>
      <c r="AO205" s="587"/>
      <c r="AP205" s="454"/>
      <c r="AQ205" s="451"/>
      <c r="AR205" s="588"/>
      <c r="AS205" s="588"/>
      <c r="AT205" s="154">
        <f t="shared" si="8"/>
        <v>1000</v>
      </c>
      <c r="AU205" s="461">
        <f t="shared" si="6"/>
        <v>1000</v>
      </c>
    </row>
    <row r="206" spans="2:47" s="148" customFormat="1" ht="22.5" x14ac:dyDescent="0.25">
      <c r="B206" s="149">
        <v>191</v>
      </c>
      <c r="C206" s="149" t="s">
        <v>38</v>
      </c>
      <c r="D206" s="450">
        <v>40004445</v>
      </c>
      <c r="E206" s="451" t="s">
        <v>2345</v>
      </c>
      <c r="F206" s="451" t="s">
        <v>200</v>
      </c>
      <c r="G206" s="452" t="s">
        <v>2100</v>
      </c>
      <c r="H206" s="451" t="s">
        <v>2170</v>
      </c>
      <c r="I206" s="451" t="s">
        <v>1958</v>
      </c>
      <c r="J206" s="451">
        <v>917828</v>
      </c>
      <c r="K206" s="451"/>
      <c r="L206" s="451"/>
      <c r="M206" s="454">
        <v>0</v>
      </c>
      <c r="N206" s="454">
        <v>0</v>
      </c>
      <c r="O206" s="454">
        <v>0</v>
      </c>
      <c r="P206" s="454">
        <v>0</v>
      </c>
      <c r="Q206" s="454">
        <v>0</v>
      </c>
      <c r="R206" s="454">
        <v>0</v>
      </c>
      <c r="S206" s="454"/>
      <c r="T206" s="454"/>
      <c r="U206" s="454"/>
      <c r="V206" s="454"/>
      <c r="W206" s="454"/>
      <c r="X206" s="454"/>
      <c r="Y206" s="454">
        <f t="shared" si="7"/>
        <v>0</v>
      </c>
      <c r="Z206" s="454">
        <v>1000</v>
      </c>
      <c r="AA206" s="451">
        <v>1</v>
      </c>
      <c r="AB206" s="587">
        <v>44207</v>
      </c>
      <c r="AC206" s="587">
        <v>44249</v>
      </c>
      <c r="AD206" s="454"/>
      <c r="AE206" s="451"/>
      <c r="AF206" s="587"/>
      <c r="AG206" s="587"/>
      <c r="AH206" s="454"/>
      <c r="AI206" s="451"/>
      <c r="AJ206" s="587"/>
      <c r="AK206" s="587"/>
      <c r="AL206" s="454"/>
      <c r="AM206" s="451"/>
      <c r="AN206" s="587"/>
      <c r="AO206" s="587"/>
      <c r="AP206" s="454"/>
      <c r="AQ206" s="451"/>
      <c r="AR206" s="588"/>
      <c r="AS206" s="588"/>
      <c r="AT206" s="154">
        <f t="shared" si="8"/>
        <v>1000</v>
      </c>
      <c r="AU206" s="461">
        <f t="shared" si="6"/>
        <v>1000</v>
      </c>
    </row>
    <row r="207" spans="2:47" s="148" customFormat="1" ht="22.5" x14ac:dyDescent="0.25">
      <c r="B207" s="149">
        <v>192</v>
      </c>
      <c r="C207" s="149" t="s">
        <v>38</v>
      </c>
      <c r="D207" s="450">
        <v>40004582</v>
      </c>
      <c r="E207" s="451" t="s">
        <v>2346</v>
      </c>
      <c r="F207" s="451" t="s">
        <v>200</v>
      </c>
      <c r="G207" s="452" t="s">
        <v>2100</v>
      </c>
      <c r="H207" s="451" t="s">
        <v>2200</v>
      </c>
      <c r="I207" s="451" t="s">
        <v>1958</v>
      </c>
      <c r="J207" s="451">
        <v>758447</v>
      </c>
      <c r="K207" s="451"/>
      <c r="L207" s="451"/>
      <c r="M207" s="454">
        <v>0</v>
      </c>
      <c r="N207" s="454">
        <v>0</v>
      </c>
      <c r="O207" s="454">
        <v>0</v>
      </c>
      <c r="P207" s="454">
        <v>0</v>
      </c>
      <c r="Q207" s="454">
        <v>0</v>
      </c>
      <c r="R207" s="454">
        <v>0</v>
      </c>
      <c r="S207" s="454"/>
      <c r="T207" s="454"/>
      <c r="U207" s="454"/>
      <c r="V207" s="454"/>
      <c r="W207" s="454"/>
      <c r="X207" s="454"/>
      <c r="Y207" s="454">
        <f t="shared" si="7"/>
        <v>0</v>
      </c>
      <c r="Z207" s="454">
        <v>1000</v>
      </c>
      <c r="AA207" s="451">
        <v>1</v>
      </c>
      <c r="AB207" s="587">
        <v>44207</v>
      </c>
      <c r="AC207" s="587">
        <v>44249</v>
      </c>
      <c r="AD207" s="454"/>
      <c r="AE207" s="451"/>
      <c r="AF207" s="587"/>
      <c r="AG207" s="587"/>
      <c r="AH207" s="454"/>
      <c r="AI207" s="451"/>
      <c r="AJ207" s="587"/>
      <c r="AK207" s="587"/>
      <c r="AL207" s="454"/>
      <c r="AM207" s="451"/>
      <c r="AN207" s="587"/>
      <c r="AO207" s="587"/>
      <c r="AP207" s="454"/>
      <c r="AQ207" s="451"/>
      <c r="AR207" s="588"/>
      <c r="AS207" s="588"/>
      <c r="AT207" s="154">
        <f t="shared" si="8"/>
        <v>1000</v>
      </c>
      <c r="AU207" s="461">
        <f t="shared" si="6"/>
        <v>1000</v>
      </c>
    </row>
    <row r="208" spans="2:47" s="148" customFormat="1" ht="22.5" x14ac:dyDescent="0.25">
      <c r="B208" s="149">
        <v>193</v>
      </c>
      <c r="C208" s="149" t="s">
        <v>38</v>
      </c>
      <c r="D208" s="450">
        <v>40004985</v>
      </c>
      <c r="E208" s="451" t="s">
        <v>2347</v>
      </c>
      <c r="F208" s="451" t="s">
        <v>200</v>
      </c>
      <c r="G208" s="452" t="s">
        <v>2100</v>
      </c>
      <c r="H208" s="451" t="s">
        <v>2130</v>
      </c>
      <c r="I208" s="451" t="s">
        <v>1958</v>
      </c>
      <c r="J208" s="451">
        <v>768579</v>
      </c>
      <c r="K208" s="451"/>
      <c r="L208" s="451"/>
      <c r="M208" s="454">
        <v>0</v>
      </c>
      <c r="N208" s="454">
        <v>0</v>
      </c>
      <c r="O208" s="454">
        <v>0</v>
      </c>
      <c r="P208" s="454">
        <v>0</v>
      </c>
      <c r="Q208" s="454">
        <v>0</v>
      </c>
      <c r="R208" s="454">
        <v>0</v>
      </c>
      <c r="S208" s="454"/>
      <c r="T208" s="454"/>
      <c r="U208" s="454"/>
      <c r="V208" s="454"/>
      <c r="W208" s="454"/>
      <c r="X208" s="454"/>
      <c r="Y208" s="454">
        <f t="shared" si="7"/>
        <v>0</v>
      </c>
      <c r="Z208" s="454">
        <v>1000</v>
      </c>
      <c r="AA208" s="451">
        <v>1</v>
      </c>
      <c r="AB208" s="587">
        <v>44207</v>
      </c>
      <c r="AC208" s="587">
        <v>44249</v>
      </c>
      <c r="AD208" s="454"/>
      <c r="AE208" s="451"/>
      <c r="AF208" s="587"/>
      <c r="AG208" s="587"/>
      <c r="AH208" s="454"/>
      <c r="AI208" s="451"/>
      <c r="AJ208" s="587"/>
      <c r="AK208" s="587"/>
      <c r="AL208" s="454"/>
      <c r="AM208" s="451"/>
      <c r="AN208" s="587"/>
      <c r="AO208" s="587"/>
      <c r="AP208" s="454"/>
      <c r="AQ208" s="451"/>
      <c r="AR208" s="588"/>
      <c r="AS208" s="588"/>
      <c r="AT208" s="154">
        <f t="shared" si="8"/>
        <v>1000</v>
      </c>
      <c r="AU208" s="461">
        <f t="shared" ref="AU208:AU271" si="9">+AT208-Y208</f>
        <v>1000</v>
      </c>
    </row>
    <row r="209" spans="1:47" s="148" customFormat="1" ht="22.5" x14ac:dyDescent="0.25">
      <c r="B209" s="149">
        <v>194</v>
      </c>
      <c r="C209" s="149" t="s">
        <v>38</v>
      </c>
      <c r="D209" s="450">
        <v>40005925</v>
      </c>
      <c r="E209" s="451" t="s">
        <v>2348</v>
      </c>
      <c r="F209" s="451" t="s">
        <v>200</v>
      </c>
      <c r="G209" s="452" t="s">
        <v>2100</v>
      </c>
      <c r="H209" s="451" t="s">
        <v>2123</v>
      </c>
      <c r="I209" s="451" t="s">
        <v>1958</v>
      </c>
      <c r="J209" s="451">
        <v>767402</v>
      </c>
      <c r="K209" s="451"/>
      <c r="L209" s="451"/>
      <c r="M209" s="454">
        <v>0</v>
      </c>
      <c r="N209" s="454">
        <v>0</v>
      </c>
      <c r="O209" s="454">
        <v>0</v>
      </c>
      <c r="P209" s="454">
        <v>0</v>
      </c>
      <c r="Q209" s="454">
        <v>83005.368000000002</v>
      </c>
      <c r="R209" s="454">
        <v>62802.879000000001</v>
      </c>
      <c r="S209" s="454"/>
      <c r="T209" s="454"/>
      <c r="U209" s="454"/>
      <c r="V209" s="454"/>
      <c r="W209" s="454"/>
      <c r="X209" s="454"/>
      <c r="Y209" s="454">
        <f t="shared" ref="Y209:Y272" si="10">SUM(M209:X209)</f>
        <v>145808.247</v>
      </c>
      <c r="Z209" s="454">
        <v>1000</v>
      </c>
      <c r="AA209" s="451">
        <v>1</v>
      </c>
      <c r="AB209" s="587">
        <v>44207</v>
      </c>
      <c r="AC209" s="587">
        <v>44249</v>
      </c>
      <c r="AD209" s="454">
        <v>200000</v>
      </c>
      <c r="AE209" s="451">
        <v>23</v>
      </c>
      <c r="AF209" s="587">
        <v>44340</v>
      </c>
      <c r="AG209" s="587">
        <v>44350</v>
      </c>
      <c r="AH209" s="454"/>
      <c r="AI209" s="451"/>
      <c r="AJ209" s="587"/>
      <c r="AK209" s="587"/>
      <c r="AL209" s="454"/>
      <c r="AM209" s="451"/>
      <c r="AN209" s="587"/>
      <c r="AO209" s="587"/>
      <c r="AP209" s="454"/>
      <c r="AQ209" s="451"/>
      <c r="AR209" s="588"/>
      <c r="AS209" s="588"/>
      <c r="AT209" s="154">
        <f t="shared" ref="AT209:AT272" si="11">+Z209+AD209+AH209+AL209+AP209</f>
        <v>201000</v>
      </c>
      <c r="AU209" s="461">
        <f t="shared" si="9"/>
        <v>55191.752999999997</v>
      </c>
    </row>
    <row r="210" spans="1:47" s="148" customFormat="1" ht="22.5" x14ac:dyDescent="0.25">
      <c r="B210" s="149">
        <v>195</v>
      </c>
      <c r="C210" s="149" t="s">
        <v>38</v>
      </c>
      <c r="D210" s="450">
        <v>40006131</v>
      </c>
      <c r="E210" s="451" t="s">
        <v>2349</v>
      </c>
      <c r="F210" s="451" t="s">
        <v>200</v>
      </c>
      <c r="G210" s="452" t="s">
        <v>2100</v>
      </c>
      <c r="H210" s="451" t="s">
        <v>2270</v>
      </c>
      <c r="I210" s="451" t="s">
        <v>1958</v>
      </c>
      <c r="J210" s="451">
        <v>828577</v>
      </c>
      <c r="K210" s="451"/>
      <c r="L210" s="451"/>
      <c r="M210" s="454">
        <v>385133.10200000001</v>
      </c>
      <c r="N210" s="454">
        <v>1399.9</v>
      </c>
      <c r="O210" s="454">
        <v>291624.88799999998</v>
      </c>
      <c r="P210" s="454">
        <v>32579.969000000001</v>
      </c>
      <c r="Q210" s="454">
        <v>110400.95</v>
      </c>
      <c r="R210" s="454">
        <v>0</v>
      </c>
      <c r="S210" s="454"/>
      <c r="T210" s="454"/>
      <c r="U210" s="454"/>
      <c r="V210" s="454"/>
      <c r="W210" s="454"/>
      <c r="X210" s="454"/>
      <c r="Y210" s="454">
        <f t="shared" si="10"/>
        <v>821138.80900000001</v>
      </c>
      <c r="Z210" s="454">
        <v>702800</v>
      </c>
      <c r="AA210" s="451">
        <v>4</v>
      </c>
      <c r="AB210" s="587">
        <v>44221</v>
      </c>
      <c r="AC210" s="587">
        <v>44280</v>
      </c>
      <c r="AD210" s="454">
        <v>125777</v>
      </c>
      <c r="AE210" s="451">
        <v>14</v>
      </c>
      <c r="AF210" s="587">
        <v>44313</v>
      </c>
      <c r="AG210" s="587">
        <v>44322</v>
      </c>
      <c r="AH210" s="454"/>
      <c r="AI210" s="451"/>
      <c r="AJ210" s="587"/>
      <c r="AK210" s="587"/>
      <c r="AL210" s="454"/>
      <c r="AM210" s="451"/>
      <c r="AN210" s="587"/>
      <c r="AO210" s="587"/>
      <c r="AP210" s="454"/>
      <c r="AQ210" s="451"/>
      <c r="AR210" s="588"/>
      <c r="AS210" s="588"/>
      <c r="AT210" s="154">
        <f t="shared" si="11"/>
        <v>828577</v>
      </c>
      <c r="AU210" s="461">
        <f t="shared" si="9"/>
        <v>7438.1909999999916</v>
      </c>
    </row>
    <row r="211" spans="1:47" s="148" customFormat="1" ht="22.5" x14ac:dyDescent="0.25">
      <c r="B211" s="149">
        <v>196</v>
      </c>
      <c r="C211" s="149" t="s">
        <v>38</v>
      </c>
      <c r="D211" s="450">
        <v>40006186</v>
      </c>
      <c r="E211" s="451" t="s">
        <v>2350</v>
      </c>
      <c r="F211" s="451" t="s">
        <v>200</v>
      </c>
      <c r="G211" s="452" t="s">
        <v>2100</v>
      </c>
      <c r="H211" s="451" t="s">
        <v>2231</v>
      </c>
      <c r="I211" s="451" t="s">
        <v>1958</v>
      </c>
      <c r="J211" s="451">
        <v>3207300</v>
      </c>
      <c r="K211" s="451"/>
      <c r="L211" s="451"/>
      <c r="M211" s="454">
        <v>251656.82500000001</v>
      </c>
      <c r="N211" s="454">
        <v>249178.304</v>
      </c>
      <c r="O211" s="454">
        <v>1650</v>
      </c>
      <c r="P211" s="454">
        <v>392619.83399999997</v>
      </c>
      <c r="Q211" s="454">
        <v>306891.41399999999</v>
      </c>
      <c r="R211" s="454">
        <v>251022.58600000001</v>
      </c>
      <c r="S211" s="454"/>
      <c r="T211" s="454"/>
      <c r="U211" s="454"/>
      <c r="V211" s="454"/>
      <c r="W211" s="454"/>
      <c r="X211" s="454"/>
      <c r="Y211" s="454">
        <f t="shared" si="10"/>
        <v>1453018.963</v>
      </c>
      <c r="Z211" s="454">
        <v>500000</v>
      </c>
      <c r="AA211" s="451">
        <v>4</v>
      </c>
      <c r="AB211" s="587">
        <v>44221</v>
      </c>
      <c r="AC211" s="587">
        <v>44280</v>
      </c>
      <c r="AD211" s="454">
        <v>6600</v>
      </c>
      <c r="AE211" s="451">
        <v>8</v>
      </c>
      <c r="AF211" s="587">
        <v>44252</v>
      </c>
      <c r="AG211" s="587">
        <v>44292</v>
      </c>
      <c r="AH211" s="454">
        <v>250000</v>
      </c>
      <c r="AI211" s="451">
        <v>10</v>
      </c>
      <c r="AJ211" s="587">
        <v>44286</v>
      </c>
      <c r="AK211" s="587">
        <v>44306</v>
      </c>
      <c r="AL211" s="454">
        <v>706600</v>
      </c>
      <c r="AM211" s="451">
        <v>11</v>
      </c>
      <c r="AN211" s="587">
        <v>44299</v>
      </c>
      <c r="AO211" s="587">
        <v>44312</v>
      </c>
      <c r="AP211" s="454">
        <v>0</v>
      </c>
      <c r="AQ211" s="451">
        <v>0</v>
      </c>
      <c r="AR211" s="588"/>
      <c r="AS211" s="588"/>
      <c r="AT211" s="154">
        <f t="shared" si="11"/>
        <v>1463200</v>
      </c>
      <c r="AU211" s="461">
        <f t="shared" si="9"/>
        <v>10181.037000000011</v>
      </c>
    </row>
    <row r="212" spans="1:47" s="148" customFormat="1" ht="22.5" x14ac:dyDescent="0.25">
      <c r="B212" s="149">
        <v>197</v>
      </c>
      <c r="C212" s="149" t="s">
        <v>38</v>
      </c>
      <c r="D212" s="450">
        <v>40006512</v>
      </c>
      <c r="E212" s="451" t="s">
        <v>2351</v>
      </c>
      <c r="F212" s="451" t="s">
        <v>200</v>
      </c>
      <c r="G212" s="452" t="s">
        <v>2100</v>
      </c>
      <c r="H212" s="451" t="s">
        <v>2170</v>
      </c>
      <c r="I212" s="451" t="s">
        <v>1958</v>
      </c>
      <c r="J212" s="451">
        <v>613164</v>
      </c>
      <c r="K212" s="451"/>
      <c r="L212" s="451"/>
      <c r="M212" s="454">
        <v>0</v>
      </c>
      <c r="N212" s="454">
        <v>0</v>
      </c>
      <c r="O212" s="454">
        <v>0</v>
      </c>
      <c r="P212" s="454">
        <v>0</v>
      </c>
      <c r="Q212" s="454">
        <v>0</v>
      </c>
      <c r="R212" s="454">
        <v>0</v>
      </c>
      <c r="S212" s="454"/>
      <c r="T212" s="454"/>
      <c r="U212" s="454"/>
      <c r="V212" s="454"/>
      <c r="W212" s="454"/>
      <c r="X212" s="454"/>
      <c r="Y212" s="454">
        <f t="shared" si="10"/>
        <v>0</v>
      </c>
      <c r="Z212" s="454">
        <v>1000</v>
      </c>
      <c r="AA212" s="451">
        <v>1</v>
      </c>
      <c r="AB212" s="587">
        <v>44207</v>
      </c>
      <c r="AC212" s="587">
        <v>44249</v>
      </c>
      <c r="AD212" s="454"/>
      <c r="AE212" s="451"/>
      <c r="AF212" s="587"/>
      <c r="AG212" s="587"/>
      <c r="AH212" s="454"/>
      <c r="AI212" s="451"/>
      <c r="AJ212" s="587"/>
      <c r="AK212" s="587"/>
      <c r="AL212" s="454"/>
      <c r="AM212" s="451"/>
      <c r="AN212" s="587"/>
      <c r="AO212" s="587"/>
      <c r="AP212" s="454"/>
      <c r="AQ212" s="451"/>
      <c r="AR212" s="588"/>
      <c r="AS212" s="588"/>
      <c r="AT212" s="154">
        <f t="shared" si="11"/>
        <v>1000</v>
      </c>
      <c r="AU212" s="461">
        <f t="shared" si="9"/>
        <v>1000</v>
      </c>
    </row>
    <row r="213" spans="1:47" s="148" customFormat="1" ht="22.5" x14ac:dyDescent="0.25">
      <c r="B213" s="149">
        <v>198</v>
      </c>
      <c r="C213" s="149" t="s">
        <v>38</v>
      </c>
      <c r="D213" s="450">
        <v>40007611</v>
      </c>
      <c r="E213" s="451" t="s">
        <v>2352</v>
      </c>
      <c r="F213" s="451" t="s">
        <v>200</v>
      </c>
      <c r="G213" s="452" t="s">
        <v>2100</v>
      </c>
      <c r="H213" s="451" t="s">
        <v>2143</v>
      </c>
      <c r="I213" s="451" t="s">
        <v>1958</v>
      </c>
      <c r="J213" s="451">
        <v>753602</v>
      </c>
      <c r="K213" s="451"/>
      <c r="L213" s="451"/>
      <c r="M213" s="454">
        <v>87331.089000000007</v>
      </c>
      <c r="N213" s="454">
        <v>57545.339</v>
      </c>
      <c r="O213" s="454">
        <v>47370.608999999997</v>
      </c>
      <c r="P213" s="454">
        <v>240403.443</v>
      </c>
      <c r="Q213" s="454">
        <v>175408.59400000001</v>
      </c>
      <c r="R213" s="454">
        <v>1500</v>
      </c>
      <c r="S213" s="454"/>
      <c r="T213" s="454"/>
      <c r="U213" s="454"/>
      <c r="V213" s="454"/>
      <c r="W213" s="454"/>
      <c r="X213" s="454"/>
      <c r="Y213" s="454">
        <f t="shared" si="10"/>
        <v>609559.07400000002</v>
      </c>
      <c r="Z213" s="454">
        <v>200000</v>
      </c>
      <c r="AA213" s="451">
        <v>4</v>
      </c>
      <c r="AB213" s="587">
        <v>44221</v>
      </c>
      <c r="AC213" s="587">
        <v>44280</v>
      </c>
      <c r="AD213" s="454">
        <v>9000</v>
      </c>
      <c r="AE213" s="451">
        <v>10</v>
      </c>
      <c r="AF213" s="587">
        <v>44286</v>
      </c>
      <c r="AG213" s="587">
        <v>44306</v>
      </c>
      <c r="AH213" s="454">
        <v>250000</v>
      </c>
      <c r="AI213" s="451">
        <v>11</v>
      </c>
      <c r="AJ213" s="587">
        <v>44299</v>
      </c>
      <c r="AK213" s="587">
        <v>44312</v>
      </c>
      <c r="AL213" s="454">
        <v>287125</v>
      </c>
      <c r="AM213" s="451">
        <v>23</v>
      </c>
      <c r="AN213" s="587">
        <v>44340</v>
      </c>
      <c r="AO213" s="587">
        <v>44350</v>
      </c>
      <c r="AP213" s="454">
        <v>0</v>
      </c>
      <c r="AQ213" s="451">
        <v>0</v>
      </c>
      <c r="AR213" s="588"/>
      <c r="AS213" s="588"/>
      <c r="AT213" s="154">
        <f t="shared" si="11"/>
        <v>746125</v>
      </c>
      <c r="AU213" s="461">
        <f t="shared" si="9"/>
        <v>136565.92599999998</v>
      </c>
    </row>
    <row r="214" spans="1:47" s="148" customFormat="1" ht="22.5" x14ac:dyDescent="0.25">
      <c r="B214" s="149">
        <v>199</v>
      </c>
      <c r="C214" s="149" t="s">
        <v>38</v>
      </c>
      <c r="D214" s="450">
        <v>40007655</v>
      </c>
      <c r="E214" s="451" t="s">
        <v>2353</v>
      </c>
      <c r="F214" s="451" t="s">
        <v>200</v>
      </c>
      <c r="G214" s="452" t="s">
        <v>2100</v>
      </c>
      <c r="H214" s="451" t="s">
        <v>2184</v>
      </c>
      <c r="I214" s="451" t="s">
        <v>1958</v>
      </c>
      <c r="J214" s="451">
        <v>127426</v>
      </c>
      <c r="K214" s="451"/>
      <c r="L214" s="451"/>
      <c r="M214" s="454">
        <v>0</v>
      </c>
      <c r="N214" s="454">
        <v>0</v>
      </c>
      <c r="O214" s="454">
        <v>0</v>
      </c>
      <c r="P214" s="454">
        <v>0</v>
      </c>
      <c r="Q214" s="454">
        <v>0</v>
      </c>
      <c r="R214" s="454">
        <v>440501.73599999998</v>
      </c>
      <c r="S214" s="454"/>
      <c r="T214" s="454"/>
      <c r="U214" s="454"/>
      <c r="V214" s="454"/>
      <c r="W214" s="454"/>
      <c r="X214" s="454"/>
      <c r="Y214" s="454">
        <f t="shared" si="10"/>
        <v>440501.73599999998</v>
      </c>
      <c r="Z214" s="454">
        <v>1000</v>
      </c>
      <c r="AA214" s="451">
        <v>1</v>
      </c>
      <c r="AB214" s="587">
        <v>44207</v>
      </c>
      <c r="AC214" s="587">
        <v>44249</v>
      </c>
      <c r="AD214" s="454"/>
      <c r="AE214" s="451"/>
      <c r="AF214" s="587"/>
      <c r="AG214" s="587"/>
      <c r="AH214" s="454"/>
      <c r="AI214" s="451"/>
      <c r="AJ214" s="587"/>
      <c r="AK214" s="587"/>
      <c r="AL214" s="454"/>
      <c r="AM214" s="451"/>
      <c r="AN214" s="587"/>
      <c r="AO214" s="587"/>
      <c r="AP214" s="454"/>
      <c r="AQ214" s="451"/>
      <c r="AR214" s="588"/>
      <c r="AS214" s="588"/>
      <c r="AT214" s="154">
        <f t="shared" si="11"/>
        <v>1000</v>
      </c>
      <c r="AU214" s="461">
        <f t="shared" si="9"/>
        <v>-439501.73599999998</v>
      </c>
    </row>
    <row r="215" spans="1:47" s="148" customFormat="1" ht="22.5" x14ac:dyDescent="0.25">
      <c r="B215" s="149">
        <v>200</v>
      </c>
      <c r="C215" s="149" t="s">
        <v>38</v>
      </c>
      <c r="D215" s="450">
        <v>40007826</v>
      </c>
      <c r="E215" s="451" t="s">
        <v>2354</v>
      </c>
      <c r="F215" s="451" t="s">
        <v>204</v>
      </c>
      <c r="G215" s="452" t="s">
        <v>2100</v>
      </c>
      <c r="H215" s="451" t="s">
        <v>2312</v>
      </c>
      <c r="I215" s="451" t="s">
        <v>1958</v>
      </c>
      <c r="J215" s="451">
        <v>124523</v>
      </c>
      <c r="K215" s="451"/>
      <c r="L215" s="451"/>
      <c r="M215" s="454">
        <v>0</v>
      </c>
      <c r="N215" s="454">
        <v>0</v>
      </c>
      <c r="O215" s="454">
        <v>0</v>
      </c>
      <c r="P215" s="454">
        <v>0</v>
      </c>
      <c r="Q215" s="454">
        <v>0</v>
      </c>
      <c r="R215" s="454">
        <v>0</v>
      </c>
      <c r="S215" s="454"/>
      <c r="T215" s="454"/>
      <c r="U215" s="454"/>
      <c r="V215" s="454"/>
      <c r="W215" s="454"/>
      <c r="X215" s="454"/>
      <c r="Y215" s="454">
        <f t="shared" si="10"/>
        <v>0</v>
      </c>
      <c r="Z215" s="454">
        <v>1000</v>
      </c>
      <c r="AA215" s="451">
        <v>1</v>
      </c>
      <c r="AB215" s="587">
        <v>44207</v>
      </c>
      <c r="AC215" s="587">
        <v>44249</v>
      </c>
      <c r="AD215" s="454"/>
      <c r="AE215" s="451"/>
      <c r="AF215" s="587"/>
      <c r="AG215" s="587"/>
      <c r="AH215" s="454"/>
      <c r="AI215" s="451"/>
      <c r="AJ215" s="587"/>
      <c r="AK215" s="587"/>
      <c r="AL215" s="454"/>
      <c r="AM215" s="451"/>
      <c r="AN215" s="587"/>
      <c r="AO215" s="587"/>
      <c r="AP215" s="454"/>
      <c r="AQ215" s="451"/>
      <c r="AR215" s="588"/>
      <c r="AS215" s="588"/>
      <c r="AT215" s="154">
        <f t="shared" si="11"/>
        <v>1000</v>
      </c>
      <c r="AU215" s="461">
        <f t="shared" si="9"/>
        <v>1000</v>
      </c>
    </row>
    <row r="216" spans="1:47" s="148" customFormat="1" ht="33.75" x14ac:dyDescent="0.25">
      <c r="B216" s="149">
        <v>201</v>
      </c>
      <c r="C216" s="149" t="s">
        <v>38</v>
      </c>
      <c r="D216" s="450">
        <v>40008013</v>
      </c>
      <c r="E216" s="451" t="s">
        <v>2355</v>
      </c>
      <c r="F216" s="451" t="s">
        <v>200</v>
      </c>
      <c r="G216" s="452" t="s">
        <v>2100</v>
      </c>
      <c r="H216" s="451" t="s">
        <v>2113</v>
      </c>
      <c r="I216" s="451" t="s">
        <v>1958</v>
      </c>
      <c r="J216" s="451">
        <v>503464</v>
      </c>
      <c r="K216" s="451"/>
      <c r="L216" s="451"/>
      <c r="M216" s="454">
        <v>174.40799999999999</v>
      </c>
      <c r="N216" s="454">
        <v>92557.906000000003</v>
      </c>
      <c r="O216" s="454">
        <v>0</v>
      </c>
      <c r="P216" s="454">
        <v>26102.618999999999</v>
      </c>
      <c r="Q216" s="454">
        <v>0</v>
      </c>
      <c r="R216" s="454">
        <v>16024.034</v>
      </c>
      <c r="S216" s="454"/>
      <c r="T216" s="454"/>
      <c r="U216" s="454"/>
      <c r="V216" s="454"/>
      <c r="W216" s="454"/>
      <c r="X216" s="454"/>
      <c r="Y216" s="454">
        <f t="shared" si="10"/>
        <v>134858.967</v>
      </c>
      <c r="Z216" s="454">
        <v>253500</v>
      </c>
      <c r="AA216" s="451">
        <v>4</v>
      </c>
      <c r="AB216" s="587">
        <v>44221</v>
      </c>
      <c r="AC216" s="587">
        <v>44280</v>
      </c>
      <c r="AD216" s="454"/>
      <c r="AE216" s="451"/>
      <c r="AF216" s="587"/>
      <c r="AG216" s="587"/>
      <c r="AH216" s="454"/>
      <c r="AI216" s="451"/>
      <c r="AJ216" s="587"/>
      <c r="AK216" s="587"/>
      <c r="AL216" s="454"/>
      <c r="AM216" s="451"/>
      <c r="AN216" s="587"/>
      <c r="AO216" s="587"/>
      <c r="AP216" s="454"/>
      <c r="AQ216" s="451"/>
      <c r="AR216" s="588"/>
      <c r="AS216" s="588"/>
      <c r="AT216" s="154">
        <f t="shared" si="11"/>
        <v>253500</v>
      </c>
      <c r="AU216" s="461">
        <f t="shared" si="9"/>
        <v>118641.033</v>
      </c>
    </row>
    <row r="217" spans="1:47" s="148" customFormat="1" ht="33.75" x14ac:dyDescent="0.25">
      <c r="B217" s="149">
        <v>202</v>
      </c>
      <c r="C217" s="149" t="s">
        <v>38</v>
      </c>
      <c r="D217" s="450">
        <v>40008038</v>
      </c>
      <c r="E217" s="451" t="s">
        <v>2356</v>
      </c>
      <c r="F217" s="451" t="s">
        <v>204</v>
      </c>
      <c r="G217" s="452" t="s">
        <v>2100</v>
      </c>
      <c r="H217" s="451" t="s">
        <v>2113</v>
      </c>
      <c r="I217" s="451" t="s">
        <v>1958</v>
      </c>
      <c r="J217" s="451">
        <v>323041</v>
      </c>
      <c r="K217" s="451"/>
      <c r="L217" s="451"/>
      <c r="M217" s="454">
        <v>0</v>
      </c>
      <c r="N217" s="454">
        <v>0</v>
      </c>
      <c r="O217" s="454">
        <v>50445</v>
      </c>
      <c r="P217" s="454">
        <v>0</v>
      </c>
      <c r="Q217" s="454">
        <v>0</v>
      </c>
      <c r="R217" s="454">
        <v>0</v>
      </c>
      <c r="S217" s="454"/>
      <c r="T217" s="454"/>
      <c r="U217" s="454"/>
      <c r="V217" s="454"/>
      <c r="W217" s="454"/>
      <c r="X217" s="454"/>
      <c r="Y217" s="454">
        <f t="shared" si="10"/>
        <v>50445</v>
      </c>
      <c r="Z217" s="454">
        <v>100000</v>
      </c>
      <c r="AA217" s="451">
        <v>8</v>
      </c>
      <c r="AB217" s="587">
        <v>44252</v>
      </c>
      <c r="AC217" s="587">
        <v>44292</v>
      </c>
      <c r="AD217" s="454"/>
      <c r="AE217" s="451"/>
      <c r="AF217" s="587"/>
      <c r="AG217" s="587"/>
      <c r="AH217" s="454"/>
      <c r="AI217" s="451"/>
      <c r="AJ217" s="587"/>
      <c r="AK217" s="587"/>
      <c r="AL217" s="454"/>
      <c r="AM217" s="451"/>
      <c r="AN217" s="587"/>
      <c r="AO217" s="587"/>
      <c r="AP217" s="454"/>
      <c r="AQ217" s="451"/>
      <c r="AR217" s="588"/>
      <c r="AS217" s="588"/>
      <c r="AT217" s="154">
        <f t="shared" si="11"/>
        <v>100000</v>
      </c>
      <c r="AU217" s="461">
        <f t="shared" si="9"/>
        <v>49555</v>
      </c>
    </row>
    <row r="218" spans="1:47" s="148" customFormat="1" ht="22.5" x14ac:dyDescent="0.25">
      <c r="B218" s="149">
        <v>203</v>
      </c>
      <c r="C218" s="149" t="s">
        <v>38</v>
      </c>
      <c r="D218" s="450">
        <v>40008135</v>
      </c>
      <c r="E218" s="451" t="s">
        <v>2357</v>
      </c>
      <c r="F218" s="451" t="s">
        <v>200</v>
      </c>
      <c r="G218" s="452" t="s">
        <v>2100</v>
      </c>
      <c r="H218" s="451" t="s">
        <v>2162</v>
      </c>
      <c r="I218" s="451" t="s">
        <v>1958</v>
      </c>
      <c r="J218" s="451">
        <v>311123</v>
      </c>
      <c r="K218" s="451"/>
      <c r="L218" s="451"/>
      <c r="M218" s="454">
        <v>0</v>
      </c>
      <c r="N218" s="454">
        <v>0</v>
      </c>
      <c r="O218" s="454">
        <v>2240.8960000000002</v>
      </c>
      <c r="P218" s="454">
        <v>4519.7740000000003</v>
      </c>
      <c r="Q218" s="454">
        <v>0</v>
      </c>
      <c r="R218" s="454">
        <v>0</v>
      </c>
      <c r="S218" s="454"/>
      <c r="T218" s="454"/>
      <c r="U218" s="454"/>
      <c r="V218" s="454"/>
      <c r="W218" s="454"/>
      <c r="X218" s="454"/>
      <c r="Y218" s="454">
        <f t="shared" si="10"/>
        <v>6760.67</v>
      </c>
      <c r="Z218" s="454">
        <v>1000</v>
      </c>
      <c r="AA218" s="451">
        <v>8</v>
      </c>
      <c r="AB218" s="587">
        <v>44252</v>
      </c>
      <c r="AC218" s="587">
        <v>44292</v>
      </c>
      <c r="AD218" s="454">
        <v>4480</v>
      </c>
      <c r="AE218" s="451">
        <v>10</v>
      </c>
      <c r="AF218" s="587">
        <v>44286</v>
      </c>
      <c r="AG218" s="587">
        <v>44306</v>
      </c>
      <c r="AH218" s="454">
        <v>4353</v>
      </c>
      <c r="AI218" s="451">
        <v>23</v>
      </c>
      <c r="AJ218" s="587">
        <v>44340</v>
      </c>
      <c r="AK218" s="587">
        <v>44350</v>
      </c>
      <c r="AL218" s="454">
        <v>0</v>
      </c>
      <c r="AM218" s="451">
        <v>0</v>
      </c>
      <c r="AN218" s="587"/>
      <c r="AO218" s="587"/>
      <c r="AP218" s="454">
        <v>0</v>
      </c>
      <c r="AQ218" s="451">
        <v>0</v>
      </c>
      <c r="AR218" s="588"/>
      <c r="AS218" s="588"/>
      <c r="AT218" s="154">
        <f t="shared" si="11"/>
        <v>9833</v>
      </c>
      <c r="AU218" s="461">
        <f t="shared" si="9"/>
        <v>3072.33</v>
      </c>
    </row>
    <row r="219" spans="1:47" ht="33.75" x14ac:dyDescent="0.2">
      <c r="A219" s="148"/>
      <c r="B219" s="149">
        <v>204</v>
      </c>
      <c r="C219" s="149" t="s">
        <v>38</v>
      </c>
      <c r="D219" s="450">
        <v>40008207</v>
      </c>
      <c r="E219" s="451" t="s">
        <v>2358</v>
      </c>
      <c r="F219" s="451" t="s">
        <v>204</v>
      </c>
      <c r="G219" s="452" t="s">
        <v>2100</v>
      </c>
      <c r="H219" s="451" t="s">
        <v>2113</v>
      </c>
      <c r="I219" s="451" t="s">
        <v>1958</v>
      </c>
      <c r="J219" s="451">
        <v>264227</v>
      </c>
      <c r="K219" s="451"/>
      <c r="L219" s="451"/>
      <c r="M219" s="454">
        <v>0</v>
      </c>
      <c r="N219" s="454">
        <v>145641.62299999999</v>
      </c>
      <c r="O219" s="454">
        <v>0</v>
      </c>
      <c r="P219" s="454">
        <v>0</v>
      </c>
      <c r="Q219" s="454">
        <v>0</v>
      </c>
      <c r="R219" s="454">
        <v>0</v>
      </c>
      <c r="S219" s="454"/>
      <c r="T219" s="454"/>
      <c r="U219" s="454"/>
      <c r="V219" s="454"/>
      <c r="W219" s="454"/>
      <c r="X219" s="454"/>
      <c r="Y219" s="454">
        <f t="shared" si="10"/>
        <v>145641.62299999999</v>
      </c>
      <c r="Z219" s="454">
        <v>145642</v>
      </c>
      <c r="AA219" s="451">
        <v>8</v>
      </c>
      <c r="AB219" s="587">
        <v>44252</v>
      </c>
      <c r="AC219" s="587">
        <v>44292</v>
      </c>
      <c r="AD219" s="454"/>
      <c r="AE219" s="451"/>
      <c r="AF219" s="587"/>
      <c r="AG219" s="587"/>
      <c r="AH219" s="454"/>
      <c r="AI219" s="451"/>
      <c r="AJ219" s="587"/>
      <c r="AK219" s="587"/>
      <c r="AL219" s="454"/>
      <c r="AM219" s="451"/>
      <c r="AN219" s="587"/>
      <c r="AO219" s="587"/>
      <c r="AP219" s="454"/>
      <c r="AQ219" s="451"/>
      <c r="AR219" s="588"/>
      <c r="AS219" s="588"/>
      <c r="AT219" s="154">
        <f t="shared" si="11"/>
        <v>145642</v>
      </c>
      <c r="AU219" s="461">
        <f t="shared" si="9"/>
        <v>0.37700000000768341</v>
      </c>
    </row>
    <row r="220" spans="1:47" ht="22.5" x14ac:dyDescent="0.2">
      <c r="A220" s="148"/>
      <c r="B220" s="149">
        <v>205</v>
      </c>
      <c r="C220" s="149" t="s">
        <v>38</v>
      </c>
      <c r="D220" s="450">
        <v>40008264</v>
      </c>
      <c r="E220" s="451" t="s">
        <v>2359</v>
      </c>
      <c r="F220" s="451" t="s">
        <v>200</v>
      </c>
      <c r="G220" s="452" t="s">
        <v>2100</v>
      </c>
      <c r="H220" s="451" t="s">
        <v>2147</v>
      </c>
      <c r="I220" s="451" t="s">
        <v>1958</v>
      </c>
      <c r="J220" s="451">
        <v>228423</v>
      </c>
      <c r="K220" s="451"/>
      <c r="L220" s="451"/>
      <c r="M220" s="454">
        <v>0</v>
      </c>
      <c r="N220" s="454">
        <v>0</v>
      </c>
      <c r="O220" s="454">
        <v>0</v>
      </c>
      <c r="P220" s="454">
        <v>0</v>
      </c>
      <c r="Q220" s="454">
        <v>0</v>
      </c>
      <c r="R220" s="454">
        <v>0</v>
      </c>
      <c r="S220" s="454"/>
      <c r="T220" s="454"/>
      <c r="U220" s="454"/>
      <c r="V220" s="454"/>
      <c r="W220" s="454"/>
      <c r="X220" s="454"/>
      <c r="Y220" s="454">
        <f t="shared" si="10"/>
        <v>0</v>
      </c>
      <c r="Z220" s="454">
        <v>1000</v>
      </c>
      <c r="AA220" s="451">
        <v>1</v>
      </c>
      <c r="AB220" s="587">
        <v>44207</v>
      </c>
      <c r="AC220" s="587">
        <v>44249</v>
      </c>
      <c r="AD220" s="454"/>
      <c r="AE220" s="451"/>
      <c r="AF220" s="587"/>
      <c r="AG220" s="587"/>
      <c r="AH220" s="454"/>
      <c r="AI220" s="451"/>
      <c r="AJ220" s="587"/>
      <c r="AK220" s="587"/>
      <c r="AL220" s="454"/>
      <c r="AM220" s="451"/>
      <c r="AN220" s="587"/>
      <c r="AO220" s="587"/>
      <c r="AP220" s="454"/>
      <c r="AQ220" s="451"/>
      <c r="AR220" s="588"/>
      <c r="AS220" s="588"/>
      <c r="AT220" s="154">
        <f t="shared" si="11"/>
        <v>1000</v>
      </c>
      <c r="AU220" s="461">
        <f t="shared" si="9"/>
        <v>1000</v>
      </c>
    </row>
    <row r="221" spans="1:47" ht="22.5" x14ac:dyDescent="0.2">
      <c r="A221" s="148"/>
      <c r="B221" s="149">
        <v>206</v>
      </c>
      <c r="C221" s="149" t="s">
        <v>38</v>
      </c>
      <c r="D221" s="450">
        <v>40008352</v>
      </c>
      <c r="E221" s="451" t="s">
        <v>2360</v>
      </c>
      <c r="F221" s="451" t="s">
        <v>200</v>
      </c>
      <c r="G221" s="452" t="s">
        <v>2100</v>
      </c>
      <c r="H221" s="451" t="s">
        <v>2147</v>
      </c>
      <c r="I221" s="451" t="s">
        <v>1958</v>
      </c>
      <c r="J221" s="451">
        <v>29829</v>
      </c>
      <c r="K221" s="451"/>
      <c r="L221" s="451"/>
      <c r="M221" s="454">
        <v>0</v>
      </c>
      <c r="N221" s="454">
        <v>0</v>
      </c>
      <c r="O221" s="454">
        <v>0</v>
      </c>
      <c r="P221" s="454">
        <v>0</v>
      </c>
      <c r="Q221" s="454">
        <v>0</v>
      </c>
      <c r="R221" s="454">
        <v>0</v>
      </c>
      <c r="S221" s="454"/>
      <c r="T221" s="454"/>
      <c r="U221" s="454"/>
      <c r="V221" s="454"/>
      <c r="W221" s="454"/>
      <c r="X221" s="454"/>
      <c r="Y221" s="454">
        <f t="shared" si="10"/>
        <v>0</v>
      </c>
      <c r="Z221" s="454">
        <v>1000</v>
      </c>
      <c r="AA221" s="451">
        <v>1</v>
      </c>
      <c r="AB221" s="587">
        <v>44207</v>
      </c>
      <c r="AC221" s="587">
        <v>44249</v>
      </c>
      <c r="AD221" s="454"/>
      <c r="AE221" s="451"/>
      <c r="AF221" s="587"/>
      <c r="AG221" s="587"/>
      <c r="AH221" s="454"/>
      <c r="AI221" s="451"/>
      <c r="AJ221" s="587"/>
      <c r="AK221" s="587"/>
      <c r="AL221" s="454"/>
      <c r="AM221" s="451"/>
      <c r="AN221" s="587"/>
      <c r="AO221" s="587"/>
      <c r="AP221" s="454"/>
      <c r="AQ221" s="451"/>
      <c r="AR221" s="588"/>
      <c r="AS221" s="588"/>
      <c r="AT221" s="154">
        <f t="shared" si="11"/>
        <v>1000</v>
      </c>
      <c r="AU221" s="461">
        <f t="shared" si="9"/>
        <v>1000</v>
      </c>
    </row>
    <row r="222" spans="1:47" ht="22.5" x14ac:dyDescent="0.2">
      <c r="A222" s="148"/>
      <c r="B222" s="149">
        <v>207</v>
      </c>
      <c r="C222" s="149" t="s">
        <v>38</v>
      </c>
      <c r="D222" s="450">
        <v>40008374</v>
      </c>
      <c r="E222" s="451" t="s">
        <v>2361</v>
      </c>
      <c r="F222" s="451" t="s">
        <v>200</v>
      </c>
      <c r="G222" s="452" t="s">
        <v>2100</v>
      </c>
      <c r="H222" s="451" t="s">
        <v>2270</v>
      </c>
      <c r="I222" s="451" t="s">
        <v>1958</v>
      </c>
      <c r="J222" s="451">
        <v>52778</v>
      </c>
      <c r="K222" s="451"/>
      <c r="L222" s="451"/>
      <c r="M222" s="454">
        <v>0</v>
      </c>
      <c r="N222" s="454">
        <v>0</v>
      </c>
      <c r="O222" s="454">
        <v>0</v>
      </c>
      <c r="P222" s="454">
        <v>0</v>
      </c>
      <c r="Q222" s="454">
        <v>47166.697</v>
      </c>
      <c r="R222" s="454">
        <v>42564.680999999997</v>
      </c>
      <c r="S222" s="454"/>
      <c r="T222" s="454"/>
      <c r="U222" s="454"/>
      <c r="V222" s="454"/>
      <c r="W222" s="454"/>
      <c r="X222" s="454"/>
      <c r="Y222" s="454">
        <f t="shared" si="10"/>
        <v>89731.377999999997</v>
      </c>
      <c r="Z222" s="454">
        <v>1000</v>
      </c>
      <c r="AA222" s="451">
        <v>1</v>
      </c>
      <c r="AB222" s="587">
        <v>44207</v>
      </c>
      <c r="AC222" s="587">
        <v>44249</v>
      </c>
      <c r="AD222" s="454">
        <v>150000</v>
      </c>
      <c r="AE222" s="451">
        <v>14</v>
      </c>
      <c r="AF222" s="587">
        <v>44313</v>
      </c>
      <c r="AG222" s="587">
        <v>44322</v>
      </c>
      <c r="AH222" s="454"/>
      <c r="AI222" s="451"/>
      <c r="AJ222" s="587"/>
      <c r="AK222" s="587"/>
      <c r="AL222" s="454"/>
      <c r="AM222" s="451"/>
      <c r="AN222" s="587"/>
      <c r="AO222" s="587"/>
      <c r="AP222" s="454"/>
      <c r="AQ222" s="451"/>
      <c r="AR222" s="588"/>
      <c r="AS222" s="588"/>
      <c r="AT222" s="154">
        <f t="shared" si="11"/>
        <v>151000</v>
      </c>
      <c r="AU222" s="461">
        <f t="shared" si="9"/>
        <v>61268.622000000003</v>
      </c>
    </row>
    <row r="223" spans="1:47" ht="22.5" x14ac:dyDescent="0.2">
      <c r="A223" s="148"/>
      <c r="B223" s="149">
        <v>208</v>
      </c>
      <c r="C223" s="149" t="s">
        <v>38</v>
      </c>
      <c r="D223" s="450">
        <v>40008567</v>
      </c>
      <c r="E223" s="451" t="s">
        <v>2362</v>
      </c>
      <c r="F223" s="451" t="s">
        <v>200</v>
      </c>
      <c r="G223" s="452" t="s">
        <v>2100</v>
      </c>
      <c r="H223" s="451" t="s">
        <v>2200</v>
      </c>
      <c r="I223" s="451" t="s">
        <v>1958</v>
      </c>
      <c r="J223" s="451">
        <v>54763</v>
      </c>
      <c r="K223" s="451"/>
      <c r="L223" s="451"/>
      <c r="M223" s="454">
        <v>0</v>
      </c>
      <c r="N223" s="454">
        <v>0</v>
      </c>
      <c r="O223" s="454">
        <v>0</v>
      </c>
      <c r="P223" s="454">
        <v>5540.64</v>
      </c>
      <c r="Q223" s="454">
        <v>0</v>
      </c>
      <c r="R223" s="454">
        <v>0</v>
      </c>
      <c r="S223" s="454"/>
      <c r="T223" s="454"/>
      <c r="U223" s="454"/>
      <c r="V223" s="454"/>
      <c r="W223" s="454"/>
      <c r="X223" s="454"/>
      <c r="Y223" s="454">
        <f t="shared" si="10"/>
        <v>5540.64</v>
      </c>
      <c r="Z223" s="454">
        <v>1000</v>
      </c>
      <c r="AA223" s="451">
        <v>8</v>
      </c>
      <c r="AB223" s="587">
        <v>44252</v>
      </c>
      <c r="AC223" s="587">
        <v>44292</v>
      </c>
      <c r="AD223" s="454">
        <v>5541</v>
      </c>
      <c r="AE223" s="451">
        <v>11</v>
      </c>
      <c r="AF223" s="587">
        <v>44299</v>
      </c>
      <c r="AG223" s="587">
        <v>44312</v>
      </c>
      <c r="AH223" s="454"/>
      <c r="AI223" s="451"/>
      <c r="AJ223" s="587"/>
      <c r="AK223" s="587"/>
      <c r="AL223" s="454"/>
      <c r="AM223" s="451"/>
      <c r="AN223" s="587"/>
      <c r="AO223" s="587"/>
      <c r="AP223" s="454"/>
      <c r="AQ223" s="451"/>
      <c r="AR223" s="588"/>
      <c r="AS223" s="588"/>
      <c r="AT223" s="154">
        <f t="shared" si="11"/>
        <v>6541</v>
      </c>
      <c r="AU223" s="461">
        <f t="shared" si="9"/>
        <v>1000.3599999999997</v>
      </c>
    </row>
    <row r="224" spans="1:47" ht="22.5" x14ac:dyDescent="0.2">
      <c r="A224" s="148"/>
      <c r="B224" s="149">
        <v>209</v>
      </c>
      <c r="C224" s="149" t="s">
        <v>38</v>
      </c>
      <c r="D224" s="450">
        <v>40008570</v>
      </c>
      <c r="E224" s="451" t="s">
        <v>2363</v>
      </c>
      <c r="F224" s="451" t="s">
        <v>200</v>
      </c>
      <c r="G224" s="452" t="s">
        <v>2100</v>
      </c>
      <c r="H224" s="451" t="s">
        <v>2200</v>
      </c>
      <c r="I224" s="451" t="s">
        <v>1958</v>
      </c>
      <c r="J224" s="451">
        <v>155647</v>
      </c>
      <c r="K224" s="451"/>
      <c r="L224" s="451"/>
      <c r="M224" s="454">
        <v>1652.5530000000001</v>
      </c>
      <c r="N224" s="454">
        <v>0</v>
      </c>
      <c r="O224" s="454">
        <v>0</v>
      </c>
      <c r="P224" s="454">
        <v>1603.299</v>
      </c>
      <c r="Q224" s="454">
        <v>3105.9</v>
      </c>
      <c r="R224" s="454">
        <v>86999.403999999995</v>
      </c>
      <c r="S224" s="454"/>
      <c r="T224" s="454"/>
      <c r="U224" s="454"/>
      <c r="V224" s="454"/>
      <c r="W224" s="454"/>
      <c r="X224" s="454"/>
      <c r="Y224" s="454">
        <f t="shared" si="10"/>
        <v>93361.155999999988</v>
      </c>
      <c r="Z224" s="454">
        <v>9000</v>
      </c>
      <c r="AA224" s="451">
        <v>4</v>
      </c>
      <c r="AB224" s="587">
        <v>44221</v>
      </c>
      <c r="AC224" s="587">
        <v>44280</v>
      </c>
      <c r="AD224" s="454">
        <v>9000</v>
      </c>
      <c r="AE224" s="451">
        <v>18</v>
      </c>
      <c r="AF224" s="587">
        <v>44327</v>
      </c>
      <c r="AG224" s="587">
        <v>44341</v>
      </c>
      <c r="AH224" s="454"/>
      <c r="AI224" s="451"/>
      <c r="AJ224" s="587"/>
      <c r="AK224" s="587"/>
      <c r="AL224" s="454"/>
      <c r="AM224" s="451"/>
      <c r="AN224" s="587"/>
      <c r="AO224" s="587"/>
      <c r="AP224" s="454"/>
      <c r="AQ224" s="451"/>
      <c r="AR224" s="588"/>
      <c r="AS224" s="588"/>
      <c r="AT224" s="154">
        <f t="shared" si="11"/>
        <v>18000</v>
      </c>
      <c r="AU224" s="461">
        <f t="shared" si="9"/>
        <v>-75361.155999999988</v>
      </c>
    </row>
    <row r="225" spans="1:47" ht="22.5" x14ac:dyDescent="0.2">
      <c r="A225" s="148"/>
      <c r="B225" s="149">
        <v>210</v>
      </c>
      <c r="C225" s="149" t="s">
        <v>38</v>
      </c>
      <c r="D225" s="450">
        <v>40008571</v>
      </c>
      <c r="E225" s="451" t="s">
        <v>2364</v>
      </c>
      <c r="F225" s="451" t="s">
        <v>200</v>
      </c>
      <c r="G225" s="452" t="s">
        <v>2100</v>
      </c>
      <c r="H225" s="451" t="s">
        <v>2294</v>
      </c>
      <c r="I225" s="451" t="s">
        <v>1958</v>
      </c>
      <c r="J225" s="451">
        <v>677</v>
      </c>
      <c r="K225" s="451"/>
      <c r="L225" s="451"/>
      <c r="M225" s="454">
        <v>0</v>
      </c>
      <c r="N225" s="454">
        <v>0</v>
      </c>
      <c r="O225" s="454">
        <v>0</v>
      </c>
      <c r="P225" s="454">
        <v>0</v>
      </c>
      <c r="Q225" s="454">
        <v>0</v>
      </c>
      <c r="R225" s="454">
        <v>0</v>
      </c>
      <c r="S225" s="454"/>
      <c r="T225" s="454"/>
      <c r="U225" s="454"/>
      <c r="V225" s="454"/>
      <c r="W225" s="454"/>
      <c r="X225" s="454"/>
      <c r="Y225" s="454">
        <f t="shared" si="10"/>
        <v>0</v>
      </c>
      <c r="Z225" s="454">
        <v>677</v>
      </c>
      <c r="AA225" s="451">
        <v>8</v>
      </c>
      <c r="AB225" s="587">
        <v>44252</v>
      </c>
      <c r="AC225" s="587">
        <v>44292</v>
      </c>
      <c r="AD225" s="454"/>
      <c r="AE225" s="451"/>
      <c r="AF225" s="587"/>
      <c r="AG225" s="587"/>
      <c r="AH225" s="454"/>
      <c r="AI225" s="451"/>
      <c r="AJ225" s="587"/>
      <c r="AK225" s="587"/>
      <c r="AL225" s="454"/>
      <c r="AM225" s="451"/>
      <c r="AN225" s="587"/>
      <c r="AO225" s="587"/>
      <c r="AP225" s="454"/>
      <c r="AQ225" s="451"/>
      <c r="AR225" s="588"/>
      <c r="AS225" s="588"/>
      <c r="AT225" s="154">
        <f t="shared" si="11"/>
        <v>677</v>
      </c>
      <c r="AU225" s="461">
        <f t="shared" si="9"/>
        <v>677</v>
      </c>
    </row>
    <row r="226" spans="1:47" ht="22.5" x14ac:dyDescent="0.2">
      <c r="A226" s="148"/>
      <c r="B226" s="149">
        <v>211</v>
      </c>
      <c r="C226" s="149" t="s">
        <v>38</v>
      </c>
      <c r="D226" s="450">
        <v>40008589</v>
      </c>
      <c r="E226" s="451" t="s">
        <v>2365</v>
      </c>
      <c r="F226" s="451" t="s">
        <v>200</v>
      </c>
      <c r="G226" s="452" t="s">
        <v>2100</v>
      </c>
      <c r="H226" s="451" t="s">
        <v>2109</v>
      </c>
      <c r="I226" s="451" t="s">
        <v>1958</v>
      </c>
      <c r="J226" s="451">
        <v>162824</v>
      </c>
      <c r="K226" s="451"/>
      <c r="L226" s="451"/>
      <c r="M226" s="454">
        <v>0</v>
      </c>
      <c r="N226" s="454">
        <v>0</v>
      </c>
      <c r="O226" s="454">
        <v>0</v>
      </c>
      <c r="P226" s="454">
        <v>0</v>
      </c>
      <c r="Q226" s="454">
        <v>0</v>
      </c>
      <c r="R226" s="454">
        <v>13357.119000000001</v>
      </c>
      <c r="S226" s="454"/>
      <c r="T226" s="454"/>
      <c r="U226" s="454"/>
      <c r="V226" s="454"/>
      <c r="W226" s="454"/>
      <c r="X226" s="454"/>
      <c r="Y226" s="454">
        <f t="shared" si="10"/>
        <v>13357.119000000001</v>
      </c>
      <c r="Z226" s="454">
        <v>1000</v>
      </c>
      <c r="AA226" s="451">
        <v>1</v>
      </c>
      <c r="AB226" s="587">
        <v>44207</v>
      </c>
      <c r="AC226" s="587">
        <v>44249</v>
      </c>
      <c r="AD226" s="454"/>
      <c r="AE226" s="451"/>
      <c r="AF226" s="587"/>
      <c r="AG226" s="587"/>
      <c r="AH226" s="454"/>
      <c r="AI226" s="451"/>
      <c r="AJ226" s="587"/>
      <c r="AK226" s="587"/>
      <c r="AL226" s="454"/>
      <c r="AM226" s="451"/>
      <c r="AN226" s="587"/>
      <c r="AO226" s="587"/>
      <c r="AP226" s="454"/>
      <c r="AQ226" s="451"/>
      <c r="AR226" s="588"/>
      <c r="AS226" s="588"/>
      <c r="AT226" s="154">
        <f t="shared" si="11"/>
        <v>1000</v>
      </c>
      <c r="AU226" s="461">
        <f t="shared" si="9"/>
        <v>-12357.119000000001</v>
      </c>
    </row>
    <row r="227" spans="1:47" ht="22.5" x14ac:dyDescent="0.2">
      <c r="A227" s="148"/>
      <c r="B227" s="149">
        <v>212</v>
      </c>
      <c r="C227" s="149" t="s">
        <v>38</v>
      </c>
      <c r="D227" s="450">
        <v>40008592</v>
      </c>
      <c r="E227" s="451" t="s">
        <v>2366</v>
      </c>
      <c r="F227" s="451" t="s">
        <v>200</v>
      </c>
      <c r="G227" s="452" t="s">
        <v>2100</v>
      </c>
      <c r="H227" s="451" t="s">
        <v>2219</v>
      </c>
      <c r="I227" s="451" t="s">
        <v>1958</v>
      </c>
      <c r="J227" s="451">
        <v>320974</v>
      </c>
      <c r="K227" s="451"/>
      <c r="L227" s="451"/>
      <c r="M227" s="454">
        <v>0</v>
      </c>
      <c r="N227" s="454">
        <v>0</v>
      </c>
      <c r="O227" s="454">
        <v>100868.008</v>
      </c>
      <c r="P227" s="454">
        <v>79944.562999999995</v>
      </c>
      <c r="Q227" s="454">
        <v>0</v>
      </c>
      <c r="R227" s="454">
        <v>50.448999999999998</v>
      </c>
      <c r="S227" s="454"/>
      <c r="T227" s="454"/>
      <c r="U227" s="454"/>
      <c r="V227" s="454"/>
      <c r="W227" s="454"/>
      <c r="X227" s="454"/>
      <c r="Y227" s="454">
        <f t="shared" si="10"/>
        <v>180863.02</v>
      </c>
      <c r="Z227" s="454">
        <v>1000</v>
      </c>
      <c r="AA227" s="451">
        <v>1</v>
      </c>
      <c r="AB227" s="587">
        <v>44207</v>
      </c>
      <c r="AC227" s="587">
        <v>44249</v>
      </c>
      <c r="AD227" s="454">
        <v>200000</v>
      </c>
      <c r="AE227" s="451">
        <v>10</v>
      </c>
      <c r="AF227" s="587">
        <v>44286</v>
      </c>
      <c r="AG227" s="587">
        <v>44306</v>
      </c>
      <c r="AH227" s="454"/>
      <c r="AI227" s="451"/>
      <c r="AJ227" s="587"/>
      <c r="AK227" s="587"/>
      <c r="AL227" s="454"/>
      <c r="AM227" s="451"/>
      <c r="AN227" s="587"/>
      <c r="AO227" s="587"/>
      <c r="AP227" s="454"/>
      <c r="AQ227" s="451"/>
      <c r="AR227" s="588"/>
      <c r="AS227" s="588"/>
      <c r="AT227" s="154">
        <f t="shared" si="11"/>
        <v>201000</v>
      </c>
      <c r="AU227" s="461">
        <f t="shared" si="9"/>
        <v>20136.98000000001</v>
      </c>
    </row>
    <row r="228" spans="1:47" ht="22.5" x14ac:dyDescent="0.2">
      <c r="A228" s="148"/>
      <c r="B228" s="149">
        <v>213</v>
      </c>
      <c r="C228" s="149" t="s">
        <v>38</v>
      </c>
      <c r="D228" s="450">
        <v>40008642</v>
      </c>
      <c r="E228" s="451" t="s">
        <v>2367</v>
      </c>
      <c r="F228" s="451" t="s">
        <v>200</v>
      </c>
      <c r="G228" s="452" t="s">
        <v>2100</v>
      </c>
      <c r="H228" s="451" t="s">
        <v>2125</v>
      </c>
      <c r="I228" s="451" t="s">
        <v>1958</v>
      </c>
      <c r="J228" s="451">
        <v>59430</v>
      </c>
      <c r="K228" s="451"/>
      <c r="L228" s="451"/>
      <c r="M228" s="454">
        <v>0</v>
      </c>
      <c r="N228" s="454">
        <v>18947.864000000001</v>
      </c>
      <c r="O228" s="454">
        <v>0</v>
      </c>
      <c r="P228" s="454">
        <v>15015.234</v>
      </c>
      <c r="Q228" s="454">
        <v>11257.585999999999</v>
      </c>
      <c r="R228" s="454">
        <v>10489.719000000001</v>
      </c>
      <c r="S228" s="454"/>
      <c r="T228" s="454"/>
      <c r="U228" s="454"/>
      <c r="V228" s="454"/>
      <c r="W228" s="454"/>
      <c r="X228" s="454"/>
      <c r="Y228" s="454">
        <f t="shared" si="10"/>
        <v>55710.402999999991</v>
      </c>
      <c r="Z228" s="454">
        <v>1000</v>
      </c>
      <c r="AA228" s="451">
        <v>1</v>
      </c>
      <c r="AB228" s="587">
        <v>44207</v>
      </c>
      <c r="AC228" s="587">
        <v>44249</v>
      </c>
      <c r="AD228" s="454">
        <v>56212</v>
      </c>
      <c r="AE228" s="451">
        <v>8</v>
      </c>
      <c r="AF228" s="587">
        <v>44252</v>
      </c>
      <c r="AG228" s="587">
        <v>44292</v>
      </c>
      <c r="AH228" s="454"/>
      <c r="AI228" s="451"/>
      <c r="AJ228" s="587"/>
      <c r="AK228" s="587"/>
      <c r="AL228" s="454"/>
      <c r="AM228" s="451"/>
      <c r="AN228" s="587"/>
      <c r="AO228" s="587"/>
      <c r="AP228" s="454"/>
      <c r="AQ228" s="451"/>
      <c r="AR228" s="588"/>
      <c r="AS228" s="588"/>
      <c r="AT228" s="154">
        <f t="shared" si="11"/>
        <v>57212</v>
      </c>
      <c r="AU228" s="461">
        <f t="shared" si="9"/>
        <v>1501.5970000000088</v>
      </c>
    </row>
    <row r="229" spans="1:47" ht="22.5" x14ac:dyDescent="0.2">
      <c r="A229" s="148"/>
      <c r="B229" s="149">
        <v>214</v>
      </c>
      <c r="C229" s="149" t="s">
        <v>38</v>
      </c>
      <c r="D229" s="450">
        <v>40008668</v>
      </c>
      <c r="E229" s="451" t="s">
        <v>2368</v>
      </c>
      <c r="F229" s="451" t="s">
        <v>200</v>
      </c>
      <c r="G229" s="452" t="s">
        <v>2100</v>
      </c>
      <c r="H229" s="451" t="s">
        <v>2162</v>
      </c>
      <c r="I229" s="451" t="s">
        <v>1958</v>
      </c>
      <c r="J229" s="451">
        <v>2757</v>
      </c>
      <c r="K229" s="451"/>
      <c r="L229" s="451"/>
      <c r="M229" s="454">
        <v>1594.6</v>
      </c>
      <c r="N229" s="454">
        <v>0</v>
      </c>
      <c r="O229" s="454">
        <v>0</v>
      </c>
      <c r="P229" s="454">
        <v>0</v>
      </c>
      <c r="Q229" s="454">
        <v>0</v>
      </c>
      <c r="R229" s="454">
        <v>0</v>
      </c>
      <c r="S229" s="454"/>
      <c r="T229" s="454"/>
      <c r="U229" s="454"/>
      <c r="V229" s="454"/>
      <c r="W229" s="454"/>
      <c r="X229" s="454"/>
      <c r="Y229" s="454">
        <f t="shared" si="10"/>
        <v>1594.6</v>
      </c>
      <c r="Z229" s="454">
        <v>2757</v>
      </c>
      <c r="AA229" s="451">
        <v>4</v>
      </c>
      <c r="AB229" s="587">
        <v>44221</v>
      </c>
      <c r="AC229" s="587">
        <v>44280</v>
      </c>
      <c r="AD229" s="454"/>
      <c r="AE229" s="451"/>
      <c r="AF229" s="587"/>
      <c r="AG229" s="587"/>
      <c r="AH229" s="454"/>
      <c r="AI229" s="451"/>
      <c r="AJ229" s="587"/>
      <c r="AK229" s="587"/>
      <c r="AL229" s="454"/>
      <c r="AM229" s="451"/>
      <c r="AN229" s="587"/>
      <c r="AO229" s="587"/>
      <c r="AP229" s="454"/>
      <c r="AQ229" s="451"/>
      <c r="AR229" s="588"/>
      <c r="AS229" s="588"/>
      <c r="AT229" s="154">
        <f t="shared" si="11"/>
        <v>2757</v>
      </c>
      <c r="AU229" s="461">
        <f t="shared" si="9"/>
        <v>1162.4000000000001</v>
      </c>
    </row>
    <row r="230" spans="1:47" ht="22.5" x14ac:dyDescent="0.2">
      <c r="A230" s="148"/>
      <c r="B230" s="149">
        <v>215</v>
      </c>
      <c r="C230" s="149" t="s">
        <v>38</v>
      </c>
      <c r="D230" s="450">
        <v>40008671</v>
      </c>
      <c r="E230" s="451" t="s">
        <v>2369</v>
      </c>
      <c r="F230" s="451" t="s">
        <v>200</v>
      </c>
      <c r="G230" s="452" t="s">
        <v>2100</v>
      </c>
      <c r="H230" s="451" t="s">
        <v>2162</v>
      </c>
      <c r="I230" s="451" t="s">
        <v>1958</v>
      </c>
      <c r="J230" s="451">
        <v>4772</v>
      </c>
      <c r="K230" s="451"/>
      <c r="L230" s="451"/>
      <c r="M230" s="454">
        <v>2391.9</v>
      </c>
      <c r="N230" s="454">
        <v>0</v>
      </c>
      <c r="O230" s="454">
        <v>0</v>
      </c>
      <c r="P230" s="454">
        <v>0</v>
      </c>
      <c r="Q230" s="454">
        <v>0</v>
      </c>
      <c r="R230" s="454">
        <v>0</v>
      </c>
      <c r="S230" s="454"/>
      <c r="T230" s="454"/>
      <c r="U230" s="454"/>
      <c r="V230" s="454"/>
      <c r="W230" s="454"/>
      <c r="X230" s="454"/>
      <c r="Y230" s="454">
        <f t="shared" si="10"/>
        <v>2391.9</v>
      </c>
      <c r="Z230" s="454">
        <v>2392</v>
      </c>
      <c r="AA230" s="451">
        <v>4</v>
      </c>
      <c r="AB230" s="587">
        <v>44221</v>
      </c>
      <c r="AC230" s="587">
        <v>44280</v>
      </c>
      <c r="AD230" s="454"/>
      <c r="AE230" s="451"/>
      <c r="AF230" s="587"/>
      <c r="AG230" s="587"/>
      <c r="AH230" s="454"/>
      <c r="AI230" s="451"/>
      <c r="AJ230" s="587"/>
      <c r="AK230" s="587"/>
      <c r="AL230" s="454"/>
      <c r="AM230" s="451"/>
      <c r="AN230" s="587"/>
      <c r="AO230" s="587"/>
      <c r="AP230" s="454"/>
      <c r="AQ230" s="451"/>
      <c r="AR230" s="588"/>
      <c r="AS230" s="588"/>
      <c r="AT230" s="154">
        <f t="shared" si="11"/>
        <v>2392</v>
      </c>
      <c r="AU230" s="461">
        <f t="shared" si="9"/>
        <v>9.9999999999909051E-2</v>
      </c>
    </row>
    <row r="231" spans="1:47" ht="22.5" x14ac:dyDescent="0.2">
      <c r="A231" s="148"/>
      <c r="B231" s="149">
        <v>216</v>
      </c>
      <c r="C231" s="149" t="s">
        <v>38</v>
      </c>
      <c r="D231" s="450">
        <v>40008690</v>
      </c>
      <c r="E231" s="451" t="s">
        <v>2370</v>
      </c>
      <c r="F231" s="451" t="s">
        <v>200</v>
      </c>
      <c r="G231" s="452" t="s">
        <v>2100</v>
      </c>
      <c r="H231" s="451" t="s">
        <v>2170</v>
      </c>
      <c r="I231" s="451" t="s">
        <v>1958</v>
      </c>
      <c r="J231" s="451">
        <v>192712</v>
      </c>
      <c r="K231" s="451"/>
      <c r="L231" s="451"/>
      <c r="M231" s="454">
        <v>0</v>
      </c>
      <c r="N231" s="454">
        <v>0</v>
      </c>
      <c r="O231" s="454">
        <v>0</v>
      </c>
      <c r="P231" s="454">
        <v>0</v>
      </c>
      <c r="Q231" s="454">
        <v>0</v>
      </c>
      <c r="R231" s="454">
        <v>0</v>
      </c>
      <c r="S231" s="454"/>
      <c r="T231" s="454"/>
      <c r="U231" s="454"/>
      <c r="V231" s="454"/>
      <c r="W231" s="454"/>
      <c r="X231" s="454"/>
      <c r="Y231" s="454">
        <f t="shared" si="10"/>
        <v>0</v>
      </c>
      <c r="Z231" s="454">
        <v>1000</v>
      </c>
      <c r="AA231" s="451">
        <v>1</v>
      </c>
      <c r="AB231" s="587">
        <v>44207</v>
      </c>
      <c r="AC231" s="587">
        <v>44249</v>
      </c>
      <c r="AD231" s="454"/>
      <c r="AE231" s="451"/>
      <c r="AF231" s="587"/>
      <c r="AG231" s="587"/>
      <c r="AH231" s="454"/>
      <c r="AI231" s="451"/>
      <c r="AJ231" s="587"/>
      <c r="AK231" s="587"/>
      <c r="AL231" s="454"/>
      <c r="AM231" s="451"/>
      <c r="AN231" s="587"/>
      <c r="AO231" s="587"/>
      <c r="AP231" s="454"/>
      <c r="AQ231" s="451"/>
      <c r="AR231" s="588"/>
      <c r="AS231" s="588"/>
      <c r="AT231" s="154">
        <f t="shared" si="11"/>
        <v>1000</v>
      </c>
      <c r="AU231" s="461">
        <f t="shared" si="9"/>
        <v>1000</v>
      </c>
    </row>
    <row r="232" spans="1:47" ht="22.5" x14ac:dyDescent="0.2">
      <c r="A232" s="148"/>
      <c r="B232" s="149">
        <v>217</v>
      </c>
      <c r="C232" s="149" t="s">
        <v>38</v>
      </c>
      <c r="D232" s="450">
        <v>40008696</v>
      </c>
      <c r="E232" s="451" t="s">
        <v>2371</v>
      </c>
      <c r="F232" s="451" t="s">
        <v>200</v>
      </c>
      <c r="G232" s="452" t="s">
        <v>2100</v>
      </c>
      <c r="H232" s="451" t="s">
        <v>2132</v>
      </c>
      <c r="I232" s="451" t="s">
        <v>1958</v>
      </c>
      <c r="J232" s="451">
        <v>587535</v>
      </c>
      <c r="K232" s="451"/>
      <c r="L232" s="451"/>
      <c r="M232" s="454">
        <v>0</v>
      </c>
      <c r="N232" s="454">
        <v>0</v>
      </c>
      <c r="O232" s="454">
        <v>0</v>
      </c>
      <c r="P232" s="454">
        <v>0</v>
      </c>
      <c r="Q232" s="454">
        <v>0</v>
      </c>
      <c r="R232" s="454">
        <v>0</v>
      </c>
      <c r="S232" s="454"/>
      <c r="T232" s="454"/>
      <c r="U232" s="454"/>
      <c r="V232" s="454"/>
      <c r="W232" s="454"/>
      <c r="X232" s="454"/>
      <c r="Y232" s="454">
        <f t="shared" si="10"/>
        <v>0</v>
      </c>
      <c r="Z232" s="454">
        <v>1000</v>
      </c>
      <c r="AA232" s="451">
        <v>1</v>
      </c>
      <c r="AB232" s="587">
        <v>44207</v>
      </c>
      <c r="AC232" s="587">
        <v>44249</v>
      </c>
      <c r="AD232" s="454"/>
      <c r="AE232" s="451"/>
      <c r="AF232" s="587"/>
      <c r="AG232" s="587"/>
      <c r="AH232" s="454"/>
      <c r="AI232" s="451"/>
      <c r="AJ232" s="587"/>
      <c r="AK232" s="587"/>
      <c r="AL232" s="454"/>
      <c r="AM232" s="451"/>
      <c r="AN232" s="587"/>
      <c r="AO232" s="587"/>
      <c r="AP232" s="454"/>
      <c r="AQ232" s="451"/>
      <c r="AR232" s="588"/>
      <c r="AS232" s="588"/>
      <c r="AT232" s="154">
        <f t="shared" si="11"/>
        <v>1000</v>
      </c>
      <c r="AU232" s="461">
        <f t="shared" si="9"/>
        <v>1000</v>
      </c>
    </row>
    <row r="233" spans="1:47" ht="22.5" x14ac:dyDescent="0.2">
      <c r="A233" s="148"/>
      <c r="B233" s="149">
        <v>218</v>
      </c>
      <c r="C233" s="149" t="s">
        <v>38</v>
      </c>
      <c r="D233" s="450">
        <v>40008699</v>
      </c>
      <c r="E233" s="451" t="s">
        <v>2372</v>
      </c>
      <c r="F233" s="451" t="s">
        <v>200</v>
      </c>
      <c r="G233" s="452" t="s">
        <v>2100</v>
      </c>
      <c r="H233" s="451" t="s">
        <v>2170</v>
      </c>
      <c r="I233" s="451" t="s">
        <v>1958</v>
      </c>
      <c r="J233" s="451">
        <v>370725</v>
      </c>
      <c r="K233" s="451"/>
      <c r="L233" s="451"/>
      <c r="M233" s="454">
        <v>0</v>
      </c>
      <c r="N233" s="454">
        <v>0</v>
      </c>
      <c r="O233" s="454">
        <v>0</v>
      </c>
      <c r="P233" s="454">
        <v>0</v>
      </c>
      <c r="Q233" s="454">
        <v>0</v>
      </c>
      <c r="R233" s="454">
        <v>0</v>
      </c>
      <c r="S233" s="454"/>
      <c r="T233" s="454"/>
      <c r="U233" s="454"/>
      <c r="V233" s="454"/>
      <c r="W233" s="454"/>
      <c r="X233" s="454"/>
      <c r="Y233" s="454">
        <f t="shared" si="10"/>
        <v>0</v>
      </c>
      <c r="Z233" s="454">
        <v>1000</v>
      </c>
      <c r="AA233" s="451">
        <v>1</v>
      </c>
      <c r="AB233" s="587">
        <v>44207</v>
      </c>
      <c r="AC233" s="587">
        <v>44249</v>
      </c>
      <c r="AD233" s="454"/>
      <c r="AE233" s="451"/>
      <c r="AF233" s="587"/>
      <c r="AG233" s="587"/>
      <c r="AH233" s="454"/>
      <c r="AI233" s="451"/>
      <c r="AJ233" s="587"/>
      <c r="AK233" s="587"/>
      <c r="AL233" s="454"/>
      <c r="AM233" s="451"/>
      <c r="AN233" s="587"/>
      <c r="AO233" s="587"/>
      <c r="AP233" s="454"/>
      <c r="AQ233" s="451"/>
      <c r="AR233" s="588"/>
      <c r="AS233" s="588"/>
      <c r="AT233" s="154">
        <f t="shared" si="11"/>
        <v>1000</v>
      </c>
      <c r="AU233" s="461">
        <f t="shared" si="9"/>
        <v>1000</v>
      </c>
    </row>
    <row r="234" spans="1:47" ht="22.5" x14ac:dyDescent="0.2">
      <c r="A234" s="148"/>
      <c r="B234" s="149">
        <v>219</v>
      </c>
      <c r="C234" s="149" t="s">
        <v>38</v>
      </c>
      <c r="D234" s="450">
        <v>40008728</v>
      </c>
      <c r="E234" s="451" t="s">
        <v>2373</v>
      </c>
      <c r="F234" s="451" t="s">
        <v>200</v>
      </c>
      <c r="G234" s="452" t="s">
        <v>2100</v>
      </c>
      <c r="H234" s="451" t="s">
        <v>2103</v>
      </c>
      <c r="I234" s="451" t="s">
        <v>1958</v>
      </c>
      <c r="J234" s="451">
        <v>1023963</v>
      </c>
      <c r="K234" s="451"/>
      <c r="L234" s="451"/>
      <c r="M234" s="454">
        <v>356688.853</v>
      </c>
      <c r="N234" s="454">
        <v>0</v>
      </c>
      <c r="O234" s="454">
        <v>142474.46900000001</v>
      </c>
      <c r="P234" s="454">
        <v>105558.01700000001</v>
      </c>
      <c r="Q234" s="454">
        <v>135474.46799999999</v>
      </c>
      <c r="R234" s="454">
        <v>0</v>
      </c>
      <c r="S234" s="454"/>
      <c r="T234" s="454"/>
      <c r="U234" s="454"/>
      <c r="V234" s="454"/>
      <c r="W234" s="454"/>
      <c r="X234" s="454"/>
      <c r="Y234" s="454">
        <f t="shared" si="10"/>
        <v>740195.80700000003</v>
      </c>
      <c r="Z234" s="454">
        <v>1000</v>
      </c>
      <c r="AA234" s="451">
        <v>1</v>
      </c>
      <c r="AB234" s="587">
        <v>44207</v>
      </c>
      <c r="AC234" s="587">
        <v>44249</v>
      </c>
      <c r="AD234" s="454">
        <v>700000</v>
      </c>
      <c r="AE234" s="451">
        <v>4</v>
      </c>
      <c r="AF234" s="587">
        <v>44221</v>
      </c>
      <c r="AG234" s="587">
        <v>44280</v>
      </c>
      <c r="AH234" s="454">
        <v>170000</v>
      </c>
      <c r="AI234" s="451">
        <v>23</v>
      </c>
      <c r="AJ234" s="587">
        <v>44340</v>
      </c>
      <c r="AK234" s="587">
        <v>44350</v>
      </c>
      <c r="AL234" s="454">
        <v>0</v>
      </c>
      <c r="AM234" s="451">
        <v>0</v>
      </c>
      <c r="AN234" s="587"/>
      <c r="AO234" s="587"/>
      <c r="AP234" s="454">
        <v>0</v>
      </c>
      <c r="AQ234" s="451">
        <v>0</v>
      </c>
      <c r="AR234" s="588"/>
      <c r="AS234" s="588"/>
      <c r="AT234" s="154">
        <f t="shared" si="11"/>
        <v>871000</v>
      </c>
      <c r="AU234" s="461">
        <f t="shared" si="9"/>
        <v>130804.19299999997</v>
      </c>
    </row>
    <row r="235" spans="1:47" ht="22.5" x14ac:dyDescent="0.2">
      <c r="A235" s="148"/>
      <c r="B235" s="149">
        <v>220</v>
      </c>
      <c r="C235" s="149" t="s">
        <v>38</v>
      </c>
      <c r="D235" s="450">
        <v>40008730</v>
      </c>
      <c r="E235" s="451" t="s">
        <v>2374</v>
      </c>
      <c r="F235" s="451" t="s">
        <v>200</v>
      </c>
      <c r="G235" s="452" t="s">
        <v>2100</v>
      </c>
      <c r="H235" s="451" t="s">
        <v>2151</v>
      </c>
      <c r="I235" s="451" t="s">
        <v>1958</v>
      </c>
      <c r="J235" s="451">
        <v>412453</v>
      </c>
      <c r="K235" s="451"/>
      <c r="L235" s="451"/>
      <c r="M235" s="454">
        <v>0</v>
      </c>
      <c r="N235" s="454">
        <v>0</v>
      </c>
      <c r="O235" s="454">
        <v>0</v>
      </c>
      <c r="P235" s="454">
        <v>0</v>
      </c>
      <c r="Q235" s="454">
        <v>0</v>
      </c>
      <c r="R235" s="454">
        <v>0</v>
      </c>
      <c r="S235" s="454"/>
      <c r="T235" s="454"/>
      <c r="U235" s="454"/>
      <c r="V235" s="454"/>
      <c r="W235" s="454"/>
      <c r="X235" s="454"/>
      <c r="Y235" s="454">
        <f t="shared" si="10"/>
        <v>0</v>
      </c>
      <c r="Z235" s="454">
        <v>1000</v>
      </c>
      <c r="AA235" s="451">
        <v>1</v>
      </c>
      <c r="AB235" s="587">
        <v>44207</v>
      </c>
      <c r="AC235" s="587">
        <v>44249</v>
      </c>
      <c r="AD235" s="454"/>
      <c r="AE235" s="451"/>
      <c r="AF235" s="587"/>
      <c r="AG235" s="587"/>
      <c r="AH235" s="454"/>
      <c r="AI235" s="451"/>
      <c r="AJ235" s="587"/>
      <c r="AK235" s="587"/>
      <c r="AL235" s="454"/>
      <c r="AM235" s="451"/>
      <c r="AN235" s="587"/>
      <c r="AO235" s="587"/>
      <c r="AP235" s="454"/>
      <c r="AQ235" s="451"/>
      <c r="AR235" s="588"/>
      <c r="AS235" s="588"/>
      <c r="AT235" s="154">
        <f t="shared" si="11"/>
        <v>1000</v>
      </c>
      <c r="AU235" s="461">
        <f t="shared" si="9"/>
        <v>1000</v>
      </c>
    </row>
    <row r="236" spans="1:47" ht="22.5" x14ac:dyDescent="0.2">
      <c r="A236" s="148"/>
      <c r="B236" s="149">
        <v>221</v>
      </c>
      <c r="C236" s="149" t="s">
        <v>38</v>
      </c>
      <c r="D236" s="450">
        <v>40008736</v>
      </c>
      <c r="E236" s="451" t="s">
        <v>2375</v>
      </c>
      <c r="F236" s="451" t="s">
        <v>200</v>
      </c>
      <c r="G236" s="452" t="s">
        <v>2100</v>
      </c>
      <c r="H236" s="451" t="s">
        <v>2160</v>
      </c>
      <c r="I236" s="451" t="s">
        <v>1958</v>
      </c>
      <c r="J236" s="451">
        <v>417445</v>
      </c>
      <c r="K236" s="451"/>
      <c r="L236" s="451"/>
      <c r="M236" s="454">
        <v>207930.576</v>
      </c>
      <c r="N236" s="454">
        <v>0</v>
      </c>
      <c r="O236" s="454">
        <v>62397.381999999998</v>
      </c>
      <c r="P236" s="454">
        <v>108273.889</v>
      </c>
      <c r="Q236" s="454">
        <v>0</v>
      </c>
      <c r="R236" s="454">
        <v>41026.006999999998</v>
      </c>
      <c r="S236" s="454"/>
      <c r="T236" s="454"/>
      <c r="U236" s="454"/>
      <c r="V236" s="454"/>
      <c r="W236" s="454"/>
      <c r="X236" s="454"/>
      <c r="Y236" s="454">
        <f t="shared" si="10"/>
        <v>419627.85399999993</v>
      </c>
      <c r="Z236" s="454">
        <v>1000</v>
      </c>
      <c r="AA236" s="451">
        <v>1</v>
      </c>
      <c r="AB236" s="587">
        <v>44207</v>
      </c>
      <c r="AC236" s="587">
        <v>44249</v>
      </c>
      <c r="AD236" s="454">
        <v>280000</v>
      </c>
      <c r="AE236" s="451">
        <v>4</v>
      </c>
      <c r="AF236" s="587">
        <v>44221</v>
      </c>
      <c r="AG236" s="587">
        <v>44280</v>
      </c>
      <c r="AH236" s="454">
        <v>100000</v>
      </c>
      <c r="AI236" s="451">
        <v>10</v>
      </c>
      <c r="AJ236" s="587">
        <v>44286</v>
      </c>
      <c r="AK236" s="587">
        <v>44306</v>
      </c>
      <c r="AL236" s="454">
        <v>0</v>
      </c>
      <c r="AM236" s="451">
        <v>0</v>
      </c>
      <c r="AN236" s="587"/>
      <c r="AO236" s="587"/>
      <c r="AP236" s="454">
        <v>0</v>
      </c>
      <c r="AQ236" s="451">
        <v>0</v>
      </c>
      <c r="AR236" s="588"/>
      <c r="AS236" s="588"/>
      <c r="AT236" s="154">
        <f t="shared" si="11"/>
        <v>381000</v>
      </c>
      <c r="AU236" s="461">
        <f t="shared" si="9"/>
        <v>-38627.853999999934</v>
      </c>
    </row>
    <row r="237" spans="1:47" ht="22.5" x14ac:dyDescent="0.2">
      <c r="A237" s="148"/>
      <c r="B237" s="149">
        <v>222</v>
      </c>
      <c r="C237" s="149" t="s">
        <v>38</v>
      </c>
      <c r="D237" s="450">
        <v>40008744</v>
      </c>
      <c r="E237" s="451" t="s">
        <v>2376</v>
      </c>
      <c r="F237" s="451" t="s">
        <v>200</v>
      </c>
      <c r="G237" s="452" t="s">
        <v>2100</v>
      </c>
      <c r="H237" s="451" t="s">
        <v>2228</v>
      </c>
      <c r="I237" s="451" t="s">
        <v>1958</v>
      </c>
      <c r="J237" s="451">
        <v>231630</v>
      </c>
      <c r="K237" s="451"/>
      <c r="L237" s="451"/>
      <c r="M237" s="454">
        <v>0</v>
      </c>
      <c r="N237" s="454">
        <v>0</v>
      </c>
      <c r="O237" s="454">
        <v>0</v>
      </c>
      <c r="P237" s="454">
        <v>0</v>
      </c>
      <c r="Q237" s="454">
        <v>0</v>
      </c>
      <c r="R237" s="454">
        <v>181763.92199999999</v>
      </c>
      <c r="S237" s="454"/>
      <c r="T237" s="454"/>
      <c r="U237" s="454"/>
      <c r="V237" s="454"/>
      <c r="W237" s="454"/>
      <c r="X237" s="454"/>
      <c r="Y237" s="454">
        <f t="shared" si="10"/>
        <v>181763.92199999999</v>
      </c>
      <c r="Z237" s="454">
        <v>1000</v>
      </c>
      <c r="AA237" s="451">
        <v>1</v>
      </c>
      <c r="AB237" s="587">
        <v>44207</v>
      </c>
      <c r="AC237" s="587">
        <v>44249</v>
      </c>
      <c r="AD237" s="454"/>
      <c r="AE237" s="451"/>
      <c r="AF237" s="587"/>
      <c r="AG237" s="587"/>
      <c r="AH237" s="454"/>
      <c r="AI237" s="451"/>
      <c r="AJ237" s="587"/>
      <c r="AK237" s="587"/>
      <c r="AL237" s="454"/>
      <c r="AM237" s="451"/>
      <c r="AN237" s="587"/>
      <c r="AO237" s="587"/>
      <c r="AP237" s="454"/>
      <c r="AQ237" s="451"/>
      <c r="AR237" s="588"/>
      <c r="AS237" s="588"/>
      <c r="AT237" s="154">
        <f t="shared" si="11"/>
        <v>1000</v>
      </c>
      <c r="AU237" s="461">
        <f t="shared" si="9"/>
        <v>-180763.92199999999</v>
      </c>
    </row>
    <row r="238" spans="1:47" ht="22.5" x14ac:dyDescent="0.2">
      <c r="A238" s="148"/>
      <c r="B238" s="149">
        <v>223</v>
      </c>
      <c r="C238" s="149" t="s">
        <v>38</v>
      </c>
      <c r="D238" s="450">
        <v>40008751</v>
      </c>
      <c r="E238" s="451" t="s">
        <v>2377</v>
      </c>
      <c r="F238" s="451" t="s">
        <v>200</v>
      </c>
      <c r="G238" s="452" t="s">
        <v>2100</v>
      </c>
      <c r="H238" s="451" t="s">
        <v>2158</v>
      </c>
      <c r="I238" s="451" t="s">
        <v>1958</v>
      </c>
      <c r="J238" s="451">
        <v>113481</v>
      </c>
      <c r="K238" s="451"/>
      <c r="L238" s="451"/>
      <c r="M238" s="454">
        <v>0</v>
      </c>
      <c r="N238" s="454">
        <v>0</v>
      </c>
      <c r="O238" s="454">
        <v>0</v>
      </c>
      <c r="P238" s="454">
        <v>0</v>
      </c>
      <c r="Q238" s="454">
        <v>0</v>
      </c>
      <c r="R238" s="454">
        <v>0</v>
      </c>
      <c r="S238" s="454"/>
      <c r="T238" s="454"/>
      <c r="U238" s="454"/>
      <c r="V238" s="454"/>
      <c r="W238" s="454"/>
      <c r="X238" s="454"/>
      <c r="Y238" s="454">
        <f t="shared" si="10"/>
        <v>0</v>
      </c>
      <c r="Z238" s="454">
        <v>1000</v>
      </c>
      <c r="AA238" s="451">
        <v>1</v>
      </c>
      <c r="AB238" s="587">
        <v>44207</v>
      </c>
      <c r="AC238" s="587">
        <v>44249</v>
      </c>
      <c r="AD238" s="454"/>
      <c r="AE238" s="451"/>
      <c r="AF238" s="587"/>
      <c r="AG238" s="587"/>
      <c r="AH238" s="454"/>
      <c r="AI238" s="451"/>
      <c r="AJ238" s="587"/>
      <c r="AK238" s="587"/>
      <c r="AL238" s="454"/>
      <c r="AM238" s="451"/>
      <c r="AN238" s="587"/>
      <c r="AO238" s="587"/>
      <c r="AP238" s="454"/>
      <c r="AQ238" s="451"/>
      <c r="AR238" s="588"/>
      <c r="AS238" s="588"/>
      <c r="AT238" s="154">
        <f t="shared" si="11"/>
        <v>1000</v>
      </c>
      <c r="AU238" s="461">
        <f t="shared" si="9"/>
        <v>1000</v>
      </c>
    </row>
    <row r="239" spans="1:47" ht="22.5" x14ac:dyDescent="0.2">
      <c r="A239" s="148"/>
      <c r="B239" s="149">
        <v>224</v>
      </c>
      <c r="C239" s="149" t="s">
        <v>38</v>
      </c>
      <c r="D239" s="450">
        <v>40008759</v>
      </c>
      <c r="E239" s="451" t="s">
        <v>2378</v>
      </c>
      <c r="F239" s="451" t="s">
        <v>200</v>
      </c>
      <c r="G239" s="452" t="s">
        <v>2100</v>
      </c>
      <c r="H239" s="451" t="s">
        <v>2275</v>
      </c>
      <c r="I239" s="451" t="s">
        <v>1958</v>
      </c>
      <c r="J239" s="451">
        <v>224049</v>
      </c>
      <c r="K239" s="451"/>
      <c r="L239" s="451"/>
      <c r="M239" s="454">
        <v>0</v>
      </c>
      <c r="N239" s="454">
        <v>0</v>
      </c>
      <c r="O239" s="454">
        <v>0</v>
      </c>
      <c r="P239" s="454">
        <v>0</v>
      </c>
      <c r="Q239" s="454">
        <v>0</v>
      </c>
      <c r="R239" s="454">
        <v>0</v>
      </c>
      <c r="S239" s="454"/>
      <c r="T239" s="454"/>
      <c r="U239" s="454"/>
      <c r="V239" s="454"/>
      <c r="W239" s="454"/>
      <c r="X239" s="454"/>
      <c r="Y239" s="454">
        <f t="shared" si="10"/>
        <v>0</v>
      </c>
      <c r="Z239" s="454">
        <v>1000</v>
      </c>
      <c r="AA239" s="451">
        <v>8</v>
      </c>
      <c r="AB239" s="587">
        <v>44252</v>
      </c>
      <c r="AC239" s="587">
        <v>44292</v>
      </c>
      <c r="AD239" s="454"/>
      <c r="AE239" s="451"/>
      <c r="AF239" s="587"/>
      <c r="AG239" s="587"/>
      <c r="AH239" s="454"/>
      <c r="AI239" s="451"/>
      <c r="AJ239" s="587"/>
      <c r="AK239" s="587"/>
      <c r="AL239" s="454"/>
      <c r="AM239" s="451"/>
      <c r="AN239" s="587"/>
      <c r="AO239" s="587"/>
      <c r="AP239" s="454"/>
      <c r="AQ239" s="451"/>
      <c r="AR239" s="588"/>
      <c r="AS239" s="588"/>
      <c r="AT239" s="154">
        <f t="shared" si="11"/>
        <v>1000</v>
      </c>
      <c r="AU239" s="461">
        <f t="shared" si="9"/>
        <v>1000</v>
      </c>
    </row>
    <row r="240" spans="1:47" ht="22.5" x14ac:dyDescent="0.2">
      <c r="A240" s="148"/>
      <c r="B240" s="149">
        <v>225</v>
      </c>
      <c r="C240" s="149" t="s">
        <v>38</v>
      </c>
      <c r="D240" s="450">
        <v>40008761</v>
      </c>
      <c r="E240" s="451" t="s">
        <v>2379</v>
      </c>
      <c r="F240" s="451" t="s">
        <v>200</v>
      </c>
      <c r="G240" s="452" t="s">
        <v>2100</v>
      </c>
      <c r="H240" s="451" t="s">
        <v>2275</v>
      </c>
      <c r="I240" s="451" t="s">
        <v>1958</v>
      </c>
      <c r="J240" s="451">
        <v>89577</v>
      </c>
      <c r="K240" s="451"/>
      <c r="L240" s="451"/>
      <c r="M240" s="454">
        <v>0</v>
      </c>
      <c r="N240" s="454">
        <v>0</v>
      </c>
      <c r="O240" s="454">
        <v>0</v>
      </c>
      <c r="P240" s="454">
        <v>0</v>
      </c>
      <c r="Q240" s="454">
        <v>0</v>
      </c>
      <c r="R240" s="454">
        <v>0</v>
      </c>
      <c r="S240" s="454"/>
      <c r="T240" s="454"/>
      <c r="U240" s="454"/>
      <c r="V240" s="454"/>
      <c r="W240" s="454"/>
      <c r="X240" s="454"/>
      <c r="Y240" s="454">
        <f t="shared" si="10"/>
        <v>0</v>
      </c>
      <c r="Z240" s="454">
        <v>1000</v>
      </c>
      <c r="AA240" s="451">
        <v>8</v>
      </c>
      <c r="AB240" s="587">
        <v>44252</v>
      </c>
      <c r="AC240" s="587">
        <v>44292</v>
      </c>
      <c r="AD240" s="454"/>
      <c r="AE240" s="451"/>
      <c r="AF240" s="587"/>
      <c r="AG240" s="587"/>
      <c r="AH240" s="454"/>
      <c r="AI240" s="451"/>
      <c r="AJ240" s="587"/>
      <c r="AK240" s="587"/>
      <c r="AL240" s="454"/>
      <c r="AM240" s="451"/>
      <c r="AN240" s="587"/>
      <c r="AO240" s="587"/>
      <c r="AP240" s="454"/>
      <c r="AQ240" s="451"/>
      <c r="AR240" s="588"/>
      <c r="AS240" s="588"/>
      <c r="AT240" s="154">
        <f t="shared" si="11"/>
        <v>1000</v>
      </c>
      <c r="AU240" s="461">
        <f t="shared" si="9"/>
        <v>1000</v>
      </c>
    </row>
    <row r="241" spans="1:47" ht="22.5" x14ac:dyDescent="0.2">
      <c r="A241" s="148"/>
      <c r="B241" s="149">
        <v>226</v>
      </c>
      <c r="C241" s="149" t="s">
        <v>38</v>
      </c>
      <c r="D241" s="450">
        <v>40008770</v>
      </c>
      <c r="E241" s="451" t="s">
        <v>2380</v>
      </c>
      <c r="F241" s="451" t="s">
        <v>204</v>
      </c>
      <c r="G241" s="452" t="s">
        <v>2100</v>
      </c>
      <c r="H241" s="451" t="s">
        <v>2242</v>
      </c>
      <c r="I241" s="451" t="s">
        <v>1958</v>
      </c>
      <c r="J241" s="451">
        <v>57832</v>
      </c>
      <c r="K241" s="451"/>
      <c r="L241" s="451"/>
      <c r="M241" s="454">
        <v>0</v>
      </c>
      <c r="N241" s="454">
        <v>0</v>
      </c>
      <c r="O241" s="454">
        <v>0</v>
      </c>
      <c r="P241" s="454">
        <v>0</v>
      </c>
      <c r="Q241" s="454">
        <v>0</v>
      </c>
      <c r="R241" s="454">
        <v>0</v>
      </c>
      <c r="S241" s="454"/>
      <c r="T241" s="454"/>
      <c r="U241" s="454"/>
      <c r="V241" s="454"/>
      <c r="W241" s="454"/>
      <c r="X241" s="454"/>
      <c r="Y241" s="454">
        <f t="shared" si="10"/>
        <v>0</v>
      </c>
      <c r="Z241" s="454">
        <v>1000</v>
      </c>
      <c r="AA241" s="451">
        <v>1</v>
      </c>
      <c r="AB241" s="587">
        <v>44207</v>
      </c>
      <c r="AC241" s="587">
        <v>44249</v>
      </c>
      <c r="AD241" s="454"/>
      <c r="AE241" s="451"/>
      <c r="AF241" s="587"/>
      <c r="AG241" s="587"/>
      <c r="AH241" s="454"/>
      <c r="AI241" s="451"/>
      <c r="AJ241" s="587"/>
      <c r="AK241" s="587"/>
      <c r="AL241" s="454"/>
      <c r="AM241" s="451"/>
      <c r="AN241" s="587"/>
      <c r="AO241" s="587"/>
      <c r="AP241" s="454"/>
      <c r="AQ241" s="451"/>
      <c r="AR241" s="588"/>
      <c r="AS241" s="588"/>
      <c r="AT241" s="154">
        <f t="shared" si="11"/>
        <v>1000</v>
      </c>
      <c r="AU241" s="461">
        <f t="shared" si="9"/>
        <v>1000</v>
      </c>
    </row>
    <row r="242" spans="1:47" ht="22.5" x14ac:dyDescent="0.2">
      <c r="A242" s="148"/>
      <c r="B242" s="149">
        <v>227</v>
      </c>
      <c r="C242" s="149" t="s">
        <v>38</v>
      </c>
      <c r="D242" s="450">
        <v>40008771</v>
      </c>
      <c r="E242" s="451" t="s">
        <v>2381</v>
      </c>
      <c r="F242" s="451" t="s">
        <v>539</v>
      </c>
      <c r="G242" s="452" t="s">
        <v>2100</v>
      </c>
      <c r="H242" s="451" t="s">
        <v>2242</v>
      </c>
      <c r="I242" s="451" t="s">
        <v>1958</v>
      </c>
      <c r="J242" s="451">
        <v>21594</v>
      </c>
      <c r="K242" s="451"/>
      <c r="L242" s="451"/>
      <c r="M242" s="454">
        <v>0</v>
      </c>
      <c r="N242" s="454">
        <v>0</v>
      </c>
      <c r="O242" s="454">
        <v>0</v>
      </c>
      <c r="P242" s="454">
        <v>0</v>
      </c>
      <c r="Q242" s="454">
        <v>0</v>
      </c>
      <c r="R242" s="454">
        <v>0</v>
      </c>
      <c r="S242" s="454"/>
      <c r="T242" s="454"/>
      <c r="U242" s="454"/>
      <c r="V242" s="454"/>
      <c r="W242" s="454"/>
      <c r="X242" s="454"/>
      <c r="Y242" s="454">
        <f t="shared" si="10"/>
        <v>0</v>
      </c>
      <c r="Z242" s="454">
        <v>1000</v>
      </c>
      <c r="AA242" s="451">
        <v>1</v>
      </c>
      <c r="AB242" s="587">
        <v>44207</v>
      </c>
      <c r="AC242" s="587">
        <v>44249</v>
      </c>
      <c r="AD242" s="454"/>
      <c r="AE242" s="451"/>
      <c r="AF242" s="587"/>
      <c r="AG242" s="587"/>
      <c r="AH242" s="454"/>
      <c r="AI242" s="451"/>
      <c r="AJ242" s="587"/>
      <c r="AK242" s="587"/>
      <c r="AL242" s="454"/>
      <c r="AM242" s="451"/>
      <c r="AN242" s="587"/>
      <c r="AO242" s="587"/>
      <c r="AP242" s="454"/>
      <c r="AQ242" s="451"/>
      <c r="AR242" s="588"/>
      <c r="AS242" s="588"/>
      <c r="AT242" s="154">
        <f t="shared" si="11"/>
        <v>1000</v>
      </c>
      <c r="AU242" s="461">
        <f t="shared" si="9"/>
        <v>1000</v>
      </c>
    </row>
    <row r="243" spans="1:47" ht="22.5" x14ac:dyDescent="0.2">
      <c r="A243" s="148"/>
      <c r="B243" s="149">
        <v>228</v>
      </c>
      <c r="C243" s="149" t="s">
        <v>38</v>
      </c>
      <c r="D243" s="450">
        <v>40008772</v>
      </c>
      <c r="E243" s="451" t="s">
        <v>2382</v>
      </c>
      <c r="F243" s="451" t="s">
        <v>204</v>
      </c>
      <c r="G243" s="452" t="s">
        <v>2100</v>
      </c>
      <c r="H243" s="451" t="s">
        <v>2242</v>
      </c>
      <c r="I243" s="451" t="s">
        <v>1958</v>
      </c>
      <c r="J243" s="451">
        <v>131368</v>
      </c>
      <c r="K243" s="451"/>
      <c r="L243" s="451"/>
      <c r="M243" s="454">
        <v>0</v>
      </c>
      <c r="N243" s="454">
        <v>0</v>
      </c>
      <c r="O243" s="454">
        <v>0</v>
      </c>
      <c r="P243" s="454">
        <v>0</v>
      </c>
      <c r="Q243" s="454">
        <v>0</v>
      </c>
      <c r="R243" s="454">
        <v>0</v>
      </c>
      <c r="S243" s="454"/>
      <c r="T243" s="454"/>
      <c r="U243" s="454"/>
      <c r="V243" s="454"/>
      <c r="W243" s="454"/>
      <c r="X243" s="454"/>
      <c r="Y243" s="454">
        <f t="shared" si="10"/>
        <v>0</v>
      </c>
      <c r="Z243" s="454">
        <v>1000</v>
      </c>
      <c r="AA243" s="451">
        <v>1</v>
      </c>
      <c r="AB243" s="587">
        <v>44207</v>
      </c>
      <c r="AC243" s="587">
        <v>44249</v>
      </c>
      <c r="AD243" s="454"/>
      <c r="AE243" s="451"/>
      <c r="AF243" s="587"/>
      <c r="AG243" s="587"/>
      <c r="AH243" s="454"/>
      <c r="AI243" s="451"/>
      <c r="AJ243" s="587"/>
      <c r="AK243" s="587"/>
      <c r="AL243" s="454"/>
      <c r="AM243" s="451"/>
      <c r="AN243" s="587"/>
      <c r="AO243" s="587"/>
      <c r="AP243" s="454"/>
      <c r="AQ243" s="451"/>
      <c r="AR243" s="588"/>
      <c r="AS243" s="588"/>
      <c r="AT243" s="154">
        <f t="shared" si="11"/>
        <v>1000</v>
      </c>
      <c r="AU243" s="461">
        <f t="shared" si="9"/>
        <v>1000</v>
      </c>
    </row>
    <row r="244" spans="1:47" ht="22.5" x14ac:dyDescent="0.2">
      <c r="A244" s="148"/>
      <c r="B244" s="149">
        <v>229</v>
      </c>
      <c r="C244" s="149" t="s">
        <v>38</v>
      </c>
      <c r="D244" s="450">
        <v>40008773</v>
      </c>
      <c r="E244" s="451" t="s">
        <v>2383</v>
      </c>
      <c r="F244" s="451" t="s">
        <v>200</v>
      </c>
      <c r="G244" s="452" t="s">
        <v>2100</v>
      </c>
      <c r="H244" s="451" t="s">
        <v>2242</v>
      </c>
      <c r="I244" s="451" t="s">
        <v>1958</v>
      </c>
      <c r="J244" s="451">
        <v>20341</v>
      </c>
      <c r="K244" s="451"/>
      <c r="L244" s="451"/>
      <c r="M244" s="454">
        <v>0</v>
      </c>
      <c r="N244" s="454">
        <v>0</v>
      </c>
      <c r="O244" s="454">
        <v>0</v>
      </c>
      <c r="P244" s="454">
        <v>0</v>
      </c>
      <c r="Q244" s="454">
        <v>0</v>
      </c>
      <c r="R244" s="454">
        <v>0</v>
      </c>
      <c r="S244" s="454"/>
      <c r="T244" s="454"/>
      <c r="U244" s="454"/>
      <c r="V244" s="454"/>
      <c r="W244" s="454"/>
      <c r="X244" s="454"/>
      <c r="Y244" s="454">
        <f t="shared" si="10"/>
        <v>0</v>
      </c>
      <c r="Z244" s="454">
        <v>1000</v>
      </c>
      <c r="AA244" s="451">
        <v>1</v>
      </c>
      <c r="AB244" s="587">
        <v>44207</v>
      </c>
      <c r="AC244" s="587">
        <v>44249</v>
      </c>
      <c r="AD244" s="454"/>
      <c r="AE244" s="451"/>
      <c r="AF244" s="587"/>
      <c r="AG244" s="587"/>
      <c r="AH244" s="454"/>
      <c r="AI244" s="451"/>
      <c r="AJ244" s="587"/>
      <c r="AK244" s="587"/>
      <c r="AL244" s="454"/>
      <c r="AM244" s="451"/>
      <c r="AN244" s="587"/>
      <c r="AO244" s="587"/>
      <c r="AP244" s="454"/>
      <c r="AQ244" s="451"/>
      <c r="AR244" s="588"/>
      <c r="AS244" s="588"/>
      <c r="AT244" s="154">
        <f t="shared" si="11"/>
        <v>1000</v>
      </c>
      <c r="AU244" s="461">
        <f t="shared" si="9"/>
        <v>1000</v>
      </c>
    </row>
    <row r="245" spans="1:47" ht="33.75" x14ac:dyDescent="0.2">
      <c r="A245" s="148"/>
      <c r="B245" s="149">
        <v>230</v>
      </c>
      <c r="C245" s="149" t="s">
        <v>38</v>
      </c>
      <c r="D245" s="450">
        <v>40008808</v>
      </c>
      <c r="E245" s="451" t="s">
        <v>2384</v>
      </c>
      <c r="F245" s="451" t="s">
        <v>200</v>
      </c>
      <c r="G245" s="452" t="s">
        <v>2100</v>
      </c>
      <c r="H245" s="451" t="s">
        <v>2113</v>
      </c>
      <c r="I245" s="451" t="s">
        <v>1958</v>
      </c>
      <c r="J245" s="451">
        <v>219984</v>
      </c>
      <c r="K245" s="451"/>
      <c r="L245" s="451"/>
      <c r="M245" s="454">
        <v>0</v>
      </c>
      <c r="N245" s="454">
        <v>0</v>
      </c>
      <c r="O245" s="454">
        <v>0</v>
      </c>
      <c r="P245" s="454">
        <v>0</v>
      </c>
      <c r="Q245" s="454">
        <v>0</v>
      </c>
      <c r="R245" s="454">
        <v>0</v>
      </c>
      <c r="S245" s="454"/>
      <c r="T245" s="454"/>
      <c r="U245" s="454"/>
      <c r="V245" s="454"/>
      <c r="W245" s="454"/>
      <c r="X245" s="454"/>
      <c r="Y245" s="454">
        <f t="shared" si="10"/>
        <v>0</v>
      </c>
      <c r="Z245" s="454">
        <v>1000</v>
      </c>
      <c r="AA245" s="451">
        <v>1</v>
      </c>
      <c r="AB245" s="587">
        <v>44207</v>
      </c>
      <c r="AC245" s="587">
        <v>44249</v>
      </c>
      <c r="AD245" s="454"/>
      <c r="AE245" s="451"/>
      <c r="AF245" s="587"/>
      <c r="AG245" s="587"/>
      <c r="AH245" s="454"/>
      <c r="AI245" s="451"/>
      <c r="AJ245" s="587"/>
      <c r="AK245" s="587"/>
      <c r="AL245" s="454"/>
      <c r="AM245" s="451"/>
      <c r="AN245" s="587"/>
      <c r="AO245" s="587"/>
      <c r="AP245" s="454"/>
      <c r="AQ245" s="451"/>
      <c r="AR245" s="588"/>
      <c r="AS245" s="588"/>
      <c r="AT245" s="154">
        <f t="shared" si="11"/>
        <v>1000</v>
      </c>
      <c r="AU245" s="461">
        <f t="shared" si="9"/>
        <v>1000</v>
      </c>
    </row>
    <row r="246" spans="1:47" ht="22.5" x14ac:dyDescent="0.2">
      <c r="A246" s="148"/>
      <c r="B246" s="149">
        <v>231</v>
      </c>
      <c r="C246" s="149" t="s">
        <v>38</v>
      </c>
      <c r="D246" s="450">
        <v>40008864</v>
      </c>
      <c r="E246" s="451" t="s">
        <v>2385</v>
      </c>
      <c r="F246" s="451" t="s">
        <v>200</v>
      </c>
      <c r="G246" s="452" t="s">
        <v>2100</v>
      </c>
      <c r="H246" s="451" t="s">
        <v>2246</v>
      </c>
      <c r="I246" s="451" t="s">
        <v>1958</v>
      </c>
      <c r="J246" s="451">
        <v>27308</v>
      </c>
      <c r="K246" s="451"/>
      <c r="L246" s="451"/>
      <c r="M246" s="454">
        <v>0</v>
      </c>
      <c r="N246" s="454">
        <v>0</v>
      </c>
      <c r="O246" s="454">
        <v>0</v>
      </c>
      <c r="P246" s="454">
        <v>0</v>
      </c>
      <c r="Q246" s="454">
        <v>0</v>
      </c>
      <c r="R246" s="454">
        <v>0</v>
      </c>
      <c r="S246" s="454"/>
      <c r="T246" s="454"/>
      <c r="U246" s="454"/>
      <c r="V246" s="454"/>
      <c r="W246" s="454"/>
      <c r="X246" s="454"/>
      <c r="Y246" s="454">
        <f t="shared" si="10"/>
        <v>0</v>
      </c>
      <c r="Z246" s="454">
        <v>1000</v>
      </c>
      <c r="AA246" s="451">
        <v>8</v>
      </c>
      <c r="AB246" s="587">
        <v>44252</v>
      </c>
      <c r="AC246" s="587">
        <v>44292</v>
      </c>
      <c r="AD246" s="454"/>
      <c r="AE246" s="451"/>
      <c r="AF246" s="587"/>
      <c r="AG246" s="587"/>
      <c r="AH246" s="454"/>
      <c r="AI246" s="451"/>
      <c r="AJ246" s="587"/>
      <c r="AK246" s="587"/>
      <c r="AL246" s="454"/>
      <c r="AM246" s="451"/>
      <c r="AN246" s="587"/>
      <c r="AO246" s="587"/>
      <c r="AP246" s="454"/>
      <c r="AQ246" s="451"/>
      <c r="AR246" s="588"/>
      <c r="AS246" s="588"/>
      <c r="AT246" s="154">
        <f t="shared" si="11"/>
        <v>1000</v>
      </c>
      <c r="AU246" s="461">
        <f t="shared" si="9"/>
        <v>1000</v>
      </c>
    </row>
    <row r="247" spans="1:47" ht="22.5" x14ac:dyDescent="0.2">
      <c r="A247" s="148"/>
      <c r="B247" s="149">
        <v>232</v>
      </c>
      <c r="C247" s="149" t="s">
        <v>38</v>
      </c>
      <c r="D247" s="450">
        <v>40008866</v>
      </c>
      <c r="E247" s="451" t="s">
        <v>2386</v>
      </c>
      <c r="F247" s="451" t="s">
        <v>204</v>
      </c>
      <c r="G247" s="452" t="s">
        <v>2100</v>
      </c>
      <c r="H247" s="451" t="s">
        <v>2246</v>
      </c>
      <c r="I247" s="451" t="s">
        <v>1958</v>
      </c>
      <c r="J247" s="451">
        <v>3328</v>
      </c>
      <c r="K247" s="451"/>
      <c r="L247" s="451"/>
      <c r="M247" s="454">
        <v>0</v>
      </c>
      <c r="N247" s="454">
        <v>0</v>
      </c>
      <c r="O247" s="454">
        <v>0</v>
      </c>
      <c r="P247" s="454">
        <v>0</v>
      </c>
      <c r="Q247" s="454">
        <v>0</v>
      </c>
      <c r="R247" s="454">
        <v>0</v>
      </c>
      <c r="S247" s="454"/>
      <c r="T247" s="454"/>
      <c r="U247" s="454"/>
      <c r="V247" s="454"/>
      <c r="W247" s="454"/>
      <c r="X247" s="454"/>
      <c r="Y247" s="454">
        <f t="shared" si="10"/>
        <v>0</v>
      </c>
      <c r="Z247" s="454">
        <v>1000</v>
      </c>
      <c r="AA247" s="451">
        <v>1</v>
      </c>
      <c r="AB247" s="587">
        <v>44207</v>
      </c>
      <c r="AC247" s="587">
        <v>44249</v>
      </c>
      <c r="AD247" s="454"/>
      <c r="AE247" s="451"/>
      <c r="AF247" s="587"/>
      <c r="AG247" s="587"/>
      <c r="AH247" s="454"/>
      <c r="AI247" s="451"/>
      <c r="AJ247" s="587"/>
      <c r="AK247" s="587"/>
      <c r="AL247" s="454"/>
      <c r="AM247" s="451"/>
      <c r="AN247" s="587"/>
      <c r="AO247" s="587"/>
      <c r="AP247" s="454"/>
      <c r="AQ247" s="451"/>
      <c r="AR247" s="588"/>
      <c r="AS247" s="588"/>
      <c r="AT247" s="154">
        <f t="shared" si="11"/>
        <v>1000</v>
      </c>
      <c r="AU247" s="461">
        <f t="shared" si="9"/>
        <v>1000</v>
      </c>
    </row>
    <row r="248" spans="1:47" ht="22.5" x14ac:dyDescent="0.2">
      <c r="A248" s="148"/>
      <c r="B248" s="149">
        <v>233</v>
      </c>
      <c r="C248" s="149" t="s">
        <v>38</v>
      </c>
      <c r="D248" s="450">
        <v>40009176</v>
      </c>
      <c r="E248" s="451" t="s">
        <v>2387</v>
      </c>
      <c r="F248" s="451" t="s">
        <v>200</v>
      </c>
      <c r="G248" s="452" t="s">
        <v>2100</v>
      </c>
      <c r="H248" s="451" t="s">
        <v>2147</v>
      </c>
      <c r="I248" s="451" t="s">
        <v>1958</v>
      </c>
      <c r="J248" s="451">
        <v>339283</v>
      </c>
      <c r="K248" s="451"/>
      <c r="L248" s="451"/>
      <c r="M248" s="454">
        <v>0</v>
      </c>
      <c r="N248" s="454">
        <v>0</v>
      </c>
      <c r="O248" s="454">
        <v>0</v>
      </c>
      <c r="P248" s="454">
        <v>0</v>
      </c>
      <c r="Q248" s="454">
        <v>0</v>
      </c>
      <c r="R248" s="454">
        <v>0</v>
      </c>
      <c r="S248" s="454"/>
      <c r="T248" s="454"/>
      <c r="U248" s="454"/>
      <c r="V248" s="454"/>
      <c r="W248" s="454"/>
      <c r="X248" s="454"/>
      <c r="Y248" s="454">
        <f t="shared" si="10"/>
        <v>0</v>
      </c>
      <c r="Z248" s="454">
        <v>1000</v>
      </c>
      <c r="AA248" s="451">
        <v>1</v>
      </c>
      <c r="AB248" s="587">
        <v>44207</v>
      </c>
      <c r="AC248" s="587">
        <v>44249</v>
      </c>
      <c r="AD248" s="454"/>
      <c r="AE248" s="451"/>
      <c r="AF248" s="587"/>
      <c r="AG248" s="587"/>
      <c r="AH248" s="454"/>
      <c r="AI248" s="451"/>
      <c r="AJ248" s="587"/>
      <c r="AK248" s="587"/>
      <c r="AL248" s="454"/>
      <c r="AM248" s="451"/>
      <c r="AN248" s="587"/>
      <c r="AO248" s="587"/>
      <c r="AP248" s="454"/>
      <c r="AQ248" s="451"/>
      <c r="AR248" s="588"/>
      <c r="AS248" s="588"/>
      <c r="AT248" s="154">
        <f t="shared" si="11"/>
        <v>1000</v>
      </c>
      <c r="AU248" s="461">
        <f t="shared" si="9"/>
        <v>1000</v>
      </c>
    </row>
    <row r="249" spans="1:47" ht="22.5" x14ac:dyDescent="0.2">
      <c r="A249" s="148"/>
      <c r="B249" s="149">
        <v>234</v>
      </c>
      <c r="C249" s="149" t="s">
        <v>38</v>
      </c>
      <c r="D249" s="450">
        <v>40009221</v>
      </c>
      <c r="E249" s="451" t="s">
        <v>2388</v>
      </c>
      <c r="F249" s="451" t="s">
        <v>200</v>
      </c>
      <c r="G249" s="452" t="s">
        <v>2100</v>
      </c>
      <c r="H249" s="451" t="s">
        <v>2209</v>
      </c>
      <c r="I249" s="451" t="s">
        <v>1958</v>
      </c>
      <c r="J249" s="451">
        <v>1931437</v>
      </c>
      <c r="K249" s="451"/>
      <c r="L249" s="451"/>
      <c r="M249" s="454">
        <v>516560.66399999999</v>
      </c>
      <c r="N249" s="454">
        <v>0</v>
      </c>
      <c r="O249" s="454">
        <v>478876.87599999999</v>
      </c>
      <c r="P249" s="454">
        <v>167032.18700000001</v>
      </c>
      <c r="Q249" s="454">
        <v>232510.96900000001</v>
      </c>
      <c r="R249" s="454">
        <v>186914.60800000001</v>
      </c>
      <c r="S249" s="454"/>
      <c r="T249" s="454"/>
      <c r="U249" s="454"/>
      <c r="V249" s="454"/>
      <c r="W249" s="454"/>
      <c r="X249" s="454"/>
      <c r="Y249" s="454">
        <f t="shared" si="10"/>
        <v>1581895.304</v>
      </c>
      <c r="Z249" s="454">
        <v>900000</v>
      </c>
      <c r="AA249" s="451">
        <v>4</v>
      </c>
      <c r="AB249" s="587">
        <v>44221</v>
      </c>
      <c r="AC249" s="587">
        <v>44280</v>
      </c>
      <c r="AD249" s="454">
        <v>250000</v>
      </c>
      <c r="AE249" s="451">
        <v>10</v>
      </c>
      <c r="AF249" s="587">
        <v>44286</v>
      </c>
      <c r="AG249" s="587">
        <v>44306</v>
      </c>
      <c r="AH249" s="454">
        <v>400000</v>
      </c>
      <c r="AI249" s="451">
        <v>14</v>
      </c>
      <c r="AJ249" s="587">
        <v>44313</v>
      </c>
      <c r="AK249" s="587">
        <v>44322</v>
      </c>
      <c r="AL249" s="454">
        <v>0</v>
      </c>
      <c r="AM249" s="451">
        <v>0</v>
      </c>
      <c r="AN249" s="587"/>
      <c r="AO249" s="587"/>
      <c r="AP249" s="454">
        <v>0</v>
      </c>
      <c r="AQ249" s="451">
        <v>0</v>
      </c>
      <c r="AR249" s="588"/>
      <c r="AS249" s="588"/>
      <c r="AT249" s="154">
        <f t="shared" si="11"/>
        <v>1550000</v>
      </c>
      <c r="AU249" s="461">
        <f t="shared" si="9"/>
        <v>-31895.304000000004</v>
      </c>
    </row>
    <row r="250" spans="1:47" ht="22.5" x14ac:dyDescent="0.2">
      <c r="A250" s="148"/>
      <c r="B250" s="149">
        <v>235</v>
      </c>
      <c r="C250" s="149" t="s">
        <v>38</v>
      </c>
      <c r="D250" s="450">
        <v>40009323</v>
      </c>
      <c r="E250" s="451" t="s">
        <v>2389</v>
      </c>
      <c r="F250" s="451" t="s">
        <v>200</v>
      </c>
      <c r="G250" s="452" t="s">
        <v>2100</v>
      </c>
      <c r="H250" s="451" t="s">
        <v>2132</v>
      </c>
      <c r="I250" s="451" t="s">
        <v>1958</v>
      </c>
      <c r="J250" s="451">
        <v>71861</v>
      </c>
      <c r="K250" s="451"/>
      <c r="L250" s="451"/>
      <c r="M250" s="454">
        <v>0</v>
      </c>
      <c r="N250" s="454">
        <v>0</v>
      </c>
      <c r="O250" s="454">
        <v>0</v>
      </c>
      <c r="P250" s="454">
        <v>0</v>
      </c>
      <c r="Q250" s="454">
        <v>0</v>
      </c>
      <c r="R250" s="454">
        <v>16997.329000000002</v>
      </c>
      <c r="S250" s="454"/>
      <c r="T250" s="454"/>
      <c r="U250" s="454"/>
      <c r="V250" s="454"/>
      <c r="W250" s="454"/>
      <c r="X250" s="454"/>
      <c r="Y250" s="454">
        <f t="shared" si="10"/>
        <v>16997.329000000002</v>
      </c>
      <c r="Z250" s="454">
        <v>1000</v>
      </c>
      <c r="AA250" s="451">
        <v>1</v>
      </c>
      <c r="AB250" s="587">
        <v>44207</v>
      </c>
      <c r="AC250" s="587">
        <v>44249</v>
      </c>
      <c r="AD250" s="454"/>
      <c r="AE250" s="451"/>
      <c r="AF250" s="587"/>
      <c r="AG250" s="587"/>
      <c r="AH250" s="454"/>
      <c r="AI250" s="451"/>
      <c r="AJ250" s="587"/>
      <c r="AK250" s="587"/>
      <c r="AL250" s="454"/>
      <c r="AM250" s="451"/>
      <c r="AN250" s="587"/>
      <c r="AO250" s="587"/>
      <c r="AP250" s="454"/>
      <c r="AQ250" s="451"/>
      <c r="AR250" s="588"/>
      <c r="AS250" s="588"/>
      <c r="AT250" s="154">
        <f t="shared" si="11"/>
        <v>1000</v>
      </c>
      <c r="AU250" s="461">
        <f t="shared" si="9"/>
        <v>-15997.329000000002</v>
      </c>
    </row>
    <row r="251" spans="1:47" ht="22.5" x14ac:dyDescent="0.2">
      <c r="A251" s="148"/>
      <c r="B251" s="149">
        <v>236</v>
      </c>
      <c r="C251" s="149" t="s">
        <v>38</v>
      </c>
      <c r="D251" s="450">
        <v>40009595</v>
      </c>
      <c r="E251" s="451" t="s">
        <v>2390</v>
      </c>
      <c r="F251" s="451" t="s">
        <v>200</v>
      </c>
      <c r="G251" s="452" t="s">
        <v>2100</v>
      </c>
      <c r="H251" s="451" t="s">
        <v>2143</v>
      </c>
      <c r="I251" s="451" t="s">
        <v>1958</v>
      </c>
      <c r="J251" s="451">
        <v>1099048</v>
      </c>
      <c r="K251" s="451"/>
      <c r="L251" s="451"/>
      <c r="M251" s="454">
        <v>0</v>
      </c>
      <c r="N251" s="454">
        <v>0</v>
      </c>
      <c r="O251" s="454">
        <v>0</v>
      </c>
      <c r="P251" s="454">
        <v>0</v>
      </c>
      <c r="Q251" s="454">
        <v>0</v>
      </c>
      <c r="R251" s="454">
        <v>0</v>
      </c>
      <c r="S251" s="454"/>
      <c r="T251" s="454"/>
      <c r="U251" s="454"/>
      <c r="V251" s="454"/>
      <c r="W251" s="454"/>
      <c r="X251" s="454"/>
      <c r="Y251" s="454">
        <f t="shared" si="10"/>
        <v>0</v>
      </c>
      <c r="Z251" s="454">
        <v>1000</v>
      </c>
      <c r="AA251" s="451">
        <v>1</v>
      </c>
      <c r="AB251" s="587">
        <v>44207</v>
      </c>
      <c r="AC251" s="587">
        <v>44249</v>
      </c>
      <c r="AD251" s="454"/>
      <c r="AE251" s="451"/>
      <c r="AF251" s="587"/>
      <c r="AG251" s="587"/>
      <c r="AH251" s="454"/>
      <c r="AI251" s="451"/>
      <c r="AJ251" s="587"/>
      <c r="AK251" s="587"/>
      <c r="AL251" s="454"/>
      <c r="AM251" s="451"/>
      <c r="AN251" s="587"/>
      <c r="AO251" s="587"/>
      <c r="AP251" s="454"/>
      <c r="AQ251" s="451"/>
      <c r="AR251" s="588"/>
      <c r="AS251" s="588"/>
      <c r="AT251" s="154">
        <f t="shared" si="11"/>
        <v>1000</v>
      </c>
      <c r="AU251" s="461">
        <f t="shared" si="9"/>
        <v>1000</v>
      </c>
    </row>
    <row r="252" spans="1:47" ht="22.5" x14ac:dyDescent="0.2">
      <c r="A252" s="148"/>
      <c r="B252" s="149">
        <v>237</v>
      </c>
      <c r="C252" s="149" t="s">
        <v>38</v>
      </c>
      <c r="D252" s="450">
        <v>40009877</v>
      </c>
      <c r="E252" s="451" t="s">
        <v>2391</v>
      </c>
      <c r="F252" s="451" t="s">
        <v>200</v>
      </c>
      <c r="G252" s="452" t="s">
        <v>2100</v>
      </c>
      <c r="H252" s="451" t="s">
        <v>2191</v>
      </c>
      <c r="I252" s="451" t="s">
        <v>1958</v>
      </c>
      <c r="J252" s="451">
        <v>862526</v>
      </c>
      <c r="K252" s="451"/>
      <c r="L252" s="451"/>
      <c r="M252" s="454">
        <v>0</v>
      </c>
      <c r="N252" s="454">
        <v>0</v>
      </c>
      <c r="O252" s="454">
        <v>0</v>
      </c>
      <c r="P252" s="454">
        <v>0</v>
      </c>
      <c r="Q252" s="454">
        <v>0</v>
      </c>
      <c r="R252" s="454">
        <v>0</v>
      </c>
      <c r="S252" s="454"/>
      <c r="T252" s="454"/>
      <c r="U252" s="454"/>
      <c r="V252" s="454"/>
      <c r="W252" s="454"/>
      <c r="X252" s="454"/>
      <c r="Y252" s="454">
        <f t="shared" si="10"/>
        <v>0</v>
      </c>
      <c r="Z252" s="454">
        <v>1000</v>
      </c>
      <c r="AA252" s="451">
        <v>1</v>
      </c>
      <c r="AB252" s="587">
        <v>44207</v>
      </c>
      <c r="AC252" s="587">
        <v>44249</v>
      </c>
      <c r="AD252" s="454"/>
      <c r="AE252" s="451"/>
      <c r="AF252" s="587"/>
      <c r="AG252" s="587"/>
      <c r="AH252" s="454"/>
      <c r="AI252" s="451"/>
      <c r="AJ252" s="587"/>
      <c r="AK252" s="587"/>
      <c r="AL252" s="454"/>
      <c r="AM252" s="451"/>
      <c r="AN252" s="587"/>
      <c r="AO252" s="587"/>
      <c r="AP252" s="454"/>
      <c r="AQ252" s="451"/>
      <c r="AR252" s="588"/>
      <c r="AS252" s="588"/>
      <c r="AT252" s="154">
        <f t="shared" si="11"/>
        <v>1000</v>
      </c>
      <c r="AU252" s="461">
        <f t="shared" si="9"/>
        <v>1000</v>
      </c>
    </row>
    <row r="253" spans="1:47" ht="22.5" x14ac:dyDescent="0.2">
      <c r="A253" s="148"/>
      <c r="B253" s="149">
        <v>238</v>
      </c>
      <c r="C253" s="149" t="s">
        <v>38</v>
      </c>
      <c r="D253" s="450">
        <v>40009952</v>
      </c>
      <c r="E253" s="451" t="s">
        <v>2392</v>
      </c>
      <c r="F253" s="451" t="s">
        <v>200</v>
      </c>
      <c r="G253" s="452" t="s">
        <v>2100</v>
      </c>
      <c r="H253" s="451" t="s">
        <v>2275</v>
      </c>
      <c r="I253" s="451" t="s">
        <v>1958</v>
      </c>
      <c r="J253" s="451">
        <v>891874</v>
      </c>
      <c r="K253" s="451"/>
      <c r="L253" s="451"/>
      <c r="M253" s="454">
        <v>0</v>
      </c>
      <c r="N253" s="454">
        <v>0</v>
      </c>
      <c r="O253" s="454">
        <v>0</v>
      </c>
      <c r="P253" s="454">
        <v>0</v>
      </c>
      <c r="Q253" s="454">
        <v>0</v>
      </c>
      <c r="R253" s="454">
        <v>0</v>
      </c>
      <c r="S253" s="454"/>
      <c r="T253" s="454"/>
      <c r="U253" s="454"/>
      <c r="V253" s="454"/>
      <c r="W253" s="454"/>
      <c r="X253" s="454"/>
      <c r="Y253" s="454">
        <f t="shared" si="10"/>
        <v>0</v>
      </c>
      <c r="Z253" s="454">
        <v>1000</v>
      </c>
      <c r="AA253" s="451">
        <v>1</v>
      </c>
      <c r="AB253" s="587">
        <v>44207</v>
      </c>
      <c r="AC253" s="587">
        <v>44249</v>
      </c>
      <c r="AD253" s="454"/>
      <c r="AE253" s="451"/>
      <c r="AF253" s="587"/>
      <c r="AG253" s="587"/>
      <c r="AH253" s="454"/>
      <c r="AI253" s="451"/>
      <c r="AJ253" s="587"/>
      <c r="AK253" s="587"/>
      <c r="AL253" s="454"/>
      <c r="AM253" s="451"/>
      <c r="AN253" s="587"/>
      <c r="AO253" s="587"/>
      <c r="AP253" s="454"/>
      <c r="AQ253" s="451"/>
      <c r="AR253" s="588"/>
      <c r="AS253" s="588"/>
      <c r="AT253" s="154">
        <f t="shared" si="11"/>
        <v>1000</v>
      </c>
      <c r="AU253" s="461">
        <f t="shared" si="9"/>
        <v>1000</v>
      </c>
    </row>
    <row r="254" spans="1:47" ht="22.5" x14ac:dyDescent="0.2">
      <c r="A254" s="148"/>
      <c r="B254" s="149">
        <v>239</v>
      </c>
      <c r="C254" s="149" t="s">
        <v>38</v>
      </c>
      <c r="D254" s="450">
        <v>40009964</v>
      </c>
      <c r="E254" s="451" t="s">
        <v>2393</v>
      </c>
      <c r="F254" s="451" t="s">
        <v>204</v>
      </c>
      <c r="G254" s="452" t="s">
        <v>2100</v>
      </c>
      <c r="H254" s="451" t="s">
        <v>2158</v>
      </c>
      <c r="I254" s="451" t="s">
        <v>1958</v>
      </c>
      <c r="J254" s="451">
        <v>29740</v>
      </c>
      <c r="K254" s="451"/>
      <c r="L254" s="451"/>
      <c r="M254" s="454">
        <v>0</v>
      </c>
      <c r="N254" s="454">
        <v>0</v>
      </c>
      <c r="O254" s="454">
        <v>0</v>
      </c>
      <c r="P254" s="454">
        <v>0</v>
      </c>
      <c r="Q254" s="454">
        <v>0</v>
      </c>
      <c r="R254" s="454">
        <v>0</v>
      </c>
      <c r="S254" s="454"/>
      <c r="T254" s="454"/>
      <c r="U254" s="454"/>
      <c r="V254" s="454"/>
      <c r="W254" s="454"/>
      <c r="X254" s="454"/>
      <c r="Y254" s="454">
        <f t="shared" si="10"/>
        <v>0</v>
      </c>
      <c r="Z254" s="454">
        <v>1000</v>
      </c>
      <c r="AA254" s="451">
        <v>8</v>
      </c>
      <c r="AB254" s="587">
        <v>44252</v>
      </c>
      <c r="AC254" s="587">
        <v>44292</v>
      </c>
      <c r="AD254" s="454"/>
      <c r="AE254" s="451"/>
      <c r="AF254" s="587"/>
      <c r="AG254" s="587"/>
      <c r="AH254" s="454"/>
      <c r="AI254" s="451"/>
      <c r="AJ254" s="587"/>
      <c r="AK254" s="587"/>
      <c r="AL254" s="454"/>
      <c r="AM254" s="451"/>
      <c r="AN254" s="587"/>
      <c r="AO254" s="587"/>
      <c r="AP254" s="454"/>
      <c r="AQ254" s="451"/>
      <c r="AR254" s="588"/>
      <c r="AS254" s="588"/>
      <c r="AT254" s="154">
        <f t="shared" si="11"/>
        <v>1000</v>
      </c>
      <c r="AU254" s="461">
        <f t="shared" si="9"/>
        <v>1000</v>
      </c>
    </row>
    <row r="255" spans="1:47" ht="22.5" x14ac:dyDescent="0.2">
      <c r="A255" s="148"/>
      <c r="B255" s="149">
        <v>240</v>
      </c>
      <c r="C255" s="149" t="s">
        <v>38</v>
      </c>
      <c r="D255" s="450">
        <v>40009971</v>
      </c>
      <c r="E255" s="451" t="s">
        <v>2394</v>
      </c>
      <c r="F255" s="451" t="s">
        <v>200</v>
      </c>
      <c r="G255" s="452" t="s">
        <v>2100</v>
      </c>
      <c r="H255" s="451" t="s">
        <v>2134</v>
      </c>
      <c r="I255" s="451" t="s">
        <v>1958</v>
      </c>
      <c r="J255" s="451">
        <v>71575</v>
      </c>
      <c r="K255" s="451"/>
      <c r="L255" s="451"/>
      <c r="M255" s="454">
        <v>0</v>
      </c>
      <c r="N255" s="454">
        <v>0</v>
      </c>
      <c r="O255" s="454">
        <v>0</v>
      </c>
      <c r="P255" s="454">
        <v>0</v>
      </c>
      <c r="Q255" s="454">
        <v>0</v>
      </c>
      <c r="R255" s="454">
        <v>0</v>
      </c>
      <c r="S255" s="454"/>
      <c r="T255" s="454"/>
      <c r="U255" s="454"/>
      <c r="V255" s="454"/>
      <c r="W255" s="454"/>
      <c r="X255" s="454"/>
      <c r="Y255" s="454">
        <f t="shared" si="10"/>
        <v>0</v>
      </c>
      <c r="Z255" s="454">
        <v>1000</v>
      </c>
      <c r="AA255" s="451">
        <v>1</v>
      </c>
      <c r="AB255" s="587">
        <v>44207</v>
      </c>
      <c r="AC255" s="587">
        <v>44249</v>
      </c>
      <c r="AD255" s="454"/>
      <c r="AE255" s="451"/>
      <c r="AF255" s="587"/>
      <c r="AG255" s="587"/>
      <c r="AH255" s="454"/>
      <c r="AI255" s="451"/>
      <c r="AJ255" s="587"/>
      <c r="AK255" s="587"/>
      <c r="AL255" s="454"/>
      <c r="AM255" s="451"/>
      <c r="AN255" s="587"/>
      <c r="AO255" s="587"/>
      <c r="AP255" s="454"/>
      <c r="AQ255" s="451"/>
      <c r="AR255" s="588"/>
      <c r="AS255" s="588"/>
      <c r="AT255" s="154">
        <f t="shared" si="11"/>
        <v>1000</v>
      </c>
      <c r="AU255" s="461">
        <f t="shared" si="9"/>
        <v>1000</v>
      </c>
    </row>
    <row r="256" spans="1:47" ht="22.5" x14ac:dyDescent="0.2">
      <c r="A256" s="148"/>
      <c r="B256" s="149">
        <v>241</v>
      </c>
      <c r="C256" s="149" t="s">
        <v>38</v>
      </c>
      <c r="D256" s="450">
        <v>40010289</v>
      </c>
      <c r="E256" s="451" t="s">
        <v>2395</v>
      </c>
      <c r="F256" s="451" t="s">
        <v>200</v>
      </c>
      <c r="G256" s="452" t="s">
        <v>2100</v>
      </c>
      <c r="H256" s="451" t="s">
        <v>2396</v>
      </c>
      <c r="I256" s="451" t="s">
        <v>1958</v>
      </c>
      <c r="J256" s="451">
        <v>468570</v>
      </c>
      <c r="K256" s="451"/>
      <c r="L256" s="451"/>
      <c r="M256" s="454">
        <v>0</v>
      </c>
      <c r="N256" s="454">
        <v>179892.639</v>
      </c>
      <c r="O256" s="454">
        <v>2175.9830000000002</v>
      </c>
      <c r="P256" s="454">
        <v>120639.79300000001</v>
      </c>
      <c r="Q256" s="454">
        <v>1523.2560000000001</v>
      </c>
      <c r="R256" s="454">
        <v>0</v>
      </c>
      <c r="S256" s="454"/>
      <c r="T256" s="454"/>
      <c r="U256" s="454"/>
      <c r="V256" s="454"/>
      <c r="W256" s="454"/>
      <c r="X256" s="454"/>
      <c r="Y256" s="454">
        <f t="shared" si="10"/>
        <v>304231.67100000003</v>
      </c>
      <c r="Z256" s="454">
        <v>381351</v>
      </c>
      <c r="AA256" s="451">
        <v>8</v>
      </c>
      <c r="AB256" s="587">
        <v>44252</v>
      </c>
      <c r="AC256" s="587">
        <v>44292</v>
      </c>
      <c r="AD256" s="454">
        <v>3752</v>
      </c>
      <c r="AE256" s="451">
        <v>11</v>
      </c>
      <c r="AF256" s="587">
        <v>44299</v>
      </c>
      <c r="AG256" s="587">
        <v>44312</v>
      </c>
      <c r="AH256" s="454"/>
      <c r="AI256" s="451"/>
      <c r="AJ256" s="587"/>
      <c r="AK256" s="587"/>
      <c r="AL256" s="454"/>
      <c r="AM256" s="451"/>
      <c r="AN256" s="587"/>
      <c r="AO256" s="587"/>
      <c r="AP256" s="454"/>
      <c r="AQ256" s="451"/>
      <c r="AR256" s="588"/>
      <c r="AS256" s="588"/>
      <c r="AT256" s="154">
        <f t="shared" si="11"/>
        <v>385103</v>
      </c>
      <c r="AU256" s="461">
        <f t="shared" si="9"/>
        <v>80871.328999999969</v>
      </c>
    </row>
    <row r="257" spans="1:47" ht="22.5" x14ac:dyDescent="0.2">
      <c r="A257" s="148"/>
      <c r="B257" s="149">
        <v>242</v>
      </c>
      <c r="C257" s="149" t="s">
        <v>38</v>
      </c>
      <c r="D257" s="450">
        <v>40010354</v>
      </c>
      <c r="E257" s="451" t="s">
        <v>2397</v>
      </c>
      <c r="F257" s="451" t="s">
        <v>200</v>
      </c>
      <c r="G257" s="452" t="s">
        <v>2100</v>
      </c>
      <c r="H257" s="451" t="s">
        <v>2141</v>
      </c>
      <c r="I257" s="451" t="s">
        <v>1958</v>
      </c>
      <c r="J257" s="451">
        <v>612772</v>
      </c>
      <c r="K257" s="451"/>
      <c r="L257" s="451"/>
      <c r="M257" s="454">
        <v>0</v>
      </c>
      <c r="N257" s="454">
        <v>0</v>
      </c>
      <c r="O257" s="454">
        <v>0</v>
      </c>
      <c r="P257" s="454">
        <v>0</v>
      </c>
      <c r="Q257" s="454">
        <v>28977.195</v>
      </c>
      <c r="R257" s="454">
        <v>259460.826</v>
      </c>
      <c r="S257" s="454"/>
      <c r="T257" s="454"/>
      <c r="U257" s="454"/>
      <c r="V257" s="454"/>
      <c r="W257" s="454"/>
      <c r="X257" s="454"/>
      <c r="Y257" s="454">
        <f t="shared" si="10"/>
        <v>288438.02100000001</v>
      </c>
      <c r="Z257" s="454">
        <v>1000</v>
      </c>
      <c r="AA257" s="451">
        <v>1</v>
      </c>
      <c r="AB257" s="587">
        <v>44207</v>
      </c>
      <c r="AC257" s="587">
        <v>44249</v>
      </c>
      <c r="AD257" s="454">
        <v>120000</v>
      </c>
      <c r="AE257" s="451">
        <v>23</v>
      </c>
      <c r="AF257" s="587">
        <v>44340</v>
      </c>
      <c r="AG257" s="587">
        <v>44350</v>
      </c>
      <c r="AH257" s="454"/>
      <c r="AI257" s="451"/>
      <c r="AJ257" s="587"/>
      <c r="AK257" s="587"/>
      <c r="AL257" s="454"/>
      <c r="AM257" s="451"/>
      <c r="AN257" s="587"/>
      <c r="AO257" s="587"/>
      <c r="AP257" s="454"/>
      <c r="AQ257" s="451"/>
      <c r="AR257" s="588"/>
      <c r="AS257" s="588"/>
      <c r="AT257" s="154">
        <f t="shared" si="11"/>
        <v>121000</v>
      </c>
      <c r="AU257" s="461">
        <f t="shared" si="9"/>
        <v>-167438.02100000001</v>
      </c>
    </row>
    <row r="258" spans="1:47" ht="33.75" x14ac:dyDescent="0.2">
      <c r="A258" s="148"/>
      <c r="B258" s="149">
        <v>243</v>
      </c>
      <c r="C258" s="149" t="s">
        <v>38</v>
      </c>
      <c r="D258" s="450">
        <v>40010467</v>
      </c>
      <c r="E258" s="451" t="s">
        <v>2398</v>
      </c>
      <c r="F258" s="451" t="s">
        <v>200</v>
      </c>
      <c r="G258" s="452" t="s">
        <v>2100</v>
      </c>
      <c r="H258" s="451" t="s">
        <v>2113</v>
      </c>
      <c r="I258" s="451" t="s">
        <v>1958</v>
      </c>
      <c r="J258" s="451">
        <v>553436</v>
      </c>
      <c r="K258" s="451"/>
      <c r="L258" s="451"/>
      <c r="M258" s="454">
        <v>35603.464999999997</v>
      </c>
      <c r="N258" s="454">
        <v>0</v>
      </c>
      <c r="O258" s="454">
        <v>40727.517999999996</v>
      </c>
      <c r="P258" s="454">
        <v>92978.152000000002</v>
      </c>
      <c r="Q258" s="454">
        <v>55626.792000000001</v>
      </c>
      <c r="R258" s="454">
        <v>72027.433000000005</v>
      </c>
      <c r="S258" s="454"/>
      <c r="T258" s="454"/>
      <c r="U258" s="454"/>
      <c r="V258" s="454"/>
      <c r="W258" s="454"/>
      <c r="X258" s="454"/>
      <c r="Y258" s="454">
        <f t="shared" si="10"/>
        <v>296963.36000000004</v>
      </c>
      <c r="Z258" s="454">
        <v>206000</v>
      </c>
      <c r="AA258" s="451">
        <v>4</v>
      </c>
      <c r="AB258" s="587">
        <v>44221</v>
      </c>
      <c r="AC258" s="587">
        <v>44280</v>
      </c>
      <c r="AD258" s="454">
        <v>4330</v>
      </c>
      <c r="AE258" s="451">
        <v>14</v>
      </c>
      <c r="AF258" s="587">
        <v>44313</v>
      </c>
      <c r="AG258" s="587">
        <v>44322</v>
      </c>
      <c r="AH258" s="454">
        <v>120000</v>
      </c>
      <c r="AI258" s="451">
        <v>23</v>
      </c>
      <c r="AJ258" s="587">
        <v>44340</v>
      </c>
      <c r="AK258" s="587">
        <v>44350</v>
      </c>
      <c r="AL258" s="454">
        <v>0</v>
      </c>
      <c r="AM258" s="451">
        <v>0</v>
      </c>
      <c r="AN258" s="587"/>
      <c r="AO258" s="587"/>
      <c r="AP258" s="454">
        <v>0</v>
      </c>
      <c r="AQ258" s="451">
        <v>0</v>
      </c>
      <c r="AR258" s="588"/>
      <c r="AS258" s="588"/>
      <c r="AT258" s="154">
        <f t="shared" si="11"/>
        <v>330330</v>
      </c>
      <c r="AU258" s="461">
        <f t="shared" si="9"/>
        <v>33366.639999999956</v>
      </c>
    </row>
    <row r="259" spans="1:47" ht="22.5" x14ac:dyDescent="0.2">
      <c r="A259" s="148"/>
      <c r="B259" s="149">
        <v>244</v>
      </c>
      <c r="C259" s="149" t="s">
        <v>38</v>
      </c>
      <c r="D259" s="450">
        <v>40010743</v>
      </c>
      <c r="E259" s="451" t="s">
        <v>2399</v>
      </c>
      <c r="F259" s="451" t="s">
        <v>200</v>
      </c>
      <c r="G259" s="452" t="s">
        <v>2100</v>
      </c>
      <c r="H259" s="451" t="s">
        <v>2151</v>
      </c>
      <c r="I259" s="451" t="s">
        <v>1958</v>
      </c>
      <c r="J259" s="451">
        <v>338204</v>
      </c>
      <c r="K259" s="451"/>
      <c r="L259" s="451"/>
      <c r="M259" s="454">
        <v>0</v>
      </c>
      <c r="N259" s="454">
        <v>0</v>
      </c>
      <c r="O259" s="454">
        <v>0</v>
      </c>
      <c r="P259" s="454">
        <v>0</v>
      </c>
      <c r="Q259" s="454">
        <v>0</v>
      </c>
      <c r="R259" s="454">
        <v>0</v>
      </c>
      <c r="S259" s="454"/>
      <c r="T259" s="454"/>
      <c r="U259" s="454"/>
      <c r="V259" s="454"/>
      <c r="W259" s="454"/>
      <c r="X259" s="454"/>
      <c r="Y259" s="454">
        <f t="shared" si="10"/>
        <v>0</v>
      </c>
      <c r="Z259" s="454">
        <v>1000</v>
      </c>
      <c r="AA259" s="451">
        <v>1</v>
      </c>
      <c r="AB259" s="587">
        <v>44207</v>
      </c>
      <c r="AC259" s="587">
        <v>44249</v>
      </c>
      <c r="AD259" s="454"/>
      <c r="AE259" s="451"/>
      <c r="AF259" s="587"/>
      <c r="AG259" s="587"/>
      <c r="AH259" s="454"/>
      <c r="AI259" s="451"/>
      <c r="AJ259" s="587"/>
      <c r="AK259" s="587"/>
      <c r="AL259" s="454"/>
      <c r="AM259" s="451"/>
      <c r="AN259" s="587"/>
      <c r="AO259" s="587"/>
      <c r="AP259" s="454"/>
      <c r="AQ259" s="451"/>
      <c r="AR259" s="588"/>
      <c r="AS259" s="588"/>
      <c r="AT259" s="154">
        <f t="shared" si="11"/>
        <v>1000</v>
      </c>
      <c r="AU259" s="461">
        <f t="shared" si="9"/>
        <v>1000</v>
      </c>
    </row>
    <row r="260" spans="1:47" ht="33.75" x14ac:dyDescent="0.2">
      <c r="A260" s="148"/>
      <c r="B260" s="149">
        <v>245</v>
      </c>
      <c r="C260" s="149" t="s">
        <v>38</v>
      </c>
      <c r="D260" s="450">
        <v>40011341</v>
      </c>
      <c r="E260" s="451" t="s">
        <v>2400</v>
      </c>
      <c r="F260" s="451" t="s">
        <v>200</v>
      </c>
      <c r="G260" s="452" t="s">
        <v>2100</v>
      </c>
      <c r="H260" s="451" t="s">
        <v>2125</v>
      </c>
      <c r="I260" s="451" t="s">
        <v>1958</v>
      </c>
      <c r="J260" s="451">
        <v>611189</v>
      </c>
      <c r="K260" s="451"/>
      <c r="L260" s="451"/>
      <c r="M260" s="454">
        <v>0</v>
      </c>
      <c r="N260" s="454">
        <v>0</v>
      </c>
      <c r="O260" s="454">
        <v>0</v>
      </c>
      <c r="P260" s="454">
        <v>0</v>
      </c>
      <c r="Q260" s="454">
        <v>0</v>
      </c>
      <c r="R260" s="454">
        <v>0</v>
      </c>
      <c r="S260" s="454"/>
      <c r="T260" s="454"/>
      <c r="U260" s="454"/>
      <c r="V260" s="454"/>
      <c r="W260" s="454"/>
      <c r="X260" s="454"/>
      <c r="Y260" s="454">
        <f t="shared" si="10"/>
        <v>0</v>
      </c>
      <c r="Z260" s="454">
        <v>1000</v>
      </c>
      <c r="AA260" s="451">
        <v>1</v>
      </c>
      <c r="AB260" s="587">
        <v>44207</v>
      </c>
      <c r="AC260" s="587">
        <v>44249</v>
      </c>
      <c r="AD260" s="454"/>
      <c r="AE260" s="451"/>
      <c r="AF260" s="587"/>
      <c r="AG260" s="587"/>
      <c r="AH260" s="454"/>
      <c r="AI260" s="451"/>
      <c r="AJ260" s="587"/>
      <c r="AK260" s="587"/>
      <c r="AL260" s="454"/>
      <c r="AM260" s="451"/>
      <c r="AN260" s="587"/>
      <c r="AO260" s="587"/>
      <c r="AP260" s="454"/>
      <c r="AQ260" s="451"/>
      <c r="AR260" s="588"/>
      <c r="AS260" s="588"/>
      <c r="AT260" s="154">
        <f t="shared" si="11"/>
        <v>1000</v>
      </c>
      <c r="AU260" s="461">
        <f t="shared" si="9"/>
        <v>1000</v>
      </c>
    </row>
    <row r="261" spans="1:47" ht="22.5" x14ac:dyDescent="0.2">
      <c r="A261" s="148"/>
      <c r="B261" s="149">
        <v>246</v>
      </c>
      <c r="C261" s="149" t="s">
        <v>38</v>
      </c>
      <c r="D261" s="450">
        <v>40011357</v>
      </c>
      <c r="E261" s="451" t="s">
        <v>2401</v>
      </c>
      <c r="F261" s="451" t="s">
        <v>200</v>
      </c>
      <c r="G261" s="452" t="s">
        <v>2100</v>
      </c>
      <c r="H261" s="451" t="s">
        <v>2167</v>
      </c>
      <c r="I261" s="451" t="s">
        <v>1958</v>
      </c>
      <c r="J261" s="451">
        <v>1258898</v>
      </c>
      <c r="K261" s="451"/>
      <c r="L261" s="451"/>
      <c r="M261" s="454">
        <v>0</v>
      </c>
      <c r="N261" s="454">
        <v>471303.96299999999</v>
      </c>
      <c r="O261" s="454">
        <v>229094.337</v>
      </c>
      <c r="P261" s="454">
        <v>266328.24800000002</v>
      </c>
      <c r="Q261" s="454">
        <v>0</v>
      </c>
      <c r="R261" s="454">
        <v>0</v>
      </c>
      <c r="S261" s="454"/>
      <c r="T261" s="454"/>
      <c r="U261" s="454"/>
      <c r="V261" s="454"/>
      <c r="W261" s="454"/>
      <c r="X261" s="454"/>
      <c r="Y261" s="454">
        <f t="shared" si="10"/>
        <v>966726.54800000007</v>
      </c>
      <c r="Z261" s="454">
        <v>1000</v>
      </c>
      <c r="AA261" s="451">
        <v>1</v>
      </c>
      <c r="AB261" s="587">
        <v>44207</v>
      </c>
      <c r="AC261" s="587">
        <v>44249</v>
      </c>
      <c r="AD261" s="454">
        <v>400000</v>
      </c>
      <c r="AE261" s="451">
        <v>4</v>
      </c>
      <c r="AF261" s="587">
        <v>44221</v>
      </c>
      <c r="AG261" s="587">
        <v>44280</v>
      </c>
      <c r="AH261" s="454">
        <v>55285</v>
      </c>
      <c r="AI261" s="451">
        <v>8</v>
      </c>
      <c r="AJ261" s="587">
        <v>44252</v>
      </c>
      <c r="AK261" s="587">
        <v>44292</v>
      </c>
      <c r="AL261" s="454">
        <v>450000</v>
      </c>
      <c r="AM261" s="451">
        <v>10</v>
      </c>
      <c r="AN261" s="587">
        <v>44286</v>
      </c>
      <c r="AO261" s="587">
        <v>44306</v>
      </c>
      <c r="AP261" s="454">
        <v>173715</v>
      </c>
      <c r="AQ261" s="451">
        <v>14</v>
      </c>
      <c r="AR261" s="588">
        <v>44313</v>
      </c>
      <c r="AS261" s="588">
        <v>44322</v>
      </c>
      <c r="AT261" s="154">
        <f t="shared" si="11"/>
        <v>1080000</v>
      </c>
      <c r="AU261" s="461">
        <f t="shared" si="9"/>
        <v>113273.45199999993</v>
      </c>
    </row>
    <row r="262" spans="1:47" ht="22.5" x14ac:dyDescent="0.2">
      <c r="A262" s="148"/>
      <c r="B262" s="149">
        <v>247</v>
      </c>
      <c r="C262" s="149" t="s">
        <v>38</v>
      </c>
      <c r="D262" s="450">
        <v>40011534</v>
      </c>
      <c r="E262" s="451" t="s">
        <v>2402</v>
      </c>
      <c r="F262" s="451" t="s">
        <v>204</v>
      </c>
      <c r="G262" s="452" t="s">
        <v>2100</v>
      </c>
      <c r="H262" s="451" t="s">
        <v>2158</v>
      </c>
      <c r="I262" s="451" t="s">
        <v>1961</v>
      </c>
      <c r="J262" s="451">
        <v>2352073</v>
      </c>
      <c r="K262" s="451"/>
      <c r="L262" s="451"/>
      <c r="M262" s="454">
        <v>0</v>
      </c>
      <c r="N262" s="454">
        <v>0</v>
      </c>
      <c r="O262" s="454">
        <v>0</v>
      </c>
      <c r="P262" s="454">
        <v>0</v>
      </c>
      <c r="Q262" s="454">
        <v>0</v>
      </c>
      <c r="R262" s="454">
        <v>0</v>
      </c>
      <c r="S262" s="454"/>
      <c r="T262" s="454"/>
      <c r="U262" s="454"/>
      <c r="V262" s="454"/>
      <c r="W262" s="454"/>
      <c r="X262" s="454"/>
      <c r="Y262" s="454">
        <f t="shared" si="10"/>
        <v>0</v>
      </c>
      <c r="Z262" s="454">
        <v>1000</v>
      </c>
      <c r="AA262" s="451">
        <v>1</v>
      </c>
      <c r="AB262" s="587">
        <v>44207</v>
      </c>
      <c r="AC262" s="587">
        <v>44249</v>
      </c>
      <c r="AD262" s="454"/>
      <c r="AE262" s="451"/>
      <c r="AF262" s="587"/>
      <c r="AG262" s="587"/>
      <c r="AH262" s="454"/>
      <c r="AI262" s="451"/>
      <c r="AJ262" s="587"/>
      <c r="AK262" s="587"/>
      <c r="AL262" s="454"/>
      <c r="AM262" s="451"/>
      <c r="AN262" s="587"/>
      <c r="AO262" s="587"/>
      <c r="AP262" s="454"/>
      <c r="AQ262" s="451"/>
      <c r="AR262" s="588"/>
      <c r="AS262" s="588"/>
      <c r="AT262" s="154">
        <f t="shared" si="11"/>
        <v>1000</v>
      </c>
      <c r="AU262" s="461">
        <f t="shared" si="9"/>
        <v>1000</v>
      </c>
    </row>
    <row r="263" spans="1:47" ht="22.5" x14ac:dyDescent="0.2">
      <c r="A263" s="148"/>
      <c r="B263" s="149">
        <v>248</v>
      </c>
      <c r="C263" s="149" t="s">
        <v>38</v>
      </c>
      <c r="D263" s="450">
        <v>40012114</v>
      </c>
      <c r="E263" s="451" t="s">
        <v>2403</v>
      </c>
      <c r="F263" s="451" t="s">
        <v>200</v>
      </c>
      <c r="G263" s="452" t="s">
        <v>2100</v>
      </c>
      <c r="H263" s="451" t="s">
        <v>2143</v>
      </c>
      <c r="I263" s="451" t="s">
        <v>1958</v>
      </c>
      <c r="J263" s="451">
        <v>392624</v>
      </c>
      <c r="K263" s="451"/>
      <c r="L263" s="451"/>
      <c r="M263" s="454">
        <v>0</v>
      </c>
      <c r="N263" s="454">
        <v>0</v>
      </c>
      <c r="O263" s="454">
        <v>0</v>
      </c>
      <c r="P263" s="454">
        <v>0</v>
      </c>
      <c r="Q263" s="454">
        <v>0</v>
      </c>
      <c r="R263" s="454">
        <v>0</v>
      </c>
      <c r="S263" s="454"/>
      <c r="T263" s="454"/>
      <c r="U263" s="454"/>
      <c r="V263" s="454"/>
      <c r="W263" s="454"/>
      <c r="X263" s="454"/>
      <c r="Y263" s="454">
        <f t="shared" si="10"/>
        <v>0</v>
      </c>
      <c r="Z263" s="454">
        <v>1000</v>
      </c>
      <c r="AA263" s="451">
        <v>1</v>
      </c>
      <c r="AB263" s="587">
        <v>44207</v>
      </c>
      <c r="AC263" s="587">
        <v>44249</v>
      </c>
      <c r="AD263" s="454"/>
      <c r="AE263" s="451"/>
      <c r="AF263" s="587"/>
      <c r="AG263" s="587"/>
      <c r="AH263" s="454"/>
      <c r="AI263" s="451"/>
      <c r="AJ263" s="587"/>
      <c r="AK263" s="587"/>
      <c r="AL263" s="454"/>
      <c r="AM263" s="451"/>
      <c r="AN263" s="587"/>
      <c r="AO263" s="587"/>
      <c r="AP263" s="454"/>
      <c r="AQ263" s="451"/>
      <c r="AR263" s="588"/>
      <c r="AS263" s="588"/>
      <c r="AT263" s="154">
        <f t="shared" si="11"/>
        <v>1000</v>
      </c>
      <c r="AU263" s="461">
        <f t="shared" si="9"/>
        <v>1000</v>
      </c>
    </row>
    <row r="264" spans="1:47" ht="22.5" x14ac:dyDescent="0.2">
      <c r="A264" s="148"/>
      <c r="B264" s="149">
        <v>249</v>
      </c>
      <c r="C264" s="149" t="s">
        <v>38</v>
      </c>
      <c r="D264" s="450">
        <v>40012235</v>
      </c>
      <c r="E264" s="451" t="s">
        <v>2404</v>
      </c>
      <c r="F264" s="451" t="s">
        <v>200</v>
      </c>
      <c r="G264" s="452" t="s">
        <v>2100</v>
      </c>
      <c r="H264" s="451" t="s">
        <v>2405</v>
      </c>
      <c r="I264" s="451" t="s">
        <v>1961</v>
      </c>
      <c r="J264" s="451">
        <v>77867</v>
      </c>
      <c r="K264" s="451"/>
      <c r="L264" s="451"/>
      <c r="M264" s="454">
        <v>0</v>
      </c>
      <c r="N264" s="454">
        <v>0</v>
      </c>
      <c r="O264" s="454">
        <v>0</v>
      </c>
      <c r="P264" s="454">
        <v>0</v>
      </c>
      <c r="Q264" s="454">
        <v>0</v>
      </c>
      <c r="R264" s="454">
        <v>0</v>
      </c>
      <c r="S264" s="454"/>
      <c r="T264" s="454"/>
      <c r="U264" s="454"/>
      <c r="V264" s="454"/>
      <c r="W264" s="454"/>
      <c r="X264" s="454"/>
      <c r="Y264" s="454">
        <f t="shared" si="10"/>
        <v>0</v>
      </c>
      <c r="Z264" s="454">
        <v>1000</v>
      </c>
      <c r="AA264" s="451">
        <v>1</v>
      </c>
      <c r="AB264" s="587">
        <v>44207</v>
      </c>
      <c r="AC264" s="587">
        <v>44249</v>
      </c>
      <c r="AD264" s="454"/>
      <c r="AE264" s="451"/>
      <c r="AF264" s="587"/>
      <c r="AG264" s="587"/>
      <c r="AH264" s="454"/>
      <c r="AI264" s="451"/>
      <c r="AJ264" s="587"/>
      <c r="AK264" s="587"/>
      <c r="AL264" s="454"/>
      <c r="AM264" s="451"/>
      <c r="AN264" s="587"/>
      <c r="AO264" s="587"/>
      <c r="AP264" s="454"/>
      <c r="AQ264" s="451"/>
      <c r="AR264" s="588"/>
      <c r="AS264" s="588"/>
      <c r="AT264" s="154">
        <f t="shared" si="11"/>
        <v>1000</v>
      </c>
      <c r="AU264" s="461">
        <f t="shared" si="9"/>
        <v>1000</v>
      </c>
    </row>
    <row r="265" spans="1:47" ht="22.5" x14ac:dyDescent="0.2">
      <c r="A265" s="148"/>
      <c r="B265" s="149">
        <v>250</v>
      </c>
      <c r="C265" s="149" t="s">
        <v>38</v>
      </c>
      <c r="D265" s="450">
        <v>40012251</v>
      </c>
      <c r="E265" s="451" t="s">
        <v>2406</v>
      </c>
      <c r="F265" s="451" t="s">
        <v>200</v>
      </c>
      <c r="G265" s="452" t="s">
        <v>2100</v>
      </c>
      <c r="H265" s="451" t="s">
        <v>2109</v>
      </c>
      <c r="I265" s="451" t="s">
        <v>1958</v>
      </c>
      <c r="J265" s="451">
        <v>1049082</v>
      </c>
      <c r="K265" s="451"/>
      <c r="L265" s="451"/>
      <c r="M265" s="454">
        <v>0</v>
      </c>
      <c r="N265" s="454">
        <v>0</v>
      </c>
      <c r="O265" s="454">
        <v>0</v>
      </c>
      <c r="P265" s="454">
        <v>0</v>
      </c>
      <c r="Q265" s="454">
        <v>0</v>
      </c>
      <c r="R265" s="454">
        <v>0</v>
      </c>
      <c r="S265" s="454"/>
      <c r="T265" s="454"/>
      <c r="U265" s="454"/>
      <c r="V265" s="454"/>
      <c r="W265" s="454"/>
      <c r="X265" s="454"/>
      <c r="Y265" s="454">
        <f t="shared" si="10"/>
        <v>0</v>
      </c>
      <c r="Z265" s="454">
        <v>1000</v>
      </c>
      <c r="AA265" s="451">
        <v>1</v>
      </c>
      <c r="AB265" s="587">
        <v>44207</v>
      </c>
      <c r="AC265" s="587">
        <v>44249</v>
      </c>
      <c r="AD265" s="454"/>
      <c r="AE265" s="451"/>
      <c r="AF265" s="587"/>
      <c r="AG265" s="587"/>
      <c r="AH265" s="454"/>
      <c r="AI265" s="451"/>
      <c r="AJ265" s="587"/>
      <c r="AK265" s="587"/>
      <c r="AL265" s="454"/>
      <c r="AM265" s="451"/>
      <c r="AN265" s="587"/>
      <c r="AO265" s="587"/>
      <c r="AP265" s="454"/>
      <c r="AQ265" s="451"/>
      <c r="AR265" s="588"/>
      <c r="AS265" s="588"/>
      <c r="AT265" s="154">
        <f t="shared" si="11"/>
        <v>1000</v>
      </c>
      <c r="AU265" s="461">
        <f t="shared" si="9"/>
        <v>1000</v>
      </c>
    </row>
    <row r="266" spans="1:47" ht="22.5" x14ac:dyDescent="0.2">
      <c r="A266" s="148"/>
      <c r="B266" s="149">
        <v>251</v>
      </c>
      <c r="C266" s="149" t="s">
        <v>38</v>
      </c>
      <c r="D266" s="450">
        <v>40012382</v>
      </c>
      <c r="E266" s="451" t="s">
        <v>2407</v>
      </c>
      <c r="F266" s="451" t="s">
        <v>200</v>
      </c>
      <c r="G266" s="452" t="s">
        <v>2100</v>
      </c>
      <c r="H266" s="451" t="s">
        <v>2246</v>
      </c>
      <c r="I266" s="451" t="s">
        <v>1958</v>
      </c>
      <c r="J266" s="451">
        <v>31275</v>
      </c>
      <c r="K266" s="451"/>
      <c r="L266" s="451"/>
      <c r="M266" s="454">
        <v>0</v>
      </c>
      <c r="N266" s="454">
        <v>0</v>
      </c>
      <c r="O266" s="454">
        <v>0</v>
      </c>
      <c r="P266" s="454">
        <v>0</v>
      </c>
      <c r="Q266" s="454">
        <v>0</v>
      </c>
      <c r="R266" s="454">
        <v>0</v>
      </c>
      <c r="S266" s="454"/>
      <c r="T266" s="454"/>
      <c r="U266" s="454"/>
      <c r="V266" s="454"/>
      <c r="W266" s="454"/>
      <c r="X266" s="454"/>
      <c r="Y266" s="454">
        <f t="shared" si="10"/>
        <v>0</v>
      </c>
      <c r="Z266" s="454">
        <v>1000</v>
      </c>
      <c r="AA266" s="451">
        <v>1</v>
      </c>
      <c r="AB266" s="587">
        <v>44207</v>
      </c>
      <c r="AC266" s="587">
        <v>44249</v>
      </c>
      <c r="AD266" s="454"/>
      <c r="AE266" s="451"/>
      <c r="AF266" s="587"/>
      <c r="AG266" s="587"/>
      <c r="AH266" s="454"/>
      <c r="AI266" s="451"/>
      <c r="AJ266" s="587"/>
      <c r="AK266" s="587"/>
      <c r="AL266" s="454"/>
      <c r="AM266" s="451"/>
      <c r="AN266" s="587"/>
      <c r="AO266" s="587"/>
      <c r="AP266" s="454"/>
      <c r="AQ266" s="451"/>
      <c r="AR266" s="588"/>
      <c r="AS266" s="588"/>
      <c r="AT266" s="154">
        <f t="shared" si="11"/>
        <v>1000</v>
      </c>
      <c r="AU266" s="461">
        <f t="shared" si="9"/>
        <v>1000</v>
      </c>
    </row>
    <row r="267" spans="1:47" ht="22.5" x14ac:dyDescent="0.2">
      <c r="A267" s="148"/>
      <c r="B267" s="149">
        <v>252</v>
      </c>
      <c r="C267" s="149" t="s">
        <v>38</v>
      </c>
      <c r="D267" s="450">
        <v>40012390</v>
      </c>
      <c r="E267" s="451" t="s">
        <v>2408</v>
      </c>
      <c r="F267" s="451" t="s">
        <v>204</v>
      </c>
      <c r="G267" s="452" t="s">
        <v>2100</v>
      </c>
      <c r="H267" s="451" t="s">
        <v>2275</v>
      </c>
      <c r="I267" s="451" t="s">
        <v>1958</v>
      </c>
      <c r="J267" s="451">
        <v>104</v>
      </c>
      <c r="K267" s="451"/>
      <c r="L267" s="451"/>
      <c r="M267" s="454">
        <v>0</v>
      </c>
      <c r="N267" s="454">
        <v>0</v>
      </c>
      <c r="O267" s="454">
        <v>0</v>
      </c>
      <c r="P267" s="454">
        <v>174314.06099999999</v>
      </c>
      <c r="Q267" s="454">
        <v>1714.2850000000001</v>
      </c>
      <c r="R267" s="454">
        <v>140779.929</v>
      </c>
      <c r="S267" s="454"/>
      <c r="T267" s="454"/>
      <c r="U267" s="454"/>
      <c r="V267" s="454"/>
      <c r="W267" s="454"/>
      <c r="X267" s="454"/>
      <c r="Y267" s="454">
        <f t="shared" si="10"/>
        <v>316808.27500000002</v>
      </c>
      <c r="Z267" s="454">
        <v>100</v>
      </c>
      <c r="AA267" s="451">
        <v>1</v>
      </c>
      <c r="AB267" s="587">
        <v>44207</v>
      </c>
      <c r="AC267" s="587">
        <v>44249</v>
      </c>
      <c r="AD267" s="454">
        <v>458000</v>
      </c>
      <c r="AE267" s="451">
        <v>11</v>
      </c>
      <c r="AF267" s="587">
        <v>44299</v>
      </c>
      <c r="AG267" s="587">
        <v>44312</v>
      </c>
      <c r="AH267" s="454"/>
      <c r="AI267" s="451"/>
      <c r="AJ267" s="587"/>
      <c r="AK267" s="587"/>
      <c r="AL267" s="454"/>
      <c r="AM267" s="451"/>
      <c r="AN267" s="587"/>
      <c r="AO267" s="587"/>
      <c r="AP267" s="454"/>
      <c r="AQ267" s="451"/>
      <c r="AR267" s="588"/>
      <c r="AS267" s="588"/>
      <c r="AT267" s="154">
        <f t="shared" si="11"/>
        <v>458100</v>
      </c>
      <c r="AU267" s="461">
        <f t="shared" si="9"/>
        <v>141291.72499999998</v>
      </c>
    </row>
    <row r="268" spans="1:47" ht="22.5" x14ac:dyDescent="0.2">
      <c r="A268" s="148"/>
      <c r="B268" s="149">
        <v>253</v>
      </c>
      <c r="C268" s="149" t="s">
        <v>38</v>
      </c>
      <c r="D268" s="450">
        <v>40012393</v>
      </c>
      <c r="E268" s="451" t="s">
        <v>2409</v>
      </c>
      <c r="F268" s="451" t="s">
        <v>200</v>
      </c>
      <c r="G268" s="452" t="s">
        <v>2100</v>
      </c>
      <c r="H268" s="451" t="s">
        <v>2275</v>
      </c>
      <c r="I268" s="451" t="s">
        <v>1958</v>
      </c>
      <c r="J268" s="451">
        <v>159935</v>
      </c>
      <c r="K268" s="451"/>
      <c r="L268" s="451"/>
      <c r="M268" s="454">
        <v>28706.005000000001</v>
      </c>
      <c r="N268" s="454">
        <v>53671.381000000001</v>
      </c>
      <c r="O268" s="454">
        <v>40670.517999999996</v>
      </c>
      <c r="P268" s="454">
        <v>0</v>
      </c>
      <c r="Q268" s="454">
        <v>0</v>
      </c>
      <c r="R268" s="454">
        <v>0</v>
      </c>
      <c r="S268" s="454"/>
      <c r="T268" s="454"/>
      <c r="U268" s="454"/>
      <c r="V268" s="454"/>
      <c r="W268" s="454"/>
      <c r="X268" s="454"/>
      <c r="Y268" s="454">
        <f t="shared" si="10"/>
        <v>123047.90399999999</v>
      </c>
      <c r="Z268" s="454">
        <v>88550</v>
      </c>
      <c r="AA268" s="451">
        <v>1</v>
      </c>
      <c r="AB268" s="587">
        <v>44207</v>
      </c>
      <c r="AC268" s="587">
        <v>44249</v>
      </c>
      <c r="AD268" s="454">
        <v>4800</v>
      </c>
      <c r="AE268" s="451">
        <v>8</v>
      </c>
      <c r="AF268" s="587">
        <v>44252</v>
      </c>
      <c r="AG268" s="587">
        <v>44292</v>
      </c>
      <c r="AH268" s="454">
        <v>33698</v>
      </c>
      <c r="AI268" s="451">
        <v>10</v>
      </c>
      <c r="AJ268" s="587">
        <v>44286</v>
      </c>
      <c r="AK268" s="587">
        <v>44306</v>
      </c>
      <c r="AL268" s="454">
        <v>0</v>
      </c>
      <c r="AM268" s="451">
        <v>0</v>
      </c>
      <c r="AN268" s="587"/>
      <c r="AO268" s="587"/>
      <c r="AP268" s="454">
        <v>0</v>
      </c>
      <c r="AQ268" s="451">
        <v>0</v>
      </c>
      <c r="AR268" s="588"/>
      <c r="AS268" s="588"/>
      <c r="AT268" s="154">
        <f t="shared" si="11"/>
        <v>127048</v>
      </c>
      <c r="AU268" s="461">
        <f t="shared" si="9"/>
        <v>4000.096000000005</v>
      </c>
    </row>
    <row r="269" spans="1:47" ht="22.5" x14ac:dyDescent="0.2">
      <c r="A269" s="148"/>
      <c r="B269" s="149">
        <v>254</v>
      </c>
      <c r="C269" s="149" t="s">
        <v>38</v>
      </c>
      <c r="D269" s="450">
        <v>40012795</v>
      </c>
      <c r="E269" s="451" t="s">
        <v>2410</v>
      </c>
      <c r="F269" s="451" t="s">
        <v>200</v>
      </c>
      <c r="G269" s="452" t="s">
        <v>2100</v>
      </c>
      <c r="H269" s="451" t="s">
        <v>2149</v>
      </c>
      <c r="I269" s="451" t="s">
        <v>1958</v>
      </c>
      <c r="J269" s="451">
        <v>508279</v>
      </c>
      <c r="K269" s="451"/>
      <c r="L269" s="451"/>
      <c r="M269" s="454">
        <v>0</v>
      </c>
      <c r="N269" s="454">
        <v>0</v>
      </c>
      <c r="O269" s="454">
        <v>0</v>
      </c>
      <c r="P269" s="454">
        <v>0</v>
      </c>
      <c r="Q269" s="454">
        <v>0</v>
      </c>
      <c r="R269" s="454">
        <v>0</v>
      </c>
      <c r="S269" s="454"/>
      <c r="T269" s="454"/>
      <c r="U269" s="454"/>
      <c r="V269" s="454"/>
      <c r="W269" s="454"/>
      <c r="X269" s="454"/>
      <c r="Y269" s="454">
        <f t="shared" si="10"/>
        <v>0</v>
      </c>
      <c r="Z269" s="454">
        <v>1000</v>
      </c>
      <c r="AA269" s="451">
        <v>1</v>
      </c>
      <c r="AB269" s="587">
        <v>44207</v>
      </c>
      <c r="AC269" s="587">
        <v>44249</v>
      </c>
      <c r="AD269" s="454"/>
      <c r="AE269" s="451"/>
      <c r="AF269" s="587"/>
      <c r="AG269" s="587"/>
      <c r="AH269" s="454"/>
      <c r="AI269" s="451"/>
      <c r="AJ269" s="587"/>
      <c r="AK269" s="587"/>
      <c r="AL269" s="454"/>
      <c r="AM269" s="451"/>
      <c r="AN269" s="587"/>
      <c r="AO269" s="587"/>
      <c r="AP269" s="454"/>
      <c r="AQ269" s="451"/>
      <c r="AR269" s="588"/>
      <c r="AS269" s="588"/>
      <c r="AT269" s="154">
        <f t="shared" si="11"/>
        <v>1000</v>
      </c>
      <c r="AU269" s="461">
        <f t="shared" si="9"/>
        <v>1000</v>
      </c>
    </row>
    <row r="270" spans="1:47" ht="22.5" x14ac:dyDescent="0.2">
      <c r="A270" s="148"/>
      <c r="B270" s="149">
        <v>255</v>
      </c>
      <c r="C270" s="149" t="s">
        <v>38</v>
      </c>
      <c r="D270" s="450">
        <v>40013067</v>
      </c>
      <c r="E270" s="451" t="s">
        <v>2411</v>
      </c>
      <c r="F270" s="451" t="s">
        <v>200</v>
      </c>
      <c r="G270" s="452" t="s">
        <v>2100</v>
      </c>
      <c r="H270" s="451" t="s">
        <v>2147</v>
      </c>
      <c r="I270" s="451" t="s">
        <v>1958</v>
      </c>
      <c r="J270" s="451">
        <v>1214645</v>
      </c>
      <c r="K270" s="451"/>
      <c r="L270" s="451"/>
      <c r="M270" s="454">
        <v>0</v>
      </c>
      <c r="N270" s="454">
        <v>0</v>
      </c>
      <c r="O270" s="454">
        <v>0</v>
      </c>
      <c r="P270" s="454">
        <v>0</v>
      </c>
      <c r="Q270" s="454">
        <v>0</v>
      </c>
      <c r="R270" s="454">
        <v>0</v>
      </c>
      <c r="S270" s="454"/>
      <c r="T270" s="454"/>
      <c r="U270" s="454"/>
      <c r="V270" s="454"/>
      <c r="W270" s="454"/>
      <c r="X270" s="454"/>
      <c r="Y270" s="454">
        <f t="shared" si="10"/>
        <v>0</v>
      </c>
      <c r="Z270" s="454">
        <v>1000</v>
      </c>
      <c r="AA270" s="451">
        <v>1</v>
      </c>
      <c r="AB270" s="587">
        <v>44207</v>
      </c>
      <c r="AC270" s="587">
        <v>44249</v>
      </c>
      <c r="AD270" s="454"/>
      <c r="AE270" s="451"/>
      <c r="AF270" s="587"/>
      <c r="AG270" s="587"/>
      <c r="AH270" s="454"/>
      <c r="AI270" s="451"/>
      <c r="AJ270" s="587"/>
      <c r="AK270" s="587"/>
      <c r="AL270" s="454"/>
      <c r="AM270" s="451"/>
      <c r="AN270" s="587"/>
      <c r="AO270" s="587"/>
      <c r="AP270" s="454"/>
      <c r="AQ270" s="451"/>
      <c r="AR270" s="588"/>
      <c r="AS270" s="588"/>
      <c r="AT270" s="154">
        <f t="shared" si="11"/>
        <v>1000</v>
      </c>
      <c r="AU270" s="461">
        <f t="shared" si="9"/>
        <v>1000</v>
      </c>
    </row>
    <row r="271" spans="1:47" ht="22.5" x14ac:dyDescent="0.2">
      <c r="A271" s="148"/>
      <c r="B271" s="149">
        <v>256</v>
      </c>
      <c r="C271" s="149" t="s">
        <v>38</v>
      </c>
      <c r="D271" s="450">
        <v>40013069</v>
      </c>
      <c r="E271" s="451" t="s">
        <v>2412</v>
      </c>
      <c r="F271" s="451" t="s">
        <v>200</v>
      </c>
      <c r="G271" s="452" t="s">
        <v>2100</v>
      </c>
      <c r="H271" s="451" t="s">
        <v>2147</v>
      </c>
      <c r="I271" s="451" t="s">
        <v>1958</v>
      </c>
      <c r="J271" s="451">
        <v>1320013</v>
      </c>
      <c r="K271" s="451"/>
      <c r="L271" s="451"/>
      <c r="M271" s="454">
        <v>0</v>
      </c>
      <c r="N271" s="454">
        <v>0</v>
      </c>
      <c r="O271" s="454">
        <v>0</v>
      </c>
      <c r="P271" s="454">
        <v>0</v>
      </c>
      <c r="Q271" s="454">
        <v>0</v>
      </c>
      <c r="R271" s="454">
        <v>0</v>
      </c>
      <c r="S271" s="454"/>
      <c r="T271" s="454"/>
      <c r="U271" s="454"/>
      <c r="V271" s="454"/>
      <c r="W271" s="454"/>
      <c r="X271" s="454"/>
      <c r="Y271" s="454">
        <f t="shared" si="10"/>
        <v>0</v>
      </c>
      <c r="Z271" s="454">
        <v>1000</v>
      </c>
      <c r="AA271" s="451">
        <v>1</v>
      </c>
      <c r="AB271" s="587">
        <v>44207</v>
      </c>
      <c r="AC271" s="587">
        <v>44249</v>
      </c>
      <c r="AD271" s="454"/>
      <c r="AE271" s="451"/>
      <c r="AF271" s="587"/>
      <c r="AG271" s="587"/>
      <c r="AH271" s="454"/>
      <c r="AI271" s="451"/>
      <c r="AJ271" s="587"/>
      <c r="AK271" s="587"/>
      <c r="AL271" s="454"/>
      <c r="AM271" s="451"/>
      <c r="AN271" s="587"/>
      <c r="AO271" s="587"/>
      <c r="AP271" s="454"/>
      <c r="AQ271" s="451"/>
      <c r="AR271" s="588"/>
      <c r="AS271" s="588"/>
      <c r="AT271" s="154">
        <f t="shared" si="11"/>
        <v>1000</v>
      </c>
      <c r="AU271" s="461">
        <f t="shared" si="9"/>
        <v>1000</v>
      </c>
    </row>
    <row r="272" spans="1:47" x14ac:dyDescent="0.2">
      <c r="A272" s="148"/>
      <c r="B272" s="149">
        <v>257</v>
      </c>
      <c r="C272" s="149" t="s">
        <v>38</v>
      </c>
      <c r="D272" s="450">
        <v>40013124</v>
      </c>
      <c r="E272" s="451" t="s">
        <v>2413</v>
      </c>
      <c r="F272" s="451" t="s">
        <v>200</v>
      </c>
      <c r="G272" s="452" t="s">
        <v>2100</v>
      </c>
      <c r="H272" s="451" t="s">
        <v>2107</v>
      </c>
      <c r="I272" s="451" t="s">
        <v>1958</v>
      </c>
      <c r="J272" s="451">
        <v>233181</v>
      </c>
      <c r="K272" s="451"/>
      <c r="L272" s="451"/>
      <c r="M272" s="454">
        <v>0</v>
      </c>
      <c r="N272" s="454">
        <v>0</v>
      </c>
      <c r="O272" s="454">
        <v>0</v>
      </c>
      <c r="P272" s="454">
        <v>0</v>
      </c>
      <c r="Q272" s="454">
        <v>0</v>
      </c>
      <c r="R272" s="454">
        <v>0</v>
      </c>
      <c r="S272" s="454"/>
      <c r="T272" s="454"/>
      <c r="U272" s="454"/>
      <c r="V272" s="454"/>
      <c r="W272" s="454"/>
      <c r="X272" s="454"/>
      <c r="Y272" s="454">
        <f t="shared" si="10"/>
        <v>0</v>
      </c>
      <c r="Z272" s="454">
        <v>1000</v>
      </c>
      <c r="AA272" s="451">
        <v>1</v>
      </c>
      <c r="AB272" s="587">
        <v>44207</v>
      </c>
      <c r="AC272" s="587">
        <v>44249</v>
      </c>
      <c r="AD272" s="454"/>
      <c r="AE272" s="451"/>
      <c r="AF272" s="587"/>
      <c r="AG272" s="587"/>
      <c r="AH272" s="454"/>
      <c r="AI272" s="451"/>
      <c r="AJ272" s="587"/>
      <c r="AK272" s="587"/>
      <c r="AL272" s="454"/>
      <c r="AM272" s="451"/>
      <c r="AN272" s="587"/>
      <c r="AO272" s="587"/>
      <c r="AP272" s="454"/>
      <c r="AQ272" s="451"/>
      <c r="AR272" s="588"/>
      <c r="AS272" s="588"/>
      <c r="AT272" s="154">
        <f t="shared" si="11"/>
        <v>1000</v>
      </c>
      <c r="AU272" s="461">
        <f t="shared" ref="AU272:AU334" si="12">+AT272-Y272</f>
        <v>1000</v>
      </c>
    </row>
    <row r="273" spans="1:47" ht="22.5" x14ac:dyDescent="0.2">
      <c r="A273" s="148"/>
      <c r="B273" s="149">
        <v>258</v>
      </c>
      <c r="C273" s="149" t="s">
        <v>38</v>
      </c>
      <c r="D273" s="450">
        <v>40013210</v>
      </c>
      <c r="E273" s="451" t="s">
        <v>2414</v>
      </c>
      <c r="F273" s="451" t="s">
        <v>200</v>
      </c>
      <c r="G273" s="452" t="s">
        <v>2100</v>
      </c>
      <c r="H273" s="451" t="s">
        <v>2103</v>
      </c>
      <c r="I273" s="451" t="s">
        <v>1961</v>
      </c>
      <c r="J273" s="451">
        <v>740766</v>
      </c>
      <c r="K273" s="451"/>
      <c r="L273" s="451"/>
      <c r="M273" s="454">
        <v>0</v>
      </c>
      <c r="N273" s="454">
        <v>0</v>
      </c>
      <c r="O273" s="454">
        <v>0</v>
      </c>
      <c r="P273" s="454">
        <v>0</v>
      </c>
      <c r="Q273" s="454">
        <v>0</v>
      </c>
      <c r="R273" s="454">
        <v>0</v>
      </c>
      <c r="S273" s="454"/>
      <c r="T273" s="454"/>
      <c r="U273" s="454"/>
      <c r="V273" s="454"/>
      <c r="W273" s="454"/>
      <c r="X273" s="454"/>
      <c r="Y273" s="454">
        <f t="shared" ref="Y273:Y334" si="13">SUM(M273:X273)</f>
        <v>0</v>
      </c>
      <c r="Z273" s="454">
        <v>1000</v>
      </c>
      <c r="AA273" s="451">
        <v>1</v>
      </c>
      <c r="AB273" s="587">
        <v>44207</v>
      </c>
      <c r="AC273" s="587">
        <v>44249</v>
      </c>
      <c r="AD273" s="454"/>
      <c r="AE273" s="451"/>
      <c r="AF273" s="587"/>
      <c r="AG273" s="587"/>
      <c r="AH273" s="454"/>
      <c r="AI273" s="451"/>
      <c r="AJ273" s="587"/>
      <c r="AK273" s="587"/>
      <c r="AL273" s="454"/>
      <c r="AM273" s="451"/>
      <c r="AN273" s="587"/>
      <c r="AO273" s="587"/>
      <c r="AP273" s="454"/>
      <c r="AQ273" s="451"/>
      <c r="AR273" s="588"/>
      <c r="AS273" s="588"/>
      <c r="AT273" s="154">
        <f t="shared" ref="AT273:AT333" si="14">+Z273+AD273+AH273+AL273+AP273</f>
        <v>1000</v>
      </c>
      <c r="AU273" s="461">
        <f t="shared" si="12"/>
        <v>1000</v>
      </c>
    </row>
    <row r="274" spans="1:47" ht="22.5" x14ac:dyDescent="0.2">
      <c r="A274" s="148"/>
      <c r="B274" s="149">
        <v>259</v>
      </c>
      <c r="C274" s="149" t="s">
        <v>38</v>
      </c>
      <c r="D274" s="450">
        <v>40013965</v>
      </c>
      <c r="E274" s="451" t="s">
        <v>2415</v>
      </c>
      <c r="F274" s="451" t="s">
        <v>204</v>
      </c>
      <c r="G274" s="452" t="s">
        <v>2100</v>
      </c>
      <c r="H274" s="451" t="s">
        <v>2209</v>
      </c>
      <c r="I274" s="451" t="s">
        <v>1961</v>
      </c>
      <c r="J274" s="451">
        <v>1694740</v>
      </c>
      <c r="K274" s="451"/>
      <c r="L274" s="451"/>
      <c r="M274" s="454">
        <v>0</v>
      </c>
      <c r="N274" s="454">
        <v>0</v>
      </c>
      <c r="O274" s="454">
        <v>0</v>
      </c>
      <c r="P274" s="454">
        <v>0</v>
      </c>
      <c r="Q274" s="454">
        <v>0</v>
      </c>
      <c r="R274" s="454">
        <v>0</v>
      </c>
      <c r="S274" s="454"/>
      <c r="T274" s="454"/>
      <c r="U274" s="454"/>
      <c r="V274" s="454"/>
      <c r="W274" s="454"/>
      <c r="X274" s="454"/>
      <c r="Y274" s="454">
        <f t="shared" si="13"/>
        <v>0</v>
      </c>
      <c r="Z274" s="454">
        <v>1000</v>
      </c>
      <c r="AA274" s="451">
        <v>1</v>
      </c>
      <c r="AB274" s="587">
        <v>44207</v>
      </c>
      <c r="AC274" s="587">
        <v>44249</v>
      </c>
      <c r="AD274" s="454"/>
      <c r="AE274" s="451"/>
      <c r="AF274" s="587"/>
      <c r="AG274" s="587"/>
      <c r="AH274" s="454"/>
      <c r="AI274" s="451"/>
      <c r="AJ274" s="587"/>
      <c r="AK274" s="587"/>
      <c r="AL274" s="454"/>
      <c r="AM274" s="451"/>
      <c r="AN274" s="587"/>
      <c r="AO274" s="587"/>
      <c r="AP274" s="454"/>
      <c r="AQ274" s="451"/>
      <c r="AR274" s="588"/>
      <c r="AS274" s="588"/>
      <c r="AT274" s="154">
        <f t="shared" si="14"/>
        <v>1000</v>
      </c>
      <c r="AU274" s="461">
        <f t="shared" si="12"/>
        <v>1000</v>
      </c>
    </row>
    <row r="275" spans="1:47" ht="22.5" x14ac:dyDescent="0.2">
      <c r="A275" s="148"/>
      <c r="B275" s="149">
        <v>260</v>
      </c>
      <c r="C275" s="149" t="s">
        <v>38</v>
      </c>
      <c r="D275" s="450">
        <v>40014246</v>
      </c>
      <c r="E275" s="451" t="s">
        <v>2416</v>
      </c>
      <c r="F275" s="451" t="s">
        <v>200</v>
      </c>
      <c r="G275" s="452" t="s">
        <v>2100</v>
      </c>
      <c r="H275" s="451" t="s">
        <v>2417</v>
      </c>
      <c r="I275" s="451" t="s">
        <v>1958</v>
      </c>
      <c r="J275" s="451">
        <v>2722302</v>
      </c>
      <c r="K275" s="451"/>
      <c r="L275" s="451"/>
      <c r="M275" s="454">
        <v>0</v>
      </c>
      <c r="N275" s="454">
        <v>0</v>
      </c>
      <c r="O275" s="454">
        <v>0</v>
      </c>
      <c r="P275" s="454">
        <v>0</v>
      </c>
      <c r="Q275" s="454">
        <v>0</v>
      </c>
      <c r="R275" s="454">
        <v>0</v>
      </c>
      <c r="S275" s="454"/>
      <c r="T275" s="454"/>
      <c r="U275" s="454"/>
      <c r="V275" s="454"/>
      <c r="W275" s="454"/>
      <c r="X275" s="454"/>
      <c r="Y275" s="454">
        <f t="shared" si="13"/>
        <v>0</v>
      </c>
      <c r="Z275" s="454">
        <v>1000</v>
      </c>
      <c r="AA275" s="451">
        <v>1</v>
      </c>
      <c r="AB275" s="587">
        <v>44207</v>
      </c>
      <c r="AC275" s="587">
        <v>44249</v>
      </c>
      <c r="AD275" s="454"/>
      <c r="AE275" s="451"/>
      <c r="AF275" s="587"/>
      <c r="AG275" s="587"/>
      <c r="AH275" s="454"/>
      <c r="AI275" s="451"/>
      <c r="AJ275" s="587"/>
      <c r="AK275" s="587"/>
      <c r="AL275" s="454"/>
      <c r="AM275" s="451"/>
      <c r="AN275" s="587"/>
      <c r="AO275" s="587"/>
      <c r="AP275" s="454"/>
      <c r="AQ275" s="451"/>
      <c r="AR275" s="588"/>
      <c r="AS275" s="588"/>
      <c r="AT275" s="154">
        <f t="shared" si="14"/>
        <v>1000</v>
      </c>
      <c r="AU275" s="461">
        <f t="shared" si="12"/>
        <v>1000</v>
      </c>
    </row>
    <row r="276" spans="1:47" ht="22.5" x14ac:dyDescent="0.2">
      <c r="A276" s="148"/>
      <c r="B276" s="149">
        <v>261</v>
      </c>
      <c r="C276" s="149" t="s">
        <v>38</v>
      </c>
      <c r="D276" s="450">
        <v>40014331</v>
      </c>
      <c r="E276" s="451" t="s">
        <v>2418</v>
      </c>
      <c r="F276" s="451" t="s">
        <v>204</v>
      </c>
      <c r="G276" s="452" t="s">
        <v>2100</v>
      </c>
      <c r="H276" s="451" t="s">
        <v>2105</v>
      </c>
      <c r="I276" s="451" t="s">
        <v>1958</v>
      </c>
      <c r="J276" s="451">
        <v>3754343</v>
      </c>
      <c r="K276" s="451"/>
      <c r="L276" s="451"/>
      <c r="M276" s="454">
        <v>0</v>
      </c>
      <c r="N276" s="454">
        <v>0</v>
      </c>
      <c r="O276" s="454">
        <v>0</v>
      </c>
      <c r="P276" s="454">
        <v>0</v>
      </c>
      <c r="Q276" s="454">
        <v>0</v>
      </c>
      <c r="R276" s="454">
        <v>0</v>
      </c>
      <c r="S276" s="454"/>
      <c r="T276" s="454"/>
      <c r="U276" s="454"/>
      <c r="V276" s="454"/>
      <c r="W276" s="454"/>
      <c r="X276" s="454"/>
      <c r="Y276" s="454">
        <f t="shared" si="13"/>
        <v>0</v>
      </c>
      <c r="Z276" s="454">
        <v>1000</v>
      </c>
      <c r="AA276" s="451">
        <v>1</v>
      </c>
      <c r="AB276" s="587">
        <v>44207</v>
      </c>
      <c r="AC276" s="587">
        <v>44249</v>
      </c>
      <c r="AD276" s="454"/>
      <c r="AE276" s="451"/>
      <c r="AF276" s="587"/>
      <c r="AG276" s="587"/>
      <c r="AH276" s="454"/>
      <c r="AI276" s="451"/>
      <c r="AJ276" s="587"/>
      <c r="AK276" s="587"/>
      <c r="AL276" s="454"/>
      <c r="AM276" s="451"/>
      <c r="AN276" s="587"/>
      <c r="AO276" s="587"/>
      <c r="AP276" s="454"/>
      <c r="AQ276" s="451"/>
      <c r="AR276" s="588"/>
      <c r="AS276" s="588"/>
      <c r="AT276" s="154">
        <f t="shared" si="14"/>
        <v>1000</v>
      </c>
      <c r="AU276" s="461">
        <f t="shared" si="12"/>
        <v>1000</v>
      </c>
    </row>
    <row r="277" spans="1:47" ht="22.5" x14ac:dyDescent="0.2">
      <c r="A277" s="148"/>
      <c r="B277" s="149">
        <v>262</v>
      </c>
      <c r="C277" s="149" t="s">
        <v>38</v>
      </c>
      <c r="D277" s="450">
        <v>40014862</v>
      </c>
      <c r="E277" s="451" t="s">
        <v>2419</v>
      </c>
      <c r="F277" s="451" t="s">
        <v>200</v>
      </c>
      <c r="G277" s="452" t="s">
        <v>2100</v>
      </c>
      <c r="H277" s="451" t="s">
        <v>2246</v>
      </c>
      <c r="I277" s="451" t="s">
        <v>1958</v>
      </c>
      <c r="J277" s="451">
        <v>104</v>
      </c>
      <c r="K277" s="451"/>
      <c r="L277" s="451"/>
      <c r="M277" s="454">
        <v>0</v>
      </c>
      <c r="N277" s="454">
        <v>0</v>
      </c>
      <c r="O277" s="454">
        <v>0</v>
      </c>
      <c r="P277" s="454">
        <v>0</v>
      </c>
      <c r="Q277" s="454">
        <v>0</v>
      </c>
      <c r="R277" s="454">
        <v>0</v>
      </c>
      <c r="S277" s="454"/>
      <c r="T277" s="454"/>
      <c r="U277" s="454"/>
      <c r="V277" s="454"/>
      <c r="W277" s="454"/>
      <c r="X277" s="454"/>
      <c r="Y277" s="454">
        <f t="shared" si="13"/>
        <v>0</v>
      </c>
      <c r="Z277" s="454">
        <v>100</v>
      </c>
      <c r="AA277" s="451">
        <v>1</v>
      </c>
      <c r="AB277" s="587">
        <v>44207</v>
      </c>
      <c r="AC277" s="587">
        <v>44249</v>
      </c>
      <c r="AD277" s="454"/>
      <c r="AE277" s="451"/>
      <c r="AF277" s="587"/>
      <c r="AG277" s="587"/>
      <c r="AH277" s="454"/>
      <c r="AI277" s="451"/>
      <c r="AJ277" s="587"/>
      <c r="AK277" s="587"/>
      <c r="AL277" s="454"/>
      <c r="AM277" s="451"/>
      <c r="AN277" s="587"/>
      <c r="AO277" s="587"/>
      <c r="AP277" s="454"/>
      <c r="AQ277" s="451"/>
      <c r="AR277" s="588"/>
      <c r="AS277" s="588"/>
      <c r="AT277" s="154">
        <f t="shared" si="14"/>
        <v>100</v>
      </c>
      <c r="AU277" s="461">
        <f t="shared" si="12"/>
        <v>100</v>
      </c>
    </row>
    <row r="278" spans="1:47" ht="22.5" x14ac:dyDescent="0.2">
      <c r="A278" s="148"/>
      <c r="B278" s="149">
        <v>263</v>
      </c>
      <c r="C278" s="149" t="s">
        <v>38</v>
      </c>
      <c r="D278" s="450">
        <v>40015104</v>
      </c>
      <c r="E278" s="451" t="s">
        <v>2420</v>
      </c>
      <c r="F278" s="451" t="s">
        <v>200</v>
      </c>
      <c r="G278" s="452" t="s">
        <v>2100</v>
      </c>
      <c r="H278" s="451" t="s">
        <v>2421</v>
      </c>
      <c r="I278" s="451" t="s">
        <v>1958</v>
      </c>
      <c r="J278" s="451">
        <v>76348</v>
      </c>
      <c r="K278" s="451"/>
      <c r="L278" s="451"/>
      <c r="M278" s="454">
        <v>0</v>
      </c>
      <c r="N278" s="454">
        <v>0</v>
      </c>
      <c r="O278" s="454">
        <v>75824.243000000002</v>
      </c>
      <c r="P278" s="454">
        <v>0</v>
      </c>
      <c r="Q278" s="454">
        <v>0</v>
      </c>
      <c r="R278" s="454">
        <v>0</v>
      </c>
      <c r="S278" s="454"/>
      <c r="T278" s="454"/>
      <c r="U278" s="454"/>
      <c r="V278" s="454"/>
      <c r="W278" s="454"/>
      <c r="X278" s="454"/>
      <c r="Y278" s="454">
        <f t="shared" si="13"/>
        <v>75824.243000000002</v>
      </c>
      <c r="Z278" s="454">
        <v>1000</v>
      </c>
      <c r="AA278" s="451">
        <v>8</v>
      </c>
      <c r="AB278" s="587">
        <v>44252</v>
      </c>
      <c r="AC278" s="587">
        <v>44292</v>
      </c>
      <c r="AD278" s="454">
        <v>74824</v>
      </c>
      <c r="AE278" s="451">
        <v>10</v>
      </c>
      <c r="AF278" s="587">
        <v>44286</v>
      </c>
      <c r="AG278" s="587">
        <v>44306</v>
      </c>
      <c r="AH278" s="454"/>
      <c r="AI278" s="451"/>
      <c r="AJ278" s="587"/>
      <c r="AK278" s="587"/>
      <c r="AL278" s="454"/>
      <c r="AM278" s="451"/>
      <c r="AN278" s="587"/>
      <c r="AO278" s="587"/>
      <c r="AP278" s="454"/>
      <c r="AQ278" s="451"/>
      <c r="AR278" s="588"/>
      <c r="AS278" s="588"/>
      <c r="AT278" s="154">
        <f t="shared" si="14"/>
        <v>75824</v>
      </c>
      <c r="AU278" s="461">
        <f t="shared" si="12"/>
        <v>-0.24300000000221189</v>
      </c>
    </row>
    <row r="279" spans="1:47" ht="22.5" x14ac:dyDescent="0.2">
      <c r="A279" s="148"/>
      <c r="B279" s="149">
        <v>264</v>
      </c>
      <c r="C279" s="149" t="s">
        <v>38</v>
      </c>
      <c r="D279" s="450">
        <v>40015285</v>
      </c>
      <c r="E279" s="451" t="s">
        <v>2422</v>
      </c>
      <c r="F279" s="451" t="s">
        <v>200</v>
      </c>
      <c r="G279" s="452" t="s">
        <v>2100</v>
      </c>
      <c r="H279" s="451" t="s">
        <v>2103</v>
      </c>
      <c r="I279" s="451" t="s">
        <v>1958</v>
      </c>
      <c r="J279" s="451">
        <v>843359</v>
      </c>
      <c r="K279" s="451"/>
      <c r="L279" s="451"/>
      <c r="M279" s="454">
        <v>0</v>
      </c>
      <c r="N279" s="454">
        <v>808901</v>
      </c>
      <c r="O279" s="454">
        <v>250</v>
      </c>
      <c r="P279" s="454">
        <v>0</v>
      </c>
      <c r="Q279" s="454">
        <v>420</v>
      </c>
      <c r="R279" s="454">
        <v>0</v>
      </c>
      <c r="S279" s="454"/>
      <c r="T279" s="454"/>
      <c r="U279" s="454"/>
      <c r="V279" s="454"/>
      <c r="W279" s="454"/>
      <c r="X279" s="454"/>
      <c r="Y279" s="454">
        <f t="shared" si="13"/>
        <v>809571</v>
      </c>
      <c r="Z279" s="454">
        <v>1000</v>
      </c>
      <c r="AA279" s="451">
        <v>1</v>
      </c>
      <c r="AB279" s="587">
        <v>44207</v>
      </c>
      <c r="AC279" s="587">
        <v>44249</v>
      </c>
      <c r="AD279" s="454">
        <v>808901</v>
      </c>
      <c r="AE279" s="451">
        <v>8</v>
      </c>
      <c r="AF279" s="587">
        <v>44252</v>
      </c>
      <c r="AG279" s="587">
        <v>44292</v>
      </c>
      <c r="AH279" s="454">
        <v>250</v>
      </c>
      <c r="AI279" s="451">
        <v>10</v>
      </c>
      <c r="AJ279" s="587">
        <v>44286</v>
      </c>
      <c r="AK279" s="587">
        <v>44306</v>
      </c>
      <c r="AL279" s="454">
        <v>420</v>
      </c>
      <c r="AM279" s="451">
        <v>23</v>
      </c>
      <c r="AN279" s="587">
        <v>44340</v>
      </c>
      <c r="AO279" s="587">
        <v>44350</v>
      </c>
      <c r="AP279" s="454">
        <v>0</v>
      </c>
      <c r="AQ279" s="451">
        <v>0</v>
      </c>
      <c r="AR279" s="588"/>
      <c r="AS279" s="588"/>
      <c r="AT279" s="154">
        <f t="shared" si="14"/>
        <v>810571</v>
      </c>
      <c r="AU279" s="461">
        <f t="shared" si="12"/>
        <v>1000</v>
      </c>
    </row>
    <row r="280" spans="1:47" ht="33.75" x14ac:dyDescent="0.2">
      <c r="A280" s="148"/>
      <c r="B280" s="149">
        <v>265</v>
      </c>
      <c r="C280" s="149" t="s">
        <v>38</v>
      </c>
      <c r="D280" s="450">
        <v>40015519</v>
      </c>
      <c r="E280" s="451" t="s">
        <v>2423</v>
      </c>
      <c r="F280" s="451" t="s">
        <v>200</v>
      </c>
      <c r="G280" s="452" t="s">
        <v>2100</v>
      </c>
      <c r="H280" s="451" t="s">
        <v>2113</v>
      </c>
      <c r="I280" s="451" t="s">
        <v>1958</v>
      </c>
      <c r="J280" s="451">
        <v>283448</v>
      </c>
      <c r="K280" s="451"/>
      <c r="L280" s="451"/>
      <c r="M280" s="454">
        <v>0</v>
      </c>
      <c r="N280" s="454">
        <v>0</v>
      </c>
      <c r="O280" s="454">
        <v>0</v>
      </c>
      <c r="P280" s="454">
        <v>0</v>
      </c>
      <c r="Q280" s="454">
        <v>0</v>
      </c>
      <c r="R280" s="454">
        <v>0</v>
      </c>
      <c r="S280" s="454"/>
      <c r="T280" s="454"/>
      <c r="U280" s="454"/>
      <c r="V280" s="454"/>
      <c r="W280" s="454"/>
      <c r="X280" s="454"/>
      <c r="Y280" s="454">
        <f t="shared" si="13"/>
        <v>0</v>
      </c>
      <c r="Z280" s="454">
        <v>1000</v>
      </c>
      <c r="AA280" s="451">
        <v>1</v>
      </c>
      <c r="AB280" s="587">
        <v>44207</v>
      </c>
      <c r="AC280" s="587">
        <v>44249</v>
      </c>
      <c r="AD280" s="454"/>
      <c r="AE280" s="451"/>
      <c r="AF280" s="587"/>
      <c r="AG280" s="587"/>
      <c r="AH280" s="454"/>
      <c r="AI280" s="451"/>
      <c r="AJ280" s="587"/>
      <c r="AK280" s="587"/>
      <c r="AL280" s="454"/>
      <c r="AM280" s="451"/>
      <c r="AN280" s="587"/>
      <c r="AO280" s="587"/>
      <c r="AP280" s="454"/>
      <c r="AQ280" s="451"/>
      <c r="AR280" s="588"/>
      <c r="AS280" s="588"/>
      <c r="AT280" s="154">
        <f t="shared" si="14"/>
        <v>1000</v>
      </c>
      <c r="AU280" s="461">
        <f t="shared" si="12"/>
        <v>1000</v>
      </c>
    </row>
    <row r="281" spans="1:47" ht="22.5" x14ac:dyDescent="0.2">
      <c r="A281" s="148"/>
      <c r="B281" s="149">
        <v>266</v>
      </c>
      <c r="C281" s="149" t="s">
        <v>38</v>
      </c>
      <c r="D281" s="450">
        <v>40016391</v>
      </c>
      <c r="E281" s="451" t="s">
        <v>2424</v>
      </c>
      <c r="F281" s="451" t="s">
        <v>204</v>
      </c>
      <c r="G281" s="452" t="s">
        <v>2100</v>
      </c>
      <c r="H281" s="451" t="s">
        <v>2184</v>
      </c>
      <c r="I281" s="451" t="s">
        <v>1958</v>
      </c>
      <c r="J281" s="451">
        <v>435035</v>
      </c>
      <c r="K281" s="451"/>
      <c r="L281" s="451"/>
      <c r="M281" s="454">
        <v>0</v>
      </c>
      <c r="N281" s="454">
        <v>0</v>
      </c>
      <c r="O281" s="454">
        <v>0</v>
      </c>
      <c r="P281" s="454">
        <v>0</v>
      </c>
      <c r="Q281" s="454">
        <v>0</v>
      </c>
      <c r="R281" s="454">
        <v>0</v>
      </c>
      <c r="S281" s="454"/>
      <c r="T281" s="454"/>
      <c r="U281" s="454"/>
      <c r="V281" s="454"/>
      <c r="W281" s="454"/>
      <c r="X281" s="454"/>
      <c r="Y281" s="454">
        <f t="shared" si="13"/>
        <v>0</v>
      </c>
      <c r="Z281" s="454">
        <v>1000</v>
      </c>
      <c r="AA281" s="451">
        <v>1</v>
      </c>
      <c r="AB281" s="587">
        <v>44207</v>
      </c>
      <c r="AC281" s="587">
        <v>44249</v>
      </c>
      <c r="AD281" s="454"/>
      <c r="AE281" s="451"/>
      <c r="AF281" s="587"/>
      <c r="AG281" s="587"/>
      <c r="AH281" s="454"/>
      <c r="AI281" s="451"/>
      <c r="AJ281" s="587"/>
      <c r="AK281" s="587"/>
      <c r="AL281" s="454"/>
      <c r="AM281" s="451"/>
      <c r="AN281" s="587"/>
      <c r="AO281" s="587"/>
      <c r="AP281" s="454"/>
      <c r="AQ281" s="451"/>
      <c r="AR281" s="588"/>
      <c r="AS281" s="588"/>
      <c r="AT281" s="154">
        <f t="shared" si="14"/>
        <v>1000</v>
      </c>
      <c r="AU281" s="461">
        <f t="shared" si="12"/>
        <v>1000</v>
      </c>
    </row>
    <row r="282" spans="1:47" ht="22.5" x14ac:dyDescent="0.2">
      <c r="A282" s="148"/>
      <c r="B282" s="149">
        <v>267</v>
      </c>
      <c r="C282" s="149" t="s">
        <v>38</v>
      </c>
      <c r="D282" s="450">
        <v>40017003</v>
      </c>
      <c r="E282" s="451" t="s">
        <v>2425</v>
      </c>
      <c r="F282" s="451" t="s">
        <v>200</v>
      </c>
      <c r="G282" s="452" t="s">
        <v>2100</v>
      </c>
      <c r="H282" s="451" t="s">
        <v>2193</v>
      </c>
      <c r="I282" s="451" t="s">
        <v>1958</v>
      </c>
      <c r="J282" s="451">
        <v>430732</v>
      </c>
      <c r="K282" s="451"/>
      <c r="L282" s="451"/>
      <c r="M282" s="454">
        <v>0</v>
      </c>
      <c r="N282" s="454">
        <v>0</v>
      </c>
      <c r="O282" s="454">
        <v>0</v>
      </c>
      <c r="P282" s="454">
        <v>0</v>
      </c>
      <c r="Q282" s="454">
        <v>0</v>
      </c>
      <c r="R282" s="454">
        <v>0</v>
      </c>
      <c r="S282" s="454"/>
      <c r="T282" s="454"/>
      <c r="U282" s="454"/>
      <c r="V282" s="454"/>
      <c r="W282" s="454"/>
      <c r="X282" s="454"/>
      <c r="Y282" s="454">
        <f t="shared" si="13"/>
        <v>0</v>
      </c>
      <c r="Z282" s="454">
        <v>1000</v>
      </c>
      <c r="AA282" s="451">
        <v>1</v>
      </c>
      <c r="AB282" s="587">
        <v>44207</v>
      </c>
      <c r="AC282" s="587">
        <v>44249</v>
      </c>
      <c r="AD282" s="454"/>
      <c r="AE282" s="451"/>
      <c r="AF282" s="587"/>
      <c r="AG282" s="587"/>
      <c r="AH282" s="454"/>
      <c r="AI282" s="451"/>
      <c r="AJ282" s="587"/>
      <c r="AK282" s="587"/>
      <c r="AL282" s="454"/>
      <c r="AM282" s="451"/>
      <c r="AN282" s="587"/>
      <c r="AO282" s="587"/>
      <c r="AP282" s="454"/>
      <c r="AQ282" s="451"/>
      <c r="AR282" s="588"/>
      <c r="AS282" s="588"/>
      <c r="AT282" s="154">
        <f t="shared" si="14"/>
        <v>1000</v>
      </c>
      <c r="AU282" s="461">
        <f t="shared" si="12"/>
        <v>1000</v>
      </c>
    </row>
    <row r="283" spans="1:47" ht="22.5" x14ac:dyDescent="0.2">
      <c r="A283" s="148"/>
      <c r="B283" s="149">
        <v>268</v>
      </c>
      <c r="C283" s="149" t="s">
        <v>38</v>
      </c>
      <c r="D283" s="450">
        <v>40017009</v>
      </c>
      <c r="E283" s="451" t="s">
        <v>2426</v>
      </c>
      <c r="F283" s="451" t="s">
        <v>200</v>
      </c>
      <c r="G283" s="452" t="s">
        <v>2100</v>
      </c>
      <c r="H283" s="451" t="s">
        <v>2193</v>
      </c>
      <c r="I283" s="451" t="s">
        <v>1961</v>
      </c>
      <c r="J283" s="451">
        <v>212235</v>
      </c>
      <c r="K283" s="451"/>
      <c r="L283" s="451"/>
      <c r="M283" s="454">
        <v>0</v>
      </c>
      <c r="N283" s="454">
        <v>0</v>
      </c>
      <c r="O283" s="454">
        <v>0</v>
      </c>
      <c r="P283" s="454">
        <v>0</v>
      </c>
      <c r="Q283" s="454">
        <v>0</v>
      </c>
      <c r="R283" s="454">
        <v>0</v>
      </c>
      <c r="S283" s="454"/>
      <c r="T283" s="454"/>
      <c r="U283" s="454"/>
      <c r="V283" s="454"/>
      <c r="W283" s="454"/>
      <c r="X283" s="454"/>
      <c r="Y283" s="454">
        <f t="shared" si="13"/>
        <v>0</v>
      </c>
      <c r="Z283" s="454">
        <v>1000</v>
      </c>
      <c r="AA283" s="451">
        <v>1</v>
      </c>
      <c r="AB283" s="587">
        <v>44207</v>
      </c>
      <c r="AC283" s="587">
        <v>44249</v>
      </c>
      <c r="AD283" s="454"/>
      <c r="AE283" s="451"/>
      <c r="AF283" s="587"/>
      <c r="AG283" s="587"/>
      <c r="AH283" s="454"/>
      <c r="AI283" s="451"/>
      <c r="AJ283" s="587"/>
      <c r="AK283" s="587"/>
      <c r="AL283" s="454"/>
      <c r="AM283" s="451"/>
      <c r="AN283" s="587"/>
      <c r="AO283" s="587"/>
      <c r="AP283" s="454"/>
      <c r="AQ283" s="451"/>
      <c r="AR283" s="588"/>
      <c r="AS283" s="588"/>
      <c r="AT283" s="154">
        <f t="shared" si="14"/>
        <v>1000</v>
      </c>
      <c r="AU283" s="461">
        <f t="shared" si="12"/>
        <v>1000</v>
      </c>
    </row>
    <row r="284" spans="1:47" ht="22.5" x14ac:dyDescent="0.2">
      <c r="A284" s="148"/>
      <c r="B284" s="149">
        <v>269</v>
      </c>
      <c r="C284" s="149" t="s">
        <v>38</v>
      </c>
      <c r="D284" s="450">
        <v>40017920</v>
      </c>
      <c r="E284" s="451" t="s">
        <v>2427</v>
      </c>
      <c r="F284" s="451" t="s">
        <v>200</v>
      </c>
      <c r="G284" s="452" t="s">
        <v>2100</v>
      </c>
      <c r="H284" s="451" t="s">
        <v>2160</v>
      </c>
      <c r="I284" s="451" t="s">
        <v>1958</v>
      </c>
      <c r="J284" s="451">
        <v>1159993</v>
      </c>
      <c r="K284" s="451"/>
      <c r="L284" s="451"/>
      <c r="M284" s="454">
        <v>0</v>
      </c>
      <c r="N284" s="454">
        <v>0</v>
      </c>
      <c r="O284" s="454">
        <v>0</v>
      </c>
      <c r="P284" s="454">
        <v>0</v>
      </c>
      <c r="Q284" s="454">
        <v>0</v>
      </c>
      <c r="R284" s="454">
        <v>0</v>
      </c>
      <c r="S284" s="454"/>
      <c r="T284" s="454"/>
      <c r="U284" s="454"/>
      <c r="V284" s="454"/>
      <c r="W284" s="454"/>
      <c r="X284" s="454"/>
      <c r="Y284" s="454">
        <f t="shared" si="13"/>
        <v>0</v>
      </c>
      <c r="Z284" s="454">
        <v>1000</v>
      </c>
      <c r="AA284" s="451">
        <v>1</v>
      </c>
      <c r="AB284" s="587">
        <v>44207</v>
      </c>
      <c r="AC284" s="587">
        <v>44249</v>
      </c>
      <c r="AD284" s="454"/>
      <c r="AE284" s="451"/>
      <c r="AF284" s="587"/>
      <c r="AG284" s="587"/>
      <c r="AH284" s="454"/>
      <c r="AI284" s="451"/>
      <c r="AJ284" s="587"/>
      <c r="AK284" s="587"/>
      <c r="AL284" s="454"/>
      <c r="AM284" s="451"/>
      <c r="AN284" s="587"/>
      <c r="AO284" s="587"/>
      <c r="AP284" s="454"/>
      <c r="AQ284" s="451"/>
      <c r="AR284" s="588"/>
      <c r="AS284" s="588"/>
      <c r="AT284" s="154">
        <f t="shared" si="14"/>
        <v>1000</v>
      </c>
      <c r="AU284" s="461">
        <f t="shared" si="12"/>
        <v>1000</v>
      </c>
    </row>
    <row r="285" spans="1:47" ht="33.75" x14ac:dyDescent="0.2">
      <c r="A285" s="148"/>
      <c r="B285" s="149">
        <v>270</v>
      </c>
      <c r="C285" s="149" t="s">
        <v>38</v>
      </c>
      <c r="D285" s="450">
        <v>40018170</v>
      </c>
      <c r="E285" s="451" t="s">
        <v>2428</v>
      </c>
      <c r="F285" s="451" t="s">
        <v>200</v>
      </c>
      <c r="G285" s="452" t="s">
        <v>2100</v>
      </c>
      <c r="H285" s="451" t="s">
        <v>2113</v>
      </c>
      <c r="I285" s="451" t="s">
        <v>1958</v>
      </c>
      <c r="J285" s="451">
        <v>867079</v>
      </c>
      <c r="K285" s="451"/>
      <c r="L285" s="451"/>
      <c r="M285" s="454">
        <v>0</v>
      </c>
      <c r="N285" s="454">
        <v>0</v>
      </c>
      <c r="O285" s="454">
        <v>5200</v>
      </c>
      <c r="P285" s="454">
        <v>4000</v>
      </c>
      <c r="Q285" s="454">
        <v>0</v>
      </c>
      <c r="R285" s="454">
        <v>4000</v>
      </c>
      <c r="S285" s="454"/>
      <c r="T285" s="454"/>
      <c r="U285" s="454"/>
      <c r="V285" s="454"/>
      <c r="W285" s="454"/>
      <c r="X285" s="454"/>
      <c r="Y285" s="454">
        <f t="shared" si="13"/>
        <v>13200</v>
      </c>
      <c r="Z285" s="454">
        <v>1000</v>
      </c>
      <c r="AA285" s="451">
        <v>1</v>
      </c>
      <c r="AB285" s="587">
        <v>44207</v>
      </c>
      <c r="AC285" s="587">
        <v>44249</v>
      </c>
      <c r="AD285" s="454">
        <v>20800</v>
      </c>
      <c r="AE285" s="451">
        <v>10</v>
      </c>
      <c r="AF285" s="587">
        <v>44286</v>
      </c>
      <c r="AG285" s="587">
        <v>44306</v>
      </c>
      <c r="AH285" s="454"/>
      <c r="AI285" s="451"/>
      <c r="AJ285" s="587"/>
      <c r="AK285" s="587"/>
      <c r="AL285" s="454"/>
      <c r="AM285" s="451"/>
      <c r="AN285" s="587"/>
      <c r="AO285" s="587"/>
      <c r="AP285" s="454"/>
      <c r="AQ285" s="451"/>
      <c r="AR285" s="588"/>
      <c r="AS285" s="588"/>
      <c r="AT285" s="154">
        <f t="shared" si="14"/>
        <v>21800</v>
      </c>
      <c r="AU285" s="461">
        <f t="shared" si="12"/>
        <v>8600</v>
      </c>
    </row>
    <row r="286" spans="1:47" ht="22.5" x14ac:dyDescent="0.2">
      <c r="A286" s="148"/>
      <c r="B286" s="149">
        <v>271</v>
      </c>
      <c r="C286" s="149" t="s">
        <v>38</v>
      </c>
      <c r="D286" s="450">
        <v>40018858</v>
      </c>
      <c r="E286" s="451" t="s">
        <v>2429</v>
      </c>
      <c r="F286" s="451" t="s">
        <v>200</v>
      </c>
      <c r="G286" s="452" t="s">
        <v>2100</v>
      </c>
      <c r="H286" s="451" t="s">
        <v>2195</v>
      </c>
      <c r="I286" s="451" t="s">
        <v>1958</v>
      </c>
      <c r="J286" s="451">
        <v>330287</v>
      </c>
      <c r="K286" s="451"/>
      <c r="L286" s="451"/>
      <c r="M286" s="454">
        <v>0</v>
      </c>
      <c r="N286" s="454">
        <v>0</v>
      </c>
      <c r="O286" s="454">
        <v>0</v>
      </c>
      <c r="P286" s="454">
        <v>0</v>
      </c>
      <c r="Q286" s="454">
        <v>0</v>
      </c>
      <c r="R286" s="454">
        <v>0</v>
      </c>
      <c r="S286" s="454"/>
      <c r="T286" s="454"/>
      <c r="U286" s="454"/>
      <c r="V286" s="454"/>
      <c r="W286" s="454"/>
      <c r="X286" s="454"/>
      <c r="Y286" s="454">
        <f t="shared" si="13"/>
        <v>0</v>
      </c>
      <c r="Z286" s="454">
        <v>1000</v>
      </c>
      <c r="AA286" s="451">
        <v>1</v>
      </c>
      <c r="AB286" s="587">
        <v>44207</v>
      </c>
      <c r="AC286" s="587">
        <v>44249</v>
      </c>
      <c r="AD286" s="454"/>
      <c r="AE286" s="451"/>
      <c r="AF286" s="587"/>
      <c r="AG286" s="587"/>
      <c r="AH286" s="454"/>
      <c r="AI286" s="451"/>
      <c r="AJ286" s="587"/>
      <c r="AK286" s="587"/>
      <c r="AL286" s="454"/>
      <c r="AM286" s="451"/>
      <c r="AN286" s="587"/>
      <c r="AO286" s="587"/>
      <c r="AP286" s="454"/>
      <c r="AQ286" s="451"/>
      <c r="AR286" s="588"/>
      <c r="AS286" s="588"/>
      <c r="AT286" s="154">
        <f t="shared" si="14"/>
        <v>1000</v>
      </c>
      <c r="AU286" s="461">
        <f t="shared" si="12"/>
        <v>1000</v>
      </c>
    </row>
    <row r="287" spans="1:47" ht="22.5" x14ac:dyDescent="0.2">
      <c r="A287" s="148"/>
      <c r="B287" s="149">
        <v>272</v>
      </c>
      <c r="C287" s="149" t="s">
        <v>38</v>
      </c>
      <c r="D287" s="450">
        <v>40018988</v>
      </c>
      <c r="E287" s="451" t="s">
        <v>2430</v>
      </c>
      <c r="F287" s="451" t="s">
        <v>200</v>
      </c>
      <c r="G287" s="452" t="s">
        <v>2100</v>
      </c>
      <c r="H287" s="451" t="s">
        <v>2149</v>
      </c>
      <c r="I287" s="451" t="s">
        <v>1958</v>
      </c>
      <c r="J287" s="451">
        <v>115030</v>
      </c>
      <c r="K287" s="451"/>
      <c r="L287" s="451"/>
      <c r="M287" s="454">
        <v>0</v>
      </c>
      <c r="N287" s="454">
        <v>0</v>
      </c>
      <c r="O287" s="454">
        <v>0</v>
      </c>
      <c r="P287" s="454">
        <v>0</v>
      </c>
      <c r="Q287" s="454">
        <v>0</v>
      </c>
      <c r="R287" s="454">
        <v>0</v>
      </c>
      <c r="S287" s="454"/>
      <c r="T287" s="454"/>
      <c r="U287" s="454"/>
      <c r="V287" s="454"/>
      <c r="W287" s="454"/>
      <c r="X287" s="454"/>
      <c r="Y287" s="454">
        <f t="shared" si="13"/>
        <v>0</v>
      </c>
      <c r="Z287" s="454">
        <v>1000</v>
      </c>
      <c r="AA287" s="451">
        <v>1</v>
      </c>
      <c r="AB287" s="587">
        <v>44207</v>
      </c>
      <c r="AC287" s="587">
        <v>44249</v>
      </c>
      <c r="AD287" s="454"/>
      <c r="AE287" s="451"/>
      <c r="AF287" s="587"/>
      <c r="AG287" s="587"/>
      <c r="AH287" s="454"/>
      <c r="AI287" s="451"/>
      <c r="AJ287" s="587"/>
      <c r="AK287" s="587"/>
      <c r="AL287" s="454"/>
      <c r="AM287" s="451"/>
      <c r="AN287" s="587"/>
      <c r="AO287" s="587"/>
      <c r="AP287" s="454"/>
      <c r="AQ287" s="451"/>
      <c r="AR287" s="588"/>
      <c r="AS287" s="588"/>
      <c r="AT287" s="154">
        <f t="shared" si="14"/>
        <v>1000</v>
      </c>
      <c r="AU287" s="461">
        <f t="shared" si="12"/>
        <v>1000</v>
      </c>
    </row>
    <row r="288" spans="1:47" ht="22.5" x14ac:dyDescent="0.2">
      <c r="A288" s="148"/>
      <c r="B288" s="149">
        <v>273</v>
      </c>
      <c r="C288" s="149" t="s">
        <v>38</v>
      </c>
      <c r="D288" s="450">
        <v>40019091</v>
      </c>
      <c r="E288" s="451" t="s">
        <v>2431</v>
      </c>
      <c r="F288" s="451" t="s">
        <v>200</v>
      </c>
      <c r="G288" s="452" t="s">
        <v>2100</v>
      </c>
      <c r="H288" s="451" t="s">
        <v>2315</v>
      </c>
      <c r="I288" s="451" t="s">
        <v>1958</v>
      </c>
      <c r="J288" s="451">
        <v>182173</v>
      </c>
      <c r="K288" s="451"/>
      <c r="L288" s="451"/>
      <c r="M288" s="454">
        <v>0</v>
      </c>
      <c r="N288" s="454">
        <v>0</v>
      </c>
      <c r="O288" s="454">
        <v>0</v>
      </c>
      <c r="P288" s="454">
        <v>0</v>
      </c>
      <c r="Q288" s="454">
        <v>0</v>
      </c>
      <c r="R288" s="454">
        <v>0</v>
      </c>
      <c r="S288" s="454"/>
      <c r="T288" s="454"/>
      <c r="U288" s="454"/>
      <c r="V288" s="454"/>
      <c r="W288" s="454"/>
      <c r="X288" s="454"/>
      <c r="Y288" s="454">
        <f t="shared" si="13"/>
        <v>0</v>
      </c>
      <c r="Z288" s="454">
        <v>1000</v>
      </c>
      <c r="AA288" s="451">
        <v>1</v>
      </c>
      <c r="AB288" s="587">
        <v>44207</v>
      </c>
      <c r="AC288" s="587">
        <v>44249</v>
      </c>
      <c r="AD288" s="454"/>
      <c r="AE288" s="451"/>
      <c r="AF288" s="587"/>
      <c r="AG288" s="587"/>
      <c r="AH288" s="454"/>
      <c r="AI288" s="451"/>
      <c r="AJ288" s="587"/>
      <c r="AK288" s="587"/>
      <c r="AL288" s="454"/>
      <c r="AM288" s="451"/>
      <c r="AN288" s="587"/>
      <c r="AO288" s="587"/>
      <c r="AP288" s="454"/>
      <c r="AQ288" s="451"/>
      <c r="AR288" s="588"/>
      <c r="AS288" s="588"/>
      <c r="AT288" s="154">
        <f t="shared" si="14"/>
        <v>1000</v>
      </c>
      <c r="AU288" s="461">
        <f t="shared" si="12"/>
        <v>1000</v>
      </c>
    </row>
    <row r="289" spans="1:47" ht="33.75" x14ac:dyDescent="0.2">
      <c r="A289" s="148"/>
      <c r="B289" s="149">
        <v>274</v>
      </c>
      <c r="C289" s="149" t="s">
        <v>38</v>
      </c>
      <c r="D289" s="450">
        <v>40019124</v>
      </c>
      <c r="E289" s="451" t="s">
        <v>2432</v>
      </c>
      <c r="F289" s="451" t="s">
        <v>200</v>
      </c>
      <c r="G289" s="452" t="s">
        <v>2100</v>
      </c>
      <c r="H289" s="451" t="s">
        <v>2105</v>
      </c>
      <c r="I289" s="451" t="s">
        <v>1958</v>
      </c>
      <c r="J289" s="451">
        <v>42382</v>
      </c>
      <c r="K289" s="451"/>
      <c r="L289" s="451"/>
      <c r="M289" s="454">
        <v>0</v>
      </c>
      <c r="N289" s="454">
        <v>0</v>
      </c>
      <c r="O289" s="454">
        <v>0</v>
      </c>
      <c r="P289" s="454">
        <v>0</v>
      </c>
      <c r="Q289" s="454">
        <v>0</v>
      </c>
      <c r="R289" s="454">
        <v>0</v>
      </c>
      <c r="S289" s="454"/>
      <c r="T289" s="454"/>
      <c r="U289" s="454"/>
      <c r="V289" s="454"/>
      <c r="W289" s="454"/>
      <c r="X289" s="454"/>
      <c r="Y289" s="454">
        <f t="shared" si="13"/>
        <v>0</v>
      </c>
      <c r="Z289" s="454">
        <v>1000</v>
      </c>
      <c r="AA289" s="451">
        <v>1</v>
      </c>
      <c r="AB289" s="587">
        <v>44207</v>
      </c>
      <c r="AC289" s="587">
        <v>44249</v>
      </c>
      <c r="AD289" s="454"/>
      <c r="AE289" s="451"/>
      <c r="AF289" s="587"/>
      <c r="AG289" s="587"/>
      <c r="AH289" s="454"/>
      <c r="AI289" s="451"/>
      <c r="AJ289" s="587"/>
      <c r="AK289" s="587"/>
      <c r="AL289" s="454"/>
      <c r="AM289" s="451"/>
      <c r="AN289" s="587"/>
      <c r="AO289" s="587"/>
      <c r="AP289" s="454"/>
      <c r="AQ289" s="451"/>
      <c r="AR289" s="588"/>
      <c r="AS289" s="588"/>
      <c r="AT289" s="154">
        <f t="shared" si="14"/>
        <v>1000</v>
      </c>
      <c r="AU289" s="461">
        <f t="shared" si="12"/>
        <v>1000</v>
      </c>
    </row>
    <row r="290" spans="1:47" ht="22.5" x14ac:dyDescent="0.2">
      <c r="A290" s="148"/>
      <c r="B290" s="149">
        <v>275</v>
      </c>
      <c r="C290" s="149" t="s">
        <v>38</v>
      </c>
      <c r="D290" s="450">
        <v>40019165</v>
      </c>
      <c r="E290" s="451" t="s">
        <v>2433</v>
      </c>
      <c r="F290" s="451" t="s">
        <v>200</v>
      </c>
      <c r="G290" s="452" t="s">
        <v>2100</v>
      </c>
      <c r="H290" s="451" t="s">
        <v>2315</v>
      </c>
      <c r="I290" s="451" t="s">
        <v>1958</v>
      </c>
      <c r="J290" s="451">
        <v>28722</v>
      </c>
      <c r="K290" s="451"/>
      <c r="L290" s="451"/>
      <c r="M290" s="454">
        <v>0</v>
      </c>
      <c r="N290" s="454">
        <v>23931.715</v>
      </c>
      <c r="O290" s="454">
        <v>0</v>
      </c>
      <c r="P290" s="454">
        <v>0</v>
      </c>
      <c r="Q290" s="454">
        <v>0</v>
      </c>
      <c r="R290" s="454">
        <v>0</v>
      </c>
      <c r="S290" s="454"/>
      <c r="T290" s="454"/>
      <c r="U290" s="454"/>
      <c r="V290" s="454"/>
      <c r="W290" s="454"/>
      <c r="X290" s="454"/>
      <c r="Y290" s="454">
        <f t="shared" si="13"/>
        <v>23931.715</v>
      </c>
      <c r="Z290" s="454">
        <v>1000</v>
      </c>
      <c r="AA290" s="451">
        <v>1</v>
      </c>
      <c r="AB290" s="587">
        <v>44207</v>
      </c>
      <c r="AC290" s="587">
        <v>44249</v>
      </c>
      <c r="AD290" s="454">
        <v>27722</v>
      </c>
      <c r="AE290" s="451">
        <v>8</v>
      </c>
      <c r="AF290" s="587">
        <v>44252</v>
      </c>
      <c r="AG290" s="587">
        <v>44292</v>
      </c>
      <c r="AH290" s="454"/>
      <c r="AI290" s="451"/>
      <c r="AJ290" s="587"/>
      <c r="AK290" s="587"/>
      <c r="AL290" s="454"/>
      <c r="AM290" s="451"/>
      <c r="AN290" s="587"/>
      <c r="AO290" s="587"/>
      <c r="AP290" s="454"/>
      <c r="AQ290" s="451"/>
      <c r="AR290" s="588"/>
      <c r="AS290" s="588"/>
      <c r="AT290" s="154">
        <f t="shared" si="14"/>
        <v>28722</v>
      </c>
      <c r="AU290" s="461">
        <f t="shared" si="12"/>
        <v>4790.2849999999999</v>
      </c>
    </row>
    <row r="291" spans="1:47" ht="22.5" x14ac:dyDescent="0.2">
      <c r="A291" s="148"/>
      <c r="B291" s="149">
        <v>276</v>
      </c>
      <c r="C291" s="149" t="s">
        <v>38</v>
      </c>
      <c r="D291" s="450">
        <v>40019420</v>
      </c>
      <c r="E291" s="451" t="s">
        <v>2434</v>
      </c>
      <c r="F291" s="451" t="s">
        <v>200</v>
      </c>
      <c r="G291" s="452" t="s">
        <v>2100</v>
      </c>
      <c r="H291" s="451" t="s">
        <v>2328</v>
      </c>
      <c r="I291" s="451" t="s">
        <v>1958</v>
      </c>
      <c r="J291" s="451">
        <v>61350</v>
      </c>
      <c r="K291" s="451"/>
      <c r="L291" s="451"/>
      <c r="M291" s="454">
        <v>0</v>
      </c>
      <c r="N291" s="454">
        <v>0</v>
      </c>
      <c r="O291" s="454">
        <v>0</v>
      </c>
      <c r="P291" s="454">
        <v>0</v>
      </c>
      <c r="Q291" s="454">
        <v>0</v>
      </c>
      <c r="R291" s="454">
        <v>0</v>
      </c>
      <c r="S291" s="454"/>
      <c r="T291" s="454"/>
      <c r="U291" s="454"/>
      <c r="V291" s="454"/>
      <c r="W291" s="454"/>
      <c r="X291" s="454"/>
      <c r="Y291" s="454">
        <f t="shared" si="13"/>
        <v>0</v>
      </c>
      <c r="Z291" s="454">
        <v>1000</v>
      </c>
      <c r="AA291" s="451">
        <v>1</v>
      </c>
      <c r="AB291" s="587">
        <v>44207</v>
      </c>
      <c r="AC291" s="587">
        <v>44249</v>
      </c>
      <c r="AD291" s="454"/>
      <c r="AE291" s="451"/>
      <c r="AF291" s="587"/>
      <c r="AG291" s="587"/>
      <c r="AH291" s="454"/>
      <c r="AI291" s="451"/>
      <c r="AJ291" s="587"/>
      <c r="AK291" s="587"/>
      <c r="AL291" s="454"/>
      <c r="AM291" s="451"/>
      <c r="AN291" s="587"/>
      <c r="AO291" s="587"/>
      <c r="AP291" s="454"/>
      <c r="AQ291" s="451"/>
      <c r="AR291" s="588"/>
      <c r="AS291" s="588"/>
      <c r="AT291" s="154">
        <f t="shared" si="14"/>
        <v>1000</v>
      </c>
      <c r="AU291" s="461">
        <f t="shared" si="12"/>
        <v>1000</v>
      </c>
    </row>
    <row r="292" spans="1:47" ht="22.5" x14ac:dyDescent="0.2">
      <c r="A292" s="148"/>
      <c r="B292" s="149">
        <v>277</v>
      </c>
      <c r="C292" s="149" t="s">
        <v>38</v>
      </c>
      <c r="D292" s="450">
        <v>40019421</v>
      </c>
      <c r="E292" s="451" t="s">
        <v>2435</v>
      </c>
      <c r="F292" s="451" t="s">
        <v>200</v>
      </c>
      <c r="G292" s="452" t="s">
        <v>2100</v>
      </c>
      <c r="H292" s="451" t="s">
        <v>2328</v>
      </c>
      <c r="I292" s="451" t="s">
        <v>1958</v>
      </c>
      <c r="J292" s="451">
        <v>61350</v>
      </c>
      <c r="K292" s="451"/>
      <c r="L292" s="451"/>
      <c r="M292" s="454">
        <v>0</v>
      </c>
      <c r="N292" s="454">
        <v>0</v>
      </c>
      <c r="O292" s="454">
        <v>0</v>
      </c>
      <c r="P292" s="454">
        <v>0</v>
      </c>
      <c r="Q292" s="454">
        <v>0</v>
      </c>
      <c r="R292" s="454">
        <v>0</v>
      </c>
      <c r="S292" s="454"/>
      <c r="T292" s="454"/>
      <c r="U292" s="454"/>
      <c r="V292" s="454"/>
      <c r="W292" s="454"/>
      <c r="X292" s="454"/>
      <c r="Y292" s="454">
        <f t="shared" si="13"/>
        <v>0</v>
      </c>
      <c r="Z292" s="454">
        <v>1000</v>
      </c>
      <c r="AA292" s="451">
        <v>1</v>
      </c>
      <c r="AB292" s="587">
        <v>44207</v>
      </c>
      <c r="AC292" s="587">
        <v>44249</v>
      </c>
      <c r="AD292" s="454"/>
      <c r="AE292" s="451"/>
      <c r="AF292" s="587"/>
      <c r="AG292" s="587"/>
      <c r="AH292" s="454"/>
      <c r="AI292" s="451"/>
      <c r="AJ292" s="587"/>
      <c r="AK292" s="587"/>
      <c r="AL292" s="454"/>
      <c r="AM292" s="451"/>
      <c r="AN292" s="587"/>
      <c r="AO292" s="587"/>
      <c r="AP292" s="454"/>
      <c r="AQ292" s="451"/>
      <c r="AR292" s="588"/>
      <c r="AS292" s="588"/>
      <c r="AT292" s="154">
        <f t="shared" si="14"/>
        <v>1000</v>
      </c>
      <c r="AU292" s="461">
        <f t="shared" si="12"/>
        <v>1000</v>
      </c>
    </row>
    <row r="293" spans="1:47" ht="22.5" x14ac:dyDescent="0.2">
      <c r="A293" s="148"/>
      <c r="B293" s="149">
        <v>278</v>
      </c>
      <c r="C293" s="149" t="s">
        <v>38</v>
      </c>
      <c r="D293" s="450">
        <v>40019583</v>
      </c>
      <c r="E293" s="451" t="s">
        <v>2436</v>
      </c>
      <c r="F293" s="451" t="s">
        <v>200</v>
      </c>
      <c r="G293" s="452" t="s">
        <v>2100</v>
      </c>
      <c r="H293" s="451" t="s">
        <v>2328</v>
      </c>
      <c r="I293" s="451" t="s">
        <v>1958</v>
      </c>
      <c r="J293" s="451">
        <v>98882</v>
      </c>
      <c r="K293" s="451"/>
      <c r="L293" s="451"/>
      <c r="M293" s="454">
        <v>0</v>
      </c>
      <c r="N293" s="454">
        <v>0</v>
      </c>
      <c r="O293" s="454">
        <v>0</v>
      </c>
      <c r="P293" s="454">
        <v>0</v>
      </c>
      <c r="Q293" s="454">
        <v>0</v>
      </c>
      <c r="R293" s="454">
        <v>0</v>
      </c>
      <c r="S293" s="454"/>
      <c r="T293" s="454"/>
      <c r="U293" s="454"/>
      <c r="V293" s="454"/>
      <c r="W293" s="454"/>
      <c r="X293" s="454"/>
      <c r="Y293" s="454">
        <f t="shared" si="13"/>
        <v>0</v>
      </c>
      <c r="Z293" s="454">
        <v>1000</v>
      </c>
      <c r="AA293" s="451">
        <v>1</v>
      </c>
      <c r="AB293" s="587">
        <v>44207</v>
      </c>
      <c r="AC293" s="587">
        <v>44249</v>
      </c>
      <c r="AD293" s="454"/>
      <c r="AE293" s="451"/>
      <c r="AF293" s="587"/>
      <c r="AG293" s="587"/>
      <c r="AH293" s="454"/>
      <c r="AI293" s="451"/>
      <c r="AJ293" s="587"/>
      <c r="AK293" s="587"/>
      <c r="AL293" s="454"/>
      <c r="AM293" s="451"/>
      <c r="AN293" s="587"/>
      <c r="AO293" s="587"/>
      <c r="AP293" s="454"/>
      <c r="AQ293" s="451"/>
      <c r="AR293" s="588"/>
      <c r="AS293" s="588"/>
      <c r="AT293" s="154">
        <f t="shared" si="14"/>
        <v>1000</v>
      </c>
      <c r="AU293" s="461">
        <f t="shared" si="12"/>
        <v>1000</v>
      </c>
    </row>
    <row r="294" spans="1:47" ht="22.5" x14ac:dyDescent="0.2">
      <c r="A294" s="148"/>
      <c r="B294" s="149">
        <v>279</v>
      </c>
      <c r="C294" s="149" t="s">
        <v>38</v>
      </c>
      <c r="D294" s="450">
        <v>40019584</v>
      </c>
      <c r="E294" s="451" t="s">
        <v>2437</v>
      </c>
      <c r="F294" s="451" t="s">
        <v>200</v>
      </c>
      <c r="G294" s="452" t="s">
        <v>2100</v>
      </c>
      <c r="H294" s="451" t="s">
        <v>2328</v>
      </c>
      <c r="I294" s="451" t="s">
        <v>1958</v>
      </c>
      <c r="J294" s="451">
        <v>98882</v>
      </c>
      <c r="K294" s="451"/>
      <c r="L294" s="451"/>
      <c r="M294" s="454">
        <v>0</v>
      </c>
      <c r="N294" s="454">
        <v>0</v>
      </c>
      <c r="O294" s="454">
        <v>0</v>
      </c>
      <c r="P294" s="454">
        <v>0</v>
      </c>
      <c r="Q294" s="454">
        <v>0</v>
      </c>
      <c r="R294" s="454">
        <v>0</v>
      </c>
      <c r="S294" s="454"/>
      <c r="T294" s="454"/>
      <c r="U294" s="454"/>
      <c r="V294" s="454"/>
      <c r="W294" s="454"/>
      <c r="X294" s="454"/>
      <c r="Y294" s="454">
        <f t="shared" si="13"/>
        <v>0</v>
      </c>
      <c r="Z294" s="454">
        <v>1000</v>
      </c>
      <c r="AA294" s="451">
        <v>1</v>
      </c>
      <c r="AB294" s="587">
        <v>44207</v>
      </c>
      <c r="AC294" s="587">
        <v>44249</v>
      </c>
      <c r="AD294" s="454"/>
      <c r="AE294" s="451"/>
      <c r="AF294" s="587"/>
      <c r="AG294" s="587"/>
      <c r="AH294" s="454"/>
      <c r="AI294" s="451"/>
      <c r="AJ294" s="587"/>
      <c r="AK294" s="587"/>
      <c r="AL294" s="454"/>
      <c r="AM294" s="451"/>
      <c r="AN294" s="587"/>
      <c r="AO294" s="587"/>
      <c r="AP294" s="454"/>
      <c r="AQ294" s="451"/>
      <c r="AR294" s="588"/>
      <c r="AS294" s="588"/>
      <c r="AT294" s="154">
        <f t="shared" si="14"/>
        <v>1000</v>
      </c>
      <c r="AU294" s="461">
        <f t="shared" si="12"/>
        <v>1000</v>
      </c>
    </row>
    <row r="295" spans="1:47" ht="22.5" x14ac:dyDescent="0.2">
      <c r="A295" s="148"/>
      <c r="B295" s="149">
        <v>280</v>
      </c>
      <c r="C295" s="149" t="s">
        <v>38</v>
      </c>
      <c r="D295" s="450">
        <v>40019585</v>
      </c>
      <c r="E295" s="451" t="s">
        <v>2438</v>
      </c>
      <c r="F295" s="451" t="s">
        <v>200</v>
      </c>
      <c r="G295" s="452" t="s">
        <v>2100</v>
      </c>
      <c r="H295" s="451" t="s">
        <v>2328</v>
      </c>
      <c r="I295" s="451" t="s">
        <v>1958</v>
      </c>
      <c r="J295" s="451">
        <v>98882</v>
      </c>
      <c r="K295" s="451"/>
      <c r="L295" s="451"/>
      <c r="M295" s="454">
        <v>0</v>
      </c>
      <c r="N295" s="454">
        <v>0</v>
      </c>
      <c r="O295" s="454">
        <v>0</v>
      </c>
      <c r="P295" s="454">
        <v>0</v>
      </c>
      <c r="Q295" s="454">
        <v>0</v>
      </c>
      <c r="R295" s="454">
        <v>0</v>
      </c>
      <c r="S295" s="454"/>
      <c r="T295" s="454"/>
      <c r="U295" s="454"/>
      <c r="V295" s="454"/>
      <c r="W295" s="454"/>
      <c r="X295" s="454"/>
      <c r="Y295" s="454">
        <f t="shared" si="13"/>
        <v>0</v>
      </c>
      <c r="Z295" s="454">
        <v>1000</v>
      </c>
      <c r="AA295" s="451">
        <v>1</v>
      </c>
      <c r="AB295" s="587">
        <v>44207</v>
      </c>
      <c r="AC295" s="587">
        <v>44249</v>
      </c>
      <c r="AD295" s="454"/>
      <c r="AE295" s="451"/>
      <c r="AF295" s="587"/>
      <c r="AG295" s="587"/>
      <c r="AH295" s="454"/>
      <c r="AI295" s="451"/>
      <c r="AJ295" s="587"/>
      <c r="AK295" s="587"/>
      <c r="AL295" s="454"/>
      <c r="AM295" s="451"/>
      <c r="AN295" s="587"/>
      <c r="AO295" s="587"/>
      <c r="AP295" s="454"/>
      <c r="AQ295" s="451"/>
      <c r="AR295" s="588"/>
      <c r="AS295" s="588"/>
      <c r="AT295" s="154">
        <f t="shared" si="14"/>
        <v>1000</v>
      </c>
      <c r="AU295" s="461">
        <f t="shared" si="12"/>
        <v>1000</v>
      </c>
    </row>
    <row r="296" spans="1:47" ht="22.5" x14ac:dyDescent="0.2">
      <c r="A296" s="148"/>
      <c r="B296" s="149">
        <v>281</v>
      </c>
      <c r="C296" s="149" t="s">
        <v>38</v>
      </c>
      <c r="D296" s="450">
        <v>40019686</v>
      </c>
      <c r="E296" s="451" t="s">
        <v>2439</v>
      </c>
      <c r="F296" s="451" t="s">
        <v>204</v>
      </c>
      <c r="G296" s="452" t="s">
        <v>2100</v>
      </c>
      <c r="H296" s="451" t="s">
        <v>2294</v>
      </c>
      <c r="I296" s="451" t="s">
        <v>1961</v>
      </c>
      <c r="J296" s="451">
        <v>221379</v>
      </c>
      <c r="K296" s="451"/>
      <c r="L296" s="451"/>
      <c r="M296" s="454">
        <v>0</v>
      </c>
      <c r="N296" s="454">
        <v>0</v>
      </c>
      <c r="O296" s="454">
        <v>0</v>
      </c>
      <c r="P296" s="454">
        <v>0</v>
      </c>
      <c r="Q296" s="454">
        <v>0</v>
      </c>
      <c r="R296" s="454">
        <v>0</v>
      </c>
      <c r="S296" s="454"/>
      <c r="T296" s="454"/>
      <c r="U296" s="454"/>
      <c r="V296" s="454"/>
      <c r="W296" s="454"/>
      <c r="X296" s="454"/>
      <c r="Y296" s="454">
        <f t="shared" si="13"/>
        <v>0</v>
      </c>
      <c r="Z296" s="454">
        <v>1000</v>
      </c>
      <c r="AA296" s="451">
        <v>1</v>
      </c>
      <c r="AB296" s="587">
        <v>44207</v>
      </c>
      <c r="AC296" s="587">
        <v>44249</v>
      </c>
      <c r="AD296" s="454"/>
      <c r="AE296" s="451"/>
      <c r="AF296" s="587"/>
      <c r="AG296" s="587"/>
      <c r="AH296" s="454"/>
      <c r="AI296" s="451"/>
      <c r="AJ296" s="587"/>
      <c r="AK296" s="587"/>
      <c r="AL296" s="454"/>
      <c r="AM296" s="451"/>
      <c r="AN296" s="587"/>
      <c r="AO296" s="587"/>
      <c r="AP296" s="454"/>
      <c r="AQ296" s="451"/>
      <c r="AR296" s="588"/>
      <c r="AS296" s="588"/>
      <c r="AT296" s="154">
        <f t="shared" si="14"/>
        <v>1000</v>
      </c>
      <c r="AU296" s="461">
        <f t="shared" si="12"/>
        <v>1000</v>
      </c>
    </row>
    <row r="297" spans="1:47" ht="22.5" x14ac:dyDescent="0.2">
      <c r="A297" s="148"/>
      <c r="B297" s="149">
        <v>282</v>
      </c>
      <c r="C297" s="149" t="s">
        <v>38</v>
      </c>
      <c r="D297" s="450">
        <v>40019997</v>
      </c>
      <c r="E297" s="451" t="s">
        <v>2440</v>
      </c>
      <c r="F297" s="451" t="s">
        <v>200</v>
      </c>
      <c r="G297" s="452" t="s">
        <v>2100</v>
      </c>
      <c r="H297" s="451" t="s">
        <v>2228</v>
      </c>
      <c r="I297" s="451" t="s">
        <v>1958</v>
      </c>
      <c r="J297" s="451">
        <v>1447521</v>
      </c>
      <c r="K297" s="451"/>
      <c r="L297" s="451"/>
      <c r="M297" s="454">
        <v>0</v>
      </c>
      <c r="N297" s="454">
        <v>0</v>
      </c>
      <c r="O297" s="454">
        <v>0</v>
      </c>
      <c r="P297" s="454">
        <v>0</v>
      </c>
      <c r="Q297" s="454">
        <v>0</v>
      </c>
      <c r="R297" s="454">
        <v>0</v>
      </c>
      <c r="S297" s="454"/>
      <c r="T297" s="454"/>
      <c r="U297" s="454"/>
      <c r="V297" s="454"/>
      <c r="W297" s="454"/>
      <c r="X297" s="454"/>
      <c r="Y297" s="454">
        <f t="shared" si="13"/>
        <v>0</v>
      </c>
      <c r="Z297" s="454">
        <v>1000</v>
      </c>
      <c r="AA297" s="451">
        <v>1</v>
      </c>
      <c r="AB297" s="587">
        <v>44207</v>
      </c>
      <c r="AC297" s="587">
        <v>44249</v>
      </c>
      <c r="AD297" s="454"/>
      <c r="AE297" s="451"/>
      <c r="AF297" s="587"/>
      <c r="AG297" s="587"/>
      <c r="AH297" s="454"/>
      <c r="AI297" s="451"/>
      <c r="AJ297" s="587"/>
      <c r="AK297" s="587"/>
      <c r="AL297" s="454"/>
      <c r="AM297" s="451"/>
      <c r="AN297" s="587"/>
      <c r="AO297" s="587"/>
      <c r="AP297" s="454"/>
      <c r="AQ297" s="451"/>
      <c r="AR297" s="588"/>
      <c r="AS297" s="588"/>
      <c r="AT297" s="154">
        <f t="shared" si="14"/>
        <v>1000</v>
      </c>
      <c r="AU297" s="461">
        <f t="shared" si="12"/>
        <v>1000</v>
      </c>
    </row>
    <row r="298" spans="1:47" ht="22.5" x14ac:dyDescent="0.2">
      <c r="A298" s="148"/>
      <c r="B298" s="149">
        <v>283</v>
      </c>
      <c r="C298" s="149" t="s">
        <v>38</v>
      </c>
      <c r="D298" s="450">
        <v>40020766</v>
      </c>
      <c r="E298" s="451" t="s">
        <v>2441</v>
      </c>
      <c r="F298" s="451" t="s">
        <v>200</v>
      </c>
      <c r="G298" s="452" t="s">
        <v>2100</v>
      </c>
      <c r="H298" s="451" t="s">
        <v>2328</v>
      </c>
      <c r="I298" s="451" t="s">
        <v>1958</v>
      </c>
      <c r="J298" s="451">
        <v>61350</v>
      </c>
      <c r="K298" s="451"/>
      <c r="L298" s="451"/>
      <c r="M298" s="454">
        <v>0</v>
      </c>
      <c r="N298" s="454">
        <v>0</v>
      </c>
      <c r="O298" s="454">
        <v>0</v>
      </c>
      <c r="P298" s="454">
        <v>0</v>
      </c>
      <c r="Q298" s="454">
        <v>0</v>
      </c>
      <c r="R298" s="454">
        <v>0</v>
      </c>
      <c r="S298" s="454"/>
      <c r="T298" s="454"/>
      <c r="U298" s="454"/>
      <c r="V298" s="454"/>
      <c r="W298" s="454"/>
      <c r="X298" s="454"/>
      <c r="Y298" s="454">
        <f t="shared" si="13"/>
        <v>0</v>
      </c>
      <c r="Z298" s="454">
        <v>1000</v>
      </c>
      <c r="AA298" s="451">
        <v>1</v>
      </c>
      <c r="AB298" s="587">
        <v>44207</v>
      </c>
      <c r="AC298" s="587">
        <v>44249</v>
      </c>
      <c r="AD298" s="454"/>
      <c r="AE298" s="451"/>
      <c r="AF298" s="587"/>
      <c r="AG298" s="587"/>
      <c r="AH298" s="454"/>
      <c r="AI298" s="451"/>
      <c r="AJ298" s="587"/>
      <c r="AK298" s="587"/>
      <c r="AL298" s="454"/>
      <c r="AM298" s="451"/>
      <c r="AN298" s="587"/>
      <c r="AO298" s="587"/>
      <c r="AP298" s="454"/>
      <c r="AQ298" s="451"/>
      <c r="AR298" s="588"/>
      <c r="AS298" s="588"/>
      <c r="AT298" s="154">
        <f t="shared" si="14"/>
        <v>1000</v>
      </c>
      <c r="AU298" s="461">
        <f t="shared" si="12"/>
        <v>1000</v>
      </c>
    </row>
    <row r="299" spans="1:47" ht="22.5" x14ac:dyDescent="0.2">
      <c r="A299" s="148"/>
      <c r="B299" s="149">
        <v>284</v>
      </c>
      <c r="C299" s="149" t="s">
        <v>38</v>
      </c>
      <c r="D299" s="450">
        <v>40003863</v>
      </c>
      <c r="E299" s="451" t="s">
        <v>2442</v>
      </c>
      <c r="F299" s="451" t="s">
        <v>204</v>
      </c>
      <c r="G299" s="452" t="s">
        <v>2100</v>
      </c>
      <c r="H299" s="451" t="s">
        <v>2158</v>
      </c>
      <c r="I299" s="451" t="s">
        <v>1961</v>
      </c>
      <c r="J299" s="451">
        <v>16258</v>
      </c>
      <c r="K299" s="451"/>
      <c r="L299" s="451"/>
      <c r="M299" s="454">
        <v>0</v>
      </c>
      <c r="N299" s="454">
        <v>0</v>
      </c>
      <c r="O299" s="454">
        <v>0</v>
      </c>
      <c r="P299" s="454">
        <v>0</v>
      </c>
      <c r="Q299" s="454">
        <v>0</v>
      </c>
      <c r="R299" s="454">
        <v>0</v>
      </c>
      <c r="S299" s="454"/>
      <c r="T299" s="454"/>
      <c r="U299" s="454"/>
      <c r="V299" s="454"/>
      <c r="W299" s="454"/>
      <c r="X299" s="454"/>
      <c r="Y299" s="454">
        <f t="shared" si="13"/>
        <v>0</v>
      </c>
      <c r="Z299" s="454">
        <v>1000</v>
      </c>
      <c r="AA299" s="451">
        <v>10</v>
      </c>
      <c r="AB299" s="587">
        <v>44286</v>
      </c>
      <c r="AC299" s="587">
        <v>44306</v>
      </c>
      <c r="AD299" s="454"/>
      <c r="AE299" s="451"/>
      <c r="AF299" s="587"/>
      <c r="AG299" s="587"/>
      <c r="AH299" s="454"/>
      <c r="AI299" s="451"/>
      <c r="AJ299" s="587"/>
      <c r="AK299" s="587"/>
      <c r="AL299" s="454"/>
      <c r="AM299" s="451"/>
      <c r="AN299" s="587"/>
      <c r="AO299" s="587"/>
      <c r="AP299" s="454"/>
      <c r="AQ299" s="451"/>
      <c r="AR299" s="588"/>
      <c r="AS299" s="588"/>
      <c r="AT299" s="154">
        <f t="shared" si="14"/>
        <v>1000</v>
      </c>
      <c r="AU299" s="461">
        <f t="shared" si="12"/>
        <v>1000</v>
      </c>
    </row>
    <row r="300" spans="1:47" ht="22.5" x14ac:dyDescent="0.2">
      <c r="A300" s="148"/>
      <c r="B300" s="149">
        <v>285</v>
      </c>
      <c r="C300" s="149" t="s">
        <v>38</v>
      </c>
      <c r="D300" s="450">
        <v>40010967</v>
      </c>
      <c r="E300" s="451" t="s">
        <v>2443</v>
      </c>
      <c r="F300" s="451" t="s">
        <v>200</v>
      </c>
      <c r="G300" s="452" t="s">
        <v>2100</v>
      </c>
      <c r="H300" s="451" t="s">
        <v>2191</v>
      </c>
      <c r="I300" s="451" t="s">
        <v>1961</v>
      </c>
      <c r="J300" s="451">
        <v>2006115</v>
      </c>
      <c r="K300" s="451"/>
      <c r="L300" s="451"/>
      <c r="M300" s="454">
        <v>0</v>
      </c>
      <c r="N300" s="454">
        <v>0</v>
      </c>
      <c r="O300" s="454">
        <v>0</v>
      </c>
      <c r="P300" s="454">
        <v>0</v>
      </c>
      <c r="Q300" s="454">
        <v>0</v>
      </c>
      <c r="R300" s="454">
        <v>0</v>
      </c>
      <c r="S300" s="454"/>
      <c r="T300" s="454"/>
      <c r="U300" s="454"/>
      <c r="V300" s="454"/>
      <c r="W300" s="454"/>
      <c r="X300" s="454"/>
      <c r="Y300" s="454">
        <f t="shared" si="13"/>
        <v>0</v>
      </c>
      <c r="Z300" s="454">
        <v>1000</v>
      </c>
      <c r="AA300" s="451">
        <v>10</v>
      </c>
      <c r="AB300" s="587">
        <v>44286</v>
      </c>
      <c r="AC300" s="587">
        <v>44306</v>
      </c>
      <c r="AD300" s="454"/>
      <c r="AE300" s="451"/>
      <c r="AF300" s="587"/>
      <c r="AG300" s="587"/>
      <c r="AH300" s="454"/>
      <c r="AI300" s="451"/>
      <c r="AJ300" s="587"/>
      <c r="AK300" s="587"/>
      <c r="AL300" s="454"/>
      <c r="AM300" s="451"/>
      <c r="AN300" s="587"/>
      <c r="AO300" s="587"/>
      <c r="AP300" s="454"/>
      <c r="AQ300" s="451"/>
      <c r="AR300" s="588"/>
      <c r="AS300" s="588"/>
      <c r="AT300" s="154">
        <f t="shared" si="14"/>
        <v>1000</v>
      </c>
      <c r="AU300" s="461">
        <f t="shared" si="12"/>
        <v>1000</v>
      </c>
    </row>
    <row r="301" spans="1:47" ht="22.5" x14ac:dyDescent="0.2">
      <c r="A301" s="148"/>
      <c r="B301" s="149">
        <v>286</v>
      </c>
      <c r="C301" s="149" t="s">
        <v>38</v>
      </c>
      <c r="D301" s="450">
        <v>40019278</v>
      </c>
      <c r="E301" s="451" t="s">
        <v>2444</v>
      </c>
      <c r="F301" s="451" t="s">
        <v>539</v>
      </c>
      <c r="G301" s="452" t="s">
        <v>2100</v>
      </c>
      <c r="H301" s="451" t="s">
        <v>2417</v>
      </c>
      <c r="I301" s="451" t="s">
        <v>1961</v>
      </c>
      <c r="J301" s="451">
        <v>102</v>
      </c>
      <c r="K301" s="451"/>
      <c r="L301" s="451"/>
      <c r="M301" s="454">
        <v>0</v>
      </c>
      <c r="N301" s="454">
        <v>0</v>
      </c>
      <c r="O301" s="454">
        <v>0</v>
      </c>
      <c r="P301" s="454">
        <v>0</v>
      </c>
      <c r="Q301" s="454">
        <v>0</v>
      </c>
      <c r="R301" s="454">
        <v>0</v>
      </c>
      <c r="S301" s="454"/>
      <c r="T301" s="454"/>
      <c r="U301" s="454"/>
      <c r="V301" s="454"/>
      <c r="W301" s="454"/>
      <c r="X301" s="454"/>
      <c r="Y301" s="454">
        <f t="shared" si="13"/>
        <v>0</v>
      </c>
      <c r="Z301" s="454">
        <v>102</v>
      </c>
      <c r="AA301" s="451">
        <v>10</v>
      </c>
      <c r="AB301" s="587">
        <v>44286</v>
      </c>
      <c r="AC301" s="587">
        <v>44306</v>
      </c>
      <c r="AD301" s="454"/>
      <c r="AE301" s="451"/>
      <c r="AF301" s="587"/>
      <c r="AG301" s="587"/>
      <c r="AH301" s="454"/>
      <c r="AI301" s="451"/>
      <c r="AJ301" s="587"/>
      <c r="AK301" s="587"/>
      <c r="AL301" s="454"/>
      <c r="AM301" s="451"/>
      <c r="AN301" s="587"/>
      <c r="AO301" s="587"/>
      <c r="AP301" s="454"/>
      <c r="AQ301" s="451"/>
      <c r="AR301" s="588"/>
      <c r="AS301" s="588"/>
      <c r="AT301" s="154">
        <f t="shared" si="14"/>
        <v>102</v>
      </c>
      <c r="AU301" s="461">
        <f t="shared" si="12"/>
        <v>102</v>
      </c>
    </row>
    <row r="302" spans="1:47" ht="22.5" x14ac:dyDescent="0.2">
      <c r="A302" s="148"/>
      <c r="B302" s="149">
        <v>287</v>
      </c>
      <c r="C302" s="149" t="s">
        <v>38</v>
      </c>
      <c r="D302" s="450">
        <v>40012834</v>
      </c>
      <c r="E302" s="451" t="s">
        <v>2445</v>
      </c>
      <c r="F302" s="451" t="s">
        <v>200</v>
      </c>
      <c r="G302" s="452" t="s">
        <v>2100</v>
      </c>
      <c r="H302" s="451" t="s">
        <v>2170</v>
      </c>
      <c r="I302" s="451" t="s">
        <v>1961</v>
      </c>
      <c r="J302" s="451">
        <v>51</v>
      </c>
      <c r="K302" s="451"/>
      <c r="L302" s="451"/>
      <c r="M302" s="454">
        <v>0</v>
      </c>
      <c r="N302" s="454">
        <v>0</v>
      </c>
      <c r="O302" s="454">
        <v>0</v>
      </c>
      <c r="P302" s="454">
        <v>0</v>
      </c>
      <c r="Q302" s="454">
        <v>0</v>
      </c>
      <c r="R302" s="454">
        <v>0</v>
      </c>
      <c r="S302" s="454"/>
      <c r="T302" s="454"/>
      <c r="U302" s="454"/>
      <c r="V302" s="454"/>
      <c r="W302" s="454"/>
      <c r="X302" s="454"/>
      <c r="Y302" s="454">
        <f t="shared" si="13"/>
        <v>0</v>
      </c>
      <c r="Z302" s="454">
        <v>51</v>
      </c>
      <c r="AA302" s="451">
        <v>10</v>
      </c>
      <c r="AB302" s="587">
        <v>44286</v>
      </c>
      <c r="AC302" s="587">
        <v>44306</v>
      </c>
      <c r="AD302" s="454"/>
      <c r="AE302" s="451"/>
      <c r="AF302" s="587"/>
      <c r="AG302" s="587"/>
      <c r="AH302" s="454"/>
      <c r="AI302" s="451"/>
      <c r="AJ302" s="587"/>
      <c r="AK302" s="587"/>
      <c r="AL302" s="454"/>
      <c r="AM302" s="451"/>
      <c r="AN302" s="587"/>
      <c r="AO302" s="587"/>
      <c r="AP302" s="454"/>
      <c r="AQ302" s="451"/>
      <c r="AR302" s="588"/>
      <c r="AS302" s="588"/>
      <c r="AT302" s="154">
        <f t="shared" si="14"/>
        <v>51</v>
      </c>
      <c r="AU302" s="461">
        <f t="shared" si="12"/>
        <v>51</v>
      </c>
    </row>
    <row r="303" spans="1:47" ht="22.5" x14ac:dyDescent="0.2">
      <c r="A303" s="148"/>
      <c r="B303" s="149">
        <v>288</v>
      </c>
      <c r="C303" s="149" t="s">
        <v>38</v>
      </c>
      <c r="D303" s="450">
        <v>40015896</v>
      </c>
      <c r="E303" s="451" t="s">
        <v>2446</v>
      </c>
      <c r="F303" s="451" t="s">
        <v>200</v>
      </c>
      <c r="G303" s="452" t="s">
        <v>2100</v>
      </c>
      <c r="H303" s="451" t="s">
        <v>2270</v>
      </c>
      <c r="I303" s="451" t="s">
        <v>1961</v>
      </c>
      <c r="J303" s="451">
        <v>1193054</v>
      </c>
      <c r="K303" s="451"/>
      <c r="L303" s="451"/>
      <c r="M303" s="454">
        <v>0</v>
      </c>
      <c r="N303" s="454">
        <v>0</v>
      </c>
      <c r="O303" s="454">
        <v>0</v>
      </c>
      <c r="P303" s="454">
        <v>0</v>
      </c>
      <c r="Q303" s="454">
        <v>0</v>
      </c>
      <c r="R303" s="454">
        <v>0</v>
      </c>
      <c r="S303" s="454"/>
      <c r="T303" s="454"/>
      <c r="U303" s="454"/>
      <c r="V303" s="454"/>
      <c r="W303" s="454"/>
      <c r="X303" s="454"/>
      <c r="Y303" s="454">
        <f t="shared" si="13"/>
        <v>0</v>
      </c>
      <c r="Z303" s="454">
        <v>1000</v>
      </c>
      <c r="AA303" s="451">
        <v>10</v>
      </c>
      <c r="AB303" s="587">
        <v>44286</v>
      </c>
      <c r="AC303" s="587">
        <v>44306</v>
      </c>
      <c r="AD303" s="454"/>
      <c r="AE303" s="451"/>
      <c r="AF303" s="587"/>
      <c r="AG303" s="587"/>
      <c r="AH303" s="454"/>
      <c r="AI303" s="451"/>
      <c r="AJ303" s="587"/>
      <c r="AK303" s="587"/>
      <c r="AL303" s="454"/>
      <c r="AM303" s="451"/>
      <c r="AN303" s="587"/>
      <c r="AO303" s="587"/>
      <c r="AP303" s="454"/>
      <c r="AQ303" s="451"/>
      <c r="AR303" s="588"/>
      <c r="AS303" s="588"/>
      <c r="AT303" s="154">
        <f t="shared" si="14"/>
        <v>1000</v>
      </c>
      <c r="AU303" s="461">
        <f t="shared" si="12"/>
        <v>1000</v>
      </c>
    </row>
    <row r="304" spans="1:47" ht="33.75" x14ac:dyDescent="0.2">
      <c r="A304" s="148"/>
      <c r="B304" s="149">
        <v>289</v>
      </c>
      <c r="C304" s="149" t="s">
        <v>38</v>
      </c>
      <c r="D304" s="450">
        <v>40025071</v>
      </c>
      <c r="E304" s="451" t="s">
        <v>2447</v>
      </c>
      <c r="F304" s="451" t="s">
        <v>200</v>
      </c>
      <c r="G304" s="452" t="s">
        <v>2100</v>
      </c>
      <c r="H304" s="451" t="s">
        <v>2113</v>
      </c>
      <c r="I304" s="451" t="s">
        <v>1961</v>
      </c>
      <c r="J304" s="451">
        <v>102</v>
      </c>
      <c r="K304" s="451"/>
      <c r="L304" s="451"/>
      <c r="M304" s="454">
        <v>0</v>
      </c>
      <c r="N304" s="454">
        <v>0</v>
      </c>
      <c r="O304" s="454">
        <v>0</v>
      </c>
      <c r="P304" s="454">
        <v>0</v>
      </c>
      <c r="Q304" s="454">
        <v>0</v>
      </c>
      <c r="R304" s="454">
        <v>0</v>
      </c>
      <c r="S304" s="454"/>
      <c r="T304" s="454"/>
      <c r="U304" s="454"/>
      <c r="V304" s="454"/>
      <c r="W304" s="454"/>
      <c r="X304" s="454"/>
      <c r="Y304" s="454">
        <f t="shared" si="13"/>
        <v>0</v>
      </c>
      <c r="Z304" s="454">
        <v>102</v>
      </c>
      <c r="AA304" s="451">
        <v>10</v>
      </c>
      <c r="AB304" s="587">
        <v>44286</v>
      </c>
      <c r="AC304" s="587">
        <v>44306</v>
      </c>
      <c r="AD304" s="454"/>
      <c r="AE304" s="451"/>
      <c r="AF304" s="587"/>
      <c r="AG304" s="587"/>
      <c r="AH304" s="454"/>
      <c r="AI304" s="451"/>
      <c r="AJ304" s="587"/>
      <c r="AK304" s="587"/>
      <c r="AL304" s="454"/>
      <c r="AM304" s="451"/>
      <c r="AN304" s="587"/>
      <c r="AO304" s="587"/>
      <c r="AP304" s="454"/>
      <c r="AQ304" s="451"/>
      <c r="AR304" s="588"/>
      <c r="AS304" s="588"/>
      <c r="AT304" s="154">
        <f t="shared" si="14"/>
        <v>102</v>
      </c>
      <c r="AU304" s="461">
        <f t="shared" si="12"/>
        <v>102</v>
      </c>
    </row>
    <row r="305" spans="1:47" ht="22.5" x14ac:dyDescent="0.2">
      <c r="A305" s="148"/>
      <c r="B305" s="149">
        <v>290</v>
      </c>
      <c r="C305" s="149" t="s">
        <v>38</v>
      </c>
      <c r="D305" s="450">
        <v>40007072</v>
      </c>
      <c r="E305" s="451" t="s">
        <v>2448</v>
      </c>
      <c r="F305" s="451" t="s">
        <v>200</v>
      </c>
      <c r="G305" s="452" t="s">
        <v>2100</v>
      </c>
      <c r="H305" s="451" t="s">
        <v>2228</v>
      </c>
      <c r="I305" s="451" t="s">
        <v>1961</v>
      </c>
      <c r="J305" s="451">
        <v>25607</v>
      </c>
      <c r="K305" s="451"/>
      <c r="L305" s="451"/>
      <c r="M305" s="454">
        <v>0</v>
      </c>
      <c r="N305" s="454">
        <v>0</v>
      </c>
      <c r="O305" s="454">
        <v>0</v>
      </c>
      <c r="P305" s="454">
        <v>0</v>
      </c>
      <c r="Q305" s="454">
        <v>0</v>
      </c>
      <c r="R305" s="454">
        <v>0</v>
      </c>
      <c r="S305" s="454"/>
      <c r="T305" s="454"/>
      <c r="U305" s="454"/>
      <c r="V305" s="454"/>
      <c r="W305" s="454"/>
      <c r="X305" s="454"/>
      <c r="Y305" s="454">
        <f t="shared" si="13"/>
        <v>0</v>
      </c>
      <c r="Z305" s="454">
        <v>1000</v>
      </c>
      <c r="AA305" s="451">
        <v>10</v>
      </c>
      <c r="AB305" s="587">
        <v>44286</v>
      </c>
      <c r="AC305" s="587">
        <v>44306</v>
      </c>
      <c r="AD305" s="454"/>
      <c r="AE305" s="451"/>
      <c r="AF305" s="587"/>
      <c r="AG305" s="587"/>
      <c r="AH305" s="454"/>
      <c r="AI305" s="451"/>
      <c r="AJ305" s="587"/>
      <c r="AK305" s="587"/>
      <c r="AL305" s="454"/>
      <c r="AM305" s="451"/>
      <c r="AN305" s="587"/>
      <c r="AO305" s="587"/>
      <c r="AP305" s="454"/>
      <c r="AQ305" s="451"/>
      <c r="AR305" s="588"/>
      <c r="AS305" s="588"/>
      <c r="AT305" s="154">
        <f t="shared" si="14"/>
        <v>1000</v>
      </c>
      <c r="AU305" s="461">
        <f t="shared" si="12"/>
        <v>1000</v>
      </c>
    </row>
    <row r="306" spans="1:47" ht="33.75" x14ac:dyDescent="0.2">
      <c r="A306" s="148"/>
      <c r="B306" s="149">
        <v>291</v>
      </c>
      <c r="C306" s="149" t="s">
        <v>38</v>
      </c>
      <c r="D306" s="450">
        <v>30094994</v>
      </c>
      <c r="E306" s="451" t="s">
        <v>2449</v>
      </c>
      <c r="F306" s="451" t="s">
        <v>200</v>
      </c>
      <c r="G306" s="452" t="s">
        <v>2100</v>
      </c>
      <c r="H306" s="451" t="s">
        <v>2113</v>
      </c>
      <c r="I306" s="451" t="s">
        <v>1961</v>
      </c>
      <c r="J306" s="451">
        <v>6307</v>
      </c>
      <c r="K306" s="451"/>
      <c r="L306" s="451"/>
      <c r="M306" s="454">
        <v>0</v>
      </c>
      <c r="N306" s="454">
        <v>0</v>
      </c>
      <c r="O306" s="454">
        <v>0</v>
      </c>
      <c r="P306" s="454">
        <v>0</v>
      </c>
      <c r="Q306" s="454">
        <v>0</v>
      </c>
      <c r="R306" s="454">
        <v>0</v>
      </c>
      <c r="S306" s="454"/>
      <c r="T306" s="454"/>
      <c r="U306" s="454"/>
      <c r="V306" s="454"/>
      <c r="W306" s="454"/>
      <c r="X306" s="454"/>
      <c r="Y306" s="454">
        <f t="shared" si="13"/>
        <v>0</v>
      </c>
      <c r="Z306" s="454">
        <v>1000</v>
      </c>
      <c r="AA306" s="451">
        <v>10</v>
      </c>
      <c r="AB306" s="587">
        <v>44286</v>
      </c>
      <c r="AC306" s="587">
        <v>44306</v>
      </c>
      <c r="AD306" s="454"/>
      <c r="AE306" s="451"/>
      <c r="AF306" s="587"/>
      <c r="AG306" s="587"/>
      <c r="AH306" s="454"/>
      <c r="AI306" s="451"/>
      <c r="AJ306" s="587"/>
      <c r="AK306" s="587"/>
      <c r="AL306" s="454"/>
      <c r="AM306" s="451"/>
      <c r="AN306" s="587"/>
      <c r="AO306" s="587"/>
      <c r="AP306" s="454"/>
      <c r="AQ306" s="451"/>
      <c r="AR306" s="588"/>
      <c r="AS306" s="588"/>
      <c r="AT306" s="154">
        <f t="shared" si="14"/>
        <v>1000</v>
      </c>
      <c r="AU306" s="461">
        <f t="shared" si="12"/>
        <v>1000</v>
      </c>
    </row>
    <row r="307" spans="1:47" ht="22.5" x14ac:dyDescent="0.2">
      <c r="A307" s="148"/>
      <c r="B307" s="149">
        <v>292</v>
      </c>
      <c r="C307" s="149" t="s">
        <v>38</v>
      </c>
      <c r="D307" s="450">
        <v>30485309</v>
      </c>
      <c r="E307" s="451" t="s">
        <v>2450</v>
      </c>
      <c r="F307" s="451" t="s">
        <v>200</v>
      </c>
      <c r="G307" s="452" t="s">
        <v>2100</v>
      </c>
      <c r="H307" s="451" t="s">
        <v>2170</v>
      </c>
      <c r="I307" s="451" t="s">
        <v>1961</v>
      </c>
      <c r="J307" s="451">
        <v>1661562</v>
      </c>
      <c r="K307" s="451"/>
      <c r="L307" s="451"/>
      <c r="M307" s="454">
        <v>0</v>
      </c>
      <c r="N307" s="454">
        <v>0</v>
      </c>
      <c r="O307" s="454">
        <v>0</v>
      </c>
      <c r="P307" s="454">
        <v>0</v>
      </c>
      <c r="Q307" s="454">
        <v>0</v>
      </c>
      <c r="R307" s="454">
        <v>0</v>
      </c>
      <c r="S307" s="454"/>
      <c r="T307" s="454"/>
      <c r="U307" s="454"/>
      <c r="V307" s="454"/>
      <c r="W307" s="454"/>
      <c r="X307" s="454"/>
      <c r="Y307" s="454">
        <f t="shared" si="13"/>
        <v>0</v>
      </c>
      <c r="Z307" s="454">
        <v>1000</v>
      </c>
      <c r="AA307" s="451">
        <v>10</v>
      </c>
      <c r="AB307" s="587">
        <v>44286</v>
      </c>
      <c r="AC307" s="587">
        <v>44306</v>
      </c>
      <c r="AD307" s="454"/>
      <c r="AE307" s="451"/>
      <c r="AF307" s="587"/>
      <c r="AG307" s="587"/>
      <c r="AH307" s="454"/>
      <c r="AI307" s="451"/>
      <c r="AJ307" s="587"/>
      <c r="AK307" s="587"/>
      <c r="AL307" s="454"/>
      <c r="AM307" s="451"/>
      <c r="AN307" s="587"/>
      <c r="AO307" s="587"/>
      <c r="AP307" s="454"/>
      <c r="AQ307" s="451"/>
      <c r="AR307" s="588"/>
      <c r="AS307" s="588"/>
      <c r="AT307" s="154">
        <f t="shared" si="14"/>
        <v>1000</v>
      </c>
      <c r="AU307" s="461">
        <f t="shared" si="12"/>
        <v>1000</v>
      </c>
    </row>
    <row r="308" spans="1:47" ht="22.5" x14ac:dyDescent="0.2">
      <c r="A308" s="148"/>
      <c r="B308" s="149">
        <v>293</v>
      </c>
      <c r="C308" s="149" t="s">
        <v>38</v>
      </c>
      <c r="D308" s="450">
        <v>40002057</v>
      </c>
      <c r="E308" s="451" t="s">
        <v>2451</v>
      </c>
      <c r="F308" s="451" t="s">
        <v>1915</v>
      </c>
      <c r="G308" s="452" t="s">
        <v>2100</v>
      </c>
      <c r="H308" s="451" t="s">
        <v>2228</v>
      </c>
      <c r="I308" s="451" t="s">
        <v>1961</v>
      </c>
      <c r="J308" s="451">
        <v>1543334</v>
      </c>
      <c r="K308" s="451"/>
      <c r="L308" s="451"/>
      <c r="M308" s="454">
        <v>0</v>
      </c>
      <c r="N308" s="454">
        <v>0</v>
      </c>
      <c r="O308" s="454">
        <v>0</v>
      </c>
      <c r="P308" s="454">
        <v>0</v>
      </c>
      <c r="Q308" s="454">
        <v>0</v>
      </c>
      <c r="R308" s="454">
        <v>0</v>
      </c>
      <c r="S308" s="454"/>
      <c r="T308" s="454"/>
      <c r="U308" s="454"/>
      <c r="V308" s="454"/>
      <c r="W308" s="454"/>
      <c r="X308" s="454"/>
      <c r="Y308" s="454">
        <f t="shared" si="13"/>
        <v>0</v>
      </c>
      <c r="Z308" s="454">
        <v>1000</v>
      </c>
      <c r="AA308" s="451">
        <v>11</v>
      </c>
      <c r="AB308" s="587">
        <v>44299</v>
      </c>
      <c r="AC308" s="587">
        <v>44312</v>
      </c>
      <c r="AD308" s="454"/>
      <c r="AE308" s="451"/>
      <c r="AF308" s="587"/>
      <c r="AG308" s="587"/>
      <c r="AH308" s="454"/>
      <c r="AI308" s="451"/>
      <c r="AJ308" s="587"/>
      <c r="AK308" s="587"/>
      <c r="AL308" s="454"/>
      <c r="AM308" s="451"/>
      <c r="AN308" s="587"/>
      <c r="AO308" s="587"/>
      <c r="AP308" s="454"/>
      <c r="AQ308" s="451"/>
      <c r="AR308" s="588"/>
      <c r="AS308" s="588"/>
      <c r="AT308" s="154">
        <f t="shared" si="14"/>
        <v>1000</v>
      </c>
      <c r="AU308" s="461">
        <f t="shared" si="12"/>
        <v>1000</v>
      </c>
    </row>
    <row r="309" spans="1:47" ht="33.75" x14ac:dyDescent="0.2">
      <c r="A309" s="148"/>
      <c r="B309" s="149">
        <v>294</v>
      </c>
      <c r="C309" s="149" t="s">
        <v>38</v>
      </c>
      <c r="D309" s="450">
        <v>30069181</v>
      </c>
      <c r="E309" s="451" t="s">
        <v>2452</v>
      </c>
      <c r="F309" s="451" t="s">
        <v>200</v>
      </c>
      <c r="G309" s="452" t="s">
        <v>2100</v>
      </c>
      <c r="H309" s="451" t="s">
        <v>2113</v>
      </c>
      <c r="I309" s="451" t="s">
        <v>1958</v>
      </c>
      <c r="J309" s="451">
        <v>118972</v>
      </c>
      <c r="K309" s="451"/>
      <c r="L309" s="451"/>
      <c r="M309" s="454">
        <v>0</v>
      </c>
      <c r="N309" s="454">
        <v>0</v>
      </c>
      <c r="O309" s="454">
        <v>0</v>
      </c>
      <c r="P309" s="454">
        <v>0</v>
      </c>
      <c r="Q309" s="454">
        <v>0</v>
      </c>
      <c r="R309" s="454">
        <v>0</v>
      </c>
      <c r="S309" s="454"/>
      <c r="T309" s="454"/>
      <c r="U309" s="454"/>
      <c r="V309" s="454"/>
      <c r="W309" s="454"/>
      <c r="X309" s="454"/>
      <c r="Y309" s="454">
        <f t="shared" si="13"/>
        <v>0</v>
      </c>
      <c r="Z309" s="454">
        <v>118972</v>
      </c>
      <c r="AA309" s="451">
        <v>11</v>
      </c>
      <c r="AB309" s="587">
        <v>44299</v>
      </c>
      <c r="AC309" s="587">
        <v>44312</v>
      </c>
      <c r="AD309" s="454"/>
      <c r="AE309" s="451"/>
      <c r="AF309" s="587"/>
      <c r="AG309" s="587"/>
      <c r="AH309" s="454"/>
      <c r="AI309" s="451"/>
      <c r="AJ309" s="587"/>
      <c r="AK309" s="587"/>
      <c r="AL309" s="454"/>
      <c r="AM309" s="451"/>
      <c r="AN309" s="587"/>
      <c r="AO309" s="587"/>
      <c r="AP309" s="454"/>
      <c r="AQ309" s="451"/>
      <c r="AR309" s="588"/>
      <c r="AS309" s="588"/>
      <c r="AT309" s="154">
        <f t="shared" si="14"/>
        <v>118972</v>
      </c>
      <c r="AU309" s="461">
        <f t="shared" si="12"/>
        <v>118972</v>
      </c>
    </row>
    <row r="310" spans="1:47" ht="22.5" x14ac:dyDescent="0.2">
      <c r="A310" s="148"/>
      <c r="B310" s="149">
        <v>295</v>
      </c>
      <c r="C310" s="149" t="s">
        <v>38</v>
      </c>
      <c r="D310" s="450">
        <v>40004080</v>
      </c>
      <c r="E310" s="451" t="s">
        <v>2453</v>
      </c>
      <c r="F310" s="451" t="s">
        <v>1915</v>
      </c>
      <c r="G310" s="452" t="s">
        <v>2100</v>
      </c>
      <c r="H310" s="451" t="s">
        <v>2405</v>
      </c>
      <c r="I310" s="451" t="s">
        <v>1961</v>
      </c>
      <c r="J310" s="451">
        <v>330603</v>
      </c>
      <c r="K310" s="451"/>
      <c r="L310" s="451"/>
      <c r="M310" s="454">
        <v>0</v>
      </c>
      <c r="N310" s="454">
        <v>0</v>
      </c>
      <c r="O310" s="454">
        <v>0</v>
      </c>
      <c r="P310" s="454">
        <v>0</v>
      </c>
      <c r="Q310" s="454">
        <v>0</v>
      </c>
      <c r="R310" s="454">
        <v>0</v>
      </c>
      <c r="S310" s="454"/>
      <c r="T310" s="454"/>
      <c r="U310" s="454"/>
      <c r="V310" s="454"/>
      <c r="W310" s="454"/>
      <c r="X310" s="454"/>
      <c r="Y310" s="454">
        <f t="shared" si="13"/>
        <v>0</v>
      </c>
      <c r="Z310" s="454">
        <v>1000</v>
      </c>
      <c r="AA310" s="451">
        <v>11</v>
      </c>
      <c r="AB310" s="587">
        <v>44299</v>
      </c>
      <c r="AC310" s="587">
        <v>44312</v>
      </c>
      <c r="AD310" s="454"/>
      <c r="AE310" s="451"/>
      <c r="AF310" s="587"/>
      <c r="AG310" s="587"/>
      <c r="AH310" s="454"/>
      <c r="AI310" s="451"/>
      <c r="AJ310" s="587"/>
      <c r="AK310" s="587"/>
      <c r="AL310" s="454"/>
      <c r="AM310" s="451"/>
      <c r="AN310" s="587"/>
      <c r="AO310" s="587"/>
      <c r="AP310" s="454"/>
      <c r="AQ310" s="451"/>
      <c r="AR310" s="588"/>
      <c r="AS310" s="588"/>
      <c r="AT310" s="154">
        <f t="shared" si="14"/>
        <v>1000</v>
      </c>
      <c r="AU310" s="461">
        <f t="shared" si="12"/>
        <v>1000</v>
      </c>
    </row>
    <row r="311" spans="1:47" ht="22.5" x14ac:dyDescent="0.2">
      <c r="A311" s="148"/>
      <c r="B311" s="149">
        <v>296</v>
      </c>
      <c r="C311" s="149" t="s">
        <v>38</v>
      </c>
      <c r="D311" s="450">
        <v>40005685</v>
      </c>
      <c r="E311" s="451" t="s">
        <v>2454</v>
      </c>
      <c r="F311" s="451" t="s">
        <v>1915</v>
      </c>
      <c r="G311" s="452" t="s">
        <v>2100</v>
      </c>
      <c r="H311" s="451" t="s">
        <v>2219</v>
      </c>
      <c r="I311" s="451" t="s">
        <v>1961</v>
      </c>
      <c r="J311" s="451">
        <v>247507</v>
      </c>
      <c r="K311" s="451"/>
      <c r="L311" s="451"/>
      <c r="M311" s="454">
        <v>0</v>
      </c>
      <c r="N311" s="454">
        <v>0</v>
      </c>
      <c r="O311" s="454">
        <v>0</v>
      </c>
      <c r="P311" s="454">
        <v>0</v>
      </c>
      <c r="Q311" s="454">
        <v>0</v>
      </c>
      <c r="R311" s="454">
        <v>0</v>
      </c>
      <c r="S311" s="454"/>
      <c r="T311" s="454"/>
      <c r="U311" s="454"/>
      <c r="V311" s="454"/>
      <c r="W311" s="454"/>
      <c r="X311" s="454"/>
      <c r="Y311" s="454">
        <f t="shared" si="13"/>
        <v>0</v>
      </c>
      <c r="Z311" s="454">
        <v>1000</v>
      </c>
      <c r="AA311" s="451">
        <v>11</v>
      </c>
      <c r="AB311" s="587">
        <v>44299</v>
      </c>
      <c r="AC311" s="587">
        <v>44312</v>
      </c>
      <c r="AD311" s="454"/>
      <c r="AE311" s="451"/>
      <c r="AF311" s="587"/>
      <c r="AG311" s="587"/>
      <c r="AH311" s="454"/>
      <c r="AI311" s="451"/>
      <c r="AJ311" s="587"/>
      <c r="AK311" s="587"/>
      <c r="AL311" s="454"/>
      <c r="AM311" s="451"/>
      <c r="AN311" s="587"/>
      <c r="AO311" s="587"/>
      <c r="AP311" s="454"/>
      <c r="AQ311" s="451"/>
      <c r="AR311" s="588"/>
      <c r="AS311" s="588"/>
      <c r="AT311" s="154">
        <f t="shared" si="14"/>
        <v>1000</v>
      </c>
      <c r="AU311" s="461">
        <f t="shared" si="12"/>
        <v>1000</v>
      </c>
    </row>
    <row r="312" spans="1:47" ht="22.5" x14ac:dyDescent="0.2">
      <c r="A312" s="148"/>
      <c r="B312" s="149">
        <v>297</v>
      </c>
      <c r="C312" s="149" t="s">
        <v>38</v>
      </c>
      <c r="D312" s="450">
        <v>30465934</v>
      </c>
      <c r="E312" s="451" t="s">
        <v>2455</v>
      </c>
      <c r="F312" s="451" t="s">
        <v>200</v>
      </c>
      <c r="G312" s="452" t="s">
        <v>2100</v>
      </c>
      <c r="H312" s="451" t="s">
        <v>2143</v>
      </c>
      <c r="I312" s="451" t="s">
        <v>1958</v>
      </c>
      <c r="J312" s="451">
        <v>1221550</v>
      </c>
      <c r="K312" s="451"/>
      <c r="L312" s="451"/>
      <c r="M312" s="454">
        <v>98523.554999999993</v>
      </c>
      <c r="N312" s="454">
        <v>0</v>
      </c>
      <c r="O312" s="454">
        <v>0</v>
      </c>
      <c r="P312" s="454">
        <v>849431.12600000005</v>
      </c>
      <c r="Q312" s="454">
        <v>0</v>
      </c>
      <c r="R312" s="454">
        <v>0</v>
      </c>
      <c r="S312" s="454"/>
      <c r="T312" s="454"/>
      <c r="U312" s="454"/>
      <c r="V312" s="454"/>
      <c r="W312" s="454"/>
      <c r="X312" s="454"/>
      <c r="Y312" s="454">
        <f t="shared" si="13"/>
        <v>947954.6810000001</v>
      </c>
      <c r="Z312" s="454">
        <v>1038659</v>
      </c>
      <c r="AA312" s="451">
        <v>11</v>
      </c>
      <c r="AB312" s="587">
        <v>44299</v>
      </c>
      <c r="AC312" s="587">
        <v>44312</v>
      </c>
      <c r="AD312" s="454"/>
      <c r="AE312" s="451"/>
      <c r="AF312" s="587"/>
      <c r="AG312" s="587"/>
      <c r="AH312" s="454"/>
      <c r="AI312" s="451"/>
      <c r="AJ312" s="587"/>
      <c r="AK312" s="587"/>
      <c r="AL312" s="454"/>
      <c r="AM312" s="451"/>
      <c r="AN312" s="587"/>
      <c r="AO312" s="587"/>
      <c r="AP312" s="454"/>
      <c r="AQ312" s="451"/>
      <c r="AR312" s="588"/>
      <c r="AS312" s="588"/>
      <c r="AT312" s="154">
        <f t="shared" si="14"/>
        <v>1038659</v>
      </c>
      <c r="AU312" s="461">
        <f t="shared" si="12"/>
        <v>90704.318999999901</v>
      </c>
    </row>
    <row r="313" spans="1:47" ht="22.5" x14ac:dyDescent="0.2">
      <c r="A313" s="148"/>
      <c r="B313" s="149">
        <v>298</v>
      </c>
      <c r="C313" s="149" t="s">
        <v>38</v>
      </c>
      <c r="D313" s="450">
        <v>30274524</v>
      </c>
      <c r="E313" s="451" t="s">
        <v>2456</v>
      </c>
      <c r="F313" s="451" t="s">
        <v>200</v>
      </c>
      <c r="G313" s="452" t="s">
        <v>2100</v>
      </c>
      <c r="H313" s="451" t="s">
        <v>2202</v>
      </c>
      <c r="I313" s="451" t="s">
        <v>1958</v>
      </c>
      <c r="J313" s="451">
        <v>59396</v>
      </c>
      <c r="K313" s="451"/>
      <c r="L313" s="451"/>
      <c r="M313" s="454">
        <v>11353.924000000001</v>
      </c>
      <c r="N313" s="454">
        <v>0</v>
      </c>
      <c r="O313" s="454">
        <v>0</v>
      </c>
      <c r="P313" s="454">
        <v>0</v>
      </c>
      <c r="Q313" s="454">
        <v>0</v>
      </c>
      <c r="R313" s="454">
        <v>0</v>
      </c>
      <c r="S313" s="454"/>
      <c r="T313" s="454"/>
      <c r="U313" s="454"/>
      <c r="V313" s="454"/>
      <c r="W313" s="454"/>
      <c r="X313" s="454"/>
      <c r="Y313" s="454">
        <f t="shared" si="13"/>
        <v>11353.924000000001</v>
      </c>
      <c r="Z313" s="454">
        <v>11354</v>
      </c>
      <c r="AA313" s="451">
        <v>14</v>
      </c>
      <c r="AB313" s="587">
        <v>44313</v>
      </c>
      <c r="AC313" s="587">
        <v>44322</v>
      </c>
      <c r="AD313" s="454"/>
      <c r="AE313" s="451"/>
      <c r="AF313" s="587"/>
      <c r="AG313" s="587"/>
      <c r="AH313" s="454"/>
      <c r="AI313" s="451"/>
      <c r="AJ313" s="587"/>
      <c r="AK313" s="587"/>
      <c r="AL313" s="454"/>
      <c r="AM313" s="451"/>
      <c r="AN313" s="587"/>
      <c r="AO313" s="587"/>
      <c r="AP313" s="454"/>
      <c r="AQ313" s="451"/>
      <c r="AR313" s="588"/>
      <c r="AS313" s="588"/>
      <c r="AT313" s="154">
        <f t="shared" si="14"/>
        <v>11354</v>
      </c>
      <c r="AU313" s="461">
        <f t="shared" si="12"/>
        <v>7.5999999999112333E-2</v>
      </c>
    </row>
    <row r="314" spans="1:47" ht="22.5" x14ac:dyDescent="0.2">
      <c r="A314" s="148"/>
      <c r="B314" s="149">
        <v>299</v>
      </c>
      <c r="C314" s="149" t="s">
        <v>38</v>
      </c>
      <c r="D314" s="450">
        <v>40005451</v>
      </c>
      <c r="E314" s="451" t="s">
        <v>2457</v>
      </c>
      <c r="F314" s="451" t="s">
        <v>1915</v>
      </c>
      <c r="G314" s="452" t="s">
        <v>2100</v>
      </c>
      <c r="H314" s="451" t="s">
        <v>2101</v>
      </c>
      <c r="I314" s="451" t="s">
        <v>1958</v>
      </c>
      <c r="J314" s="451">
        <v>3080882</v>
      </c>
      <c r="K314" s="451"/>
      <c r="L314" s="451"/>
      <c r="M314" s="454">
        <v>0</v>
      </c>
      <c r="N314" s="454">
        <v>0</v>
      </c>
      <c r="O314" s="454">
        <v>0</v>
      </c>
      <c r="P314" s="454">
        <v>0</v>
      </c>
      <c r="Q314" s="454">
        <v>0</v>
      </c>
      <c r="R314" s="454">
        <v>992888.52099999995</v>
      </c>
      <c r="S314" s="454"/>
      <c r="T314" s="454"/>
      <c r="U314" s="454"/>
      <c r="V314" s="454"/>
      <c r="W314" s="454"/>
      <c r="X314" s="454"/>
      <c r="Y314" s="454">
        <f t="shared" si="13"/>
        <v>992888.52099999995</v>
      </c>
      <c r="Z314" s="454">
        <v>1000</v>
      </c>
      <c r="AA314" s="451">
        <v>14</v>
      </c>
      <c r="AB314" s="587">
        <v>44313</v>
      </c>
      <c r="AC314" s="587">
        <v>44322</v>
      </c>
      <c r="AD314" s="454"/>
      <c r="AE314" s="451"/>
      <c r="AF314" s="587"/>
      <c r="AG314" s="587"/>
      <c r="AH314" s="454"/>
      <c r="AI314" s="451"/>
      <c r="AJ314" s="587"/>
      <c r="AK314" s="587"/>
      <c r="AL314" s="454"/>
      <c r="AM314" s="451"/>
      <c r="AN314" s="587"/>
      <c r="AO314" s="587"/>
      <c r="AP314" s="454"/>
      <c r="AQ314" s="451"/>
      <c r="AR314" s="588"/>
      <c r="AS314" s="588"/>
      <c r="AT314" s="154">
        <f t="shared" si="14"/>
        <v>1000</v>
      </c>
      <c r="AU314" s="461">
        <f t="shared" si="12"/>
        <v>-991888.52099999995</v>
      </c>
    </row>
    <row r="315" spans="1:47" ht="22.5" x14ac:dyDescent="0.2">
      <c r="A315" s="148"/>
      <c r="B315" s="149">
        <v>300</v>
      </c>
      <c r="C315" s="149" t="s">
        <v>38</v>
      </c>
      <c r="D315" s="450">
        <v>40017852</v>
      </c>
      <c r="E315" s="451" t="s">
        <v>2458</v>
      </c>
      <c r="F315" s="451" t="s">
        <v>1915</v>
      </c>
      <c r="G315" s="452" t="s">
        <v>2100</v>
      </c>
      <c r="H315" s="451" t="s">
        <v>2109</v>
      </c>
      <c r="I315" s="451" t="s">
        <v>1961</v>
      </c>
      <c r="J315" s="451">
        <v>2194292</v>
      </c>
      <c r="K315" s="451"/>
      <c r="L315" s="451"/>
      <c r="M315" s="454">
        <v>0</v>
      </c>
      <c r="N315" s="454">
        <v>0</v>
      </c>
      <c r="O315" s="454">
        <v>0</v>
      </c>
      <c r="P315" s="454">
        <v>0</v>
      </c>
      <c r="Q315" s="454">
        <v>0</v>
      </c>
      <c r="R315" s="454">
        <v>0</v>
      </c>
      <c r="S315" s="454"/>
      <c r="T315" s="454"/>
      <c r="U315" s="454"/>
      <c r="V315" s="454"/>
      <c r="W315" s="454"/>
      <c r="X315" s="454"/>
      <c r="Y315" s="454">
        <f t="shared" si="13"/>
        <v>0</v>
      </c>
      <c r="Z315" s="454">
        <v>1000</v>
      </c>
      <c r="AA315" s="451">
        <v>15</v>
      </c>
      <c r="AB315" s="587">
        <v>44315</v>
      </c>
      <c r="AC315" s="587">
        <v>44322</v>
      </c>
      <c r="AD315" s="454"/>
      <c r="AE315" s="451"/>
      <c r="AF315" s="587"/>
      <c r="AG315" s="587"/>
      <c r="AH315" s="454"/>
      <c r="AI315" s="451"/>
      <c r="AJ315" s="587"/>
      <c r="AK315" s="587"/>
      <c r="AL315" s="454"/>
      <c r="AM315" s="451"/>
      <c r="AN315" s="587"/>
      <c r="AO315" s="587"/>
      <c r="AP315" s="454"/>
      <c r="AQ315" s="451"/>
      <c r="AR315" s="588"/>
      <c r="AS315" s="588"/>
      <c r="AT315" s="154">
        <f t="shared" si="14"/>
        <v>1000</v>
      </c>
      <c r="AU315" s="461">
        <f t="shared" si="12"/>
        <v>1000</v>
      </c>
    </row>
    <row r="316" spans="1:47" ht="22.5" x14ac:dyDescent="0.2">
      <c r="A316" s="148"/>
      <c r="B316" s="149">
        <v>301</v>
      </c>
      <c r="C316" s="149" t="s">
        <v>38</v>
      </c>
      <c r="D316" s="450">
        <v>40008387</v>
      </c>
      <c r="E316" s="451" t="s">
        <v>2459</v>
      </c>
      <c r="F316" s="451" t="s">
        <v>1915</v>
      </c>
      <c r="G316" s="452" t="s">
        <v>2100</v>
      </c>
      <c r="H316" s="451" t="s">
        <v>2132</v>
      </c>
      <c r="I316" s="451" t="s">
        <v>1961</v>
      </c>
      <c r="J316" s="451">
        <v>153375</v>
      </c>
      <c r="K316" s="451"/>
      <c r="L316" s="451"/>
      <c r="M316" s="454">
        <v>0</v>
      </c>
      <c r="N316" s="454">
        <v>0</v>
      </c>
      <c r="O316" s="454">
        <v>0</v>
      </c>
      <c r="P316" s="454">
        <v>0</v>
      </c>
      <c r="Q316" s="454">
        <v>0</v>
      </c>
      <c r="R316" s="454">
        <v>0</v>
      </c>
      <c r="S316" s="454"/>
      <c r="T316" s="454"/>
      <c r="U316" s="454"/>
      <c r="V316" s="454"/>
      <c r="W316" s="454"/>
      <c r="X316" s="454"/>
      <c r="Y316" s="454">
        <f t="shared" si="13"/>
        <v>0</v>
      </c>
      <c r="Z316" s="454">
        <v>1000</v>
      </c>
      <c r="AA316" s="451">
        <v>15</v>
      </c>
      <c r="AB316" s="587">
        <v>44315</v>
      </c>
      <c r="AC316" s="587">
        <v>44322</v>
      </c>
      <c r="AD316" s="454"/>
      <c r="AE316" s="451"/>
      <c r="AF316" s="587"/>
      <c r="AG316" s="587"/>
      <c r="AH316" s="454"/>
      <c r="AI316" s="451"/>
      <c r="AJ316" s="587"/>
      <c r="AK316" s="587"/>
      <c r="AL316" s="454"/>
      <c r="AM316" s="451"/>
      <c r="AN316" s="587"/>
      <c r="AO316" s="587"/>
      <c r="AP316" s="454"/>
      <c r="AQ316" s="451"/>
      <c r="AR316" s="588"/>
      <c r="AS316" s="588"/>
      <c r="AT316" s="154">
        <f t="shared" si="14"/>
        <v>1000</v>
      </c>
      <c r="AU316" s="461">
        <f t="shared" si="12"/>
        <v>1000</v>
      </c>
    </row>
    <row r="317" spans="1:47" ht="22.5" x14ac:dyDescent="0.2">
      <c r="A317" s="148"/>
      <c r="B317" s="149">
        <v>302</v>
      </c>
      <c r="C317" s="149" t="s">
        <v>38</v>
      </c>
      <c r="D317" s="450">
        <v>40014243</v>
      </c>
      <c r="E317" s="451" t="s">
        <v>2460</v>
      </c>
      <c r="F317" s="451" t="s">
        <v>1915</v>
      </c>
      <c r="G317" s="452" t="s">
        <v>2100</v>
      </c>
      <c r="H317" s="451" t="s">
        <v>2417</v>
      </c>
      <c r="I317" s="451" t="s">
        <v>1961</v>
      </c>
      <c r="J317" s="451">
        <v>118269</v>
      </c>
      <c r="K317" s="451"/>
      <c r="L317" s="451"/>
      <c r="M317" s="454">
        <v>0</v>
      </c>
      <c r="N317" s="454">
        <v>0</v>
      </c>
      <c r="O317" s="454">
        <v>0</v>
      </c>
      <c r="P317" s="454">
        <v>0</v>
      </c>
      <c r="Q317" s="454">
        <v>0</v>
      </c>
      <c r="R317" s="454">
        <v>0</v>
      </c>
      <c r="S317" s="454"/>
      <c r="T317" s="454"/>
      <c r="U317" s="454"/>
      <c r="V317" s="454"/>
      <c r="W317" s="454"/>
      <c r="X317" s="454"/>
      <c r="Y317" s="454">
        <f t="shared" si="13"/>
        <v>0</v>
      </c>
      <c r="Z317" s="454">
        <v>1000</v>
      </c>
      <c r="AA317" s="451">
        <v>15</v>
      </c>
      <c r="AB317" s="587">
        <v>44315</v>
      </c>
      <c r="AC317" s="587">
        <v>44322</v>
      </c>
      <c r="AD317" s="454"/>
      <c r="AE317" s="451"/>
      <c r="AF317" s="587"/>
      <c r="AG317" s="587"/>
      <c r="AH317" s="454"/>
      <c r="AI317" s="451"/>
      <c r="AJ317" s="587"/>
      <c r="AK317" s="587"/>
      <c r="AL317" s="454"/>
      <c r="AM317" s="451"/>
      <c r="AN317" s="587"/>
      <c r="AO317" s="587"/>
      <c r="AP317" s="454"/>
      <c r="AQ317" s="451"/>
      <c r="AR317" s="588"/>
      <c r="AS317" s="588"/>
      <c r="AT317" s="154">
        <f t="shared" si="14"/>
        <v>1000</v>
      </c>
      <c r="AU317" s="461">
        <f t="shared" si="12"/>
        <v>1000</v>
      </c>
    </row>
    <row r="318" spans="1:47" ht="22.5" x14ac:dyDescent="0.2">
      <c r="A318" s="148"/>
      <c r="B318" s="149">
        <v>303</v>
      </c>
      <c r="C318" s="149" t="s">
        <v>38</v>
      </c>
      <c r="D318" s="450">
        <v>40027711</v>
      </c>
      <c r="E318" s="451" t="s">
        <v>2461</v>
      </c>
      <c r="F318" s="451" t="s">
        <v>1915</v>
      </c>
      <c r="G318" s="452" t="s">
        <v>2100</v>
      </c>
      <c r="H318" s="451" t="s">
        <v>2275</v>
      </c>
      <c r="I318" s="451" t="s">
        <v>1961</v>
      </c>
      <c r="J318" s="451">
        <v>13175</v>
      </c>
      <c r="K318" s="451"/>
      <c r="L318" s="451"/>
      <c r="M318" s="454">
        <v>0</v>
      </c>
      <c r="N318" s="454">
        <v>0</v>
      </c>
      <c r="O318" s="454">
        <v>0</v>
      </c>
      <c r="P318" s="454">
        <v>0</v>
      </c>
      <c r="Q318" s="454">
        <v>0</v>
      </c>
      <c r="R318" s="454">
        <v>0</v>
      </c>
      <c r="S318" s="454"/>
      <c r="T318" s="454"/>
      <c r="U318" s="454"/>
      <c r="V318" s="454"/>
      <c r="W318" s="454"/>
      <c r="X318" s="454"/>
      <c r="Y318" s="454">
        <f t="shared" si="13"/>
        <v>0</v>
      </c>
      <c r="Z318" s="454">
        <v>1000</v>
      </c>
      <c r="AA318" s="451">
        <v>15</v>
      </c>
      <c r="AB318" s="587">
        <v>44315</v>
      </c>
      <c r="AC318" s="587">
        <v>44322</v>
      </c>
      <c r="AD318" s="454"/>
      <c r="AE318" s="451"/>
      <c r="AF318" s="587"/>
      <c r="AG318" s="587"/>
      <c r="AH318" s="454"/>
      <c r="AI318" s="451"/>
      <c r="AJ318" s="587"/>
      <c r="AK318" s="587"/>
      <c r="AL318" s="454"/>
      <c r="AM318" s="451"/>
      <c r="AN318" s="587"/>
      <c r="AO318" s="587"/>
      <c r="AP318" s="454"/>
      <c r="AQ318" s="451"/>
      <c r="AR318" s="588"/>
      <c r="AS318" s="588"/>
      <c r="AT318" s="154">
        <f t="shared" si="14"/>
        <v>1000</v>
      </c>
      <c r="AU318" s="461">
        <f t="shared" si="12"/>
        <v>1000</v>
      </c>
    </row>
    <row r="319" spans="1:47" ht="22.5" x14ac:dyDescent="0.2">
      <c r="A319" s="148"/>
      <c r="B319" s="149">
        <v>304</v>
      </c>
      <c r="C319" s="149" t="s">
        <v>38</v>
      </c>
      <c r="D319" s="450">
        <v>40024108</v>
      </c>
      <c r="E319" s="451" t="s">
        <v>2462</v>
      </c>
      <c r="F319" s="451" t="s">
        <v>1915</v>
      </c>
      <c r="G319" s="452" t="s">
        <v>2100</v>
      </c>
      <c r="H319" s="451" t="s">
        <v>2463</v>
      </c>
      <c r="I319" s="451" t="s">
        <v>1961</v>
      </c>
      <c r="J319" s="451">
        <v>1109852</v>
      </c>
      <c r="K319" s="451"/>
      <c r="L319" s="451"/>
      <c r="M319" s="454">
        <v>0</v>
      </c>
      <c r="N319" s="454">
        <v>0</v>
      </c>
      <c r="O319" s="454">
        <v>0</v>
      </c>
      <c r="P319" s="454">
        <v>0</v>
      </c>
      <c r="Q319" s="454">
        <v>0</v>
      </c>
      <c r="R319" s="454">
        <v>0</v>
      </c>
      <c r="S319" s="454"/>
      <c r="T319" s="454"/>
      <c r="U319" s="454"/>
      <c r="V319" s="454"/>
      <c r="W319" s="454"/>
      <c r="X319" s="454"/>
      <c r="Y319" s="454">
        <f t="shared" si="13"/>
        <v>0</v>
      </c>
      <c r="Z319" s="454">
        <v>1000</v>
      </c>
      <c r="AA319" s="451">
        <v>18</v>
      </c>
      <c r="AB319" s="587">
        <v>44327</v>
      </c>
      <c r="AC319" s="587">
        <v>44341</v>
      </c>
      <c r="AD319" s="454">
        <v>1000</v>
      </c>
      <c r="AE319" s="451">
        <v>22</v>
      </c>
      <c r="AF319" s="587">
        <v>44340</v>
      </c>
      <c r="AG319" s="587">
        <v>44348</v>
      </c>
      <c r="AH319" s="454"/>
      <c r="AI319" s="451"/>
      <c r="AJ319" s="587"/>
      <c r="AK319" s="587"/>
      <c r="AL319" s="454"/>
      <c r="AM319" s="451"/>
      <c r="AN319" s="587"/>
      <c r="AO319" s="587"/>
      <c r="AP319" s="454"/>
      <c r="AQ319" s="451"/>
      <c r="AR319" s="588"/>
      <c r="AS319" s="588"/>
      <c r="AT319" s="154">
        <f t="shared" si="14"/>
        <v>2000</v>
      </c>
      <c r="AU319" s="461">
        <f t="shared" si="12"/>
        <v>2000</v>
      </c>
    </row>
    <row r="320" spans="1:47" ht="22.5" x14ac:dyDescent="0.2">
      <c r="A320" s="148"/>
      <c r="B320" s="149">
        <v>305</v>
      </c>
      <c r="C320" s="149" t="s">
        <v>38</v>
      </c>
      <c r="D320" s="450">
        <v>40023120</v>
      </c>
      <c r="E320" s="451" t="s">
        <v>2464</v>
      </c>
      <c r="F320" s="451" t="s">
        <v>1915</v>
      </c>
      <c r="G320" s="452" t="s">
        <v>2100</v>
      </c>
      <c r="H320" s="451" t="s">
        <v>2465</v>
      </c>
      <c r="I320" s="451" t="s">
        <v>1961</v>
      </c>
      <c r="J320" s="451">
        <v>74559</v>
      </c>
      <c r="K320" s="451"/>
      <c r="L320" s="451"/>
      <c r="M320" s="454">
        <v>0</v>
      </c>
      <c r="N320" s="454">
        <v>0</v>
      </c>
      <c r="O320" s="454">
        <v>0</v>
      </c>
      <c r="P320" s="454">
        <v>0</v>
      </c>
      <c r="Q320" s="454">
        <v>0</v>
      </c>
      <c r="R320" s="454">
        <v>0</v>
      </c>
      <c r="S320" s="454"/>
      <c r="T320" s="454"/>
      <c r="U320" s="454"/>
      <c r="V320" s="454"/>
      <c r="W320" s="454"/>
      <c r="X320" s="454"/>
      <c r="Y320" s="454">
        <f t="shared" si="13"/>
        <v>0</v>
      </c>
      <c r="Z320" s="454">
        <v>1000</v>
      </c>
      <c r="AA320" s="451">
        <v>18</v>
      </c>
      <c r="AB320" s="587">
        <v>44327</v>
      </c>
      <c r="AC320" s="587">
        <v>44341</v>
      </c>
      <c r="AD320" s="454"/>
      <c r="AE320" s="451"/>
      <c r="AF320" s="587"/>
      <c r="AG320" s="587"/>
      <c r="AH320" s="454"/>
      <c r="AI320" s="451"/>
      <c r="AJ320" s="587"/>
      <c r="AK320" s="587"/>
      <c r="AL320" s="454"/>
      <c r="AM320" s="451"/>
      <c r="AN320" s="587"/>
      <c r="AO320" s="587"/>
      <c r="AP320" s="454"/>
      <c r="AQ320" s="451"/>
      <c r="AR320" s="588"/>
      <c r="AS320" s="588"/>
      <c r="AT320" s="154">
        <f t="shared" si="14"/>
        <v>1000</v>
      </c>
      <c r="AU320" s="461">
        <f t="shared" si="12"/>
        <v>1000</v>
      </c>
    </row>
    <row r="321" spans="1:47" ht="22.5" x14ac:dyDescent="0.2">
      <c r="A321" s="148"/>
      <c r="B321" s="149">
        <v>306</v>
      </c>
      <c r="C321" s="149" t="s">
        <v>38</v>
      </c>
      <c r="D321" s="450">
        <v>40015502</v>
      </c>
      <c r="E321" s="451" t="s">
        <v>2466</v>
      </c>
      <c r="F321" s="451" t="s">
        <v>1915</v>
      </c>
      <c r="G321" s="452" t="s">
        <v>2100</v>
      </c>
      <c r="H321" s="451" t="s">
        <v>2231</v>
      </c>
      <c r="I321" s="451" t="s">
        <v>1961</v>
      </c>
      <c r="J321" s="451">
        <v>2569483</v>
      </c>
      <c r="K321" s="451"/>
      <c r="L321" s="451"/>
      <c r="M321" s="454">
        <v>0</v>
      </c>
      <c r="N321" s="454">
        <v>0</v>
      </c>
      <c r="O321" s="454">
        <v>0</v>
      </c>
      <c r="P321" s="454">
        <v>0</v>
      </c>
      <c r="Q321" s="454">
        <v>0</v>
      </c>
      <c r="R321" s="454">
        <v>0</v>
      </c>
      <c r="S321" s="454"/>
      <c r="T321" s="454"/>
      <c r="U321" s="454"/>
      <c r="V321" s="454"/>
      <c r="W321" s="454"/>
      <c r="X321" s="454"/>
      <c r="Y321" s="454">
        <f t="shared" si="13"/>
        <v>0</v>
      </c>
      <c r="Z321" s="454">
        <v>1000</v>
      </c>
      <c r="AA321" s="451">
        <v>18</v>
      </c>
      <c r="AB321" s="587">
        <v>44327</v>
      </c>
      <c r="AC321" s="587">
        <v>44341</v>
      </c>
      <c r="AD321" s="454"/>
      <c r="AE321" s="451"/>
      <c r="AF321" s="587"/>
      <c r="AG321" s="587"/>
      <c r="AH321" s="454"/>
      <c r="AI321" s="451"/>
      <c r="AJ321" s="587"/>
      <c r="AK321" s="587"/>
      <c r="AL321" s="454"/>
      <c r="AM321" s="451"/>
      <c r="AN321" s="587"/>
      <c r="AO321" s="587"/>
      <c r="AP321" s="454"/>
      <c r="AQ321" s="451"/>
      <c r="AR321" s="588"/>
      <c r="AS321" s="588"/>
      <c r="AT321" s="154">
        <f t="shared" si="14"/>
        <v>1000</v>
      </c>
      <c r="AU321" s="461">
        <f t="shared" si="12"/>
        <v>1000</v>
      </c>
    </row>
    <row r="322" spans="1:47" ht="22.5" x14ac:dyDescent="0.2">
      <c r="A322" s="148"/>
      <c r="B322" s="149">
        <v>307</v>
      </c>
      <c r="C322" s="149" t="s">
        <v>38</v>
      </c>
      <c r="D322" s="450">
        <v>40025558</v>
      </c>
      <c r="E322" s="451" t="s">
        <v>2467</v>
      </c>
      <c r="F322" s="451" t="s">
        <v>1915</v>
      </c>
      <c r="G322" s="452" t="s">
        <v>2100</v>
      </c>
      <c r="H322" s="451" t="s">
        <v>2193</v>
      </c>
      <c r="I322" s="451" t="s">
        <v>1961</v>
      </c>
      <c r="J322" s="451">
        <v>497992</v>
      </c>
      <c r="K322" s="451"/>
      <c r="L322" s="451"/>
      <c r="M322" s="454">
        <v>0</v>
      </c>
      <c r="N322" s="454">
        <v>0</v>
      </c>
      <c r="O322" s="454">
        <v>0</v>
      </c>
      <c r="P322" s="454">
        <v>0</v>
      </c>
      <c r="Q322" s="454">
        <v>0</v>
      </c>
      <c r="R322" s="454">
        <v>0</v>
      </c>
      <c r="S322" s="454"/>
      <c r="T322" s="454"/>
      <c r="U322" s="454"/>
      <c r="V322" s="454"/>
      <c r="W322" s="454"/>
      <c r="X322" s="454"/>
      <c r="Y322" s="454">
        <f t="shared" si="13"/>
        <v>0</v>
      </c>
      <c r="Z322" s="454">
        <v>1000</v>
      </c>
      <c r="AA322" s="451">
        <v>18</v>
      </c>
      <c r="AB322" s="587">
        <v>44327</v>
      </c>
      <c r="AC322" s="587">
        <v>44341</v>
      </c>
      <c r="AD322" s="454"/>
      <c r="AE322" s="451"/>
      <c r="AF322" s="587"/>
      <c r="AG322" s="587"/>
      <c r="AH322" s="454"/>
      <c r="AI322" s="451"/>
      <c r="AJ322" s="587"/>
      <c r="AK322" s="587"/>
      <c r="AL322" s="454"/>
      <c r="AM322" s="451"/>
      <c r="AN322" s="587"/>
      <c r="AO322" s="587"/>
      <c r="AP322" s="454"/>
      <c r="AQ322" s="451"/>
      <c r="AR322" s="588"/>
      <c r="AS322" s="588"/>
      <c r="AT322" s="154">
        <f t="shared" si="14"/>
        <v>1000</v>
      </c>
      <c r="AU322" s="461">
        <f t="shared" si="12"/>
        <v>1000</v>
      </c>
    </row>
    <row r="323" spans="1:47" ht="22.5" x14ac:dyDescent="0.2">
      <c r="A323" s="148"/>
      <c r="B323" s="149">
        <v>308</v>
      </c>
      <c r="C323" s="149" t="s">
        <v>38</v>
      </c>
      <c r="D323" s="450">
        <v>30220972</v>
      </c>
      <c r="E323" s="451" t="s">
        <v>2468</v>
      </c>
      <c r="F323" s="451" t="s">
        <v>200</v>
      </c>
      <c r="G323" s="452" t="s">
        <v>2100</v>
      </c>
      <c r="H323" s="451" t="s">
        <v>2123</v>
      </c>
      <c r="I323" s="451" t="s">
        <v>1961</v>
      </c>
      <c r="J323" s="451">
        <v>6816913</v>
      </c>
      <c r="K323" s="451"/>
      <c r="L323" s="451"/>
      <c r="M323" s="454">
        <v>0</v>
      </c>
      <c r="N323" s="454">
        <v>0</v>
      </c>
      <c r="O323" s="454">
        <v>0</v>
      </c>
      <c r="P323" s="454">
        <v>0</v>
      </c>
      <c r="Q323" s="454">
        <v>0</v>
      </c>
      <c r="R323" s="454">
        <v>0</v>
      </c>
      <c r="S323" s="454"/>
      <c r="T323" s="454"/>
      <c r="U323" s="454"/>
      <c r="V323" s="454"/>
      <c r="W323" s="454"/>
      <c r="X323" s="454"/>
      <c r="Y323" s="454">
        <f t="shared" si="13"/>
        <v>0</v>
      </c>
      <c r="Z323" s="454">
        <v>50000</v>
      </c>
      <c r="AA323" s="451">
        <v>23</v>
      </c>
      <c r="AB323" s="587">
        <v>44340</v>
      </c>
      <c r="AC323" s="587">
        <v>44350</v>
      </c>
      <c r="AD323" s="454"/>
      <c r="AE323" s="451"/>
      <c r="AF323" s="587"/>
      <c r="AG323" s="587"/>
      <c r="AH323" s="454"/>
      <c r="AI323" s="451"/>
      <c r="AJ323" s="587"/>
      <c r="AK323" s="587"/>
      <c r="AL323" s="454"/>
      <c r="AM323" s="451"/>
      <c r="AN323" s="587"/>
      <c r="AO323" s="587"/>
      <c r="AP323" s="454"/>
      <c r="AQ323" s="451"/>
      <c r="AR323" s="588"/>
      <c r="AS323" s="588"/>
      <c r="AT323" s="154">
        <f t="shared" si="14"/>
        <v>50000</v>
      </c>
      <c r="AU323" s="461">
        <f t="shared" si="12"/>
        <v>50000</v>
      </c>
    </row>
    <row r="324" spans="1:47" ht="22.5" x14ac:dyDescent="0.2">
      <c r="A324" s="148"/>
      <c r="B324" s="149">
        <v>309</v>
      </c>
      <c r="C324" s="149" t="s">
        <v>38</v>
      </c>
      <c r="D324" s="450">
        <v>40006511</v>
      </c>
      <c r="E324" s="451" t="s">
        <v>2469</v>
      </c>
      <c r="F324" s="451" t="s">
        <v>1915</v>
      </c>
      <c r="G324" s="452" t="s">
        <v>2100</v>
      </c>
      <c r="H324" s="451" t="s">
        <v>2111</v>
      </c>
      <c r="I324" s="451" t="s">
        <v>1961</v>
      </c>
      <c r="J324" s="451">
        <v>274123</v>
      </c>
      <c r="K324" s="451"/>
      <c r="L324" s="451"/>
      <c r="M324" s="454">
        <v>0</v>
      </c>
      <c r="N324" s="454">
        <v>0</v>
      </c>
      <c r="O324" s="454">
        <v>0</v>
      </c>
      <c r="P324" s="454">
        <v>0</v>
      </c>
      <c r="Q324" s="454">
        <v>0</v>
      </c>
      <c r="R324" s="454">
        <v>0</v>
      </c>
      <c r="S324" s="454"/>
      <c r="T324" s="454"/>
      <c r="U324" s="454"/>
      <c r="V324" s="454"/>
      <c r="W324" s="454"/>
      <c r="X324" s="454"/>
      <c r="Y324" s="454">
        <f t="shared" si="13"/>
        <v>0</v>
      </c>
      <c r="Z324" s="454">
        <v>1000</v>
      </c>
      <c r="AA324" s="451">
        <v>24</v>
      </c>
      <c r="AB324" s="587">
        <v>44358</v>
      </c>
      <c r="AC324" s="587">
        <v>44364</v>
      </c>
      <c r="AD324" s="454"/>
      <c r="AE324" s="451"/>
      <c r="AF324" s="587"/>
      <c r="AG324" s="587"/>
      <c r="AH324" s="454"/>
      <c r="AI324" s="451"/>
      <c r="AJ324" s="587"/>
      <c r="AK324" s="587"/>
      <c r="AL324" s="454"/>
      <c r="AM324" s="451"/>
      <c r="AN324" s="587"/>
      <c r="AO324" s="587"/>
      <c r="AP324" s="454"/>
      <c r="AQ324" s="451"/>
      <c r="AR324" s="588"/>
      <c r="AS324" s="588"/>
      <c r="AT324" s="154">
        <f t="shared" si="14"/>
        <v>1000</v>
      </c>
      <c r="AU324" s="461">
        <f t="shared" si="12"/>
        <v>1000</v>
      </c>
    </row>
    <row r="325" spans="1:47" ht="22.5" x14ac:dyDescent="0.2">
      <c r="A325" s="148"/>
      <c r="B325" s="149">
        <v>310</v>
      </c>
      <c r="C325" s="149" t="s">
        <v>38</v>
      </c>
      <c r="D325" s="450">
        <v>40008685</v>
      </c>
      <c r="E325" s="451" t="s">
        <v>2470</v>
      </c>
      <c r="F325" s="451" t="s">
        <v>1915</v>
      </c>
      <c r="G325" s="452" t="s">
        <v>2100</v>
      </c>
      <c r="H325" s="451" t="s">
        <v>2111</v>
      </c>
      <c r="I325" s="451" t="s">
        <v>1961</v>
      </c>
      <c r="J325" s="451">
        <v>85508</v>
      </c>
      <c r="K325" s="451"/>
      <c r="L325" s="451"/>
      <c r="M325" s="454">
        <v>0</v>
      </c>
      <c r="N325" s="454">
        <v>0</v>
      </c>
      <c r="O325" s="454">
        <v>0</v>
      </c>
      <c r="P325" s="454">
        <v>0</v>
      </c>
      <c r="Q325" s="454">
        <v>0</v>
      </c>
      <c r="R325" s="454">
        <v>0</v>
      </c>
      <c r="S325" s="454"/>
      <c r="T325" s="454"/>
      <c r="U325" s="454"/>
      <c r="V325" s="454"/>
      <c r="W325" s="454"/>
      <c r="X325" s="454"/>
      <c r="Y325" s="454">
        <f t="shared" si="13"/>
        <v>0</v>
      </c>
      <c r="Z325" s="454">
        <v>1000</v>
      </c>
      <c r="AA325" s="451">
        <v>24</v>
      </c>
      <c r="AB325" s="587">
        <v>44358</v>
      </c>
      <c r="AC325" s="587">
        <v>44364</v>
      </c>
      <c r="AD325" s="454"/>
      <c r="AE325" s="451"/>
      <c r="AF325" s="587"/>
      <c r="AG325" s="587"/>
      <c r="AH325" s="454"/>
      <c r="AI325" s="451"/>
      <c r="AJ325" s="587"/>
      <c r="AK325" s="587"/>
      <c r="AL325" s="454"/>
      <c r="AM325" s="451"/>
      <c r="AN325" s="587"/>
      <c r="AO325" s="587"/>
      <c r="AP325" s="454"/>
      <c r="AQ325" s="451"/>
      <c r="AR325" s="588"/>
      <c r="AS325" s="588"/>
      <c r="AT325" s="154">
        <f t="shared" si="14"/>
        <v>1000</v>
      </c>
      <c r="AU325" s="461">
        <f t="shared" si="12"/>
        <v>1000</v>
      </c>
    </row>
    <row r="326" spans="1:47" ht="22.5" x14ac:dyDescent="0.2">
      <c r="A326" s="148"/>
      <c r="B326" s="149">
        <v>311</v>
      </c>
      <c r="C326" s="149" t="s">
        <v>38</v>
      </c>
      <c r="D326" s="450">
        <v>40017062</v>
      </c>
      <c r="E326" s="451" t="s">
        <v>2471</v>
      </c>
      <c r="F326" s="451" t="s">
        <v>1915</v>
      </c>
      <c r="G326" s="452" t="s">
        <v>2100</v>
      </c>
      <c r="H326" s="451" t="s">
        <v>2160</v>
      </c>
      <c r="I326" s="451" t="s">
        <v>1961</v>
      </c>
      <c r="J326" s="451">
        <v>23154</v>
      </c>
      <c r="K326" s="451"/>
      <c r="L326" s="451"/>
      <c r="M326" s="454">
        <v>0</v>
      </c>
      <c r="N326" s="454">
        <v>0</v>
      </c>
      <c r="O326" s="454">
        <v>0</v>
      </c>
      <c r="P326" s="454">
        <v>0</v>
      </c>
      <c r="Q326" s="454">
        <v>0</v>
      </c>
      <c r="R326" s="454">
        <v>0</v>
      </c>
      <c r="S326" s="454"/>
      <c r="T326" s="454"/>
      <c r="U326" s="454"/>
      <c r="V326" s="454"/>
      <c r="W326" s="454"/>
      <c r="X326" s="454"/>
      <c r="Y326" s="454">
        <f t="shared" si="13"/>
        <v>0</v>
      </c>
      <c r="Z326" s="454">
        <v>1000</v>
      </c>
      <c r="AA326" s="451">
        <v>24</v>
      </c>
      <c r="AB326" s="587">
        <v>44358</v>
      </c>
      <c r="AC326" s="587">
        <v>44364</v>
      </c>
      <c r="AD326" s="454"/>
      <c r="AE326" s="451"/>
      <c r="AF326" s="587"/>
      <c r="AG326" s="587"/>
      <c r="AH326" s="454"/>
      <c r="AI326" s="451"/>
      <c r="AJ326" s="587"/>
      <c r="AK326" s="587"/>
      <c r="AL326" s="454"/>
      <c r="AM326" s="451"/>
      <c r="AN326" s="587"/>
      <c r="AO326" s="587"/>
      <c r="AP326" s="454"/>
      <c r="AQ326" s="451"/>
      <c r="AR326" s="588"/>
      <c r="AS326" s="588"/>
      <c r="AT326" s="154">
        <f t="shared" si="14"/>
        <v>1000</v>
      </c>
      <c r="AU326" s="461">
        <f t="shared" si="12"/>
        <v>1000</v>
      </c>
    </row>
    <row r="327" spans="1:47" ht="22.5" x14ac:dyDescent="0.2">
      <c r="A327" s="148"/>
      <c r="B327" s="149">
        <v>312</v>
      </c>
      <c r="C327" s="149" t="s">
        <v>38</v>
      </c>
      <c r="D327" s="450">
        <v>40017064</v>
      </c>
      <c r="E327" s="451" t="s">
        <v>2472</v>
      </c>
      <c r="F327" s="451" t="s">
        <v>1915</v>
      </c>
      <c r="G327" s="452" t="s">
        <v>2100</v>
      </c>
      <c r="H327" s="451" t="s">
        <v>2160</v>
      </c>
      <c r="I327" s="451" t="s">
        <v>1961</v>
      </c>
      <c r="J327" s="451">
        <v>104908</v>
      </c>
      <c r="K327" s="451"/>
      <c r="L327" s="451"/>
      <c r="M327" s="454">
        <v>0</v>
      </c>
      <c r="N327" s="454">
        <v>0</v>
      </c>
      <c r="O327" s="454">
        <v>0</v>
      </c>
      <c r="P327" s="454">
        <v>0</v>
      </c>
      <c r="Q327" s="454">
        <v>0</v>
      </c>
      <c r="R327" s="454">
        <v>0</v>
      </c>
      <c r="S327" s="454"/>
      <c r="T327" s="454"/>
      <c r="U327" s="454"/>
      <c r="V327" s="454"/>
      <c r="W327" s="454"/>
      <c r="X327" s="454"/>
      <c r="Y327" s="454">
        <f t="shared" si="13"/>
        <v>0</v>
      </c>
      <c r="Z327" s="454">
        <v>1000</v>
      </c>
      <c r="AA327" s="451">
        <v>24</v>
      </c>
      <c r="AB327" s="587">
        <v>44358</v>
      </c>
      <c r="AC327" s="587">
        <v>44364</v>
      </c>
      <c r="AD327" s="454"/>
      <c r="AE327" s="451"/>
      <c r="AF327" s="587"/>
      <c r="AG327" s="587"/>
      <c r="AH327" s="454"/>
      <c r="AI327" s="451"/>
      <c r="AJ327" s="587"/>
      <c r="AK327" s="587"/>
      <c r="AL327" s="454"/>
      <c r="AM327" s="451"/>
      <c r="AN327" s="587"/>
      <c r="AO327" s="587"/>
      <c r="AP327" s="454"/>
      <c r="AQ327" s="451"/>
      <c r="AR327" s="588"/>
      <c r="AS327" s="588"/>
      <c r="AT327" s="154">
        <f t="shared" si="14"/>
        <v>1000</v>
      </c>
      <c r="AU327" s="461">
        <f t="shared" si="12"/>
        <v>1000</v>
      </c>
    </row>
    <row r="328" spans="1:47" ht="22.5" x14ac:dyDescent="0.2">
      <c r="A328" s="148"/>
      <c r="B328" s="149">
        <v>313</v>
      </c>
      <c r="C328" s="149" t="s">
        <v>38</v>
      </c>
      <c r="D328" s="450">
        <v>40017066</v>
      </c>
      <c r="E328" s="451" t="s">
        <v>2473</v>
      </c>
      <c r="F328" s="451" t="s">
        <v>1915</v>
      </c>
      <c r="G328" s="452" t="s">
        <v>2100</v>
      </c>
      <c r="H328" s="451" t="s">
        <v>2160</v>
      </c>
      <c r="I328" s="451" t="s">
        <v>1961</v>
      </c>
      <c r="J328" s="451">
        <v>31472</v>
      </c>
      <c r="K328" s="451"/>
      <c r="L328" s="451"/>
      <c r="M328" s="454">
        <v>0</v>
      </c>
      <c r="N328" s="454">
        <v>0</v>
      </c>
      <c r="O328" s="454">
        <v>0</v>
      </c>
      <c r="P328" s="454">
        <v>0</v>
      </c>
      <c r="Q328" s="454">
        <v>0</v>
      </c>
      <c r="R328" s="454">
        <v>0</v>
      </c>
      <c r="S328" s="454"/>
      <c r="T328" s="454"/>
      <c r="U328" s="454"/>
      <c r="V328" s="454"/>
      <c r="W328" s="454"/>
      <c r="X328" s="454"/>
      <c r="Y328" s="454">
        <f t="shared" si="13"/>
        <v>0</v>
      </c>
      <c r="Z328" s="454">
        <v>1000</v>
      </c>
      <c r="AA328" s="451">
        <v>24</v>
      </c>
      <c r="AB328" s="587">
        <v>44358</v>
      </c>
      <c r="AC328" s="587">
        <v>44364</v>
      </c>
      <c r="AD328" s="454"/>
      <c r="AE328" s="451"/>
      <c r="AF328" s="587"/>
      <c r="AG328" s="587"/>
      <c r="AH328" s="454"/>
      <c r="AI328" s="451"/>
      <c r="AJ328" s="587"/>
      <c r="AK328" s="587"/>
      <c r="AL328" s="454"/>
      <c r="AM328" s="451"/>
      <c r="AN328" s="587"/>
      <c r="AO328" s="587"/>
      <c r="AP328" s="454"/>
      <c r="AQ328" s="451"/>
      <c r="AR328" s="588"/>
      <c r="AS328" s="588"/>
      <c r="AT328" s="154">
        <f t="shared" si="14"/>
        <v>1000</v>
      </c>
      <c r="AU328" s="461">
        <f t="shared" si="12"/>
        <v>1000</v>
      </c>
    </row>
    <row r="329" spans="1:47" ht="22.5" x14ac:dyDescent="0.2">
      <c r="A329" s="148"/>
      <c r="B329" s="149">
        <v>314</v>
      </c>
      <c r="C329" s="149" t="s">
        <v>38</v>
      </c>
      <c r="D329" s="450">
        <v>40017377</v>
      </c>
      <c r="E329" s="451" t="s">
        <v>2474</v>
      </c>
      <c r="F329" s="451" t="s">
        <v>1915</v>
      </c>
      <c r="G329" s="452" t="s">
        <v>2100</v>
      </c>
      <c r="H329" s="451" t="s">
        <v>2160</v>
      </c>
      <c r="I329" s="451" t="s">
        <v>1961</v>
      </c>
      <c r="J329" s="451">
        <v>88101</v>
      </c>
      <c r="K329" s="451"/>
      <c r="L329" s="451"/>
      <c r="M329" s="454">
        <v>0</v>
      </c>
      <c r="N329" s="454">
        <v>0</v>
      </c>
      <c r="O329" s="454">
        <v>0</v>
      </c>
      <c r="P329" s="454">
        <v>0</v>
      </c>
      <c r="Q329" s="454">
        <v>0</v>
      </c>
      <c r="R329" s="454">
        <v>0</v>
      </c>
      <c r="S329" s="454"/>
      <c r="T329" s="454"/>
      <c r="U329" s="454"/>
      <c r="V329" s="454"/>
      <c r="W329" s="454"/>
      <c r="X329" s="454"/>
      <c r="Y329" s="454">
        <f t="shared" si="13"/>
        <v>0</v>
      </c>
      <c r="Z329" s="454">
        <v>1000</v>
      </c>
      <c r="AA329" s="451">
        <v>24</v>
      </c>
      <c r="AB329" s="587">
        <v>44358</v>
      </c>
      <c r="AC329" s="587">
        <v>44364</v>
      </c>
      <c r="AD329" s="454"/>
      <c r="AE329" s="451"/>
      <c r="AF329" s="587"/>
      <c r="AG329" s="587"/>
      <c r="AH329" s="454"/>
      <c r="AI329" s="451"/>
      <c r="AJ329" s="587"/>
      <c r="AK329" s="587"/>
      <c r="AL329" s="454"/>
      <c r="AM329" s="451"/>
      <c r="AN329" s="587"/>
      <c r="AO329" s="587"/>
      <c r="AP329" s="454"/>
      <c r="AQ329" s="451"/>
      <c r="AR329" s="588"/>
      <c r="AS329" s="588"/>
      <c r="AT329" s="154">
        <f t="shared" si="14"/>
        <v>1000</v>
      </c>
      <c r="AU329" s="461">
        <f t="shared" si="12"/>
        <v>1000</v>
      </c>
    </row>
    <row r="330" spans="1:47" ht="22.5" x14ac:dyDescent="0.2">
      <c r="A330" s="148"/>
      <c r="B330" s="149">
        <v>315</v>
      </c>
      <c r="C330" s="149" t="s">
        <v>38</v>
      </c>
      <c r="D330" s="450">
        <v>40008732</v>
      </c>
      <c r="E330" s="451" t="s">
        <v>2475</v>
      </c>
      <c r="F330" s="451" t="s">
        <v>1915</v>
      </c>
      <c r="G330" s="452" t="s">
        <v>2100</v>
      </c>
      <c r="H330" s="451" t="s">
        <v>2158</v>
      </c>
      <c r="I330" s="451" t="s">
        <v>1961</v>
      </c>
      <c r="J330" s="451">
        <v>54146</v>
      </c>
      <c r="K330" s="451"/>
      <c r="L330" s="451"/>
      <c r="M330" s="454">
        <v>0</v>
      </c>
      <c r="N330" s="454">
        <v>0</v>
      </c>
      <c r="O330" s="454">
        <v>0</v>
      </c>
      <c r="P330" s="454">
        <v>0</v>
      </c>
      <c r="Q330" s="454">
        <v>0</v>
      </c>
      <c r="R330" s="454">
        <v>0</v>
      </c>
      <c r="S330" s="454"/>
      <c r="T330" s="454"/>
      <c r="U330" s="454"/>
      <c r="V330" s="454"/>
      <c r="W330" s="454"/>
      <c r="X330" s="454"/>
      <c r="Y330" s="454">
        <f t="shared" si="13"/>
        <v>0</v>
      </c>
      <c r="Z330" s="454">
        <v>1000</v>
      </c>
      <c r="AA330" s="451">
        <v>24</v>
      </c>
      <c r="AB330" s="587">
        <v>44358</v>
      </c>
      <c r="AC330" s="587">
        <v>44364</v>
      </c>
      <c r="AD330" s="454"/>
      <c r="AE330" s="451"/>
      <c r="AF330" s="587"/>
      <c r="AG330" s="587"/>
      <c r="AH330" s="454"/>
      <c r="AI330" s="451"/>
      <c r="AJ330" s="587"/>
      <c r="AK330" s="587"/>
      <c r="AL330" s="454"/>
      <c r="AM330" s="451"/>
      <c r="AN330" s="587"/>
      <c r="AO330" s="587"/>
      <c r="AP330" s="454"/>
      <c r="AQ330" s="451"/>
      <c r="AR330" s="588"/>
      <c r="AS330" s="588"/>
      <c r="AT330" s="154">
        <f t="shared" si="14"/>
        <v>1000</v>
      </c>
      <c r="AU330" s="461">
        <f t="shared" si="12"/>
        <v>1000</v>
      </c>
    </row>
    <row r="331" spans="1:47" ht="22.5" x14ac:dyDescent="0.2">
      <c r="A331" s="148"/>
      <c r="B331" s="149">
        <v>316</v>
      </c>
      <c r="C331" s="149" t="s">
        <v>38</v>
      </c>
      <c r="D331" s="450">
        <v>40008752</v>
      </c>
      <c r="E331" s="451" t="s">
        <v>2476</v>
      </c>
      <c r="F331" s="451" t="s">
        <v>1915</v>
      </c>
      <c r="G331" s="452" t="s">
        <v>2100</v>
      </c>
      <c r="H331" s="451" t="s">
        <v>2158</v>
      </c>
      <c r="I331" s="451" t="s">
        <v>1961</v>
      </c>
      <c r="J331" s="451">
        <v>113958</v>
      </c>
      <c r="K331" s="451"/>
      <c r="L331" s="451"/>
      <c r="M331" s="454">
        <v>0</v>
      </c>
      <c r="N331" s="454">
        <v>0</v>
      </c>
      <c r="O331" s="454">
        <v>0</v>
      </c>
      <c r="P331" s="454">
        <v>0</v>
      </c>
      <c r="Q331" s="454">
        <v>0</v>
      </c>
      <c r="R331" s="454">
        <v>0</v>
      </c>
      <c r="S331" s="454"/>
      <c r="T331" s="454"/>
      <c r="U331" s="454"/>
      <c r="V331" s="454"/>
      <c r="W331" s="454"/>
      <c r="X331" s="454"/>
      <c r="Y331" s="454">
        <f t="shared" si="13"/>
        <v>0</v>
      </c>
      <c r="Z331" s="454">
        <v>1000</v>
      </c>
      <c r="AA331" s="451">
        <v>24</v>
      </c>
      <c r="AB331" s="587">
        <v>44358</v>
      </c>
      <c r="AC331" s="587">
        <v>44364</v>
      </c>
      <c r="AD331" s="454"/>
      <c r="AE331" s="451"/>
      <c r="AF331" s="587"/>
      <c r="AG331" s="587"/>
      <c r="AH331" s="454"/>
      <c r="AI331" s="451"/>
      <c r="AJ331" s="587"/>
      <c r="AK331" s="587"/>
      <c r="AL331" s="454"/>
      <c r="AM331" s="451"/>
      <c r="AN331" s="587"/>
      <c r="AO331" s="587"/>
      <c r="AP331" s="454"/>
      <c r="AQ331" s="451"/>
      <c r="AR331" s="588"/>
      <c r="AS331" s="588"/>
      <c r="AT331" s="154">
        <f t="shared" si="14"/>
        <v>1000</v>
      </c>
      <c r="AU331" s="461">
        <f t="shared" si="12"/>
        <v>1000</v>
      </c>
    </row>
    <row r="332" spans="1:47" ht="22.5" x14ac:dyDescent="0.2">
      <c r="A332" s="148"/>
      <c r="B332" s="149">
        <v>317</v>
      </c>
      <c r="C332" s="149" t="s">
        <v>38</v>
      </c>
      <c r="D332" s="450">
        <v>40008753</v>
      </c>
      <c r="E332" s="451" t="s">
        <v>2477</v>
      </c>
      <c r="F332" s="451" t="s">
        <v>1915</v>
      </c>
      <c r="G332" s="452" t="s">
        <v>2100</v>
      </c>
      <c r="H332" s="451" t="s">
        <v>2158</v>
      </c>
      <c r="I332" s="451" t="s">
        <v>1961</v>
      </c>
      <c r="J332" s="451">
        <v>41633</v>
      </c>
      <c r="K332" s="451"/>
      <c r="L332" s="451"/>
      <c r="M332" s="454">
        <v>0</v>
      </c>
      <c r="N332" s="454">
        <v>0</v>
      </c>
      <c r="O332" s="454">
        <v>0</v>
      </c>
      <c r="P332" s="454">
        <v>0</v>
      </c>
      <c r="Q332" s="454">
        <v>0</v>
      </c>
      <c r="R332" s="454">
        <v>0</v>
      </c>
      <c r="S332" s="454"/>
      <c r="T332" s="454"/>
      <c r="U332" s="454"/>
      <c r="V332" s="454"/>
      <c r="W332" s="454"/>
      <c r="X332" s="454"/>
      <c r="Y332" s="454">
        <f t="shared" si="13"/>
        <v>0</v>
      </c>
      <c r="Z332" s="454">
        <v>1000</v>
      </c>
      <c r="AA332" s="451">
        <v>24</v>
      </c>
      <c r="AB332" s="587">
        <v>44358</v>
      </c>
      <c r="AC332" s="587">
        <v>44364</v>
      </c>
      <c r="AD332" s="454"/>
      <c r="AE332" s="451"/>
      <c r="AF332" s="587"/>
      <c r="AG332" s="587"/>
      <c r="AH332" s="454"/>
      <c r="AI332" s="451"/>
      <c r="AJ332" s="587"/>
      <c r="AK332" s="587"/>
      <c r="AL332" s="454"/>
      <c r="AM332" s="451"/>
      <c r="AN332" s="587"/>
      <c r="AO332" s="587"/>
      <c r="AP332" s="454"/>
      <c r="AQ332" s="451"/>
      <c r="AR332" s="588"/>
      <c r="AS332" s="588"/>
      <c r="AT332" s="154">
        <f t="shared" si="14"/>
        <v>1000</v>
      </c>
      <c r="AU332" s="461">
        <f t="shared" si="12"/>
        <v>1000</v>
      </c>
    </row>
    <row r="333" spans="1:47" ht="22.5" x14ac:dyDescent="0.2">
      <c r="A333" s="148"/>
      <c r="B333" s="149">
        <v>318</v>
      </c>
      <c r="C333" s="149" t="s">
        <v>38</v>
      </c>
      <c r="D333" s="450">
        <v>40012495</v>
      </c>
      <c r="E333" s="451" t="s">
        <v>2478</v>
      </c>
      <c r="F333" s="451" t="s">
        <v>1915</v>
      </c>
      <c r="G333" s="452" t="s">
        <v>2100</v>
      </c>
      <c r="H333" s="451" t="s">
        <v>2219</v>
      </c>
      <c r="I333" s="451" t="s">
        <v>1961</v>
      </c>
      <c r="J333" s="451">
        <v>233717</v>
      </c>
      <c r="K333" s="451"/>
      <c r="L333" s="451"/>
      <c r="M333" s="454">
        <v>0</v>
      </c>
      <c r="N333" s="454">
        <v>0</v>
      </c>
      <c r="O333" s="454">
        <v>0</v>
      </c>
      <c r="P333" s="454">
        <v>0</v>
      </c>
      <c r="Q333" s="454">
        <v>0</v>
      </c>
      <c r="R333" s="454">
        <v>0</v>
      </c>
      <c r="S333" s="454"/>
      <c r="T333" s="454"/>
      <c r="U333" s="454"/>
      <c r="V333" s="454"/>
      <c r="W333" s="454"/>
      <c r="X333" s="454"/>
      <c r="Y333" s="454">
        <f t="shared" si="13"/>
        <v>0</v>
      </c>
      <c r="Z333" s="454">
        <v>1000</v>
      </c>
      <c r="AA333" s="451">
        <v>24</v>
      </c>
      <c r="AB333" s="587">
        <v>44358</v>
      </c>
      <c r="AC333" s="587">
        <v>44364</v>
      </c>
      <c r="AD333" s="454"/>
      <c r="AE333" s="451"/>
      <c r="AF333" s="587"/>
      <c r="AG333" s="587"/>
      <c r="AH333" s="454"/>
      <c r="AI333" s="451"/>
      <c r="AJ333" s="587"/>
      <c r="AK333" s="587"/>
      <c r="AL333" s="454"/>
      <c r="AM333" s="451"/>
      <c r="AN333" s="587"/>
      <c r="AO333" s="587"/>
      <c r="AP333" s="454"/>
      <c r="AQ333" s="451"/>
      <c r="AR333" s="588"/>
      <c r="AS333" s="588"/>
      <c r="AT333" s="154">
        <f t="shared" si="14"/>
        <v>1000</v>
      </c>
      <c r="AU333" s="461">
        <f t="shared" si="12"/>
        <v>1000</v>
      </c>
    </row>
    <row r="334" spans="1:47" ht="22.5" x14ac:dyDescent="0.2">
      <c r="A334" s="148"/>
      <c r="B334" s="149">
        <v>319</v>
      </c>
      <c r="C334" s="149" t="s">
        <v>38</v>
      </c>
      <c r="D334" s="450">
        <v>30464951</v>
      </c>
      <c r="E334" s="451" t="s">
        <v>2479</v>
      </c>
      <c r="F334" s="451" t="s">
        <v>1915</v>
      </c>
      <c r="G334" s="452" t="s">
        <v>2100</v>
      </c>
      <c r="H334" s="451" t="s">
        <v>2167</v>
      </c>
      <c r="I334" s="451" t="s">
        <v>1961</v>
      </c>
      <c r="J334" s="451">
        <v>269666</v>
      </c>
      <c r="K334" s="451"/>
      <c r="L334" s="451"/>
      <c r="M334" s="454">
        <v>0</v>
      </c>
      <c r="N334" s="454">
        <v>0</v>
      </c>
      <c r="O334" s="454">
        <v>0</v>
      </c>
      <c r="P334" s="454">
        <v>0</v>
      </c>
      <c r="Q334" s="454">
        <v>0</v>
      </c>
      <c r="R334" s="454">
        <v>0</v>
      </c>
      <c r="S334" s="454"/>
      <c r="T334" s="454"/>
      <c r="U334" s="454"/>
      <c r="V334" s="454"/>
      <c r="W334" s="454"/>
      <c r="X334" s="454"/>
      <c r="Y334" s="454">
        <f t="shared" si="13"/>
        <v>0</v>
      </c>
      <c r="Z334" s="454">
        <v>1000</v>
      </c>
      <c r="AA334" s="451">
        <v>24</v>
      </c>
      <c r="AB334" s="587">
        <v>44358</v>
      </c>
      <c r="AC334" s="587">
        <v>44364</v>
      </c>
      <c r="AD334" s="454"/>
      <c r="AE334" s="451"/>
      <c r="AF334" s="587"/>
      <c r="AG334" s="587"/>
      <c r="AH334" s="454"/>
      <c r="AI334" s="451"/>
      <c r="AJ334" s="587"/>
      <c r="AK334" s="587"/>
      <c r="AL334" s="454"/>
      <c r="AM334" s="451"/>
      <c r="AN334" s="587"/>
      <c r="AO334" s="587"/>
      <c r="AP334" s="454"/>
      <c r="AQ334" s="451"/>
      <c r="AR334" s="588"/>
      <c r="AS334" s="588"/>
      <c r="AT334" s="154">
        <f>+Z334+AD334+AH334+AL334+AP334</f>
        <v>1000</v>
      </c>
      <c r="AU334" s="461">
        <f t="shared" si="12"/>
        <v>1000</v>
      </c>
    </row>
    <row r="335" spans="1:47" x14ac:dyDescent="0.2">
      <c r="A335" s="148"/>
      <c r="B335" s="149"/>
      <c r="C335" s="149"/>
      <c r="D335" s="16"/>
      <c r="E335" s="150"/>
      <c r="F335" s="150"/>
      <c r="G335" s="151"/>
      <c r="H335" s="150"/>
      <c r="I335" s="150"/>
      <c r="J335" s="150"/>
      <c r="K335" s="150"/>
      <c r="L335" s="150"/>
      <c r="M335" s="125"/>
      <c r="N335" s="125"/>
      <c r="O335" s="125"/>
      <c r="P335" s="125"/>
      <c r="Q335" s="125"/>
      <c r="R335" s="125"/>
      <c r="S335" s="125"/>
      <c r="T335" s="125"/>
      <c r="U335" s="125"/>
      <c r="V335" s="125"/>
      <c r="W335" s="125"/>
      <c r="X335" s="125"/>
      <c r="Y335" s="125"/>
      <c r="Z335" s="150"/>
      <c r="AA335" s="150"/>
      <c r="AB335" s="585"/>
      <c r="AC335" s="585"/>
      <c r="AD335" s="150"/>
      <c r="AE335" s="150"/>
      <c r="AF335" s="585"/>
      <c r="AG335" s="585"/>
      <c r="AH335" s="584"/>
      <c r="AI335" s="150"/>
      <c r="AJ335" s="585"/>
      <c r="AK335" s="585"/>
      <c r="AL335" s="150"/>
      <c r="AM335" s="150"/>
      <c r="AN335" s="585"/>
      <c r="AO335" s="604"/>
      <c r="AP335" s="150"/>
      <c r="AQ335" s="150"/>
      <c r="AR335" s="586"/>
      <c r="AS335" s="128"/>
      <c r="AT335" s="154"/>
      <c r="AU335" s="155"/>
    </row>
    <row r="336" spans="1:47" x14ac:dyDescent="0.2">
      <c r="A336" s="148"/>
      <c r="B336" s="414"/>
      <c r="C336" s="605"/>
      <c r="D336" s="578"/>
      <c r="E336" s="606"/>
      <c r="F336" s="606"/>
      <c r="G336" s="607"/>
      <c r="H336" s="608"/>
      <c r="I336" s="609"/>
      <c r="J336" s="609"/>
      <c r="K336" s="125"/>
      <c r="L336" s="125"/>
      <c r="M336" s="125"/>
      <c r="N336" s="125"/>
      <c r="O336" s="125"/>
      <c r="P336" s="125"/>
      <c r="Q336" s="125"/>
      <c r="R336" s="125"/>
      <c r="S336" s="125"/>
      <c r="T336" s="125"/>
      <c r="U336" s="125"/>
      <c r="V336" s="125"/>
      <c r="W336" s="125"/>
      <c r="X336" s="125"/>
      <c r="Y336" s="125"/>
      <c r="Z336" s="152"/>
      <c r="AA336" s="126"/>
      <c r="AB336" s="610"/>
      <c r="AC336" s="604"/>
      <c r="AD336" s="152"/>
      <c r="AE336" s="129"/>
      <c r="AF336" s="610"/>
      <c r="AG336" s="604"/>
      <c r="AH336" s="152"/>
      <c r="AI336" s="126"/>
      <c r="AJ336" s="610"/>
      <c r="AK336" s="604"/>
      <c r="AL336" s="152"/>
      <c r="AM336" s="126"/>
      <c r="AN336" s="610"/>
      <c r="AO336" s="604"/>
      <c r="AP336" s="152"/>
      <c r="AQ336" s="126"/>
      <c r="AR336" s="153"/>
      <c r="AS336" s="128"/>
      <c r="AT336" s="154"/>
      <c r="AU336" s="155"/>
    </row>
    <row r="337" spans="2:47" x14ac:dyDescent="0.2">
      <c r="B337" s="779" t="s">
        <v>39</v>
      </c>
      <c r="C337" s="780"/>
      <c r="D337" s="780"/>
      <c r="E337" s="780"/>
      <c r="F337" s="780"/>
      <c r="G337" s="780"/>
      <c r="H337" s="780"/>
      <c r="I337" s="781"/>
      <c r="J337" s="611"/>
      <c r="K337" s="612">
        <f>SUBTOTAL(9,K16:K41)</f>
        <v>0</v>
      </c>
      <c r="L337" s="612">
        <f>SUBTOTAL(9,L16:L41)</f>
        <v>0</v>
      </c>
      <c r="M337" s="612">
        <f>SUBTOTAL(9,M16:M334)</f>
        <v>9495477.0220000036</v>
      </c>
      <c r="N337" s="612">
        <f t="shared" ref="N337:X337" si="15">SUBTOTAL(9,N16:N334)</f>
        <v>5377282.5880000005</v>
      </c>
      <c r="O337" s="612">
        <f t="shared" si="15"/>
        <v>6429478.2189999996</v>
      </c>
      <c r="P337" s="612">
        <f t="shared" si="15"/>
        <v>8090392.5409999983</v>
      </c>
      <c r="Q337" s="612">
        <f t="shared" si="15"/>
        <v>5165422.1220000004</v>
      </c>
      <c r="R337" s="612">
        <f>SUBTOTAL(9,R16:R334)</f>
        <v>8656984.3089999985</v>
      </c>
      <c r="S337" s="612">
        <f>SUBTOTAL(9,S16:S334)</f>
        <v>0</v>
      </c>
      <c r="T337" s="612">
        <f t="shared" si="15"/>
        <v>0</v>
      </c>
      <c r="U337" s="612">
        <f t="shared" si="15"/>
        <v>0</v>
      </c>
      <c r="V337" s="612">
        <f t="shared" si="15"/>
        <v>0</v>
      </c>
      <c r="W337" s="612">
        <f t="shared" si="15"/>
        <v>0</v>
      </c>
      <c r="X337" s="612">
        <f t="shared" si="15"/>
        <v>0</v>
      </c>
      <c r="Y337" s="612">
        <f>SUBTOTAL(9,Y16:Y334)</f>
        <v>43215036.800999999</v>
      </c>
      <c r="Z337" s="612">
        <f>SUBTOTAL(9,Z16:Z336)</f>
        <v>17581729</v>
      </c>
      <c r="AA337" s="612"/>
      <c r="AB337" s="613"/>
      <c r="AC337" s="613"/>
      <c r="AD337" s="612">
        <f>SUBTOTAL(9,AD16:AD334)</f>
        <v>18044495</v>
      </c>
      <c r="AE337" s="612"/>
      <c r="AF337" s="613"/>
      <c r="AG337" s="613"/>
      <c r="AH337" s="612">
        <f>SUBTOTAL(9,AH16:AH334)</f>
        <v>6731213</v>
      </c>
      <c r="AI337" s="612"/>
      <c r="AJ337" s="613"/>
      <c r="AK337" s="613"/>
      <c r="AL337" s="612">
        <f>SUBTOTAL(9,AL16:AL334)</f>
        <v>3363736</v>
      </c>
      <c r="AM337" s="612"/>
      <c r="AN337" s="613"/>
      <c r="AO337" s="613"/>
      <c r="AP337" s="612">
        <f>SUBTOTAL(9,AP16:AP334)</f>
        <v>670839</v>
      </c>
      <c r="AQ337" s="612"/>
      <c r="AR337" s="612"/>
      <c r="AS337" s="612"/>
      <c r="AT337" s="612">
        <f>SUBTOTAL(9,AT16:AT334)</f>
        <v>46392012</v>
      </c>
      <c r="AU337" s="612">
        <f>SUBTOTAL(9,AU16:AU334)</f>
        <v>3176975.199</v>
      </c>
    </row>
  </sheetData>
  <mergeCells count="14">
    <mergeCell ref="B9:AC10"/>
    <mergeCell ref="B1:AC2"/>
    <mergeCell ref="B3:AC4"/>
    <mergeCell ref="B5:AC5"/>
    <mergeCell ref="B6:AC6"/>
    <mergeCell ref="B7:AC7"/>
    <mergeCell ref="B8:AC8"/>
    <mergeCell ref="B337:I337"/>
    <mergeCell ref="AT14:AU14"/>
    <mergeCell ref="Z14:AC14"/>
    <mergeCell ref="AD14:AG14"/>
    <mergeCell ref="AH14:AK14"/>
    <mergeCell ref="AL14:AO14"/>
    <mergeCell ref="AP14:AS14"/>
  </mergeCells>
  <conditionalFormatting sqref="D16:D37">
    <cfRule type="duplicateValues" dxfId="17" priority="1"/>
  </conditionalFormatting>
  <conditionalFormatting sqref="D16:D37">
    <cfRule type="duplicateValues" dxfId="16" priority="2"/>
  </conditionalFormatting>
  <conditionalFormatting sqref="D38:D42">
    <cfRule type="duplicateValues" dxfId="15" priority="3"/>
  </conditionalFormatting>
  <conditionalFormatting sqref="D336">
    <cfRule type="duplicateValues" dxfId="14" priority="4"/>
  </conditionalFormatting>
  <conditionalFormatting sqref="D43:D335">
    <cfRule type="duplicateValues" dxfId="13" priority="5"/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AU148"/>
  <sheetViews>
    <sheetView topLeftCell="A9" zoomScaleNormal="100" workbookViewId="0">
      <selection activeCell="E131" sqref="E131"/>
    </sheetView>
  </sheetViews>
  <sheetFormatPr baseColWidth="10" defaultRowHeight="11.25" x14ac:dyDescent="0.2"/>
  <cols>
    <col min="1" max="1" width="5" style="134" customWidth="1"/>
    <col min="2" max="2" width="10.7109375" style="145" customWidth="1"/>
    <col min="3" max="3" width="10.85546875" style="134" customWidth="1"/>
    <col min="4" max="4" width="11.42578125" style="145" customWidth="1"/>
    <col min="5" max="5" width="45.85546875" style="134" customWidth="1"/>
    <col min="6" max="6" width="13.140625" style="134" customWidth="1"/>
    <col min="7" max="7" width="11.28515625" style="134" customWidth="1"/>
    <col min="8" max="8" width="18.85546875" style="134" customWidth="1"/>
    <col min="9" max="9" width="9.7109375" style="134" customWidth="1"/>
    <col min="10" max="10" width="11.140625" style="134" customWidth="1"/>
    <col min="11" max="24" width="12" style="134" customWidth="1"/>
    <col min="25" max="25" width="14.140625" style="134" customWidth="1"/>
    <col min="26" max="26" width="15.42578125" style="134" bestFit="1" customWidth="1"/>
    <col min="27" max="27" width="13.5703125" style="141" customWidth="1"/>
    <col min="28" max="28" width="12.5703125" style="134" customWidth="1"/>
    <col min="29" max="29" width="10.85546875" style="134" customWidth="1"/>
    <col min="30" max="30" width="10.140625" style="134" customWidth="1"/>
    <col min="31" max="31" width="10.140625" style="140" customWidth="1"/>
    <col min="32" max="34" width="10.140625" style="134" customWidth="1"/>
    <col min="35" max="35" width="10.140625" style="141" customWidth="1"/>
    <col min="36" max="38" width="10.140625" style="134" customWidth="1"/>
    <col min="39" max="39" width="10.140625" style="141" customWidth="1"/>
    <col min="40" max="42" width="10.140625" style="134" customWidth="1"/>
    <col min="43" max="43" width="10.140625" style="141" customWidth="1"/>
    <col min="44" max="45" width="10.140625" style="134" customWidth="1"/>
    <col min="46" max="16384" width="11.42578125" style="134"/>
  </cols>
  <sheetData>
    <row r="1" spans="2:47" hidden="1" x14ac:dyDescent="0.2">
      <c r="B1" s="743"/>
      <c r="C1" s="743"/>
      <c r="D1" s="744"/>
      <c r="E1" s="744"/>
      <c r="F1" s="744"/>
      <c r="G1" s="744"/>
      <c r="H1" s="744"/>
      <c r="I1" s="744"/>
      <c r="J1" s="744"/>
      <c r="K1" s="744"/>
      <c r="L1" s="744"/>
      <c r="M1" s="744"/>
      <c r="N1" s="744"/>
      <c r="O1" s="744"/>
      <c r="P1" s="744"/>
      <c r="Q1" s="744"/>
      <c r="R1" s="744"/>
      <c r="S1" s="744"/>
      <c r="T1" s="744"/>
      <c r="U1" s="744"/>
      <c r="V1" s="744"/>
      <c r="W1" s="744"/>
      <c r="X1" s="744"/>
      <c r="Y1" s="744"/>
      <c r="Z1" s="744"/>
      <c r="AA1" s="744"/>
      <c r="AB1" s="744"/>
      <c r="AC1" s="744"/>
      <c r="AD1" s="132"/>
      <c r="AE1" s="131"/>
      <c r="AF1" s="132"/>
      <c r="AG1" s="132"/>
      <c r="AH1" s="132"/>
      <c r="AI1" s="133"/>
      <c r="AJ1" s="132"/>
      <c r="AK1" s="132"/>
      <c r="AL1" s="132"/>
      <c r="AM1" s="133"/>
      <c r="AN1" s="132"/>
      <c r="AO1" s="132"/>
      <c r="AP1" s="132"/>
      <c r="AQ1" s="133"/>
      <c r="AR1" s="132"/>
      <c r="AS1" s="132"/>
    </row>
    <row r="2" spans="2:47" hidden="1" x14ac:dyDescent="0.2">
      <c r="B2" s="744"/>
      <c r="C2" s="744"/>
      <c r="D2" s="744"/>
      <c r="E2" s="744"/>
      <c r="F2" s="744"/>
      <c r="G2" s="744"/>
      <c r="H2" s="744"/>
      <c r="I2" s="744"/>
      <c r="J2" s="744"/>
      <c r="K2" s="744"/>
      <c r="L2" s="744"/>
      <c r="M2" s="744"/>
      <c r="N2" s="744"/>
      <c r="O2" s="744"/>
      <c r="P2" s="744"/>
      <c r="Q2" s="744"/>
      <c r="R2" s="744"/>
      <c r="S2" s="744"/>
      <c r="T2" s="744"/>
      <c r="U2" s="744"/>
      <c r="V2" s="744"/>
      <c r="W2" s="744"/>
      <c r="X2" s="744"/>
      <c r="Y2" s="744"/>
      <c r="Z2" s="744"/>
      <c r="AA2" s="744"/>
      <c r="AB2" s="744"/>
      <c r="AC2" s="744"/>
      <c r="AD2" s="132"/>
      <c r="AE2" s="131"/>
      <c r="AF2" s="132"/>
      <c r="AG2" s="132"/>
      <c r="AH2" s="132"/>
      <c r="AI2" s="133"/>
      <c r="AJ2" s="132"/>
      <c r="AK2" s="132"/>
      <c r="AL2" s="132"/>
      <c r="AM2" s="133"/>
      <c r="AN2" s="132"/>
      <c r="AO2" s="132"/>
      <c r="AP2" s="132"/>
      <c r="AQ2" s="133"/>
      <c r="AR2" s="132"/>
      <c r="AS2" s="132"/>
    </row>
    <row r="3" spans="2:47" ht="12.75" hidden="1" customHeight="1" x14ac:dyDescent="0.2">
      <c r="B3" s="742"/>
      <c r="C3" s="742"/>
      <c r="D3" s="742"/>
      <c r="E3" s="742"/>
      <c r="F3" s="742"/>
      <c r="G3" s="742"/>
      <c r="H3" s="742"/>
      <c r="I3" s="742"/>
      <c r="J3" s="742"/>
      <c r="K3" s="742"/>
      <c r="L3" s="742"/>
      <c r="M3" s="742"/>
      <c r="N3" s="742"/>
      <c r="O3" s="742"/>
      <c r="P3" s="742"/>
      <c r="Q3" s="742"/>
      <c r="R3" s="742"/>
      <c r="S3" s="742"/>
      <c r="T3" s="742"/>
      <c r="U3" s="742"/>
      <c r="V3" s="742"/>
      <c r="W3" s="742"/>
      <c r="X3" s="742"/>
      <c r="Y3" s="742"/>
      <c r="Z3" s="742"/>
      <c r="AA3" s="742"/>
      <c r="AB3" s="742"/>
      <c r="AC3" s="742"/>
      <c r="AD3" s="137"/>
      <c r="AE3" s="136"/>
      <c r="AF3" s="137"/>
      <c r="AG3" s="137"/>
      <c r="AH3" s="137"/>
      <c r="AI3" s="138"/>
      <c r="AJ3" s="137"/>
      <c r="AK3" s="137"/>
      <c r="AL3" s="137"/>
      <c r="AM3" s="138"/>
      <c r="AN3" s="137"/>
      <c r="AO3" s="137"/>
      <c r="AP3" s="137"/>
      <c r="AQ3" s="138"/>
      <c r="AR3" s="137"/>
      <c r="AS3" s="137"/>
    </row>
    <row r="4" spans="2:47" ht="21.75" hidden="1" customHeight="1" x14ac:dyDescent="0.2">
      <c r="B4" s="742"/>
      <c r="C4" s="742"/>
      <c r="D4" s="742"/>
      <c r="E4" s="742"/>
      <c r="F4" s="742"/>
      <c r="G4" s="742"/>
      <c r="H4" s="742"/>
      <c r="I4" s="742"/>
      <c r="J4" s="742"/>
      <c r="K4" s="742"/>
      <c r="L4" s="742"/>
      <c r="M4" s="742"/>
      <c r="N4" s="742"/>
      <c r="O4" s="742"/>
      <c r="P4" s="742"/>
      <c r="Q4" s="742"/>
      <c r="R4" s="742"/>
      <c r="S4" s="742"/>
      <c r="T4" s="742"/>
      <c r="U4" s="742"/>
      <c r="V4" s="742"/>
      <c r="W4" s="742"/>
      <c r="X4" s="742"/>
      <c r="Y4" s="742"/>
      <c r="Z4" s="742"/>
      <c r="AA4" s="742"/>
      <c r="AB4" s="742"/>
      <c r="AC4" s="742"/>
      <c r="AD4" s="137"/>
      <c r="AE4" s="136"/>
      <c r="AF4" s="137"/>
      <c r="AG4" s="137"/>
      <c r="AH4" s="137"/>
      <c r="AI4" s="138"/>
      <c r="AJ4" s="137"/>
      <c r="AK4" s="137"/>
      <c r="AL4" s="137"/>
      <c r="AM4" s="138"/>
      <c r="AN4" s="137"/>
      <c r="AO4" s="137"/>
      <c r="AP4" s="137"/>
      <c r="AQ4" s="138"/>
      <c r="AR4" s="137"/>
      <c r="AS4" s="137"/>
    </row>
    <row r="5" spans="2:47" ht="11.25" hidden="1" customHeight="1" x14ac:dyDescent="0.2">
      <c r="B5" s="742"/>
      <c r="C5" s="742"/>
      <c r="D5" s="742"/>
      <c r="E5" s="742"/>
      <c r="F5" s="742"/>
      <c r="G5" s="742"/>
      <c r="H5" s="742"/>
      <c r="I5" s="742"/>
      <c r="J5" s="742"/>
      <c r="K5" s="742"/>
      <c r="L5" s="742"/>
      <c r="M5" s="742"/>
      <c r="N5" s="742"/>
      <c r="O5" s="742"/>
      <c r="P5" s="742"/>
      <c r="Q5" s="742"/>
      <c r="R5" s="742"/>
      <c r="S5" s="742"/>
      <c r="T5" s="742"/>
      <c r="U5" s="742"/>
      <c r="V5" s="742"/>
      <c r="W5" s="742"/>
      <c r="X5" s="742"/>
      <c r="Y5" s="742"/>
      <c r="Z5" s="742"/>
      <c r="AA5" s="742"/>
      <c r="AB5" s="742"/>
      <c r="AC5" s="742"/>
      <c r="AD5" s="137"/>
      <c r="AE5" s="136"/>
      <c r="AF5" s="137"/>
      <c r="AG5" s="137"/>
      <c r="AH5" s="137"/>
      <c r="AI5" s="138"/>
      <c r="AJ5" s="137"/>
      <c r="AK5" s="137"/>
      <c r="AL5" s="137"/>
      <c r="AM5" s="138"/>
      <c r="AN5" s="137"/>
      <c r="AO5" s="137"/>
      <c r="AP5" s="137"/>
      <c r="AQ5" s="138"/>
      <c r="AR5" s="137"/>
      <c r="AS5" s="137"/>
    </row>
    <row r="6" spans="2:47" ht="15" hidden="1" customHeight="1" x14ac:dyDescent="0.2">
      <c r="B6" s="742"/>
      <c r="C6" s="742"/>
      <c r="D6" s="742"/>
      <c r="E6" s="742"/>
      <c r="F6" s="742"/>
      <c r="G6" s="742"/>
      <c r="H6" s="742"/>
      <c r="I6" s="742"/>
      <c r="J6" s="742"/>
      <c r="K6" s="742"/>
      <c r="L6" s="742"/>
      <c r="M6" s="742"/>
      <c r="N6" s="742"/>
      <c r="O6" s="742"/>
      <c r="P6" s="742"/>
      <c r="Q6" s="742"/>
      <c r="R6" s="742"/>
      <c r="S6" s="742"/>
      <c r="T6" s="742"/>
      <c r="U6" s="742"/>
      <c r="V6" s="742"/>
      <c r="W6" s="742"/>
      <c r="X6" s="742"/>
      <c r="Y6" s="742"/>
      <c r="Z6" s="742"/>
      <c r="AA6" s="742"/>
      <c r="AB6" s="742"/>
      <c r="AC6" s="742"/>
      <c r="AD6" s="137"/>
      <c r="AE6" s="136"/>
      <c r="AF6" s="137"/>
      <c r="AG6" s="137"/>
      <c r="AH6" s="137"/>
      <c r="AI6" s="138"/>
      <c r="AJ6" s="137"/>
      <c r="AK6" s="137"/>
      <c r="AL6" s="137"/>
      <c r="AM6" s="138"/>
      <c r="AN6" s="137"/>
      <c r="AO6" s="137"/>
      <c r="AP6" s="137"/>
      <c r="AQ6" s="138"/>
      <c r="AR6" s="137"/>
      <c r="AS6" s="137"/>
    </row>
    <row r="7" spans="2:47" ht="21" hidden="1" customHeight="1" x14ac:dyDescent="0.2">
      <c r="B7" s="742"/>
      <c r="C7" s="742"/>
      <c r="D7" s="742"/>
      <c r="E7" s="742"/>
      <c r="F7" s="742"/>
      <c r="G7" s="742"/>
      <c r="H7" s="742"/>
      <c r="I7" s="742"/>
      <c r="J7" s="742"/>
      <c r="K7" s="742"/>
      <c r="L7" s="742"/>
      <c r="M7" s="742"/>
      <c r="N7" s="742"/>
      <c r="O7" s="742"/>
      <c r="P7" s="742"/>
      <c r="Q7" s="742"/>
      <c r="R7" s="742"/>
      <c r="S7" s="742"/>
      <c r="T7" s="742"/>
      <c r="U7" s="742"/>
      <c r="V7" s="742"/>
      <c r="W7" s="742"/>
      <c r="X7" s="742"/>
      <c r="Y7" s="742"/>
      <c r="Z7" s="742"/>
      <c r="AA7" s="742"/>
      <c r="AB7" s="742"/>
      <c r="AC7" s="742"/>
      <c r="AD7" s="137"/>
      <c r="AE7" s="136"/>
      <c r="AF7" s="137"/>
      <c r="AG7" s="137"/>
      <c r="AH7" s="137"/>
      <c r="AI7" s="138"/>
      <c r="AJ7" s="137"/>
      <c r="AK7" s="137"/>
      <c r="AL7" s="137"/>
      <c r="AM7" s="138"/>
      <c r="AN7" s="137"/>
      <c r="AO7" s="137"/>
      <c r="AP7" s="137"/>
      <c r="AQ7" s="138"/>
      <c r="AR7" s="137"/>
      <c r="AS7" s="137"/>
    </row>
    <row r="8" spans="2:47" ht="16.5" hidden="1" customHeight="1" x14ac:dyDescent="0.2">
      <c r="B8" s="742"/>
      <c r="C8" s="742"/>
      <c r="D8" s="742"/>
      <c r="E8" s="742"/>
      <c r="F8" s="742"/>
      <c r="G8" s="742"/>
      <c r="H8" s="742"/>
      <c r="I8" s="742"/>
      <c r="J8" s="742"/>
      <c r="K8" s="742"/>
      <c r="L8" s="742"/>
      <c r="M8" s="742"/>
      <c r="N8" s="742"/>
      <c r="O8" s="742"/>
      <c r="P8" s="742"/>
      <c r="Q8" s="742"/>
      <c r="R8" s="742"/>
      <c r="S8" s="742"/>
      <c r="T8" s="742"/>
      <c r="U8" s="742"/>
      <c r="V8" s="742"/>
      <c r="W8" s="742"/>
      <c r="X8" s="742"/>
      <c r="Y8" s="742"/>
      <c r="Z8" s="742"/>
      <c r="AA8" s="742"/>
      <c r="AB8" s="742"/>
      <c r="AC8" s="742"/>
      <c r="AD8" s="137"/>
      <c r="AE8" s="136"/>
      <c r="AF8" s="137"/>
      <c r="AG8" s="137"/>
      <c r="AH8" s="137"/>
      <c r="AI8" s="138"/>
      <c r="AJ8" s="137"/>
      <c r="AK8" s="137"/>
      <c r="AL8" s="137"/>
      <c r="AM8" s="138"/>
      <c r="AN8" s="137"/>
      <c r="AO8" s="137"/>
      <c r="AP8" s="137"/>
      <c r="AQ8" s="138"/>
      <c r="AR8" s="137"/>
      <c r="AS8" s="137"/>
    </row>
    <row r="9" spans="2:47" ht="18.75" customHeight="1" x14ac:dyDescent="0.2">
      <c r="B9" s="751" t="s">
        <v>0</v>
      </c>
      <c r="C9" s="751"/>
      <c r="D9" s="751"/>
      <c r="E9" s="751"/>
      <c r="F9" s="751"/>
      <c r="G9" s="751"/>
      <c r="H9" s="751"/>
      <c r="I9" s="751"/>
      <c r="J9" s="751"/>
      <c r="K9" s="751"/>
      <c r="L9" s="751"/>
      <c r="M9" s="751"/>
      <c r="N9" s="751"/>
      <c r="O9" s="751"/>
      <c r="P9" s="751"/>
      <c r="Q9" s="751"/>
      <c r="R9" s="751"/>
      <c r="S9" s="751"/>
      <c r="T9" s="751"/>
      <c r="U9" s="751"/>
      <c r="V9" s="751"/>
      <c r="W9" s="751"/>
      <c r="X9" s="751"/>
      <c r="Y9" s="751"/>
      <c r="Z9" s="751"/>
      <c r="AA9" s="751"/>
      <c r="AB9" s="751"/>
      <c r="AC9" s="751"/>
      <c r="AD9" s="137"/>
      <c r="AE9" s="136"/>
      <c r="AF9" s="137"/>
      <c r="AG9" s="137"/>
      <c r="AH9" s="137"/>
      <c r="AI9" s="138"/>
      <c r="AJ9" s="137"/>
      <c r="AK9" s="137"/>
      <c r="AL9" s="137"/>
      <c r="AM9" s="138"/>
      <c r="AN9" s="137"/>
      <c r="AO9" s="137"/>
      <c r="AP9" s="137"/>
      <c r="AQ9" s="138"/>
      <c r="AR9" s="137"/>
      <c r="AS9" s="137"/>
    </row>
    <row r="10" spans="2:47" x14ac:dyDescent="0.2">
      <c r="B10" s="751"/>
      <c r="C10" s="751"/>
      <c r="D10" s="751"/>
      <c r="E10" s="751"/>
      <c r="F10" s="751"/>
      <c r="G10" s="751"/>
      <c r="H10" s="751"/>
      <c r="I10" s="751"/>
      <c r="J10" s="751"/>
      <c r="K10" s="751"/>
      <c r="L10" s="751"/>
      <c r="M10" s="751"/>
      <c r="N10" s="751"/>
      <c r="O10" s="751"/>
      <c r="P10" s="751"/>
      <c r="Q10" s="751"/>
      <c r="R10" s="751"/>
      <c r="S10" s="751"/>
      <c r="T10" s="751"/>
      <c r="U10" s="751"/>
      <c r="V10" s="751"/>
      <c r="W10" s="751"/>
      <c r="X10" s="751"/>
      <c r="Y10" s="751"/>
      <c r="Z10" s="751"/>
      <c r="AA10" s="751"/>
      <c r="AB10" s="751"/>
      <c r="AC10" s="751"/>
    </row>
    <row r="11" spans="2:47" ht="18.75" x14ac:dyDescent="0.2">
      <c r="B11" s="142"/>
      <c r="C11" s="142"/>
      <c r="D11" s="142"/>
      <c r="E11" s="142"/>
      <c r="F11" s="142"/>
      <c r="G11" s="142"/>
      <c r="H11" s="142"/>
      <c r="I11" s="142"/>
      <c r="J11" s="142"/>
      <c r="K11" s="142"/>
      <c r="L11" s="142"/>
      <c r="M11" s="142"/>
      <c r="N11" s="142"/>
      <c r="O11" s="142"/>
      <c r="P11" s="142"/>
      <c r="Q11" s="142"/>
      <c r="R11" s="142"/>
      <c r="S11" s="142"/>
      <c r="T11" s="142"/>
      <c r="U11" s="142"/>
      <c r="V11" s="142"/>
      <c r="W11" s="142"/>
      <c r="X11" s="142"/>
      <c r="Y11" s="142"/>
      <c r="Z11" s="142"/>
      <c r="AA11" s="142"/>
      <c r="AB11" s="142"/>
      <c r="AC11" s="142"/>
    </row>
    <row r="12" spans="2:47" ht="35.25" customHeight="1" x14ac:dyDescent="0.2">
      <c r="B12" s="8" t="s">
        <v>1</v>
      </c>
      <c r="C12" s="8" t="s">
        <v>2</v>
      </c>
      <c r="D12" s="9" t="s">
        <v>3</v>
      </c>
      <c r="E12" s="10" t="s">
        <v>4</v>
      </c>
      <c r="F12" s="119"/>
      <c r="G12" s="142"/>
      <c r="H12" s="142"/>
      <c r="I12" s="142"/>
      <c r="J12" s="142"/>
      <c r="K12" s="142"/>
      <c r="L12" s="142"/>
      <c r="M12" s="142"/>
      <c r="N12" s="142"/>
      <c r="O12" s="142"/>
      <c r="P12" s="142"/>
      <c r="Q12" s="142"/>
      <c r="R12" s="142"/>
      <c r="S12" s="142"/>
      <c r="T12" s="142"/>
      <c r="U12" s="142"/>
      <c r="V12" s="142"/>
      <c r="W12" s="142"/>
      <c r="X12" s="142"/>
      <c r="Y12" s="142"/>
      <c r="Z12" s="142"/>
      <c r="AA12" s="142"/>
      <c r="AB12" s="142"/>
      <c r="AC12" s="142"/>
    </row>
    <row r="13" spans="2:47" ht="25.5" customHeight="1" x14ac:dyDescent="0.2">
      <c r="B13" s="143">
        <v>31320762</v>
      </c>
      <c r="C13" s="143">
        <v>30616255</v>
      </c>
      <c r="D13" s="143">
        <v>29245505</v>
      </c>
      <c r="E13" s="143">
        <f>+Y148</f>
        <v>12208685</v>
      </c>
      <c r="F13" s="144"/>
      <c r="G13" s="142"/>
      <c r="H13" s="142"/>
      <c r="I13" s="142"/>
      <c r="J13" s="142"/>
      <c r="K13" s="142"/>
      <c r="L13" s="142"/>
      <c r="M13" s="142"/>
      <c r="N13" s="142"/>
      <c r="O13" s="142"/>
      <c r="P13" s="142"/>
      <c r="Q13" s="142"/>
      <c r="R13" s="142"/>
      <c r="S13" s="142"/>
      <c r="T13" s="142"/>
      <c r="U13" s="142"/>
      <c r="V13" s="142"/>
      <c r="W13" s="142"/>
      <c r="X13" s="142"/>
      <c r="Y13" s="142"/>
      <c r="Z13" s="142"/>
      <c r="AA13" s="142"/>
      <c r="AB13" s="142"/>
      <c r="AC13" s="142"/>
    </row>
    <row r="14" spans="2:47" ht="15" customHeight="1" x14ac:dyDescent="0.2">
      <c r="C14" s="146"/>
      <c r="D14" s="147"/>
      <c r="E14" s="146"/>
      <c r="F14" s="146"/>
      <c r="Z14" s="736" t="s">
        <v>5</v>
      </c>
      <c r="AA14" s="737"/>
      <c r="AB14" s="737"/>
      <c r="AC14" s="738"/>
      <c r="AD14" s="739" t="s">
        <v>6</v>
      </c>
      <c r="AE14" s="740"/>
      <c r="AF14" s="740"/>
      <c r="AG14" s="741"/>
      <c r="AH14" s="739" t="s">
        <v>6</v>
      </c>
      <c r="AI14" s="740"/>
      <c r="AJ14" s="740"/>
      <c r="AK14" s="741"/>
      <c r="AL14" s="739" t="s">
        <v>6</v>
      </c>
      <c r="AM14" s="740"/>
      <c r="AN14" s="740"/>
      <c r="AO14" s="741"/>
      <c r="AP14" s="739" t="s">
        <v>6</v>
      </c>
      <c r="AQ14" s="740"/>
      <c r="AR14" s="740"/>
      <c r="AS14" s="741"/>
      <c r="AT14" s="723" t="s">
        <v>7</v>
      </c>
      <c r="AU14" s="723"/>
    </row>
    <row r="15" spans="2:47" s="148" customFormat="1" ht="59.25" customHeight="1" x14ac:dyDescent="0.25">
      <c r="B15" s="81" t="s">
        <v>8</v>
      </c>
      <c r="C15" s="81" t="s">
        <v>9</v>
      </c>
      <c r="D15" s="81" t="s">
        <v>10</v>
      </c>
      <c r="E15" s="83" t="s">
        <v>11</v>
      </c>
      <c r="F15" s="83" t="s">
        <v>12</v>
      </c>
      <c r="G15" s="83" t="s">
        <v>13</v>
      </c>
      <c r="H15" s="83" t="s">
        <v>14</v>
      </c>
      <c r="I15" s="83" t="s">
        <v>122</v>
      </c>
      <c r="J15" s="83" t="s">
        <v>15</v>
      </c>
      <c r="K15" s="83" t="s">
        <v>16</v>
      </c>
      <c r="L15" s="83" t="s">
        <v>17</v>
      </c>
      <c r="M15" s="121" t="s">
        <v>18</v>
      </c>
      <c r="N15" s="121" t="s">
        <v>19</v>
      </c>
      <c r="O15" s="121" t="s">
        <v>20</v>
      </c>
      <c r="P15" s="121" t="s">
        <v>21</v>
      </c>
      <c r="Q15" s="121" t="s">
        <v>22</v>
      </c>
      <c r="R15" s="166" t="s">
        <v>23</v>
      </c>
      <c r="S15" s="166" t="s">
        <v>24</v>
      </c>
      <c r="T15" s="166" t="s">
        <v>25</v>
      </c>
      <c r="U15" s="166" t="s">
        <v>26</v>
      </c>
      <c r="V15" s="166" t="s">
        <v>27</v>
      </c>
      <c r="W15" s="166" t="s">
        <v>28</v>
      </c>
      <c r="X15" s="166" t="s">
        <v>29</v>
      </c>
      <c r="Y15" s="123" t="s">
        <v>30</v>
      </c>
      <c r="Z15" s="85" t="s">
        <v>31</v>
      </c>
      <c r="AA15" s="86" t="s">
        <v>32</v>
      </c>
      <c r="AB15" s="85" t="s">
        <v>33</v>
      </c>
      <c r="AC15" s="85" t="s">
        <v>34</v>
      </c>
      <c r="AD15" s="87" t="s">
        <v>35</v>
      </c>
      <c r="AE15" s="88" t="s">
        <v>32</v>
      </c>
      <c r="AF15" s="87" t="s">
        <v>33</v>
      </c>
      <c r="AG15" s="87" t="s">
        <v>34</v>
      </c>
      <c r="AH15" s="87" t="s">
        <v>35</v>
      </c>
      <c r="AI15" s="88" t="s">
        <v>32</v>
      </c>
      <c r="AJ15" s="87" t="s">
        <v>33</v>
      </c>
      <c r="AK15" s="87" t="s">
        <v>34</v>
      </c>
      <c r="AL15" s="87" t="s">
        <v>35</v>
      </c>
      <c r="AM15" s="88" t="s">
        <v>32</v>
      </c>
      <c r="AN15" s="87" t="s">
        <v>33</v>
      </c>
      <c r="AO15" s="87" t="s">
        <v>34</v>
      </c>
      <c r="AP15" s="87" t="s">
        <v>35</v>
      </c>
      <c r="AQ15" s="88" t="s">
        <v>32</v>
      </c>
      <c r="AR15" s="87" t="s">
        <v>33</v>
      </c>
      <c r="AS15" s="87" t="s">
        <v>34</v>
      </c>
      <c r="AT15" s="89" t="s">
        <v>36</v>
      </c>
      <c r="AU15" s="89" t="s">
        <v>37</v>
      </c>
    </row>
    <row r="16" spans="2:47" s="148" customFormat="1" ht="22.5" x14ac:dyDescent="0.2">
      <c r="B16" s="149">
        <v>1</v>
      </c>
      <c r="C16" s="149" t="s">
        <v>40</v>
      </c>
      <c r="D16" s="595">
        <v>30356277</v>
      </c>
      <c r="E16" s="596" t="s">
        <v>2480</v>
      </c>
      <c r="F16" s="451" t="s">
        <v>200</v>
      </c>
      <c r="G16" s="452" t="s">
        <v>2481</v>
      </c>
      <c r="H16" s="452" t="s">
        <v>226</v>
      </c>
      <c r="I16" s="453" t="s">
        <v>42</v>
      </c>
      <c r="J16" s="454">
        <v>362452</v>
      </c>
      <c r="K16" s="454">
        <v>85658</v>
      </c>
      <c r="L16" s="454">
        <v>88407</v>
      </c>
      <c r="M16" s="454">
        <v>0</v>
      </c>
      <c r="N16" s="454">
        <v>0</v>
      </c>
      <c r="O16" s="454">
        <v>0</v>
      </c>
      <c r="P16" s="454">
        <v>0</v>
      </c>
      <c r="Q16" s="454">
        <v>0</v>
      </c>
      <c r="R16" s="454">
        <v>0</v>
      </c>
      <c r="S16" s="454"/>
      <c r="T16" s="454"/>
      <c r="U16" s="454"/>
      <c r="V16" s="454"/>
      <c r="W16" s="454"/>
      <c r="X16" s="454"/>
      <c r="Y16" s="454">
        <f>SUM(M16:X16)</f>
        <v>0</v>
      </c>
      <c r="Z16" s="455">
        <v>100000</v>
      </c>
      <c r="AA16" s="456">
        <v>1</v>
      </c>
      <c r="AB16" s="457">
        <v>44204</v>
      </c>
      <c r="AC16" s="458">
        <v>44223</v>
      </c>
      <c r="AD16" s="455">
        <v>45000</v>
      </c>
      <c r="AE16" s="459">
        <v>61</v>
      </c>
      <c r="AF16" s="457">
        <v>44351</v>
      </c>
      <c r="AG16" s="458">
        <v>44372</v>
      </c>
      <c r="AH16" s="455"/>
      <c r="AI16" s="456"/>
      <c r="AJ16" s="460"/>
      <c r="AK16" s="458"/>
      <c r="AL16" s="455"/>
      <c r="AM16" s="456"/>
      <c r="AN16" s="460"/>
      <c r="AO16" s="458"/>
      <c r="AP16" s="455"/>
      <c r="AQ16" s="456"/>
      <c r="AR16" s="460"/>
      <c r="AS16" s="458"/>
      <c r="AT16" s="154">
        <f t="shared" ref="AT16:AT147" si="0">+Z16+AD16+AH16+AL16+AP16</f>
        <v>145000</v>
      </c>
      <c r="AU16" s="461">
        <f>+AT16-Y16</f>
        <v>145000</v>
      </c>
    </row>
    <row r="17" spans="2:47" s="148" customFormat="1" ht="22.5" x14ac:dyDescent="0.2">
      <c r="B17" s="149">
        <v>2</v>
      </c>
      <c r="C17" s="149" t="s">
        <v>40</v>
      </c>
      <c r="D17" s="595">
        <v>30484461</v>
      </c>
      <c r="E17" s="596" t="s">
        <v>2482</v>
      </c>
      <c r="F17" s="451" t="s">
        <v>200</v>
      </c>
      <c r="G17" s="452" t="s">
        <v>2481</v>
      </c>
      <c r="H17" s="452" t="s">
        <v>226</v>
      </c>
      <c r="I17" s="453" t="s">
        <v>42</v>
      </c>
      <c r="J17" s="454">
        <v>445122</v>
      </c>
      <c r="K17" s="454">
        <v>1539</v>
      </c>
      <c r="L17" s="454">
        <v>0</v>
      </c>
      <c r="M17" s="454">
        <v>0</v>
      </c>
      <c r="N17" s="454">
        <v>8583</v>
      </c>
      <c r="O17" s="454">
        <v>0</v>
      </c>
      <c r="P17" s="454">
        <v>0</v>
      </c>
      <c r="Q17" s="454">
        <v>0</v>
      </c>
      <c r="R17" s="454">
        <v>0</v>
      </c>
      <c r="S17" s="454"/>
      <c r="T17" s="454"/>
      <c r="U17" s="454"/>
      <c r="V17" s="454"/>
      <c r="W17" s="454"/>
      <c r="X17" s="454"/>
      <c r="Y17" s="454">
        <f t="shared" ref="Y17:Y146" si="1">SUM(M17:X17)</f>
        <v>8583</v>
      </c>
      <c r="Z17" s="455">
        <v>80000</v>
      </c>
      <c r="AA17" s="456">
        <v>1</v>
      </c>
      <c r="AB17" s="457">
        <v>44204</v>
      </c>
      <c r="AC17" s="458">
        <v>44223</v>
      </c>
      <c r="AD17" s="455"/>
      <c r="AE17" s="459"/>
      <c r="AF17" s="460"/>
      <c r="AG17" s="458"/>
      <c r="AH17" s="455"/>
      <c r="AI17" s="456"/>
      <c r="AJ17" s="460"/>
      <c r="AK17" s="458"/>
      <c r="AL17" s="455"/>
      <c r="AM17" s="456"/>
      <c r="AN17" s="460"/>
      <c r="AO17" s="458"/>
      <c r="AP17" s="455"/>
      <c r="AQ17" s="456"/>
      <c r="AR17" s="460"/>
      <c r="AS17" s="458"/>
      <c r="AT17" s="154">
        <f t="shared" si="0"/>
        <v>80000</v>
      </c>
      <c r="AU17" s="461">
        <f t="shared" ref="AU17:AU80" si="2">+AT17-Y17</f>
        <v>71417</v>
      </c>
    </row>
    <row r="18" spans="2:47" s="148" customFormat="1" ht="22.5" x14ac:dyDescent="0.2">
      <c r="B18" s="149">
        <v>3</v>
      </c>
      <c r="C18" s="149" t="s">
        <v>38</v>
      </c>
      <c r="D18" s="597">
        <v>30120610</v>
      </c>
      <c r="E18" s="596" t="s">
        <v>2483</v>
      </c>
      <c r="F18" s="451" t="s">
        <v>200</v>
      </c>
      <c r="G18" s="452" t="s">
        <v>2481</v>
      </c>
      <c r="H18" s="452" t="s">
        <v>2484</v>
      </c>
      <c r="I18" s="453" t="s">
        <v>42</v>
      </c>
      <c r="J18" s="454">
        <v>100011</v>
      </c>
      <c r="K18" s="454">
        <v>0</v>
      </c>
      <c r="L18" s="454">
        <v>10</v>
      </c>
      <c r="M18" s="454">
        <v>0</v>
      </c>
      <c r="N18" s="454">
        <v>0</v>
      </c>
      <c r="O18" s="454">
        <v>0</v>
      </c>
      <c r="P18" s="454">
        <v>0</v>
      </c>
      <c r="Q18" s="454">
        <v>0</v>
      </c>
      <c r="R18" s="454">
        <v>0</v>
      </c>
      <c r="S18" s="454"/>
      <c r="T18" s="454"/>
      <c r="U18" s="454"/>
      <c r="V18" s="454"/>
      <c r="W18" s="454"/>
      <c r="X18" s="454"/>
      <c r="Y18" s="454">
        <f t="shared" si="1"/>
        <v>0</v>
      </c>
      <c r="Z18" s="455">
        <v>350000</v>
      </c>
      <c r="AA18" s="456">
        <v>1</v>
      </c>
      <c r="AB18" s="457">
        <v>44204</v>
      </c>
      <c r="AC18" s="458">
        <v>44223</v>
      </c>
      <c r="AD18" s="468">
        <v>-349998</v>
      </c>
      <c r="AE18" s="459">
        <v>47</v>
      </c>
      <c r="AF18" s="457">
        <v>44319</v>
      </c>
      <c r="AG18" s="458">
        <v>44340</v>
      </c>
      <c r="AH18" s="468"/>
      <c r="AI18" s="456"/>
      <c r="AJ18" s="457"/>
      <c r="AK18" s="458"/>
      <c r="AL18" s="468"/>
      <c r="AM18" s="456"/>
      <c r="AN18" s="457"/>
      <c r="AO18" s="458"/>
      <c r="AP18" s="468"/>
      <c r="AQ18" s="456"/>
      <c r="AR18" s="457"/>
      <c r="AS18" s="458"/>
      <c r="AT18" s="154">
        <f t="shared" si="0"/>
        <v>2</v>
      </c>
      <c r="AU18" s="461">
        <f t="shared" si="2"/>
        <v>2</v>
      </c>
    </row>
    <row r="19" spans="2:47" s="148" customFormat="1" x14ac:dyDescent="0.2">
      <c r="B19" s="149">
        <v>4</v>
      </c>
      <c r="C19" s="149" t="s">
        <v>38</v>
      </c>
      <c r="D19" s="595">
        <v>30095452</v>
      </c>
      <c r="E19" s="596" t="s">
        <v>2485</v>
      </c>
      <c r="F19" s="451" t="s">
        <v>200</v>
      </c>
      <c r="G19" s="452" t="s">
        <v>2481</v>
      </c>
      <c r="H19" s="452" t="s">
        <v>2486</v>
      </c>
      <c r="I19" s="453" t="s">
        <v>42</v>
      </c>
      <c r="J19" s="454">
        <v>1854787</v>
      </c>
      <c r="K19" s="454">
        <v>1264</v>
      </c>
      <c r="L19" s="454">
        <v>1017720</v>
      </c>
      <c r="M19" s="454">
        <v>0</v>
      </c>
      <c r="N19" s="454">
        <v>0</v>
      </c>
      <c r="O19" s="454">
        <v>0</v>
      </c>
      <c r="P19" s="454">
        <v>0</v>
      </c>
      <c r="Q19" s="454">
        <v>0</v>
      </c>
      <c r="R19" s="454">
        <v>0</v>
      </c>
      <c r="S19" s="454"/>
      <c r="T19" s="454"/>
      <c r="U19" s="454"/>
      <c r="V19" s="454"/>
      <c r="W19" s="454"/>
      <c r="X19" s="454"/>
      <c r="Y19" s="454">
        <f t="shared" si="1"/>
        <v>0</v>
      </c>
      <c r="Z19" s="455">
        <v>322800</v>
      </c>
      <c r="AA19" s="456">
        <v>1</v>
      </c>
      <c r="AB19" s="457">
        <v>44204</v>
      </c>
      <c r="AC19" s="458">
        <v>44223</v>
      </c>
      <c r="AD19" s="455"/>
      <c r="AE19" s="459"/>
      <c r="AF19" s="457"/>
      <c r="AG19" s="458"/>
      <c r="AH19" s="454"/>
      <c r="AI19" s="456"/>
      <c r="AJ19" s="457"/>
      <c r="AK19" s="458"/>
      <c r="AL19" s="454"/>
      <c r="AM19" s="456"/>
      <c r="AN19" s="457"/>
      <c r="AO19" s="458"/>
      <c r="AP19" s="454"/>
      <c r="AQ19" s="456"/>
      <c r="AR19" s="457"/>
      <c r="AS19" s="458"/>
      <c r="AT19" s="154">
        <f t="shared" si="0"/>
        <v>322800</v>
      </c>
      <c r="AU19" s="461">
        <f t="shared" si="2"/>
        <v>322800</v>
      </c>
    </row>
    <row r="20" spans="2:47" s="148" customFormat="1" x14ac:dyDescent="0.2">
      <c r="B20" s="149">
        <v>5</v>
      </c>
      <c r="C20" s="149" t="s">
        <v>38</v>
      </c>
      <c r="D20" s="595">
        <v>30032850</v>
      </c>
      <c r="E20" s="596" t="s">
        <v>2487</v>
      </c>
      <c r="F20" s="451" t="s">
        <v>200</v>
      </c>
      <c r="G20" s="452" t="s">
        <v>2481</v>
      </c>
      <c r="H20" s="452" t="s">
        <v>2486</v>
      </c>
      <c r="I20" s="453" t="s">
        <v>42</v>
      </c>
      <c r="J20" s="454">
        <v>6453058</v>
      </c>
      <c r="K20" s="454">
        <v>3557140</v>
      </c>
      <c r="L20" s="454">
        <v>207051</v>
      </c>
      <c r="M20" s="454">
        <v>121478</v>
      </c>
      <c r="N20" s="454">
        <v>149941</v>
      </c>
      <c r="O20" s="454">
        <v>223042</v>
      </c>
      <c r="P20" s="454">
        <v>264693</v>
      </c>
      <c r="Q20" s="454">
        <v>195328</v>
      </c>
      <c r="R20" s="454">
        <v>326397</v>
      </c>
      <c r="S20" s="454"/>
      <c r="T20" s="454"/>
      <c r="U20" s="454"/>
      <c r="V20" s="454"/>
      <c r="W20" s="454"/>
      <c r="X20" s="454"/>
      <c r="Y20" s="454">
        <f t="shared" si="1"/>
        <v>1280879</v>
      </c>
      <c r="Z20" s="455">
        <v>1248967</v>
      </c>
      <c r="AA20" s="456">
        <v>1</v>
      </c>
      <c r="AB20" s="457">
        <v>44204</v>
      </c>
      <c r="AC20" s="458">
        <v>44223</v>
      </c>
      <c r="AD20" s="455">
        <v>700000</v>
      </c>
      <c r="AE20" s="459">
        <v>61</v>
      </c>
      <c r="AF20" s="457">
        <v>44351</v>
      </c>
      <c r="AG20" s="458">
        <v>44372</v>
      </c>
      <c r="AH20" s="454"/>
      <c r="AI20" s="456"/>
      <c r="AJ20" s="457"/>
      <c r="AK20" s="458"/>
      <c r="AL20" s="454"/>
      <c r="AM20" s="456"/>
      <c r="AN20" s="457"/>
      <c r="AO20" s="458"/>
      <c r="AP20" s="454"/>
      <c r="AQ20" s="456"/>
      <c r="AR20" s="457"/>
      <c r="AS20" s="458"/>
      <c r="AT20" s="154">
        <f t="shared" si="0"/>
        <v>1948967</v>
      </c>
      <c r="AU20" s="461">
        <f t="shared" si="2"/>
        <v>668088</v>
      </c>
    </row>
    <row r="21" spans="2:47" s="148" customFormat="1" x14ac:dyDescent="0.2">
      <c r="B21" s="149">
        <v>6</v>
      </c>
      <c r="C21" s="149" t="s">
        <v>38</v>
      </c>
      <c r="D21" s="595">
        <v>30291922</v>
      </c>
      <c r="E21" s="596" t="s">
        <v>2488</v>
      </c>
      <c r="F21" s="451" t="s">
        <v>200</v>
      </c>
      <c r="G21" s="452" t="s">
        <v>2481</v>
      </c>
      <c r="H21" s="452" t="s">
        <v>2489</v>
      </c>
      <c r="I21" s="453" t="s">
        <v>42</v>
      </c>
      <c r="J21" s="454">
        <v>1170939</v>
      </c>
      <c r="K21" s="454">
        <v>21275</v>
      </c>
      <c r="L21" s="454">
        <v>1002</v>
      </c>
      <c r="M21" s="454">
        <v>0</v>
      </c>
      <c r="N21" s="454">
        <v>0</v>
      </c>
      <c r="O21" s="454">
        <v>0</v>
      </c>
      <c r="P21" s="454">
        <v>0</v>
      </c>
      <c r="Q21" s="454">
        <v>0</v>
      </c>
      <c r="R21" s="454">
        <v>0</v>
      </c>
      <c r="S21" s="454"/>
      <c r="T21" s="454"/>
      <c r="U21" s="454"/>
      <c r="V21" s="454"/>
      <c r="W21" s="454"/>
      <c r="X21" s="454"/>
      <c r="Y21" s="454">
        <f t="shared" si="1"/>
        <v>0</v>
      </c>
      <c r="Z21" s="455">
        <v>415000</v>
      </c>
      <c r="AA21" s="456">
        <v>1</v>
      </c>
      <c r="AB21" s="457">
        <v>44204</v>
      </c>
      <c r="AC21" s="458">
        <v>44223</v>
      </c>
      <c r="AD21" s="455"/>
      <c r="AE21" s="459"/>
      <c r="AF21" s="457"/>
      <c r="AG21" s="458"/>
      <c r="AH21" s="454"/>
      <c r="AI21" s="456"/>
      <c r="AJ21" s="457"/>
      <c r="AK21" s="458"/>
      <c r="AL21" s="454"/>
      <c r="AM21" s="456"/>
      <c r="AN21" s="457"/>
      <c r="AO21" s="458"/>
      <c r="AP21" s="454"/>
      <c r="AQ21" s="456"/>
      <c r="AR21" s="457"/>
      <c r="AS21" s="458"/>
      <c r="AT21" s="154">
        <f t="shared" si="0"/>
        <v>415000</v>
      </c>
      <c r="AU21" s="461">
        <f t="shared" si="2"/>
        <v>415000</v>
      </c>
    </row>
    <row r="22" spans="2:47" s="148" customFormat="1" ht="22.5" x14ac:dyDescent="0.2">
      <c r="B22" s="149">
        <v>7</v>
      </c>
      <c r="C22" s="149" t="s">
        <v>38</v>
      </c>
      <c r="D22" s="595">
        <v>30488013</v>
      </c>
      <c r="E22" s="596" t="s">
        <v>2490</v>
      </c>
      <c r="F22" s="451" t="s">
        <v>200</v>
      </c>
      <c r="G22" s="452" t="s">
        <v>2481</v>
      </c>
      <c r="H22" s="452" t="s">
        <v>2491</v>
      </c>
      <c r="I22" s="453" t="s">
        <v>42</v>
      </c>
      <c r="J22" s="454">
        <v>855702</v>
      </c>
      <c r="K22" s="454">
        <v>220221</v>
      </c>
      <c r="L22" s="454">
        <v>209</v>
      </c>
      <c r="M22" s="454">
        <v>62228</v>
      </c>
      <c r="N22" s="454">
        <v>46886</v>
      </c>
      <c r="O22" s="454">
        <v>31874</v>
      </c>
      <c r="P22" s="454">
        <v>89460</v>
      </c>
      <c r="Q22" s="454">
        <v>1944</v>
      </c>
      <c r="R22" s="454">
        <v>83109</v>
      </c>
      <c r="S22" s="454"/>
      <c r="T22" s="454"/>
      <c r="U22" s="454"/>
      <c r="V22" s="454"/>
      <c r="W22" s="454"/>
      <c r="X22" s="454"/>
      <c r="Y22" s="454">
        <f t="shared" si="1"/>
        <v>315501</v>
      </c>
      <c r="Z22" s="455">
        <v>357780</v>
      </c>
      <c r="AA22" s="456">
        <v>1</v>
      </c>
      <c r="AB22" s="457">
        <v>44204</v>
      </c>
      <c r="AC22" s="458">
        <v>44223</v>
      </c>
      <c r="AD22" s="455">
        <v>5835</v>
      </c>
      <c r="AE22" s="459">
        <v>47</v>
      </c>
      <c r="AF22" s="457">
        <v>44319</v>
      </c>
      <c r="AG22" s="458">
        <v>44340</v>
      </c>
      <c r="AH22" s="455">
        <v>83888</v>
      </c>
      <c r="AI22" s="456">
        <v>61</v>
      </c>
      <c r="AJ22" s="457">
        <v>44351</v>
      </c>
      <c r="AK22" s="458">
        <v>44372</v>
      </c>
      <c r="AL22" s="455"/>
      <c r="AM22" s="456"/>
      <c r="AN22" s="460"/>
      <c r="AO22" s="458"/>
      <c r="AP22" s="455"/>
      <c r="AQ22" s="456"/>
      <c r="AR22" s="460"/>
      <c r="AS22" s="458"/>
      <c r="AT22" s="154">
        <f t="shared" si="0"/>
        <v>447503</v>
      </c>
      <c r="AU22" s="461">
        <f t="shared" si="2"/>
        <v>132002</v>
      </c>
    </row>
    <row r="23" spans="2:47" s="148" customFormat="1" x14ac:dyDescent="0.2">
      <c r="B23" s="149">
        <v>8</v>
      </c>
      <c r="C23" s="149" t="s">
        <v>38</v>
      </c>
      <c r="D23" s="595">
        <v>30046819</v>
      </c>
      <c r="E23" s="596" t="s">
        <v>2492</v>
      </c>
      <c r="F23" s="451" t="s">
        <v>200</v>
      </c>
      <c r="G23" s="452" t="s">
        <v>2481</v>
      </c>
      <c r="H23" s="463" t="s">
        <v>2491</v>
      </c>
      <c r="I23" s="453" t="s">
        <v>42</v>
      </c>
      <c r="J23" s="454">
        <v>1626062</v>
      </c>
      <c r="K23" s="454">
        <v>69437</v>
      </c>
      <c r="L23" s="454">
        <v>54642</v>
      </c>
      <c r="M23" s="454">
        <v>0</v>
      </c>
      <c r="N23" s="454">
        <v>0</v>
      </c>
      <c r="O23" s="454">
        <v>0</v>
      </c>
      <c r="P23" s="454">
        <v>0</v>
      </c>
      <c r="Q23" s="454">
        <v>57332</v>
      </c>
      <c r="R23" s="454">
        <v>35573</v>
      </c>
      <c r="S23" s="454"/>
      <c r="T23" s="454"/>
      <c r="U23" s="454"/>
      <c r="V23" s="454"/>
      <c r="W23" s="454"/>
      <c r="X23" s="454"/>
      <c r="Y23" s="454">
        <f t="shared" si="1"/>
        <v>92905</v>
      </c>
      <c r="Z23" s="455">
        <v>200000</v>
      </c>
      <c r="AA23" s="456">
        <v>1</v>
      </c>
      <c r="AB23" s="457">
        <v>44204</v>
      </c>
      <c r="AC23" s="458">
        <v>44223</v>
      </c>
      <c r="AD23" s="455">
        <v>30000</v>
      </c>
      <c r="AE23" s="459">
        <v>47</v>
      </c>
      <c r="AF23" s="457">
        <v>44319</v>
      </c>
      <c r="AG23" s="458">
        <v>44340</v>
      </c>
      <c r="AH23" s="455"/>
      <c r="AI23" s="456"/>
      <c r="AJ23" s="460"/>
      <c r="AK23" s="458"/>
      <c r="AL23" s="455"/>
      <c r="AM23" s="456"/>
      <c r="AN23" s="460"/>
      <c r="AO23" s="458"/>
      <c r="AP23" s="455"/>
      <c r="AQ23" s="456"/>
      <c r="AR23" s="460"/>
      <c r="AS23" s="458"/>
      <c r="AT23" s="154">
        <f t="shared" si="0"/>
        <v>230000</v>
      </c>
      <c r="AU23" s="461">
        <f t="shared" si="2"/>
        <v>137095</v>
      </c>
    </row>
    <row r="24" spans="2:47" s="148" customFormat="1" ht="22.5" x14ac:dyDescent="0.2">
      <c r="B24" s="149">
        <v>9</v>
      </c>
      <c r="C24" s="149" t="s">
        <v>38</v>
      </c>
      <c r="D24" s="595">
        <v>30071487</v>
      </c>
      <c r="E24" s="596" t="s">
        <v>2493</v>
      </c>
      <c r="F24" s="451" t="s">
        <v>200</v>
      </c>
      <c r="G24" s="452" t="s">
        <v>2481</v>
      </c>
      <c r="H24" s="463" t="s">
        <v>2491</v>
      </c>
      <c r="I24" s="453" t="s">
        <v>42</v>
      </c>
      <c r="J24" s="454">
        <v>2823523</v>
      </c>
      <c r="K24" s="454">
        <v>2625601</v>
      </c>
      <c r="L24" s="454">
        <v>0</v>
      </c>
      <c r="M24" s="454">
        <v>0</v>
      </c>
      <c r="N24" s="454">
        <v>0</v>
      </c>
      <c r="O24" s="454">
        <v>0</v>
      </c>
      <c r="P24" s="454">
        <v>0</v>
      </c>
      <c r="Q24" s="454">
        <v>0</v>
      </c>
      <c r="R24" s="454">
        <v>0</v>
      </c>
      <c r="S24" s="454"/>
      <c r="T24" s="454"/>
      <c r="U24" s="454"/>
      <c r="V24" s="454"/>
      <c r="W24" s="454"/>
      <c r="X24" s="454"/>
      <c r="Y24" s="454">
        <f t="shared" si="1"/>
        <v>0</v>
      </c>
      <c r="Z24" s="455">
        <v>59340</v>
      </c>
      <c r="AA24" s="456">
        <v>1</v>
      </c>
      <c r="AB24" s="457">
        <v>44204</v>
      </c>
      <c r="AC24" s="458">
        <v>44223</v>
      </c>
      <c r="AD24" s="455"/>
      <c r="AE24" s="459"/>
      <c r="AF24" s="460"/>
      <c r="AG24" s="458"/>
      <c r="AH24" s="455"/>
      <c r="AI24" s="456"/>
      <c r="AJ24" s="460"/>
      <c r="AK24" s="458"/>
      <c r="AL24" s="455"/>
      <c r="AM24" s="456"/>
      <c r="AN24" s="460"/>
      <c r="AO24" s="458"/>
      <c r="AP24" s="455"/>
      <c r="AQ24" s="456"/>
      <c r="AR24" s="460"/>
      <c r="AS24" s="458"/>
      <c r="AT24" s="154">
        <f t="shared" si="0"/>
        <v>59340</v>
      </c>
      <c r="AU24" s="461">
        <f t="shared" si="2"/>
        <v>59340</v>
      </c>
    </row>
    <row r="25" spans="2:47" s="148" customFormat="1" x14ac:dyDescent="0.2">
      <c r="B25" s="149">
        <v>10</v>
      </c>
      <c r="C25" s="149" t="s">
        <v>38</v>
      </c>
      <c r="D25" s="595">
        <v>30349391</v>
      </c>
      <c r="E25" s="596" t="s">
        <v>2494</v>
      </c>
      <c r="F25" s="451" t="s">
        <v>200</v>
      </c>
      <c r="G25" s="452" t="s">
        <v>2481</v>
      </c>
      <c r="H25" s="463" t="s">
        <v>2495</v>
      </c>
      <c r="I25" s="453" t="s">
        <v>42</v>
      </c>
      <c r="J25" s="454">
        <v>1110921</v>
      </c>
      <c r="K25" s="454">
        <v>130800</v>
      </c>
      <c r="L25" s="454">
        <v>0</v>
      </c>
      <c r="M25" s="454">
        <v>7472</v>
      </c>
      <c r="N25" s="454">
        <v>99482</v>
      </c>
      <c r="O25" s="454">
        <v>85715</v>
      </c>
      <c r="P25" s="454">
        <v>50032</v>
      </c>
      <c r="Q25" s="454">
        <v>61256</v>
      </c>
      <c r="R25" s="454">
        <v>3100</v>
      </c>
      <c r="S25" s="454"/>
      <c r="T25" s="454"/>
      <c r="U25" s="454"/>
      <c r="V25" s="454"/>
      <c r="W25" s="454"/>
      <c r="X25" s="454"/>
      <c r="Y25" s="454">
        <f t="shared" si="1"/>
        <v>307057</v>
      </c>
      <c r="Z25" s="455">
        <v>531000</v>
      </c>
      <c r="AA25" s="456">
        <v>1</v>
      </c>
      <c r="AB25" s="457">
        <v>44204</v>
      </c>
      <c r="AC25" s="458">
        <v>44223</v>
      </c>
      <c r="AD25" s="455"/>
      <c r="AE25" s="459"/>
      <c r="AF25" s="460"/>
      <c r="AG25" s="458"/>
      <c r="AH25" s="455"/>
      <c r="AI25" s="456"/>
      <c r="AJ25" s="460"/>
      <c r="AK25" s="458"/>
      <c r="AL25" s="455"/>
      <c r="AM25" s="456"/>
      <c r="AN25" s="460"/>
      <c r="AO25" s="458"/>
      <c r="AP25" s="455"/>
      <c r="AQ25" s="456"/>
      <c r="AR25" s="460"/>
      <c r="AS25" s="458"/>
      <c r="AT25" s="154">
        <f t="shared" si="0"/>
        <v>531000</v>
      </c>
      <c r="AU25" s="461">
        <f t="shared" si="2"/>
        <v>223943</v>
      </c>
    </row>
    <row r="26" spans="2:47" s="148" customFormat="1" ht="22.5" x14ac:dyDescent="0.25">
      <c r="B26" s="149">
        <v>11</v>
      </c>
      <c r="C26" s="149" t="s">
        <v>38</v>
      </c>
      <c r="D26" s="450">
        <v>30128849</v>
      </c>
      <c r="E26" s="596" t="s">
        <v>2496</v>
      </c>
      <c r="F26" s="451" t="s">
        <v>204</v>
      </c>
      <c r="G26" s="452" t="s">
        <v>2481</v>
      </c>
      <c r="H26" s="463" t="s">
        <v>2495</v>
      </c>
      <c r="I26" s="453" t="s">
        <v>42</v>
      </c>
      <c r="J26" s="454">
        <v>78946</v>
      </c>
      <c r="K26" s="454">
        <v>1800</v>
      </c>
      <c r="L26" s="454">
        <v>0</v>
      </c>
      <c r="M26" s="454">
        <v>0</v>
      </c>
      <c r="N26" s="454">
        <v>0</v>
      </c>
      <c r="O26" s="454">
        <v>0</v>
      </c>
      <c r="P26" s="454">
        <v>0</v>
      </c>
      <c r="Q26" s="454">
        <v>0</v>
      </c>
      <c r="R26" s="454">
        <v>0</v>
      </c>
      <c r="S26" s="454"/>
      <c r="T26" s="454"/>
      <c r="U26" s="454"/>
      <c r="V26" s="454"/>
      <c r="W26" s="454"/>
      <c r="X26" s="454"/>
      <c r="Y26" s="454">
        <f t="shared" si="1"/>
        <v>0</v>
      </c>
      <c r="Z26" s="455">
        <v>50000</v>
      </c>
      <c r="AA26" s="456">
        <v>1</v>
      </c>
      <c r="AB26" s="457">
        <v>44204</v>
      </c>
      <c r="AC26" s="458">
        <v>44223</v>
      </c>
      <c r="AD26" s="455"/>
      <c r="AE26" s="459"/>
      <c r="AF26" s="460"/>
      <c r="AG26" s="458"/>
      <c r="AH26" s="455"/>
      <c r="AI26" s="456"/>
      <c r="AJ26" s="460"/>
      <c r="AK26" s="458"/>
      <c r="AL26" s="455"/>
      <c r="AM26" s="456"/>
      <c r="AN26" s="460"/>
      <c r="AO26" s="458"/>
      <c r="AP26" s="455"/>
      <c r="AQ26" s="456"/>
      <c r="AR26" s="460"/>
      <c r="AS26" s="458"/>
      <c r="AT26" s="154">
        <f t="shared" si="0"/>
        <v>50000</v>
      </c>
      <c r="AU26" s="461">
        <f t="shared" si="2"/>
        <v>50000</v>
      </c>
    </row>
    <row r="27" spans="2:47" s="148" customFormat="1" x14ac:dyDescent="0.25">
      <c r="B27" s="149">
        <v>12</v>
      </c>
      <c r="C27" s="149" t="s">
        <v>38</v>
      </c>
      <c r="D27" s="450">
        <v>30354092</v>
      </c>
      <c r="E27" s="596" t="s">
        <v>2497</v>
      </c>
      <c r="F27" s="451" t="s">
        <v>200</v>
      </c>
      <c r="G27" s="452" t="s">
        <v>2481</v>
      </c>
      <c r="H27" s="463" t="s">
        <v>2498</v>
      </c>
      <c r="I27" s="453" t="s">
        <v>42</v>
      </c>
      <c r="J27" s="454">
        <v>347038</v>
      </c>
      <c r="K27" s="454">
        <v>282389</v>
      </c>
      <c r="L27" s="454">
        <v>2</v>
      </c>
      <c r="M27" s="454">
        <v>0</v>
      </c>
      <c r="N27" s="454">
        <v>8794</v>
      </c>
      <c r="O27" s="454">
        <v>0</v>
      </c>
      <c r="P27" s="454">
        <v>0</v>
      </c>
      <c r="Q27" s="454">
        <v>0</v>
      </c>
      <c r="R27" s="454">
        <v>0</v>
      </c>
      <c r="S27" s="454"/>
      <c r="T27" s="454"/>
      <c r="U27" s="454"/>
      <c r="V27" s="454"/>
      <c r="W27" s="454"/>
      <c r="X27" s="454"/>
      <c r="Y27" s="454">
        <f t="shared" si="1"/>
        <v>8794</v>
      </c>
      <c r="Z27" s="455">
        <v>38000</v>
      </c>
      <c r="AA27" s="456">
        <v>1</v>
      </c>
      <c r="AB27" s="457">
        <v>44204</v>
      </c>
      <c r="AC27" s="458">
        <v>44223</v>
      </c>
      <c r="AD27" s="455"/>
      <c r="AE27" s="459"/>
      <c r="AF27" s="460"/>
      <c r="AG27" s="458"/>
      <c r="AH27" s="455"/>
      <c r="AI27" s="456"/>
      <c r="AJ27" s="460"/>
      <c r="AK27" s="458"/>
      <c r="AL27" s="455"/>
      <c r="AM27" s="456"/>
      <c r="AN27" s="460"/>
      <c r="AO27" s="458"/>
      <c r="AP27" s="455"/>
      <c r="AQ27" s="456"/>
      <c r="AR27" s="460"/>
      <c r="AS27" s="458"/>
      <c r="AT27" s="154">
        <f t="shared" si="0"/>
        <v>38000</v>
      </c>
      <c r="AU27" s="461">
        <f t="shared" si="2"/>
        <v>29206</v>
      </c>
    </row>
    <row r="28" spans="2:47" s="148" customFormat="1" x14ac:dyDescent="0.25">
      <c r="B28" s="149">
        <v>13</v>
      </c>
      <c r="C28" s="149" t="s">
        <v>38</v>
      </c>
      <c r="D28" s="450">
        <v>30117172</v>
      </c>
      <c r="E28" s="596" t="s">
        <v>2499</v>
      </c>
      <c r="F28" s="451" t="s">
        <v>204</v>
      </c>
      <c r="G28" s="452" t="s">
        <v>2481</v>
      </c>
      <c r="H28" s="463" t="s">
        <v>2484</v>
      </c>
      <c r="I28" s="453" t="s">
        <v>42</v>
      </c>
      <c r="J28" s="454">
        <v>402571</v>
      </c>
      <c r="K28" s="454">
        <v>214038</v>
      </c>
      <c r="L28" s="454">
        <v>0</v>
      </c>
      <c r="M28" s="454">
        <v>0</v>
      </c>
      <c r="N28" s="454"/>
      <c r="O28" s="454">
        <v>0</v>
      </c>
      <c r="P28" s="454">
        <v>0</v>
      </c>
      <c r="Q28" s="454">
        <v>0</v>
      </c>
      <c r="R28" s="454">
        <v>0</v>
      </c>
      <c r="S28" s="454"/>
      <c r="T28" s="454"/>
      <c r="U28" s="454"/>
      <c r="V28" s="454"/>
      <c r="W28" s="454"/>
      <c r="X28" s="454"/>
      <c r="Y28" s="454">
        <f t="shared" si="1"/>
        <v>0</v>
      </c>
      <c r="Z28" s="455">
        <v>14400</v>
      </c>
      <c r="AA28" s="456">
        <v>2</v>
      </c>
      <c r="AB28" s="457">
        <v>44204</v>
      </c>
      <c r="AC28" s="458">
        <v>44223</v>
      </c>
      <c r="AD28" s="455"/>
      <c r="AE28" s="459"/>
      <c r="AF28" s="460"/>
      <c r="AG28" s="458"/>
      <c r="AH28" s="455"/>
      <c r="AI28" s="456"/>
      <c r="AJ28" s="460"/>
      <c r="AK28" s="458"/>
      <c r="AL28" s="455"/>
      <c r="AM28" s="456"/>
      <c r="AN28" s="460"/>
      <c r="AO28" s="458"/>
      <c r="AP28" s="455"/>
      <c r="AQ28" s="456"/>
      <c r="AR28" s="460"/>
      <c r="AS28" s="458"/>
      <c r="AT28" s="154">
        <f t="shared" si="0"/>
        <v>14400</v>
      </c>
      <c r="AU28" s="461">
        <f t="shared" si="2"/>
        <v>14400</v>
      </c>
    </row>
    <row r="29" spans="2:47" s="148" customFormat="1" ht="22.5" x14ac:dyDescent="0.25">
      <c r="B29" s="149">
        <v>14</v>
      </c>
      <c r="C29" s="149" t="s">
        <v>38</v>
      </c>
      <c r="D29" s="450">
        <v>30349394</v>
      </c>
      <c r="E29" s="596" t="s">
        <v>2500</v>
      </c>
      <c r="F29" s="451" t="s">
        <v>200</v>
      </c>
      <c r="G29" s="452" t="s">
        <v>2481</v>
      </c>
      <c r="H29" s="463" t="s">
        <v>2501</v>
      </c>
      <c r="I29" s="453" t="s">
        <v>42</v>
      </c>
      <c r="J29" s="454">
        <v>782251</v>
      </c>
      <c r="K29" s="454">
        <v>196606</v>
      </c>
      <c r="L29" s="454">
        <v>0</v>
      </c>
      <c r="M29" s="454">
        <v>84713</v>
      </c>
      <c r="N29" s="454">
        <v>67901</v>
      </c>
      <c r="O29" s="454">
        <v>116001</v>
      </c>
      <c r="P29" s="454">
        <v>72044</v>
      </c>
      <c r="Q29" s="454">
        <v>56651</v>
      </c>
      <c r="R29" s="454">
        <v>23129</v>
      </c>
      <c r="S29" s="454"/>
      <c r="T29" s="454"/>
      <c r="U29" s="454"/>
      <c r="V29" s="454"/>
      <c r="W29" s="454"/>
      <c r="X29" s="454"/>
      <c r="Y29" s="454">
        <f t="shared" si="1"/>
        <v>420439</v>
      </c>
      <c r="Z29" s="455">
        <v>411090</v>
      </c>
      <c r="AA29" s="456">
        <v>2</v>
      </c>
      <c r="AB29" s="457">
        <v>44204</v>
      </c>
      <c r="AC29" s="458">
        <v>44223</v>
      </c>
      <c r="AD29" s="455">
        <v>158935</v>
      </c>
      <c r="AE29" s="459">
        <v>47</v>
      </c>
      <c r="AF29" s="457">
        <v>44319</v>
      </c>
      <c r="AG29" s="458">
        <v>44340</v>
      </c>
      <c r="AH29" s="455"/>
      <c r="AI29" s="456"/>
      <c r="AJ29" s="460"/>
      <c r="AK29" s="458"/>
      <c r="AL29" s="455"/>
      <c r="AM29" s="456"/>
      <c r="AN29" s="460"/>
      <c r="AO29" s="458"/>
      <c r="AP29" s="455"/>
      <c r="AQ29" s="456"/>
      <c r="AR29" s="460"/>
      <c r="AS29" s="458"/>
      <c r="AT29" s="154">
        <f t="shared" si="0"/>
        <v>570025</v>
      </c>
      <c r="AU29" s="461">
        <f t="shared" si="2"/>
        <v>149586</v>
      </c>
    </row>
    <row r="30" spans="2:47" s="148" customFormat="1" x14ac:dyDescent="0.25">
      <c r="B30" s="149">
        <v>15</v>
      </c>
      <c r="C30" s="149" t="s">
        <v>38</v>
      </c>
      <c r="D30" s="450">
        <v>30128930</v>
      </c>
      <c r="E30" s="596" t="s">
        <v>2502</v>
      </c>
      <c r="F30" s="451" t="s">
        <v>200</v>
      </c>
      <c r="G30" s="452" t="s">
        <v>2481</v>
      </c>
      <c r="H30" s="463" t="s">
        <v>2491</v>
      </c>
      <c r="I30" s="453" t="s">
        <v>42</v>
      </c>
      <c r="J30" s="454">
        <v>334066</v>
      </c>
      <c r="K30" s="454">
        <v>26585</v>
      </c>
      <c r="L30" s="454">
        <v>0</v>
      </c>
      <c r="M30" s="454">
        <v>91762</v>
      </c>
      <c r="N30" s="454">
        <v>71624</v>
      </c>
      <c r="O30" s="454">
        <v>51913</v>
      </c>
      <c r="P30" s="454">
        <v>19952</v>
      </c>
      <c r="Q30" s="454">
        <v>21392</v>
      </c>
      <c r="R30" s="454">
        <v>22491</v>
      </c>
      <c r="S30" s="454"/>
      <c r="T30" s="454"/>
      <c r="U30" s="454"/>
      <c r="V30" s="454"/>
      <c r="W30" s="454"/>
      <c r="X30" s="454"/>
      <c r="Y30" s="454">
        <f t="shared" si="1"/>
        <v>279134</v>
      </c>
      <c r="Z30" s="455">
        <v>111154</v>
      </c>
      <c r="AA30" s="456">
        <v>2</v>
      </c>
      <c r="AB30" s="457">
        <v>44204</v>
      </c>
      <c r="AC30" s="458">
        <v>44223</v>
      </c>
      <c r="AD30" s="455">
        <v>148038</v>
      </c>
      <c r="AE30" s="459">
        <v>12</v>
      </c>
      <c r="AF30" s="457">
        <v>44228</v>
      </c>
      <c r="AG30" s="458">
        <v>44246</v>
      </c>
      <c r="AH30" s="455">
        <v>26367</v>
      </c>
      <c r="AI30" s="456">
        <v>47</v>
      </c>
      <c r="AJ30" s="457">
        <v>44319</v>
      </c>
      <c r="AK30" s="458">
        <v>44340</v>
      </c>
      <c r="AL30" s="455"/>
      <c r="AM30" s="456"/>
      <c r="AN30" s="460"/>
      <c r="AO30" s="458"/>
      <c r="AP30" s="455"/>
      <c r="AQ30" s="456"/>
      <c r="AR30" s="460"/>
      <c r="AS30" s="458"/>
      <c r="AT30" s="154">
        <f t="shared" si="0"/>
        <v>285559</v>
      </c>
      <c r="AU30" s="461">
        <f t="shared" si="2"/>
        <v>6425</v>
      </c>
    </row>
    <row r="31" spans="2:47" s="148" customFormat="1" ht="22.5" x14ac:dyDescent="0.25">
      <c r="B31" s="149">
        <v>16</v>
      </c>
      <c r="C31" s="149" t="s">
        <v>38</v>
      </c>
      <c r="D31" s="450">
        <v>30454524</v>
      </c>
      <c r="E31" s="596" t="s">
        <v>2503</v>
      </c>
      <c r="F31" s="451" t="s">
        <v>200</v>
      </c>
      <c r="G31" s="452" t="s">
        <v>2481</v>
      </c>
      <c r="H31" s="463" t="s">
        <v>2504</v>
      </c>
      <c r="I31" s="453" t="s">
        <v>42</v>
      </c>
      <c r="J31" s="454">
        <v>1534040</v>
      </c>
      <c r="K31" s="454">
        <v>109117</v>
      </c>
      <c r="L31" s="454">
        <v>0</v>
      </c>
      <c r="M31" s="454">
        <v>53190</v>
      </c>
      <c r="N31" s="454">
        <v>59315</v>
      </c>
      <c r="O31" s="454">
        <v>63212</v>
      </c>
      <c r="P31" s="454">
        <v>159772</v>
      </c>
      <c r="Q31" s="454">
        <v>2166</v>
      </c>
      <c r="R31" s="454">
        <v>122309</v>
      </c>
      <c r="S31" s="454"/>
      <c r="T31" s="454"/>
      <c r="U31" s="454"/>
      <c r="V31" s="454"/>
      <c r="W31" s="454"/>
      <c r="X31" s="454"/>
      <c r="Y31" s="454">
        <f t="shared" si="1"/>
        <v>459964</v>
      </c>
      <c r="Z31" s="455">
        <v>520002</v>
      </c>
      <c r="AA31" s="456">
        <v>2</v>
      </c>
      <c r="AB31" s="457">
        <v>44204</v>
      </c>
      <c r="AC31" s="458">
        <v>44223</v>
      </c>
      <c r="AD31" s="455">
        <v>300000</v>
      </c>
      <c r="AE31" s="459">
        <v>47</v>
      </c>
      <c r="AF31" s="457">
        <v>44319</v>
      </c>
      <c r="AG31" s="458">
        <v>44340</v>
      </c>
      <c r="AH31" s="455"/>
      <c r="AI31" s="456"/>
      <c r="AJ31" s="460"/>
      <c r="AK31" s="458"/>
      <c r="AL31" s="455"/>
      <c r="AM31" s="456"/>
      <c r="AN31" s="460"/>
      <c r="AO31" s="458"/>
      <c r="AP31" s="455"/>
      <c r="AQ31" s="456"/>
      <c r="AR31" s="460"/>
      <c r="AS31" s="458"/>
      <c r="AT31" s="154">
        <f t="shared" si="0"/>
        <v>820002</v>
      </c>
      <c r="AU31" s="461">
        <f t="shared" si="2"/>
        <v>360038</v>
      </c>
    </row>
    <row r="32" spans="2:47" s="148" customFormat="1" x14ac:dyDescent="0.25">
      <c r="B32" s="149">
        <v>17</v>
      </c>
      <c r="C32" s="149" t="s">
        <v>38</v>
      </c>
      <c r="D32" s="450">
        <v>30429074</v>
      </c>
      <c r="E32" s="596" t="s">
        <v>2505</v>
      </c>
      <c r="F32" s="451" t="s">
        <v>204</v>
      </c>
      <c r="G32" s="452" t="s">
        <v>2481</v>
      </c>
      <c r="H32" s="463" t="s">
        <v>2504</v>
      </c>
      <c r="I32" s="453" t="s">
        <v>42</v>
      </c>
      <c r="J32" s="454">
        <v>221510</v>
      </c>
      <c r="K32" s="454">
        <v>114289</v>
      </c>
      <c r="L32" s="454">
        <v>56125</v>
      </c>
      <c r="M32" s="454">
        <v>0</v>
      </c>
      <c r="N32" s="454">
        <v>0</v>
      </c>
      <c r="O32" s="454">
        <v>0</v>
      </c>
      <c r="P32" s="454">
        <v>0</v>
      </c>
      <c r="Q32" s="454">
        <v>0</v>
      </c>
      <c r="R32" s="454">
        <v>0</v>
      </c>
      <c r="S32" s="454"/>
      <c r="T32" s="454"/>
      <c r="U32" s="454"/>
      <c r="V32" s="454"/>
      <c r="W32" s="454"/>
      <c r="X32" s="454"/>
      <c r="Y32" s="454">
        <f t="shared" si="1"/>
        <v>0</v>
      </c>
      <c r="Z32" s="455">
        <v>40000</v>
      </c>
      <c r="AA32" s="456">
        <v>2</v>
      </c>
      <c r="AB32" s="457">
        <v>44204</v>
      </c>
      <c r="AC32" s="458">
        <v>44223</v>
      </c>
      <c r="AD32" s="455"/>
      <c r="AE32" s="459"/>
      <c r="AF32" s="460"/>
      <c r="AG32" s="458"/>
      <c r="AH32" s="455"/>
      <c r="AI32" s="456"/>
      <c r="AJ32" s="460"/>
      <c r="AK32" s="458"/>
      <c r="AL32" s="455"/>
      <c r="AM32" s="456"/>
      <c r="AN32" s="460"/>
      <c r="AO32" s="458"/>
      <c r="AP32" s="455"/>
      <c r="AQ32" s="456"/>
      <c r="AR32" s="460"/>
      <c r="AS32" s="458"/>
      <c r="AT32" s="154">
        <f t="shared" si="0"/>
        <v>40000</v>
      </c>
      <c r="AU32" s="461">
        <f t="shared" si="2"/>
        <v>40000</v>
      </c>
    </row>
    <row r="33" spans="2:47" s="148" customFormat="1" x14ac:dyDescent="0.25">
      <c r="B33" s="149">
        <v>18</v>
      </c>
      <c r="C33" s="149" t="s">
        <v>38</v>
      </c>
      <c r="D33" s="450">
        <v>30117055</v>
      </c>
      <c r="E33" s="596" t="s">
        <v>2506</v>
      </c>
      <c r="F33" s="451" t="s">
        <v>200</v>
      </c>
      <c r="G33" s="452" t="s">
        <v>2481</v>
      </c>
      <c r="H33" s="463" t="s">
        <v>2504</v>
      </c>
      <c r="I33" s="453" t="s">
        <v>42</v>
      </c>
      <c r="J33" s="454">
        <v>342540</v>
      </c>
      <c r="K33" s="454">
        <v>2329</v>
      </c>
      <c r="L33" s="454">
        <v>76871</v>
      </c>
      <c r="M33" s="454">
        <v>0</v>
      </c>
      <c r="N33" s="454">
        <v>0</v>
      </c>
      <c r="O33" s="454">
        <v>0</v>
      </c>
      <c r="P33" s="454">
        <v>0</v>
      </c>
      <c r="Q33" s="454">
        <v>0</v>
      </c>
      <c r="R33" s="454">
        <v>0</v>
      </c>
      <c r="S33" s="454"/>
      <c r="T33" s="454"/>
      <c r="U33" s="454"/>
      <c r="V33" s="454"/>
      <c r="W33" s="454"/>
      <c r="X33" s="454"/>
      <c r="Y33" s="454">
        <f t="shared" si="1"/>
        <v>0</v>
      </c>
      <c r="Z33" s="455">
        <v>145260</v>
      </c>
      <c r="AA33" s="456">
        <v>2</v>
      </c>
      <c r="AB33" s="457">
        <v>44204</v>
      </c>
      <c r="AC33" s="458">
        <v>44223</v>
      </c>
      <c r="AD33" s="455"/>
      <c r="AE33" s="459"/>
      <c r="AF33" s="460"/>
      <c r="AG33" s="458"/>
      <c r="AH33" s="455"/>
      <c r="AI33" s="456"/>
      <c r="AJ33" s="460"/>
      <c r="AK33" s="458"/>
      <c r="AL33" s="455"/>
      <c r="AM33" s="456"/>
      <c r="AN33" s="460"/>
      <c r="AO33" s="458"/>
      <c r="AP33" s="455"/>
      <c r="AQ33" s="456"/>
      <c r="AR33" s="460"/>
      <c r="AS33" s="458"/>
      <c r="AT33" s="154">
        <f t="shared" si="0"/>
        <v>145260</v>
      </c>
      <c r="AU33" s="461">
        <f t="shared" si="2"/>
        <v>145260</v>
      </c>
    </row>
    <row r="34" spans="2:47" s="148" customFormat="1" x14ac:dyDescent="0.25">
      <c r="B34" s="149">
        <v>19</v>
      </c>
      <c r="C34" s="149" t="s">
        <v>38</v>
      </c>
      <c r="D34" s="450">
        <v>30311575</v>
      </c>
      <c r="E34" s="596" t="s">
        <v>2507</v>
      </c>
      <c r="F34" s="451" t="s">
        <v>200</v>
      </c>
      <c r="G34" s="452" t="s">
        <v>2481</v>
      </c>
      <c r="H34" s="463" t="s">
        <v>2489</v>
      </c>
      <c r="I34" s="453" t="s">
        <v>42</v>
      </c>
      <c r="J34" s="454">
        <v>675699</v>
      </c>
      <c r="K34" s="454">
        <v>552829</v>
      </c>
      <c r="L34" s="454">
        <v>0</v>
      </c>
      <c r="M34" s="454">
        <v>0</v>
      </c>
      <c r="N34" s="454">
        <v>0</v>
      </c>
      <c r="O34" s="454">
        <v>33439</v>
      </c>
      <c r="P34" s="454">
        <v>0</v>
      </c>
      <c r="Q34" s="454">
        <v>6087</v>
      </c>
      <c r="R34" s="454">
        <v>23999</v>
      </c>
      <c r="S34" s="454"/>
      <c r="T34" s="454"/>
      <c r="U34" s="454"/>
      <c r="V34" s="454"/>
      <c r="W34" s="454"/>
      <c r="X34" s="454"/>
      <c r="Y34" s="454">
        <f t="shared" si="1"/>
        <v>63525</v>
      </c>
      <c r="Z34" s="455">
        <v>93158</v>
      </c>
      <c r="AA34" s="456">
        <v>2</v>
      </c>
      <c r="AB34" s="457">
        <v>44204</v>
      </c>
      <c r="AC34" s="458">
        <v>44223</v>
      </c>
      <c r="AD34" s="455">
        <v>14680</v>
      </c>
      <c r="AE34" s="459">
        <v>26</v>
      </c>
      <c r="AF34" s="457">
        <v>44264</v>
      </c>
      <c r="AG34" s="458">
        <v>44279</v>
      </c>
      <c r="AH34" s="455"/>
      <c r="AI34" s="456"/>
      <c r="AJ34" s="460"/>
      <c r="AK34" s="458"/>
      <c r="AL34" s="455"/>
      <c r="AM34" s="456"/>
      <c r="AN34" s="460"/>
      <c r="AO34" s="458"/>
      <c r="AP34" s="455"/>
      <c r="AQ34" s="456"/>
      <c r="AR34" s="460"/>
      <c r="AS34" s="458"/>
      <c r="AT34" s="154">
        <f t="shared" si="0"/>
        <v>107838</v>
      </c>
      <c r="AU34" s="461">
        <f t="shared" si="2"/>
        <v>44313</v>
      </c>
    </row>
    <row r="35" spans="2:47" s="148" customFormat="1" ht="22.5" x14ac:dyDescent="0.25">
      <c r="B35" s="149">
        <v>20</v>
      </c>
      <c r="C35" s="149" t="s">
        <v>38</v>
      </c>
      <c r="D35" s="450">
        <v>30107986</v>
      </c>
      <c r="E35" s="596" t="s">
        <v>2508</v>
      </c>
      <c r="F35" s="451" t="s">
        <v>200</v>
      </c>
      <c r="G35" s="452" t="s">
        <v>2481</v>
      </c>
      <c r="H35" s="463" t="s">
        <v>2504</v>
      </c>
      <c r="I35" s="453" t="s">
        <v>42</v>
      </c>
      <c r="J35" s="454">
        <v>734559</v>
      </c>
      <c r="K35" s="454">
        <v>2098</v>
      </c>
      <c r="L35" s="454">
        <v>107421</v>
      </c>
      <c r="M35" s="454">
        <v>62943</v>
      </c>
      <c r="N35" s="454">
        <v>31070</v>
      </c>
      <c r="O35" s="454">
        <v>106941</v>
      </c>
      <c r="P35" s="454">
        <v>89134</v>
      </c>
      <c r="Q35" s="454">
        <v>87103</v>
      </c>
      <c r="R35" s="454">
        <v>42373</v>
      </c>
      <c r="S35" s="454"/>
      <c r="T35" s="454"/>
      <c r="U35" s="454"/>
      <c r="V35" s="454"/>
      <c r="W35" s="454"/>
      <c r="X35" s="454"/>
      <c r="Y35" s="454">
        <f t="shared" si="1"/>
        <v>419564</v>
      </c>
      <c r="Z35" s="455">
        <v>320000</v>
      </c>
      <c r="AA35" s="456">
        <v>2</v>
      </c>
      <c r="AB35" s="457">
        <v>44204</v>
      </c>
      <c r="AC35" s="458">
        <v>44223</v>
      </c>
      <c r="AD35" s="455">
        <v>200000</v>
      </c>
      <c r="AE35" s="459">
        <v>47</v>
      </c>
      <c r="AF35" s="457">
        <v>44319</v>
      </c>
      <c r="AG35" s="458">
        <v>44340</v>
      </c>
      <c r="AH35" s="455"/>
      <c r="AI35" s="456"/>
      <c r="AJ35" s="460"/>
      <c r="AK35" s="458"/>
      <c r="AL35" s="455"/>
      <c r="AM35" s="456"/>
      <c r="AN35" s="460"/>
      <c r="AO35" s="458"/>
      <c r="AP35" s="455"/>
      <c r="AQ35" s="456"/>
      <c r="AR35" s="460"/>
      <c r="AS35" s="458"/>
      <c r="AT35" s="154">
        <f t="shared" si="0"/>
        <v>520000</v>
      </c>
      <c r="AU35" s="461">
        <f t="shared" si="2"/>
        <v>100436</v>
      </c>
    </row>
    <row r="36" spans="2:47" s="148" customFormat="1" x14ac:dyDescent="0.25">
      <c r="B36" s="149">
        <v>21</v>
      </c>
      <c r="C36" s="149" t="s">
        <v>38</v>
      </c>
      <c r="D36" s="450">
        <v>30095528</v>
      </c>
      <c r="E36" s="596" t="s">
        <v>2509</v>
      </c>
      <c r="F36" s="451" t="s">
        <v>200</v>
      </c>
      <c r="G36" s="452" t="s">
        <v>2481</v>
      </c>
      <c r="H36" s="463" t="s">
        <v>2491</v>
      </c>
      <c r="I36" s="453" t="s">
        <v>42</v>
      </c>
      <c r="J36" s="454">
        <v>640628</v>
      </c>
      <c r="K36" s="454">
        <v>0</v>
      </c>
      <c r="L36" s="454">
        <v>36905</v>
      </c>
      <c r="M36" s="454">
        <v>0</v>
      </c>
      <c r="N36" s="454">
        <v>0</v>
      </c>
      <c r="O36" s="454">
        <v>0</v>
      </c>
      <c r="P36" s="454">
        <v>0</v>
      </c>
      <c r="Q36" s="454">
        <v>23765</v>
      </c>
      <c r="R36" s="454">
        <v>2000</v>
      </c>
      <c r="S36" s="454"/>
      <c r="T36" s="454"/>
      <c r="U36" s="454"/>
      <c r="V36" s="454"/>
      <c r="W36" s="454"/>
      <c r="X36" s="454"/>
      <c r="Y36" s="454">
        <f t="shared" si="1"/>
        <v>25765</v>
      </c>
      <c r="Z36" s="455">
        <v>316259</v>
      </c>
      <c r="AA36" s="456">
        <v>2</v>
      </c>
      <c r="AB36" s="457">
        <v>44204</v>
      </c>
      <c r="AC36" s="458">
        <v>44223</v>
      </c>
      <c r="AD36" s="455"/>
      <c r="AE36" s="459"/>
      <c r="AF36" s="460"/>
      <c r="AG36" s="458"/>
      <c r="AH36" s="455"/>
      <c r="AI36" s="456"/>
      <c r="AJ36" s="460"/>
      <c r="AK36" s="458"/>
      <c r="AL36" s="455"/>
      <c r="AM36" s="456"/>
      <c r="AN36" s="460"/>
      <c r="AO36" s="458"/>
      <c r="AP36" s="455"/>
      <c r="AQ36" s="456"/>
      <c r="AR36" s="460"/>
      <c r="AS36" s="458"/>
      <c r="AT36" s="154">
        <f t="shared" si="0"/>
        <v>316259</v>
      </c>
      <c r="AU36" s="461">
        <f t="shared" si="2"/>
        <v>290494</v>
      </c>
    </row>
    <row r="37" spans="2:47" s="148" customFormat="1" ht="22.5" x14ac:dyDescent="0.25">
      <c r="B37" s="149">
        <v>22</v>
      </c>
      <c r="C37" s="149" t="s">
        <v>38</v>
      </c>
      <c r="D37" s="450">
        <v>30428973</v>
      </c>
      <c r="E37" s="596" t="s">
        <v>2510</v>
      </c>
      <c r="F37" s="451" t="s">
        <v>200</v>
      </c>
      <c r="G37" s="452" t="s">
        <v>2481</v>
      </c>
      <c r="H37" s="463" t="s">
        <v>226</v>
      </c>
      <c r="I37" s="453" t="s">
        <v>42</v>
      </c>
      <c r="J37" s="454">
        <v>2162166</v>
      </c>
      <c r="K37" s="454">
        <v>0</v>
      </c>
      <c r="L37" s="454">
        <v>62166</v>
      </c>
      <c r="M37" s="454">
        <v>0</v>
      </c>
      <c r="N37" s="454">
        <v>0</v>
      </c>
      <c r="O37" s="454">
        <v>45604</v>
      </c>
      <c r="P37" s="454">
        <v>80366</v>
      </c>
      <c r="Q37" s="454">
        <v>118545</v>
      </c>
      <c r="R37" s="454">
        <v>89102</v>
      </c>
      <c r="S37" s="454"/>
      <c r="T37" s="454"/>
      <c r="U37" s="454"/>
      <c r="V37" s="454"/>
      <c r="W37" s="454"/>
      <c r="X37" s="454"/>
      <c r="Y37" s="454">
        <f t="shared" si="1"/>
        <v>333617</v>
      </c>
      <c r="Z37" s="455">
        <v>1000000</v>
      </c>
      <c r="AA37" s="456">
        <v>2</v>
      </c>
      <c r="AB37" s="457">
        <v>44204</v>
      </c>
      <c r="AC37" s="458">
        <v>44223</v>
      </c>
      <c r="AD37" s="455"/>
      <c r="AE37" s="459"/>
      <c r="AF37" s="460"/>
      <c r="AG37" s="458"/>
      <c r="AH37" s="455"/>
      <c r="AI37" s="456"/>
      <c r="AJ37" s="460"/>
      <c r="AK37" s="458"/>
      <c r="AL37" s="455"/>
      <c r="AM37" s="456"/>
      <c r="AN37" s="460"/>
      <c r="AO37" s="458"/>
      <c r="AP37" s="455"/>
      <c r="AQ37" s="456"/>
      <c r="AR37" s="460"/>
      <c r="AS37" s="458"/>
      <c r="AT37" s="154">
        <f t="shared" si="0"/>
        <v>1000000</v>
      </c>
      <c r="AU37" s="461">
        <f t="shared" si="2"/>
        <v>666383</v>
      </c>
    </row>
    <row r="38" spans="2:47" s="148" customFormat="1" x14ac:dyDescent="0.25">
      <c r="B38" s="149">
        <v>23</v>
      </c>
      <c r="C38" s="149" t="s">
        <v>38</v>
      </c>
      <c r="D38" s="450">
        <v>30065993</v>
      </c>
      <c r="E38" s="596" t="s">
        <v>2511</v>
      </c>
      <c r="F38" s="451" t="s">
        <v>200</v>
      </c>
      <c r="G38" s="452" t="s">
        <v>2481</v>
      </c>
      <c r="H38" s="463" t="s">
        <v>2512</v>
      </c>
      <c r="I38" s="453" t="s">
        <v>42</v>
      </c>
      <c r="J38" s="454">
        <v>2756456</v>
      </c>
      <c r="K38" s="454">
        <v>1061813</v>
      </c>
      <c r="L38" s="454">
        <v>0</v>
      </c>
      <c r="M38" s="454">
        <v>0</v>
      </c>
      <c r="N38" s="454">
        <v>0</v>
      </c>
      <c r="O38" s="454">
        <v>0</v>
      </c>
      <c r="P38" s="454">
        <v>0</v>
      </c>
      <c r="Q38" s="454">
        <v>0</v>
      </c>
      <c r="R38" s="454">
        <v>0</v>
      </c>
      <c r="S38" s="454"/>
      <c r="T38" s="454"/>
      <c r="U38" s="454"/>
      <c r="V38" s="454"/>
      <c r="W38" s="454"/>
      <c r="X38" s="454"/>
      <c r="Y38" s="454">
        <f t="shared" si="1"/>
        <v>0</v>
      </c>
      <c r="Z38" s="455">
        <v>1000</v>
      </c>
      <c r="AA38" s="456">
        <v>2</v>
      </c>
      <c r="AB38" s="457">
        <v>44204</v>
      </c>
      <c r="AC38" s="458">
        <v>44223</v>
      </c>
      <c r="AD38" s="455"/>
      <c r="AE38" s="459"/>
      <c r="AF38" s="460"/>
      <c r="AG38" s="458"/>
      <c r="AH38" s="455"/>
      <c r="AI38" s="456"/>
      <c r="AJ38" s="460"/>
      <c r="AK38" s="458"/>
      <c r="AL38" s="455"/>
      <c r="AM38" s="456"/>
      <c r="AN38" s="460"/>
      <c r="AO38" s="458"/>
      <c r="AP38" s="455"/>
      <c r="AQ38" s="456"/>
      <c r="AR38" s="460"/>
      <c r="AS38" s="458"/>
      <c r="AT38" s="154">
        <f t="shared" si="0"/>
        <v>1000</v>
      </c>
      <c r="AU38" s="461">
        <f t="shared" si="2"/>
        <v>1000</v>
      </c>
    </row>
    <row r="39" spans="2:47" s="148" customFormat="1" x14ac:dyDescent="0.25">
      <c r="B39" s="149">
        <v>24</v>
      </c>
      <c r="C39" s="149" t="s">
        <v>38</v>
      </c>
      <c r="D39" s="450">
        <v>30095341</v>
      </c>
      <c r="E39" s="596" t="s">
        <v>2513</v>
      </c>
      <c r="F39" s="451" t="s">
        <v>200</v>
      </c>
      <c r="G39" s="452" t="s">
        <v>2481</v>
      </c>
      <c r="H39" s="463" t="s">
        <v>2486</v>
      </c>
      <c r="I39" s="453" t="s">
        <v>42</v>
      </c>
      <c r="J39" s="454">
        <v>1726324</v>
      </c>
      <c r="K39" s="454">
        <v>1652762</v>
      </c>
      <c r="L39" s="454">
        <v>2</v>
      </c>
      <c r="M39" s="454">
        <v>0</v>
      </c>
      <c r="N39" s="454">
        <v>0</v>
      </c>
      <c r="O39" s="454">
        <v>0</v>
      </c>
      <c r="P39" s="454">
        <v>7500</v>
      </c>
      <c r="Q39" s="454">
        <v>0</v>
      </c>
      <c r="R39" s="454">
        <v>0</v>
      </c>
      <c r="S39" s="454"/>
      <c r="T39" s="454"/>
      <c r="U39" s="454"/>
      <c r="V39" s="454"/>
      <c r="W39" s="454"/>
      <c r="X39" s="454"/>
      <c r="Y39" s="454">
        <f t="shared" si="1"/>
        <v>7500</v>
      </c>
      <c r="Z39" s="455">
        <v>73559</v>
      </c>
      <c r="AA39" s="456">
        <v>3</v>
      </c>
      <c r="AB39" s="457">
        <v>44204</v>
      </c>
      <c r="AC39" s="458">
        <v>44223</v>
      </c>
      <c r="AD39" s="455"/>
      <c r="AE39" s="459"/>
      <c r="AF39" s="460"/>
      <c r="AG39" s="458"/>
      <c r="AH39" s="455"/>
      <c r="AI39" s="456"/>
      <c r="AJ39" s="460"/>
      <c r="AK39" s="458"/>
      <c r="AL39" s="455"/>
      <c r="AM39" s="456"/>
      <c r="AN39" s="460"/>
      <c r="AO39" s="458"/>
      <c r="AP39" s="455"/>
      <c r="AQ39" s="456"/>
      <c r="AR39" s="460"/>
      <c r="AS39" s="458"/>
      <c r="AT39" s="154">
        <f t="shared" si="0"/>
        <v>73559</v>
      </c>
      <c r="AU39" s="461">
        <f t="shared" si="2"/>
        <v>66059</v>
      </c>
    </row>
    <row r="40" spans="2:47" s="148" customFormat="1" x14ac:dyDescent="0.25">
      <c r="B40" s="149">
        <v>25</v>
      </c>
      <c r="C40" s="149" t="s">
        <v>38</v>
      </c>
      <c r="D40" s="450">
        <v>30128886</v>
      </c>
      <c r="E40" s="596" t="s">
        <v>2514</v>
      </c>
      <c r="F40" s="451" t="s">
        <v>204</v>
      </c>
      <c r="G40" s="452" t="s">
        <v>2481</v>
      </c>
      <c r="H40" s="463" t="s">
        <v>2489</v>
      </c>
      <c r="I40" s="453" t="s">
        <v>42</v>
      </c>
      <c r="J40" s="454">
        <v>42290</v>
      </c>
      <c r="K40" s="454">
        <v>28581</v>
      </c>
      <c r="L40" s="454">
        <v>0</v>
      </c>
      <c r="M40" s="454">
        <v>0</v>
      </c>
      <c r="N40" s="454">
        <v>0</v>
      </c>
      <c r="O40" s="454">
        <v>0</v>
      </c>
      <c r="P40" s="454">
        <v>0</v>
      </c>
      <c r="Q40" s="454">
        <v>0</v>
      </c>
      <c r="R40" s="454">
        <v>0</v>
      </c>
      <c r="S40" s="454"/>
      <c r="T40" s="454"/>
      <c r="U40" s="454"/>
      <c r="V40" s="454"/>
      <c r="W40" s="454"/>
      <c r="X40" s="454"/>
      <c r="Y40" s="454">
        <f t="shared" si="1"/>
        <v>0</v>
      </c>
      <c r="Z40" s="455">
        <v>13145</v>
      </c>
      <c r="AA40" s="456">
        <v>3</v>
      </c>
      <c r="AB40" s="457">
        <v>44204</v>
      </c>
      <c r="AC40" s="458">
        <v>44223</v>
      </c>
      <c r="AD40" s="455"/>
      <c r="AE40" s="459"/>
      <c r="AF40" s="460"/>
      <c r="AG40" s="458"/>
      <c r="AH40" s="455"/>
      <c r="AI40" s="456"/>
      <c r="AJ40" s="460"/>
      <c r="AK40" s="458"/>
      <c r="AL40" s="455"/>
      <c r="AM40" s="456"/>
      <c r="AN40" s="460"/>
      <c r="AO40" s="458"/>
      <c r="AP40" s="455"/>
      <c r="AQ40" s="456"/>
      <c r="AR40" s="460"/>
      <c r="AS40" s="458"/>
      <c r="AT40" s="154">
        <f t="shared" si="0"/>
        <v>13145</v>
      </c>
      <c r="AU40" s="461">
        <f t="shared" si="2"/>
        <v>13145</v>
      </c>
    </row>
    <row r="41" spans="2:47" s="148" customFormat="1" x14ac:dyDescent="0.25">
      <c r="B41" s="149">
        <v>26</v>
      </c>
      <c r="C41" s="149" t="s">
        <v>38</v>
      </c>
      <c r="D41" s="450">
        <v>30109942</v>
      </c>
      <c r="E41" s="596" t="s">
        <v>2515</v>
      </c>
      <c r="F41" s="451" t="s">
        <v>539</v>
      </c>
      <c r="G41" s="452" t="s">
        <v>2481</v>
      </c>
      <c r="H41" s="463" t="s">
        <v>2489</v>
      </c>
      <c r="I41" s="453" t="s">
        <v>42</v>
      </c>
      <c r="J41" s="454">
        <v>67533</v>
      </c>
      <c r="K41" s="454">
        <v>41657</v>
      </c>
      <c r="L41" s="454">
        <v>0</v>
      </c>
      <c r="M41" s="454">
        <v>12946</v>
      </c>
      <c r="N41" s="454">
        <v>0</v>
      </c>
      <c r="O41" s="454">
        <v>4120</v>
      </c>
      <c r="P41" s="454">
        <v>0</v>
      </c>
      <c r="Q41" s="454">
        <v>0</v>
      </c>
      <c r="R41" s="454">
        <v>0</v>
      </c>
      <c r="S41" s="454"/>
      <c r="T41" s="454"/>
      <c r="U41" s="454"/>
      <c r="V41" s="454"/>
      <c r="W41" s="454"/>
      <c r="X41" s="454"/>
      <c r="Y41" s="454">
        <f t="shared" si="1"/>
        <v>17066</v>
      </c>
      <c r="Z41" s="455">
        <v>20000</v>
      </c>
      <c r="AA41" s="456">
        <v>3</v>
      </c>
      <c r="AB41" s="457">
        <v>44204</v>
      </c>
      <c r="AC41" s="458">
        <v>44223</v>
      </c>
      <c r="AD41" s="455"/>
      <c r="AE41" s="459"/>
      <c r="AF41" s="460"/>
      <c r="AG41" s="458"/>
      <c r="AH41" s="455"/>
      <c r="AI41" s="456"/>
      <c r="AJ41" s="460"/>
      <c r="AK41" s="458"/>
      <c r="AL41" s="455"/>
      <c r="AM41" s="456"/>
      <c r="AN41" s="460"/>
      <c r="AO41" s="458"/>
      <c r="AP41" s="455"/>
      <c r="AQ41" s="456"/>
      <c r="AR41" s="460"/>
      <c r="AS41" s="458"/>
      <c r="AT41" s="154">
        <f t="shared" si="0"/>
        <v>20000</v>
      </c>
      <c r="AU41" s="461">
        <f t="shared" si="2"/>
        <v>2934</v>
      </c>
    </row>
    <row r="42" spans="2:47" s="148" customFormat="1" ht="22.5" x14ac:dyDescent="0.25">
      <c r="B42" s="149">
        <v>27</v>
      </c>
      <c r="C42" s="149" t="s">
        <v>38</v>
      </c>
      <c r="D42" s="450">
        <v>30110742</v>
      </c>
      <c r="E42" s="596" t="s">
        <v>2516</v>
      </c>
      <c r="F42" s="451" t="s">
        <v>200</v>
      </c>
      <c r="G42" s="452" t="s">
        <v>2481</v>
      </c>
      <c r="H42" s="463" t="s">
        <v>226</v>
      </c>
      <c r="I42" s="453" t="s">
        <v>42</v>
      </c>
      <c r="J42" s="454">
        <v>1659257</v>
      </c>
      <c r="K42" s="454">
        <v>1655249</v>
      </c>
      <c r="L42" s="454">
        <v>0</v>
      </c>
      <c r="M42" s="454">
        <v>0</v>
      </c>
      <c r="N42" s="454">
        <v>0</v>
      </c>
      <c r="O42" s="454">
        <v>0</v>
      </c>
      <c r="P42" s="454">
        <v>0</v>
      </c>
      <c r="Q42" s="454">
        <v>0</v>
      </c>
      <c r="R42" s="454">
        <v>0</v>
      </c>
      <c r="S42" s="454"/>
      <c r="T42" s="454"/>
      <c r="U42" s="454"/>
      <c r="V42" s="454"/>
      <c r="W42" s="454"/>
      <c r="X42" s="454"/>
      <c r="Y42" s="454">
        <f t="shared" si="1"/>
        <v>0</v>
      </c>
      <c r="Z42" s="455">
        <v>3043</v>
      </c>
      <c r="AA42" s="456">
        <v>3</v>
      </c>
      <c r="AB42" s="457">
        <v>44204</v>
      </c>
      <c r="AC42" s="458">
        <v>44223</v>
      </c>
      <c r="AD42" s="455"/>
      <c r="AE42" s="459"/>
      <c r="AF42" s="460"/>
      <c r="AG42" s="458"/>
      <c r="AH42" s="455"/>
      <c r="AI42" s="456"/>
      <c r="AJ42" s="460"/>
      <c r="AK42" s="458"/>
      <c r="AL42" s="455"/>
      <c r="AM42" s="456"/>
      <c r="AN42" s="460"/>
      <c r="AO42" s="458"/>
      <c r="AP42" s="455"/>
      <c r="AQ42" s="456"/>
      <c r="AR42" s="460"/>
      <c r="AS42" s="458"/>
      <c r="AT42" s="154">
        <f t="shared" si="0"/>
        <v>3043</v>
      </c>
      <c r="AU42" s="461">
        <f t="shared" si="2"/>
        <v>3043</v>
      </c>
    </row>
    <row r="43" spans="2:47" s="148" customFormat="1" x14ac:dyDescent="0.25">
      <c r="B43" s="149">
        <v>28</v>
      </c>
      <c r="C43" s="149" t="s">
        <v>38</v>
      </c>
      <c r="D43" s="450">
        <v>30109406</v>
      </c>
      <c r="E43" s="596" t="s">
        <v>2517</v>
      </c>
      <c r="F43" s="451" t="s">
        <v>200</v>
      </c>
      <c r="G43" s="452" t="s">
        <v>2481</v>
      </c>
      <c r="H43" s="463" t="s">
        <v>2518</v>
      </c>
      <c r="I43" s="453" t="s">
        <v>42</v>
      </c>
      <c r="J43" s="454">
        <v>1027940</v>
      </c>
      <c r="K43" s="454">
        <v>2844</v>
      </c>
      <c r="L43" s="454">
        <v>149096</v>
      </c>
      <c r="M43" s="454">
        <v>0</v>
      </c>
      <c r="N43" s="454">
        <v>900</v>
      </c>
      <c r="O43" s="454">
        <v>98909</v>
      </c>
      <c r="P43" s="454">
        <v>220185</v>
      </c>
      <c r="Q43" s="454">
        <v>4671</v>
      </c>
      <c r="R43" s="454">
        <v>0</v>
      </c>
      <c r="S43" s="454"/>
      <c r="T43" s="454"/>
      <c r="U43" s="454"/>
      <c r="V43" s="454"/>
      <c r="W43" s="454"/>
      <c r="X43" s="454"/>
      <c r="Y43" s="454">
        <f t="shared" si="1"/>
        <v>324665</v>
      </c>
      <c r="Z43" s="455">
        <v>215900</v>
      </c>
      <c r="AA43" s="456">
        <v>3</v>
      </c>
      <c r="AB43" s="457">
        <v>44204</v>
      </c>
      <c r="AC43" s="458">
        <v>44223</v>
      </c>
      <c r="AD43" s="455">
        <v>224100</v>
      </c>
      <c r="AE43" s="459">
        <v>29</v>
      </c>
      <c r="AF43" s="457">
        <v>44270</v>
      </c>
      <c r="AG43" s="458">
        <v>44286</v>
      </c>
      <c r="AH43" s="455"/>
      <c r="AI43" s="456"/>
      <c r="AJ43" s="460"/>
      <c r="AK43" s="458"/>
      <c r="AL43" s="455"/>
      <c r="AM43" s="456"/>
      <c r="AN43" s="460"/>
      <c r="AO43" s="458"/>
      <c r="AP43" s="455"/>
      <c r="AQ43" s="456"/>
      <c r="AR43" s="460"/>
      <c r="AS43" s="458"/>
      <c r="AT43" s="154">
        <f t="shared" si="0"/>
        <v>440000</v>
      </c>
      <c r="AU43" s="461">
        <f t="shared" si="2"/>
        <v>115335</v>
      </c>
    </row>
    <row r="44" spans="2:47" s="148" customFormat="1" x14ac:dyDescent="0.25">
      <c r="B44" s="149">
        <v>29</v>
      </c>
      <c r="C44" s="149" t="s">
        <v>38</v>
      </c>
      <c r="D44" s="450">
        <v>30156826</v>
      </c>
      <c r="E44" s="596" t="s">
        <v>2519</v>
      </c>
      <c r="F44" s="451" t="s">
        <v>204</v>
      </c>
      <c r="G44" s="452" t="s">
        <v>2481</v>
      </c>
      <c r="H44" s="463" t="s">
        <v>2520</v>
      </c>
      <c r="I44" s="453" t="s">
        <v>42</v>
      </c>
      <c r="J44" s="454">
        <v>39334</v>
      </c>
      <c r="K44" s="454">
        <v>17043</v>
      </c>
      <c r="L44" s="454">
        <v>0</v>
      </c>
      <c r="M44" s="454">
        <v>0</v>
      </c>
      <c r="N44" s="454">
        <v>0</v>
      </c>
      <c r="O44" s="454">
        <v>0</v>
      </c>
      <c r="P44" s="454">
        <v>0</v>
      </c>
      <c r="Q44" s="454">
        <v>0</v>
      </c>
      <c r="R44" s="454">
        <v>0</v>
      </c>
      <c r="S44" s="454"/>
      <c r="T44" s="454"/>
      <c r="U44" s="454"/>
      <c r="V44" s="454"/>
      <c r="W44" s="454"/>
      <c r="X44" s="454"/>
      <c r="Y44" s="454">
        <f t="shared" si="1"/>
        <v>0</v>
      </c>
      <c r="Z44" s="455">
        <v>19485</v>
      </c>
      <c r="AA44" s="456">
        <v>3</v>
      </c>
      <c r="AB44" s="457">
        <v>44204</v>
      </c>
      <c r="AC44" s="458">
        <v>44223</v>
      </c>
      <c r="AD44" s="455"/>
      <c r="AE44" s="459"/>
      <c r="AF44" s="460"/>
      <c r="AG44" s="458"/>
      <c r="AH44" s="455"/>
      <c r="AI44" s="456"/>
      <c r="AJ44" s="460"/>
      <c r="AK44" s="458"/>
      <c r="AL44" s="455"/>
      <c r="AM44" s="456"/>
      <c r="AN44" s="460"/>
      <c r="AO44" s="458"/>
      <c r="AP44" s="455"/>
      <c r="AQ44" s="456"/>
      <c r="AR44" s="460"/>
      <c r="AS44" s="458"/>
      <c r="AT44" s="154">
        <f t="shared" si="0"/>
        <v>19485</v>
      </c>
      <c r="AU44" s="461">
        <f t="shared" si="2"/>
        <v>19485</v>
      </c>
    </row>
    <row r="45" spans="2:47" s="148" customFormat="1" x14ac:dyDescent="0.25">
      <c r="B45" s="149">
        <v>30</v>
      </c>
      <c r="C45" s="149" t="s">
        <v>38</v>
      </c>
      <c r="D45" s="450">
        <v>30157272</v>
      </c>
      <c r="E45" s="596" t="s">
        <v>2521</v>
      </c>
      <c r="F45" s="451" t="s">
        <v>204</v>
      </c>
      <c r="G45" s="452" t="s">
        <v>2481</v>
      </c>
      <c r="H45" s="463" t="s">
        <v>2520</v>
      </c>
      <c r="I45" s="453" t="s">
        <v>42</v>
      </c>
      <c r="J45" s="454">
        <v>39330</v>
      </c>
      <c r="K45" s="454">
        <v>18832</v>
      </c>
      <c r="L45" s="454">
        <v>0</v>
      </c>
      <c r="M45" s="454">
        <v>0</v>
      </c>
      <c r="N45" s="454">
        <v>0</v>
      </c>
      <c r="O45" s="454">
        <v>0</v>
      </c>
      <c r="P45" s="454">
        <v>0</v>
      </c>
      <c r="Q45" s="454">
        <v>0</v>
      </c>
      <c r="R45" s="454">
        <v>0</v>
      </c>
      <c r="S45" s="454"/>
      <c r="T45" s="454"/>
      <c r="U45" s="454"/>
      <c r="V45" s="454"/>
      <c r="W45" s="454"/>
      <c r="X45" s="454"/>
      <c r="Y45" s="454">
        <f t="shared" si="1"/>
        <v>0</v>
      </c>
      <c r="Z45" s="455">
        <v>18076</v>
      </c>
      <c r="AA45" s="456">
        <v>3</v>
      </c>
      <c r="AB45" s="457">
        <v>44204</v>
      </c>
      <c r="AC45" s="458">
        <v>44223</v>
      </c>
      <c r="AD45" s="455"/>
      <c r="AE45" s="459"/>
      <c r="AF45" s="460"/>
      <c r="AG45" s="458"/>
      <c r="AH45" s="455"/>
      <c r="AI45" s="456"/>
      <c r="AJ45" s="460"/>
      <c r="AK45" s="458"/>
      <c r="AL45" s="455"/>
      <c r="AM45" s="456"/>
      <c r="AN45" s="460"/>
      <c r="AO45" s="458"/>
      <c r="AP45" s="455"/>
      <c r="AQ45" s="456"/>
      <c r="AR45" s="460"/>
      <c r="AS45" s="458"/>
      <c r="AT45" s="154">
        <f t="shared" si="0"/>
        <v>18076</v>
      </c>
      <c r="AU45" s="461">
        <f t="shared" si="2"/>
        <v>18076</v>
      </c>
    </row>
    <row r="46" spans="2:47" s="148" customFormat="1" x14ac:dyDescent="0.25">
      <c r="B46" s="149">
        <v>31</v>
      </c>
      <c r="C46" s="149" t="s">
        <v>38</v>
      </c>
      <c r="D46" s="450">
        <v>30117041</v>
      </c>
      <c r="E46" s="596" t="s">
        <v>2522</v>
      </c>
      <c r="F46" s="451" t="s">
        <v>204</v>
      </c>
      <c r="G46" s="452" t="s">
        <v>2481</v>
      </c>
      <c r="H46" s="463" t="s">
        <v>2504</v>
      </c>
      <c r="I46" s="453" t="s">
        <v>42</v>
      </c>
      <c r="J46" s="454">
        <v>93338</v>
      </c>
      <c r="K46" s="454">
        <v>53643</v>
      </c>
      <c r="L46" s="454">
        <v>0</v>
      </c>
      <c r="M46" s="454">
        <v>0</v>
      </c>
      <c r="N46" s="454">
        <v>13400</v>
      </c>
      <c r="O46" s="454">
        <v>0</v>
      </c>
      <c r="P46" s="454">
        <v>0</v>
      </c>
      <c r="Q46" s="454">
        <v>0</v>
      </c>
      <c r="R46" s="454">
        <v>0</v>
      </c>
      <c r="S46" s="454"/>
      <c r="T46" s="454"/>
      <c r="U46" s="454"/>
      <c r="V46" s="454"/>
      <c r="W46" s="454"/>
      <c r="X46" s="454"/>
      <c r="Y46" s="454">
        <f t="shared" si="1"/>
        <v>13400</v>
      </c>
      <c r="Z46" s="455">
        <v>37727</v>
      </c>
      <c r="AA46" s="456">
        <v>3</v>
      </c>
      <c r="AB46" s="457">
        <v>44204</v>
      </c>
      <c r="AC46" s="458">
        <v>44223</v>
      </c>
      <c r="AD46" s="455"/>
      <c r="AE46" s="459"/>
      <c r="AF46" s="460"/>
      <c r="AG46" s="458"/>
      <c r="AH46" s="455"/>
      <c r="AI46" s="456"/>
      <c r="AJ46" s="460"/>
      <c r="AK46" s="458"/>
      <c r="AL46" s="455"/>
      <c r="AM46" s="456"/>
      <c r="AN46" s="460"/>
      <c r="AO46" s="458"/>
      <c r="AP46" s="455"/>
      <c r="AQ46" s="456"/>
      <c r="AR46" s="460"/>
      <c r="AS46" s="458"/>
      <c r="AT46" s="154">
        <f t="shared" si="0"/>
        <v>37727</v>
      </c>
      <c r="AU46" s="461">
        <f t="shared" si="2"/>
        <v>24327</v>
      </c>
    </row>
    <row r="47" spans="2:47" s="148" customFormat="1" x14ac:dyDescent="0.25">
      <c r="B47" s="149">
        <v>32</v>
      </c>
      <c r="C47" s="149" t="s">
        <v>38</v>
      </c>
      <c r="D47" s="450">
        <v>30428384</v>
      </c>
      <c r="E47" s="596" t="s">
        <v>2523</v>
      </c>
      <c r="F47" s="451" t="s">
        <v>204</v>
      </c>
      <c r="G47" s="452" t="s">
        <v>2481</v>
      </c>
      <c r="H47" s="463" t="s">
        <v>226</v>
      </c>
      <c r="I47" s="453" t="s">
        <v>42</v>
      </c>
      <c r="J47" s="454">
        <v>218998</v>
      </c>
      <c r="K47" s="454">
        <v>198898</v>
      </c>
      <c r="L47" s="454">
        <v>0</v>
      </c>
      <c r="M47" s="454">
        <v>0</v>
      </c>
      <c r="N47" s="454">
        <v>0</v>
      </c>
      <c r="O47" s="454">
        <v>0</v>
      </c>
      <c r="P47" s="454">
        <v>0</v>
      </c>
      <c r="Q47" s="454">
        <v>0</v>
      </c>
      <c r="R47" s="454">
        <v>0</v>
      </c>
      <c r="S47" s="454"/>
      <c r="T47" s="454"/>
      <c r="U47" s="454"/>
      <c r="V47" s="454"/>
      <c r="W47" s="454"/>
      <c r="X47" s="454"/>
      <c r="Y47" s="454">
        <f t="shared" si="1"/>
        <v>0</v>
      </c>
      <c r="Z47" s="455">
        <v>20100</v>
      </c>
      <c r="AA47" s="456">
        <v>3</v>
      </c>
      <c r="AB47" s="457">
        <v>44204</v>
      </c>
      <c r="AC47" s="458">
        <v>44223</v>
      </c>
      <c r="AD47" s="455"/>
      <c r="AE47" s="459"/>
      <c r="AF47" s="460"/>
      <c r="AG47" s="458"/>
      <c r="AH47" s="455"/>
      <c r="AI47" s="456"/>
      <c r="AJ47" s="460"/>
      <c r="AK47" s="458"/>
      <c r="AL47" s="455"/>
      <c r="AM47" s="456"/>
      <c r="AN47" s="460"/>
      <c r="AO47" s="458"/>
      <c r="AP47" s="455"/>
      <c r="AQ47" s="456"/>
      <c r="AR47" s="460"/>
      <c r="AS47" s="458"/>
      <c r="AT47" s="154">
        <f t="shared" si="0"/>
        <v>20100</v>
      </c>
      <c r="AU47" s="461">
        <f t="shared" si="2"/>
        <v>20100</v>
      </c>
    </row>
    <row r="48" spans="2:47" s="148" customFormat="1" ht="22.5" x14ac:dyDescent="0.25">
      <c r="B48" s="149">
        <v>33</v>
      </c>
      <c r="C48" s="149" t="s">
        <v>38</v>
      </c>
      <c r="D48" s="450">
        <v>30349285</v>
      </c>
      <c r="E48" s="596" t="s">
        <v>2524</v>
      </c>
      <c r="F48" s="451" t="s">
        <v>200</v>
      </c>
      <c r="G48" s="452" t="s">
        <v>2481</v>
      </c>
      <c r="H48" s="463" t="s">
        <v>2501</v>
      </c>
      <c r="I48" s="453" t="s">
        <v>42</v>
      </c>
      <c r="J48" s="454">
        <v>416602</v>
      </c>
      <c r="K48" s="454">
        <v>403052</v>
      </c>
      <c r="L48" s="454">
        <v>0</v>
      </c>
      <c r="M48" s="454">
        <v>0</v>
      </c>
      <c r="N48" s="454">
        <v>0</v>
      </c>
      <c r="O48" s="454">
        <v>0</v>
      </c>
      <c r="P48" s="454">
        <v>0</v>
      </c>
      <c r="Q48" s="454">
        <v>0</v>
      </c>
      <c r="R48" s="454">
        <v>10238</v>
      </c>
      <c r="S48" s="454"/>
      <c r="T48" s="454"/>
      <c r="U48" s="454"/>
      <c r="V48" s="454"/>
      <c r="W48" s="454"/>
      <c r="X48" s="454"/>
      <c r="Y48" s="454">
        <f t="shared" si="1"/>
        <v>10238</v>
      </c>
      <c r="Z48" s="455">
        <v>13185</v>
      </c>
      <c r="AA48" s="456">
        <v>5</v>
      </c>
      <c r="AB48" s="457">
        <v>44209</v>
      </c>
      <c r="AC48" s="458">
        <v>44225</v>
      </c>
      <c r="AD48" s="455"/>
      <c r="AE48" s="459"/>
      <c r="AF48" s="460"/>
      <c r="AG48" s="458"/>
      <c r="AH48" s="455"/>
      <c r="AI48" s="456"/>
      <c r="AJ48" s="460"/>
      <c r="AK48" s="458"/>
      <c r="AL48" s="455"/>
      <c r="AM48" s="456"/>
      <c r="AN48" s="460"/>
      <c r="AO48" s="458"/>
      <c r="AP48" s="455"/>
      <c r="AQ48" s="456"/>
      <c r="AR48" s="460"/>
      <c r="AS48" s="458"/>
      <c r="AT48" s="154">
        <f t="shared" si="0"/>
        <v>13185</v>
      </c>
      <c r="AU48" s="461">
        <f t="shared" si="2"/>
        <v>2947</v>
      </c>
    </row>
    <row r="49" spans="2:47" s="148" customFormat="1" x14ac:dyDescent="0.25">
      <c r="B49" s="149">
        <v>34</v>
      </c>
      <c r="C49" s="149" t="s">
        <v>38</v>
      </c>
      <c r="D49" s="450">
        <v>30095372</v>
      </c>
      <c r="E49" s="596" t="s">
        <v>2525</v>
      </c>
      <c r="F49" s="451" t="s">
        <v>200</v>
      </c>
      <c r="G49" s="452" t="s">
        <v>2481</v>
      </c>
      <c r="H49" s="463" t="s">
        <v>2526</v>
      </c>
      <c r="I49" s="453" t="s">
        <v>42</v>
      </c>
      <c r="J49" s="454">
        <v>1244179</v>
      </c>
      <c r="K49" s="454">
        <v>1229479</v>
      </c>
      <c r="L49" s="454">
        <v>0</v>
      </c>
      <c r="M49" s="454">
        <v>0</v>
      </c>
      <c r="N49" s="454">
        <v>0</v>
      </c>
      <c r="O49" s="454">
        <v>0</v>
      </c>
      <c r="P49" s="454">
        <v>0</v>
      </c>
      <c r="Q49" s="454">
        <v>0</v>
      </c>
      <c r="R49" s="454">
        <v>0</v>
      </c>
      <c r="S49" s="454"/>
      <c r="T49" s="454"/>
      <c r="U49" s="454"/>
      <c r="V49" s="454"/>
      <c r="W49" s="454"/>
      <c r="X49" s="454"/>
      <c r="Y49" s="454">
        <f t="shared" si="1"/>
        <v>0</v>
      </c>
      <c r="Z49" s="455">
        <v>5197</v>
      </c>
      <c r="AA49" s="456">
        <v>5</v>
      </c>
      <c r="AB49" s="457">
        <v>44209</v>
      </c>
      <c r="AC49" s="458">
        <v>44225</v>
      </c>
      <c r="AD49" s="455"/>
      <c r="AE49" s="459"/>
      <c r="AF49" s="460"/>
      <c r="AG49" s="458"/>
      <c r="AH49" s="455"/>
      <c r="AI49" s="456"/>
      <c r="AJ49" s="460"/>
      <c r="AK49" s="458"/>
      <c r="AL49" s="455"/>
      <c r="AM49" s="456"/>
      <c r="AN49" s="460"/>
      <c r="AO49" s="458"/>
      <c r="AP49" s="455"/>
      <c r="AQ49" s="456"/>
      <c r="AR49" s="460"/>
      <c r="AS49" s="458"/>
      <c r="AT49" s="154">
        <f t="shared" si="0"/>
        <v>5197</v>
      </c>
      <c r="AU49" s="461">
        <f t="shared" si="2"/>
        <v>5197</v>
      </c>
    </row>
    <row r="50" spans="2:47" s="148" customFormat="1" x14ac:dyDescent="0.25">
      <c r="B50" s="149">
        <v>35</v>
      </c>
      <c r="C50" s="149" t="s">
        <v>38</v>
      </c>
      <c r="D50" s="450">
        <v>30483533</v>
      </c>
      <c r="E50" s="596" t="s">
        <v>2527</v>
      </c>
      <c r="F50" s="451" t="s">
        <v>204</v>
      </c>
      <c r="G50" s="452" t="s">
        <v>2481</v>
      </c>
      <c r="H50" s="463" t="s">
        <v>2498</v>
      </c>
      <c r="I50" s="453" t="s">
        <v>42</v>
      </c>
      <c r="J50" s="454">
        <v>44058</v>
      </c>
      <c r="K50" s="454">
        <v>23714</v>
      </c>
      <c r="L50" s="454">
        <v>0</v>
      </c>
      <c r="M50" s="454">
        <v>0</v>
      </c>
      <c r="N50" s="454">
        <v>0</v>
      </c>
      <c r="O50" s="454">
        <v>0</v>
      </c>
      <c r="P50" s="454">
        <v>0</v>
      </c>
      <c r="Q50" s="454">
        <v>0</v>
      </c>
      <c r="R50" s="454">
        <v>0</v>
      </c>
      <c r="S50" s="454"/>
      <c r="T50" s="454"/>
      <c r="U50" s="454"/>
      <c r="V50" s="454"/>
      <c r="W50" s="454"/>
      <c r="X50" s="454"/>
      <c r="Y50" s="454">
        <f t="shared" si="1"/>
        <v>0</v>
      </c>
      <c r="Z50" s="455">
        <v>20127</v>
      </c>
      <c r="AA50" s="456">
        <v>5</v>
      </c>
      <c r="AB50" s="457">
        <v>44209</v>
      </c>
      <c r="AC50" s="458">
        <v>44225</v>
      </c>
      <c r="AD50" s="455"/>
      <c r="AE50" s="459"/>
      <c r="AF50" s="460"/>
      <c r="AG50" s="458"/>
      <c r="AH50" s="455"/>
      <c r="AI50" s="456"/>
      <c r="AJ50" s="460"/>
      <c r="AK50" s="458"/>
      <c r="AL50" s="455"/>
      <c r="AM50" s="456"/>
      <c r="AN50" s="460"/>
      <c r="AO50" s="458"/>
      <c r="AP50" s="455"/>
      <c r="AQ50" s="456"/>
      <c r="AR50" s="460"/>
      <c r="AS50" s="458"/>
      <c r="AT50" s="154">
        <f t="shared" si="0"/>
        <v>20127</v>
      </c>
      <c r="AU50" s="461">
        <f t="shared" si="2"/>
        <v>20127</v>
      </c>
    </row>
    <row r="51" spans="2:47" s="148" customFormat="1" x14ac:dyDescent="0.25">
      <c r="B51" s="149">
        <v>36</v>
      </c>
      <c r="C51" s="149" t="s">
        <v>38</v>
      </c>
      <c r="D51" s="450">
        <v>30113923</v>
      </c>
      <c r="E51" s="596" t="s">
        <v>2528</v>
      </c>
      <c r="F51" s="451" t="s">
        <v>200</v>
      </c>
      <c r="G51" s="452" t="s">
        <v>2481</v>
      </c>
      <c r="H51" s="463" t="s">
        <v>2504</v>
      </c>
      <c r="I51" s="453" t="s">
        <v>42</v>
      </c>
      <c r="J51" s="454">
        <v>2145356</v>
      </c>
      <c r="K51" s="454">
        <v>41283</v>
      </c>
      <c r="L51" s="454">
        <v>0</v>
      </c>
      <c r="M51" s="454">
        <v>0</v>
      </c>
      <c r="N51" s="454">
        <v>3700</v>
      </c>
      <c r="O51" s="454">
        <v>133593</v>
      </c>
      <c r="P51" s="454">
        <v>92947</v>
      </c>
      <c r="Q51" s="454">
        <v>124719</v>
      </c>
      <c r="R51" s="454">
        <v>192232</v>
      </c>
      <c r="S51" s="454"/>
      <c r="T51" s="454"/>
      <c r="U51" s="454"/>
      <c r="V51" s="454"/>
      <c r="W51" s="454"/>
      <c r="X51" s="454"/>
      <c r="Y51" s="454">
        <f t="shared" si="1"/>
        <v>547191</v>
      </c>
      <c r="Z51" s="455">
        <v>650002</v>
      </c>
      <c r="AA51" s="456">
        <v>5</v>
      </c>
      <c r="AB51" s="457">
        <v>44209</v>
      </c>
      <c r="AC51" s="458">
        <v>44225</v>
      </c>
      <c r="AD51" s="455">
        <v>500000</v>
      </c>
      <c r="AE51" s="459">
        <v>61</v>
      </c>
      <c r="AF51" s="457">
        <v>44351</v>
      </c>
      <c r="AG51" s="458">
        <v>44372</v>
      </c>
      <c r="AH51" s="455"/>
      <c r="AI51" s="456"/>
      <c r="AJ51" s="460"/>
      <c r="AK51" s="458"/>
      <c r="AL51" s="455"/>
      <c r="AM51" s="456"/>
      <c r="AN51" s="460"/>
      <c r="AO51" s="458"/>
      <c r="AP51" s="455"/>
      <c r="AQ51" s="456"/>
      <c r="AR51" s="460"/>
      <c r="AS51" s="458"/>
      <c r="AT51" s="154">
        <f t="shared" si="0"/>
        <v>1150002</v>
      </c>
      <c r="AU51" s="461">
        <f t="shared" si="2"/>
        <v>602811</v>
      </c>
    </row>
    <row r="52" spans="2:47" s="148" customFormat="1" x14ac:dyDescent="0.25">
      <c r="B52" s="149">
        <v>37</v>
      </c>
      <c r="C52" s="149" t="s">
        <v>38</v>
      </c>
      <c r="D52" s="450">
        <v>30109822</v>
      </c>
      <c r="E52" s="596" t="s">
        <v>2529</v>
      </c>
      <c r="F52" s="451" t="s">
        <v>204</v>
      </c>
      <c r="G52" s="452" t="s">
        <v>2481</v>
      </c>
      <c r="H52" s="463" t="s">
        <v>2518</v>
      </c>
      <c r="I52" s="453" t="s">
        <v>42</v>
      </c>
      <c r="J52" s="454">
        <v>453882</v>
      </c>
      <c r="K52" s="454">
        <v>406719</v>
      </c>
      <c r="L52" s="454">
        <v>0</v>
      </c>
      <c r="M52" s="454">
        <v>1600</v>
      </c>
      <c r="N52" s="454">
        <v>1600</v>
      </c>
      <c r="O52" s="454">
        <v>1600</v>
      </c>
      <c r="P52" s="454">
        <v>1600</v>
      </c>
      <c r="Q52" s="454">
        <v>17400</v>
      </c>
      <c r="R52" s="454">
        <v>1600</v>
      </c>
      <c r="S52" s="454"/>
      <c r="T52" s="454"/>
      <c r="U52" s="454"/>
      <c r="V52" s="454"/>
      <c r="W52" s="454"/>
      <c r="X52" s="454"/>
      <c r="Y52" s="454">
        <f t="shared" si="1"/>
        <v>25400</v>
      </c>
      <c r="Z52" s="455">
        <v>30000</v>
      </c>
      <c r="AA52" s="456">
        <v>5</v>
      </c>
      <c r="AB52" s="457">
        <v>44209</v>
      </c>
      <c r="AC52" s="458">
        <v>44225</v>
      </c>
      <c r="AD52" s="455">
        <v>9600</v>
      </c>
      <c r="AE52" s="459">
        <v>47</v>
      </c>
      <c r="AF52" s="457">
        <v>44319</v>
      </c>
      <c r="AG52" s="458">
        <v>44340</v>
      </c>
      <c r="AH52" s="455"/>
      <c r="AI52" s="456"/>
      <c r="AJ52" s="460"/>
      <c r="AK52" s="458"/>
      <c r="AL52" s="455"/>
      <c r="AM52" s="456"/>
      <c r="AN52" s="460"/>
      <c r="AO52" s="458"/>
      <c r="AP52" s="455"/>
      <c r="AQ52" s="456"/>
      <c r="AR52" s="460"/>
      <c r="AS52" s="458"/>
      <c r="AT52" s="154">
        <f t="shared" si="0"/>
        <v>39600</v>
      </c>
      <c r="AU52" s="461">
        <f t="shared" si="2"/>
        <v>14200</v>
      </c>
    </row>
    <row r="53" spans="2:47" s="148" customFormat="1" x14ac:dyDescent="0.25">
      <c r="B53" s="149">
        <v>38</v>
      </c>
      <c r="C53" s="149" t="s">
        <v>38</v>
      </c>
      <c r="D53" s="450">
        <v>30107311</v>
      </c>
      <c r="E53" s="596" t="s">
        <v>2530</v>
      </c>
      <c r="F53" s="451" t="s">
        <v>204</v>
      </c>
      <c r="G53" s="452" t="s">
        <v>2481</v>
      </c>
      <c r="H53" s="463" t="s">
        <v>2484</v>
      </c>
      <c r="I53" s="453" t="s">
        <v>42</v>
      </c>
      <c r="J53" s="454">
        <v>159174</v>
      </c>
      <c r="K53" s="454">
        <v>85122</v>
      </c>
      <c r="L53" s="454">
        <v>0</v>
      </c>
      <c r="M53" s="454">
        <v>0</v>
      </c>
      <c r="N53" s="454">
        <v>0</v>
      </c>
      <c r="O53" s="454">
        <v>0</v>
      </c>
      <c r="P53" s="454">
        <v>0</v>
      </c>
      <c r="Q53" s="454">
        <v>0</v>
      </c>
      <c r="R53" s="454">
        <v>0</v>
      </c>
      <c r="S53" s="454"/>
      <c r="T53" s="454"/>
      <c r="U53" s="454"/>
      <c r="V53" s="454"/>
      <c r="W53" s="454"/>
      <c r="X53" s="454"/>
      <c r="Y53" s="454">
        <f t="shared" si="1"/>
        <v>0</v>
      </c>
      <c r="Z53" s="455">
        <v>50000</v>
      </c>
      <c r="AA53" s="456">
        <v>5</v>
      </c>
      <c r="AB53" s="457">
        <v>44209</v>
      </c>
      <c r="AC53" s="458">
        <v>44225</v>
      </c>
      <c r="AD53" s="455"/>
      <c r="AE53" s="459"/>
      <c r="AF53" s="460"/>
      <c r="AG53" s="458"/>
      <c r="AH53" s="455"/>
      <c r="AI53" s="456"/>
      <c r="AJ53" s="460"/>
      <c r="AK53" s="458"/>
      <c r="AL53" s="455"/>
      <c r="AM53" s="456"/>
      <c r="AN53" s="460"/>
      <c r="AO53" s="458"/>
      <c r="AP53" s="455"/>
      <c r="AQ53" s="456"/>
      <c r="AR53" s="460"/>
      <c r="AS53" s="458"/>
      <c r="AT53" s="154">
        <f t="shared" si="0"/>
        <v>50000</v>
      </c>
      <c r="AU53" s="461">
        <f t="shared" si="2"/>
        <v>50000</v>
      </c>
    </row>
    <row r="54" spans="2:47" s="148" customFormat="1" ht="22.5" x14ac:dyDescent="0.25">
      <c r="B54" s="149">
        <v>39</v>
      </c>
      <c r="C54" s="149" t="s">
        <v>38</v>
      </c>
      <c r="D54" s="450">
        <v>30109018</v>
      </c>
      <c r="E54" s="596" t="s">
        <v>2531</v>
      </c>
      <c r="F54" s="451" t="s">
        <v>204</v>
      </c>
      <c r="G54" s="452" t="s">
        <v>2481</v>
      </c>
      <c r="H54" s="463" t="s">
        <v>2512</v>
      </c>
      <c r="I54" s="453" t="s">
        <v>42</v>
      </c>
      <c r="J54" s="454">
        <v>347806</v>
      </c>
      <c r="K54" s="454">
        <v>224949</v>
      </c>
      <c r="L54" s="454">
        <v>0</v>
      </c>
      <c r="M54" s="454">
        <v>0</v>
      </c>
      <c r="N54" s="454">
        <v>0</v>
      </c>
      <c r="O54" s="454">
        <v>0</v>
      </c>
      <c r="P54" s="454">
        <v>0</v>
      </c>
      <c r="Q54" s="454">
        <v>0</v>
      </c>
      <c r="R54" s="454">
        <v>0</v>
      </c>
      <c r="S54" s="454"/>
      <c r="T54" s="454"/>
      <c r="U54" s="454"/>
      <c r="V54" s="454"/>
      <c r="W54" s="454"/>
      <c r="X54" s="454"/>
      <c r="Y54" s="454">
        <f t="shared" si="1"/>
        <v>0</v>
      </c>
      <c r="Z54" s="455">
        <v>50001</v>
      </c>
      <c r="AA54" s="456">
        <v>5</v>
      </c>
      <c r="AB54" s="457">
        <v>44209</v>
      </c>
      <c r="AC54" s="458">
        <v>44225</v>
      </c>
      <c r="AD54" s="455"/>
      <c r="AE54" s="459"/>
      <c r="AF54" s="460"/>
      <c r="AG54" s="458"/>
      <c r="AH54" s="455"/>
      <c r="AI54" s="456"/>
      <c r="AJ54" s="460"/>
      <c r="AK54" s="458"/>
      <c r="AL54" s="455"/>
      <c r="AM54" s="456"/>
      <c r="AN54" s="460"/>
      <c r="AO54" s="458"/>
      <c r="AP54" s="455"/>
      <c r="AQ54" s="456"/>
      <c r="AR54" s="460"/>
      <c r="AS54" s="458"/>
      <c r="AT54" s="154">
        <f t="shared" si="0"/>
        <v>50001</v>
      </c>
      <c r="AU54" s="461">
        <f t="shared" si="2"/>
        <v>50001</v>
      </c>
    </row>
    <row r="55" spans="2:47" s="148" customFormat="1" x14ac:dyDescent="0.25">
      <c r="B55" s="149">
        <v>40</v>
      </c>
      <c r="C55" s="149" t="s">
        <v>38</v>
      </c>
      <c r="D55" s="450">
        <v>30486958</v>
      </c>
      <c r="E55" s="596" t="s">
        <v>2532</v>
      </c>
      <c r="F55" s="451" t="s">
        <v>200</v>
      </c>
      <c r="G55" s="452" t="s">
        <v>2481</v>
      </c>
      <c r="H55" s="463" t="s">
        <v>2486</v>
      </c>
      <c r="I55" s="453" t="s">
        <v>42</v>
      </c>
      <c r="J55" s="454">
        <v>579599</v>
      </c>
      <c r="K55" s="454">
        <v>154829</v>
      </c>
      <c r="L55" s="454">
        <v>0</v>
      </c>
      <c r="M55" s="454">
        <v>34203</v>
      </c>
      <c r="N55" s="454">
        <v>22582</v>
      </c>
      <c r="O55" s="454">
        <v>66774</v>
      </c>
      <c r="P55" s="454">
        <v>41540</v>
      </c>
      <c r="Q55" s="454">
        <v>27709</v>
      </c>
      <c r="R55" s="454">
        <v>9084</v>
      </c>
      <c r="S55" s="454"/>
      <c r="T55" s="454"/>
      <c r="U55" s="454"/>
      <c r="V55" s="454"/>
      <c r="W55" s="454"/>
      <c r="X55" s="454"/>
      <c r="Y55" s="454">
        <f t="shared" si="1"/>
        <v>201892</v>
      </c>
      <c r="Z55" s="455">
        <v>260002</v>
      </c>
      <c r="AA55" s="456">
        <v>5</v>
      </c>
      <c r="AB55" s="457">
        <v>44209</v>
      </c>
      <c r="AC55" s="458">
        <v>44225</v>
      </c>
      <c r="AD55" s="455">
        <v>105410</v>
      </c>
      <c r="AE55" s="459">
        <v>47</v>
      </c>
      <c r="AF55" s="457">
        <v>44319</v>
      </c>
      <c r="AG55" s="458">
        <v>44340</v>
      </c>
      <c r="AH55" s="455"/>
      <c r="AI55" s="456"/>
      <c r="AJ55" s="460"/>
      <c r="AK55" s="458"/>
      <c r="AL55" s="455"/>
      <c r="AM55" s="456"/>
      <c r="AN55" s="460"/>
      <c r="AO55" s="458"/>
      <c r="AP55" s="455"/>
      <c r="AQ55" s="456"/>
      <c r="AR55" s="460"/>
      <c r="AS55" s="458"/>
      <c r="AT55" s="154">
        <f t="shared" si="0"/>
        <v>365412</v>
      </c>
      <c r="AU55" s="461">
        <f t="shared" si="2"/>
        <v>163520</v>
      </c>
    </row>
    <row r="56" spans="2:47" s="148" customFormat="1" x14ac:dyDescent="0.25">
      <c r="B56" s="149">
        <v>41</v>
      </c>
      <c r="C56" s="149" t="s">
        <v>38</v>
      </c>
      <c r="D56" s="450">
        <v>40016644</v>
      </c>
      <c r="E56" s="596" t="s">
        <v>2533</v>
      </c>
      <c r="F56" s="451" t="s">
        <v>200</v>
      </c>
      <c r="G56" s="452" t="s">
        <v>2481</v>
      </c>
      <c r="H56" s="463" t="s">
        <v>2512</v>
      </c>
      <c r="I56" s="453" t="s">
        <v>42</v>
      </c>
      <c r="J56" s="454">
        <v>496040</v>
      </c>
      <c r="K56" s="454">
        <v>5726</v>
      </c>
      <c r="L56" s="454">
        <v>0</v>
      </c>
      <c r="M56" s="454">
        <v>1200</v>
      </c>
      <c r="N56" s="454">
        <v>1200</v>
      </c>
      <c r="O56" s="454">
        <v>1200</v>
      </c>
      <c r="P56" s="454">
        <v>56946</v>
      </c>
      <c r="Q56" s="454">
        <v>21292</v>
      </c>
      <c r="R56" s="454">
        <v>1200</v>
      </c>
      <c r="S56" s="454"/>
      <c r="T56" s="454"/>
      <c r="U56" s="454"/>
      <c r="V56" s="454"/>
      <c r="W56" s="454"/>
      <c r="X56" s="454"/>
      <c r="Y56" s="454">
        <f t="shared" si="1"/>
        <v>83038</v>
      </c>
      <c r="Z56" s="455">
        <v>310002</v>
      </c>
      <c r="AA56" s="456">
        <v>5</v>
      </c>
      <c r="AB56" s="457">
        <v>44209</v>
      </c>
      <c r="AC56" s="458">
        <v>44225</v>
      </c>
      <c r="AD56" s="455"/>
      <c r="AE56" s="459"/>
      <c r="AF56" s="460"/>
      <c r="AG56" s="458"/>
      <c r="AH56" s="455"/>
      <c r="AI56" s="456"/>
      <c r="AJ56" s="460"/>
      <c r="AK56" s="458"/>
      <c r="AL56" s="455"/>
      <c r="AM56" s="456"/>
      <c r="AN56" s="460"/>
      <c r="AO56" s="458"/>
      <c r="AP56" s="455"/>
      <c r="AQ56" s="456"/>
      <c r="AR56" s="460"/>
      <c r="AS56" s="458"/>
      <c r="AT56" s="154">
        <f t="shared" si="0"/>
        <v>310002</v>
      </c>
      <c r="AU56" s="461">
        <f t="shared" si="2"/>
        <v>226964</v>
      </c>
    </row>
    <row r="57" spans="2:47" s="148" customFormat="1" x14ac:dyDescent="0.25">
      <c r="B57" s="149">
        <v>42</v>
      </c>
      <c r="C57" s="149" t="s">
        <v>38</v>
      </c>
      <c r="D57" s="450">
        <v>40020208</v>
      </c>
      <c r="E57" s="596" t="s">
        <v>2534</v>
      </c>
      <c r="F57" s="451" t="s">
        <v>200</v>
      </c>
      <c r="G57" s="452" t="s">
        <v>2481</v>
      </c>
      <c r="H57" s="463" t="s">
        <v>2512</v>
      </c>
      <c r="I57" s="453" t="s">
        <v>42</v>
      </c>
      <c r="J57" s="454">
        <v>575604</v>
      </c>
      <c r="K57" s="454">
        <v>27295</v>
      </c>
      <c r="L57" s="454">
        <v>0</v>
      </c>
      <c r="M57" s="454">
        <v>1286</v>
      </c>
      <c r="N57" s="454">
        <v>64587</v>
      </c>
      <c r="O57" s="454">
        <v>1286</v>
      </c>
      <c r="P57" s="454">
        <v>24474</v>
      </c>
      <c r="Q57" s="454">
        <v>21868</v>
      </c>
      <c r="R57" s="454">
        <v>1286</v>
      </c>
      <c r="S57" s="454"/>
      <c r="T57" s="454"/>
      <c r="U57" s="454"/>
      <c r="V57" s="454"/>
      <c r="W57" s="454"/>
      <c r="X57" s="454"/>
      <c r="Y57" s="454">
        <f t="shared" si="1"/>
        <v>114787</v>
      </c>
      <c r="Z57" s="455">
        <v>359345</v>
      </c>
      <c r="AA57" s="456">
        <v>5</v>
      </c>
      <c r="AB57" s="457">
        <v>44209</v>
      </c>
      <c r="AC57" s="458">
        <v>44225</v>
      </c>
      <c r="AD57" s="455"/>
      <c r="AE57" s="459"/>
      <c r="AF57" s="460"/>
      <c r="AG57" s="458"/>
      <c r="AH57" s="455"/>
      <c r="AI57" s="456"/>
      <c r="AJ57" s="460"/>
      <c r="AK57" s="458"/>
      <c r="AL57" s="455"/>
      <c r="AM57" s="456"/>
      <c r="AN57" s="460"/>
      <c r="AO57" s="458"/>
      <c r="AP57" s="455"/>
      <c r="AQ57" s="456"/>
      <c r="AR57" s="460"/>
      <c r="AS57" s="458"/>
      <c r="AT57" s="154">
        <f t="shared" si="0"/>
        <v>359345</v>
      </c>
      <c r="AU57" s="461">
        <f t="shared" si="2"/>
        <v>244558</v>
      </c>
    </row>
    <row r="58" spans="2:47" s="148" customFormat="1" ht="22.5" x14ac:dyDescent="0.25">
      <c r="B58" s="149">
        <v>43</v>
      </c>
      <c r="C58" s="149" t="s">
        <v>38</v>
      </c>
      <c r="D58" s="450">
        <v>30086714</v>
      </c>
      <c r="E58" s="596" t="s">
        <v>2535</v>
      </c>
      <c r="F58" s="451" t="s">
        <v>200</v>
      </c>
      <c r="G58" s="452" t="s">
        <v>2481</v>
      </c>
      <c r="H58" s="463" t="s">
        <v>2484</v>
      </c>
      <c r="I58" s="453" t="s">
        <v>42</v>
      </c>
      <c r="J58" s="454">
        <v>6938189</v>
      </c>
      <c r="K58" s="454">
        <v>1255986</v>
      </c>
      <c r="L58" s="454">
        <v>10</v>
      </c>
      <c r="M58" s="454">
        <v>111785</v>
      </c>
      <c r="N58" s="454">
        <v>117550</v>
      </c>
      <c r="O58" s="454">
        <v>110945</v>
      </c>
      <c r="P58" s="454">
        <v>118158</v>
      </c>
      <c r="Q58" s="454">
        <f>123526+39200</f>
        <v>162726</v>
      </c>
      <c r="R58" s="454">
        <v>146332</v>
      </c>
      <c r="S58" s="454"/>
      <c r="T58" s="454"/>
      <c r="U58" s="454"/>
      <c r="V58" s="454"/>
      <c r="W58" s="454"/>
      <c r="X58" s="454"/>
      <c r="Y58" s="454">
        <f t="shared" si="1"/>
        <v>767496</v>
      </c>
      <c r="Z58" s="455">
        <v>2020002</v>
      </c>
      <c r="AA58" s="456">
        <v>5</v>
      </c>
      <c r="AB58" s="457">
        <v>44209</v>
      </c>
      <c r="AC58" s="458">
        <v>44225</v>
      </c>
      <c r="AD58" s="455">
        <v>99200</v>
      </c>
      <c r="AE58" s="459">
        <v>10</v>
      </c>
      <c r="AF58" s="457">
        <v>44218</v>
      </c>
      <c r="AG58" s="458">
        <v>44239</v>
      </c>
      <c r="AH58" s="455"/>
      <c r="AI58" s="456"/>
      <c r="AJ58" s="460"/>
      <c r="AK58" s="458"/>
      <c r="AL58" s="455"/>
      <c r="AM58" s="456"/>
      <c r="AN58" s="460"/>
      <c r="AO58" s="458"/>
      <c r="AP58" s="455"/>
      <c r="AQ58" s="456"/>
      <c r="AR58" s="460"/>
      <c r="AS58" s="458"/>
      <c r="AT58" s="154">
        <f t="shared" si="0"/>
        <v>2119202</v>
      </c>
      <c r="AU58" s="461">
        <f t="shared" si="2"/>
        <v>1351706</v>
      </c>
    </row>
    <row r="59" spans="2:47" s="148" customFormat="1" ht="22.5" x14ac:dyDescent="0.25">
      <c r="B59" s="149">
        <v>44</v>
      </c>
      <c r="C59" s="149" t="s">
        <v>38</v>
      </c>
      <c r="D59" s="450">
        <v>30071098</v>
      </c>
      <c r="E59" s="596" t="s">
        <v>2536</v>
      </c>
      <c r="F59" s="451" t="s">
        <v>204</v>
      </c>
      <c r="G59" s="452" t="s">
        <v>2481</v>
      </c>
      <c r="H59" s="463" t="s">
        <v>2491</v>
      </c>
      <c r="I59" s="453" t="s">
        <v>42</v>
      </c>
      <c r="J59" s="454">
        <v>243780</v>
      </c>
      <c r="K59" s="454">
        <v>159001</v>
      </c>
      <c r="L59" s="454">
        <v>20410</v>
      </c>
      <c r="M59" s="454">
        <v>0</v>
      </c>
      <c r="N59" s="454">
        <v>0</v>
      </c>
      <c r="O59" s="454">
        <v>0</v>
      </c>
      <c r="P59" s="454">
        <v>0</v>
      </c>
      <c r="Q59" s="454">
        <v>0</v>
      </c>
      <c r="R59" s="454">
        <v>0</v>
      </c>
      <c r="S59" s="454"/>
      <c r="T59" s="454"/>
      <c r="U59" s="454"/>
      <c r="V59" s="454"/>
      <c r="W59" s="454"/>
      <c r="X59" s="454"/>
      <c r="Y59" s="454">
        <f t="shared" si="1"/>
        <v>0</v>
      </c>
      <c r="Z59" s="455">
        <v>60000</v>
      </c>
      <c r="AA59" s="456">
        <v>6</v>
      </c>
      <c r="AB59" s="457">
        <v>44209</v>
      </c>
      <c r="AC59" s="458">
        <v>44225</v>
      </c>
      <c r="AD59" s="455"/>
      <c r="AE59" s="459"/>
      <c r="AF59" s="460"/>
      <c r="AG59" s="458"/>
      <c r="AH59" s="455"/>
      <c r="AI59" s="456"/>
      <c r="AJ59" s="460"/>
      <c r="AK59" s="458"/>
      <c r="AL59" s="455"/>
      <c r="AM59" s="456"/>
      <c r="AN59" s="460"/>
      <c r="AO59" s="458"/>
      <c r="AP59" s="455"/>
      <c r="AQ59" s="456"/>
      <c r="AR59" s="460"/>
      <c r="AS59" s="458"/>
      <c r="AT59" s="154">
        <f t="shared" si="0"/>
        <v>60000</v>
      </c>
      <c r="AU59" s="461">
        <f t="shared" si="2"/>
        <v>60000</v>
      </c>
    </row>
    <row r="60" spans="2:47" s="148" customFormat="1" x14ac:dyDescent="0.25">
      <c r="B60" s="149">
        <v>45</v>
      </c>
      <c r="C60" s="149" t="s">
        <v>38</v>
      </c>
      <c r="D60" s="450">
        <v>30103018</v>
      </c>
      <c r="E60" s="596" t="s">
        <v>2537</v>
      </c>
      <c r="F60" s="451" t="s">
        <v>204</v>
      </c>
      <c r="G60" s="452" t="s">
        <v>2481</v>
      </c>
      <c r="H60" s="463" t="s">
        <v>2484</v>
      </c>
      <c r="I60" s="453" t="s">
        <v>42</v>
      </c>
      <c r="J60" s="454">
        <v>215023</v>
      </c>
      <c r="K60" s="454">
        <v>9082</v>
      </c>
      <c r="L60" s="454">
        <v>1442</v>
      </c>
      <c r="M60" s="454">
        <v>0</v>
      </c>
      <c r="N60" s="454">
        <v>0</v>
      </c>
      <c r="O60" s="454">
        <v>0</v>
      </c>
      <c r="P60" s="454">
        <v>0</v>
      </c>
      <c r="Q60" s="454">
        <v>0</v>
      </c>
      <c r="R60" s="454">
        <v>0</v>
      </c>
      <c r="S60" s="454"/>
      <c r="T60" s="454"/>
      <c r="U60" s="454"/>
      <c r="V60" s="454"/>
      <c r="W60" s="454"/>
      <c r="X60" s="454"/>
      <c r="Y60" s="454">
        <f t="shared" si="1"/>
        <v>0</v>
      </c>
      <c r="Z60" s="455">
        <v>50000</v>
      </c>
      <c r="AA60" s="456">
        <v>6</v>
      </c>
      <c r="AB60" s="457">
        <v>44209</v>
      </c>
      <c r="AC60" s="458">
        <v>44225</v>
      </c>
      <c r="AD60" s="455"/>
      <c r="AE60" s="459"/>
      <c r="AF60" s="460"/>
      <c r="AG60" s="458"/>
      <c r="AH60" s="455"/>
      <c r="AI60" s="456"/>
      <c r="AJ60" s="460"/>
      <c r="AK60" s="458"/>
      <c r="AL60" s="455"/>
      <c r="AM60" s="456"/>
      <c r="AN60" s="460"/>
      <c r="AO60" s="458"/>
      <c r="AP60" s="455"/>
      <c r="AQ60" s="456"/>
      <c r="AR60" s="460"/>
      <c r="AS60" s="458"/>
      <c r="AT60" s="154">
        <f t="shared" si="0"/>
        <v>50000</v>
      </c>
      <c r="AU60" s="461">
        <f t="shared" si="2"/>
        <v>50000</v>
      </c>
    </row>
    <row r="61" spans="2:47" s="148" customFormat="1" ht="22.5" x14ac:dyDescent="0.25">
      <c r="B61" s="149">
        <v>46</v>
      </c>
      <c r="C61" s="149" t="s">
        <v>38</v>
      </c>
      <c r="D61" s="450">
        <v>30093342</v>
      </c>
      <c r="E61" s="596" t="s">
        <v>2538</v>
      </c>
      <c r="F61" s="451" t="s">
        <v>204</v>
      </c>
      <c r="G61" s="452" t="s">
        <v>2481</v>
      </c>
      <c r="H61" s="463" t="s">
        <v>2484</v>
      </c>
      <c r="I61" s="453" t="s">
        <v>42</v>
      </c>
      <c r="J61" s="454">
        <v>225244</v>
      </c>
      <c r="K61" s="454">
        <v>12999</v>
      </c>
      <c r="L61" s="454">
        <v>7745</v>
      </c>
      <c r="M61" s="454">
        <v>0</v>
      </c>
      <c r="N61" s="454">
        <v>0</v>
      </c>
      <c r="O61" s="454">
        <v>0</v>
      </c>
      <c r="P61" s="454">
        <v>0</v>
      </c>
      <c r="Q61" s="454">
        <v>0</v>
      </c>
      <c r="R61" s="454">
        <v>0</v>
      </c>
      <c r="S61" s="454"/>
      <c r="T61" s="454"/>
      <c r="U61" s="454"/>
      <c r="V61" s="454"/>
      <c r="W61" s="454"/>
      <c r="X61" s="454"/>
      <c r="Y61" s="454">
        <f t="shared" si="1"/>
        <v>0</v>
      </c>
      <c r="Z61" s="455">
        <v>60000</v>
      </c>
      <c r="AA61" s="456">
        <v>6</v>
      </c>
      <c r="AB61" s="457">
        <v>44209</v>
      </c>
      <c r="AC61" s="458">
        <v>44225</v>
      </c>
      <c r="AD61" s="455"/>
      <c r="AE61" s="459"/>
      <c r="AF61" s="460"/>
      <c r="AG61" s="458"/>
      <c r="AH61" s="455"/>
      <c r="AI61" s="456"/>
      <c r="AJ61" s="460"/>
      <c r="AK61" s="458"/>
      <c r="AL61" s="455"/>
      <c r="AM61" s="456"/>
      <c r="AN61" s="460"/>
      <c r="AO61" s="458"/>
      <c r="AP61" s="455"/>
      <c r="AQ61" s="456"/>
      <c r="AR61" s="460"/>
      <c r="AS61" s="458"/>
      <c r="AT61" s="154">
        <f t="shared" si="0"/>
        <v>60000</v>
      </c>
      <c r="AU61" s="461">
        <f t="shared" si="2"/>
        <v>60000</v>
      </c>
    </row>
    <row r="62" spans="2:47" s="148" customFormat="1" x14ac:dyDescent="0.25">
      <c r="B62" s="149">
        <v>47</v>
      </c>
      <c r="C62" s="149" t="s">
        <v>38</v>
      </c>
      <c r="D62" s="450">
        <v>30110451</v>
      </c>
      <c r="E62" s="596" t="s">
        <v>2539</v>
      </c>
      <c r="F62" s="451" t="s">
        <v>200</v>
      </c>
      <c r="G62" s="452" t="s">
        <v>2481</v>
      </c>
      <c r="H62" s="463" t="s">
        <v>2484</v>
      </c>
      <c r="I62" s="453" t="s">
        <v>42</v>
      </c>
      <c r="J62" s="454">
        <v>1132088</v>
      </c>
      <c r="K62" s="454">
        <v>1053958</v>
      </c>
      <c r="L62" s="454">
        <v>0</v>
      </c>
      <c r="M62" s="454">
        <v>0</v>
      </c>
      <c r="N62" s="454">
        <v>0</v>
      </c>
      <c r="O62" s="454">
        <v>0</v>
      </c>
      <c r="P62" s="454">
        <v>0</v>
      </c>
      <c r="Q62" s="454">
        <v>0</v>
      </c>
      <c r="R62" s="454">
        <v>0</v>
      </c>
      <c r="S62" s="454"/>
      <c r="T62" s="454"/>
      <c r="U62" s="454"/>
      <c r="V62" s="454"/>
      <c r="W62" s="454"/>
      <c r="X62" s="454"/>
      <c r="Y62" s="454">
        <f t="shared" si="1"/>
        <v>0</v>
      </c>
      <c r="Z62" s="455">
        <v>85199</v>
      </c>
      <c r="AA62" s="456">
        <v>7</v>
      </c>
      <c r="AB62" s="457">
        <v>44214</v>
      </c>
      <c r="AC62" s="458">
        <v>44229</v>
      </c>
      <c r="AD62" s="455"/>
      <c r="AE62" s="459"/>
      <c r="AF62" s="460"/>
      <c r="AG62" s="458"/>
      <c r="AH62" s="455"/>
      <c r="AI62" s="456"/>
      <c r="AJ62" s="460"/>
      <c r="AK62" s="458"/>
      <c r="AL62" s="455"/>
      <c r="AM62" s="456"/>
      <c r="AN62" s="460"/>
      <c r="AO62" s="458"/>
      <c r="AP62" s="455"/>
      <c r="AQ62" s="456"/>
      <c r="AR62" s="460"/>
      <c r="AS62" s="458"/>
      <c r="AT62" s="154">
        <f t="shared" si="0"/>
        <v>85199</v>
      </c>
      <c r="AU62" s="461">
        <f t="shared" si="2"/>
        <v>85199</v>
      </c>
    </row>
    <row r="63" spans="2:47" s="148" customFormat="1" x14ac:dyDescent="0.25">
      <c r="B63" s="149">
        <v>48</v>
      </c>
      <c r="C63" s="149" t="s">
        <v>38</v>
      </c>
      <c r="D63" s="450">
        <v>30117057</v>
      </c>
      <c r="E63" s="596" t="s">
        <v>2540</v>
      </c>
      <c r="F63" s="451" t="s">
        <v>204</v>
      </c>
      <c r="G63" s="452" t="s">
        <v>2481</v>
      </c>
      <c r="H63" s="463" t="s">
        <v>2504</v>
      </c>
      <c r="I63" s="453" t="s">
        <v>42</v>
      </c>
      <c r="J63" s="454">
        <v>84245</v>
      </c>
      <c r="K63" s="454">
        <v>53542</v>
      </c>
      <c r="L63" s="454">
        <v>0</v>
      </c>
      <c r="M63" s="454">
        <v>0</v>
      </c>
      <c r="N63" s="454">
        <v>8168</v>
      </c>
      <c r="O63" s="454">
        <v>0</v>
      </c>
      <c r="P63" s="454">
        <v>0</v>
      </c>
      <c r="Q63" s="454">
        <v>0</v>
      </c>
      <c r="R63" s="454">
        <v>0</v>
      </c>
      <c r="S63" s="454"/>
      <c r="T63" s="454"/>
      <c r="U63" s="454"/>
      <c r="V63" s="454"/>
      <c r="W63" s="454"/>
      <c r="X63" s="454"/>
      <c r="Y63" s="454">
        <f t="shared" si="1"/>
        <v>8168</v>
      </c>
      <c r="Z63" s="455">
        <v>27079</v>
      </c>
      <c r="AA63" s="456">
        <v>7</v>
      </c>
      <c r="AB63" s="457">
        <v>44214</v>
      </c>
      <c r="AC63" s="458">
        <v>44229</v>
      </c>
      <c r="AD63" s="455"/>
      <c r="AE63" s="459"/>
      <c r="AF63" s="460"/>
      <c r="AG63" s="458"/>
      <c r="AH63" s="455"/>
      <c r="AI63" s="456"/>
      <c r="AJ63" s="460"/>
      <c r="AK63" s="458"/>
      <c r="AL63" s="455"/>
      <c r="AM63" s="456"/>
      <c r="AN63" s="460"/>
      <c r="AO63" s="458"/>
      <c r="AP63" s="455"/>
      <c r="AQ63" s="456"/>
      <c r="AR63" s="460"/>
      <c r="AS63" s="458"/>
      <c r="AT63" s="154">
        <f t="shared" si="0"/>
        <v>27079</v>
      </c>
      <c r="AU63" s="461">
        <f t="shared" si="2"/>
        <v>18911</v>
      </c>
    </row>
    <row r="64" spans="2:47" s="148" customFormat="1" ht="22.5" x14ac:dyDescent="0.25">
      <c r="B64" s="149">
        <v>49</v>
      </c>
      <c r="C64" s="149" t="s">
        <v>38</v>
      </c>
      <c r="D64" s="450">
        <v>30086459</v>
      </c>
      <c r="E64" s="596" t="s">
        <v>2541</v>
      </c>
      <c r="F64" s="451" t="s">
        <v>200</v>
      </c>
      <c r="G64" s="452" t="s">
        <v>2481</v>
      </c>
      <c r="H64" s="463" t="s">
        <v>2520</v>
      </c>
      <c r="I64" s="453" t="s">
        <v>42</v>
      </c>
      <c r="J64" s="454">
        <v>4717535</v>
      </c>
      <c r="K64" s="454">
        <v>295145</v>
      </c>
      <c r="L64" s="454">
        <v>37765</v>
      </c>
      <c r="M64" s="454">
        <v>0</v>
      </c>
      <c r="N64" s="454">
        <v>192132</v>
      </c>
      <c r="O64" s="454">
        <v>382200</v>
      </c>
      <c r="P64" s="454">
        <v>191100</v>
      </c>
      <c r="Q64" s="454">
        <v>564503</v>
      </c>
      <c r="R64" s="454">
        <v>250000</v>
      </c>
      <c r="S64" s="454"/>
      <c r="T64" s="454"/>
      <c r="U64" s="454"/>
      <c r="V64" s="454"/>
      <c r="W64" s="454"/>
      <c r="X64" s="454"/>
      <c r="Y64" s="454">
        <f t="shared" si="1"/>
        <v>1579935</v>
      </c>
      <c r="Z64" s="455">
        <v>1512589</v>
      </c>
      <c r="AA64" s="456">
        <v>7</v>
      </c>
      <c r="AB64" s="457">
        <v>44214</v>
      </c>
      <c r="AC64" s="458">
        <v>44229</v>
      </c>
      <c r="AD64" s="455">
        <v>66698</v>
      </c>
      <c r="AE64" s="459">
        <v>12</v>
      </c>
      <c r="AF64" s="457">
        <v>44228</v>
      </c>
      <c r="AG64" s="458">
        <v>44246</v>
      </c>
      <c r="AH64" s="455">
        <v>800000</v>
      </c>
      <c r="AI64" s="456">
        <v>61</v>
      </c>
      <c r="AJ64" s="457">
        <v>44351</v>
      </c>
      <c r="AK64" s="458">
        <v>44372</v>
      </c>
      <c r="AL64" s="455"/>
      <c r="AM64" s="456"/>
      <c r="AN64" s="460"/>
      <c r="AO64" s="458"/>
      <c r="AP64" s="455"/>
      <c r="AQ64" s="456"/>
      <c r="AR64" s="460"/>
      <c r="AS64" s="458"/>
      <c r="AT64" s="154">
        <f t="shared" si="0"/>
        <v>2379287</v>
      </c>
      <c r="AU64" s="461">
        <f t="shared" si="2"/>
        <v>799352</v>
      </c>
    </row>
    <row r="65" spans="2:47" s="148" customFormat="1" ht="22.5" x14ac:dyDescent="0.25">
      <c r="B65" s="149">
        <v>50</v>
      </c>
      <c r="C65" s="149" t="s">
        <v>38</v>
      </c>
      <c r="D65" s="450">
        <v>30355582</v>
      </c>
      <c r="E65" s="596" t="s">
        <v>2542</v>
      </c>
      <c r="F65" s="451" t="s">
        <v>200</v>
      </c>
      <c r="G65" s="452" t="s">
        <v>2481</v>
      </c>
      <c r="H65" s="463" t="s">
        <v>2484</v>
      </c>
      <c r="I65" s="453" t="s">
        <v>42</v>
      </c>
      <c r="J65" s="454">
        <v>2044931</v>
      </c>
      <c r="K65" s="454">
        <v>143276</v>
      </c>
      <c r="L65" s="454">
        <v>0</v>
      </c>
      <c r="M65" s="454">
        <v>0</v>
      </c>
      <c r="N65" s="454">
        <v>1533</v>
      </c>
      <c r="O65" s="454">
        <v>141991</v>
      </c>
      <c r="P65" s="454">
        <v>27254</v>
      </c>
      <c r="Q65" s="454">
        <v>4000</v>
      </c>
      <c r="R65" s="454">
        <v>33801</v>
      </c>
      <c r="S65" s="454"/>
      <c r="T65" s="454"/>
      <c r="U65" s="454"/>
      <c r="V65" s="454"/>
      <c r="W65" s="454"/>
      <c r="X65" s="454"/>
      <c r="Y65" s="454">
        <f t="shared" si="1"/>
        <v>208579</v>
      </c>
      <c r="Z65" s="455">
        <v>1079136</v>
      </c>
      <c r="AA65" s="456">
        <v>8</v>
      </c>
      <c r="AB65" s="457">
        <v>44215</v>
      </c>
      <c r="AC65" s="458">
        <v>44231</v>
      </c>
      <c r="AD65" s="455"/>
      <c r="AE65" s="459"/>
      <c r="AF65" s="460"/>
      <c r="AG65" s="458"/>
      <c r="AH65" s="455"/>
      <c r="AI65" s="456"/>
      <c r="AJ65" s="460"/>
      <c r="AK65" s="458"/>
      <c r="AL65" s="455"/>
      <c r="AM65" s="456"/>
      <c r="AN65" s="460"/>
      <c r="AO65" s="458"/>
      <c r="AP65" s="455"/>
      <c r="AQ65" s="456"/>
      <c r="AR65" s="460"/>
      <c r="AS65" s="458"/>
      <c r="AT65" s="154">
        <f t="shared" si="0"/>
        <v>1079136</v>
      </c>
      <c r="AU65" s="461">
        <f t="shared" si="2"/>
        <v>870557</v>
      </c>
    </row>
    <row r="66" spans="2:47" s="148" customFormat="1" x14ac:dyDescent="0.25">
      <c r="B66" s="149">
        <v>51</v>
      </c>
      <c r="C66" s="149" t="s">
        <v>38</v>
      </c>
      <c r="D66" s="450">
        <v>30129627</v>
      </c>
      <c r="E66" s="596" t="s">
        <v>2543</v>
      </c>
      <c r="F66" s="451" t="s">
        <v>200</v>
      </c>
      <c r="G66" s="452" t="s">
        <v>2481</v>
      </c>
      <c r="H66" s="463" t="s">
        <v>2518</v>
      </c>
      <c r="I66" s="453" t="s">
        <v>42</v>
      </c>
      <c r="J66" s="454">
        <v>632882</v>
      </c>
      <c r="K66" s="454">
        <v>404715</v>
      </c>
      <c r="L66" s="454">
        <v>0</v>
      </c>
      <c r="M66" s="454">
        <v>0</v>
      </c>
      <c r="N66" s="454">
        <v>1900</v>
      </c>
      <c r="O66" s="454"/>
      <c r="P66" s="454">
        <v>0</v>
      </c>
      <c r="Q66" s="454">
        <v>0</v>
      </c>
      <c r="R66" s="454">
        <v>0</v>
      </c>
      <c r="S66" s="454"/>
      <c r="T66" s="454"/>
      <c r="U66" s="454"/>
      <c r="V66" s="454"/>
      <c r="W66" s="454"/>
      <c r="X66" s="454"/>
      <c r="Y66" s="454">
        <f t="shared" si="1"/>
        <v>1900</v>
      </c>
      <c r="Z66" s="455">
        <v>205870</v>
      </c>
      <c r="AA66" s="456">
        <v>8</v>
      </c>
      <c r="AB66" s="457">
        <v>44215</v>
      </c>
      <c r="AC66" s="458">
        <v>44231</v>
      </c>
      <c r="AD66" s="455">
        <v>124962</v>
      </c>
      <c r="AE66" s="459">
        <v>16</v>
      </c>
      <c r="AF66" s="457">
        <v>44245</v>
      </c>
      <c r="AG66" s="458">
        <v>44267</v>
      </c>
      <c r="AH66" s="455">
        <v>-180962</v>
      </c>
      <c r="AI66" s="456">
        <v>29</v>
      </c>
      <c r="AJ66" s="457">
        <v>44270</v>
      </c>
      <c r="AK66" s="458">
        <v>44286</v>
      </c>
      <c r="AL66" s="455">
        <v>68019</v>
      </c>
      <c r="AM66" s="456">
        <v>61</v>
      </c>
      <c r="AN66" s="457">
        <v>44351</v>
      </c>
      <c r="AO66" s="458">
        <v>44372</v>
      </c>
      <c r="AP66" s="455"/>
      <c r="AQ66" s="456"/>
      <c r="AR66" s="460"/>
      <c r="AS66" s="458"/>
      <c r="AT66" s="154">
        <f t="shared" si="0"/>
        <v>217889</v>
      </c>
      <c r="AU66" s="461">
        <f t="shared" si="2"/>
        <v>215989</v>
      </c>
    </row>
    <row r="67" spans="2:47" s="148" customFormat="1" ht="22.5" x14ac:dyDescent="0.25">
      <c r="B67" s="149">
        <v>52</v>
      </c>
      <c r="C67" s="149" t="s">
        <v>38</v>
      </c>
      <c r="D67" s="450">
        <v>30484239</v>
      </c>
      <c r="E67" s="596" t="s">
        <v>2544</v>
      </c>
      <c r="F67" s="451" t="s">
        <v>200</v>
      </c>
      <c r="G67" s="452" t="s">
        <v>2481</v>
      </c>
      <c r="H67" s="463" t="s">
        <v>2518</v>
      </c>
      <c r="I67" s="453" t="s">
        <v>42</v>
      </c>
      <c r="J67" s="454">
        <v>460227</v>
      </c>
      <c r="K67" s="454">
        <v>279037</v>
      </c>
      <c r="L67" s="454">
        <v>0</v>
      </c>
      <c r="M67" s="454">
        <v>0</v>
      </c>
      <c r="N67" s="454">
        <v>3371</v>
      </c>
      <c r="O67" s="454">
        <v>42292</v>
      </c>
      <c r="P67" s="454">
        <v>15540</v>
      </c>
      <c r="Q67" s="454">
        <v>38381</v>
      </c>
      <c r="R67" s="454">
        <v>0</v>
      </c>
      <c r="S67" s="454"/>
      <c r="T67" s="454"/>
      <c r="U67" s="454"/>
      <c r="V67" s="454"/>
      <c r="W67" s="454"/>
      <c r="X67" s="454"/>
      <c r="Y67" s="454">
        <f t="shared" si="1"/>
        <v>99584</v>
      </c>
      <c r="Z67" s="455">
        <v>167570</v>
      </c>
      <c r="AA67" s="456">
        <v>8</v>
      </c>
      <c r="AB67" s="457">
        <v>44215</v>
      </c>
      <c r="AC67" s="458">
        <v>44231</v>
      </c>
      <c r="AD67" s="455"/>
      <c r="AE67" s="459"/>
      <c r="AF67" s="460"/>
      <c r="AG67" s="458"/>
      <c r="AH67" s="455"/>
      <c r="AI67" s="456"/>
      <c r="AJ67" s="460"/>
      <c r="AK67" s="458"/>
      <c r="AL67" s="455"/>
      <c r="AM67" s="456"/>
      <c r="AN67" s="460"/>
      <c r="AO67" s="458"/>
      <c r="AP67" s="455"/>
      <c r="AQ67" s="456"/>
      <c r="AR67" s="460"/>
      <c r="AS67" s="458"/>
      <c r="AT67" s="154">
        <f t="shared" si="0"/>
        <v>167570</v>
      </c>
      <c r="AU67" s="461">
        <f t="shared" si="2"/>
        <v>67986</v>
      </c>
    </row>
    <row r="68" spans="2:47" s="148" customFormat="1" x14ac:dyDescent="0.25">
      <c r="B68" s="149">
        <v>53</v>
      </c>
      <c r="C68" s="149" t="s">
        <v>38</v>
      </c>
      <c r="D68" s="450">
        <v>30137674</v>
      </c>
      <c r="E68" s="596" t="s">
        <v>2545</v>
      </c>
      <c r="F68" s="451" t="s">
        <v>200</v>
      </c>
      <c r="G68" s="452" t="s">
        <v>2481</v>
      </c>
      <c r="H68" s="463" t="s">
        <v>2484</v>
      </c>
      <c r="I68" s="453" t="s">
        <v>42</v>
      </c>
      <c r="J68" s="454">
        <v>616312</v>
      </c>
      <c r="K68" s="454">
        <v>599059</v>
      </c>
      <c r="L68" s="454">
        <v>1</v>
      </c>
      <c r="M68" s="454">
        <v>0</v>
      </c>
      <c r="N68" s="454">
        <v>0</v>
      </c>
      <c r="O68" s="454">
        <v>0</v>
      </c>
      <c r="P68" s="454">
        <v>0</v>
      </c>
      <c r="Q68" s="454">
        <v>0</v>
      </c>
      <c r="R68" s="454">
        <v>0</v>
      </c>
      <c r="S68" s="454"/>
      <c r="T68" s="454"/>
      <c r="U68" s="454"/>
      <c r="V68" s="454"/>
      <c r="W68" s="454"/>
      <c r="X68" s="454"/>
      <c r="Y68" s="454">
        <f t="shared" si="1"/>
        <v>0</v>
      </c>
      <c r="Z68" s="455">
        <v>17251</v>
      </c>
      <c r="AA68" s="456">
        <v>9</v>
      </c>
      <c r="AB68" s="457">
        <v>44216</v>
      </c>
      <c r="AC68" s="458">
        <v>44231</v>
      </c>
      <c r="AD68" s="455"/>
      <c r="AE68" s="459"/>
      <c r="AF68" s="460"/>
      <c r="AG68" s="458"/>
      <c r="AH68" s="455"/>
      <c r="AI68" s="456"/>
      <c r="AJ68" s="460"/>
      <c r="AK68" s="458"/>
      <c r="AL68" s="455"/>
      <c r="AM68" s="456"/>
      <c r="AN68" s="460"/>
      <c r="AO68" s="458"/>
      <c r="AP68" s="455"/>
      <c r="AQ68" s="456"/>
      <c r="AR68" s="460"/>
      <c r="AS68" s="458"/>
      <c r="AT68" s="154">
        <f t="shared" si="0"/>
        <v>17251</v>
      </c>
      <c r="AU68" s="461">
        <f t="shared" si="2"/>
        <v>17251</v>
      </c>
    </row>
    <row r="69" spans="2:47" s="148" customFormat="1" x14ac:dyDescent="0.25">
      <c r="B69" s="149">
        <v>54</v>
      </c>
      <c r="C69" s="149" t="s">
        <v>38</v>
      </c>
      <c r="D69" s="450">
        <v>30428075</v>
      </c>
      <c r="E69" s="596" t="s">
        <v>2546</v>
      </c>
      <c r="F69" s="451" t="s">
        <v>204</v>
      </c>
      <c r="G69" s="452" t="s">
        <v>2481</v>
      </c>
      <c r="H69" s="463" t="s">
        <v>2501</v>
      </c>
      <c r="I69" s="453" t="s">
        <v>42</v>
      </c>
      <c r="J69" s="454">
        <v>837681</v>
      </c>
      <c r="K69" s="454">
        <v>751129</v>
      </c>
      <c r="L69" s="454">
        <v>0</v>
      </c>
      <c r="M69" s="454">
        <v>0</v>
      </c>
      <c r="N69" s="454">
        <v>46849</v>
      </c>
      <c r="O69" s="454">
        <v>0</v>
      </c>
      <c r="P69" s="454">
        <v>0</v>
      </c>
      <c r="Q69" s="454">
        <v>0</v>
      </c>
      <c r="R69" s="454">
        <v>0</v>
      </c>
      <c r="S69" s="454"/>
      <c r="T69" s="454"/>
      <c r="U69" s="454"/>
      <c r="V69" s="454"/>
      <c r="W69" s="454"/>
      <c r="X69" s="454"/>
      <c r="Y69" s="454">
        <f t="shared" si="1"/>
        <v>46849</v>
      </c>
      <c r="Z69" s="455">
        <v>76224</v>
      </c>
      <c r="AA69" s="456">
        <v>9</v>
      </c>
      <c r="AB69" s="457">
        <v>44216</v>
      </c>
      <c r="AC69" s="458">
        <v>44231</v>
      </c>
      <c r="AD69" s="455"/>
      <c r="AE69" s="459"/>
      <c r="AF69" s="460"/>
      <c r="AG69" s="458"/>
      <c r="AH69" s="455"/>
      <c r="AI69" s="456"/>
      <c r="AJ69" s="460"/>
      <c r="AK69" s="458"/>
      <c r="AL69" s="455"/>
      <c r="AM69" s="456"/>
      <c r="AN69" s="460"/>
      <c r="AO69" s="458"/>
      <c r="AP69" s="455"/>
      <c r="AQ69" s="456"/>
      <c r="AR69" s="460"/>
      <c r="AS69" s="458"/>
      <c r="AT69" s="154">
        <f t="shared" si="0"/>
        <v>76224</v>
      </c>
      <c r="AU69" s="461">
        <f t="shared" si="2"/>
        <v>29375</v>
      </c>
    </row>
    <row r="70" spans="2:47" s="148" customFormat="1" ht="22.5" x14ac:dyDescent="0.25">
      <c r="B70" s="149">
        <v>55</v>
      </c>
      <c r="C70" s="149" t="s">
        <v>38</v>
      </c>
      <c r="D70" s="450">
        <v>30116561</v>
      </c>
      <c r="E70" s="596" t="s">
        <v>2547</v>
      </c>
      <c r="F70" s="451" t="s">
        <v>200</v>
      </c>
      <c r="G70" s="452" t="s">
        <v>2481</v>
      </c>
      <c r="H70" s="463" t="s">
        <v>2489</v>
      </c>
      <c r="I70" s="453" t="s">
        <v>42</v>
      </c>
      <c r="J70" s="454">
        <v>2092718</v>
      </c>
      <c r="K70" s="454">
        <v>1996693</v>
      </c>
      <c r="L70" s="454">
        <v>0</v>
      </c>
      <c r="M70" s="454">
        <v>0</v>
      </c>
      <c r="N70" s="454">
        <v>0</v>
      </c>
      <c r="O70" s="454">
        <v>0</v>
      </c>
      <c r="P70" s="454">
        <v>0</v>
      </c>
      <c r="Q70" s="454">
        <v>0</v>
      </c>
      <c r="R70" s="454">
        <v>0</v>
      </c>
      <c r="S70" s="454"/>
      <c r="T70" s="454"/>
      <c r="U70" s="454"/>
      <c r="V70" s="454"/>
      <c r="W70" s="454"/>
      <c r="X70" s="454"/>
      <c r="Y70" s="454">
        <f t="shared" si="1"/>
        <v>0</v>
      </c>
      <c r="Z70" s="455">
        <v>66075</v>
      </c>
      <c r="AA70" s="456">
        <v>9</v>
      </c>
      <c r="AB70" s="457">
        <v>44216</v>
      </c>
      <c r="AC70" s="458">
        <v>44231</v>
      </c>
      <c r="AD70" s="455"/>
      <c r="AE70" s="459"/>
      <c r="AF70" s="460"/>
      <c r="AG70" s="458"/>
      <c r="AH70" s="455"/>
      <c r="AI70" s="456"/>
      <c r="AJ70" s="460"/>
      <c r="AK70" s="458"/>
      <c r="AL70" s="455"/>
      <c r="AM70" s="456"/>
      <c r="AN70" s="460"/>
      <c r="AO70" s="458"/>
      <c r="AP70" s="455"/>
      <c r="AQ70" s="456"/>
      <c r="AR70" s="460"/>
      <c r="AS70" s="458"/>
      <c r="AT70" s="154">
        <f t="shared" si="0"/>
        <v>66075</v>
      </c>
      <c r="AU70" s="461">
        <f t="shared" si="2"/>
        <v>66075</v>
      </c>
    </row>
    <row r="71" spans="2:47" s="148" customFormat="1" x14ac:dyDescent="0.25">
      <c r="B71" s="149">
        <v>56</v>
      </c>
      <c r="C71" s="149" t="s">
        <v>38</v>
      </c>
      <c r="D71" s="450">
        <v>30137669</v>
      </c>
      <c r="E71" s="596" t="s">
        <v>2548</v>
      </c>
      <c r="F71" s="451" t="s">
        <v>200</v>
      </c>
      <c r="G71" s="452" t="s">
        <v>2481</v>
      </c>
      <c r="H71" s="463" t="s">
        <v>2526</v>
      </c>
      <c r="I71" s="453" t="s">
        <v>42</v>
      </c>
      <c r="J71" s="454">
        <v>2491150</v>
      </c>
      <c r="K71" s="454">
        <v>212941</v>
      </c>
      <c r="L71" s="454">
        <v>0</v>
      </c>
      <c r="M71" s="454">
        <v>0</v>
      </c>
      <c r="N71" s="454">
        <v>81777</v>
      </c>
      <c r="O71" s="454">
        <v>227428</v>
      </c>
      <c r="P71" s="454">
        <v>131772</v>
      </c>
      <c r="Q71" s="454">
        <v>133825</v>
      </c>
      <c r="R71" s="454">
        <v>176993</v>
      </c>
      <c r="S71" s="454"/>
      <c r="T71" s="454"/>
      <c r="U71" s="454"/>
      <c r="V71" s="454"/>
      <c r="W71" s="454"/>
      <c r="X71" s="454"/>
      <c r="Y71" s="454">
        <f t="shared" si="1"/>
        <v>751795</v>
      </c>
      <c r="Z71" s="455">
        <v>1189234</v>
      </c>
      <c r="AA71" s="456">
        <v>9</v>
      </c>
      <c r="AB71" s="457">
        <v>44216</v>
      </c>
      <c r="AC71" s="458">
        <v>44231</v>
      </c>
      <c r="AD71" s="455">
        <v>500000</v>
      </c>
      <c r="AE71" s="459">
        <v>61</v>
      </c>
      <c r="AF71" s="457">
        <v>44351</v>
      </c>
      <c r="AG71" s="458">
        <v>44372</v>
      </c>
      <c r="AH71" s="455"/>
      <c r="AI71" s="456"/>
      <c r="AJ71" s="460"/>
      <c r="AK71" s="458"/>
      <c r="AL71" s="455"/>
      <c r="AM71" s="456"/>
      <c r="AN71" s="460"/>
      <c r="AO71" s="458"/>
      <c r="AP71" s="455"/>
      <c r="AQ71" s="456"/>
      <c r="AR71" s="460"/>
      <c r="AS71" s="458"/>
      <c r="AT71" s="154">
        <f t="shared" si="0"/>
        <v>1689234</v>
      </c>
      <c r="AU71" s="461">
        <f t="shared" si="2"/>
        <v>937439</v>
      </c>
    </row>
    <row r="72" spans="2:47" s="148" customFormat="1" ht="22.5" x14ac:dyDescent="0.25">
      <c r="B72" s="149">
        <v>57</v>
      </c>
      <c r="C72" s="149" t="s">
        <v>38</v>
      </c>
      <c r="D72" s="450">
        <v>30115638</v>
      </c>
      <c r="E72" s="596" t="s">
        <v>2549</v>
      </c>
      <c r="F72" s="451" t="s">
        <v>200</v>
      </c>
      <c r="G72" s="452" t="s">
        <v>2481</v>
      </c>
      <c r="H72" s="463" t="s">
        <v>2520</v>
      </c>
      <c r="I72" s="453" t="s">
        <v>42</v>
      </c>
      <c r="J72" s="454">
        <v>436801</v>
      </c>
      <c r="K72" s="454">
        <v>410034</v>
      </c>
      <c r="L72" s="454">
        <v>0</v>
      </c>
      <c r="M72" s="454">
        <v>0</v>
      </c>
      <c r="N72" s="454">
        <v>0</v>
      </c>
      <c r="O72" s="454">
        <v>17744</v>
      </c>
      <c r="P72" s="454">
        <v>0</v>
      </c>
      <c r="Q72" s="454">
        <v>0</v>
      </c>
      <c r="R72" s="454">
        <v>3349</v>
      </c>
      <c r="S72" s="454"/>
      <c r="T72" s="454"/>
      <c r="U72" s="454"/>
      <c r="V72" s="454"/>
      <c r="W72" s="454"/>
      <c r="X72" s="454"/>
      <c r="Y72" s="454">
        <f t="shared" si="1"/>
        <v>21093</v>
      </c>
      <c r="Z72" s="455">
        <v>18754</v>
      </c>
      <c r="AA72" s="456">
        <v>9</v>
      </c>
      <c r="AB72" s="457">
        <v>44216</v>
      </c>
      <c r="AC72" s="458">
        <v>44231</v>
      </c>
      <c r="AD72" s="455">
        <v>7447</v>
      </c>
      <c r="AE72" s="459">
        <v>10</v>
      </c>
      <c r="AF72" s="457">
        <v>44218</v>
      </c>
      <c r="AG72" s="458">
        <v>44239</v>
      </c>
      <c r="AH72" s="455"/>
      <c r="AI72" s="456"/>
      <c r="AJ72" s="460"/>
      <c r="AK72" s="458"/>
      <c r="AL72" s="455"/>
      <c r="AM72" s="456"/>
      <c r="AN72" s="460"/>
      <c r="AO72" s="458"/>
      <c r="AP72" s="455"/>
      <c r="AQ72" s="456"/>
      <c r="AR72" s="460"/>
      <c r="AS72" s="458"/>
      <c r="AT72" s="154">
        <f t="shared" si="0"/>
        <v>26201</v>
      </c>
      <c r="AU72" s="461">
        <f t="shared" si="2"/>
        <v>5108</v>
      </c>
    </row>
    <row r="73" spans="2:47" s="148" customFormat="1" ht="22.5" x14ac:dyDescent="0.25">
      <c r="B73" s="149">
        <v>58</v>
      </c>
      <c r="C73" s="149" t="s">
        <v>38</v>
      </c>
      <c r="D73" s="450">
        <v>30128894</v>
      </c>
      <c r="E73" s="596" t="s">
        <v>2550</v>
      </c>
      <c r="F73" s="451" t="s">
        <v>200</v>
      </c>
      <c r="G73" s="452" t="s">
        <v>2481</v>
      </c>
      <c r="H73" s="463" t="s">
        <v>2484</v>
      </c>
      <c r="I73" s="453" t="s">
        <v>42</v>
      </c>
      <c r="J73" s="454">
        <v>599766</v>
      </c>
      <c r="K73" s="454">
        <v>150044</v>
      </c>
      <c r="L73" s="454">
        <v>0</v>
      </c>
      <c r="M73" s="454">
        <v>0</v>
      </c>
      <c r="N73" s="454">
        <v>1030</v>
      </c>
      <c r="O73" s="454">
        <v>1545</v>
      </c>
      <c r="P73" s="454">
        <v>0</v>
      </c>
      <c r="Q73" s="454">
        <v>2060</v>
      </c>
      <c r="R73" s="454">
        <v>147301</v>
      </c>
      <c r="S73" s="454"/>
      <c r="T73" s="454"/>
      <c r="U73" s="454"/>
      <c r="V73" s="454"/>
      <c r="W73" s="454"/>
      <c r="X73" s="454"/>
      <c r="Y73" s="454">
        <f t="shared" si="1"/>
        <v>151936</v>
      </c>
      <c r="Z73" s="455">
        <v>360300</v>
      </c>
      <c r="AA73" s="456">
        <v>10</v>
      </c>
      <c r="AB73" s="457">
        <v>44218</v>
      </c>
      <c r="AC73" s="458">
        <v>44239</v>
      </c>
      <c r="AD73" s="455">
        <v>83659</v>
      </c>
      <c r="AE73" s="459">
        <v>47</v>
      </c>
      <c r="AF73" s="457">
        <v>44319</v>
      </c>
      <c r="AG73" s="458">
        <v>44340</v>
      </c>
      <c r="AH73" s="455">
        <v>8853</v>
      </c>
      <c r="AI73" s="456">
        <v>61</v>
      </c>
      <c r="AJ73" s="457">
        <v>44351</v>
      </c>
      <c r="AK73" s="458">
        <v>44372</v>
      </c>
      <c r="AL73" s="455"/>
      <c r="AM73" s="456"/>
      <c r="AN73" s="460"/>
      <c r="AO73" s="458"/>
      <c r="AP73" s="455"/>
      <c r="AQ73" s="456"/>
      <c r="AR73" s="460"/>
      <c r="AS73" s="458"/>
      <c r="AT73" s="154">
        <f t="shared" si="0"/>
        <v>452812</v>
      </c>
      <c r="AU73" s="461">
        <f t="shared" si="2"/>
        <v>300876</v>
      </c>
    </row>
    <row r="74" spans="2:47" s="148" customFormat="1" ht="22.5" x14ac:dyDescent="0.25">
      <c r="B74" s="149">
        <v>59</v>
      </c>
      <c r="C74" s="149" t="s">
        <v>38</v>
      </c>
      <c r="D74" s="450">
        <v>30484345</v>
      </c>
      <c r="E74" s="596" t="s">
        <v>2551</v>
      </c>
      <c r="F74" s="451" t="s">
        <v>204</v>
      </c>
      <c r="G74" s="452" t="s">
        <v>2481</v>
      </c>
      <c r="H74" s="463" t="s">
        <v>2501</v>
      </c>
      <c r="I74" s="453" t="s">
        <v>42</v>
      </c>
      <c r="J74" s="454">
        <v>111341</v>
      </c>
      <c r="K74" s="454">
        <v>11365</v>
      </c>
      <c r="L74" s="454">
        <v>0</v>
      </c>
      <c r="M74" s="454">
        <v>0</v>
      </c>
      <c r="N74" s="454">
        <v>0</v>
      </c>
      <c r="O74" s="454">
        <v>0</v>
      </c>
      <c r="P74" s="454">
        <v>0</v>
      </c>
      <c r="Q74" s="454">
        <v>0</v>
      </c>
      <c r="R74" s="454">
        <v>0</v>
      </c>
      <c r="S74" s="454"/>
      <c r="T74" s="454"/>
      <c r="U74" s="454"/>
      <c r="V74" s="454"/>
      <c r="W74" s="454"/>
      <c r="X74" s="454"/>
      <c r="Y74" s="454">
        <f t="shared" si="1"/>
        <v>0</v>
      </c>
      <c r="Z74" s="455">
        <v>25277</v>
      </c>
      <c r="AA74" s="456">
        <v>10</v>
      </c>
      <c r="AB74" s="457">
        <v>44218</v>
      </c>
      <c r="AC74" s="458">
        <v>44239</v>
      </c>
      <c r="AD74" s="455"/>
      <c r="AE74" s="459"/>
      <c r="AF74" s="460"/>
      <c r="AG74" s="458"/>
      <c r="AH74" s="455"/>
      <c r="AI74" s="456"/>
      <c r="AJ74" s="460"/>
      <c r="AK74" s="458"/>
      <c r="AL74" s="455"/>
      <c r="AM74" s="456"/>
      <c r="AN74" s="460"/>
      <c r="AO74" s="458"/>
      <c r="AP74" s="455"/>
      <c r="AQ74" s="456"/>
      <c r="AR74" s="460"/>
      <c r="AS74" s="458"/>
      <c r="AT74" s="154">
        <f t="shared" si="0"/>
        <v>25277</v>
      </c>
      <c r="AU74" s="461">
        <f t="shared" si="2"/>
        <v>25277</v>
      </c>
    </row>
    <row r="75" spans="2:47" s="148" customFormat="1" ht="22.5" x14ac:dyDescent="0.25">
      <c r="B75" s="149">
        <v>60</v>
      </c>
      <c r="C75" s="149" t="s">
        <v>38</v>
      </c>
      <c r="D75" s="450">
        <v>30102527</v>
      </c>
      <c r="E75" s="596" t="s">
        <v>2552</v>
      </c>
      <c r="F75" s="451" t="s">
        <v>200</v>
      </c>
      <c r="G75" s="452" t="s">
        <v>2481</v>
      </c>
      <c r="H75" s="463" t="s">
        <v>2491</v>
      </c>
      <c r="I75" s="453" t="s">
        <v>42</v>
      </c>
      <c r="J75" s="454">
        <v>3947349</v>
      </c>
      <c r="K75" s="454">
        <v>3887747</v>
      </c>
      <c r="L75" s="454">
        <v>3</v>
      </c>
      <c r="M75" s="454">
        <v>0</v>
      </c>
      <c r="N75" s="454">
        <v>0</v>
      </c>
      <c r="O75" s="454">
        <v>0</v>
      </c>
      <c r="P75" s="454">
        <v>0</v>
      </c>
      <c r="Q75" s="454">
        <v>0</v>
      </c>
      <c r="R75" s="454">
        <v>0</v>
      </c>
      <c r="S75" s="454"/>
      <c r="T75" s="454"/>
      <c r="U75" s="454"/>
      <c r="V75" s="454"/>
      <c r="W75" s="454"/>
      <c r="X75" s="454"/>
      <c r="Y75" s="454">
        <f t="shared" si="1"/>
        <v>0</v>
      </c>
      <c r="Z75" s="455">
        <v>38257</v>
      </c>
      <c r="AA75" s="456">
        <v>12</v>
      </c>
      <c r="AB75" s="457">
        <v>44228</v>
      </c>
      <c r="AC75" s="458">
        <v>44246</v>
      </c>
      <c r="AD75" s="455"/>
      <c r="AE75" s="459"/>
      <c r="AF75" s="460"/>
      <c r="AG75" s="458"/>
      <c r="AH75" s="455"/>
      <c r="AI75" s="456"/>
      <c r="AJ75" s="460"/>
      <c r="AK75" s="458"/>
      <c r="AL75" s="455"/>
      <c r="AM75" s="456"/>
      <c r="AN75" s="460"/>
      <c r="AO75" s="458"/>
      <c r="AP75" s="455"/>
      <c r="AQ75" s="456"/>
      <c r="AR75" s="460"/>
      <c r="AS75" s="458"/>
      <c r="AT75" s="154">
        <f t="shared" si="0"/>
        <v>38257</v>
      </c>
      <c r="AU75" s="461">
        <f t="shared" si="2"/>
        <v>38257</v>
      </c>
    </row>
    <row r="76" spans="2:47" s="148" customFormat="1" x14ac:dyDescent="0.25">
      <c r="B76" s="149">
        <v>61</v>
      </c>
      <c r="C76" s="149" t="s">
        <v>38</v>
      </c>
      <c r="D76" s="450">
        <v>30111219</v>
      </c>
      <c r="E76" s="596" t="s">
        <v>2553</v>
      </c>
      <c r="F76" s="451" t="s">
        <v>200</v>
      </c>
      <c r="G76" s="452" t="s">
        <v>2481</v>
      </c>
      <c r="H76" s="463" t="s">
        <v>2484</v>
      </c>
      <c r="I76" s="453" t="s">
        <v>42</v>
      </c>
      <c r="J76" s="454">
        <v>363465</v>
      </c>
      <c r="K76" s="454">
        <v>63650</v>
      </c>
      <c r="L76" s="454">
        <v>0</v>
      </c>
      <c r="M76" s="454">
        <v>0</v>
      </c>
      <c r="N76" s="454">
        <v>0</v>
      </c>
      <c r="O76" s="454">
        <v>12680</v>
      </c>
      <c r="P76" s="454">
        <v>0</v>
      </c>
      <c r="Q76" s="454">
        <v>0</v>
      </c>
      <c r="R76" s="454">
        <v>6340</v>
      </c>
      <c r="S76" s="454"/>
      <c r="T76" s="454"/>
      <c r="U76" s="454"/>
      <c r="V76" s="454"/>
      <c r="W76" s="454"/>
      <c r="X76" s="454"/>
      <c r="Y76" s="454">
        <f t="shared" si="1"/>
        <v>19020</v>
      </c>
      <c r="Z76" s="455">
        <v>20000</v>
      </c>
      <c r="AA76" s="456">
        <v>14</v>
      </c>
      <c r="AB76" s="457">
        <v>44237</v>
      </c>
      <c r="AC76" s="458">
        <v>44252</v>
      </c>
      <c r="AD76" s="455">
        <v>20001</v>
      </c>
      <c r="AE76" s="459">
        <v>61</v>
      </c>
      <c r="AF76" s="457">
        <v>44351</v>
      </c>
      <c r="AG76" s="458">
        <v>44372</v>
      </c>
      <c r="AH76" s="455"/>
      <c r="AI76" s="456"/>
      <c r="AJ76" s="460"/>
      <c r="AK76" s="458"/>
      <c r="AL76" s="455"/>
      <c r="AM76" s="456"/>
      <c r="AN76" s="460"/>
      <c r="AO76" s="458"/>
      <c r="AP76" s="455"/>
      <c r="AQ76" s="456"/>
      <c r="AR76" s="460"/>
      <c r="AS76" s="458"/>
      <c r="AT76" s="154">
        <f t="shared" si="0"/>
        <v>40001</v>
      </c>
      <c r="AU76" s="461">
        <f t="shared" si="2"/>
        <v>20981</v>
      </c>
    </row>
    <row r="77" spans="2:47" s="148" customFormat="1" x14ac:dyDescent="0.25">
      <c r="B77" s="149">
        <v>62</v>
      </c>
      <c r="C77" s="149" t="s">
        <v>38</v>
      </c>
      <c r="D77" s="450">
        <v>30487094</v>
      </c>
      <c r="E77" s="596" t="s">
        <v>2554</v>
      </c>
      <c r="F77" s="451" t="s">
        <v>200</v>
      </c>
      <c r="G77" s="452" t="s">
        <v>2481</v>
      </c>
      <c r="H77" s="463" t="s">
        <v>2484</v>
      </c>
      <c r="I77" s="453" t="s">
        <v>43</v>
      </c>
      <c r="J77" s="454">
        <v>1798077</v>
      </c>
      <c r="K77" s="454">
        <v>0</v>
      </c>
      <c r="L77" s="454">
        <v>756668</v>
      </c>
      <c r="M77" s="454">
        <v>0</v>
      </c>
      <c r="N77" s="454">
        <v>0</v>
      </c>
      <c r="O77" s="454">
        <v>1500</v>
      </c>
      <c r="P77" s="454">
        <v>250899</v>
      </c>
      <c r="Q77" s="454">
        <v>113905</v>
      </c>
      <c r="R77" s="454">
        <v>69890</v>
      </c>
      <c r="S77" s="454"/>
      <c r="T77" s="454"/>
      <c r="U77" s="454"/>
      <c r="V77" s="454"/>
      <c r="W77" s="454"/>
      <c r="X77" s="454"/>
      <c r="Y77" s="454">
        <f t="shared" si="1"/>
        <v>436194</v>
      </c>
      <c r="Z77" s="455">
        <v>316621</v>
      </c>
      <c r="AA77" s="456">
        <v>15</v>
      </c>
      <c r="AB77" s="457">
        <v>44245</v>
      </c>
      <c r="AC77" s="458">
        <v>44267</v>
      </c>
      <c r="AD77" s="455">
        <v>600000</v>
      </c>
      <c r="AE77" s="459">
        <v>48</v>
      </c>
      <c r="AF77" s="457">
        <v>44319</v>
      </c>
      <c r="AG77" s="458">
        <v>44340</v>
      </c>
      <c r="AH77" s="455"/>
      <c r="AI77" s="456"/>
      <c r="AJ77" s="460"/>
      <c r="AK77" s="458"/>
      <c r="AL77" s="455"/>
      <c r="AM77" s="456"/>
      <c r="AN77" s="460"/>
      <c r="AO77" s="458"/>
      <c r="AP77" s="455"/>
      <c r="AQ77" s="456"/>
      <c r="AR77" s="460"/>
      <c r="AS77" s="458"/>
      <c r="AT77" s="154">
        <f t="shared" si="0"/>
        <v>916621</v>
      </c>
      <c r="AU77" s="461">
        <f t="shared" si="2"/>
        <v>480427</v>
      </c>
    </row>
    <row r="78" spans="2:47" s="148" customFormat="1" ht="22.5" x14ac:dyDescent="0.25">
      <c r="B78" s="149">
        <v>63</v>
      </c>
      <c r="C78" s="149" t="s">
        <v>38</v>
      </c>
      <c r="D78" s="450">
        <v>30096892</v>
      </c>
      <c r="E78" s="596" t="s">
        <v>2555</v>
      </c>
      <c r="F78" s="451" t="s">
        <v>200</v>
      </c>
      <c r="G78" s="452" t="s">
        <v>2481</v>
      </c>
      <c r="H78" s="463" t="s">
        <v>2484</v>
      </c>
      <c r="I78" s="453" t="s">
        <v>43</v>
      </c>
      <c r="J78" s="454">
        <v>1367129</v>
      </c>
      <c r="K78" s="454">
        <v>0</v>
      </c>
      <c r="L78" s="454">
        <v>246049</v>
      </c>
      <c r="M78" s="454">
        <v>0</v>
      </c>
      <c r="N78" s="454">
        <v>0</v>
      </c>
      <c r="O78" s="454">
        <v>0</v>
      </c>
      <c r="P78" s="454">
        <v>55227</v>
      </c>
      <c r="Q78" s="454">
        <v>87276</v>
      </c>
      <c r="R78" s="454">
        <v>0</v>
      </c>
      <c r="S78" s="454"/>
      <c r="T78" s="454"/>
      <c r="U78" s="454"/>
      <c r="V78" s="454"/>
      <c r="W78" s="454"/>
      <c r="X78" s="454"/>
      <c r="Y78" s="454">
        <f t="shared" si="1"/>
        <v>142503</v>
      </c>
      <c r="Z78" s="455">
        <v>316080</v>
      </c>
      <c r="AA78" s="456">
        <v>15</v>
      </c>
      <c r="AB78" s="457">
        <v>44245</v>
      </c>
      <c r="AC78" s="458">
        <v>44267</v>
      </c>
      <c r="AD78" s="455"/>
      <c r="AE78" s="459"/>
      <c r="AF78" s="460"/>
      <c r="AG78" s="458"/>
      <c r="AH78" s="455"/>
      <c r="AI78" s="456"/>
      <c r="AJ78" s="460"/>
      <c r="AK78" s="458"/>
      <c r="AL78" s="455"/>
      <c r="AM78" s="456"/>
      <c r="AN78" s="460"/>
      <c r="AO78" s="458"/>
      <c r="AP78" s="455"/>
      <c r="AQ78" s="456"/>
      <c r="AR78" s="460"/>
      <c r="AS78" s="458"/>
      <c r="AT78" s="154">
        <f t="shared" si="0"/>
        <v>316080</v>
      </c>
      <c r="AU78" s="461">
        <f t="shared" si="2"/>
        <v>173577</v>
      </c>
    </row>
    <row r="79" spans="2:47" s="148" customFormat="1" ht="22.5" x14ac:dyDescent="0.25">
      <c r="B79" s="149">
        <v>64</v>
      </c>
      <c r="C79" s="149" t="s">
        <v>38</v>
      </c>
      <c r="D79" s="450">
        <v>40003040</v>
      </c>
      <c r="E79" s="596" t="s">
        <v>2556</v>
      </c>
      <c r="F79" s="451" t="s">
        <v>204</v>
      </c>
      <c r="G79" s="452" t="s">
        <v>2481</v>
      </c>
      <c r="H79" s="463" t="s">
        <v>2484</v>
      </c>
      <c r="I79" s="453" t="s">
        <v>43</v>
      </c>
      <c r="J79" s="454">
        <v>159460</v>
      </c>
      <c r="K79" s="454">
        <v>0</v>
      </c>
      <c r="L79" s="454">
        <v>0</v>
      </c>
      <c r="M79" s="454">
        <v>0</v>
      </c>
      <c r="N79" s="454">
        <v>0</v>
      </c>
      <c r="O79" s="454">
        <v>0</v>
      </c>
      <c r="P79" s="454">
        <v>0</v>
      </c>
      <c r="Q79" s="454">
        <v>0</v>
      </c>
      <c r="R79" s="454">
        <v>0</v>
      </c>
      <c r="S79" s="454"/>
      <c r="T79" s="454"/>
      <c r="U79" s="454"/>
      <c r="V79" s="454"/>
      <c r="W79" s="454"/>
      <c r="X79" s="454"/>
      <c r="Y79" s="454">
        <f t="shared" si="1"/>
        <v>0</v>
      </c>
      <c r="Z79" s="455">
        <v>32098</v>
      </c>
      <c r="AA79" s="456">
        <v>15</v>
      </c>
      <c r="AB79" s="457">
        <v>44245</v>
      </c>
      <c r="AC79" s="458">
        <v>44267</v>
      </c>
      <c r="AD79" s="455"/>
      <c r="AE79" s="459"/>
      <c r="AF79" s="460"/>
      <c r="AG79" s="458"/>
      <c r="AH79" s="455"/>
      <c r="AI79" s="456"/>
      <c r="AJ79" s="460"/>
      <c r="AK79" s="458"/>
      <c r="AL79" s="455"/>
      <c r="AM79" s="456"/>
      <c r="AN79" s="460"/>
      <c r="AO79" s="458"/>
      <c r="AP79" s="455"/>
      <c r="AQ79" s="456"/>
      <c r="AR79" s="460"/>
      <c r="AS79" s="458"/>
      <c r="AT79" s="154">
        <f t="shared" si="0"/>
        <v>32098</v>
      </c>
      <c r="AU79" s="461">
        <f t="shared" si="2"/>
        <v>32098</v>
      </c>
    </row>
    <row r="80" spans="2:47" s="148" customFormat="1" x14ac:dyDescent="0.25">
      <c r="B80" s="149">
        <v>65</v>
      </c>
      <c r="C80" s="149" t="s">
        <v>38</v>
      </c>
      <c r="D80" s="450">
        <v>40017210</v>
      </c>
      <c r="E80" s="596" t="s">
        <v>2557</v>
      </c>
      <c r="F80" s="451" t="s">
        <v>200</v>
      </c>
      <c r="G80" s="452" t="s">
        <v>2481</v>
      </c>
      <c r="H80" s="463" t="s">
        <v>2501</v>
      </c>
      <c r="I80" s="453" t="s">
        <v>43</v>
      </c>
      <c r="J80" s="454">
        <v>631301</v>
      </c>
      <c r="K80" s="454">
        <v>0</v>
      </c>
      <c r="L80" s="454">
        <v>0</v>
      </c>
      <c r="M80" s="454">
        <v>0</v>
      </c>
      <c r="N80" s="454">
        <v>0</v>
      </c>
      <c r="O80" s="454">
        <v>0</v>
      </c>
      <c r="P80" s="454">
        <v>0</v>
      </c>
      <c r="Q80" s="454">
        <v>80201</v>
      </c>
      <c r="R80" s="454">
        <v>75878</v>
      </c>
      <c r="S80" s="454"/>
      <c r="T80" s="454"/>
      <c r="U80" s="454"/>
      <c r="V80" s="454"/>
      <c r="W80" s="454"/>
      <c r="X80" s="454"/>
      <c r="Y80" s="454">
        <f t="shared" si="1"/>
        <v>156079</v>
      </c>
      <c r="Z80" s="455">
        <v>100000</v>
      </c>
      <c r="AA80" s="456">
        <v>15</v>
      </c>
      <c r="AB80" s="457">
        <v>44245</v>
      </c>
      <c r="AC80" s="458">
        <v>44267</v>
      </c>
      <c r="AD80" s="455">
        <v>200000</v>
      </c>
      <c r="AE80" s="459">
        <v>48</v>
      </c>
      <c r="AF80" s="457">
        <v>44319</v>
      </c>
      <c r="AG80" s="458">
        <v>44340</v>
      </c>
      <c r="AH80" s="455"/>
      <c r="AI80" s="456"/>
      <c r="AJ80" s="460"/>
      <c r="AK80" s="458"/>
      <c r="AL80" s="455"/>
      <c r="AM80" s="456"/>
      <c r="AN80" s="460"/>
      <c r="AO80" s="458"/>
      <c r="AP80" s="455"/>
      <c r="AQ80" s="456"/>
      <c r="AR80" s="460"/>
      <c r="AS80" s="458"/>
      <c r="AT80" s="154">
        <f t="shared" si="0"/>
        <v>300000</v>
      </c>
      <c r="AU80" s="461">
        <f t="shared" si="2"/>
        <v>143921</v>
      </c>
    </row>
    <row r="81" spans="2:47" s="148" customFormat="1" x14ac:dyDescent="0.25">
      <c r="B81" s="149">
        <v>66</v>
      </c>
      <c r="C81" s="149" t="s">
        <v>38</v>
      </c>
      <c r="D81" s="450">
        <v>30487087</v>
      </c>
      <c r="E81" s="596" t="s">
        <v>2558</v>
      </c>
      <c r="F81" s="451" t="s">
        <v>200</v>
      </c>
      <c r="G81" s="452" t="s">
        <v>2481</v>
      </c>
      <c r="H81" s="463" t="s">
        <v>2501</v>
      </c>
      <c r="I81" s="453" t="s">
        <v>43</v>
      </c>
      <c r="J81" s="454">
        <v>1087042</v>
      </c>
      <c r="K81" s="454">
        <v>0</v>
      </c>
      <c r="L81" s="454">
        <v>0</v>
      </c>
      <c r="M81" s="454">
        <v>0</v>
      </c>
      <c r="N81" s="454">
        <v>0</v>
      </c>
      <c r="O81" s="454">
        <v>0</v>
      </c>
      <c r="P81" s="454">
        <v>0</v>
      </c>
      <c r="Q81" s="454">
        <v>0</v>
      </c>
      <c r="R81" s="454">
        <v>0</v>
      </c>
      <c r="S81" s="454"/>
      <c r="T81" s="454"/>
      <c r="U81" s="454"/>
      <c r="V81" s="454"/>
      <c r="W81" s="454"/>
      <c r="X81" s="454"/>
      <c r="Y81" s="454">
        <f t="shared" si="1"/>
        <v>0</v>
      </c>
      <c r="Z81" s="455">
        <v>112149</v>
      </c>
      <c r="AA81" s="456">
        <v>15</v>
      </c>
      <c r="AB81" s="457">
        <v>44245</v>
      </c>
      <c r="AC81" s="458">
        <v>44267</v>
      </c>
      <c r="AD81" s="455"/>
      <c r="AE81" s="459"/>
      <c r="AF81" s="460"/>
      <c r="AG81" s="458"/>
      <c r="AH81" s="455"/>
      <c r="AI81" s="456"/>
      <c r="AJ81" s="460"/>
      <c r="AK81" s="458"/>
      <c r="AL81" s="455"/>
      <c r="AM81" s="456"/>
      <c r="AN81" s="460"/>
      <c r="AO81" s="458"/>
      <c r="AP81" s="455"/>
      <c r="AQ81" s="456"/>
      <c r="AR81" s="460"/>
      <c r="AS81" s="458"/>
      <c r="AT81" s="154">
        <f t="shared" si="0"/>
        <v>112149</v>
      </c>
      <c r="AU81" s="461">
        <f t="shared" ref="AU81:AU147" si="3">+AT81-Y81</f>
        <v>112149</v>
      </c>
    </row>
    <row r="82" spans="2:47" s="148" customFormat="1" x14ac:dyDescent="0.25">
      <c r="B82" s="149">
        <v>67</v>
      </c>
      <c r="C82" s="149" t="s">
        <v>38</v>
      </c>
      <c r="D82" s="450">
        <v>30137382</v>
      </c>
      <c r="E82" s="596" t="s">
        <v>2559</v>
      </c>
      <c r="F82" s="451" t="s">
        <v>204</v>
      </c>
      <c r="G82" s="452" t="s">
        <v>2481</v>
      </c>
      <c r="H82" s="463" t="s">
        <v>2518</v>
      </c>
      <c r="I82" s="453" t="s">
        <v>43</v>
      </c>
      <c r="J82" s="454">
        <v>198572</v>
      </c>
      <c r="K82" s="454">
        <v>3878</v>
      </c>
      <c r="L82" s="454">
        <v>0</v>
      </c>
      <c r="M82" s="454">
        <v>0</v>
      </c>
      <c r="N82" s="454">
        <v>0</v>
      </c>
      <c r="O82" s="454">
        <v>0</v>
      </c>
      <c r="P82" s="454">
        <v>6970</v>
      </c>
      <c r="Q82" s="454">
        <v>13940</v>
      </c>
      <c r="R82" s="454">
        <v>0</v>
      </c>
      <c r="S82" s="454"/>
      <c r="T82" s="454"/>
      <c r="U82" s="454"/>
      <c r="V82" s="454"/>
      <c r="W82" s="454"/>
      <c r="X82" s="454"/>
      <c r="Y82" s="454">
        <f t="shared" si="1"/>
        <v>20910</v>
      </c>
      <c r="Z82" s="455">
        <v>50000</v>
      </c>
      <c r="AA82" s="456">
        <v>15</v>
      </c>
      <c r="AB82" s="457">
        <v>44245</v>
      </c>
      <c r="AC82" s="458">
        <v>44267</v>
      </c>
      <c r="AD82" s="455"/>
      <c r="AE82" s="459"/>
      <c r="AF82" s="460"/>
      <c r="AG82" s="458"/>
      <c r="AH82" s="455"/>
      <c r="AI82" s="456"/>
      <c r="AJ82" s="460"/>
      <c r="AK82" s="458"/>
      <c r="AL82" s="455"/>
      <c r="AM82" s="456"/>
      <c r="AN82" s="460"/>
      <c r="AO82" s="458"/>
      <c r="AP82" s="455"/>
      <c r="AQ82" s="456"/>
      <c r="AR82" s="460"/>
      <c r="AS82" s="458"/>
      <c r="AT82" s="154">
        <f t="shared" si="0"/>
        <v>50000</v>
      </c>
      <c r="AU82" s="461">
        <f t="shared" si="3"/>
        <v>29090</v>
      </c>
    </row>
    <row r="83" spans="2:47" s="148" customFormat="1" x14ac:dyDescent="0.25">
      <c r="B83" s="149">
        <v>68</v>
      </c>
      <c r="C83" s="149" t="s">
        <v>38</v>
      </c>
      <c r="D83" s="450">
        <v>40005006</v>
      </c>
      <c r="E83" s="596" t="s">
        <v>2560</v>
      </c>
      <c r="F83" s="451" t="s">
        <v>200</v>
      </c>
      <c r="G83" s="452" t="s">
        <v>2481</v>
      </c>
      <c r="H83" s="463" t="s">
        <v>2498</v>
      </c>
      <c r="I83" s="453" t="s">
        <v>43</v>
      </c>
      <c r="J83" s="454">
        <v>772595</v>
      </c>
      <c r="K83" s="454">
        <v>0</v>
      </c>
      <c r="L83" s="454">
        <v>0</v>
      </c>
      <c r="M83" s="454">
        <v>0</v>
      </c>
      <c r="N83" s="454">
        <v>0</v>
      </c>
      <c r="O83" s="454">
        <v>0</v>
      </c>
      <c r="P83" s="454">
        <v>0</v>
      </c>
      <c r="Q83" s="454">
        <v>0</v>
      </c>
      <c r="R83" s="454">
        <v>0</v>
      </c>
      <c r="S83" s="454"/>
      <c r="T83" s="454"/>
      <c r="U83" s="454"/>
      <c r="V83" s="454"/>
      <c r="W83" s="454"/>
      <c r="X83" s="454"/>
      <c r="Y83" s="454">
        <f t="shared" si="1"/>
        <v>0</v>
      </c>
      <c r="Z83" s="455">
        <v>200000</v>
      </c>
      <c r="AA83" s="456">
        <v>15</v>
      </c>
      <c r="AB83" s="457">
        <v>44245</v>
      </c>
      <c r="AC83" s="458">
        <v>44267</v>
      </c>
      <c r="AD83" s="455"/>
      <c r="AE83" s="459"/>
      <c r="AF83" s="460"/>
      <c r="AG83" s="458"/>
      <c r="AH83" s="455"/>
      <c r="AI83" s="456"/>
      <c r="AJ83" s="460"/>
      <c r="AK83" s="458"/>
      <c r="AL83" s="455"/>
      <c r="AM83" s="456"/>
      <c r="AN83" s="460"/>
      <c r="AO83" s="458"/>
      <c r="AP83" s="455"/>
      <c r="AQ83" s="456"/>
      <c r="AR83" s="460"/>
      <c r="AS83" s="458"/>
      <c r="AT83" s="154">
        <f t="shared" si="0"/>
        <v>200000</v>
      </c>
      <c r="AU83" s="461">
        <f t="shared" si="3"/>
        <v>200000</v>
      </c>
    </row>
    <row r="84" spans="2:47" s="148" customFormat="1" ht="22.5" x14ac:dyDescent="0.25">
      <c r="B84" s="149">
        <v>69</v>
      </c>
      <c r="C84" s="149" t="s">
        <v>38</v>
      </c>
      <c r="D84" s="450">
        <v>30484762</v>
      </c>
      <c r="E84" s="596" t="s">
        <v>2561</v>
      </c>
      <c r="F84" s="451" t="s">
        <v>204</v>
      </c>
      <c r="G84" s="452" t="s">
        <v>2481</v>
      </c>
      <c r="H84" s="463" t="s">
        <v>2498</v>
      </c>
      <c r="I84" s="453" t="s">
        <v>43</v>
      </c>
      <c r="J84" s="454">
        <v>217231</v>
      </c>
      <c r="K84" s="454">
        <v>3335</v>
      </c>
      <c r="L84" s="454">
        <v>9297</v>
      </c>
      <c r="M84" s="454">
        <v>0</v>
      </c>
      <c r="N84" s="454">
        <v>0</v>
      </c>
      <c r="O84" s="454">
        <v>0</v>
      </c>
      <c r="P84" s="454">
        <v>0</v>
      </c>
      <c r="Q84" s="454">
        <v>0</v>
      </c>
      <c r="R84" s="454">
        <v>0</v>
      </c>
      <c r="S84" s="454"/>
      <c r="T84" s="454"/>
      <c r="U84" s="454"/>
      <c r="V84" s="454"/>
      <c r="W84" s="454"/>
      <c r="X84" s="454"/>
      <c r="Y84" s="454">
        <f t="shared" si="1"/>
        <v>0</v>
      </c>
      <c r="Z84" s="455">
        <v>1</v>
      </c>
      <c r="AA84" s="456">
        <v>15</v>
      </c>
      <c r="AB84" s="457">
        <v>44245</v>
      </c>
      <c r="AC84" s="458">
        <v>44267</v>
      </c>
      <c r="AD84" s="455"/>
      <c r="AE84" s="459"/>
      <c r="AF84" s="460"/>
      <c r="AG84" s="458"/>
      <c r="AH84" s="455"/>
      <c r="AI84" s="456"/>
      <c r="AJ84" s="460"/>
      <c r="AK84" s="458"/>
      <c r="AL84" s="455"/>
      <c r="AM84" s="456"/>
      <c r="AN84" s="460"/>
      <c r="AO84" s="458"/>
      <c r="AP84" s="455"/>
      <c r="AQ84" s="456"/>
      <c r="AR84" s="460"/>
      <c r="AS84" s="458"/>
      <c r="AT84" s="154">
        <f t="shared" si="0"/>
        <v>1</v>
      </c>
      <c r="AU84" s="461">
        <f t="shared" si="3"/>
        <v>1</v>
      </c>
    </row>
    <row r="85" spans="2:47" s="148" customFormat="1" ht="22.5" x14ac:dyDescent="0.25">
      <c r="B85" s="149">
        <v>70</v>
      </c>
      <c r="C85" s="149" t="s">
        <v>38</v>
      </c>
      <c r="D85" s="450">
        <v>30484985</v>
      </c>
      <c r="E85" s="596" t="s">
        <v>2562</v>
      </c>
      <c r="F85" s="451" t="s">
        <v>204</v>
      </c>
      <c r="G85" s="452" t="s">
        <v>2481</v>
      </c>
      <c r="H85" s="463" t="s">
        <v>2504</v>
      </c>
      <c r="I85" s="453" t="s">
        <v>43</v>
      </c>
      <c r="J85" s="454">
        <v>38448</v>
      </c>
      <c r="K85" s="454">
        <v>0</v>
      </c>
      <c r="L85" s="454">
        <v>6725</v>
      </c>
      <c r="M85" s="454">
        <v>0</v>
      </c>
      <c r="N85" s="454">
        <v>0</v>
      </c>
      <c r="O85" s="454">
        <v>0</v>
      </c>
      <c r="P85" s="454">
        <v>0</v>
      </c>
      <c r="Q85" s="454">
        <v>0</v>
      </c>
      <c r="R85" s="454">
        <v>0</v>
      </c>
      <c r="S85" s="454"/>
      <c r="T85" s="454"/>
      <c r="U85" s="454"/>
      <c r="V85" s="454"/>
      <c r="W85" s="454"/>
      <c r="X85" s="454"/>
      <c r="Y85" s="454">
        <f t="shared" si="1"/>
        <v>0</v>
      </c>
      <c r="Z85" s="455">
        <v>36646</v>
      </c>
      <c r="AA85" s="456">
        <v>15</v>
      </c>
      <c r="AB85" s="457">
        <v>44245</v>
      </c>
      <c r="AC85" s="458">
        <v>44267</v>
      </c>
      <c r="AD85" s="455"/>
      <c r="AE85" s="459"/>
      <c r="AF85" s="460"/>
      <c r="AG85" s="458"/>
      <c r="AH85" s="455"/>
      <c r="AI85" s="456"/>
      <c r="AJ85" s="460"/>
      <c r="AK85" s="458"/>
      <c r="AL85" s="455"/>
      <c r="AM85" s="456"/>
      <c r="AN85" s="460"/>
      <c r="AO85" s="458"/>
      <c r="AP85" s="455"/>
      <c r="AQ85" s="456"/>
      <c r="AR85" s="460"/>
      <c r="AS85" s="458"/>
      <c r="AT85" s="154">
        <f t="shared" si="0"/>
        <v>36646</v>
      </c>
      <c r="AU85" s="461">
        <f t="shared" si="3"/>
        <v>36646</v>
      </c>
    </row>
    <row r="86" spans="2:47" s="148" customFormat="1" x14ac:dyDescent="0.25">
      <c r="B86" s="149">
        <v>71</v>
      </c>
      <c r="C86" s="149" t="s">
        <v>38</v>
      </c>
      <c r="D86" s="450">
        <v>30348582</v>
      </c>
      <c r="E86" s="596" t="s">
        <v>2563</v>
      </c>
      <c r="F86" s="451" t="s">
        <v>200</v>
      </c>
      <c r="G86" s="452" t="s">
        <v>2481</v>
      </c>
      <c r="H86" s="463" t="s">
        <v>2501</v>
      </c>
      <c r="I86" s="453" t="s">
        <v>43</v>
      </c>
      <c r="J86" s="454">
        <v>571296</v>
      </c>
      <c r="K86" s="454">
        <v>0</v>
      </c>
      <c r="L86" s="454">
        <v>250750</v>
      </c>
      <c r="M86" s="454">
        <v>0</v>
      </c>
      <c r="N86" s="454">
        <v>0</v>
      </c>
      <c r="O86" s="454">
        <v>0</v>
      </c>
      <c r="P86" s="454">
        <v>0</v>
      </c>
      <c r="Q86" s="454">
        <v>0</v>
      </c>
      <c r="R86" s="454">
        <v>50587</v>
      </c>
      <c r="S86" s="454"/>
      <c r="T86" s="454"/>
      <c r="U86" s="454"/>
      <c r="V86" s="454"/>
      <c r="W86" s="454"/>
      <c r="X86" s="454"/>
      <c r="Y86" s="454">
        <f t="shared" si="1"/>
        <v>50587</v>
      </c>
      <c r="Z86" s="455">
        <v>1</v>
      </c>
      <c r="AA86" s="456">
        <v>15</v>
      </c>
      <c r="AB86" s="457">
        <v>44245</v>
      </c>
      <c r="AC86" s="458">
        <v>44267</v>
      </c>
      <c r="AD86" s="455">
        <v>107147</v>
      </c>
      <c r="AE86" s="459">
        <v>48</v>
      </c>
      <c r="AF86" s="457">
        <v>44319</v>
      </c>
      <c r="AG86" s="458">
        <v>44340</v>
      </c>
      <c r="AH86" s="455"/>
      <c r="AI86" s="456"/>
      <c r="AJ86" s="460"/>
      <c r="AK86" s="458"/>
      <c r="AL86" s="455"/>
      <c r="AM86" s="456"/>
      <c r="AN86" s="460"/>
      <c r="AO86" s="458"/>
      <c r="AP86" s="455"/>
      <c r="AQ86" s="456"/>
      <c r="AR86" s="460"/>
      <c r="AS86" s="458"/>
      <c r="AT86" s="154">
        <f t="shared" si="0"/>
        <v>107148</v>
      </c>
      <c r="AU86" s="461">
        <f t="shared" si="3"/>
        <v>56561</v>
      </c>
    </row>
    <row r="87" spans="2:47" s="148" customFormat="1" x14ac:dyDescent="0.25">
      <c r="B87" s="149">
        <v>72</v>
      </c>
      <c r="C87" s="149" t="s">
        <v>38</v>
      </c>
      <c r="D87" s="450">
        <v>30349480</v>
      </c>
      <c r="E87" s="596" t="s">
        <v>2564</v>
      </c>
      <c r="F87" s="451" t="s">
        <v>200</v>
      </c>
      <c r="G87" s="452" t="s">
        <v>2481</v>
      </c>
      <c r="H87" s="463" t="s">
        <v>2501</v>
      </c>
      <c r="I87" s="453" t="s">
        <v>43</v>
      </c>
      <c r="J87" s="454">
        <v>6512648</v>
      </c>
      <c r="K87" s="454">
        <v>6288</v>
      </c>
      <c r="L87" s="454">
        <v>5684099</v>
      </c>
      <c r="M87" s="454">
        <v>0</v>
      </c>
      <c r="N87" s="454">
        <v>0</v>
      </c>
      <c r="O87" s="454">
        <v>0</v>
      </c>
      <c r="P87" s="454">
        <v>0</v>
      </c>
      <c r="Q87" s="454">
        <v>0</v>
      </c>
      <c r="R87" s="454">
        <v>0</v>
      </c>
      <c r="S87" s="454"/>
      <c r="T87" s="454"/>
      <c r="U87" s="454"/>
      <c r="V87" s="454"/>
      <c r="W87" s="454"/>
      <c r="X87" s="454"/>
      <c r="Y87" s="454">
        <f t="shared" si="1"/>
        <v>0</v>
      </c>
      <c r="Z87" s="455">
        <v>31943</v>
      </c>
      <c r="AA87" s="456">
        <v>15</v>
      </c>
      <c r="AB87" s="457">
        <v>44245</v>
      </c>
      <c r="AC87" s="458">
        <v>44267</v>
      </c>
      <c r="AD87" s="455">
        <v>110000</v>
      </c>
      <c r="AE87" s="459">
        <v>48</v>
      </c>
      <c r="AF87" s="457">
        <v>44319</v>
      </c>
      <c r="AG87" s="458">
        <v>44340</v>
      </c>
      <c r="AH87" s="455">
        <v>500000</v>
      </c>
      <c r="AI87" s="456">
        <v>62</v>
      </c>
      <c r="AJ87" s="457">
        <v>44351</v>
      </c>
      <c r="AK87" s="458">
        <v>44372</v>
      </c>
      <c r="AL87" s="455"/>
      <c r="AM87" s="456"/>
      <c r="AN87" s="460"/>
      <c r="AO87" s="458"/>
      <c r="AP87" s="455"/>
      <c r="AQ87" s="456"/>
      <c r="AR87" s="460"/>
      <c r="AS87" s="458"/>
      <c r="AT87" s="154">
        <f t="shared" si="0"/>
        <v>641943</v>
      </c>
      <c r="AU87" s="461">
        <f t="shared" si="3"/>
        <v>641943</v>
      </c>
    </row>
    <row r="88" spans="2:47" s="148" customFormat="1" x14ac:dyDescent="0.25">
      <c r="B88" s="149">
        <v>73</v>
      </c>
      <c r="C88" s="149" t="s">
        <v>38</v>
      </c>
      <c r="D88" s="450">
        <v>40001729</v>
      </c>
      <c r="E88" s="596" t="s">
        <v>2565</v>
      </c>
      <c r="F88" s="451" t="s">
        <v>200</v>
      </c>
      <c r="G88" s="452" t="s">
        <v>2481</v>
      </c>
      <c r="H88" s="463" t="s">
        <v>2484</v>
      </c>
      <c r="I88" s="453" t="s">
        <v>43</v>
      </c>
      <c r="J88" s="454">
        <v>563569</v>
      </c>
      <c r="K88" s="454">
        <v>0</v>
      </c>
      <c r="L88" s="454">
        <v>206666</v>
      </c>
      <c r="M88" s="454">
        <v>0</v>
      </c>
      <c r="N88" s="454">
        <v>0</v>
      </c>
      <c r="O88" s="454">
        <v>0</v>
      </c>
      <c r="P88" s="454">
        <v>0</v>
      </c>
      <c r="Q88" s="454">
        <v>0</v>
      </c>
      <c r="R88" s="454">
        <v>22350</v>
      </c>
      <c r="S88" s="454"/>
      <c r="T88" s="454"/>
      <c r="U88" s="454"/>
      <c r="V88" s="454"/>
      <c r="W88" s="454"/>
      <c r="X88" s="454"/>
      <c r="Y88" s="454">
        <f t="shared" si="1"/>
        <v>22350</v>
      </c>
      <c r="Z88" s="455">
        <v>212591</v>
      </c>
      <c r="AA88" s="456">
        <v>15</v>
      </c>
      <c r="AB88" s="457">
        <v>44245</v>
      </c>
      <c r="AC88" s="458">
        <v>44267</v>
      </c>
      <c r="AD88" s="455"/>
      <c r="AE88" s="459"/>
      <c r="AF88" s="460"/>
      <c r="AG88" s="458"/>
      <c r="AH88" s="455"/>
      <c r="AI88" s="456"/>
      <c r="AJ88" s="460"/>
      <c r="AK88" s="458"/>
      <c r="AL88" s="455"/>
      <c r="AM88" s="456"/>
      <c r="AN88" s="460"/>
      <c r="AO88" s="458"/>
      <c r="AP88" s="455"/>
      <c r="AQ88" s="456"/>
      <c r="AR88" s="460"/>
      <c r="AS88" s="458"/>
      <c r="AT88" s="154">
        <f t="shared" si="0"/>
        <v>212591</v>
      </c>
      <c r="AU88" s="461">
        <f t="shared" si="3"/>
        <v>190241</v>
      </c>
    </row>
    <row r="89" spans="2:47" s="148" customFormat="1" x14ac:dyDescent="0.25">
      <c r="B89" s="149">
        <v>74</v>
      </c>
      <c r="C89" s="149" t="s">
        <v>38</v>
      </c>
      <c r="D89" s="450">
        <v>40013313</v>
      </c>
      <c r="E89" s="596" t="s">
        <v>2566</v>
      </c>
      <c r="F89" s="451" t="s">
        <v>200</v>
      </c>
      <c r="G89" s="452" t="s">
        <v>2481</v>
      </c>
      <c r="H89" s="463" t="s">
        <v>226</v>
      </c>
      <c r="I89" s="453" t="s">
        <v>43</v>
      </c>
      <c r="J89" s="454">
        <v>1511132</v>
      </c>
      <c r="K89" s="454">
        <v>0</v>
      </c>
      <c r="L89" s="454">
        <v>0</v>
      </c>
      <c r="M89" s="454">
        <v>0</v>
      </c>
      <c r="N89" s="454">
        <v>0</v>
      </c>
      <c r="O89" s="454">
        <v>101633</v>
      </c>
      <c r="P89" s="454">
        <v>85058</v>
      </c>
      <c r="Q89" s="454">
        <v>152547</v>
      </c>
      <c r="R89" s="454">
        <v>113492</v>
      </c>
      <c r="S89" s="454"/>
      <c r="T89" s="454"/>
      <c r="U89" s="454"/>
      <c r="V89" s="454"/>
      <c r="W89" s="454"/>
      <c r="X89" s="454"/>
      <c r="Y89" s="454">
        <f t="shared" si="1"/>
        <v>452730</v>
      </c>
      <c r="Z89" s="455">
        <v>400000</v>
      </c>
      <c r="AA89" s="456">
        <v>15</v>
      </c>
      <c r="AB89" s="457">
        <v>44245</v>
      </c>
      <c r="AC89" s="458">
        <v>44267</v>
      </c>
      <c r="AD89" s="455">
        <v>400000</v>
      </c>
      <c r="AE89" s="459">
        <v>48</v>
      </c>
      <c r="AF89" s="457">
        <v>44319</v>
      </c>
      <c r="AG89" s="458">
        <v>44340</v>
      </c>
      <c r="AH89" s="455"/>
      <c r="AI89" s="456"/>
      <c r="AJ89" s="460"/>
      <c r="AK89" s="458"/>
      <c r="AL89" s="455"/>
      <c r="AM89" s="456"/>
      <c r="AN89" s="460"/>
      <c r="AO89" s="458"/>
      <c r="AP89" s="455"/>
      <c r="AQ89" s="456"/>
      <c r="AR89" s="460"/>
      <c r="AS89" s="458"/>
      <c r="AT89" s="154">
        <f t="shared" si="0"/>
        <v>800000</v>
      </c>
      <c r="AU89" s="461">
        <f t="shared" si="3"/>
        <v>347270</v>
      </c>
    </row>
    <row r="90" spans="2:47" s="148" customFormat="1" ht="22.5" x14ac:dyDescent="0.25">
      <c r="B90" s="149">
        <v>75</v>
      </c>
      <c r="C90" s="149" t="s">
        <v>41</v>
      </c>
      <c r="D90" s="450">
        <v>30291346</v>
      </c>
      <c r="E90" s="596" t="s">
        <v>2567</v>
      </c>
      <c r="F90" s="451" t="s">
        <v>200</v>
      </c>
      <c r="G90" s="452" t="s">
        <v>2481</v>
      </c>
      <c r="H90" s="463" t="s">
        <v>2486</v>
      </c>
      <c r="I90" s="453" t="s">
        <v>43</v>
      </c>
      <c r="J90" s="454">
        <v>333625</v>
      </c>
      <c r="K90" s="454">
        <v>1574</v>
      </c>
      <c r="L90" s="454">
        <v>183209</v>
      </c>
      <c r="M90" s="454">
        <v>0</v>
      </c>
      <c r="N90" s="454">
        <v>0</v>
      </c>
      <c r="O90" s="454">
        <v>0</v>
      </c>
      <c r="P90" s="454">
        <v>0</v>
      </c>
      <c r="Q90" s="454">
        <v>0</v>
      </c>
      <c r="R90" s="454">
        <v>0</v>
      </c>
      <c r="S90" s="454"/>
      <c r="T90" s="454"/>
      <c r="U90" s="454"/>
      <c r="V90" s="454"/>
      <c r="W90" s="454"/>
      <c r="X90" s="454"/>
      <c r="Y90" s="454">
        <f t="shared" si="1"/>
        <v>0</v>
      </c>
      <c r="Z90" s="455">
        <v>80000</v>
      </c>
      <c r="AA90" s="456">
        <v>15</v>
      </c>
      <c r="AB90" s="457">
        <v>44245</v>
      </c>
      <c r="AC90" s="458">
        <v>44267</v>
      </c>
      <c r="AD90" s="455">
        <v>0</v>
      </c>
      <c r="AE90" s="459">
        <v>31</v>
      </c>
      <c r="AF90" s="457">
        <v>44270</v>
      </c>
      <c r="AG90" s="458">
        <v>44286</v>
      </c>
      <c r="AH90" s="455"/>
      <c r="AI90" s="456"/>
      <c r="AJ90" s="460"/>
      <c r="AK90" s="458"/>
      <c r="AL90" s="455"/>
      <c r="AM90" s="456"/>
      <c r="AN90" s="460"/>
      <c r="AO90" s="458"/>
      <c r="AP90" s="455"/>
      <c r="AQ90" s="456"/>
      <c r="AR90" s="460"/>
      <c r="AS90" s="458"/>
      <c r="AT90" s="154">
        <f t="shared" si="0"/>
        <v>80000</v>
      </c>
      <c r="AU90" s="461">
        <f t="shared" si="3"/>
        <v>80000</v>
      </c>
    </row>
    <row r="91" spans="2:47" s="148" customFormat="1" x14ac:dyDescent="0.25">
      <c r="B91" s="149">
        <v>76</v>
      </c>
      <c r="C91" s="149" t="s">
        <v>38</v>
      </c>
      <c r="D91" s="450">
        <v>30086180</v>
      </c>
      <c r="E91" s="596" t="s">
        <v>2568</v>
      </c>
      <c r="F91" s="451" t="s">
        <v>200</v>
      </c>
      <c r="G91" s="452" t="s">
        <v>2481</v>
      </c>
      <c r="H91" s="463" t="s">
        <v>2489</v>
      </c>
      <c r="I91" s="453" t="s">
        <v>42</v>
      </c>
      <c r="J91" s="454">
        <v>2636324</v>
      </c>
      <c r="K91" s="454">
        <v>2592616</v>
      </c>
      <c r="L91" s="454">
        <v>0</v>
      </c>
      <c r="M91" s="454">
        <v>0</v>
      </c>
      <c r="N91" s="454">
        <v>0</v>
      </c>
      <c r="O91" s="454">
        <v>0</v>
      </c>
      <c r="P91" s="454">
        <v>0</v>
      </c>
      <c r="Q91" s="454">
        <v>2099</v>
      </c>
      <c r="R91" s="454">
        <f>10+9049</f>
        <v>9059</v>
      </c>
      <c r="S91" s="454"/>
      <c r="T91" s="454"/>
      <c r="U91" s="454"/>
      <c r="V91" s="454"/>
      <c r="W91" s="454"/>
      <c r="X91" s="454"/>
      <c r="Y91" s="454">
        <f t="shared" si="1"/>
        <v>11158</v>
      </c>
      <c r="Z91" s="455">
        <v>43707</v>
      </c>
      <c r="AA91" s="456">
        <v>16</v>
      </c>
      <c r="AB91" s="457">
        <v>44245</v>
      </c>
      <c r="AC91" s="458">
        <v>44267</v>
      </c>
      <c r="AD91" s="455"/>
      <c r="AE91" s="459"/>
      <c r="AF91" s="460"/>
      <c r="AG91" s="458"/>
      <c r="AH91" s="455"/>
      <c r="AI91" s="456"/>
      <c r="AJ91" s="460"/>
      <c r="AK91" s="458"/>
      <c r="AL91" s="455"/>
      <c r="AM91" s="456"/>
      <c r="AN91" s="460"/>
      <c r="AO91" s="458"/>
      <c r="AP91" s="455"/>
      <c r="AQ91" s="456"/>
      <c r="AR91" s="460"/>
      <c r="AS91" s="458"/>
      <c r="AT91" s="154">
        <f t="shared" si="0"/>
        <v>43707</v>
      </c>
      <c r="AU91" s="461">
        <f t="shared" si="3"/>
        <v>32549</v>
      </c>
    </row>
    <row r="92" spans="2:47" s="148" customFormat="1" ht="22.5" x14ac:dyDescent="0.25">
      <c r="B92" s="149">
        <v>77</v>
      </c>
      <c r="C92" s="149" t="s">
        <v>38</v>
      </c>
      <c r="D92" s="450">
        <v>30116934</v>
      </c>
      <c r="E92" s="596" t="s">
        <v>2569</v>
      </c>
      <c r="F92" s="451" t="s">
        <v>200</v>
      </c>
      <c r="G92" s="452" t="s">
        <v>2481</v>
      </c>
      <c r="H92" s="463" t="s">
        <v>2495</v>
      </c>
      <c r="I92" s="453" t="s">
        <v>42</v>
      </c>
      <c r="J92" s="454">
        <v>3859371</v>
      </c>
      <c r="K92" s="454">
        <v>584324</v>
      </c>
      <c r="L92" s="454">
        <v>2372515</v>
      </c>
      <c r="M92" s="454">
        <v>0</v>
      </c>
      <c r="N92" s="454">
        <v>0</v>
      </c>
      <c r="O92" s="454">
        <v>0</v>
      </c>
      <c r="P92" s="454">
        <v>0</v>
      </c>
      <c r="Q92" s="454">
        <v>0</v>
      </c>
      <c r="R92" s="454">
        <v>673</v>
      </c>
      <c r="S92" s="454"/>
      <c r="T92" s="454"/>
      <c r="U92" s="454"/>
      <c r="V92" s="454"/>
      <c r="W92" s="454"/>
      <c r="X92" s="454"/>
      <c r="Y92" s="454">
        <f t="shared" si="1"/>
        <v>673</v>
      </c>
      <c r="Z92" s="455">
        <v>333514</v>
      </c>
      <c r="AA92" s="456">
        <v>16</v>
      </c>
      <c r="AB92" s="457">
        <v>44245</v>
      </c>
      <c r="AC92" s="458">
        <v>44267</v>
      </c>
      <c r="AD92" s="455"/>
      <c r="AE92" s="459"/>
      <c r="AF92" s="460"/>
      <c r="AG92" s="458"/>
      <c r="AH92" s="455"/>
      <c r="AI92" s="456"/>
      <c r="AJ92" s="460"/>
      <c r="AK92" s="458"/>
      <c r="AL92" s="455"/>
      <c r="AM92" s="456"/>
      <c r="AN92" s="460"/>
      <c r="AO92" s="458"/>
      <c r="AP92" s="455"/>
      <c r="AQ92" s="456"/>
      <c r="AR92" s="460"/>
      <c r="AS92" s="458"/>
      <c r="AT92" s="154">
        <f t="shared" si="0"/>
        <v>333514</v>
      </c>
      <c r="AU92" s="461">
        <f t="shared" si="3"/>
        <v>332841</v>
      </c>
    </row>
    <row r="93" spans="2:47" s="148" customFormat="1" ht="22.5" x14ac:dyDescent="0.25">
      <c r="B93" s="149">
        <v>78</v>
      </c>
      <c r="C93" s="149" t="s">
        <v>38</v>
      </c>
      <c r="D93" s="450">
        <v>30136383</v>
      </c>
      <c r="E93" s="596" t="s">
        <v>2570</v>
      </c>
      <c r="F93" s="451" t="s">
        <v>200</v>
      </c>
      <c r="G93" s="452" t="s">
        <v>2481</v>
      </c>
      <c r="H93" s="463" t="s">
        <v>2498</v>
      </c>
      <c r="I93" s="453" t="s">
        <v>42</v>
      </c>
      <c r="J93" s="454">
        <v>2256587</v>
      </c>
      <c r="K93" s="454">
        <v>2185657</v>
      </c>
      <c r="L93" s="454">
        <v>0</v>
      </c>
      <c r="M93" s="454">
        <v>0</v>
      </c>
      <c r="N93" s="454">
        <v>0</v>
      </c>
      <c r="O93" s="454">
        <v>0</v>
      </c>
      <c r="P93" s="454">
        <v>0</v>
      </c>
      <c r="Q93" s="454">
        <v>0</v>
      </c>
      <c r="R93" s="454">
        <v>0</v>
      </c>
      <c r="S93" s="454"/>
      <c r="T93" s="454"/>
      <c r="U93" s="454"/>
      <c r="V93" s="454"/>
      <c r="W93" s="454"/>
      <c r="X93" s="454"/>
      <c r="Y93" s="454">
        <f t="shared" si="1"/>
        <v>0</v>
      </c>
      <c r="Z93" s="455">
        <v>50530</v>
      </c>
      <c r="AA93" s="456">
        <v>16</v>
      </c>
      <c r="AB93" s="457">
        <v>44245</v>
      </c>
      <c r="AC93" s="458">
        <v>44267</v>
      </c>
      <c r="AD93" s="455"/>
      <c r="AE93" s="459"/>
      <c r="AF93" s="460"/>
      <c r="AG93" s="458"/>
      <c r="AH93" s="455"/>
      <c r="AI93" s="456"/>
      <c r="AJ93" s="460"/>
      <c r="AK93" s="458"/>
      <c r="AL93" s="455"/>
      <c r="AM93" s="456"/>
      <c r="AN93" s="460"/>
      <c r="AO93" s="458"/>
      <c r="AP93" s="455"/>
      <c r="AQ93" s="456"/>
      <c r="AR93" s="460"/>
      <c r="AS93" s="458"/>
      <c r="AT93" s="154">
        <f t="shared" si="0"/>
        <v>50530</v>
      </c>
      <c r="AU93" s="461">
        <f t="shared" si="3"/>
        <v>50530</v>
      </c>
    </row>
    <row r="94" spans="2:47" s="148" customFormat="1" ht="22.5" x14ac:dyDescent="0.25">
      <c r="B94" s="149">
        <v>79</v>
      </c>
      <c r="C94" s="149" t="s">
        <v>38</v>
      </c>
      <c r="D94" s="450">
        <v>30183073</v>
      </c>
      <c r="E94" s="596" t="s">
        <v>2571</v>
      </c>
      <c r="F94" s="451" t="s">
        <v>200</v>
      </c>
      <c r="G94" s="452" t="s">
        <v>2481</v>
      </c>
      <c r="H94" s="463" t="s">
        <v>2504</v>
      </c>
      <c r="I94" s="453" t="s">
        <v>42</v>
      </c>
      <c r="J94" s="454">
        <v>2253940</v>
      </c>
      <c r="K94" s="454">
        <v>2233940</v>
      </c>
      <c r="L94" s="454">
        <v>0</v>
      </c>
      <c r="M94" s="454">
        <v>0</v>
      </c>
      <c r="N94" s="454">
        <v>0</v>
      </c>
      <c r="O94" s="454">
        <v>0</v>
      </c>
      <c r="P94" s="454">
        <v>0</v>
      </c>
      <c r="Q94" s="454">
        <v>0</v>
      </c>
      <c r="R94" s="454">
        <v>0</v>
      </c>
      <c r="S94" s="454"/>
      <c r="T94" s="454"/>
      <c r="U94" s="454"/>
      <c r="V94" s="454"/>
      <c r="W94" s="454"/>
      <c r="X94" s="454"/>
      <c r="Y94" s="454">
        <f t="shared" si="1"/>
        <v>0</v>
      </c>
      <c r="Z94" s="455">
        <v>9000</v>
      </c>
      <c r="AA94" s="456">
        <v>16</v>
      </c>
      <c r="AB94" s="457">
        <v>44245</v>
      </c>
      <c r="AC94" s="458">
        <v>44267</v>
      </c>
      <c r="AD94" s="455"/>
      <c r="AE94" s="459"/>
      <c r="AF94" s="460"/>
      <c r="AG94" s="458"/>
      <c r="AH94" s="455"/>
      <c r="AI94" s="456"/>
      <c r="AJ94" s="460"/>
      <c r="AK94" s="458"/>
      <c r="AL94" s="455"/>
      <c r="AM94" s="456"/>
      <c r="AN94" s="460"/>
      <c r="AO94" s="458"/>
      <c r="AP94" s="455"/>
      <c r="AQ94" s="456"/>
      <c r="AR94" s="460"/>
      <c r="AS94" s="458"/>
      <c r="AT94" s="154">
        <f t="shared" si="0"/>
        <v>9000</v>
      </c>
      <c r="AU94" s="461">
        <f t="shared" si="3"/>
        <v>9000</v>
      </c>
    </row>
    <row r="95" spans="2:47" s="148" customFormat="1" x14ac:dyDescent="0.25">
      <c r="B95" s="149">
        <v>80</v>
      </c>
      <c r="C95" s="149" t="s">
        <v>38</v>
      </c>
      <c r="D95" s="450">
        <v>30070463</v>
      </c>
      <c r="E95" s="596" t="s">
        <v>2572</v>
      </c>
      <c r="F95" s="451" t="s">
        <v>200</v>
      </c>
      <c r="G95" s="452" t="s">
        <v>2481</v>
      </c>
      <c r="H95" s="463" t="s">
        <v>2484</v>
      </c>
      <c r="I95" s="453" t="s">
        <v>42</v>
      </c>
      <c r="J95" s="454">
        <v>3384728</v>
      </c>
      <c r="K95" s="454">
        <v>712474</v>
      </c>
      <c r="L95" s="454">
        <v>2511940</v>
      </c>
      <c r="M95" s="454">
        <v>0</v>
      </c>
      <c r="N95" s="454">
        <v>0</v>
      </c>
      <c r="O95" s="454">
        <v>0</v>
      </c>
      <c r="P95" s="454">
        <v>0</v>
      </c>
      <c r="Q95" s="454">
        <v>0</v>
      </c>
      <c r="R95" s="454">
        <v>0</v>
      </c>
      <c r="S95" s="454"/>
      <c r="T95" s="454"/>
      <c r="U95" s="454"/>
      <c r="V95" s="454"/>
      <c r="W95" s="454"/>
      <c r="X95" s="454"/>
      <c r="Y95" s="454">
        <f t="shared" si="1"/>
        <v>0</v>
      </c>
      <c r="Z95" s="455">
        <v>1</v>
      </c>
      <c r="AA95" s="456">
        <v>16</v>
      </c>
      <c r="AB95" s="457">
        <v>44245</v>
      </c>
      <c r="AC95" s="458">
        <v>44267</v>
      </c>
      <c r="AD95" s="455"/>
      <c r="AE95" s="459"/>
      <c r="AF95" s="460"/>
      <c r="AG95" s="458"/>
      <c r="AH95" s="455"/>
      <c r="AI95" s="456"/>
      <c r="AJ95" s="460"/>
      <c r="AK95" s="458"/>
      <c r="AL95" s="455"/>
      <c r="AM95" s="456"/>
      <c r="AN95" s="460"/>
      <c r="AO95" s="458"/>
      <c r="AP95" s="455"/>
      <c r="AQ95" s="456"/>
      <c r="AR95" s="460"/>
      <c r="AS95" s="458"/>
      <c r="AT95" s="154">
        <f t="shared" si="0"/>
        <v>1</v>
      </c>
      <c r="AU95" s="461">
        <f t="shared" si="3"/>
        <v>1</v>
      </c>
    </row>
    <row r="96" spans="2:47" s="148" customFormat="1" x14ac:dyDescent="0.25">
      <c r="B96" s="149">
        <v>81</v>
      </c>
      <c r="C96" s="149" t="s">
        <v>38</v>
      </c>
      <c r="D96" s="450">
        <v>30473498</v>
      </c>
      <c r="E96" s="596" t="s">
        <v>2573</v>
      </c>
      <c r="F96" s="451" t="s">
        <v>539</v>
      </c>
      <c r="G96" s="452" t="s">
        <v>2481</v>
      </c>
      <c r="H96" s="463" t="s">
        <v>2484</v>
      </c>
      <c r="I96" s="453" t="s">
        <v>43</v>
      </c>
      <c r="J96" s="454">
        <v>109718</v>
      </c>
      <c r="K96" s="454">
        <v>1081</v>
      </c>
      <c r="L96" s="454">
        <v>36141</v>
      </c>
      <c r="M96" s="454">
        <v>0</v>
      </c>
      <c r="N96" s="454">
        <v>0</v>
      </c>
      <c r="O96" s="454">
        <v>0</v>
      </c>
      <c r="P96" s="454">
        <v>0</v>
      </c>
      <c r="Q96" s="454">
        <v>0</v>
      </c>
      <c r="R96" s="454">
        <v>4991</v>
      </c>
      <c r="S96" s="454"/>
      <c r="T96" s="454"/>
      <c r="U96" s="454"/>
      <c r="V96" s="454"/>
      <c r="W96" s="454"/>
      <c r="X96" s="454"/>
      <c r="Y96" s="454">
        <f t="shared" si="1"/>
        <v>4991</v>
      </c>
      <c r="Z96" s="455">
        <v>50000</v>
      </c>
      <c r="AA96" s="456">
        <v>17</v>
      </c>
      <c r="AB96" s="457">
        <v>44245</v>
      </c>
      <c r="AC96" s="458">
        <v>44267</v>
      </c>
      <c r="AD96" s="455"/>
      <c r="AE96" s="459"/>
      <c r="AF96" s="460"/>
      <c r="AG96" s="458"/>
      <c r="AH96" s="455"/>
      <c r="AI96" s="456"/>
      <c r="AJ96" s="460"/>
      <c r="AK96" s="458"/>
      <c r="AL96" s="455"/>
      <c r="AM96" s="456"/>
      <c r="AN96" s="460"/>
      <c r="AO96" s="458"/>
      <c r="AP96" s="455"/>
      <c r="AQ96" s="456"/>
      <c r="AR96" s="460"/>
      <c r="AS96" s="458"/>
      <c r="AT96" s="154">
        <f t="shared" si="0"/>
        <v>50000</v>
      </c>
      <c r="AU96" s="461">
        <f t="shared" si="3"/>
        <v>45009</v>
      </c>
    </row>
    <row r="97" spans="2:47" s="148" customFormat="1" ht="22.5" x14ac:dyDescent="0.25">
      <c r="B97" s="149">
        <v>82</v>
      </c>
      <c r="C97" s="149" t="s">
        <v>38</v>
      </c>
      <c r="D97" s="450">
        <v>30428596</v>
      </c>
      <c r="E97" s="596" t="s">
        <v>2574</v>
      </c>
      <c r="F97" s="451" t="s">
        <v>200</v>
      </c>
      <c r="G97" s="452" t="s">
        <v>2481</v>
      </c>
      <c r="H97" s="463" t="s">
        <v>2491</v>
      </c>
      <c r="I97" s="453" t="s">
        <v>43</v>
      </c>
      <c r="J97" s="454">
        <v>1155199</v>
      </c>
      <c r="K97" s="454">
        <v>0</v>
      </c>
      <c r="L97" s="454">
        <v>1888</v>
      </c>
      <c r="M97" s="454">
        <v>0</v>
      </c>
      <c r="N97" s="454">
        <v>0</v>
      </c>
      <c r="O97" s="454">
        <v>0</v>
      </c>
      <c r="P97" s="454">
        <v>0</v>
      </c>
      <c r="Q97" s="454">
        <v>158936</v>
      </c>
      <c r="R97" s="454">
        <v>132170</v>
      </c>
      <c r="S97" s="454"/>
      <c r="T97" s="454"/>
      <c r="U97" s="454"/>
      <c r="V97" s="454"/>
      <c r="W97" s="454"/>
      <c r="X97" s="454"/>
      <c r="Y97" s="454">
        <f t="shared" si="1"/>
        <v>291106</v>
      </c>
      <c r="Z97" s="455">
        <v>216575</v>
      </c>
      <c r="AA97" s="456">
        <v>17</v>
      </c>
      <c r="AB97" s="457">
        <v>44245</v>
      </c>
      <c r="AC97" s="458">
        <v>44267</v>
      </c>
      <c r="AD97" s="455">
        <v>100000</v>
      </c>
      <c r="AE97" s="459">
        <v>48</v>
      </c>
      <c r="AF97" s="457">
        <v>44319</v>
      </c>
      <c r="AG97" s="458">
        <v>44340</v>
      </c>
      <c r="AH97" s="455">
        <v>500002</v>
      </c>
      <c r="AI97" s="456">
        <v>62</v>
      </c>
      <c r="AJ97" s="457">
        <v>44351</v>
      </c>
      <c r="AK97" s="458">
        <v>44372</v>
      </c>
      <c r="AL97" s="455"/>
      <c r="AM97" s="456"/>
      <c r="AN97" s="460"/>
      <c r="AO97" s="458"/>
      <c r="AP97" s="455"/>
      <c r="AQ97" s="456"/>
      <c r="AR97" s="460"/>
      <c r="AS97" s="458"/>
      <c r="AT97" s="154">
        <f t="shared" si="0"/>
        <v>816577</v>
      </c>
      <c r="AU97" s="461">
        <f t="shared" si="3"/>
        <v>525471</v>
      </c>
    </row>
    <row r="98" spans="2:47" s="148" customFormat="1" x14ac:dyDescent="0.25">
      <c r="B98" s="149">
        <v>83</v>
      </c>
      <c r="C98" s="149" t="s">
        <v>38</v>
      </c>
      <c r="D98" s="450">
        <v>30097815</v>
      </c>
      <c r="E98" s="596" t="s">
        <v>2575</v>
      </c>
      <c r="F98" s="451" t="s">
        <v>204</v>
      </c>
      <c r="G98" s="452" t="s">
        <v>2481</v>
      </c>
      <c r="H98" s="463" t="s">
        <v>2491</v>
      </c>
      <c r="I98" s="453" t="s">
        <v>43</v>
      </c>
      <c r="J98" s="454">
        <v>318755</v>
      </c>
      <c r="K98" s="454">
        <v>2115</v>
      </c>
      <c r="L98" s="454">
        <v>32286</v>
      </c>
      <c r="M98" s="454">
        <v>0</v>
      </c>
      <c r="N98" s="454">
        <v>0</v>
      </c>
      <c r="O98" s="454">
        <v>0</v>
      </c>
      <c r="P98" s="454">
        <v>0</v>
      </c>
      <c r="Q98" s="454">
        <v>0</v>
      </c>
      <c r="R98" s="454">
        <v>0</v>
      </c>
      <c r="S98" s="454"/>
      <c r="T98" s="454"/>
      <c r="U98" s="454"/>
      <c r="V98" s="454"/>
      <c r="W98" s="454"/>
      <c r="X98" s="454"/>
      <c r="Y98" s="454">
        <f t="shared" si="1"/>
        <v>0</v>
      </c>
      <c r="Z98" s="455">
        <v>1</v>
      </c>
      <c r="AA98" s="456">
        <v>17</v>
      </c>
      <c r="AB98" s="457">
        <v>44245</v>
      </c>
      <c r="AC98" s="458">
        <v>44267</v>
      </c>
      <c r="AD98" s="455"/>
      <c r="AE98" s="459"/>
      <c r="AF98" s="460"/>
      <c r="AG98" s="458"/>
      <c r="AH98" s="455"/>
      <c r="AI98" s="456"/>
      <c r="AJ98" s="460"/>
      <c r="AK98" s="458"/>
      <c r="AL98" s="455"/>
      <c r="AM98" s="456"/>
      <c r="AN98" s="460"/>
      <c r="AO98" s="458"/>
      <c r="AP98" s="455"/>
      <c r="AQ98" s="456"/>
      <c r="AR98" s="460"/>
      <c r="AS98" s="458"/>
      <c r="AT98" s="154">
        <f t="shared" si="0"/>
        <v>1</v>
      </c>
      <c r="AU98" s="461">
        <f t="shared" si="3"/>
        <v>1</v>
      </c>
    </row>
    <row r="99" spans="2:47" s="148" customFormat="1" ht="22.5" x14ac:dyDescent="0.25">
      <c r="B99" s="149">
        <v>84</v>
      </c>
      <c r="C99" s="149" t="s">
        <v>38</v>
      </c>
      <c r="D99" s="450">
        <v>30487030</v>
      </c>
      <c r="E99" s="596" t="s">
        <v>2576</v>
      </c>
      <c r="F99" s="451" t="s">
        <v>204</v>
      </c>
      <c r="G99" s="452" t="s">
        <v>2481</v>
      </c>
      <c r="H99" s="463" t="s">
        <v>2491</v>
      </c>
      <c r="I99" s="453" t="s">
        <v>43</v>
      </c>
      <c r="J99" s="454">
        <v>231749</v>
      </c>
      <c r="K99" s="454">
        <v>2061</v>
      </c>
      <c r="L99" s="454">
        <v>52078</v>
      </c>
      <c r="M99" s="454">
        <v>0</v>
      </c>
      <c r="N99" s="454">
        <v>0</v>
      </c>
      <c r="O99" s="454">
        <v>0</v>
      </c>
      <c r="P99" s="454">
        <v>0</v>
      </c>
      <c r="Q99" s="454">
        <v>0</v>
      </c>
      <c r="R99" s="454">
        <v>0</v>
      </c>
      <c r="S99" s="454"/>
      <c r="T99" s="454"/>
      <c r="U99" s="454"/>
      <c r="V99" s="454"/>
      <c r="W99" s="454"/>
      <c r="X99" s="454"/>
      <c r="Y99" s="454">
        <f t="shared" si="1"/>
        <v>0</v>
      </c>
      <c r="Z99" s="455">
        <v>1</v>
      </c>
      <c r="AA99" s="456">
        <v>17</v>
      </c>
      <c r="AB99" s="457">
        <v>44245</v>
      </c>
      <c r="AC99" s="458">
        <v>44267</v>
      </c>
      <c r="AD99" s="455"/>
      <c r="AE99" s="459"/>
      <c r="AF99" s="460"/>
      <c r="AG99" s="458"/>
      <c r="AH99" s="455"/>
      <c r="AI99" s="456"/>
      <c r="AJ99" s="460"/>
      <c r="AK99" s="458"/>
      <c r="AL99" s="455"/>
      <c r="AM99" s="456"/>
      <c r="AN99" s="460"/>
      <c r="AO99" s="458"/>
      <c r="AP99" s="455"/>
      <c r="AQ99" s="456"/>
      <c r="AR99" s="460"/>
      <c r="AS99" s="458"/>
      <c r="AT99" s="154">
        <f t="shared" si="0"/>
        <v>1</v>
      </c>
      <c r="AU99" s="461">
        <f t="shared" si="3"/>
        <v>1</v>
      </c>
    </row>
    <row r="100" spans="2:47" s="148" customFormat="1" ht="22.5" x14ac:dyDescent="0.25">
      <c r="B100" s="149">
        <v>85</v>
      </c>
      <c r="C100" s="149" t="s">
        <v>38</v>
      </c>
      <c r="D100" s="450">
        <v>30455588</v>
      </c>
      <c r="E100" s="596" t="s">
        <v>2577</v>
      </c>
      <c r="F100" s="451" t="s">
        <v>200</v>
      </c>
      <c r="G100" s="452" t="s">
        <v>2481</v>
      </c>
      <c r="H100" s="463" t="s">
        <v>2495</v>
      </c>
      <c r="I100" s="453" t="s">
        <v>43</v>
      </c>
      <c r="J100" s="454">
        <v>7188189</v>
      </c>
      <c r="K100" s="454">
        <v>1357</v>
      </c>
      <c r="L100" s="454">
        <v>6095660</v>
      </c>
      <c r="M100" s="454">
        <v>0</v>
      </c>
      <c r="N100" s="454">
        <v>0</v>
      </c>
      <c r="O100" s="454">
        <v>0</v>
      </c>
      <c r="P100" s="454">
        <v>0</v>
      </c>
      <c r="Q100" s="454">
        <v>0</v>
      </c>
      <c r="R100" s="454">
        <v>0</v>
      </c>
      <c r="S100" s="454"/>
      <c r="T100" s="454"/>
      <c r="U100" s="454"/>
      <c r="V100" s="454"/>
      <c r="W100" s="454"/>
      <c r="X100" s="454"/>
      <c r="Y100" s="454">
        <f t="shared" si="1"/>
        <v>0</v>
      </c>
      <c r="Z100" s="455">
        <v>350000</v>
      </c>
      <c r="AA100" s="456">
        <v>17</v>
      </c>
      <c r="AB100" s="457">
        <v>44245</v>
      </c>
      <c r="AC100" s="458">
        <v>44267</v>
      </c>
      <c r="AD100" s="455"/>
      <c r="AE100" s="459"/>
      <c r="AF100" s="460"/>
      <c r="AG100" s="458"/>
      <c r="AH100" s="455"/>
      <c r="AI100" s="456"/>
      <c r="AJ100" s="460"/>
      <c r="AK100" s="458"/>
      <c r="AL100" s="455"/>
      <c r="AM100" s="456"/>
      <c r="AN100" s="460"/>
      <c r="AO100" s="458"/>
      <c r="AP100" s="455"/>
      <c r="AQ100" s="456"/>
      <c r="AR100" s="460"/>
      <c r="AS100" s="458"/>
      <c r="AT100" s="154">
        <f t="shared" si="0"/>
        <v>350000</v>
      </c>
      <c r="AU100" s="461">
        <f t="shared" si="3"/>
        <v>350000</v>
      </c>
    </row>
    <row r="101" spans="2:47" s="148" customFormat="1" x14ac:dyDescent="0.25">
      <c r="B101" s="149">
        <v>86</v>
      </c>
      <c r="C101" s="149" t="s">
        <v>38</v>
      </c>
      <c r="D101" s="450">
        <v>30066646</v>
      </c>
      <c r="E101" s="596" t="s">
        <v>2578</v>
      </c>
      <c r="F101" s="451" t="s">
        <v>204</v>
      </c>
      <c r="G101" s="452" t="s">
        <v>2481</v>
      </c>
      <c r="H101" s="463" t="s">
        <v>2495</v>
      </c>
      <c r="I101" s="453" t="s">
        <v>43</v>
      </c>
      <c r="J101" s="454">
        <v>98193</v>
      </c>
      <c r="K101" s="454">
        <v>0</v>
      </c>
      <c r="L101" s="454">
        <v>0</v>
      </c>
      <c r="M101" s="454">
        <v>0</v>
      </c>
      <c r="N101" s="454">
        <v>0</v>
      </c>
      <c r="O101" s="454">
        <v>0</v>
      </c>
      <c r="P101" s="454">
        <v>0</v>
      </c>
      <c r="Q101" s="454">
        <v>0</v>
      </c>
      <c r="R101" s="454">
        <v>0</v>
      </c>
      <c r="S101" s="454"/>
      <c r="T101" s="454"/>
      <c r="U101" s="454"/>
      <c r="V101" s="454"/>
      <c r="W101" s="454"/>
      <c r="X101" s="454"/>
      <c r="Y101" s="454">
        <f t="shared" si="1"/>
        <v>0</v>
      </c>
      <c r="Z101" s="455">
        <v>31259</v>
      </c>
      <c r="AA101" s="456">
        <v>17</v>
      </c>
      <c r="AB101" s="457">
        <v>44245</v>
      </c>
      <c r="AC101" s="458">
        <v>44267</v>
      </c>
      <c r="AD101" s="455"/>
      <c r="AE101" s="459"/>
      <c r="AF101" s="460"/>
      <c r="AG101" s="458"/>
      <c r="AH101" s="455"/>
      <c r="AI101" s="456"/>
      <c r="AJ101" s="460"/>
      <c r="AK101" s="458"/>
      <c r="AL101" s="455"/>
      <c r="AM101" s="456"/>
      <c r="AN101" s="460"/>
      <c r="AO101" s="458"/>
      <c r="AP101" s="455"/>
      <c r="AQ101" s="456"/>
      <c r="AR101" s="460"/>
      <c r="AS101" s="458"/>
      <c r="AT101" s="154">
        <f t="shared" si="0"/>
        <v>31259</v>
      </c>
      <c r="AU101" s="461">
        <f t="shared" si="3"/>
        <v>31259</v>
      </c>
    </row>
    <row r="102" spans="2:47" s="148" customFormat="1" x14ac:dyDescent="0.25">
      <c r="B102" s="149">
        <v>87</v>
      </c>
      <c r="C102" s="149" t="s">
        <v>38</v>
      </c>
      <c r="D102" s="450">
        <v>30434772</v>
      </c>
      <c r="E102" s="596" t="s">
        <v>2579</v>
      </c>
      <c r="F102" s="451" t="s">
        <v>204</v>
      </c>
      <c r="G102" s="452" t="s">
        <v>2481</v>
      </c>
      <c r="H102" s="463" t="s">
        <v>2495</v>
      </c>
      <c r="I102" s="453" t="s">
        <v>43</v>
      </c>
      <c r="J102" s="454">
        <v>69998</v>
      </c>
      <c r="K102" s="454">
        <v>0</v>
      </c>
      <c r="L102" s="454">
        <v>0</v>
      </c>
      <c r="M102" s="454">
        <v>0</v>
      </c>
      <c r="N102" s="454">
        <v>0</v>
      </c>
      <c r="O102" s="454">
        <v>0</v>
      </c>
      <c r="P102" s="454">
        <v>0</v>
      </c>
      <c r="Q102" s="454">
        <v>0</v>
      </c>
      <c r="R102" s="454">
        <v>0</v>
      </c>
      <c r="S102" s="454"/>
      <c r="T102" s="454"/>
      <c r="U102" s="454"/>
      <c r="V102" s="454"/>
      <c r="W102" s="454"/>
      <c r="X102" s="454"/>
      <c r="Y102" s="454">
        <f t="shared" si="1"/>
        <v>0</v>
      </c>
      <c r="Z102" s="455">
        <v>20000</v>
      </c>
      <c r="AA102" s="456">
        <v>17</v>
      </c>
      <c r="AB102" s="457">
        <v>44245</v>
      </c>
      <c r="AC102" s="458">
        <v>44267</v>
      </c>
      <c r="AD102" s="455"/>
      <c r="AE102" s="459"/>
      <c r="AF102" s="460"/>
      <c r="AG102" s="458"/>
      <c r="AH102" s="455"/>
      <c r="AI102" s="456"/>
      <c r="AJ102" s="460"/>
      <c r="AK102" s="458"/>
      <c r="AL102" s="455"/>
      <c r="AM102" s="456"/>
      <c r="AN102" s="460"/>
      <c r="AO102" s="458"/>
      <c r="AP102" s="455"/>
      <c r="AQ102" s="456"/>
      <c r="AR102" s="460"/>
      <c r="AS102" s="458"/>
      <c r="AT102" s="154">
        <f t="shared" si="0"/>
        <v>20000</v>
      </c>
      <c r="AU102" s="461">
        <f t="shared" si="3"/>
        <v>20000</v>
      </c>
    </row>
    <row r="103" spans="2:47" s="148" customFormat="1" x14ac:dyDescent="0.25">
      <c r="B103" s="149">
        <v>88</v>
      </c>
      <c r="C103" s="149" t="s">
        <v>38</v>
      </c>
      <c r="D103" s="450">
        <v>30409030</v>
      </c>
      <c r="E103" s="596" t="s">
        <v>2580</v>
      </c>
      <c r="F103" s="451" t="s">
        <v>200</v>
      </c>
      <c r="G103" s="452" t="s">
        <v>2481</v>
      </c>
      <c r="H103" s="463" t="s">
        <v>2520</v>
      </c>
      <c r="I103" s="453" t="s">
        <v>43</v>
      </c>
      <c r="J103" s="454">
        <v>1394399</v>
      </c>
      <c r="K103" s="454">
        <v>0</v>
      </c>
      <c r="L103" s="454">
        <v>0</v>
      </c>
      <c r="M103" s="454">
        <v>0</v>
      </c>
      <c r="N103" s="454">
        <v>0</v>
      </c>
      <c r="O103" s="454">
        <v>0</v>
      </c>
      <c r="P103" s="454">
        <v>0</v>
      </c>
      <c r="Q103" s="454">
        <v>0</v>
      </c>
      <c r="R103" s="454">
        <v>0</v>
      </c>
      <c r="S103" s="454"/>
      <c r="T103" s="454"/>
      <c r="U103" s="454"/>
      <c r="V103" s="454"/>
      <c r="W103" s="454"/>
      <c r="X103" s="454"/>
      <c r="Y103" s="454">
        <f t="shared" si="1"/>
        <v>0</v>
      </c>
      <c r="Z103" s="455">
        <v>161534</v>
      </c>
      <c r="AA103" s="456">
        <v>17</v>
      </c>
      <c r="AB103" s="457">
        <v>44245</v>
      </c>
      <c r="AC103" s="458">
        <v>44267</v>
      </c>
      <c r="AD103" s="455"/>
      <c r="AE103" s="459"/>
      <c r="AF103" s="460"/>
      <c r="AG103" s="458"/>
      <c r="AH103" s="455"/>
      <c r="AI103" s="456"/>
      <c r="AJ103" s="460"/>
      <c r="AK103" s="458"/>
      <c r="AL103" s="455"/>
      <c r="AM103" s="456"/>
      <c r="AN103" s="460"/>
      <c r="AO103" s="458"/>
      <c r="AP103" s="455"/>
      <c r="AQ103" s="456"/>
      <c r="AR103" s="460"/>
      <c r="AS103" s="458"/>
      <c r="AT103" s="154">
        <f t="shared" si="0"/>
        <v>161534</v>
      </c>
      <c r="AU103" s="461">
        <f t="shared" si="3"/>
        <v>161534</v>
      </c>
    </row>
    <row r="104" spans="2:47" s="148" customFormat="1" x14ac:dyDescent="0.25">
      <c r="B104" s="149">
        <v>89</v>
      </c>
      <c r="C104" s="149" t="s">
        <v>38</v>
      </c>
      <c r="D104" s="450">
        <v>30422981</v>
      </c>
      <c r="E104" s="596" t="s">
        <v>2581</v>
      </c>
      <c r="F104" s="451" t="s">
        <v>200</v>
      </c>
      <c r="G104" s="452" t="s">
        <v>2481</v>
      </c>
      <c r="H104" s="463" t="s">
        <v>2498</v>
      </c>
      <c r="I104" s="453" t="s">
        <v>43</v>
      </c>
      <c r="J104" s="454">
        <v>598352</v>
      </c>
      <c r="K104" s="454">
        <v>0</v>
      </c>
      <c r="L104" s="454">
        <v>542626</v>
      </c>
      <c r="M104" s="454">
        <v>0</v>
      </c>
      <c r="N104" s="454">
        <v>0</v>
      </c>
      <c r="O104" s="454">
        <v>0</v>
      </c>
      <c r="P104" s="454">
        <v>0</v>
      </c>
      <c r="Q104" s="454">
        <v>0</v>
      </c>
      <c r="R104" s="454">
        <v>0</v>
      </c>
      <c r="S104" s="454"/>
      <c r="T104" s="454"/>
      <c r="U104" s="454"/>
      <c r="V104" s="454"/>
      <c r="W104" s="454"/>
      <c r="X104" s="454"/>
      <c r="Y104" s="454">
        <f t="shared" si="1"/>
        <v>0</v>
      </c>
      <c r="Z104" s="455">
        <v>1</v>
      </c>
      <c r="AA104" s="456">
        <v>17</v>
      </c>
      <c r="AB104" s="457">
        <v>44245</v>
      </c>
      <c r="AC104" s="458">
        <v>44267</v>
      </c>
      <c r="AD104" s="455">
        <v>55726</v>
      </c>
      <c r="AE104" s="459">
        <v>48</v>
      </c>
      <c r="AF104" s="457">
        <v>44319</v>
      </c>
      <c r="AG104" s="458">
        <v>44340</v>
      </c>
      <c r="AH104" s="455"/>
      <c r="AI104" s="456"/>
      <c r="AJ104" s="460"/>
      <c r="AK104" s="458"/>
      <c r="AL104" s="455"/>
      <c r="AM104" s="456"/>
      <c r="AN104" s="460"/>
      <c r="AO104" s="458"/>
      <c r="AP104" s="455"/>
      <c r="AQ104" s="456"/>
      <c r="AR104" s="460"/>
      <c r="AS104" s="458"/>
      <c r="AT104" s="154">
        <f t="shared" si="0"/>
        <v>55727</v>
      </c>
      <c r="AU104" s="461">
        <f t="shared" si="3"/>
        <v>55727</v>
      </c>
    </row>
    <row r="105" spans="2:47" s="148" customFormat="1" x14ac:dyDescent="0.25">
      <c r="B105" s="149">
        <v>90</v>
      </c>
      <c r="C105" s="149" t="s">
        <v>38</v>
      </c>
      <c r="D105" s="450">
        <v>30137703</v>
      </c>
      <c r="E105" s="596" t="s">
        <v>2582</v>
      </c>
      <c r="F105" s="451" t="s">
        <v>204</v>
      </c>
      <c r="G105" s="452" t="s">
        <v>2481</v>
      </c>
      <c r="H105" s="463" t="s">
        <v>2484</v>
      </c>
      <c r="I105" s="453" t="s">
        <v>43</v>
      </c>
      <c r="J105" s="454">
        <v>181470</v>
      </c>
      <c r="K105" s="454">
        <v>1825</v>
      </c>
      <c r="L105" s="454">
        <v>0</v>
      </c>
      <c r="M105" s="454">
        <v>0</v>
      </c>
      <c r="N105" s="454">
        <v>0</v>
      </c>
      <c r="O105" s="454">
        <v>0</v>
      </c>
      <c r="P105" s="454">
        <v>0</v>
      </c>
      <c r="Q105" s="454">
        <v>0</v>
      </c>
      <c r="R105" s="454">
        <v>0</v>
      </c>
      <c r="S105" s="454"/>
      <c r="T105" s="454"/>
      <c r="U105" s="454"/>
      <c r="V105" s="454"/>
      <c r="W105" s="454"/>
      <c r="X105" s="454"/>
      <c r="Y105" s="454">
        <f t="shared" si="1"/>
        <v>0</v>
      </c>
      <c r="Z105" s="455">
        <v>100000</v>
      </c>
      <c r="AA105" s="456">
        <v>17</v>
      </c>
      <c r="AB105" s="457">
        <v>44245</v>
      </c>
      <c r="AC105" s="458">
        <v>44267</v>
      </c>
      <c r="AD105" s="455"/>
      <c r="AE105" s="459"/>
      <c r="AF105" s="460"/>
      <c r="AG105" s="458"/>
      <c r="AH105" s="455"/>
      <c r="AI105" s="456"/>
      <c r="AJ105" s="460"/>
      <c r="AK105" s="458"/>
      <c r="AL105" s="455"/>
      <c r="AM105" s="456"/>
      <c r="AN105" s="460"/>
      <c r="AO105" s="458"/>
      <c r="AP105" s="455"/>
      <c r="AQ105" s="456"/>
      <c r="AR105" s="460"/>
      <c r="AS105" s="458"/>
      <c r="AT105" s="154">
        <f t="shared" si="0"/>
        <v>100000</v>
      </c>
      <c r="AU105" s="461">
        <f t="shared" si="3"/>
        <v>100000</v>
      </c>
    </row>
    <row r="106" spans="2:47" s="148" customFormat="1" ht="22.5" x14ac:dyDescent="0.25">
      <c r="B106" s="149">
        <v>91</v>
      </c>
      <c r="C106" s="149" t="s">
        <v>38</v>
      </c>
      <c r="D106" s="450">
        <v>40023348</v>
      </c>
      <c r="E106" s="596" t="s">
        <v>2583</v>
      </c>
      <c r="F106" s="451" t="s">
        <v>200</v>
      </c>
      <c r="G106" s="452" t="s">
        <v>2481</v>
      </c>
      <c r="H106" s="463" t="s">
        <v>2498</v>
      </c>
      <c r="I106" s="453" t="s">
        <v>43</v>
      </c>
      <c r="J106" s="454">
        <v>1100574</v>
      </c>
      <c r="K106" s="454">
        <v>0</v>
      </c>
      <c r="L106" s="454">
        <v>0</v>
      </c>
      <c r="M106" s="454">
        <v>0</v>
      </c>
      <c r="N106" s="454">
        <v>0</v>
      </c>
      <c r="O106" s="454">
        <v>0</v>
      </c>
      <c r="P106" s="454">
        <v>0</v>
      </c>
      <c r="Q106" s="454">
        <v>0</v>
      </c>
      <c r="R106" s="454">
        <v>0</v>
      </c>
      <c r="S106" s="454"/>
      <c r="T106" s="454"/>
      <c r="U106" s="454"/>
      <c r="V106" s="454"/>
      <c r="W106" s="454"/>
      <c r="X106" s="454"/>
      <c r="Y106" s="454">
        <f t="shared" si="1"/>
        <v>0</v>
      </c>
      <c r="Z106" s="455">
        <v>312781</v>
      </c>
      <c r="AA106" s="456">
        <v>17</v>
      </c>
      <c r="AB106" s="457">
        <v>44245</v>
      </c>
      <c r="AC106" s="458">
        <v>44267</v>
      </c>
      <c r="AD106" s="455">
        <v>-302554</v>
      </c>
      <c r="AE106" s="459">
        <v>48</v>
      </c>
      <c r="AF106" s="457">
        <v>44319</v>
      </c>
      <c r="AG106" s="458">
        <v>44340</v>
      </c>
      <c r="AH106" s="455"/>
      <c r="AI106" s="456"/>
      <c r="AJ106" s="460"/>
      <c r="AK106" s="458"/>
      <c r="AL106" s="455"/>
      <c r="AM106" s="456"/>
      <c r="AN106" s="460"/>
      <c r="AO106" s="458"/>
      <c r="AP106" s="455"/>
      <c r="AQ106" s="456"/>
      <c r="AR106" s="460"/>
      <c r="AS106" s="458"/>
      <c r="AT106" s="154">
        <f t="shared" si="0"/>
        <v>10227</v>
      </c>
      <c r="AU106" s="461">
        <f t="shared" si="3"/>
        <v>10227</v>
      </c>
    </row>
    <row r="107" spans="2:47" s="148" customFormat="1" ht="22.5" x14ac:dyDescent="0.25">
      <c r="B107" s="149">
        <v>92</v>
      </c>
      <c r="C107" s="149" t="s">
        <v>40</v>
      </c>
      <c r="D107" s="450">
        <v>40018056</v>
      </c>
      <c r="E107" s="596" t="s">
        <v>2584</v>
      </c>
      <c r="F107" s="451" t="s">
        <v>200</v>
      </c>
      <c r="G107" s="452" t="s">
        <v>2481</v>
      </c>
      <c r="H107" s="463" t="s">
        <v>2484</v>
      </c>
      <c r="I107" s="453" t="s">
        <v>43</v>
      </c>
      <c r="J107" s="454">
        <v>141625</v>
      </c>
      <c r="K107" s="454">
        <v>0</v>
      </c>
      <c r="L107" s="454">
        <v>42487</v>
      </c>
      <c r="M107" s="454">
        <v>0</v>
      </c>
      <c r="N107" s="454">
        <v>0</v>
      </c>
      <c r="O107" s="454">
        <v>0</v>
      </c>
      <c r="P107" s="454">
        <v>0</v>
      </c>
      <c r="Q107" s="454">
        <v>0</v>
      </c>
      <c r="R107" s="454">
        <v>0</v>
      </c>
      <c r="S107" s="454"/>
      <c r="T107" s="454"/>
      <c r="U107" s="454"/>
      <c r="V107" s="454"/>
      <c r="W107" s="454"/>
      <c r="X107" s="454"/>
      <c r="Y107" s="454">
        <f t="shared" si="1"/>
        <v>0</v>
      </c>
      <c r="Z107" s="455">
        <v>1</v>
      </c>
      <c r="AA107" s="456">
        <v>24</v>
      </c>
      <c r="AB107" s="457">
        <v>44260</v>
      </c>
      <c r="AC107" s="458">
        <v>44279</v>
      </c>
      <c r="AD107" s="455"/>
      <c r="AE107" s="459"/>
      <c r="AF107" s="460"/>
      <c r="AG107" s="458"/>
      <c r="AH107" s="455"/>
      <c r="AI107" s="456"/>
      <c r="AJ107" s="460"/>
      <c r="AK107" s="458"/>
      <c r="AL107" s="455"/>
      <c r="AM107" s="456"/>
      <c r="AN107" s="460"/>
      <c r="AO107" s="458"/>
      <c r="AP107" s="455"/>
      <c r="AQ107" s="456"/>
      <c r="AR107" s="460"/>
      <c r="AS107" s="458"/>
      <c r="AT107" s="154">
        <f t="shared" si="0"/>
        <v>1</v>
      </c>
      <c r="AU107" s="461">
        <f t="shared" si="3"/>
        <v>1</v>
      </c>
    </row>
    <row r="108" spans="2:47" s="148" customFormat="1" x14ac:dyDescent="0.25">
      <c r="B108" s="149">
        <v>93</v>
      </c>
      <c r="C108" s="149" t="s">
        <v>40</v>
      </c>
      <c r="D108" s="450">
        <v>40016748</v>
      </c>
      <c r="E108" s="596" t="s">
        <v>2585</v>
      </c>
      <c r="F108" s="451" t="s">
        <v>200</v>
      </c>
      <c r="G108" s="452" t="s">
        <v>2481</v>
      </c>
      <c r="H108" s="463" t="s">
        <v>226</v>
      </c>
      <c r="I108" s="453" t="s">
        <v>43</v>
      </c>
      <c r="J108" s="454">
        <v>172766</v>
      </c>
      <c r="K108" s="454">
        <v>0</v>
      </c>
      <c r="L108" s="454">
        <v>91892</v>
      </c>
      <c r="M108" s="454">
        <v>0</v>
      </c>
      <c r="N108" s="454">
        <v>0</v>
      </c>
      <c r="O108" s="454">
        <v>0</v>
      </c>
      <c r="P108" s="454">
        <v>0</v>
      </c>
      <c r="Q108" s="454">
        <v>0</v>
      </c>
      <c r="R108" s="454">
        <v>0</v>
      </c>
      <c r="S108" s="454"/>
      <c r="T108" s="454"/>
      <c r="U108" s="454"/>
      <c r="V108" s="454"/>
      <c r="W108" s="454"/>
      <c r="X108" s="454"/>
      <c r="Y108" s="454">
        <f t="shared" si="1"/>
        <v>0</v>
      </c>
      <c r="Z108" s="455">
        <v>16913</v>
      </c>
      <c r="AA108" s="456">
        <v>24</v>
      </c>
      <c r="AB108" s="457">
        <v>44260</v>
      </c>
      <c r="AC108" s="458">
        <v>44279</v>
      </c>
      <c r="AD108" s="455"/>
      <c r="AE108" s="459"/>
      <c r="AF108" s="460"/>
      <c r="AG108" s="458"/>
      <c r="AH108" s="455"/>
      <c r="AI108" s="456"/>
      <c r="AJ108" s="460"/>
      <c r="AK108" s="458"/>
      <c r="AL108" s="455"/>
      <c r="AM108" s="456"/>
      <c r="AN108" s="460"/>
      <c r="AO108" s="458"/>
      <c r="AP108" s="455"/>
      <c r="AQ108" s="456"/>
      <c r="AR108" s="460"/>
      <c r="AS108" s="458"/>
      <c r="AT108" s="154">
        <f t="shared" si="0"/>
        <v>16913</v>
      </c>
      <c r="AU108" s="461">
        <f t="shared" si="3"/>
        <v>16913</v>
      </c>
    </row>
    <row r="109" spans="2:47" s="148" customFormat="1" x14ac:dyDescent="0.25">
      <c r="B109" s="149">
        <v>94</v>
      </c>
      <c r="C109" s="149" t="s">
        <v>38</v>
      </c>
      <c r="D109" s="450">
        <v>30117378</v>
      </c>
      <c r="E109" s="596" t="s">
        <v>2586</v>
      </c>
      <c r="F109" s="451" t="s">
        <v>200</v>
      </c>
      <c r="G109" s="452" t="s">
        <v>2481</v>
      </c>
      <c r="H109" s="463" t="s">
        <v>2484</v>
      </c>
      <c r="I109" s="453" t="s">
        <v>43</v>
      </c>
      <c r="J109" s="454">
        <v>2186463</v>
      </c>
      <c r="K109" s="454">
        <v>0</v>
      </c>
      <c r="L109" s="454">
        <v>1044153</v>
      </c>
      <c r="M109" s="454">
        <v>0</v>
      </c>
      <c r="N109" s="454">
        <v>0</v>
      </c>
      <c r="O109" s="454">
        <v>0</v>
      </c>
      <c r="P109" s="454">
        <v>0</v>
      </c>
      <c r="Q109" s="454">
        <v>0</v>
      </c>
      <c r="R109" s="454">
        <v>0</v>
      </c>
      <c r="S109" s="454"/>
      <c r="T109" s="454"/>
      <c r="U109" s="454"/>
      <c r="V109" s="454"/>
      <c r="W109" s="454"/>
      <c r="X109" s="454"/>
      <c r="Y109" s="454">
        <f t="shared" si="1"/>
        <v>0</v>
      </c>
      <c r="Z109" s="455">
        <v>2163</v>
      </c>
      <c r="AA109" s="456">
        <v>24</v>
      </c>
      <c r="AB109" s="457">
        <v>44260</v>
      </c>
      <c r="AC109" s="458">
        <v>44279</v>
      </c>
      <c r="AD109" s="455">
        <v>331661</v>
      </c>
      <c r="AE109" s="459">
        <v>62</v>
      </c>
      <c r="AF109" s="457">
        <v>44351</v>
      </c>
      <c r="AG109" s="458">
        <v>44372</v>
      </c>
      <c r="AH109" s="455"/>
      <c r="AI109" s="456"/>
      <c r="AJ109" s="460"/>
      <c r="AK109" s="458"/>
      <c r="AL109" s="455"/>
      <c r="AM109" s="456"/>
      <c r="AN109" s="460"/>
      <c r="AO109" s="458"/>
      <c r="AP109" s="455"/>
      <c r="AQ109" s="456"/>
      <c r="AR109" s="460"/>
      <c r="AS109" s="458"/>
      <c r="AT109" s="154">
        <f t="shared" si="0"/>
        <v>333824</v>
      </c>
      <c r="AU109" s="461">
        <f t="shared" si="3"/>
        <v>333824</v>
      </c>
    </row>
    <row r="110" spans="2:47" s="148" customFormat="1" ht="22.5" x14ac:dyDescent="0.25">
      <c r="B110" s="149">
        <v>95</v>
      </c>
      <c r="C110" s="149" t="s">
        <v>38</v>
      </c>
      <c r="D110" s="450">
        <v>40013114</v>
      </c>
      <c r="E110" s="596" t="s">
        <v>2587</v>
      </c>
      <c r="F110" s="451" t="s">
        <v>200</v>
      </c>
      <c r="G110" s="452" t="s">
        <v>2481</v>
      </c>
      <c r="H110" s="463" t="s">
        <v>2512</v>
      </c>
      <c r="I110" s="453" t="s">
        <v>43</v>
      </c>
      <c r="J110" s="454">
        <v>1509331</v>
      </c>
      <c r="K110" s="454">
        <v>0</v>
      </c>
      <c r="L110" s="454">
        <v>0</v>
      </c>
      <c r="M110" s="454">
        <v>0</v>
      </c>
      <c r="N110" s="454">
        <v>0</v>
      </c>
      <c r="O110" s="454">
        <v>0</v>
      </c>
      <c r="P110" s="454">
        <v>0</v>
      </c>
      <c r="Q110" s="454">
        <v>1250</v>
      </c>
      <c r="R110" s="454">
        <v>2500</v>
      </c>
      <c r="S110" s="454"/>
      <c r="T110" s="454"/>
      <c r="U110" s="454"/>
      <c r="V110" s="454"/>
      <c r="W110" s="454"/>
      <c r="X110" s="454"/>
      <c r="Y110" s="454">
        <f t="shared" si="1"/>
        <v>3750</v>
      </c>
      <c r="Z110" s="455">
        <v>4199</v>
      </c>
      <c r="AA110" s="456">
        <v>24</v>
      </c>
      <c r="AB110" s="457">
        <v>44260</v>
      </c>
      <c r="AC110" s="458">
        <v>44279</v>
      </c>
      <c r="AD110" s="455">
        <v>400000</v>
      </c>
      <c r="AE110" s="459">
        <v>48</v>
      </c>
      <c r="AF110" s="457">
        <v>44319</v>
      </c>
      <c r="AG110" s="458">
        <v>44340</v>
      </c>
      <c r="AH110" s="455"/>
      <c r="AI110" s="456"/>
      <c r="AJ110" s="460"/>
      <c r="AK110" s="458"/>
      <c r="AL110" s="455"/>
      <c r="AM110" s="456"/>
      <c r="AN110" s="460"/>
      <c r="AO110" s="458"/>
      <c r="AP110" s="455"/>
      <c r="AQ110" s="456"/>
      <c r="AR110" s="460"/>
      <c r="AS110" s="458"/>
      <c r="AT110" s="154">
        <f t="shared" si="0"/>
        <v>404199</v>
      </c>
      <c r="AU110" s="461">
        <f t="shared" si="3"/>
        <v>400449</v>
      </c>
    </row>
    <row r="111" spans="2:47" s="148" customFormat="1" ht="22.5" x14ac:dyDescent="0.25">
      <c r="B111" s="149">
        <v>96</v>
      </c>
      <c r="C111" s="149" t="s">
        <v>38</v>
      </c>
      <c r="D111" s="450">
        <v>40018087</v>
      </c>
      <c r="E111" s="596" t="s">
        <v>2588</v>
      </c>
      <c r="F111" s="451" t="s">
        <v>200</v>
      </c>
      <c r="G111" s="452" t="s">
        <v>2481</v>
      </c>
      <c r="H111" s="463" t="s">
        <v>2518</v>
      </c>
      <c r="I111" s="453" t="s">
        <v>43</v>
      </c>
      <c r="J111" s="454">
        <v>45028</v>
      </c>
      <c r="K111" s="454">
        <v>0</v>
      </c>
      <c r="L111" s="454">
        <v>0</v>
      </c>
      <c r="M111" s="454">
        <v>0</v>
      </c>
      <c r="N111" s="454">
        <v>0</v>
      </c>
      <c r="O111" s="454">
        <v>0</v>
      </c>
      <c r="P111" s="454">
        <v>0</v>
      </c>
      <c r="Q111" s="454">
        <v>0</v>
      </c>
      <c r="R111" s="454">
        <v>0</v>
      </c>
      <c r="S111" s="454"/>
      <c r="T111" s="454"/>
      <c r="U111" s="454"/>
      <c r="V111" s="454"/>
      <c r="W111" s="454"/>
      <c r="X111" s="454"/>
      <c r="Y111" s="454">
        <f t="shared" si="1"/>
        <v>0</v>
      </c>
      <c r="Z111" s="455">
        <v>1645</v>
      </c>
      <c r="AA111" s="456">
        <v>24</v>
      </c>
      <c r="AB111" s="457">
        <v>44260</v>
      </c>
      <c r="AC111" s="458">
        <v>44279</v>
      </c>
      <c r="AD111" s="455"/>
      <c r="AE111" s="459"/>
      <c r="AF111" s="460"/>
      <c r="AG111" s="458"/>
      <c r="AH111" s="455"/>
      <c r="AI111" s="456"/>
      <c r="AJ111" s="460"/>
      <c r="AK111" s="458"/>
      <c r="AL111" s="455"/>
      <c r="AM111" s="456"/>
      <c r="AN111" s="460"/>
      <c r="AO111" s="458"/>
      <c r="AP111" s="455"/>
      <c r="AQ111" s="456"/>
      <c r="AR111" s="460"/>
      <c r="AS111" s="458"/>
      <c r="AT111" s="154">
        <f t="shared" si="0"/>
        <v>1645</v>
      </c>
      <c r="AU111" s="461">
        <f t="shared" si="3"/>
        <v>1645</v>
      </c>
    </row>
    <row r="112" spans="2:47" s="148" customFormat="1" ht="22.5" x14ac:dyDescent="0.25">
      <c r="B112" s="149">
        <v>97</v>
      </c>
      <c r="C112" s="149" t="s">
        <v>38</v>
      </c>
      <c r="D112" s="450">
        <v>40023359</v>
      </c>
      <c r="E112" s="596" t="s">
        <v>2589</v>
      </c>
      <c r="F112" s="451" t="s">
        <v>200</v>
      </c>
      <c r="G112" s="452" t="s">
        <v>2481</v>
      </c>
      <c r="H112" s="463" t="s">
        <v>2504</v>
      </c>
      <c r="I112" s="453" t="s">
        <v>43</v>
      </c>
      <c r="J112" s="454">
        <v>4605788</v>
      </c>
      <c r="K112" s="454">
        <v>0</v>
      </c>
      <c r="L112" s="454">
        <v>4449347</v>
      </c>
      <c r="M112" s="454">
        <v>0</v>
      </c>
      <c r="N112" s="454">
        <v>0</v>
      </c>
      <c r="O112" s="454">
        <v>0</v>
      </c>
      <c r="P112" s="454">
        <v>0</v>
      </c>
      <c r="Q112" s="454">
        <v>0</v>
      </c>
      <c r="R112" s="454">
        <v>0</v>
      </c>
      <c r="S112" s="454"/>
      <c r="T112" s="454"/>
      <c r="U112" s="454"/>
      <c r="V112" s="454"/>
      <c r="W112" s="454"/>
      <c r="X112" s="454"/>
      <c r="Y112" s="454">
        <f t="shared" si="1"/>
        <v>0</v>
      </c>
      <c r="Z112" s="455">
        <v>3068</v>
      </c>
      <c r="AA112" s="456">
        <v>24</v>
      </c>
      <c r="AB112" s="457">
        <v>44260</v>
      </c>
      <c r="AC112" s="458">
        <v>44279</v>
      </c>
      <c r="AD112" s="455"/>
      <c r="AE112" s="459"/>
      <c r="AF112" s="460"/>
      <c r="AG112" s="458"/>
      <c r="AH112" s="455"/>
      <c r="AI112" s="456"/>
      <c r="AJ112" s="460"/>
      <c r="AK112" s="458"/>
      <c r="AL112" s="455"/>
      <c r="AM112" s="456"/>
      <c r="AN112" s="460"/>
      <c r="AO112" s="458"/>
      <c r="AP112" s="455"/>
      <c r="AQ112" s="456"/>
      <c r="AR112" s="460"/>
      <c r="AS112" s="458"/>
      <c r="AT112" s="154">
        <f t="shared" si="0"/>
        <v>3068</v>
      </c>
      <c r="AU112" s="461">
        <f t="shared" si="3"/>
        <v>3068</v>
      </c>
    </row>
    <row r="113" spans="2:47" s="148" customFormat="1" ht="22.5" x14ac:dyDescent="0.25">
      <c r="B113" s="149">
        <v>98</v>
      </c>
      <c r="C113" s="149" t="s">
        <v>38</v>
      </c>
      <c r="D113" s="450">
        <v>30109984</v>
      </c>
      <c r="E113" s="596" t="s">
        <v>2590</v>
      </c>
      <c r="F113" s="451" t="s">
        <v>200</v>
      </c>
      <c r="G113" s="452" t="s">
        <v>2481</v>
      </c>
      <c r="H113" s="463" t="s">
        <v>226</v>
      </c>
      <c r="I113" s="453" t="s">
        <v>43</v>
      </c>
      <c r="J113" s="454">
        <v>265709</v>
      </c>
      <c r="K113" s="454">
        <v>0</v>
      </c>
      <c r="L113" s="454">
        <v>234046</v>
      </c>
      <c r="M113" s="454">
        <v>0</v>
      </c>
      <c r="N113" s="454">
        <v>0</v>
      </c>
      <c r="O113" s="454">
        <v>0</v>
      </c>
      <c r="P113" s="454">
        <v>0</v>
      </c>
      <c r="Q113" s="454">
        <v>0</v>
      </c>
      <c r="R113" s="454">
        <v>0</v>
      </c>
      <c r="S113" s="454"/>
      <c r="T113" s="454"/>
      <c r="U113" s="454"/>
      <c r="V113" s="454"/>
      <c r="W113" s="454"/>
      <c r="X113" s="454"/>
      <c r="Y113" s="454">
        <f t="shared" si="1"/>
        <v>0</v>
      </c>
      <c r="Z113" s="455">
        <v>1461</v>
      </c>
      <c r="AA113" s="456">
        <v>24</v>
      </c>
      <c r="AB113" s="457">
        <v>44260</v>
      </c>
      <c r="AC113" s="458">
        <v>44279</v>
      </c>
      <c r="AD113" s="455"/>
      <c r="AE113" s="459"/>
      <c r="AF113" s="460"/>
      <c r="AG113" s="458"/>
      <c r="AH113" s="455"/>
      <c r="AI113" s="456"/>
      <c r="AJ113" s="460"/>
      <c r="AK113" s="458"/>
      <c r="AL113" s="455"/>
      <c r="AM113" s="456"/>
      <c r="AN113" s="460"/>
      <c r="AO113" s="458"/>
      <c r="AP113" s="455"/>
      <c r="AQ113" s="456"/>
      <c r="AR113" s="460"/>
      <c r="AS113" s="458"/>
      <c r="AT113" s="154">
        <f t="shared" si="0"/>
        <v>1461</v>
      </c>
      <c r="AU113" s="461">
        <f t="shared" si="3"/>
        <v>1461</v>
      </c>
    </row>
    <row r="114" spans="2:47" s="148" customFormat="1" ht="22.5" x14ac:dyDescent="0.25">
      <c r="B114" s="149">
        <v>99</v>
      </c>
      <c r="C114" s="149" t="s">
        <v>38</v>
      </c>
      <c r="D114" s="450">
        <v>30079302</v>
      </c>
      <c r="E114" s="596" t="s">
        <v>2591</v>
      </c>
      <c r="F114" s="451" t="s">
        <v>200</v>
      </c>
      <c r="G114" s="452" t="s">
        <v>2481</v>
      </c>
      <c r="H114" s="463" t="s">
        <v>2498</v>
      </c>
      <c r="I114" s="453" t="s">
        <v>43</v>
      </c>
      <c r="J114" s="454">
        <v>193369</v>
      </c>
      <c r="K114" s="454">
        <v>1716</v>
      </c>
      <c r="L114" s="454">
        <v>0</v>
      </c>
      <c r="M114" s="454">
        <v>0</v>
      </c>
      <c r="N114" s="454">
        <v>0</v>
      </c>
      <c r="O114" s="454">
        <v>0</v>
      </c>
      <c r="P114" s="454">
        <v>0</v>
      </c>
      <c r="Q114" s="454">
        <v>0</v>
      </c>
      <c r="R114" s="454">
        <v>0</v>
      </c>
      <c r="S114" s="454"/>
      <c r="T114" s="454"/>
      <c r="U114" s="454"/>
      <c r="V114" s="454"/>
      <c r="W114" s="454"/>
      <c r="X114" s="454"/>
      <c r="Y114" s="454">
        <f t="shared" si="1"/>
        <v>0</v>
      </c>
      <c r="Z114" s="455">
        <v>2</v>
      </c>
      <c r="AA114" s="456">
        <v>24</v>
      </c>
      <c r="AB114" s="457">
        <v>44260</v>
      </c>
      <c r="AC114" s="458">
        <v>44279</v>
      </c>
      <c r="AD114" s="455"/>
      <c r="AE114" s="459"/>
      <c r="AF114" s="460"/>
      <c r="AG114" s="458"/>
      <c r="AH114" s="455"/>
      <c r="AI114" s="456"/>
      <c r="AJ114" s="460"/>
      <c r="AK114" s="458"/>
      <c r="AL114" s="455"/>
      <c r="AM114" s="456"/>
      <c r="AN114" s="460"/>
      <c r="AO114" s="458"/>
      <c r="AP114" s="455"/>
      <c r="AQ114" s="456"/>
      <c r="AR114" s="460"/>
      <c r="AS114" s="458"/>
      <c r="AT114" s="154">
        <f t="shared" si="0"/>
        <v>2</v>
      </c>
      <c r="AU114" s="461">
        <f t="shared" si="3"/>
        <v>2</v>
      </c>
    </row>
    <row r="115" spans="2:47" s="148" customFormat="1" ht="22.5" x14ac:dyDescent="0.25">
      <c r="B115" s="149">
        <v>100</v>
      </c>
      <c r="C115" s="149" t="s">
        <v>38</v>
      </c>
      <c r="D115" s="450">
        <v>30428594</v>
      </c>
      <c r="E115" s="596" t="s">
        <v>2592</v>
      </c>
      <c r="F115" s="451" t="s">
        <v>200</v>
      </c>
      <c r="G115" s="452" t="s">
        <v>2481</v>
      </c>
      <c r="H115" s="463" t="s">
        <v>2491</v>
      </c>
      <c r="I115" s="453" t="s">
        <v>43</v>
      </c>
      <c r="J115" s="454">
        <v>1244336</v>
      </c>
      <c r="K115" s="454">
        <v>0</v>
      </c>
      <c r="L115" s="454">
        <v>2095</v>
      </c>
      <c r="M115" s="454">
        <v>0</v>
      </c>
      <c r="N115" s="454">
        <v>0</v>
      </c>
      <c r="O115" s="454">
        <v>0</v>
      </c>
      <c r="P115" s="454">
        <v>0</v>
      </c>
      <c r="Q115" s="454">
        <v>0</v>
      </c>
      <c r="R115" s="454">
        <v>0</v>
      </c>
      <c r="S115" s="454"/>
      <c r="T115" s="454"/>
      <c r="U115" s="454"/>
      <c r="V115" s="454"/>
      <c r="W115" s="454"/>
      <c r="X115" s="454"/>
      <c r="Y115" s="454">
        <f t="shared" si="1"/>
        <v>0</v>
      </c>
      <c r="Z115" s="455">
        <v>1</v>
      </c>
      <c r="AA115" s="456">
        <v>24</v>
      </c>
      <c r="AB115" s="457">
        <v>44260</v>
      </c>
      <c r="AC115" s="458">
        <v>44279</v>
      </c>
      <c r="AD115" s="455"/>
      <c r="AE115" s="459"/>
      <c r="AF115" s="460"/>
      <c r="AG115" s="458"/>
      <c r="AH115" s="455"/>
      <c r="AI115" s="456"/>
      <c r="AJ115" s="460"/>
      <c r="AK115" s="458"/>
      <c r="AL115" s="455"/>
      <c r="AM115" s="456"/>
      <c r="AN115" s="460"/>
      <c r="AO115" s="458"/>
      <c r="AP115" s="455"/>
      <c r="AQ115" s="456"/>
      <c r="AR115" s="460"/>
      <c r="AS115" s="458"/>
      <c r="AT115" s="154">
        <f t="shared" si="0"/>
        <v>1</v>
      </c>
      <c r="AU115" s="461">
        <f t="shared" si="3"/>
        <v>1</v>
      </c>
    </row>
    <row r="116" spans="2:47" s="148" customFormat="1" ht="22.5" x14ac:dyDescent="0.25">
      <c r="B116" s="149">
        <v>101</v>
      </c>
      <c r="C116" s="149" t="s">
        <v>38</v>
      </c>
      <c r="D116" s="450">
        <v>30102625</v>
      </c>
      <c r="E116" s="596" t="s">
        <v>2593</v>
      </c>
      <c r="F116" s="451" t="s">
        <v>200</v>
      </c>
      <c r="G116" s="452" t="s">
        <v>2481</v>
      </c>
      <c r="H116" s="463" t="s">
        <v>2491</v>
      </c>
      <c r="I116" s="453" t="s">
        <v>42</v>
      </c>
      <c r="J116" s="454">
        <v>3170902</v>
      </c>
      <c r="K116" s="454">
        <v>3111633</v>
      </c>
      <c r="L116" s="454">
        <v>0</v>
      </c>
      <c r="M116" s="454">
        <v>0</v>
      </c>
      <c r="N116" s="454">
        <v>0</v>
      </c>
      <c r="O116" s="454">
        <v>0</v>
      </c>
      <c r="P116" s="454">
        <v>52500</v>
      </c>
      <c r="Q116" s="454">
        <v>0</v>
      </c>
      <c r="R116" s="454">
        <v>0</v>
      </c>
      <c r="S116" s="454"/>
      <c r="T116" s="454"/>
      <c r="U116" s="454"/>
      <c r="V116" s="454"/>
      <c r="W116" s="454"/>
      <c r="X116" s="454"/>
      <c r="Y116" s="454">
        <f t="shared" si="1"/>
        <v>52500</v>
      </c>
      <c r="Z116" s="455">
        <v>59269</v>
      </c>
      <c r="AA116" s="456">
        <v>26</v>
      </c>
      <c r="AB116" s="457">
        <v>44264</v>
      </c>
      <c r="AC116" s="458">
        <v>44279</v>
      </c>
      <c r="AD116" s="455"/>
      <c r="AE116" s="459"/>
      <c r="AF116" s="460"/>
      <c r="AG116" s="458"/>
      <c r="AH116" s="455"/>
      <c r="AI116" s="456"/>
      <c r="AJ116" s="460"/>
      <c r="AK116" s="458"/>
      <c r="AL116" s="455"/>
      <c r="AM116" s="456"/>
      <c r="AN116" s="460"/>
      <c r="AO116" s="458"/>
      <c r="AP116" s="455"/>
      <c r="AQ116" s="456"/>
      <c r="AR116" s="460"/>
      <c r="AS116" s="458"/>
      <c r="AT116" s="154">
        <f t="shared" si="0"/>
        <v>59269</v>
      </c>
      <c r="AU116" s="461">
        <f t="shared" si="3"/>
        <v>6769</v>
      </c>
    </row>
    <row r="117" spans="2:47" s="148" customFormat="1" ht="22.5" x14ac:dyDescent="0.25">
      <c r="B117" s="149">
        <v>102</v>
      </c>
      <c r="C117" s="149" t="s">
        <v>38</v>
      </c>
      <c r="D117" s="450">
        <v>30109893</v>
      </c>
      <c r="E117" s="596" t="s">
        <v>2594</v>
      </c>
      <c r="F117" s="451" t="s">
        <v>200</v>
      </c>
      <c r="G117" s="452" t="s">
        <v>2481</v>
      </c>
      <c r="H117" s="463" t="s">
        <v>2520</v>
      </c>
      <c r="I117" s="453" t="s">
        <v>42</v>
      </c>
      <c r="J117" s="454">
        <v>808729</v>
      </c>
      <c r="K117" s="454">
        <v>806249</v>
      </c>
      <c r="L117" s="454">
        <v>0</v>
      </c>
      <c r="M117" s="454">
        <v>0</v>
      </c>
      <c r="N117" s="454">
        <v>0</v>
      </c>
      <c r="O117" s="454">
        <v>0</v>
      </c>
      <c r="P117" s="454">
        <v>0</v>
      </c>
      <c r="Q117" s="454">
        <v>0</v>
      </c>
      <c r="R117" s="454">
        <v>0</v>
      </c>
      <c r="S117" s="454"/>
      <c r="T117" s="454"/>
      <c r="U117" s="454"/>
      <c r="V117" s="454"/>
      <c r="W117" s="454"/>
      <c r="X117" s="454"/>
      <c r="Y117" s="454">
        <f t="shared" si="1"/>
        <v>0</v>
      </c>
      <c r="Z117" s="455">
        <v>2480</v>
      </c>
      <c r="AA117" s="456">
        <v>30</v>
      </c>
      <c r="AB117" s="457">
        <v>44270</v>
      </c>
      <c r="AC117" s="458">
        <v>44286</v>
      </c>
      <c r="AD117" s="455"/>
      <c r="AE117" s="459"/>
      <c r="AF117" s="460"/>
      <c r="AG117" s="458"/>
      <c r="AH117" s="455"/>
      <c r="AI117" s="456"/>
      <c r="AJ117" s="460"/>
      <c r="AK117" s="458"/>
      <c r="AL117" s="455"/>
      <c r="AM117" s="456"/>
      <c r="AN117" s="460"/>
      <c r="AO117" s="458"/>
      <c r="AP117" s="455"/>
      <c r="AQ117" s="456"/>
      <c r="AR117" s="460"/>
      <c r="AS117" s="458"/>
      <c r="AT117" s="154">
        <f t="shared" si="0"/>
        <v>2480</v>
      </c>
      <c r="AU117" s="461">
        <f t="shared" si="3"/>
        <v>2480</v>
      </c>
    </row>
    <row r="118" spans="2:47" s="148" customFormat="1" ht="22.5" x14ac:dyDescent="0.25">
      <c r="B118" s="149">
        <v>103</v>
      </c>
      <c r="C118" s="149" t="s">
        <v>38</v>
      </c>
      <c r="D118" s="450">
        <v>30121630</v>
      </c>
      <c r="E118" s="596" t="s">
        <v>2595</v>
      </c>
      <c r="F118" s="451" t="s">
        <v>200</v>
      </c>
      <c r="G118" s="452" t="s">
        <v>2481</v>
      </c>
      <c r="H118" s="463" t="s">
        <v>2498</v>
      </c>
      <c r="I118" s="453" t="s">
        <v>42</v>
      </c>
      <c r="J118" s="454">
        <v>1629854</v>
      </c>
      <c r="K118" s="454">
        <v>1629853</v>
      </c>
      <c r="L118" s="454">
        <v>0</v>
      </c>
      <c r="M118" s="454">
        <v>0</v>
      </c>
      <c r="N118" s="454">
        <v>0</v>
      </c>
      <c r="O118" s="454">
        <v>0</v>
      </c>
      <c r="P118" s="454">
        <v>0</v>
      </c>
      <c r="Q118" s="454">
        <v>0</v>
      </c>
      <c r="R118" s="454">
        <v>0</v>
      </c>
      <c r="S118" s="454"/>
      <c r="T118" s="454"/>
      <c r="U118" s="454"/>
      <c r="V118" s="454"/>
      <c r="W118" s="454"/>
      <c r="X118" s="454"/>
      <c r="Y118" s="454">
        <f t="shared" si="1"/>
        <v>0</v>
      </c>
      <c r="Z118" s="455">
        <v>1</v>
      </c>
      <c r="AA118" s="456">
        <v>30</v>
      </c>
      <c r="AB118" s="457">
        <v>44270</v>
      </c>
      <c r="AC118" s="458">
        <v>44286</v>
      </c>
      <c r="AD118" s="455"/>
      <c r="AE118" s="459"/>
      <c r="AF118" s="460"/>
      <c r="AG118" s="458"/>
      <c r="AH118" s="455"/>
      <c r="AI118" s="456"/>
      <c r="AJ118" s="460"/>
      <c r="AK118" s="458"/>
      <c r="AL118" s="455"/>
      <c r="AM118" s="456"/>
      <c r="AN118" s="460"/>
      <c r="AO118" s="458"/>
      <c r="AP118" s="455"/>
      <c r="AQ118" s="456"/>
      <c r="AR118" s="460"/>
      <c r="AS118" s="458"/>
      <c r="AT118" s="154">
        <f t="shared" si="0"/>
        <v>1</v>
      </c>
      <c r="AU118" s="461">
        <f t="shared" si="3"/>
        <v>1</v>
      </c>
    </row>
    <row r="119" spans="2:47" s="148" customFormat="1" ht="22.5" x14ac:dyDescent="0.25">
      <c r="B119" s="149">
        <v>104</v>
      </c>
      <c r="C119" s="149" t="s">
        <v>38</v>
      </c>
      <c r="D119" s="450">
        <v>30131439</v>
      </c>
      <c r="E119" s="596" t="s">
        <v>2596</v>
      </c>
      <c r="F119" s="451" t="s">
        <v>200</v>
      </c>
      <c r="G119" s="452" t="s">
        <v>2481</v>
      </c>
      <c r="H119" s="463" t="s">
        <v>2520</v>
      </c>
      <c r="I119" s="453" t="s">
        <v>42</v>
      </c>
      <c r="J119" s="454">
        <v>886364</v>
      </c>
      <c r="K119" s="454">
        <v>863524</v>
      </c>
      <c r="L119" s="454">
        <v>0</v>
      </c>
      <c r="M119" s="454">
        <v>0</v>
      </c>
      <c r="N119" s="454">
        <v>0</v>
      </c>
      <c r="O119" s="454">
        <v>0</v>
      </c>
      <c r="P119" s="454">
        <v>0</v>
      </c>
      <c r="Q119" s="454">
        <v>0</v>
      </c>
      <c r="R119" s="454">
        <v>0</v>
      </c>
      <c r="S119" s="454"/>
      <c r="T119" s="454"/>
      <c r="U119" s="454"/>
      <c r="V119" s="454"/>
      <c r="W119" s="454"/>
      <c r="X119" s="454"/>
      <c r="Y119" s="454">
        <f t="shared" si="1"/>
        <v>0</v>
      </c>
      <c r="Z119" s="455">
        <v>23340</v>
      </c>
      <c r="AA119" s="456">
        <v>30</v>
      </c>
      <c r="AB119" s="457">
        <v>44270</v>
      </c>
      <c r="AC119" s="458">
        <v>44286</v>
      </c>
      <c r="AD119" s="455"/>
      <c r="AE119" s="459"/>
      <c r="AF119" s="460"/>
      <c r="AG119" s="458"/>
      <c r="AH119" s="455"/>
      <c r="AI119" s="456"/>
      <c r="AJ119" s="460"/>
      <c r="AK119" s="458"/>
      <c r="AL119" s="455"/>
      <c r="AM119" s="456"/>
      <c r="AN119" s="460"/>
      <c r="AO119" s="458"/>
      <c r="AP119" s="455"/>
      <c r="AQ119" s="456"/>
      <c r="AR119" s="460"/>
      <c r="AS119" s="458"/>
      <c r="AT119" s="154">
        <f t="shared" si="0"/>
        <v>23340</v>
      </c>
      <c r="AU119" s="461">
        <f t="shared" si="3"/>
        <v>23340</v>
      </c>
    </row>
    <row r="120" spans="2:47" s="148" customFormat="1" x14ac:dyDescent="0.25">
      <c r="B120" s="149">
        <v>105</v>
      </c>
      <c r="C120" s="149" t="s">
        <v>38</v>
      </c>
      <c r="D120" s="450">
        <v>30089047</v>
      </c>
      <c r="E120" s="596" t="s">
        <v>2597</v>
      </c>
      <c r="F120" s="451" t="s">
        <v>200</v>
      </c>
      <c r="G120" s="452" t="s">
        <v>2481</v>
      </c>
      <c r="H120" s="463" t="s">
        <v>2489</v>
      </c>
      <c r="I120" s="453" t="s">
        <v>43</v>
      </c>
      <c r="J120" s="454">
        <v>1600254</v>
      </c>
      <c r="K120" s="454">
        <v>20050</v>
      </c>
      <c r="L120" s="454">
        <v>328957</v>
      </c>
      <c r="M120" s="454">
        <v>0</v>
      </c>
      <c r="N120" s="454">
        <v>0</v>
      </c>
      <c r="O120" s="454">
        <v>0</v>
      </c>
      <c r="P120" s="454">
        <v>66812</v>
      </c>
      <c r="Q120" s="454">
        <v>86167</v>
      </c>
      <c r="R120" s="454">
        <v>81628</v>
      </c>
      <c r="S120" s="454"/>
      <c r="T120" s="454"/>
      <c r="U120" s="454"/>
      <c r="V120" s="454"/>
      <c r="W120" s="454"/>
      <c r="X120" s="454"/>
      <c r="Y120" s="454">
        <f t="shared" si="1"/>
        <v>234607</v>
      </c>
      <c r="Z120" s="455">
        <v>329968</v>
      </c>
      <c r="AA120" s="456">
        <v>31</v>
      </c>
      <c r="AB120" s="457">
        <v>44270</v>
      </c>
      <c r="AC120" s="458">
        <v>44286</v>
      </c>
      <c r="AD120" s="455">
        <v>500000</v>
      </c>
      <c r="AE120" s="459">
        <v>62</v>
      </c>
      <c r="AF120" s="457">
        <v>44351</v>
      </c>
      <c r="AG120" s="458">
        <v>44372</v>
      </c>
      <c r="AH120" s="455"/>
      <c r="AI120" s="456"/>
      <c r="AJ120" s="460"/>
      <c r="AK120" s="458"/>
      <c r="AL120" s="455"/>
      <c r="AM120" s="456"/>
      <c r="AN120" s="460"/>
      <c r="AO120" s="458"/>
      <c r="AP120" s="455"/>
      <c r="AQ120" s="456"/>
      <c r="AR120" s="460"/>
      <c r="AS120" s="458"/>
      <c r="AT120" s="154">
        <f t="shared" si="0"/>
        <v>829968</v>
      </c>
      <c r="AU120" s="461">
        <f t="shared" si="3"/>
        <v>595361</v>
      </c>
    </row>
    <row r="121" spans="2:47" s="148" customFormat="1" ht="22.5" x14ac:dyDescent="0.25">
      <c r="B121" s="149">
        <v>106</v>
      </c>
      <c r="C121" s="149" t="s">
        <v>38</v>
      </c>
      <c r="D121" s="450">
        <v>30486680</v>
      </c>
      <c r="E121" s="596" t="s">
        <v>2598</v>
      </c>
      <c r="F121" s="451" t="s">
        <v>200</v>
      </c>
      <c r="G121" s="452" t="s">
        <v>2481</v>
      </c>
      <c r="H121" s="463" t="s">
        <v>2520</v>
      </c>
      <c r="I121" s="453" t="s">
        <v>43</v>
      </c>
      <c r="J121" s="454">
        <v>1434411</v>
      </c>
      <c r="K121" s="454">
        <v>0</v>
      </c>
      <c r="L121" s="454">
        <v>1321</v>
      </c>
      <c r="M121" s="454">
        <v>0</v>
      </c>
      <c r="N121" s="454">
        <v>0</v>
      </c>
      <c r="O121" s="454">
        <v>0</v>
      </c>
      <c r="P121" s="454">
        <v>0</v>
      </c>
      <c r="Q121" s="454">
        <v>0</v>
      </c>
      <c r="R121" s="454">
        <v>0</v>
      </c>
      <c r="S121" s="454"/>
      <c r="T121" s="454"/>
      <c r="U121" s="454"/>
      <c r="V121" s="454"/>
      <c r="W121" s="454"/>
      <c r="X121" s="454"/>
      <c r="Y121" s="454">
        <f t="shared" si="1"/>
        <v>0</v>
      </c>
      <c r="Z121" s="455">
        <v>2</v>
      </c>
      <c r="AA121" s="456">
        <v>31</v>
      </c>
      <c r="AB121" s="457">
        <v>44270</v>
      </c>
      <c r="AC121" s="458">
        <v>44286</v>
      </c>
      <c r="AD121" s="455"/>
      <c r="AE121" s="459"/>
      <c r="AF121" s="460"/>
      <c r="AG121" s="458"/>
      <c r="AH121" s="455"/>
      <c r="AI121" s="456"/>
      <c r="AJ121" s="460"/>
      <c r="AK121" s="458"/>
      <c r="AL121" s="455"/>
      <c r="AM121" s="456"/>
      <c r="AN121" s="460"/>
      <c r="AO121" s="458"/>
      <c r="AP121" s="455"/>
      <c r="AQ121" s="456"/>
      <c r="AR121" s="460"/>
      <c r="AS121" s="458"/>
      <c r="AT121" s="154">
        <f t="shared" si="0"/>
        <v>2</v>
      </c>
      <c r="AU121" s="461">
        <f t="shared" si="3"/>
        <v>2</v>
      </c>
    </row>
    <row r="122" spans="2:47" s="148" customFormat="1" ht="22.5" x14ac:dyDescent="0.25">
      <c r="B122" s="149">
        <v>107</v>
      </c>
      <c r="C122" s="149" t="s">
        <v>38</v>
      </c>
      <c r="D122" s="450">
        <v>30116812</v>
      </c>
      <c r="E122" s="596" t="s">
        <v>2599</v>
      </c>
      <c r="F122" s="451" t="s">
        <v>204</v>
      </c>
      <c r="G122" s="452" t="s">
        <v>2481</v>
      </c>
      <c r="H122" s="463" t="s">
        <v>2520</v>
      </c>
      <c r="I122" s="453" t="s">
        <v>43</v>
      </c>
      <c r="J122" s="454">
        <v>206178</v>
      </c>
      <c r="K122" s="454">
        <v>5994</v>
      </c>
      <c r="L122" s="454">
        <v>152120</v>
      </c>
      <c r="M122" s="454">
        <v>0</v>
      </c>
      <c r="N122" s="454">
        <v>0</v>
      </c>
      <c r="O122" s="454">
        <v>0</v>
      </c>
      <c r="P122" s="454">
        <v>0</v>
      </c>
      <c r="Q122" s="454">
        <v>0</v>
      </c>
      <c r="R122" s="454">
        <v>0</v>
      </c>
      <c r="S122" s="454"/>
      <c r="T122" s="454"/>
      <c r="U122" s="454"/>
      <c r="V122" s="454"/>
      <c r="W122" s="454"/>
      <c r="X122" s="454"/>
      <c r="Y122" s="454">
        <f t="shared" si="1"/>
        <v>0</v>
      </c>
      <c r="Z122" s="455">
        <v>20000</v>
      </c>
      <c r="AA122" s="456">
        <v>31</v>
      </c>
      <c r="AB122" s="457">
        <v>44270</v>
      </c>
      <c r="AC122" s="458">
        <v>44286</v>
      </c>
      <c r="AD122" s="455"/>
      <c r="AE122" s="459"/>
      <c r="AF122" s="460"/>
      <c r="AG122" s="458"/>
      <c r="AH122" s="455"/>
      <c r="AI122" s="456"/>
      <c r="AJ122" s="460"/>
      <c r="AK122" s="458"/>
      <c r="AL122" s="455"/>
      <c r="AM122" s="456"/>
      <c r="AN122" s="460"/>
      <c r="AO122" s="458"/>
      <c r="AP122" s="455"/>
      <c r="AQ122" s="456"/>
      <c r="AR122" s="460"/>
      <c r="AS122" s="458"/>
      <c r="AT122" s="154">
        <f>+Z122+AD122+AH122+AL122+AP122</f>
        <v>20000</v>
      </c>
      <c r="AU122" s="461">
        <f t="shared" si="3"/>
        <v>20000</v>
      </c>
    </row>
    <row r="123" spans="2:47" s="148" customFormat="1" ht="22.5" x14ac:dyDescent="0.25">
      <c r="B123" s="149">
        <v>108</v>
      </c>
      <c r="C123" s="149" t="s">
        <v>38</v>
      </c>
      <c r="D123" s="450">
        <v>40015736</v>
      </c>
      <c r="E123" s="596" t="s">
        <v>2600</v>
      </c>
      <c r="F123" s="451" t="s">
        <v>204</v>
      </c>
      <c r="G123" s="452" t="s">
        <v>2481</v>
      </c>
      <c r="H123" s="463" t="s">
        <v>2520</v>
      </c>
      <c r="I123" s="453" t="s">
        <v>43</v>
      </c>
      <c r="J123" s="454">
        <v>73415</v>
      </c>
      <c r="K123" s="454">
        <v>0</v>
      </c>
      <c r="L123" s="454">
        <v>0</v>
      </c>
      <c r="M123" s="454">
        <v>0</v>
      </c>
      <c r="N123" s="454">
        <v>0</v>
      </c>
      <c r="O123" s="454">
        <v>0</v>
      </c>
      <c r="P123" s="454">
        <v>0</v>
      </c>
      <c r="Q123" s="454">
        <v>0</v>
      </c>
      <c r="R123" s="454">
        <v>0</v>
      </c>
      <c r="S123" s="454"/>
      <c r="T123" s="454"/>
      <c r="U123" s="454"/>
      <c r="V123" s="454"/>
      <c r="W123" s="454"/>
      <c r="X123" s="454"/>
      <c r="Y123" s="454">
        <f t="shared" si="1"/>
        <v>0</v>
      </c>
      <c r="Z123" s="455">
        <v>1</v>
      </c>
      <c r="AA123" s="456">
        <v>31</v>
      </c>
      <c r="AB123" s="457">
        <v>44270</v>
      </c>
      <c r="AC123" s="458">
        <v>44286</v>
      </c>
      <c r="AD123" s="455"/>
      <c r="AE123" s="459"/>
      <c r="AF123" s="460"/>
      <c r="AG123" s="458"/>
      <c r="AH123" s="455"/>
      <c r="AI123" s="456"/>
      <c r="AJ123" s="460"/>
      <c r="AK123" s="458"/>
      <c r="AL123" s="455"/>
      <c r="AM123" s="456"/>
      <c r="AN123" s="460"/>
      <c r="AO123" s="458"/>
      <c r="AP123" s="455"/>
      <c r="AQ123" s="456"/>
      <c r="AR123" s="460"/>
      <c r="AS123" s="458"/>
      <c r="AT123" s="154">
        <f t="shared" si="0"/>
        <v>1</v>
      </c>
      <c r="AU123" s="461">
        <f t="shared" si="3"/>
        <v>1</v>
      </c>
    </row>
    <row r="124" spans="2:47" s="148" customFormat="1" x14ac:dyDescent="0.25">
      <c r="B124" s="149">
        <v>109</v>
      </c>
      <c r="C124" s="149" t="s">
        <v>38</v>
      </c>
      <c r="D124" s="450">
        <v>40027319</v>
      </c>
      <c r="E124" s="596" t="s">
        <v>2601</v>
      </c>
      <c r="F124" s="451" t="s">
        <v>200</v>
      </c>
      <c r="G124" s="452" t="s">
        <v>2481</v>
      </c>
      <c r="H124" s="463" t="s">
        <v>2526</v>
      </c>
      <c r="I124" s="453" t="s">
        <v>43</v>
      </c>
      <c r="J124" s="454">
        <v>2405555</v>
      </c>
      <c r="K124" s="454">
        <v>0</v>
      </c>
      <c r="L124" s="454">
        <v>1905555</v>
      </c>
      <c r="M124" s="454">
        <v>0</v>
      </c>
      <c r="N124" s="454">
        <v>0</v>
      </c>
      <c r="O124" s="454">
        <v>0</v>
      </c>
      <c r="P124" s="454">
        <v>0</v>
      </c>
      <c r="Q124" s="454">
        <v>0</v>
      </c>
      <c r="R124" s="454">
        <v>0</v>
      </c>
      <c r="S124" s="454"/>
      <c r="T124" s="454"/>
      <c r="U124" s="454"/>
      <c r="V124" s="454"/>
      <c r="W124" s="454"/>
      <c r="X124" s="454"/>
      <c r="Y124" s="454">
        <f t="shared" si="1"/>
        <v>0</v>
      </c>
      <c r="Z124" s="455">
        <v>1</v>
      </c>
      <c r="AA124" s="456">
        <v>34</v>
      </c>
      <c r="AB124" s="457">
        <v>44279</v>
      </c>
      <c r="AC124" s="458">
        <v>44298</v>
      </c>
      <c r="AD124" s="455"/>
      <c r="AE124" s="459"/>
      <c r="AF124" s="460"/>
      <c r="AG124" s="458"/>
      <c r="AH124" s="455"/>
      <c r="AI124" s="456"/>
      <c r="AJ124" s="460"/>
      <c r="AK124" s="458"/>
      <c r="AL124" s="455"/>
      <c r="AM124" s="456"/>
      <c r="AN124" s="460"/>
      <c r="AO124" s="458"/>
      <c r="AP124" s="455"/>
      <c r="AQ124" s="456"/>
      <c r="AR124" s="460"/>
      <c r="AS124" s="458"/>
      <c r="AT124" s="154">
        <f t="shared" si="0"/>
        <v>1</v>
      </c>
      <c r="AU124" s="461">
        <f t="shared" si="3"/>
        <v>1</v>
      </c>
    </row>
    <row r="125" spans="2:47" s="148" customFormat="1" ht="22.5" x14ac:dyDescent="0.25">
      <c r="B125" s="149">
        <v>110</v>
      </c>
      <c r="C125" s="149" t="s">
        <v>38</v>
      </c>
      <c r="D125" s="450">
        <v>30485757</v>
      </c>
      <c r="E125" s="596" t="s">
        <v>2602</v>
      </c>
      <c r="F125" s="451" t="s">
        <v>200</v>
      </c>
      <c r="G125" s="452" t="s">
        <v>2481</v>
      </c>
      <c r="H125" s="463" t="s">
        <v>2518</v>
      </c>
      <c r="I125" s="453" t="s">
        <v>43</v>
      </c>
      <c r="J125" s="454">
        <v>491209</v>
      </c>
      <c r="K125" s="454">
        <v>0</v>
      </c>
      <c r="L125" s="454">
        <v>202250</v>
      </c>
      <c r="M125" s="454">
        <v>0</v>
      </c>
      <c r="N125" s="454">
        <v>0</v>
      </c>
      <c r="O125" s="454">
        <v>0</v>
      </c>
      <c r="P125" s="454">
        <v>0</v>
      </c>
      <c r="Q125" s="454">
        <v>0</v>
      </c>
      <c r="R125" s="454">
        <v>0</v>
      </c>
      <c r="S125" s="454"/>
      <c r="T125" s="454"/>
      <c r="U125" s="454"/>
      <c r="V125" s="454"/>
      <c r="W125" s="454"/>
      <c r="X125" s="454"/>
      <c r="Y125" s="454">
        <f t="shared" si="1"/>
        <v>0</v>
      </c>
      <c r="Z125" s="455">
        <v>1</v>
      </c>
      <c r="AA125" s="456">
        <v>34</v>
      </c>
      <c r="AB125" s="457">
        <v>44279</v>
      </c>
      <c r="AC125" s="458">
        <v>44298</v>
      </c>
      <c r="AD125" s="455"/>
      <c r="AE125" s="459"/>
      <c r="AF125" s="460"/>
      <c r="AG125" s="458"/>
      <c r="AH125" s="455"/>
      <c r="AI125" s="456"/>
      <c r="AJ125" s="460"/>
      <c r="AK125" s="458"/>
      <c r="AL125" s="455"/>
      <c r="AM125" s="456"/>
      <c r="AN125" s="460"/>
      <c r="AO125" s="458"/>
      <c r="AP125" s="455"/>
      <c r="AQ125" s="456"/>
      <c r="AR125" s="460"/>
      <c r="AS125" s="458"/>
      <c r="AT125" s="154">
        <f t="shared" si="0"/>
        <v>1</v>
      </c>
      <c r="AU125" s="461">
        <f t="shared" si="3"/>
        <v>1</v>
      </c>
    </row>
    <row r="126" spans="2:47" s="148" customFormat="1" ht="22.5" x14ac:dyDescent="0.25">
      <c r="B126" s="149">
        <v>111</v>
      </c>
      <c r="C126" s="149" t="s">
        <v>38</v>
      </c>
      <c r="D126" s="450">
        <v>30358222</v>
      </c>
      <c r="E126" s="596" t="s">
        <v>2603</v>
      </c>
      <c r="F126" s="451" t="s">
        <v>200</v>
      </c>
      <c r="G126" s="452" t="s">
        <v>2481</v>
      </c>
      <c r="H126" s="463" t="s">
        <v>2526</v>
      </c>
      <c r="I126" s="453" t="s">
        <v>42</v>
      </c>
      <c r="J126" s="454">
        <v>1010901</v>
      </c>
      <c r="K126" s="454">
        <v>1009354</v>
      </c>
      <c r="L126" s="454">
        <v>0</v>
      </c>
      <c r="M126" s="454">
        <v>0</v>
      </c>
      <c r="N126" s="454">
        <v>0</v>
      </c>
      <c r="O126" s="454">
        <v>0</v>
      </c>
      <c r="P126" s="454">
        <v>0</v>
      </c>
      <c r="Q126" s="454">
        <v>1547</v>
      </c>
      <c r="R126" s="454">
        <v>0</v>
      </c>
      <c r="S126" s="454"/>
      <c r="T126" s="454"/>
      <c r="U126" s="454"/>
      <c r="V126" s="454"/>
      <c r="W126" s="454"/>
      <c r="X126" s="454"/>
      <c r="Y126" s="454">
        <f t="shared" si="1"/>
        <v>1547</v>
      </c>
      <c r="Z126" s="455">
        <v>1547</v>
      </c>
      <c r="AA126" s="456">
        <v>47</v>
      </c>
      <c r="AB126" s="457">
        <v>44319</v>
      </c>
      <c r="AC126" s="458">
        <v>44340</v>
      </c>
      <c r="AD126" s="455"/>
      <c r="AE126" s="459"/>
      <c r="AF126" s="460"/>
      <c r="AG126" s="458"/>
      <c r="AH126" s="455"/>
      <c r="AI126" s="456"/>
      <c r="AJ126" s="460"/>
      <c r="AK126" s="458"/>
      <c r="AL126" s="455"/>
      <c r="AM126" s="456"/>
      <c r="AN126" s="460"/>
      <c r="AO126" s="458"/>
      <c r="AP126" s="455"/>
      <c r="AQ126" s="456"/>
      <c r="AR126" s="460"/>
      <c r="AS126" s="458"/>
      <c r="AT126" s="154">
        <f t="shared" si="0"/>
        <v>1547</v>
      </c>
      <c r="AU126" s="461">
        <f t="shared" si="3"/>
        <v>0</v>
      </c>
    </row>
    <row r="127" spans="2:47" s="148" customFormat="1" ht="22.5" x14ac:dyDescent="0.25">
      <c r="B127" s="149">
        <v>112</v>
      </c>
      <c r="C127" s="149" t="s">
        <v>38</v>
      </c>
      <c r="D127" s="450">
        <v>30109564</v>
      </c>
      <c r="E127" s="596" t="s">
        <v>2604</v>
      </c>
      <c r="F127" s="451" t="s">
        <v>200</v>
      </c>
      <c r="G127" s="452" t="s">
        <v>2481</v>
      </c>
      <c r="H127" s="463" t="s">
        <v>2491</v>
      </c>
      <c r="I127" s="453" t="s">
        <v>42</v>
      </c>
      <c r="J127" s="454">
        <v>4288073</v>
      </c>
      <c r="K127" s="454">
        <v>1955387</v>
      </c>
      <c r="L127" s="454">
        <v>1166343</v>
      </c>
      <c r="M127" s="454">
        <v>0</v>
      </c>
      <c r="N127" s="454">
        <v>0</v>
      </c>
      <c r="O127" s="454">
        <v>0</v>
      </c>
      <c r="P127" s="454">
        <v>0</v>
      </c>
      <c r="Q127" s="454">
        <v>0</v>
      </c>
      <c r="R127" s="454">
        <v>0</v>
      </c>
      <c r="S127" s="454"/>
      <c r="T127" s="454"/>
      <c r="U127" s="454"/>
      <c r="V127" s="454"/>
      <c r="W127" s="454"/>
      <c r="X127" s="454"/>
      <c r="Y127" s="454">
        <f t="shared" si="1"/>
        <v>0</v>
      </c>
      <c r="Z127" s="455">
        <v>430112</v>
      </c>
      <c r="AA127" s="456">
        <v>47</v>
      </c>
      <c r="AB127" s="457">
        <v>44319</v>
      </c>
      <c r="AC127" s="458">
        <v>44340</v>
      </c>
      <c r="AD127" s="455"/>
      <c r="AE127" s="459"/>
      <c r="AF127" s="460"/>
      <c r="AG127" s="458"/>
      <c r="AH127" s="455"/>
      <c r="AI127" s="456"/>
      <c r="AJ127" s="460"/>
      <c r="AK127" s="458"/>
      <c r="AL127" s="455"/>
      <c r="AM127" s="456"/>
      <c r="AN127" s="460"/>
      <c r="AO127" s="458"/>
      <c r="AP127" s="455"/>
      <c r="AQ127" s="456"/>
      <c r="AR127" s="460"/>
      <c r="AS127" s="458"/>
      <c r="AT127" s="154">
        <f t="shared" si="0"/>
        <v>430112</v>
      </c>
      <c r="AU127" s="461">
        <f t="shared" si="3"/>
        <v>430112</v>
      </c>
    </row>
    <row r="128" spans="2:47" s="148" customFormat="1" ht="22.5" x14ac:dyDescent="0.25">
      <c r="B128" s="149">
        <v>113</v>
      </c>
      <c r="C128" s="149" t="s">
        <v>38</v>
      </c>
      <c r="D128" s="450">
        <v>40000596</v>
      </c>
      <c r="E128" s="596" t="s">
        <v>2605</v>
      </c>
      <c r="F128" s="451" t="s">
        <v>204</v>
      </c>
      <c r="G128" s="452" t="s">
        <v>2481</v>
      </c>
      <c r="H128" s="463" t="s">
        <v>2520</v>
      </c>
      <c r="I128" s="453" t="s">
        <v>42</v>
      </c>
      <c r="J128" s="454">
        <v>12294</v>
      </c>
      <c r="K128" s="454">
        <v>7367</v>
      </c>
      <c r="L128" s="454">
        <v>0</v>
      </c>
      <c r="M128" s="454">
        <v>0</v>
      </c>
      <c r="N128" s="454">
        <v>0</v>
      </c>
      <c r="O128" s="454">
        <v>0</v>
      </c>
      <c r="P128" s="454">
        <v>0</v>
      </c>
      <c r="Q128" s="454">
        <v>0</v>
      </c>
      <c r="R128" s="454">
        <v>0</v>
      </c>
      <c r="S128" s="454"/>
      <c r="T128" s="454"/>
      <c r="U128" s="454"/>
      <c r="V128" s="454"/>
      <c r="W128" s="454"/>
      <c r="X128" s="454"/>
      <c r="Y128" s="454">
        <f t="shared" si="1"/>
        <v>0</v>
      </c>
      <c r="Z128" s="455">
        <v>4927</v>
      </c>
      <c r="AA128" s="456">
        <v>47</v>
      </c>
      <c r="AB128" s="457">
        <v>44319</v>
      </c>
      <c r="AC128" s="458">
        <v>44340</v>
      </c>
      <c r="AD128" s="455"/>
      <c r="AE128" s="459"/>
      <c r="AF128" s="460"/>
      <c r="AG128" s="458"/>
      <c r="AH128" s="455"/>
      <c r="AI128" s="456"/>
      <c r="AJ128" s="460"/>
      <c r="AK128" s="458"/>
      <c r="AL128" s="455"/>
      <c r="AM128" s="456"/>
      <c r="AN128" s="460"/>
      <c r="AO128" s="458"/>
      <c r="AP128" s="455"/>
      <c r="AQ128" s="456"/>
      <c r="AR128" s="460"/>
      <c r="AS128" s="458"/>
      <c r="AT128" s="154">
        <f t="shared" si="0"/>
        <v>4927</v>
      </c>
      <c r="AU128" s="461">
        <f t="shared" si="3"/>
        <v>4927</v>
      </c>
    </row>
    <row r="129" spans="2:47" s="148" customFormat="1" x14ac:dyDescent="0.25">
      <c r="B129" s="149">
        <v>114</v>
      </c>
      <c r="C129" s="149" t="s">
        <v>38</v>
      </c>
      <c r="D129" s="450">
        <v>30366992</v>
      </c>
      <c r="E129" s="596" t="s">
        <v>2606</v>
      </c>
      <c r="F129" s="451" t="s">
        <v>200</v>
      </c>
      <c r="G129" s="452" t="s">
        <v>2481</v>
      </c>
      <c r="H129" s="463" t="s">
        <v>226</v>
      </c>
      <c r="I129" s="453" t="s">
        <v>43</v>
      </c>
      <c r="J129" s="454">
        <v>16065984</v>
      </c>
      <c r="K129" s="454">
        <v>0</v>
      </c>
      <c r="L129" s="454">
        <v>9720696</v>
      </c>
      <c r="M129" s="454">
        <v>0</v>
      </c>
      <c r="N129" s="454">
        <v>0</v>
      </c>
      <c r="O129" s="454">
        <v>0</v>
      </c>
      <c r="P129" s="454">
        <v>0</v>
      </c>
      <c r="Q129" s="454">
        <v>0</v>
      </c>
      <c r="R129" s="454">
        <v>0</v>
      </c>
      <c r="S129" s="454"/>
      <c r="T129" s="454"/>
      <c r="U129" s="454"/>
      <c r="V129" s="454"/>
      <c r="W129" s="454"/>
      <c r="X129" s="454"/>
      <c r="Y129" s="454">
        <f t="shared" si="1"/>
        <v>0</v>
      </c>
      <c r="Z129" s="455">
        <v>186425</v>
      </c>
      <c r="AA129" s="456">
        <v>48</v>
      </c>
      <c r="AB129" s="457">
        <v>44319</v>
      </c>
      <c r="AC129" s="458">
        <v>44340</v>
      </c>
      <c r="AD129" s="455"/>
      <c r="AE129" s="459"/>
      <c r="AF129" s="460"/>
      <c r="AG129" s="458"/>
      <c r="AH129" s="455"/>
      <c r="AI129" s="456"/>
      <c r="AJ129" s="460"/>
      <c r="AK129" s="458"/>
      <c r="AL129" s="455"/>
      <c r="AM129" s="456"/>
      <c r="AN129" s="460"/>
      <c r="AO129" s="458"/>
      <c r="AP129" s="455"/>
      <c r="AQ129" s="456"/>
      <c r="AR129" s="460"/>
      <c r="AS129" s="458"/>
      <c r="AT129" s="154">
        <f t="shared" si="0"/>
        <v>186425</v>
      </c>
      <c r="AU129" s="461">
        <f t="shared" si="3"/>
        <v>186425</v>
      </c>
    </row>
    <row r="130" spans="2:47" s="148" customFormat="1" ht="22.5" x14ac:dyDescent="0.25">
      <c r="B130" s="149">
        <v>115</v>
      </c>
      <c r="C130" s="149" t="s">
        <v>38</v>
      </c>
      <c r="D130" s="450">
        <v>40026939</v>
      </c>
      <c r="E130" s="596" t="s">
        <v>2607</v>
      </c>
      <c r="F130" s="451" t="s">
        <v>200</v>
      </c>
      <c r="G130" s="452" t="s">
        <v>2481</v>
      </c>
      <c r="H130" s="463" t="s">
        <v>2495</v>
      </c>
      <c r="I130" s="453" t="s">
        <v>43</v>
      </c>
      <c r="J130" s="454">
        <v>462441</v>
      </c>
      <c r="K130" s="454">
        <v>0</v>
      </c>
      <c r="L130" s="454">
        <v>0</v>
      </c>
      <c r="M130" s="454">
        <v>0</v>
      </c>
      <c r="N130" s="454">
        <v>0</v>
      </c>
      <c r="O130" s="454">
        <v>0</v>
      </c>
      <c r="P130" s="454">
        <v>0</v>
      </c>
      <c r="Q130" s="454">
        <v>0</v>
      </c>
      <c r="R130" s="454">
        <v>452266</v>
      </c>
      <c r="S130" s="454"/>
      <c r="T130" s="454"/>
      <c r="U130" s="454"/>
      <c r="V130" s="454"/>
      <c r="W130" s="454"/>
      <c r="X130" s="454"/>
      <c r="Y130" s="454">
        <f t="shared" si="1"/>
        <v>452266</v>
      </c>
      <c r="Z130" s="455">
        <v>462441</v>
      </c>
      <c r="AA130" s="456">
        <v>48</v>
      </c>
      <c r="AB130" s="457">
        <v>44319</v>
      </c>
      <c r="AC130" s="458">
        <v>44340</v>
      </c>
      <c r="AD130" s="455"/>
      <c r="AE130" s="459"/>
      <c r="AF130" s="460"/>
      <c r="AG130" s="458"/>
      <c r="AH130" s="455"/>
      <c r="AI130" s="456"/>
      <c r="AJ130" s="460"/>
      <c r="AK130" s="458"/>
      <c r="AL130" s="455"/>
      <c r="AM130" s="456"/>
      <c r="AN130" s="460"/>
      <c r="AO130" s="458"/>
      <c r="AP130" s="455"/>
      <c r="AQ130" s="456"/>
      <c r="AR130" s="460"/>
      <c r="AS130" s="458"/>
      <c r="AT130" s="154">
        <f t="shared" si="0"/>
        <v>462441</v>
      </c>
      <c r="AU130" s="461">
        <f t="shared" si="3"/>
        <v>10175</v>
      </c>
    </row>
    <row r="131" spans="2:47" s="148" customFormat="1" ht="22.5" x14ac:dyDescent="0.25">
      <c r="B131" s="149">
        <v>116</v>
      </c>
      <c r="C131" s="149" t="s">
        <v>41</v>
      </c>
      <c r="D131" s="450">
        <v>40015315</v>
      </c>
      <c r="E131" s="596" t="s">
        <v>2608</v>
      </c>
      <c r="F131" s="451" t="s">
        <v>200</v>
      </c>
      <c r="G131" s="452" t="s">
        <v>2481</v>
      </c>
      <c r="H131" s="463" t="s">
        <v>2491</v>
      </c>
      <c r="I131" s="453" t="s">
        <v>43</v>
      </c>
      <c r="J131" s="454">
        <v>344927</v>
      </c>
      <c r="K131" s="454">
        <v>1534</v>
      </c>
      <c r="L131" s="454">
        <v>231407</v>
      </c>
      <c r="M131" s="454">
        <v>0</v>
      </c>
      <c r="N131" s="454">
        <v>0</v>
      </c>
      <c r="O131" s="454">
        <v>0</v>
      </c>
      <c r="P131" s="454">
        <v>0</v>
      </c>
      <c r="Q131" s="454">
        <v>0</v>
      </c>
      <c r="R131" s="454">
        <v>0</v>
      </c>
      <c r="S131" s="454"/>
      <c r="T131" s="454"/>
      <c r="U131" s="454"/>
      <c r="V131" s="454"/>
      <c r="W131" s="454"/>
      <c r="X131" s="454"/>
      <c r="Y131" s="454">
        <f t="shared" si="1"/>
        <v>0</v>
      </c>
      <c r="Z131" s="455">
        <v>80000</v>
      </c>
      <c r="AA131" s="456">
        <v>48</v>
      </c>
      <c r="AB131" s="457">
        <v>44319</v>
      </c>
      <c r="AC131" s="458">
        <v>44340</v>
      </c>
      <c r="AD131" s="455"/>
      <c r="AE131" s="459"/>
      <c r="AF131" s="460"/>
      <c r="AG131" s="458"/>
      <c r="AH131" s="455"/>
      <c r="AI131" s="456"/>
      <c r="AJ131" s="460"/>
      <c r="AK131" s="458"/>
      <c r="AL131" s="455"/>
      <c r="AM131" s="456"/>
      <c r="AN131" s="460"/>
      <c r="AO131" s="458"/>
      <c r="AP131" s="455"/>
      <c r="AQ131" s="456"/>
      <c r="AR131" s="460"/>
      <c r="AS131" s="458"/>
      <c r="AT131" s="154">
        <f t="shared" si="0"/>
        <v>80000</v>
      </c>
      <c r="AU131" s="461">
        <f t="shared" si="3"/>
        <v>80000</v>
      </c>
    </row>
    <row r="132" spans="2:47" s="148" customFormat="1" ht="22.5" x14ac:dyDescent="0.25">
      <c r="B132" s="149">
        <v>117</v>
      </c>
      <c r="C132" s="149" t="s">
        <v>38</v>
      </c>
      <c r="D132" s="450">
        <v>40026936</v>
      </c>
      <c r="E132" s="596" t="s">
        <v>2609</v>
      </c>
      <c r="F132" s="451" t="s">
        <v>200</v>
      </c>
      <c r="G132" s="452" t="s">
        <v>2481</v>
      </c>
      <c r="H132" s="463" t="s">
        <v>2495</v>
      </c>
      <c r="I132" s="453" t="s">
        <v>43</v>
      </c>
      <c r="J132" s="454">
        <v>274277</v>
      </c>
      <c r="K132" s="454">
        <v>0</v>
      </c>
      <c r="L132" s="454">
        <v>0</v>
      </c>
      <c r="M132" s="454">
        <v>0</v>
      </c>
      <c r="N132" s="454">
        <v>0</v>
      </c>
      <c r="O132" s="454">
        <v>0</v>
      </c>
      <c r="P132" s="454">
        <v>0</v>
      </c>
      <c r="Q132" s="454">
        <v>0</v>
      </c>
      <c r="R132" s="454">
        <v>268242</v>
      </c>
      <c r="S132" s="454"/>
      <c r="T132" s="454"/>
      <c r="U132" s="454"/>
      <c r="V132" s="454"/>
      <c r="W132" s="454"/>
      <c r="X132" s="454"/>
      <c r="Y132" s="454">
        <f t="shared" si="1"/>
        <v>268242</v>
      </c>
      <c r="Z132" s="455">
        <v>274277</v>
      </c>
      <c r="AA132" s="456">
        <v>60</v>
      </c>
      <c r="AB132" s="457">
        <v>44347</v>
      </c>
      <c r="AC132" s="458">
        <v>44361</v>
      </c>
      <c r="AD132" s="455"/>
      <c r="AE132" s="459"/>
      <c r="AF132" s="460"/>
      <c r="AG132" s="458"/>
      <c r="AH132" s="455"/>
      <c r="AI132" s="456"/>
      <c r="AJ132" s="460"/>
      <c r="AK132" s="458"/>
      <c r="AL132" s="455"/>
      <c r="AM132" s="456"/>
      <c r="AN132" s="460"/>
      <c r="AO132" s="458"/>
      <c r="AP132" s="455"/>
      <c r="AQ132" s="456"/>
      <c r="AR132" s="460"/>
      <c r="AS132" s="458"/>
      <c r="AT132" s="154">
        <f t="shared" si="0"/>
        <v>274277</v>
      </c>
      <c r="AU132" s="461">
        <f t="shared" si="3"/>
        <v>6035</v>
      </c>
    </row>
    <row r="133" spans="2:47" s="148" customFormat="1" ht="22.5" x14ac:dyDescent="0.25">
      <c r="B133" s="149">
        <v>118</v>
      </c>
      <c r="C133" s="149" t="s">
        <v>38</v>
      </c>
      <c r="D133" s="450">
        <v>40026937</v>
      </c>
      <c r="E133" s="596" t="s">
        <v>2610</v>
      </c>
      <c r="F133" s="451" t="s">
        <v>200</v>
      </c>
      <c r="G133" s="452" t="s">
        <v>2481</v>
      </c>
      <c r="H133" s="463" t="s">
        <v>2495</v>
      </c>
      <c r="I133" s="453" t="s">
        <v>43</v>
      </c>
      <c r="J133" s="454">
        <v>254068</v>
      </c>
      <c r="K133" s="454">
        <v>0</v>
      </c>
      <c r="L133" s="454">
        <v>0</v>
      </c>
      <c r="M133" s="454">
        <v>0</v>
      </c>
      <c r="N133" s="454">
        <v>0</v>
      </c>
      <c r="O133" s="454">
        <v>0</v>
      </c>
      <c r="P133" s="454">
        <v>0</v>
      </c>
      <c r="Q133" s="454">
        <v>0</v>
      </c>
      <c r="R133" s="454">
        <v>248478</v>
      </c>
      <c r="S133" s="454"/>
      <c r="T133" s="454"/>
      <c r="U133" s="454"/>
      <c r="V133" s="454"/>
      <c r="W133" s="454"/>
      <c r="X133" s="454"/>
      <c r="Y133" s="454">
        <f t="shared" si="1"/>
        <v>248478</v>
      </c>
      <c r="Z133" s="455">
        <v>254068</v>
      </c>
      <c r="AA133" s="456">
        <v>60</v>
      </c>
      <c r="AB133" s="457">
        <v>44347</v>
      </c>
      <c r="AC133" s="458">
        <v>44361</v>
      </c>
      <c r="AD133" s="455"/>
      <c r="AE133" s="459"/>
      <c r="AF133" s="460"/>
      <c r="AG133" s="458"/>
      <c r="AH133" s="455"/>
      <c r="AI133" s="456"/>
      <c r="AJ133" s="460"/>
      <c r="AK133" s="458"/>
      <c r="AL133" s="455"/>
      <c r="AM133" s="456"/>
      <c r="AN133" s="460"/>
      <c r="AO133" s="458"/>
      <c r="AP133" s="455"/>
      <c r="AQ133" s="456"/>
      <c r="AR133" s="460"/>
      <c r="AS133" s="458"/>
      <c r="AT133" s="154">
        <f t="shared" si="0"/>
        <v>254068</v>
      </c>
      <c r="AU133" s="461">
        <f t="shared" si="3"/>
        <v>5590</v>
      </c>
    </row>
    <row r="134" spans="2:47" s="148" customFormat="1" ht="22.5" x14ac:dyDescent="0.25">
      <c r="B134" s="149">
        <v>119</v>
      </c>
      <c r="C134" s="149" t="s">
        <v>38</v>
      </c>
      <c r="D134" s="450">
        <v>40024981</v>
      </c>
      <c r="E134" s="596" t="s">
        <v>2611</v>
      </c>
      <c r="F134" s="451" t="s">
        <v>200</v>
      </c>
      <c r="G134" s="452" t="s">
        <v>2481</v>
      </c>
      <c r="H134" s="463" t="s">
        <v>2504</v>
      </c>
      <c r="I134" s="453" t="s">
        <v>43</v>
      </c>
      <c r="J134" s="454">
        <v>87063</v>
      </c>
      <c r="K134" s="454">
        <v>0</v>
      </c>
      <c r="L134" s="454">
        <v>0</v>
      </c>
      <c r="M134" s="454">
        <v>0</v>
      </c>
      <c r="N134" s="454">
        <v>0</v>
      </c>
      <c r="O134" s="454">
        <v>0</v>
      </c>
      <c r="P134" s="454">
        <v>0</v>
      </c>
      <c r="Q134" s="454">
        <v>0</v>
      </c>
      <c r="R134" s="454">
        <v>85148</v>
      </c>
      <c r="S134" s="454"/>
      <c r="T134" s="454"/>
      <c r="U134" s="454"/>
      <c r="V134" s="454"/>
      <c r="W134" s="454"/>
      <c r="X134" s="454"/>
      <c r="Y134" s="454">
        <f t="shared" si="1"/>
        <v>85148</v>
      </c>
      <c r="Z134" s="455">
        <v>87063</v>
      </c>
      <c r="AA134" s="456">
        <v>60</v>
      </c>
      <c r="AB134" s="457">
        <v>44347</v>
      </c>
      <c r="AC134" s="458">
        <v>44361</v>
      </c>
      <c r="AD134" s="455"/>
      <c r="AE134" s="459"/>
      <c r="AF134" s="460"/>
      <c r="AG134" s="458"/>
      <c r="AH134" s="455"/>
      <c r="AI134" s="456"/>
      <c r="AJ134" s="460"/>
      <c r="AK134" s="458"/>
      <c r="AL134" s="455"/>
      <c r="AM134" s="456"/>
      <c r="AN134" s="460"/>
      <c r="AO134" s="458"/>
      <c r="AP134" s="455"/>
      <c r="AQ134" s="456"/>
      <c r="AR134" s="460"/>
      <c r="AS134" s="458"/>
      <c r="AT134" s="154">
        <f t="shared" si="0"/>
        <v>87063</v>
      </c>
      <c r="AU134" s="461">
        <f t="shared" si="3"/>
        <v>1915</v>
      </c>
    </row>
    <row r="135" spans="2:47" s="148" customFormat="1" ht="22.5" x14ac:dyDescent="0.25">
      <c r="B135" s="149">
        <v>120</v>
      </c>
      <c r="C135" s="149" t="s">
        <v>38</v>
      </c>
      <c r="D135" s="450">
        <v>40027238</v>
      </c>
      <c r="E135" s="596" t="s">
        <v>2612</v>
      </c>
      <c r="F135" s="451" t="s">
        <v>200</v>
      </c>
      <c r="G135" s="452" t="s">
        <v>2481</v>
      </c>
      <c r="H135" s="463" t="s">
        <v>2520</v>
      </c>
      <c r="I135" s="453" t="s">
        <v>43</v>
      </c>
      <c r="J135" s="454">
        <v>261358</v>
      </c>
      <c r="K135" s="454">
        <v>0</v>
      </c>
      <c r="L135" s="454">
        <v>0</v>
      </c>
      <c r="M135" s="454">
        <v>0</v>
      </c>
      <c r="N135" s="454">
        <v>0</v>
      </c>
      <c r="O135" s="454">
        <v>0</v>
      </c>
      <c r="P135" s="454">
        <v>0</v>
      </c>
      <c r="Q135" s="454">
        <v>0</v>
      </c>
      <c r="R135" s="454">
        <v>255607</v>
      </c>
      <c r="S135" s="454"/>
      <c r="T135" s="454"/>
      <c r="U135" s="454"/>
      <c r="V135" s="454"/>
      <c r="W135" s="454"/>
      <c r="X135" s="454"/>
      <c r="Y135" s="454">
        <f t="shared" si="1"/>
        <v>255607</v>
      </c>
      <c r="Z135" s="455">
        <v>261358</v>
      </c>
      <c r="AA135" s="456">
        <v>60</v>
      </c>
      <c r="AB135" s="457">
        <v>44347</v>
      </c>
      <c r="AC135" s="458">
        <v>44361</v>
      </c>
      <c r="AD135" s="455"/>
      <c r="AE135" s="459"/>
      <c r="AF135" s="460"/>
      <c r="AG135" s="458"/>
      <c r="AH135" s="455"/>
      <c r="AI135" s="456"/>
      <c r="AJ135" s="460"/>
      <c r="AK135" s="458"/>
      <c r="AL135" s="455"/>
      <c r="AM135" s="456"/>
      <c r="AN135" s="460"/>
      <c r="AO135" s="458"/>
      <c r="AP135" s="455"/>
      <c r="AQ135" s="456"/>
      <c r="AR135" s="460"/>
      <c r="AS135" s="458"/>
      <c r="AT135" s="154">
        <f t="shared" si="0"/>
        <v>261358</v>
      </c>
      <c r="AU135" s="461">
        <f t="shared" si="3"/>
        <v>5751</v>
      </c>
    </row>
    <row r="136" spans="2:47" s="148" customFormat="1" ht="22.5" x14ac:dyDescent="0.25">
      <c r="B136" s="149">
        <v>121</v>
      </c>
      <c r="C136" s="149" t="s">
        <v>38</v>
      </c>
      <c r="D136" s="450">
        <v>30429425</v>
      </c>
      <c r="E136" s="596" t="s">
        <v>2613</v>
      </c>
      <c r="F136" s="451" t="s">
        <v>204</v>
      </c>
      <c r="G136" s="452" t="s">
        <v>2481</v>
      </c>
      <c r="H136" s="463" t="s">
        <v>2484</v>
      </c>
      <c r="I136" s="453" t="s">
        <v>42</v>
      </c>
      <c r="J136" s="454">
        <v>63143</v>
      </c>
      <c r="K136" s="454">
        <v>36350</v>
      </c>
      <c r="L136" s="454">
        <v>0</v>
      </c>
      <c r="M136" s="454">
        <v>0</v>
      </c>
      <c r="N136" s="454">
        <v>0</v>
      </c>
      <c r="O136" s="454">
        <v>0</v>
      </c>
      <c r="P136" s="454">
        <v>0</v>
      </c>
      <c r="Q136" s="454">
        <v>0</v>
      </c>
      <c r="R136" s="454">
        <v>0</v>
      </c>
      <c r="S136" s="454"/>
      <c r="T136" s="454"/>
      <c r="U136" s="454"/>
      <c r="V136" s="454"/>
      <c r="W136" s="454"/>
      <c r="X136" s="454"/>
      <c r="Y136" s="454">
        <f t="shared" si="1"/>
        <v>0</v>
      </c>
      <c r="Z136" s="455">
        <v>20488</v>
      </c>
      <c r="AA136" s="456">
        <v>61</v>
      </c>
      <c r="AB136" s="457">
        <v>44351</v>
      </c>
      <c r="AC136" s="458">
        <v>44372</v>
      </c>
      <c r="AD136" s="455"/>
      <c r="AE136" s="459"/>
      <c r="AF136" s="460"/>
      <c r="AG136" s="458"/>
      <c r="AH136" s="455"/>
      <c r="AI136" s="456"/>
      <c r="AJ136" s="460"/>
      <c r="AK136" s="458"/>
      <c r="AL136" s="455"/>
      <c r="AM136" s="456"/>
      <c r="AN136" s="460"/>
      <c r="AO136" s="458"/>
      <c r="AP136" s="455"/>
      <c r="AQ136" s="456"/>
      <c r="AR136" s="460"/>
      <c r="AS136" s="458"/>
      <c r="AT136" s="154">
        <f t="shared" si="0"/>
        <v>20488</v>
      </c>
      <c r="AU136" s="461">
        <f t="shared" si="3"/>
        <v>20488</v>
      </c>
    </row>
    <row r="137" spans="2:47" s="148" customFormat="1" x14ac:dyDescent="0.25">
      <c r="B137" s="149">
        <v>122</v>
      </c>
      <c r="C137" s="149"/>
      <c r="D137" s="450"/>
      <c r="E137" s="451"/>
      <c r="F137" s="451"/>
      <c r="G137" s="452"/>
      <c r="H137" s="463"/>
      <c r="I137" s="453"/>
      <c r="J137" s="454"/>
      <c r="K137" s="454"/>
      <c r="L137" s="454"/>
      <c r="M137" s="454"/>
      <c r="N137" s="454"/>
      <c r="O137" s="454"/>
      <c r="P137" s="454"/>
      <c r="Q137" s="454"/>
      <c r="R137" s="454"/>
      <c r="S137" s="454"/>
      <c r="T137" s="454"/>
      <c r="U137" s="454"/>
      <c r="V137" s="454"/>
      <c r="W137" s="454"/>
      <c r="X137" s="454"/>
      <c r="Y137" s="454">
        <f t="shared" si="1"/>
        <v>0</v>
      </c>
      <c r="Z137" s="455"/>
      <c r="AA137" s="456"/>
      <c r="AB137" s="457"/>
      <c r="AC137" s="458"/>
      <c r="AD137" s="455"/>
      <c r="AE137" s="459"/>
      <c r="AF137" s="460"/>
      <c r="AG137" s="458"/>
      <c r="AH137" s="455"/>
      <c r="AI137" s="456"/>
      <c r="AJ137" s="460"/>
      <c r="AK137" s="458"/>
      <c r="AL137" s="455"/>
      <c r="AM137" s="456"/>
      <c r="AN137" s="460"/>
      <c r="AO137" s="458"/>
      <c r="AP137" s="455"/>
      <c r="AQ137" s="456"/>
      <c r="AR137" s="460"/>
      <c r="AS137" s="458"/>
      <c r="AT137" s="154">
        <f t="shared" si="0"/>
        <v>0</v>
      </c>
      <c r="AU137" s="461">
        <f t="shared" si="3"/>
        <v>0</v>
      </c>
    </row>
    <row r="138" spans="2:47" s="148" customFormat="1" x14ac:dyDescent="0.25">
      <c r="B138" s="149">
        <v>123</v>
      </c>
      <c r="C138" s="149"/>
      <c r="D138" s="450"/>
      <c r="E138" s="451"/>
      <c r="F138" s="451"/>
      <c r="G138" s="452"/>
      <c r="H138" s="463"/>
      <c r="I138" s="453"/>
      <c r="J138" s="454"/>
      <c r="K138" s="454"/>
      <c r="L138" s="454"/>
      <c r="M138" s="454"/>
      <c r="N138" s="454"/>
      <c r="O138" s="454"/>
      <c r="P138" s="454"/>
      <c r="Q138" s="454"/>
      <c r="R138" s="454"/>
      <c r="S138" s="454"/>
      <c r="T138" s="454"/>
      <c r="U138" s="454"/>
      <c r="V138" s="454"/>
      <c r="W138" s="454"/>
      <c r="X138" s="454"/>
      <c r="Y138" s="454">
        <f t="shared" si="1"/>
        <v>0</v>
      </c>
      <c r="Z138" s="455"/>
      <c r="AA138" s="456"/>
      <c r="AB138" s="457"/>
      <c r="AC138" s="458"/>
      <c r="AD138" s="455"/>
      <c r="AE138" s="459"/>
      <c r="AF138" s="460"/>
      <c r="AG138" s="458"/>
      <c r="AH138" s="455"/>
      <c r="AI138" s="456"/>
      <c r="AJ138" s="460"/>
      <c r="AK138" s="458"/>
      <c r="AL138" s="455"/>
      <c r="AM138" s="456"/>
      <c r="AN138" s="460"/>
      <c r="AO138" s="458"/>
      <c r="AP138" s="455"/>
      <c r="AQ138" s="456"/>
      <c r="AR138" s="460"/>
      <c r="AS138" s="458"/>
      <c r="AT138" s="154">
        <f t="shared" si="0"/>
        <v>0</v>
      </c>
      <c r="AU138" s="461">
        <f t="shared" si="3"/>
        <v>0</v>
      </c>
    </row>
    <row r="139" spans="2:47" s="148" customFormat="1" x14ac:dyDescent="0.25">
      <c r="B139" s="149">
        <v>124</v>
      </c>
      <c r="C139" s="149"/>
      <c r="D139" s="450"/>
      <c r="E139" s="451"/>
      <c r="F139" s="451"/>
      <c r="G139" s="452"/>
      <c r="H139" s="463"/>
      <c r="I139" s="453"/>
      <c r="J139" s="454"/>
      <c r="K139" s="454"/>
      <c r="L139" s="454"/>
      <c r="M139" s="454"/>
      <c r="N139" s="454"/>
      <c r="O139" s="454"/>
      <c r="P139" s="454"/>
      <c r="Q139" s="454"/>
      <c r="R139" s="454"/>
      <c r="S139" s="454"/>
      <c r="T139" s="454"/>
      <c r="U139" s="454"/>
      <c r="V139" s="454"/>
      <c r="W139" s="454"/>
      <c r="X139" s="454"/>
      <c r="Y139" s="454">
        <f t="shared" si="1"/>
        <v>0</v>
      </c>
      <c r="Z139" s="455"/>
      <c r="AA139" s="456"/>
      <c r="AB139" s="457"/>
      <c r="AC139" s="458"/>
      <c r="AD139" s="455"/>
      <c r="AE139" s="459"/>
      <c r="AF139" s="460"/>
      <c r="AG139" s="458"/>
      <c r="AH139" s="455"/>
      <c r="AI139" s="456"/>
      <c r="AJ139" s="460"/>
      <c r="AK139" s="458"/>
      <c r="AL139" s="455"/>
      <c r="AM139" s="456"/>
      <c r="AN139" s="460"/>
      <c r="AO139" s="458"/>
      <c r="AP139" s="455"/>
      <c r="AQ139" s="456"/>
      <c r="AR139" s="460"/>
      <c r="AS139" s="458"/>
      <c r="AT139" s="154">
        <f t="shared" si="0"/>
        <v>0</v>
      </c>
      <c r="AU139" s="461">
        <f t="shared" si="3"/>
        <v>0</v>
      </c>
    </row>
    <row r="140" spans="2:47" s="148" customFormat="1" x14ac:dyDescent="0.25">
      <c r="B140" s="149">
        <v>125</v>
      </c>
      <c r="C140" s="149"/>
      <c r="D140" s="450"/>
      <c r="E140" s="451"/>
      <c r="F140" s="451"/>
      <c r="G140" s="452"/>
      <c r="H140" s="463"/>
      <c r="I140" s="453"/>
      <c r="J140" s="454"/>
      <c r="K140" s="454"/>
      <c r="L140" s="454"/>
      <c r="M140" s="454"/>
      <c r="N140" s="454"/>
      <c r="O140" s="454"/>
      <c r="P140" s="454"/>
      <c r="Q140" s="454"/>
      <c r="R140" s="454"/>
      <c r="S140" s="454"/>
      <c r="T140" s="454"/>
      <c r="U140" s="454"/>
      <c r="V140" s="454"/>
      <c r="W140" s="454"/>
      <c r="X140" s="454"/>
      <c r="Y140" s="454">
        <f t="shared" si="1"/>
        <v>0</v>
      </c>
      <c r="Z140" s="455"/>
      <c r="AA140" s="456"/>
      <c r="AB140" s="457"/>
      <c r="AC140" s="458"/>
      <c r="AD140" s="455"/>
      <c r="AE140" s="459"/>
      <c r="AF140" s="460"/>
      <c r="AG140" s="458"/>
      <c r="AH140" s="455"/>
      <c r="AI140" s="456"/>
      <c r="AJ140" s="460"/>
      <c r="AK140" s="458"/>
      <c r="AL140" s="455"/>
      <c r="AM140" s="456"/>
      <c r="AN140" s="460"/>
      <c r="AO140" s="458"/>
      <c r="AP140" s="455"/>
      <c r="AQ140" s="456"/>
      <c r="AR140" s="460"/>
      <c r="AS140" s="458"/>
      <c r="AT140" s="154">
        <f t="shared" si="0"/>
        <v>0</v>
      </c>
      <c r="AU140" s="461">
        <f t="shared" si="3"/>
        <v>0</v>
      </c>
    </row>
    <row r="141" spans="2:47" s="148" customFormat="1" x14ac:dyDescent="0.25">
      <c r="B141" s="149">
        <v>126</v>
      </c>
      <c r="C141" s="149"/>
      <c r="D141" s="450"/>
      <c r="E141" s="451"/>
      <c r="F141" s="451"/>
      <c r="G141" s="452"/>
      <c r="H141" s="463"/>
      <c r="I141" s="453"/>
      <c r="J141" s="454"/>
      <c r="K141" s="454"/>
      <c r="L141" s="454"/>
      <c r="M141" s="454"/>
      <c r="N141" s="454"/>
      <c r="O141" s="454"/>
      <c r="P141" s="454"/>
      <c r="Q141" s="454"/>
      <c r="R141" s="454"/>
      <c r="S141" s="454"/>
      <c r="T141" s="454"/>
      <c r="U141" s="454"/>
      <c r="V141" s="454"/>
      <c r="W141" s="454"/>
      <c r="X141" s="454"/>
      <c r="Y141" s="454">
        <f t="shared" si="1"/>
        <v>0</v>
      </c>
      <c r="Z141" s="455"/>
      <c r="AA141" s="456"/>
      <c r="AB141" s="457"/>
      <c r="AC141" s="458"/>
      <c r="AD141" s="455"/>
      <c r="AE141" s="459"/>
      <c r="AF141" s="460"/>
      <c r="AG141" s="458"/>
      <c r="AH141" s="455"/>
      <c r="AI141" s="456"/>
      <c r="AJ141" s="460"/>
      <c r="AK141" s="458"/>
      <c r="AL141" s="455"/>
      <c r="AM141" s="456"/>
      <c r="AN141" s="460"/>
      <c r="AO141" s="458"/>
      <c r="AP141" s="455"/>
      <c r="AQ141" s="456"/>
      <c r="AR141" s="460"/>
      <c r="AS141" s="458"/>
      <c r="AT141" s="154">
        <f t="shared" si="0"/>
        <v>0</v>
      </c>
      <c r="AU141" s="461">
        <f t="shared" si="3"/>
        <v>0</v>
      </c>
    </row>
    <row r="142" spans="2:47" s="148" customFormat="1" x14ac:dyDescent="0.25">
      <c r="B142" s="149">
        <v>127</v>
      </c>
      <c r="C142" s="149"/>
      <c r="D142" s="450"/>
      <c r="E142" s="451"/>
      <c r="F142" s="451"/>
      <c r="G142" s="452"/>
      <c r="H142" s="463"/>
      <c r="I142" s="453"/>
      <c r="J142" s="454"/>
      <c r="K142" s="454"/>
      <c r="L142" s="454"/>
      <c r="M142" s="454"/>
      <c r="N142" s="454"/>
      <c r="O142" s="454"/>
      <c r="P142" s="454"/>
      <c r="Q142" s="454"/>
      <c r="R142" s="454"/>
      <c r="S142" s="454"/>
      <c r="T142" s="454"/>
      <c r="U142" s="454"/>
      <c r="V142" s="454"/>
      <c r="W142" s="454"/>
      <c r="X142" s="454"/>
      <c r="Y142" s="454">
        <f t="shared" si="1"/>
        <v>0</v>
      </c>
      <c r="Z142" s="455"/>
      <c r="AA142" s="456"/>
      <c r="AB142" s="457"/>
      <c r="AC142" s="458"/>
      <c r="AD142" s="455"/>
      <c r="AE142" s="459"/>
      <c r="AF142" s="460"/>
      <c r="AG142" s="458"/>
      <c r="AH142" s="455"/>
      <c r="AI142" s="456"/>
      <c r="AJ142" s="460"/>
      <c r="AK142" s="458"/>
      <c r="AL142" s="455"/>
      <c r="AM142" s="456"/>
      <c r="AN142" s="460"/>
      <c r="AO142" s="458"/>
      <c r="AP142" s="455"/>
      <c r="AQ142" s="456"/>
      <c r="AR142" s="460"/>
      <c r="AS142" s="458"/>
      <c r="AT142" s="154">
        <f t="shared" si="0"/>
        <v>0</v>
      </c>
      <c r="AU142" s="461">
        <f t="shared" si="3"/>
        <v>0</v>
      </c>
    </row>
    <row r="143" spans="2:47" s="148" customFormat="1" x14ac:dyDescent="0.25">
      <c r="B143" s="149">
        <v>128</v>
      </c>
      <c r="C143" s="149"/>
      <c r="D143" s="450"/>
      <c r="E143" s="451"/>
      <c r="F143" s="451"/>
      <c r="G143" s="452"/>
      <c r="H143" s="463"/>
      <c r="I143" s="453"/>
      <c r="J143" s="454"/>
      <c r="K143" s="454"/>
      <c r="L143" s="454"/>
      <c r="M143" s="454"/>
      <c r="N143" s="454"/>
      <c r="O143" s="454"/>
      <c r="P143" s="454"/>
      <c r="Q143" s="454"/>
      <c r="R143" s="454"/>
      <c r="S143" s="454"/>
      <c r="T143" s="454"/>
      <c r="U143" s="454"/>
      <c r="V143" s="454"/>
      <c r="W143" s="454"/>
      <c r="X143" s="454"/>
      <c r="Y143" s="454">
        <f t="shared" si="1"/>
        <v>0</v>
      </c>
      <c r="Z143" s="455"/>
      <c r="AA143" s="456"/>
      <c r="AB143" s="457"/>
      <c r="AC143" s="458"/>
      <c r="AD143" s="455"/>
      <c r="AE143" s="459"/>
      <c r="AF143" s="460"/>
      <c r="AG143" s="458"/>
      <c r="AH143" s="455"/>
      <c r="AI143" s="456"/>
      <c r="AJ143" s="460"/>
      <c r="AK143" s="458"/>
      <c r="AL143" s="455"/>
      <c r="AM143" s="456"/>
      <c r="AN143" s="460"/>
      <c r="AO143" s="458"/>
      <c r="AP143" s="455"/>
      <c r="AQ143" s="456"/>
      <c r="AR143" s="460"/>
      <c r="AS143" s="458"/>
      <c r="AT143" s="154">
        <f t="shared" si="0"/>
        <v>0</v>
      </c>
      <c r="AU143" s="461">
        <f t="shared" si="3"/>
        <v>0</v>
      </c>
    </row>
    <row r="144" spans="2:47" s="148" customFormat="1" x14ac:dyDescent="0.25">
      <c r="B144" s="149">
        <v>129</v>
      </c>
      <c r="C144" s="149"/>
      <c r="D144" s="450"/>
      <c r="E144" s="451"/>
      <c r="F144" s="451"/>
      <c r="G144" s="452"/>
      <c r="H144" s="463"/>
      <c r="I144" s="453"/>
      <c r="J144" s="454"/>
      <c r="K144" s="454"/>
      <c r="L144" s="454"/>
      <c r="M144" s="454"/>
      <c r="N144" s="454"/>
      <c r="O144" s="454"/>
      <c r="P144" s="454"/>
      <c r="Q144" s="454"/>
      <c r="R144" s="454"/>
      <c r="S144" s="454"/>
      <c r="T144" s="454"/>
      <c r="U144" s="454"/>
      <c r="V144" s="454"/>
      <c r="W144" s="454"/>
      <c r="X144" s="454"/>
      <c r="Y144" s="454">
        <f t="shared" si="1"/>
        <v>0</v>
      </c>
      <c r="Z144" s="455"/>
      <c r="AA144" s="456"/>
      <c r="AB144" s="457"/>
      <c r="AC144" s="458"/>
      <c r="AD144" s="455"/>
      <c r="AE144" s="459"/>
      <c r="AF144" s="460"/>
      <c r="AG144" s="458"/>
      <c r="AH144" s="455"/>
      <c r="AI144" s="456"/>
      <c r="AJ144" s="460"/>
      <c r="AK144" s="458"/>
      <c r="AL144" s="455"/>
      <c r="AM144" s="456"/>
      <c r="AN144" s="460"/>
      <c r="AO144" s="458"/>
      <c r="AP144" s="455"/>
      <c r="AQ144" s="456"/>
      <c r="AR144" s="460"/>
      <c r="AS144" s="458"/>
      <c r="AT144" s="154">
        <f t="shared" si="0"/>
        <v>0</v>
      </c>
      <c r="AU144" s="461">
        <f t="shared" si="3"/>
        <v>0</v>
      </c>
    </row>
    <row r="145" spans="2:47" s="148" customFormat="1" x14ac:dyDescent="0.25">
      <c r="B145" s="149">
        <v>130</v>
      </c>
      <c r="C145" s="149"/>
      <c r="D145" s="450"/>
      <c r="E145" s="451"/>
      <c r="F145" s="451"/>
      <c r="G145" s="452"/>
      <c r="H145" s="463"/>
      <c r="I145" s="453"/>
      <c r="J145" s="454"/>
      <c r="K145" s="454"/>
      <c r="L145" s="454"/>
      <c r="M145" s="454"/>
      <c r="N145" s="454"/>
      <c r="O145" s="454"/>
      <c r="P145" s="454"/>
      <c r="Q145" s="454"/>
      <c r="R145" s="454"/>
      <c r="S145" s="454"/>
      <c r="T145" s="454"/>
      <c r="U145" s="454"/>
      <c r="V145" s="454"/>
      <c r="W145" s="454"/>
      <c r="X145" s="454"/>
      <c r="Y145" s="454">
        <f t="shared" si="1"/>
        <v>0</v>
      </c>
      <c r="Z145" s="455"/>
      <c r="AA145" s="456"/>
      <c r="AB145" s="457"/>
      <c r="AC145" s="458"/>
      <c r="AD145" s="455"/>
      <c r="AE145" s="459"/>
      <c r="AF145" s="460"/>
      <c r="AG145" s="458"/>
      <c r="AH145" s="455"/>
      <c r="AI145" s="456"/>
      <c r="AJ145" s="460"/>
      <c r="AK145" s="458"/>
      <c r="AL145" s="455"/>
      <c r="AM145" s="456"/>
      <c r="AN145" s="460"/>
      <c r="AO145" s="458"/>
      <c r="AP145" s="455"/>
      <c r="AQ145" s="456"/>
      <c r="AR145" s="460"/>
      <c r="AS145" s="458"/>
      <c r="AT145" s="154">
        <f t="shared" si="0"/>
        <v>0</v>
      </c>
      <c r="AU145" s="461">
        <f t="shared" si="3"/>
        <v>0</v>
      </c>
    </row>
    <row r="146" spans="2:47" s="148" customFormat="1" x14ac:dyDescent="0.25">
      <c r="B146" s="149">
        <v>131</v>
      </c>
      <c r="C146" s="149"/>
      <c r="D146" s="450"/>
      <c r="E146" s="451"/>
      <c r="F146" s="451"/>
      <c r="G146" s="452"/>
      <c r="H146" s="463"/>
      <c r="I146" s="453"/>
      <c r="J146" s="454"/>
      <c r="K146" s="454"/>
      <c r="L146" s="454"/>
      <c r="M146" s="454"/>
      <c r="N146" s="454"/>
      <c r="O146" s="454"/>
      <c r="P146" s="454"/>
      <c r="Q146" s="454"/>
      <c r="R146" s="454"/>
      <c r="S146" s="454"/>
      <c r="T146" s="454"/>
      <c r="U146" s="454"/>
      <c r="V146" s="454"/>
      <c r="W146" s="454"/>
      <c r="X146" s="454"/>
      <c r="Y146" s="454">
        <f t="shared" si="1"/>
        <v>0</v>
      </c>
      <c r="Z146" s="455"/>
      <c r="AA146" s="456"/>
      <c r="AB146" s="457"/>
      <c r="AC146" s="458"/>
      <c r="AD146" s="455"/>
      <c r="AE146" s="459"/>
      <c r="AF146" s="460"/>
      <c r="AG146" s="458"/>
      <c r="AH146" s="455"/>
      <c r="AI146" s="456"/>
      <c r="AJ146" s="460"/>
      <c r="AK146" s="458"/>
      <c r="AL146" s="455"/>
      <c r="AM146" s="456"/>
      <c r="AN146" s="460"/>
      <c r="AO146" s="458"/>
      <c r="AP146" s="455"/>
      <c r="AQ146" s="456"/>
      <c r="AR146" s="460"/>
      <c r="AS146" s="458"/>
      <c r="AT146" s="154">
        <f t="shared" si="0"/>
        <v>0</v>
      </c>
      <c r="AU146" s="461">
        <f t="shared" si="3"/>
        <v>0</v>
      </c>
    </row>
    <row r="147" spans="2:47" s="148" customFormat="1" x14ac:dyDescent="0.25">
      <c r="B147" s="149">
        <v>132</v>
      </c>
      <c r="C147" s="149"/>
      <c r="D147" s="16"/>
      <c r="E147" s="150"/>
      <c r="F147" s="150"/>
      <c r="G147" s="151"/>
      <c r="H147" s="158"/>
      <c r="I147" s="159"/>
      <c r="J147" s="454"/>
      <c r="K147" s="125"/>
      <c r="L147" s="125"/>
      <c r="M147" s="125"/>
      <c r="N147" s="125"/>
      <c r="O147" s="125"/>
      <c r="P147" s="125"/>
      <c r="Q147" s="125"/>
      <c r="R147" s="125"/>
      <c r="S147" s="125"/>
      <c r="T147" s="125"/>
      <c r="U147" s="125"/>
      <c r="V147" s="125"/>
      <c r="W147" s="125"/>
      <c r="X147" s="125"/>
      <c r="Y147" s="125">
        <f t="shared" ref="Y147" si="4">SUM(M147:X147)</f>
        <v>0</v>
      </c>
      <c r="Z147" s="152"/>
      <c r="AA147" s="126"/>
      <c r="AB147" s="127"/>
      <c r="AC147" s="128"/>
      <c r="AD147" s="152"/>
      <c r="AE147" s="129"/>
      <c r="AF147" s="153"/>
      <c r="AG147" s="128"/>
      <c r="AH147" s="152"/>
      <c r="AI147" s="126"/>
      <c r="AJ147" s="153"/>
      <c r="AK147" s="128"/>
      <c r="AL147" s="152"/>
      <c r="AM147" s="126"/>
      <c r="AN147" s="153"/>
      <c r="AO147" s="128"/>
      <c r="AP147" s="152"/>
      <c r="AQ147" s="126"/>
      <c r="AR147" s="153"/>
      <c r="AS147" s="128"/>
      <c r="AT147" s="154">
        <f t="shared" si="0"/>
        <v>0</v>
      </c>
      <c r="AU147" s="155">
        <f t="shared" si="3"/>
        <v>0</v>
      </c>
    </row>
    <row r="148" spans="2:47" ht="15" customHeight="1" x14ac:dyDescent="0.25">
      <c r="B148" s="787" t="s">
        <v>39</v>
      </c>
      <c r="C148" s="788"/>
      <c r="D148" s="788"/>
      <c r="E148" s="788"/>
      <c r="F148" s="788"/>
      <c r="G148" s="788"/>
      <c r="H148" s="788"/>
      <c r="I148" s="789"/>
      <c r="J148" s="225">
        <f>SUBTOTAL(9,J16:J145)</f>
        <v>156177904</v>
      </c>
      <c r="K148" s="225">
        <f>SUBTOTAL(9,K16:K145)</f>
        <v>45079444</v>
      </c>
      <c r="L148" s="225">
        <f t="shared" ref="L148:AS148" si="5">SUBTOTAL(9,L16:L145)</f>
        <v>40486271</v>
      </c>
      <c r="M148" s="225">
        <f t="shared" si="5"/>
        <v>646806</v>
      </c>
      <c r="N148" s="225">
        <f t="shared" si="5"/>
        <v>1105875</v>
      </c>
      <c r="O148" s="225">
        <f t="shared" si="5"/>
        <v>2105181</v>
      </c>
      <c r="P148" s="225">
        <f t="shared" si="5"/>
        <v>2271935</v>
      </c>
      <c r="Q148" s="225">
        <f t="shared" si="5"/>
        <v>2452591</v>
      </c>
      <c r="R148" s="225">
        <f t="shared" si="5"/>
        <v>3626297</v>
      </c>
      <c r="S148" s="225">
        <f t="shared" si="5"/>
        <v>0</v>
      </c>
      <c r="T148" s="225">
        <f t="shared" si="5"/>
        <v>0</v>
      </c>
      <c r="U148" s="225">
        <f t="shared" si="5"/>
        <v>0</v>
      </c>
      <c r="V148" s="225">
        <f t="shared" si="5"/>
        <v>0</v>
      </c>
      <c r="W148" s="225">
        <f t="shared" si="5"/>
        <v>0</v>
      </c>
      <c r="X148" s="225">
        <f t="shared" si="5"/>
        <v>0</v>
      </c>
      <c r="Y148" s="225">
        <f t="shared" si="5"/>
        <v>12208685</v>
      </c>
      <c r="Z148" s="225">
        <f>SUBTOTAL(9,Z16:Z144)</f>
        <v>22067179</v>
      </c>
      <c r="AA148" s="225"/>
      <c r="AB148" s="225"/>
      <c r="AC148" s="225"/>
      <c r="AD148" s="225">
        <f>SUBTOTAL(9,AD16:AD144)</f>
        <v>5495547</v>
      </c>
      <c r="AE148" s="225"/>
      <c r="AF148" s="225"/>
      <c r="AG148" s="225"/>
      <c r="AH148" s="225">
        <f>SUBTOTAL(9,AH16:AH144)</f>
        <v>1738148</v>
      </c>
      <c r="AI148" s="225"/>
      <c r="AJ148" s="225"/>
      <c r="AK148" s="225"/>
      <c r="AL148" s="225">
        <f>SUBTOTAL(9,AL16:AL144)</f>
        <v>68019</v>
      </c>
      <c r="AM148" s="225"/>
      <c r="AN148" s="225"/>
      <c r="AO148" s="225"/>
      <c r="AP148" s="225">
        <f>SUBTOTAL(9,AP16:AP145)</f>
        <v>0</v>
      </c>
      <c r="AQ148" s="225">
        <f>SUBTOTAL(9,AQ16:AQ145)</f>
        <v>0</v>
      </c>
      <c r="AR148" s="225">
        <f t="shared" si="5"/>
        <v>0</v>
      </c>
      <c r="AS148" s="225">
        <f t="shared" si="5"/>
        <v>0</v>
      </c>
      <c r="AT148" s="225">
        <f>SUBTOTAL(9,AT16:AT144)</f>
        <v>29368893</v>
      </c>
      <c r="AU148" s="225">
        <f>SUBTOTAL(9,AU16:AU144)</f>
        <v>17160208</v>
      </c>
    </row>
  </sheetData>
  <mergeCells count="14">
    <mergeCell ref="B8:AC8"/>
    <mergeCell ref="B1:AC2"/>
    <mergeCell ref="B3:AC4"/>
    <mergeCell ref="B5:AC5"/>
    <mergeCell ref="B6:AC6"/>
    <mergeCell ref="B7:AC7"/>
    <mergeCell ref="AT14:AU14"/>
    <mergeCell ref="B148:I148"/>
    <mergeCell ref="B9:AC10"/>
    <mergeCell ref="Z14:AC14"/>
    <mergeCell ref="AD14:AG14"/>
    <mergeCell ref="AH14:AK14"/>
    <mergeCell ref="AL14:AO14"/>
    <mergeCell ref="AP14:AS14"/>
  </mergeCells>
  <conditionalFormatting sqref="D16:D37">
    <cfRule type="duplicateValues" dxfId="12" priority="1"/>
  </conditionalFormatting>
  <conditionalFormatting sqref="D16:D37">
    <cfRule type="duplicateValues" dxfId="11" priority="2"/>
  </conditionalFormatting>
  <conditionalFormatting sqref="D147">
    <cfRule type="duplicateValues" dxfId="10" priority="3"/>
  </conditionalFormatting>
  <conditionalFormatting sqref="D38:D146">
    <cfRule type="duplicateValues" dxfId="9" priority="4"/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L611"/>
  <sheetViews>
    <sheetView topLeftCell="N16" workbookViewId="0">
      <selection activeCell="AA21" sqref="AA21"/>
    </sheetView>
  </sheetViews>
  <sheetFormatPr baseColWidth="10" defaultRowHeight="15" x14ac:dyDescent="0.25"/>
  <cols>
    <col min="1" max="1" width="3.42578125" style="210" customWidth="1"/>
    <col min="5" max="5" width="39.140625" customWidth="1"/>
    <col min="10" max="10" width="15" customWidth="1"/>
    <col min="11" max="12" width="13.140625" customWidth="1"/>
    <col min="15" max="15" width="14.140625" customWidth="1"/>
    <col min="18" max="18" width="12.42578125" customWidth="1"/>
    <col min="23" max="23" width="12.7109375" bestFit="1" customWidth="1"/>
    <col min="25" max="25" width="13.140625" customWidth="1"/>
    <col min="26" max="26" width="14.140625" customWidth="1"/>
    <col min="28" max="28" width="19.28515625" customWidth="1"/>
    <col min="29" max="29" width="13.140625" bestFit="1" customWidth="1"/>
    <col min="30" max="30" width="15" customWidth="1"/>
    <col min="34" max="34" width="13.28515625" customWidth="1"/>
    <col min="38" max="38" width="14.28515625" customWidth="1"/>
    <col min="46" max="46" width="15.42578125" customWidth="1"/>
    <col min="47" max="47" width="16" customWidth="1"/>
    <col min="48" max="246" width="11.42578125" style="210"/>
  </cols>
  <sheetData>
    <row r="1" spans="1:47" s="210" customFormat="1" x14ac:dyDescent="0.25">
      <c r="B1" s="751" t="s">
        <v>0</v>
      </c>
      <c r="C1" s="751"/>
      <c r="D1" s="751"/>
      <c r="E1" s="751"/>
      <c r="F1" s="751"/>
      <c r="G1" s="751"/>
      <c r="H1" s="751"/>
      <c r="I1" s="751"/>
      <c r="J1" s="751"/>
      <c r="K1" s="751"/>
      <c r="L1" s="751"/>
      <c r="M1" s="751"/>
      <c r="N1" s="751"/>
      <c r="O1" s="751"/>
      <c r="P1" s="751"/>
      <c r="Q1" s="751"/>
      <c r="R1" s="751"/>
      <c r="S1" s="751"/>
      <c r="T1" s="751"/>
      <c r="U1" s="751"/>
      <c r="V1" s="751"/>
      <c r="W1" s="751"/>
      <c r="X1" s="751"/>
      <c r="Y1" s="751"/>
      <c r="Z1" s="751"/>
      <c r="AA1" s="751"/>
      <c r="AB1" s="751"/>
      <c r="AC1" s="751"/>
      <c r="AD1" s="137"/>
      <c r="AE1" s="136"/>
      <c r="AF1" s="137"/>
      <c r="AG1" s="137"/>
      <c r="AH1" s="137"/>
      <c r="AI1" s="138"/>
      <c r="AJ1" s="137"/>
      <c r="AK1" s="137"/>
      <c r="AL1" s="137"/>
      <c r="AM1" s="138"/>
      <c r="AN1" s="137"/>
      <c r="AO1" s="137"/>
      <c r="AP1" s="137"/>
      <c r="AQ1" s="138"/>
      <c r="AR1" s="137"/>
      <c r="AS1" s="137"/>
    </row>
    <row r="2" spans="1:47" s="210" customFormat="1" x14ac:dyDescent="0.25">
      <c r="B2" s="751"/>
      <c r="C2" s="751"/>
      <c r="D2" s="751"/>
      <c r="E2" s="751"/>
      <c r="F2" s="751"/>
      <c r="G2" s="751"/>
      <c r="H2" s="751"/>
      <c r="I2" s="751"/>
      <c r="J2" s="751"/>
      <c r="K2" s="751"/>
      <c r="L2" s="751"/>
      <c r="M2" s="751"/>
      <c r="N2" s="751"/>
      <c r="O2" s="751"/>
      <c r="P2" s="751"/>
      <c r="Q2" s="751"/>
      <c r="R2" s="751"/>
      <c r="S2" s="751"/>
      <c r="T2" s="751"/>
      <c r="U2" s="751"/>
      <c r="V2" s="751"/>
      <c r="W2" s="751"/>
      <c r="X2" s="751"/>
      <c r="Y2" s="751"/>
      <c r="Z2" s="751"/>
      <c r="AA2" s="751"/>
      <c r="AB2" s="751"/>
      <c r="AC2" s="751"/>
    </row>
    <row r="3" spans="1:47" s="210" customFormat="1" ht="18.75" x14ac:dyDescent="0.25"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142"/>
      <c r="AB3" s="142"/>
      <c r="AC3" s="142"/>
    </row>
    <row r="4" spans="1:47" ht="22.5" x14ac:dyDescent="0.25">
      <c r="B4" s="8" t="s">
        <v>1</v>
      </c>
      <c r="C4" s="8" t="s">
        <v>2</v>
      </c>
      <c r="D4" s="9" t="s">
        <v>3</v>
      </c>
      <c r="E4" s="10" t="s">
        <v>4</v>
      </c>
      <c r="F4" s="119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</row>
    <row r="5" spans="1:47" ht="18.75" x14ac:dyDescent="0.25">
      <c r="B5" s="11">
        <v>30792063</v>
      </c>
      <c r="C5" s="11">
        <v>24500968</v>
      </c>
      <c r="D5" s="11">
        <v>24500968</v>
      </c>
      <c r="E5" s="11">
        <v>4445688.9910000004</v>
      </c>
      <c r="F5" s="144"/>
      <c r="G5" s="142"/>
      <c r="H5" s="142"/>
      <c r="I5" s="142"/>
      <c r="J5" s="142"/>
      <c r="K5" s="142"/>
      <c r="L5" s="142"/>
      <c r="M5" s="142"/>
      <c r="N5" s="142"/>
      <c r="O5" s="142"/>
      <c r="P5" s="142"/>
      <c r="Q5" s="142"/>
      <c r="R5" s="142"/>
      <c r="S5" s="142"/>
      <c r="T5" s="142"/>
      <c r="U5" s="142"/>
      <c r="V5" s="142"/>
      <c r="W5" s="142"/>
      <c r="X5" s="142"/>
      <c r="Y5" s="142"/>
      <c r="Z5" s="142"/>
      <c r="AA5" s="142"/>
      <c r="AB5" s="142"/>
      <c r="AC5" s="142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</row>
    <row r="6" spans="1:47" x14ac:dyDescent="0.25">
      <c r="C6" s="13"/>
      <c r="D6" s="14"/>
      <c r="E6" s="13"/>
      <c r="F6" s="146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10"/>
      <c r="R6" s="210"/>
      <c r="S6" s="210"/>
      <c r="T6" s="210"/>
      <c r="U6" s="210"/>
      <c r="V6" s="210"/>
      <c r="W6" s="210"/>
      <c r="X6" s="210"/>
      <c r="Y6" s="210"/>
      <c r="Z6" s="736" t="s">
        <v>5</v>
      </c>
      <c r="AA6" s="737"/>
      <c r="AB6" s="737"/>
      <c r="AC6" s="738"/>
      <c r="AD6" s="739" t="s">
        <v>6</v>
      </c>
      <c r="AE6" s="740"/>
      <c r="AF6" s="740"/>
      <c r="AG6" s="741"/>
      <c r="AH6" s="739" t="s">
        <v>6</v>
      </c>
      <c r="AI6" s="740"/>
      <c r="AJ6" s="740"/>
      <c r="AK6" s="741"/>
      <c r="AL6" s="739" t="s">
        <v>6</v>
      </c>
      <c r="AM6" s="740"/>
      <c r="AN6" s="740"/>
      <c r="AO6" s="741"/>
      <c r="AP6" s="739" t="s">
        <v>6</v>
      </c>
      <c r="AQ6" s="740"/>
      <c r="AR6" s="740"/>
      <c r="AS6" s="741"/>
      <c r="AT6" s="723" t="s">
        <v>7</v>
      </c>
      <c r="AU6" s="723"/>
    </row>
    <row r="7" spans="1:47" ht="60" x14ac:dyDescent="0.25">
      <c r="B7" s="81" t="s">
        <v>8</v>
      </c>
      <c r="C7" s="81" t="s">
        <v>9</v>
      </c>
      <c r="D7" s="81" t="s">
        <v>10</v>
      </c>
      <c r="E7" s="83" t="s">
        <v>11</v>
      </c>
      <c r="F7" s="83" t="s">
        <v>12</v>
      </c>
      <c r="G7" s="83" t="s">
        <v>13</v>
      </c>
      <c r="H7" s="83" t="s">
        <v>14</v>
      </c>
      <c r="I7" s="83" t="s">
        <v>122</v>
      </c>
      <c r="J7" s="83" t="s">
        <v>15</v>
      </c>
      <c r="K7" s="83" t="s">
        <v>16</v>
      </c>
      <c r="L7" s="83" t="s">
        <v>17</v>
      </c>
      <c r="M7" s="121" t="s">
        <v>18</v>
      </c>
      <c r="N7" s="121" t="s">
        <v>19</v>
      </c>
      <c r="O7" s="121" t="s">
        <v>20</v>
      </c>
      <c r="P7" s="121" t="s">
        <v>21</v>
      </c>
      <c r="Q7" s="121" t="s">
        <v>22</v>
      </c>
      <c r="R7" s="166" t="s">
        <v>23</v>
      </c>
      <c r="S7" s="166" t="s">
        <v>24</v>
      </c>
      <c r="T7" s="166" t="s">
        <v>25</v>
      </c>
      <c r="U7" s="166" t="s">
        <v>26</v>
      </c>
      <c r="V7" s="166" t="s">
        <v>27</v>
      </c>
      <c r="W7" s="166" t="s">
        <v>28</v>
      </c>
      <c r="X7" s="166" t="s">
        <v>29</v>
      </c>
      <c r="Y7" s="123" t="s">
        <v>30</v>
      </c>
      <c r="Z7" s="85" t="s">
        <v>31</v>
      </c>
      <c r="AA7" s="86" t="s">
        <v>32</v>
      </c>
      <c r="AB7" s="85" t="s">
        <v>33</v>
      </c>
      <c r="AC7" s="85" t="s">
        <v>34</v>
      </c>
      <c r="AD7" s="87" t="s">
        <v>35</v>
      </c>
      <c r="AE7" s="88" t="s">
        <v>32</v>
      </c>
      <c r="AF7" s="87" t="s">
        <v>33</v>
      </c>
      <c r="AG7" s="87" t="s">
        <v>34</v>
      </c>
      <c r="AH7" s="87" t="s">
        <v>35</v>
      </c>
      <c r="AI7" s="88" t="s">
        <v>32</v>
      </c>
      <c r="AJ7" s="87" t="s">
        <v>33</v>
      </c>
      <c r="AK7" s="87" t="s">
        <v>34</v>
      </c>
      <c r="AL7" s="87" t="s">
        <v>35</v>
      </c>
      <c r="AM7" s="88" t="s">
        <v>32</v>
      </c>
      <c r="AN7" s="87" t="s">
        <v>33</v>
      </c>
      <c r="AO7" s="87" t="s">
        <v>34</v>
      </c>
      <c r="AP7" s="87" t="s">
        <v>35</v>
      </c>
      <c r="AQ7" s="88" t="s">
        <v>32</v>
      </c>
      <c r="AR7" s="87" t="s">
        <v>33</v>
      </c>
      <c r="AS7" s="87" t="s">
        <v>34</v>
      </c>
      <c r="AT7" s="89" t="s">
        <v>36</v>
      </c>
      <c r="AU7" s="89" t="s">
        <v>37</v>
      </c>
    </row>
    <row r="8" spans="1:47" s="210" customFormat="1" ht="22.5" x14ac:dyDescent="0.25">
      <c r="B8" s="149">
        <v>1</v>
      </c>
      <c r="C8" s="149" t="s">
        <v>38</v>
      </c>
      <c r="D8" s="450">
        <v>30003322</v>
      </c>
      <c r="E8" s="616" t="s">
        <v>2614</v>
      </c>
      <c r="F8" s="486" t="s">
        <v>2615</v>
      </c>
      <c r="G8" s="452" t="s">
        <v>2616</v>
      </c>
      <c r="H8" s="460" t="s">
        <v>2617</v>
      </c>
      <c r="I8" s="617" t="s">
        <v>42</v>
      </c>
      <c r="J8" s="618">
        <v>5743398</v>
      </c>
      <c r="K8" s="618">
        <v>2414298</v>
      </c>
      <c r="L8" s="618">
        <v>3329099</v>
      </c>
      <c r="M8" s="619">
        <v>0</v>
      </c>
      <c r="N8" s="619">
        <v>0</v>
      </c>
      <c r="O8" s="619">
        <v>0</v>
      </c>
      <c r="P8" s="619">
        <v>0</v>
      </c>
      <c r="Q8" s="619">
        <v>0</v>
      </c>
      <c r="R8" s="619">
        <v>0</v>
      </c>
      <c r="S8" s="619"/>
      <c r="T8" s="619"/>
      <c r="U8" s="619"/>
      <c r="V8" s="619"/>
      <c r="W8" s="619"/>
      <c r="X8" s="619"/>
      <c r="Y8" s="619">
        <f>SUM(M8:X8)</f>
        <v>0</v>
      </c>
      <c r="Z8" s="455">
        <v>1</v>
      </c>
      <c r="AA8" s="456">
        <v>11</v>
      </c>
      <c r="AB8" s="457">
        <v>44245</v>
      </c>
      <c r="AC8" s="457">
        <v>44258</v>
      </c>
      <c r="AD8" s="454"/>
      <c r="AE8" s="459"/>
      <c r="AF8" s="457"/>
      <c r="AG8" s="458"/>
      <c r="AH8" s="454"/>
      <c r="AI8" s="456"/>
      <c r="AJ8" s="460"/>
      <c r="AK8" s="458"/>
      <c r="AL8" s="454"/>
      <c r="AM8" s="456"/>
      <c r="AN8" s="460"/>
      <c r="AO8" s="458"/>
      <c r="AP8" s="454"/>
      <c r="AQ8" s="456"/>
      <c r="AR8" s="460"/>
      <c r="AS8" s="458"/>
      <c r="AT8" s="154">
        <f>+Z8+AD8+AH8+AL8+AP8</f>
        <v>1</v>
      </c>
      <c r="AU8" s="461">
        <f>+AT8-Y8</f>
        <v>1</v>
      </c>
    </row>
    <row r="9" spans="1:47" s="210" customFormat="1" ht="22.5" x14ac:dyDescent="0.25">
      <c r="A9" s="148"/>
      <c r="B9" s="149">
        <v>2</v>
      </c>
      <c r="C9" s="149" t="s">
        <v>38</v>
      </c>
      <c r="D9" s="450">
        <v>30079146</v>
      </c>
      <c r="E9" s="473" t="s">
        <v>2618</v>
      </c>
      <c r="F9" s="486" t="s">
        <v>2615</v>
      </c>
      <c r="G9" s="452" t="s">
        <v>2616</v>
      </c>
      <c r="H9" s="460" t="s">
        <v>2617</v>
      </c>
      <c r="I9" s="617" t="s">
        <v>42</v>
      </c>
      <c r="J9" s="618">
        <v>7566188</v>
      </c>
      <c r="K9" s="618">
        <v>6808972</v>
      </c>
      <c r="L9" s="618">
        <v>0</v>
      </c>
      <c r="M9" s="619">
        <v>0</v>
      </c>
      <c r="N9" s="619">
        <v>0</v>
      </c>
      <c r="O9" s="619">
        <v>2578.73</v>
      </c>
      <c r="P9" s="619">
        <v>37532</v>
      </c>
      <c r="Q9" s="619">
        <v>20658</v>
      </c>
      <c r="R9" s="619">
        <v>0</v>
      </c>
      <c r="S9" s="619"/>
      <c r="T9" s="619"/>
      <c r="U9" s="619"/>
      <c r="V9" s="619"/>
      <c r="W9" s="619"/>
      <c r="X9" s="619"/>
      <c r="Y9" s="619">
        <f t="shared" ref="Y9:Y71" si="0">SUM(M9:X9)</f>
        <v>60768.73</v>
      </c>
      <c r="Z9" s="455">
        <v>221392</v>
      </c>
      <c r="AA9" s="456">
        <v>12</v>
      </c>
      <c r="AB9" s="457">
        <v>44245</v>
      </c>
      <c r="AC9" s="457">
        <v>44266</v>
      </c>
      <c r="AD9" s="454">
        <v>-150116</v>
      </c>
      <c r="AE9" s="459">
        <v>25</v>
      </c>
      <c r="AF9" s="457">
        <v>44328</v>
      </c>
      <c r="AG9" s="458">
        <v>44342</v>
      </c>
      <c r="AH9" s="454"/>
      <c r="AI9" s="456"/>
      <c r="AJ9" s="460"/>
      <c r="AK9" s="458"/>
      <c r="AL9" s="454"/>
      <c r="AM9" s="456"/>
      <c r="AN9" s="460"/>
      <c r="AO9" s="458"/>
      <c r="AP9" s="454"/>
      <c r="AQ9" s="456"/>
      <c r="AR9" s="460"/>
      <c r="AS9" s="458"/>
      <c r="AT9" s="154">
        <f t="shared" ref="AT9:AT71" si="1">+Z9+AD9+AH9+AL9+AP9</f>
        <v>71276</v>
      </c>
      <c r="AU9" s="461">
        <f t="shared" ref="AU9:AU71" si="2">+AT9-Y9</f>
        <v>10507.269999999997</v>
      </c>
    </row>
    <row r="10" spans="1:47" s="210" customFormat="1" ht="22.5" x14ac:dyDescent="0.25">
      <c r="A10" s="148"/>
      <c r="B10" s="149">
        <v>3</v>
      </c>
      <c r="C10" s="149" t="s">
        <v>38</v>
      </c>
      <c r="D10" s="450">
        <v>30080082</v>
      </c>
      <c r="E10" s="473" t="s">
        <v>2619</v>
      </c>
      <c r="F10" s="486" t="s">
        <v>204</v>
      </c>
      <c r="G10" s="452" t="s">
        <v>2616</v>
      </c>
      <c r="H10" s="460" t="s">
        <v>2617</v>
      </c>
      <c r="I10" s="617" t="s">
        <v>42</v>
      </c>
      <c r="J10" s="618">
        <v>264481</v>
      </c>
      <c r="K10" s="618">
        <v>223376</v>
      </c>
      <c r="L10" s="618">
        <v>0</v>
      </c>
      <c r="M10" s="619">
        <v>0</v>
      </c>
      <c r="N10" s="619">
        <v>0</v>
      </c>
      <c r="O10" s="619">
        <v>0</v>
      </c>
      <c r="P10" s="619">
        <v>0</v>
      </c>
      <c r="Q10" s="619">
        <v>0</v>
      </c>
      <c r="R10" s="619">
        <v>0</v>
      </c>
      <c r="S10" s="619"/>
      <c r="T10" s="619"/>
      <c r="U10" s="619"/>
      <c r="V10" s="619"/>
      <c r="W10" s="619"/>
      <c r="X10" s="619"/>
      <c r="Y10" s="619">
        <f t="shared" si="0"/>
        <v>0</v>
      </c>
      <c r="Z10" s="455">
        <v>30131</v>
      </c>
      <c r="AA10" s="456">
        <v>12</v>
      </c>
      <c r="AB10" s="457">
        <v>44245</v>
      </c>
      <c r="AC10" s="457">
        <v>44266</v>
      </c>
      <c r="AD10" s="620"/>
      <c r="AE10" s="459"/>
      <c r="AF10" s="457"/>
      <c r="AG10" s="458"/>
      <c r="AH10" s="620"/>
      <c r="AI10" s="456"/>
      <c r="AJ10" s="457"/>
      <c r="AK10" s="458"/>
      <c r="AL10" s="620"/>
      <c r="AM10" s="456"/>
      <c r="AN10" s="457"/>
      <c r="AO10" s="458"/>
      <c r="AP10" s="620"/>
      <c r="AQ10" s="456"/>
      <c r="AR10" s="457"/>
      <c r="AS10" s="458"/>
      <c r="AT10" s="154">
        <f t="shared" si="1"/>
        <v>30131</v>
      </c>
      <c r="AU10" s="461">
        <f t="shared" si="2"/>
        <v>30131</v>
      </c>
    </row>
    <row r="11" spans="1:47" s="686" customFormat="1" ht="22.5" x14ac:dyDescent="0.25">
      <c r="A11" s="195"/>
      <c r="B11" s="186">
        <v>4</v>
      </c>
      <c r="C11" s="186" t="s">
        <v>38</v>
      </c>
      <c r="D11" s="450">
        <v>30080169</v>
      </c>
      <c r="E11" s="473" t="s">
        <v>2620</v>
      </c>
      <c r="F11" s="486" t="s">
        <v>2615</v>
      </c>
      <c r="G11" s="473" t="s">
        <v>2616</v>
      </c>
      <c r="H11" s="486" t="s">
        <v>2617</v>
      </c>
      <c r="I11" s="617" t="s">
        <v>42</v>
      </c>
      <c r="J11" s="618">
        <v>2453067</v>
      </c>
      <c r="K11" s="618">
        <v>1760909</v>
      </c>
      <c r="L11" s="618">
        <v>0</v>
      </c>
      <c r="M11" s="619">
        <v>0</v>
      </c>
      <c r="N11" s="619">
        <v>9999.7559999999994</v>
      </c>
      <c r="O11" s="619">
        <v>49284.885000000002</v>
      </c>
      <c r="P11" s="619">
        <v>0</v>
      </c>
      <c r="Q11" s="619">
        <v>0</v>
      </c>
      <c r="R11" s="619">
        <v>0</v>
      </c>
      <c r="S11" s="619"/>
      <c r="T11" s="619"/>
      <c r="U11" s="619"/>
      <c r="V11" s="619"/>
      <c r="W11" s="619"/>
      <c r="X11" s="619"/>
      <c r="Y11" s="619">
        <f t="shared" si="0"/>
        <v>59284.641000000003</v>
      </c>
      <c r="Z11" s="455">
        <v>307029</v>
      </c>
      <c r="AA11" s="682">
        <v>11</v>
      </c>
      <c r="AB11" s="683">
        <v>44245</v>
      </c>
      <c r="AC11" s="683">
        <v>44258</v>
      </c>
      <c r="AD11" s="125">
        <v>200000</v>
      </c>
      <c r="AE11" s="687">
        <v>19</v>
      </c>
      <c r="AF11" s="688">
        <v>44267</v>
      </c>
      <c r="AG11" s="689">
        <v>44287</v>
      </c>
      <c r="AH11" s="454"/>
      <c r="AI11" s="682"/>
      <c r="AJ11" s="683"/>
      <c r="AK11" s="684"/>
      <c r="AL11" s="454"/>
      <c r="AM11" s="682"/>
      <c r="AN11" s="683"/>
      <c r="AO11" s="684"/>
      <c r="AP11" s="454"/>
      <c r="AQ11" s="682"/>
      <c r="AR11" s="683"/>
      <c r="AS11" s="684"/>
      <c r="AT11" s="685">
        <f t="shared" si="1"/>
        <v>507029</v>
      </c>
      <c r="AU11" s="461">
        <f t="shared" si="2"/>
        <v>447744.359</v>
      </c>
    </row>
    <row r="12" spans="1:47" s="210" customFormat="1" ht="22.5" x14ac:dyDescent="0.25">
      <c r="A12" s="148"/>
      <c r="B12" s="149">
        <v>5</v>
      </c>
      <c r="C12" s="149" t="s">
        <v>38</v>
      </c>
      <c r="D12" s="450">
        <v>30118733</v>
      </c>
      <c r="E12" s="473" t="s">
        <v>2621</v>
      </c>
      <c r="F12" s="486" t="s">
        <v>2615</v>
      </c>
      <c r="G12" s="452" t="s">
        <v>2616</v>
      </c>
      <c r="H12" s="460" t="s">
        <v>2617</v>
      </c>
      <c r="I12" s="617" t="s">
        <v>42</v>
      </c>
      <c r="J12" s="618">
        <v>6349137</v>
      </c>
      <c r="K12" s="618">
        <v>5969452</v>
      </c>
      <c r="L12" s="618">
        <v>0</v>
      </c>
      <c r="M12" s="619">
        <v>0</v>
      </c>
      <c r="N12" s="619">
        <v>0</v>
      </c>
      <c r="O12" s="619">
        <v>305.77800000000002</v>
      </c>
      <c r="P12" s="619">
        <v>2851</v>
      </c>
      <c r="Q12" s="619">
        <v>0</v>
      </c>
      <c r="R12" s="619">
        <v>0</v>
      </c>
      <c r="S12" s="619"/>
      <c r="T12" s="619"/>
      <c r="U12" s="619"/>
      <c r="V12" s="619"/>
      <c r="W12" s="619"/>
      <c r="X12" s="619"/>
      <c r="Y12" s="619">
        <f>SUM(M12:X12)</f>
        <v>3156.7780000000002</v>
      </c>
      <c r="Z12" s="455">
        <v>334307</v>
      </c>
      <c r="AA12" s="456">
        <v>11</v>
      </c>
      <c r="AB12" s="457">
        <v>44245</v>
      </c>
      <c r="AC12" s="457">
        <v>44258</v>
      </c>
      <c r="AD12" s="454"/>
      <c r="AE12" s="459"/>
      <c r="AF12" s="457"/>
      <c r="AG12" s="458"/>
      <c r="AH12" s="454"/>
      <c r="AI12" s="456"/>
      <c r="AJ12" s="457"/>
      <c r="AK12" s="458"/>
      <c r="AL12" s="454"/>
      <c r="AM12" s="456"/>
      <c r="AN12" s="457"/>
      <c r="AO12" s="458"/>
      <c r="AP12" s="454"/>
      <c r="AQ12" s="456"/>
      <c r="AR12" s="457"/>
      <c r="AS12" s="458"/>
      <c r="AT12" s="154">
        <f t="shared" si="1"/>
        <v>334307</v>
      </c>
      <c r="AU12" s="461">
        <f t="shared" si="2"/>
        <v>331150.22200000001</v>
      </c>
    </row>
    <row r="13" spans="1:47" s="210" customFormat="1" ht="22.5" x14ac:dyDescent="0.25">
      <c r="A13" s="148"/>
      <c r="B13" s="149">
        <v>6</v>
      </c>
      <c r="C13" s="149" t="s">
        <v>38</v>
      </c>
      <c r="D13" s="450">
        <v>30121373</v>
      </c>
      <c r="E13" s="473" t="s">
        <v>2622</v>
      </c>
      <c r="F13" s="486" t="s">
        <v>897</v>
      </c>
      <c r="G13" s="452" t="s">
        <v>2616</v>
      </c>
      <c r="H13" s="460" t="s">
        <v>2617</v>
      </c>
      <c r="I13" s="617" t="s">
        <v>43</v>
      </c>
      <c r="J13" s="618">
        <v>4207118</v>
      </c>
      <c r="K13" s="618">
        <v>1535</v>
      </c>
      <c r="L13" s="618">
        <v>384184</v>
      </c>
      <c r="M13" s="619">
        <v>0</v>
      </c>
      <c r="N13" s="619">
        <v>0</v>
      </c>
      <c r="O13" s="619">
        <v>0</v>
      </c>
      <c r="P13" s="619">
        <v>0</v>
      </c>
      <c r="Q13" s="619">
        <v>0</v>
      </c>
      <c r="R13" s="619">
        <v>0</v>
      </c>
      <c r="S13" s="619"/>
      <c r="T13" s="619"/>
      <c r="U13" s="619"/>
      <c r="V13" s="619"/>
      <c r="W13" s="619"/>
      <c r="X13" s="619"/>
      <c r="Y13" s="619">
        <f t="shared" si="0"/>
        <v>0</v>
      </c>
      <c r="Z13" s="455">
        <v>10001</v>
      </c>
      <c r="AA13" s="456">
        <v>8</v>
      </c>
      <c r="AB13" s="457">
        <v>44223</v>
      </c>
      <c r="AC13" s="457">
        <v>44237</v>
      </c>
      <c r="AD13" s="454">
        <v>403797</v>
      </c>
      <c r="AE13" s="459">
        <v>32</v>
      </c>
      <c r="AF13" s="457">
        <v>44362</v>
      </c>
      <c r="AG13" s="458">
        <v>44372</v>
      </c>
      <c r="AH13" s="454"/>
      <c r="AI13" s="456"/>
      <c r="AJ13" s="457"/>
      <c r="AK13" s="458"/>
      <c r="AL13" s="454"/>
      <c r="AM13" s="456"/>
      <c r="AN13" s="457"/>
      <c r="AO13" s="458"/>
      <c r="AP13" s="454"/>
      <c r="AQ13" s="456"/>
      <c r="AR13" s="457"/>
      <c r="AS13" s="458"/>
      <c r="AT13" s="154">
        <f t="shared" si="1"/>
        <v>413798</v>
      </c>
      <c r="AU13" s="461">
        <f t="shared" si="2"/>
        <v>413798</v>
      </c>
    </row>
    <row r="14" spans="1:47" s="210" customFormat="1" ht="22.5" x14ac:dyDescent="0.25">
      <c r="A14" s="148"/>
      <c r="B14" s="149">
        <v>7</v>
      </c>
      <c r="C14" s="149" t="s">
        <v>38</v>
      </c>
      <c r="D14" s="450">
        <v>30131113</v>
      </c>
      <c r="E14" s="473" t="s">
        <v>2623</v>
      </c>
      <c r="F14" s="486" t="s">
        <v>2615</v>
      </c>
      <c r="G14" s="452" t="s">
        <v>2616</v>
      </c>
      <c r="H14" s="460" t="s">
        <v>2617</v>
      </c>
      <c r="I14" s="617" t="s">
        <v>42</v>
      </c>
      <c r="J14" s="618">
        <v>369823</v>
      </c>
      <c r="K14" s="618">
        <v>346798</v>
      </c>
      <c r="L14" s="618">
        <v>0</v>
      </c>
      <c r="M14" s="619">
        <v>0</v>
      </c>
      <c r="N14" s="619">
        <v>0</v>
      </c>
      <c r="O14" s="619">
        <v>8500</v>
      </c>
      <c r="P14" s="619">
        <v>0</v>
      </c>
      <c r="Q14" s="619">
        <v>0</v>
      </c>
      <c r="R14" s="619">
        <v>0</v>
      </c>
      <c r="S14" s="619"/>
      <c r="T14" s="619"/>
      <c r="U14" s="619"/>
      <c r="V14" s="619"/>
      <c r="W14" s="619"/>
      <c r="X14" s="619"/>
      <c r="Y14" s="619">
        <f t="shared" si="0"/>
        <v>8500</v>
      </c>
      <c r="Z14" s="455">
        <v>9439</v>
      </c>
      <c r="AA14" s="456">
        <v>12</v>
      </c>
      <c r="AB14" s="457">
        <v>44245</v>
      </c>
      <c r="AC14" s="457">
        <v>44266</v>
      </c>
      <c r="AD14" s="454"/>
      <c r="AE14" s="459"/>
      <c r="AF14" s="460"/>
      <c r="AG14" s="458"/>
      <c r="AH14" s="454"/>
      <c r="AI14" s="456"/>
      <c r="AJ14" s="460"/>
      <c r="AK14" s="458"/>
      <c r="AL14" s="454"/>
      <c r="AM14" s="456"/>
      <c r="AN14" s="460"/>
      <c r="AO14" s="458"/>
      <c r="AP14" s="454"/>
      <c r="AQ14" s="456"/>
      <c r="AR14" s="460"/>
      <c r="AS14" s="458"/>
      <c r="AT14" s="154">
        <f t="shared" si="1"/>
        <v>9439</v>
      </c>
      <c r="AU14" s="461">
        <f t="shared" si="2"/>
        <v>939</v>
      </c>
    </row>
    <row r="15" spans="1:47" s="210" customFormat="1" ht="22.5" x14ac:dyDescent="0.25">
      <c r="A15" s="148"/>
      <c r="B15" s="149">
        <v>8</v>
      </c>
      <c r="C15" s="149" t="s">
        <v>38</v>
      </c>
      <c r="D15" s="450">
        <v>30134490</v>
      </c>
      <c r="E15" s="473" t="s">
        <v>2624</v>
      </c>
      <c r="F15" s="486" t="s">
        <v>897</v>
      </c>
      <c r="G15" s="452" t="s">
        <v>2616</v>
      </c>
      <c r="H15" s="460" t="s">
        <v>2617</v>
      </c>
      <c r="I15" s="617" t="s">
        <v>43</v>
      </c>
      <c r="J15" s="618">
        <v>882987</v>
      </c>
      <c r="K15" s="618">
        <v>2593</v>
      </c>
      <c r="L15" s="618">
        <v>2</v>
      </c>
      <c r="M15" s="619">
        <v>0</v>
      </c>
      <c r="N15" s="619">
        <v>0</v>
      </c>
      <c r="O15" s="619">
        <v>0</v>
      </c>
      <c r="P15" s="619">
        <v>0</v>
      </c>
      <c r="Q15" s="619">
        <v>0</v>
      </c>
      <c r="R15" s="619">
        <v>0</v>
      </c>
      <c r="S15" s="619"/>
      <c r="T15" s="619"/>
      <c r="U15" s="619"/>
      <c r="V15" s="619"/>
      <c r="W15" s="619"/>
      <c r="X15" s="619"/>
      <c r="Y15" s="619">
        <f t="shared" si="0"/>
        <v>0</v>
      </c>
      <c r="Z15" s="455">
        <v>817338</v>
      </c>
      <c r="AA15" s="456">
        <v>7</v>
      </c>
      <c r="AB15" s="457">
        <v>44223</v>
      </c>
      <c r="AC15" s="457">
        <v>44244</v>
      </c>
      <c r="AD15" s="454">
        <v>43685</v>
      </c>
      <c r="AE15" s="459">
        <v>17</v>
      </c>
      <c r="AF15" s="457">
        <v>44260</v>
      </c>
      <c r="AG15" s="457">
        <v>44272</v>
      </c>
      <c r="AH15" s="454">
        <v>-497597</v>
      </c>
      <c r="AI15" s="456">
        <v>25</v>
      </c>
      <c r="AJ15" s="457">
        <v>44328</v>
      </c>
      <c r="AK15" s="458">
        <v>44342</v>
      </c>
      <c r="AL15" s="454"/>
      <c r="AM15" s="456"/>
      <c r="AN15" s="460"/>
      <c r="AO15" s="458"/>
      <c r="AP15" s="454"/>
      <c r="AQ15" s="456"/>
      <c r="AR15" s="460"/>
      <c r="AS15" s="458"/>
      <c r="AT15" s="154">
        <f t="shared" si="1"/>
        <v>363426</v>
      </c>
      <c r="AU15" s="461">
        <f t="shared" si="2"/>
        <v>363426</v>
      </c>
    </row>
    <row r="16" spans="1:47" s="210" customFormat="1" ht="22.5" x14ac:dyDescent="0.25">
      <c r="A16" s="148"/>
      <c r="B16" s="149">
        <v>9</v>
      </c>
      <c r="C16" s="149" t="s">
        <v>38</v>
      </c>
      <c r="D16" s="450">
        <v>30135806</v>
      </c>
      <c r="E16" s="473" t="s">
        <v>2625</v>
      </c>
      <c r="F16" s="486" t="s">
        <v>897</v>
      </c>
      <c r="G16" s="452" t="s">
        <v>2616</v>
      </c>
      <c r="H16" s="460" t="s">
        <v>2617</v>
      </c>
      <c r="I16" s="617" t="s">
        <v>42</v>
      </c>
      <c r="J16" s="618">
        <v>152093</v>
      </c>
      <c r="K16" s="618">
        <v>3029</v>
      </c>
      <c r="L16" s="618">
        <v>0</v>
      </c>
      <c r="M16" s="619">
        <v>0</v>
      </c>
      <c r="N16" s="619">
        <v>0</v>
      </c>
      <c r="O16" s="619">
        <v>0</v>
      </c>
      <c r="P16" s="619">
        <v>11000</v>
      </c>
      <c r="Q16" s="619">
        <v>0</v>
      </c>
      <c r="R16" s="619">
        <v>22000</v>
      </c>
      <c r="S16" s="619"/>
      <c r="T16" s="619"/>
      <c r="U16" s="619"/>
      <c r="V16" s="619"/>
      <c r="W16" s="619"/>
      <c r="X16" s="619"/>
      <c r="Y16" s="619">
        <f t="shared" si="0"/>
        <v>33000</v>
      </c>
      <c r="Z16" s="455">
        <v>104122</v>
      </c>
      <c r="AA16" s="456">
        <v>8</v>
      </c>
      <c r="AB16" s="457">
        <v>44223</v>
      </c>
      <c r="AC16" s="457">
        <v>44237</v>
      </c>
      <c r="AD16" s="454">
        <v>41662</v>
      </c>
      <c r="AE16" s="459">
        <v>17</v>
      </c>
      <c r="AF16" s="457">
        <v>44260</v>
      </c>
      <c r="AG16" s="457">
        <v>44272</v>
      </c>
      <c r="AH16" s="454"/>
      <c r="AI16" s="456"/>
      <c r="AJ16" s="460"/>
      <c r="AK16" s="458"/>
      <c r="AL16" s="454"/>
      <c r="AM16" s="456"/>
      <c r="AN16" s="460"/>
      <c r="AO16" s="458"/>
      <c r="AP16" s="454"/>
      <c r="AQ16" s="456"/>
      <c r="AR16" s="460"/>
      <c r="AS16" s="458"/>
      <c r="AT16" s="154">
        <f t="shared" si="1"/>
        <v>145784</v>
      </c>
      <c r="AU16" s="461">
        <f t="shared" si="2"/>
        <v>112784</v>
      </c>
    </row>
    <row r="17" spans="1:47" s="210" customFormat="1" ht="22.5" x14ac:dyDescent="0.25">
      <c r="A17" s="148"/>
      <c r="B17" s="149">
        <v>10</v>
      </c>
      <c r="C17" s="149" t="s">
        <v>38</v>
      </c>
      <c r="D17" s="450">
        <v>30203322</v>
      </c>
      <c r="E17" s="473" t="s">
        <v>2626</v>
      </c>
      <c r="F17" s="486" t="s">
        <v>2615</v>
      </c>
      <c r="G17" s="452" t="s">
        <v>2616</v>
      </c>
      <c r="H17" s="460" t="s">
        <v>2617</v>
      </c>
      <c r="I17" s="617" t="s">
        <v>42</v>
      </c>
      <c r="J17" s="618">
        <v>649153</v>
      </c>
      <c r="K17" s="618">
        <v>546931</v>
      </c>
      <c r="L17" s="618">
        <v>0</v>
      </c>
      <c r="M17" s="619">
        <v>0</v>
      </c>
      <c r="N17" s="619">
        <v>0</v>
      </c>
      <c r="O17" s="619">
        <v>0</v>
      </c>
      <c r="P17" s="619">
        <v>5320</v>
      </c>
      <c r="Q17" s="619">
        <v>0</v>
      </c>
      <c r="R17" s="619">
        <v>27299</v>
      </c>
      <c r="S17" s="619"/>
      <c r="T17" s="619"/>
      <c r="U17" s="619"/>
      <c r="V17" s="619"/>
      <c r="W17" s="619"/>
      <c r="X17" s="619"/>
      <c r="Y17" s="619">
        <f t="shared" si="0"/>
        <v>32619</v>
      </c>
      <c r="Z17" s="455">
        <v>33275</v>
      </c>
      <c r="AA17" s="456">
        <v>13</v>
      </c>
      <c r="AB17" s="457">
        <v>44245</v>
      </c>
      <c r="AC17" s="457">
        <v>44267</v>
      </c>
      <c r="AD17" s="454"/>
      <c r="AE17" s="459"/>
      <c r="AF17" s="460"/>
      <c r="AG17" s="458"/>
      <c r="AH17" s="454"/>
      <c r="AI17" s="456"/>
      <c r="AJ17" s="460"/>
      <c r="AK17" s="458"/>
      <c r="AL17" s="454"/>
      <c r="AM17" s="456"/>
      <c r="AN17" s="460"/>
      <c r="AO17" s="458"/>
      <c r="AP17" s="454"/>
      <c r="AQ17" s="456"/>
      <c r="AR17" s="460"/>
      <c r="AS17" s="458"/>
      <c r="AT17" s="154">
        <f t="shared" si="1"/>
        <v>33275</v>
      </c>
      <c r="AU17" s="461">
        <f t="shared" si="2"/>
        <v>656</v>
      </c>
    </row>
    <row r="18" spans="1:47" s="210" customFormat="1" ht="22.5" x14ac:dyDescent="0.25">
      <c r="A18" s="148"/>
      <c r="B18" s="149">
        <v>11</v>
      </c>
      <c r="C18" s="149" t="s">
        <v>38</v>
      </c>
      <c r="D18" s="450">
        <v>30215723</v>
      </c>
      <c r="E18" s="473" t="s">
        <v>2627</v>
      </c>
      <c r="F18" s="486" t="s">
        <v>2615</v>
      </c>
      <c r="G18" s="452" t="s">
        <v>2616</v>
      </c>
      <c r="H18" s="460" t="s">
        <v>2617</v>
      </c>
      <c r="I18" s="617" t="s">
        <v>42</v>
      </c>
      <c r="J18" s="618">
        <v>318467</v>
      </c>
      <c r="K18" s="618">
        <v>212447</v>
      </c>
      <c r="L18" s="618">
        <v>2</v>
      </c>
      <c r="M18" s="619">
        <v>0</v>
      </c>
      <c r="N18" s="619">
        <v>0</v>
      </c>
      <c r="O18" s="619">
        <v>0</v>
      </c>
      <c r="P18" s="619">
        <v>0</v>
      </c>
      <c r="Q18" s="619">
        <v>0</v>
      </c>
      <c r="R18" s="619">
        <v>0</v>
      </c>
      <c r="S18" s="619"/>
      <c r="T18" s="619"/>
      <c r="U18" s="619"/>
      <c r="V18" s="619"/>
      <c r="W18" s="619"/>
      <c r="X18" s="619"/>
      <c r="Y18" s="619">
        <f t="shared" si="0"/>
        <v>0</v>
      </c>
      <c r="Z18" s="455">
        <v>106017</v>
      </c>
      <c r="AA18" s="456">
        <v>13</v>
      </c>
      <c r="AB18" s="457">
        <v>44245</v>
      </c>
      <c r="AC18" s="457">
        <v>44267</v>
      </c>
      <c r="AD18" s="454"/>
      <c r="AE18" s="459"/>
      <c r="AF18" s="460"/>
      <c r="AG18" s="458"/>
      <c r="AH18" s="454"/>
      <c r="AI18" s="456"/>
      <c r="AJ18" s="460"/>
      <c r="AK18" s="458"/>
      <c r="AL18" s="454"/>
      <c r="AM18" s="456"/>
      <c r="AN18" s="460"/>
      <c r="AO18" s="458"/>
      <c r="AP18" s="454"/>
      <c r="AQ18" s="456"/>
      <c r="AR18" s="460"/>
      <c r="AS18" s="458"/>
      <c r="AT18" s="154">
        <f t="shared" si="1"/>
        <v>106017</v>
      </c>
      <c r="AU18" s="461">
        <f t="shared" si="2"/>
        <v>106017</v>
      </c>
    </row>
    <row r="19" spans="1:47" s="210" customFormat="1" ht="22.5" x14ac:dyDescent="0.25">
      <c r="A19" s="148"/>
      <c r="B19" s="149">
        <v>12</v>
      </c>
      <c r="C19" s="149" t="s">
        <v>38</v>
      </c>
      <c r="D19" s="450">
        <v>30274473</v>
      </c>
      <c r="E19" s="473" t="s">
        <v>2628</v>
      </c>
      <c r="F19" s="486" t="s">
        <v>2615</v>
      </c>
      <c r="G19" s="452" t="s">
        <v>2616</v>
      </c>
      <c r="H19" s="460" t="s">
        <v>2617</v>
      </c>
      <c r="I19" s="617" t="s">
        <v>42</v>
      </c>
      <c r="J19" s="618">
        <v>727770</v>
      </c>
      <c r="K19" s="618">
        <v>422611</v>
      </c>
      <c r="L19" s="618">
        <v>0</v>
      </c>
      <c r="M19" s="619">
        <v>0</v>
      </c>
      <c r="N19" s="619">
        <v>0</v>
      </c>
      <c r="O19" s="619">
        <v>73728.56</v>
      </c>
      <c r="P19" s="619">
        <v>16630</v>
      </c>
      <c r="Q19" s="619">
        <v>0</v>
      </c>
      <c r="R19" s="619">
        <v>34468</v>
      </c>
      <c r="S19" s="619"/>
      <c r="T19" s="619"/>
      <c r="U19" s="619"/>
      <c r="V19" s="619"/>
      <c r="W19" s="619"/>
      <c r="X19" s="619"/>
      <c r="Y19" s="619">
        <f t="shared" si="0"/>
        <v>124826.56</v>
      </c>
      <c r="Z19" s="455">
        <v>253807</v>
      </c>
      <c r="AA19" s="456">
        <v>12</v>
      </c>
      <c r="AB19" s="457">
        <v>44245</v>
      </c>
      <c r="AC19" s="457">
        <v>44266</v>
      </c>
      <c r="AD19" s="454"/>
      <c r="AE19" s="459"/>
      <c r="AF19" s="460"/>
      <c r="AG19" s="458"/>
      <c r="AH19" s="454"/>
      <c r="AI19" s="456"/>
      <c r="AJ19" s="460"/>
      <c r="AK19" s="458"/>
      <c r="AL19" s="454"/>
      <c r="AM19" s="456"/>
      <c r="AN19" s="460"/>
      <c r="AO19" s="458"/>
      <c r="AP19" s="454"/>
      <c r="AQ19" s="456"/>
      <c r="AR19" s="460"/>
      <c r="AS19" s="458"/>
      <c r="AT19" s="154">
        <f t="shared" si="1"/>
        <v>253807</v>
      </c>
      <c r="AU19" s="461">
        <f t="shared" si="2"/>
        <v>128980.44</v>
      </c>
    </row>
    <row r="20" spans="1:47" s="210" customFormat="1" ht="22.5" x14ac:dyDescent="0.25">
      <c r="A20" s="148"/>
      <c r="B20" s="149">
        <v>13</v>
      </c>
      <c r="C20" s="149" t="s">
        <v>38</v>
      </c>
      <c r="D20" s="450">
        <v>30274474</v>
      </c>
      <c r="E20" s="473" t="s">
        <v>2629</v>
      </c>
      <c r="F20" s="486" t="s">
        <v>2615</v>
      </c>
      <c r="G20" s="452" t="s">
        <v>2616</v>
      </c>
      <c r="H20" s="460" t="s">
        <v>2617</v>
      </c>
      <c r="I20" s="617" t="s">
        <v>42</v>
      </c>
      <c r="J20" s="618">
        <v>812564</v>
      </c>
      <c r="K20" s="618">
        <v>520806</v>
      </c>
      <c r="L20" s="618">
        <v>0</v>
      </c>
      <c r="M20" s="619">
        <v>0</v>
      </c>
      <c r="N20" s="619">
        <v>0</v>
      </c>
      <c r="O20" s="619">
        <v>725.16099999999994</v>
      </c>
      <c r="P20" s="619">
        <v>59992</v>
      </c>
      <c r="Q20" s="619">
        <v>30279</v>
      </c>
      <c r="R20" s="619">
        <v>23606</v>
      </c>
      <c r="S20" s="619"/>
      <c r="T20" s="619"/>
      <c r="U20" s="619"/>
      <c r="V20" s="619"/>
      <c r="W20" s="619"/>
      <c r="X20" s="619"/>
      <c r="Y20" s="619">
        <f t="shared" si="0"/>
        <v>114602.16099999999</v>
      </c>
      <c r="Z20" s="455">
        <v>242828</v>
      </c>
      <c r="AA20" s="456">
        <v>12</v>
      </c>
      <c r="AB20" s="457">
        <v>44245</v>
      </c>
      <c r="AC20" s="457">
        <v>44266</v>
      </c>
      <c r="AD20" s="454"/>
      <c r="AE20" s="459"/>
      <c r="AF20" s="460"/>
      <c r="AG20" s="458"/>
      <c r="AH20" s="454"/>
      <c r="AI20" s="456"/>
      <c r="AJ20" s="460"/>
      <c r="AK20" s="458"/>
      <c r="AL20" s="454"/>
      <c r="AM20" s="456"/>
      <c r="AN20" s="460"/>
      <c r="AO20" s="458"/>
      <c r="AP20" s="454"/>
      <c r="AQ20" s="456"/>
      <c r="AR20" s="460"/>
      <c r="AS20" s="458"/>
      <c r="AT20" s="154">
        <f t="shared" si="1"/>
        <v>242828</v>
      </c>
      <c r="AU20" s="461">
        <f t="shared" si="2"/>
        <v>128225.83900000001</v>
      </c>
    </row>
    <row r="21" spans="1:47" s="210" customFormat="1" ht="22.5" x14ac:dyDescent="0.25">
      <c r="A21" s="148"/>
      <c r="B21" s="149">
        <v>14</v>
      </c>
      <c r="C21" s="149" t="s">
        <v>38</v>
      </c>
      <c r="D21" s="450">
        <v>30295074</v>
      </c>
      <c r="E21" s="473" t="s">
        <v>2630</v>
      </c>
      <c r="F21" s="486" t="s">
        <v>897</v>
      </c>
      <c r="G21" s="452" t="s">
        <v>2616</v>
      </c>
      <c r="H21" s="460" t="s">
        <v>2617</v>
      </c>
      <c r="I21" s="617" t="s">
        <v>43</v>
      </c>
      <c r="J21" s="618">
        <v>9486666</v>
      </c>
      <c r="K21" s="618">
        <v>0</v>
      </c>
      <c r="L21" s="618">
        <v>1730579</v>
      </c>
      <c r="M21" s="619">
        <v>0</v>
      </c>
      <c r="N21" s="619">
        <v>0</v>
      </c>
      <c r="O21" s="619">
        <v>0</v>
      </c>
      <c r="P21" s="619">
        <v>1490</v>
      </c>
      <c r="Q21" s="619">
        <v>0</v>
      </c>
      <c r="R21" s="619">
        <v>0</v>
      </c>
      <c r="S21" s="619"/>
      <c r="T21" s="619"/>
      <c r="U21" s="619"/>
      <c r="V21" s="619"/>
      <c r="W21" s="619"/>
      <c r="X21" s="619"/>
      <c r="Y21" s="619">
        <f t="shared" si="0"/>
        <v>1490</v>
      </c>
      <c r="Z21" s="455">
        <v>22830</v>
      </c>
      <c r="AA21" s="456">
        <v>8</v>
      </c>
      <c r="AB21" s="457">
        <v>44223</v>
      </c>
      <c r="AC21" s="457">
        <v>44237</v>
      </c>
      <c r="AD21" s="454">
        <v>-19998</v>
      </c>
      <c r="AE21" s="459">
        <v>17</v>
      </c>
      <c r="AF21" s="457">
        <v>44260</v>
      </c>
      <c r="AG21" s="457">
        <v>44272</v>
      </c>
      <c r="AH21" s="454">
        <v>-1342</v>
      </c>
      <c r="AI21" s="456">
        <v>25</v>
      </c>
      <c r="AJ21" s="457">
        <v>44328</v>
      </c>
      <c r="AK21" s="458">
        <v>44342</v>
      </c>
      <c r="AL21" s="454"/>
      <c r="AM21" s="456"/>
      <c r="AN21" s="460"/>
      <c r="AO21" s="458"/>
      <c r="AP21" s="454"/>
      <c r="AQ21" s="456"/>
      <c r="AR21" s="460"/>
      <c r="AS21" s="458"/>
      <c r="AT21" s="154">
        <f t="shared" si="1"/>
        <v>1490</v>
      </c>
      <c r="AU21" s="461">
        <f t="shared" si="2"/>
        <v>0</v>
      </c>
    </row>
    <row r="22" spans="1:47" s="210" customFormat="1" ht="22.5" x14ac:dyDescent="0.25">
      <c r="A22" s="148"/>
      <c r="B22" s="149">
        <v>15</v>
      </c>
      <c r="C22" s="149" t="s">
        <v>38</v>
      </c>
      <c r="D22" s="450">
        <v>30306072</v>
      </c>
      <c r="E22" s="473" t="s">
        <v>2631</v>
      </c>
      <c r="F22" s="486" t="s">
        <v>2615</v>
      </c>
      <c r="G22" s="452" t="s">
        <v>2616</v>
      </c>
      <c r="H22" s="460" t="s">
        <v>2617</v>
      </c>
      <c r="I22" s="617" t="s">
        <v>42</v>
      </c>
      <c r="J22" s="618">
        <v>36147728</v>
      </c>
      <c r="K22" s="618">
        <v>31062728</v>
      </c>
      <c r="L22" s="618">
        <v>0</v>
      </c>
      <c r="M22" s="619">
        <v>0</v>
      </c>
      <c r="N22" s="619">
        <v>52123.627999999997</v>
      </c>
      <c r="O22" s="619">
        <v>689046.54599999997</v>
      </c>
      <c r="P22" s="619">
        <v>340276</v>
      </c>
      <c r="Q22" s="619">
        <v>2600</v>
      </c>
      <c r="R22" s="619">
        <v>222168</v>
      </c>
      <c r="S22" s="619"/>
      <c r="T22" s="619"/>
      <c r="U22" s="619"/>
      <c r="V22" s="619"/>
      <c r="W22" s="619"/>
      <c r="X22" s="619"/>
      <c r="Y22" s="619">
        <f t="shared" si="0"/>
        <v>1306214.1740000001</v>
      </c>
      <c r="Z22" s="455">
        <v>2035000</v>
      </c>
      <c r="AA22" s="456">
        <v>7</v>
      </c>
      <c r="AB22" s="457">
        <v>44223</v>
      </c>
      <c r="AC22" s="457">
        <v>44244</v>
      </c>
      <c r="AD22" s="454">
        <v>722048</v>
      </c>
      <c r="AE22" s="459">
        <v>17</v>
      </c>
      <c r="AF22" s="457">
        <v>44260</v>
      </c>
      <c r="AG22" s="457">
        <v>44272</v>
      </c>
      <c r="AH22" s="454"/>
      <c r="AI22" s="456"/>
      <c r="AJ22" s="460"/>
      <c r="AK22" s="458"/>
      <c r="AL22" s="454"/>
      <c r="AM22" s="456"/>
      <c r="AN22" s="460"/>
      <c r="AO22" s="458"/>
      <c r="AP22" s="454"/>
      <c r="AQ22" s="456"/>
      <c r="AR22" s="460"/>
      <c r="AS22" s="458"/>
      <c r="AT22" s="154">
        <f t="shared" si="1"/>
        <v>2757048</v>
      </c>
      <c r="AU22" s="461">
        <f t="shared" si="2"/>
        <v>1450833.8259999999</v>
      </c>
    </row>
    <row r="23" spans="1:47" s="210" customFormat="1" ht="22.5" x14ac:dyDescent="0.25">
      <c r="A23" s="148"/>
      <c r="B23" s="149">
        <v>16</v>
      </c>
      <c r="C23" s="149" t="s">
        <v>38</v>
      </c>
      <c r="D23" s="450">
        <v>30314776</v>
      </c>
      <c r="E23" s="473" t="s">
        <v>2632</v>
      </c>
      <c r="F23" s="486" t="s">
        <v>2633</v>
      </c>
      <c r="G23" s="452" t="s">
        <v>2616</v>
      </c>
      <c r="H23" s="460" t="s">
        <v>2634</v>
      </c>
      <c r="I23" s="617" t="s">
        <v>42</v>
      </c>
      <c r="J23" s="618">
        <v>75018</v>
      </c>
      <c r="K23" s="618">
        <v>20955</v>
      </c>
      <c r="L23" s="618">
        <v>0</v>
      </c>
      <c r="M23" s="619">
        <v>0</v>
      </c>
      <c r="N23" s="619">
        <v>0</v>
      </c>
      <c r="O23" s="619">
        <v>0</v>
      </c>
      <c r="P23" s="619">
        <v>0</v>
      </c>
      <c r="Q23" s="619">
        <v>0</v>
      </c>
      <c r="R23" s="619">
        <v>0</v>
      </c>
      <c r="S23" s="619"/>
      <c r="T23" s="619"/>
      <c r="U23" s="619"/>
      <c r="V23" s="619"/>
      <c r="W23" s="619"/>
      <c r="X23" s="619"/>
      <c r="Y23" s="619">
        <f t="shared" si="0"/>
        <v>0</v>
      </c>
      <c r="Z23" s="455">
        <v>51943</v>
      </c>
      <c r="AA23" s="456">
        <v>13</v>
      </c>
      <c r="AB23" s="457">
        <v>44245</v>
      </c>
      <c r="AC23" s="457">
        <v>44267</v>
      </c>
      <c r="AD23" s="454"/>
      <c r="AE23" s="459"/>
      <c r="AF23" s="460"/>
      <c r="AG23" s="458"/>
      <c r="AH23" s="454"/>
      <c r="AI23" s="456"/>
      <c r="AJ23" s="460"/>
      <c r="AK23" s="458"/>
      <c r="AL23" s="454"/>
      <c r="AM23" s="456"/>
      <c r="AN23" s="460"/>
      <c r="AO23" s="458"/>
      <c r="AP23" s="454"/>
      <c r="AQ23" s="456"/>
      <c r="AR23" s="460"/>
      <c r="AS23" s="458"/>
      <c r="AT23" s="154">
        <f t="shared" si="1"/>
        <v>51943</v>
      </c>
      <c r="AU23" s="461">
        <f t="shared" si="2"/>
        <v>51943</v>
      </c>
    </row>
    <row r="24" spans="1:47" s="210" customFormat="1" ht="22.5" x14ac:dyDescent="0.25">
      <c r="A24" s="148"/>
      <c r="B24" s="149">
        <v>17</v>
      </c>
      <c r="C24" s="149" t="s">
        <v>40</v>
      </c>
      <c r="D24" s="450">
        <v>40008918</v>
      </c>
      <c r="E24" s="473" t="s">
        <v>2635</v>
      </c>
      <c r="F24" s="486" t="s">
        <v>2615</v>
      </c>
      <c r="G24" s="452" t="s">
        <v>2616</v>
      </c>
      <c r="H24" s="460" t="s">
        <v>2617</v>
      </c>
      <c r="I24" s="617" t="s">
        <v>42</v>
      </c>
      <c r="J24" s="618">
        <v>177364</v>
      </c>
      <c r="K24" s="618">
        <v>27954</v>
      </c>
      <c r="L24" s="621">
        <v>0</v>
      </c>
      <c r="M24" s="619">
        <v>0</v>
      </c>
      <c r="N24" s="619">
        <v>0</v>
      </c>
      <c r="O24" s="619">
        <v>0</v>
      </c>
      <c r="P24" s="619">
        <v>0</v>
      </c>
      <c r="Q24" s="619">
        <v>0</v>
      </c>
      <c r="R24" s="619">
        <v>0</v>
      </c>
      <c r="S24" s="619"/>
      <c r="T24" s="619"/>
      <c r="U24" s="619"/>
      <c r="V24" s="619"/>
      <c r="W24" s="619"/>
      <c r="X24" s="619"/>
      <c r="Y24" s="619">
        <f t="shared" si="0"/>
        <v>0</v>
      </c>
      <c r="Z24" s="455">
        <v>141767</v>
      </c>
      <c r="AA24" s="456">
        <v>14</v>
      </c>
      <c r="AB24" s="457">
        <v>44245</v>
      </c>
      <c r="AC24" s="457">
        <v>44287</v>
      </c>
      <c r="AD24" s="454"/>
      <c r="AE24" s="459"/>
      <c r="AF24" s="460"/>
      <c r="AG24" s="458"/>
      <c r="AH24" s="454"/>
      <c r="AI24" s="456"/>
      <c r="AJ24" s="460"/>
      <c r="AK24" s="458"/>
      <c r="AL24" s="454"/>
      <c r="AM24" s="456"/>
      <c r="AN24" s="460"/>
      <c r="AO24" s="458"/>
      <c r="AP24" s="454"/>
      <c r="AQ24" s="456"/>
      <c r="AR24" s="460"/>
      <c r="AS24" s="458"/>
      <c r="AT24" s="154">
        <f t="shared" si="1"/>
        <v>141767</v>
      </c>
      <c r="AU24" s="461">
        <f t="shared" si="2"/>
        <v>141767</v>
      </c>
    </row>
    <row r="25" spans="1:47" s="210" customFormat="1" ht="22.5" x14ac:dyDescent="0.25">
      <c r="A25" s="148"/>
      <c r="B25" s="149">
        <v>18</v>
      </c>
      <c r="C25" s="149" t="s">
        <v>38</v>
      </c>
      <c r="D25" s="450">
        <v>30341673</v>
      </c>
      <c r="E25" s="473" t="s">
        <v>2636</v>
      </c>
      <c r="F25" s="486" t="s">
        <v>2615</v>
      </c>
      <c r="G25" s="452" t="s">
        <v>2616</v>
      </c>
      <c r="H25" s="460" t="s">
        <v>2617</v>
      </c>
      <c r="I25" s="617" t="s">
        <v>42</v>
      </c>
      <c r="J25" s="618">
        <v>679249</v>
      </c>
      <c r="K25" s="618">
        <v>667476</v>
      </c>
      <c r="L25" s="618">
        <v>0</v>
      </c>
      <c r="M25" s="619">
        <v>0</v>
      </c>
      <c r="N25" s="619">
        <v>0</v>
      </c>
      <c r="O25" s="619">
        <v>573.84199999999998</v>
      </c>
      <c r="P25" s="619">
        <v>0</v>
      </c>
      <c r="Q25" s="619">
        <v>0</v>
      </c>
      <c r="R25" s="619">
        <v>0</v>
      </c>
      <c r="S25" s="619"/>
      <c r="T25" s="619"/>
      <c r="U25" s="619"/>
      <c r="V25" s="619"/>
      <c r="W25" s="619"/>
      <c r="X25" s="619"/>
      <c r="Y25" s="619">
        <f t="shared" si="0"/>
        <v>573.84199999999998</v>
      </c>
      <c r="Z25" s="455">
        <v>3009</v>
      </c>
      <c r="AA25" s="456">
        <v>11</v>
      </c>
      <c r="AB25" s="457">
        <v>44245</v>
      </c>
      <c r="AC25" s="457">
        <v>44258</v>
      </c>
      <c r="AD25" s="454"/>
      <c r="AE25" s="459"/>
      <c r="AF25" s="460"/>
      <c r="AG25" s="458"/>
      <c r="AH25" s="454"/>
      <c r="AI25" s="456"/>
      <c r="AJ25" s="460"/>
      <c r="AK25" s="458"/>
      <c r="AL25" s="454"/>
      <c r="AM25" s="456"/>
      <c r="AN25" s="460"/>
      <c r="AO25" s="458"/>
      <c r="AP25" s="454"/>
      <c r="AQ25" s="456"/>
      <c r="AR25" s="460"/>
      <c r="AS25" s="458"/>
      <c r="AT25" s="154">
        <f t="shared" si="1"/>
        <v>3009</v>
      </c>
      <c r="AU25" s="461">
        <f t="shared" si="2"/>
        <v>2435.1579999999999</v>
      </c>
    </row>
    <row r="26" spans="1:47" s="210" customFormat="1" ht="22.5" x14ac:dyDescent="0.25">
      <c r="A26" s="148"/>
      <c r="B26" s="149">
        <v>19</v>
      </c>
      <c r="C26" s="149" t="s">
        <v>38</v>
      </c>
      <c r="D26" s="450">
        <v>30347722</v>
      </c>
      <c r="E26" s="473" t="s">
        <v>2637</v>
      </c>
      <c r="F26" s="486" t="s">
        <v>204</v>
      </c>
      <c r="G26" s="452" t="s">
        <v>2616</v>
      </c>
      <c r="H26" s="460" t="s">
        <v>2617</v>
      </c>
      <c r="I26" s="617" t="s">
        <v>42</v>
      </c>
      <c r="J26" s="618">
        <v>432689</v>
      </c>
      <c r="K26" s="618">
        <v>80160</v>
      </c>
      <c r="L26" s="618">
        <v>0</v>
      </c>
      <c r="M26" s="619">
        <v>0</v>
      </c>
      <c r="N26" s="619">
        <v>0</v>
      </c>
      <c r="O26" s="619">
        <v>47586.654000000002</v>
      </c>
      <c r="P26" s="619">
        <v>0</v>
      </c>
      <c r="Q26" s="619">
        <v>0</v>
      </c>
      <c r="R26" s="619">
        <v>0</v>
      </c>
      <c r="S26" s="619"/>
      <c r="T26" s="619"/>
      <c r="U26" s="619"/>
      <c r="V26" s="619"/>
      <c r="W26" s="619"/>
      <c r="X26" s="619"/>
      <c r="Y26" s="619">
        <f t="shared" si="0"/>
        <v>47586.654000000002</v>
      </c>
      <c r="Z26" s="455">
        <v>76139</v>
      </c>
      <c r="AA26" s="456">
        <v>12</v>
      </c>
      <c r="AB26" s="457">
        <v>44245</v>
      </c>
      <c r="AC26" s="457">
        <v>44266</v>
      </c>
      <c r="AD26" s="454"/>
      <c r="AE26" s="459"/>
      <c r="AF26" s="460"/>
      <c r="AG26" s="458"/>
      <c r="AH26" s="454"/>
      <c r="AI26" s="456"/>
      <c r="AJ26" s="460"/>
      <c r="AK26" s="458"/>
      <c r="AL26" s="454"/>
      <c r="AM26" s="456"/>
      <c r="AN26" s="460"/>
      <c r="AO26" s="458"/>
      <c r="AP26" s="454"/>
      <c r="AQ26" s="456"/>
      <c r="AR26" s="460"/>
      <c r="AS26" s="458"/>
      <c r="AT26" s="154">
        <f t="shared" si="1"/>
        <v>76139</v>
      </c>
      <c r="AU26" s="461">
        <f t="shared" si="2"/>
        <v>28552.345999999998</v>
      </c>
    </row>
    <row r="27" spans="1:47" s="210" customFormat="1" ht="22.5" x14ac:dyDescent="0.25">
      <c r="A27" s="148"/>
      <c r="B27" s="149">
        <v>20</v>
      </c>
      <c r="C27" s="149" t="s">
        <v>38</v>
      </c>
      <c r="D27" s="450">
        <v>30348429</v>
      </c>
      <c r="E27" s="473" t="s">
        <v>2638</v>
      </c>
      <c r="F27" s="486" t="s">
        <v>897</v>
      </c>
      <c r="G27" s="452" t="s">
        <v>2616</v>
      </c>
      <c r="H27" s="460" t="s">
        <v>2617</v>
      </c>
      <c r="I27" s="617" t="s">
        <v>43</v>
      </c>
      <c r="J27" s="618">
        <v>2771622</v>
      </c>
      <c r="K27" s="618">
        <v>1840</v>
      </c>
      <c r="L27" s="618">
        <v>0</v>
      </c>
      <c r="M27" s="619">
        <v>0</v>
      </c>
      <c r="N27" s="619">
        <v>0</v>
      </c>
      <c r="O27" s="619">
        <v>0</v>
      </c>
      <c r="P27" s="619">
        <v>0</v>
      </c>
      <c r="Q27" s="619">
        <v>0</v>
      </c>
      <c r="R27" s="619">
        <v>0</v>
      </c>
      <c r="S27" s="619"/>
      <c r="T27" s="619"/>
      <c r="U27" s="619"/>
      <c r="V27" s="619"/>
      <c r="W27" s="619"/>
      <c r="X27" s="619"/>
      <c r="Y27" s="619">
        <f t="shared" si="0"/>
        <v>0</v>
      </c>
      <c r="Z27" s="455">
        <v>1695033</v>
      </c>
      <c r="AA27" s="456">
        <v>13</v>
      </c>
      <c r="AB27" s="457">
        <v>44245</v>
      </c>
      <c r="AC27" s="457">
        <v>44267</v>
      </c>
      <c r="AD27" s="454"/>
      <c r="AE27" s="459"/>
      <c r="AF27" s="460"/>
      <c r="AG27" s="458"/>
      <c r="AH27" s="454"/>
      <c r="AI27" s="456"/>
      <c r="AJ27" s="460"/>
      <c r="AK27" s="458"/>
      <c r="AL27" s="454"/>
      <c r="AM27" s="456"/>
      <c r="AN27" s="460"/>
      <c r="AO27" s="458"/>
      <c r="AP27" s="454"/>
      <c r="AQ27" s="456"/>
      <c r="AR27" s="460"/>
      <c r="AS27" s="458"/>
      <c r="AT27" s="154">
        <f t="shared" si="1"/>
        <v>1695033</v>
      </c>
      <c r="AU27" s="461">
        <f t="shared" si="2"/>
        <v>1695033</v>
      </c>
    </row>
    <row r="28" spans="1:47" s="210" customFormat="1" ht="22.5" x14ac:dyDescent="0.25">
      <c r="A28" s="148"/>
      <c r="B28" s="149">
        <v>21</v>
      </c>
      <c r="C28" s="149" t="s">
        <v>38</v>
      </c>
      <c r="D28" s="450">
        <v>30354106</v>
      </c>
      <c r="E28" s="473" t="s">
        <v>2639</v>
      </c>
      <c r="F28" s="486" t="s">
        <v>897</v>
      </c>
      <c r="G28" s="452" t="s">
        <v>2616</v>
      </c>
      <c r="H28" s="460" t="s">
        <v>2617</v>
      </c>
      <c r="I28" s="617" t="s">
        <v>42</v>
      </c>
      <c r="J28" s="618">
        <v>814960</v>
      </c>
      <c r="K28" s="618">
        <v>72649</v>
      </c>
      <c r="L28" s="618">
        <v>0</v>
      </c>
      <c r="M28" s="619">
        <v>0</v>
      </c>
      <c r="N28" s="619">
        <v>0</v>
      </c>
      <c r="O28" s="619">
        <v>17317.986000000001</v>
      </c>
      <c r="P28" s="619">
        <v>1200</v>
      </c>
      <c r="Q28" s="619">
        <v>0</v>
      </c>
      <c r="R28" s="619">
        <v>0</v>
      </c>
      <c r="S28" s="619"/>
      <c r="T28" s="619"/>
      <c r="U28" s="619"/>
      <c r="V28" s="619"/>
      <c r="W28" s="619"/>
      <c r="X28" s="619"/>
      <c r="Y28" s="619">
        <f t="shared" si="0"/>
        <v>18517.986000000001</v>
      </c>
      <c r="Z28" s="455">
        <v>656966</v>
      </c>
      <c r="AA28" s="456">
        <v>12</v>
      </c>
      <c r="AB28" s="457">
        <v>44245</v>
      </c>
      <c r="AC28" s="457">
        <v>44266</v>
      </c>
      <c r="AD28" s="454"/>
      <c r="AE28" s="459"/>
      <c r="AF28" s="460"/>
      <c r="AG28" s="458"/>
      <c r="AH28" s="454"/>
      <c r="AI28" s="456"/>
      <c r="AJ28" s="460"/>
      <c r="AK28" s="458"/>
      <c r="AL28" s="454"/>
      <c r="AM28" s="456"/>
      <c r="AN28" s="460"/>
      <c r="AO28" s="458"/>
      <c r="AP28" s="454"/>
      <c r="AQ28" s="456"/>
      <c r="AR28" s="460"/>
      <c r="AS28" s="458"/>
      <c r="AT28" s="154">
        <f t="shared" si="1"/>
        <v>656966</v>
      </c>
      <c r="AU28" s="461">
        <f t="shared" si="2"/>
        <v>638448.01399999997</v>
      </c>
    </row>
    <row r="29" spans="1:47" s="210" customFormat="1" ht="22.5" x14ac:dyDescent="0.25">
      <c r="A29" s="148"/>
      <c r="B29" s="149">
        <v>22</v>
      </c>
      <c r="C29" s="149" t="s">
        <v>38</v>
      </c>
      <c r="D29" s="450">
        <v>30354625</v>
      </c>
      <c r="E29" s="473" t="s">
        <v>2640</v>
      </c>
      <c r="F29" s="486" t="s">
        <v>2641</v>
      </c>
      <c r="G29" s="452" t="s">
        <v>2616</v>
      </c>
      <c r="H29" s="460" t="s">
        <v>2617</v>
      </c>
      <c r="I29" s="617" t="s">
        <v>42</v>
      </c>
      <c r="J29" s="618">
        <v>3754538</v>
      </c>
      <c r="K29" s="618">
        <v>3745463</v>
      </c>
      <c r="L29" s="618">
        <v>0</v>
      </c>
      <c r="M29" s="619">
        <v>0</v>
      </c>
      <c r="N29" s="619">
        <v>0</v>
      </c>
      <c r="O29" s="619">
        <v>0</v>
      </c>
      <c r="P29" s="619">
        <v>0</v>
      </c>
      <c r="Q29" s="619">
        <v>0</v>
      </c>
      <c r="R29" s="619">
        <v>0</v>
      </c>
      <c r="S29" s="619"/>
      <c r="T29" s="619"/>
      <c r="U29" s="619"/>
      <c r="V29" s="619"/>
      <c r="W29" s="619"/>
      <c r="X29" s="619"/>
      <c r="Y29" s="619">
        <f t="shared" si="0"/>
        <v>0</v>
      </c>
      <c r="Z29" s="455">
        <v>8875</v>
      </c>
      <c r="AA29" s="456">
        <v>11</v>
      </c>
      <c r="AB29" s="457">
        <v>44245</v>
      </c>
      <c r="AC29" s="457">
        <v>44258</v>
      </c>
      <c r="AD29" s="454"/>
      <c r="AE29" s="459"/>
      <c r="AF29" s="460"/>
      <c r="AG29" s="458"/>
      <c r="AH29" s="454"/>
      <c r="AI29" s="456"/>
      <c r="AJ29" s="460"/>
      <c r="AK29" s="458"/>
      <c r="AL29" s="454"/>
      <c r="AM29" s="456"/>
      <c r="AN29" s="460"/>
      <c r="AO29" s="458"/>
      <c r="AP29" s="454"/>
      <c r="AQ29" s="456"/>
      <c r="AR29" s="460"/>
      <c r="AS29" s="458"/>
      <c r="AT29" s="154">
        <f t="shared" si="1"/>
        <v>8875</v>
      </c>
      <c r="AU29" s="461">
        <f t="shared" si="2"/>
        <v>8875</v>
      </c>
    </row>
    <row r="30" spans="1:47" s="210" customFormat="1" ht="22.5" x14ac:dyDescent="0.25">
      <c r="A30" s="148"/>
      <c r="B30" s="149">
        <v>23</v>
      </c>
      <c r="C30" s="149" t="s">
        <v>38</v>
      </c>
      <c r="D30" s="450">
        <v>30354725</v>
      </c>
      <c r="E30" s="473" t="s">
        <v>2642</v>
      </c>
      <c r="F30" s="486" t="s">
        <v>2615</v>
      </c>
      <c r="G30" s="452" t="s">
        <v>2616</v>
      </c>
      <c r="H30" s="460" t="s">
        <v>2617</v>
      </c>
      <c r="I30" s="617" t="s">
        <v>42</v>
      </c>
      <c r="J30" s="618">
        <v>680491</v>
      </c>
      <c r="K30" s="618">
        <v>456722</v>
      </c>
      <c r="L30" s="618">
        <v>0</v>
      </c>
      <c r="M30" s="619">
        <v>0</v>
      </c>
      <c r="N30" s="619">
        <v>0</v>
      </c>
      <c r="O30" s="619">
        <v>179729.95600000001</v>
      </c>
      <c r="P30" s="619">
        <v>28289</v>
      </c>
      <c r="Q30" s="619">
        <v>0</v>
      </c>
      <c r="R30" s="619">
        <v>1250</v>
      </c>
      <c r="S30" s="619"/>
      <c r="T30" s="619"/>
      <c r="U30" s="619"/>
      <c r="V30" s="619"/>
      <c r="W30" s="619"/>
      <c r="X30" s="619"/>
      <c r="Y30" s="619">
        <f t="shared" si="0"/>
        <v>209268.95600000001</v>
      </c>
      <c r="Z30" s="455">
        <v>215769</v>
      </c>
      <c r="AA30" s="456">
        <v>12</v>
      </c>
      <c r="AB30" s="457">
        <v>44245</v>
      </c>
      <c r="AC30" s="457">
        <v>44266</v>
      </c>
      <c r="AD30" s="454">
        <v>-1250</v>
      </c>
      <c r="AE30" s="459">
        <v>25</v>
      </c>
      <c r="AF30" s="457">
        <v>44328</v>
      </c>
      <c r="AG30" s="458">
        <v>44342</v>
      </c>
      <c r="AH30" s="454"/>
      <c r="AI30" s="456"/>
      <c r="AJ30" s="460"/>
      <c r="AK30" s="458"/>
      <c r="AL30" s="454"/>
      <c r="AM30" s="456"/>
      <c r="AN30" s="460"/>
      <c r="AO30" s="458"/>
      <c r="AP30" s="454"/>
      <c r="AQ30" s="456"/>
      <c r="AR30" s="460"/>
      <c r="AS30" s="458"/>
      <c r="AT30" s="154">
        <f t="shared" si="1"/>
        <v>214519</v>
      </c>
      <c r="AU30" s="461">
        <f t="shared" si="2"/>
        <v>5250.0439999999944</v>
      </c>
    </row>
    <row r="31" spans="1:47" s="210" customFormat="1" ht="22.5" x14ac:dyDescent="0.25">
      <c r="A31" s="148"/>
      <c r="B31" s="149">
        <v>24</v>
      </c>
      <c r="C31" s="149" t="s">
        <v>38</v>
      </c>
      <c r="D31" s="450">
        <v>30354778</v>
      </c>
      <c r="E31" s="473" t="s">
        <v>2643</v>
      </c>
      <c r="F31" s="486" t="s">
        <v>897</v>
      </c>
      <c r="G31" s="452" t="s">
        <v>2616</v>
      </c>
      <c r="H31" s="460" t="s">
        <v>2617</v>
      </c>
      <c r="I31" s="617" t="s">
        <v>43</v>
      </c>
      <c r="J31" s="618">
        <v>1053980</v>
      </c>
      <c r="K31" s="618">
        <v>0</v>
      </c>
      <c r="L31" s="618">
        <v>501424</v>
      </c>
      <c r="M31" s="619">
        <v>0</v>
      </c>
      <c r="N31" s="619">
        <v>0</v>
      </c>
      <c r="O31" s="619">
        <v>0</v>
      </c>
      <c r="P31" s="619">
        <v>2500</v>
      </c>
      <c r="Q31" s="619">
        <v>0</v>
      </c>
      <c r="R31" s="619">
        <v>0</v>
      </c>
      <c r="S31" s="619"/>
      <c r="T31" s="619"/>
      <c r="U31" s="619"/>
      <c r="V31" s="619"/>
      <c r="W31" s="619"/>
      <c r="X31" s="619"/>
      <c r="Y31" s="619">
        <f t="shared" si="0"/>
        <v>2500</v>
      </c>
      <c r="Z31" s="455">
        <v>12500</v>
      </c>
      <c r="AA31" s="456">
        <v>8</v>
      </c>
      <c r="AB31" s="457">
        <v>44223</v>
      </c>
      <c r="AC31" s="457">
        <v>44237</v>
      </c>
      <c r="AD31" s="454">
        <v>1</v>
      </c>
      <c r="AE31" s="459">
        <v>17</v>
      </c>
      <c r="AF31" s="457">
        <v>44260</v>
      </c>
      <c r="AG31" s="457">
        <v>44272</v>
      </c>
      <c r="AH31" s="454">
        <v>539999</v>
      </c>
      <c r="AI31" s="459">
        <v>18</v>
      </c>
      <c r="AJ31" s="457">
        <v>44264</v>
      </c>
      <c r="AK31" s="457">
        <v>44273</v>
      </c>
      <c r="AL31" s="454">
        <v>-97297</v>
      </c>
      <c r="AM31" s="456">
        <v>25</v>
      </c>
      <c r="AN31" s="457">
        <v>44328</v>
      </c>
      <c r="AO31" s="458">
        <v>44342</v>
      </c>
      <c r="AP31" s="454"/>
      <c r="AQ31" s="456"/>
      <c r="AR31" s="460"/>
      <c r="AS31" s="458"/>
      <c r="AT31" s="154">
        <f t="shared" si="1"/>
        <v>455203</v>
      </c>
      <c r="AU31" s="461">
        <f t="shared" si="2"/>
        <v>452703</v>
      </c>
    </row>
    <row r="32" spans="1:47" s="210" customFormat="1" ht="22.5" x14ac:dyDescent="0.25">
      <c r="A32" s="148"/>
      <c r="B32" s="149">
        <v>25</v>
      </c>
      <c r="C32" s="149" t="s">
        <v>38</v>
      </c>
      <c r="D32" s="450">
        <v>30370354</v>
      </c>
      <c r="E32" s="473" t="s">
        <v>2644</v>
      </c>
      <c r="F32" s="486" t="s">
        <v>204</v>
      </c>
      <c r="G32" s="452" t="s">
        <v>2616</v>
      </c>
      <c r="H32" s="460" t="s">
        <v>2617</v>
      </c>
      <c r="I32" s="617" t="s">
        <v>42</v>
      </c>
      <c r="J32" s="618">
        <v>28164</v>
      </c>
      <c r="K32" s="618">
        <v>20768</v>
      </c>
      <c r="L32" s="618">
        <v>0</v>
      </c>
      <c r="M32" s="619">
        <v>0</v>
      </c>
      <c r="N32" s="619">
        <v>0</v>
      </c>
      <c r="O32" s="619">
        <v>1908.09</v>
      </c>
      <c r="P32" s="619">
        <v>0</v>
      </c>
      <c r="Q32" s="619">
        <v>0</v>
      </c>
      <c r="R32" s="619">
        <v>0</v>
      </c>
      <c r="S32" s="619"/>
      <c r="T32" s="619"/>
      <c r="U32" s="619"/>
      <c r="V32" s="619"/>
      <c r="W32" s="619"/>
      <c r="X32" s="619"/>
      <c r="Y32" s="619">
        <f t="shared" si="0"/>
        <v>1908.09</v>
      </c>
      <c r="Z32" s="455">
        <v>1909</v>
      </c>
      <c r="AA32" s="456">
        <v>12</v>
      </c>
      <c r="AB32" s="457">
        <v>44245</v>
      </c>
      <c r="AC32" s="457">
        <v>44266</v>
      </c>
      <c r="AD32" s="454"/>
      <c r="AE32" s="459"/>
      <c r="AF32" s="460"/>
      <c r="AG32" s="458"/>
      <c r="AH32" s="454"/>
      <c r="AI32" s="456"/>
      <c r="AJ32" s="460"/>
      <c r="AK32" s="458"/>
      <c r="AL32" s="454"/>
      <c r="AM32" s="456"/>
      <c r="AN32" s="460"/>
      <c r="AO32" s="458"/>
      <c r="AP32" s="454"/>
      <c r="AQ32" s="456"/>
      <c r="AR32" s="460"/>
      <c r="AS32" s="458"/>
      <c r="AT32" s="154">
        <f t="shared" si="1"/>
        <v>1909</v>
      </c>
      <c r="AU32" s="461">
        <f t="shared" si="2"/>
        <v>0.91000000000008185</v>
      </c>
    </row>
    <row r="33" spans="1:47" s="210" customFormat="1" ht="22.5" x14ac:dyDescent="0.25">
      <c r="A33" s="148"/>
      <c r="B33" s="149">
        <v>26</v>
      </c>
      <c r="C33" s="149" t="s">
        <v>38</v>
      </c>
      <c r="D33" s="450">
        <v>30373727</v>
      </c>
      <c r="E33" s="473" t="s">
        <v>2645</v>
      </c>
      <c r="F33" s="486" t="s">
        <v>897</v>
      </c>
      <c r="G33" s="452" t="s">
        <v>2616</v>
      </c>
      <c r="H33" s="460" t="s">
        <v>2617</v>
      </c>
      <c r="I33" s="617" t="s">
        <v>42</v>
      </c>
      <c r="J33" s="618">
        <v>1117578</v>
      </c>
      <c r="K33" s="618">
        <v>574453</v>
      </c>
      <c r="L33" s="618">
        <v>0</v>
      </c>
      <c r="M33" s="619">
        <v>0</v>
      </c>
      <c r="N33" s="619">
        <v>0</v>
      </c>
      <c r="O33" s="619">
        <v>51000</v>
      </c>
      <c r="P33" s="619">
        <v>153000</v>
      </c>
      <c r="Q33" s="619">
        <v>72780</v>
      </c>
      <c r="R33" s="619">
        <v>0</v>
      </c>
      <c r="S33" s="619"/>
      <c r="T33" s="619"/>
      <c r="U33" s="619"/>
      <c r="V33" s="619"/>
      <c r="W33" s="619"/>
      <c r="X33" s="619"/>
      <c r="Y33" s="619">
        <f t="shared" si="0"/>
        <v>276780</v>
      </c>
      <c r="Z33" s="455">
        <v>531174</v>
      </c>
      <c r="AA33" s="456">
        <v>13</v>
      </c>
      <c r="AB33" s="457">
        <v>44245</v>
      </c>
      <c r="AC33" s="457">
        <v>44267</v>
      </c>
      <c r="AD33" s="454"/>
      <c r="AE33" s="459"/>
      <c r="AF33" s="460"/>
      <c r="AG33" s="458"/>
      <c r="AH33" s="454"/>
      <c r="AI33" s="456"/>
      <c r="AJ33" s="460"/>
      <c r="AK33" s="458"/>
      <c r="AL33" s="454"/>
      <c r="AM33" s="456"/>
      <c r="AN33" s="460"/>
      <c r="AO33" s="458"/>
      <c r="AP33" s="454"/>
      <c r="AQ33" s="456"/>
      <c r="AR33" s="460"/>
      <c r="AS33" s="458"/>
      <c r="AT33" s="154">
        <f t="shared" si="1"/>
        <v>531174</v>
      </c>
      <c r="AU33" s="461">
        <f t="shared" si="2"/>
        <v>254394</v>
      </c>
    </row>
    <row r="34" spans="1:47" s="210" customFormat="1" ht="22.5" x14ac:dyDescent="0.25">
      <c r="A34" s="148"/>
      <c r="B34" s="149">
        <v>27</v>
      </c>
      <c r="C34" s="149" t="s">
        <v>38</v>
      </c>
      <c r="D34" s="450">
        <v>30422833</v>
      </c>
      <c r="E34" s="473" t="s">
        <v>2646</v>
      </c>
      <c r="F34" s="486" t="s">
        <v>2615</v>
      </c>
      <c r="G34" s="452" t="s">
        <v>2616</v>
      </c>
      <c r="H34" s="460" t="s">
        <v>2617</v>
      </c>
      <c r="I34" s="617" t="s">
        <v>42</v>
      </c>
      <c r="J34" s="618">
        <v>247003</v>
      </c>
      <c r="K34" s="618">
        <v>218971</v>
      </c>
      <c r="L34" s="618">
        <v>0</v>
      </c>
      <c r="M34" s="619">
        <v>0</v>
      </c>
      <c r="N34" s="619">
        <v>0</v>
      </c>
      <c r="O34" s="619">
        <v>0</v>
      </c>
      <c r="P34" s="619">
        <v>0</v>
      </c>
      <c r="Q34" s="619">
        <v>11510</v>
      </c>
      <c r="R34" s="619">
        <v>0</v>
      </c>
      <c r="S34" s="619"/>
      <c r="T34" s="619"/>
      <c r="U34" s="619"/>
      <c r="V34" s="619"/>
      <c r="W34" s="619"/>
      <c r="X34" s="619"/>
      <c r="Y34" s="619">
        <f t="shared" si="0"/>
        <v>11510</v>
      </c>
      <c r="Z34" s="455">
        <v>13562</v>
      </c>
      <c r="AA34" s="456">
        <v>13</v>
      </c>
      <c r="AB34" s="457">
        <v>44245</v>
      </c>
      <c r="AC34" s="457">
        <v>44267</v>
      </c>
      <c r="AD34" s="454"/>
      <c r="AE34" s="459"/>
      <c r="AF34" s="460"/>
      <c r="AG34" s="458"/>
      <c r="AH34" s="454"/>
      <c r="AI34" s="456"/>
      <c r="AJ34" s="460"/>
      <c r="AK34" s="458"/>
      <c r="AL34" s="454"/>
      <c r="AM34" s="456"/>
      <c r="AN34" s="460"/>
      <c r="AO34" s="458"/>
      <c r="AP34" s="454"/>
      <c r="AQ34" s="456"/>
      <c r="AR34" s="460"/>
      <c r="AS34" s="458"/>
      <c r="AT34" s="154">
        <f t="shared" si="1"/>
        <v>13562</v>
      </c>
      <c r="AU34" s="461">
        <f t="shared" si="2"/>
        <v>2052</v>
      </c>
    </row>
    <row r="35" spans="1:47" s="210" customFormat="1" ht="22.5" x14ac:dyDescent="0.25">
      <c r="A35" s="148"/>
      <c r="B35" s="149">
        <v>28</v>
      </c>
      <c r="C35" s="149" t="s">
        <v>38</v>
      </c>
      <c r="D35" s="450">
        <v>30457423</v>
      </c>
      <c r="E35" s="473" t="s">
        <v>2647</v>
      </c>
      <c r="F35" s="486" t="s">
        <v>2641</v>
      </c>
      <c r="G35" s="452" t="s">
        <v>2616</v>
      </c>
      <c r="H35" s="460" t="s">
        <v>2617</v>
      </c>
      <c r="I35" s="617" t="s">
        <v>42</v>
      </c>
      <c r="J35" s="618">
        <v>988516</v>
      </c>
      <c r="K35" s="618">
        <v>432461</v>
      </c>
      <c r="L35" s="618">
        <v>0</v>
      </c>
      <c r="M35" s="619">
        <v>0</v>
      </c>
      <c r="N35" s="619">
        <v>48131.919000000002</v>
      </c>
      <c r="O35" s="619">
        <v>113523.07</v>
      </c>
      <c r="P35" s="619">
        <v>71954</v>
      </c>
      <c r="Q35" s="619">
        <v>55034</v>
      </c>
      <c r="R35" s="619">
        <v>60485</v>
      </c>
      <c r="S35" s="619"/>
      <c r="T35" s="619"/>
      <c r="U35" s="619"/>
      <c r="V35" s="619"/>
      <c r="W35" s="619"/>
      <c r="X35" s="619"/>
      <c r="Y35" s="619">
        <f t="shared" si="0"/>
        <v>349127.989</v>
      </c>
      <c r="Z35" s="455">
        <v>480073</v>
      </c>
      <c r="AA35" s="456">
        <v>11</v>
      </c>
      <c r="AB35" s="457">
        <v>44245</v>
      </c>
      <c r="AC35" s="457">
        <v>44258</v>
      </c>
      <c r="AD35" s="454"/>
      <c r="AE35" s="459"/>
      <c r="AF35" s="460"/>
      <c r="AG35" s="458"/>
      <c r="AH35" s="454"/>
      <c r="AI35" s="456"/>
      <c r="AJ35" s="460"/>
      <c r="AK35" s="458"/>
      <c r="AL35" s="454"/>
      <c r="AM35" s="456"/>
      <c r="AN35" s="460"/>
      <c r="AO35" s="458"/>
      <c r="AP35" s="454"/>
      <c r="AQ35" s="456"/>
      <c r="AR35" s="460"/>
      <c r="AS35" s="458"/>
      <c r="AT35" s="154">
        <f t="shared" si="1"/>
        <v>480073</v>
      </c>
      <c r="AU35" s="461">
        <f t="shared" si="2"/>
        <v>130945.011</v>
      </c>
    </row>
    <row r="36" spans="1:47" s="210" customFormat="1" ht="22.5" x14ac:dyDescent="0.25">
      <c r="A36" s="148"/>
      <c r="B36" s="149">
        <v>29</v>
      </c>
      <c r="C36" s="149" t="s">
        <v>38</v>
      </c>
      <c r="D36" s="450">
        <v>30464744</v>
      </c>
      <c r="E36" s="473" t="s">
        <v>2648</v>
      </c>
      <c r="F36" s="486" t="s">
        <v>204</v>
      </c>
      <c r="G36" s="452" t="s">
        <v>2616</v>
      </c>
      <c r="H36" s="460" t="s">
        <v>2617</v>
      </c>
      <c r="I36" s="617" t="s">
        <v>42</v>
      </c>
      <c r="J36" s="618">
        <v>53283</v>
      </c>
      <c r="K36" s="618">
        <v>22016</v>
      </c>
      <c r="L36" s="618">
        <v>0</v>
      </c>
      <c r="M36" s="619">
        <v>0</v>
      </c>
      <c r="N36" s="619">
        <v>0</v>
      </c>
      <c r="O36" s="619">
        <v>0</v>
      </c>
      <c r="P36" s="619">
        <v>0</v>
      </c>
      <c r="Q36" s="619">
        <v>0</v>
      </c>
      <c r="R36" s="619">
        <v>0</v>
      </c>
      <c r="S36" s="619"/>
      <c r="T36" s="619"/>
      <c r="U36" s="619"/>
      <c r="V36" s="619"/>
      <c r="W36" s="619"/>
      <c r="X36" s="619"/>
      <c r="Y36" s="619">
        <f t="shared" si="0"/>
        <v>0</v>
      </c>
      <c r="Z36" s="455">
        <v>28122</v>
      </c>
      <c r="AA36" s="456">
        <v>15</v>
      </c>
      <c r="AB36" s="457">
        <v>44251</v>
      </c>
      <c r="AC36" s="457">
        <v>44267</v>
      </c>
      <c r="AD36" s="454"/>
      <c r="AE36" s="459"/>
      <c r="AF36" s="460"/>
      <c r="AG36" s="458"/>
      <c r="AH36" s="454"/>
      <c r="AI36" s="456"/>
      <c r="AJ36" s="460"/>
      <c r="AK36" s="458"/>
      <c r="AL36" s="454"/>
      <c r="AM36" s="456"/>
      <c r="AN36" s="460"/>
      <c r="AO36" s="458"/>
      <c r="AP36" s="454"/>
      <c r="AQ36" s="456"/>
      <c r="AR36" s="460"/>
      <c r="AS36" s="458"/>
      <c r="AT36" s="154">
        <f t="shared" si="1"/>
        <v>28122</v>
      </c>
      <c r="AU36" s="461">
        <f t="shared" si="2"/>
        <v>28122</v>
      </c>
    </row>
    <row r="37" spans="1:47" s="210" customFormat="1" ht="22.5" x14ac:dyDescent="0.25">
      <c r="A37" s="148"/>
      <c r="B37" s="149">
        <v>30</v>
      </c>
      <c r="C37" s="149" t="s">
        <v>38</v>
      </c>
      <c r="D37" s="450">
        <v>30476884</v>
      </c>
      <c r="E37" s="473" t="s">
        <v>2649</v>
      </c>
      <c r="F37" s="486" t="s">
        <v>897</v>
      </c>
      <c r="G37" s="452" t="s">
        <v>2616</v>
      </c>
      <c r="H37" s="460" t="s">
        <v>2617</v>
      </c>
      <c r="I37" s="617" t="s">
        <v>43</v>
      </c>
      <c r="J37" s="618">
        <v>15166755</v>
      </c>
      <c r="K37" s="618">
        <v>2387</v>
      </c>
      <c r="L37" s="618">
        <v>4663854</v>
      </c>
      <c r="M37" s="619">
        <v>0</v>
      </c>
      <c r="N37" s="619">
        <v>0</v>
      </c>
      <c r="O37" s="619">
        <v>0</v>
      </c>
      <c r="P37" s="619">
        <v>0</v>
      </c>
      <c r="Q37" s="619">
        <v>0</v>
      </c>
      <c r="R37" s="619">
        <v>0</v>
      </c>
      <c r="S37" s="619"/>
      <c r="T37" s="619"/>
      <c r="U37" s="619"/>
      <c r="V37" s="619"/>
      <c r="W37" s="619"/>
      <c r="X37" s="619"/>
      <c r="Y37" s="619">
        <f t="shared" si="0"/>
        <v>0</v>
      </c>
      <c r="Z37" s="455">
        <v>300876</v>
      </c>
      <c r="AA37" s="456">
        <v>13</v>
      </c>
      <c r="AB37" s="457">
        <v>44245</v>
      </c>
      <c r="AC37" s="457">
        <v>44267</v>
      </c>
      <c r="AD37" s="454"/>
      <c r="AE37" s="459"/>
      <c r="AF37" s="460"/>
      <c r="AG37" s="458"/>
      <c r="AH37" s="454"/>
      <c r="AI37" s="456"/>
      <c r="AJ37" s="460"/>
      <c r="AK37" s="458"/>
      <c r="AL37" s="454"/>
      <c r="AM37" s="456"/>
      <c r="AN37" s="460"/>
      <c r="AO37" s="458"/>
      <c r="AP37" s="454"/>
      <c r="AQ37" s="456"/>
      <c r="AR37" s="460"/>
      <c r="AS37" s="458"/>
      <c r="AT37" s="154">
        <f t="shared" si="1"/>
        <v>300876</v>
      </c>
      <c r="AU37" s="461">
        <f t="shared" si="2"/>
        <v>300876</v>
      </c>
    </row>
    <row r="38" spans="1:47" s="210" customFormat="1" ht="22.5" x14ac:dyDescent="0.25">
      <c r="A38" s="148"/>
      <c r="B38" s="149">
        <v>31</v>
      </c>
      <c r="C38" s="149" t="s">
        <v>38</v>
      </c>
      <c r="D38" s="450">
        <v>30478986</v>
      </c>
      <c r="E38" s="473" t="s">
        <v>2650</v>
      </c>
      <c r="F38" s="486" t="s">
        <v>2615</v>
      </c>
      <c r="G38" s="452" t="s">
        <v>2616</v>
      </c>
      <c r="H38" s="460" t="s">
        <v>2617</v>
      </c>
      <c r="I38" s="617" t="s">
        <v>42</v>
      </c>
      <c r="J38" s="618">
        <v>2111549</v>
      </c>
      <c r="K38" s="618">
        <v>2086039</v>
      </c>
      <c r="L38" s="618">
        <v>0</v>
      </c>
      <c r="M38" s="619">
        <v>0</v>
      </c>
      <c r="N38" s="619">
        <v>0</v>
      </c>
      <c r="O38" s="619">
        <v>0</v>
      </c>
      <c r="P38" s="619">
        <v>0</v>
      </c>
      <c r="Q38" s="619">
        <v>0</v>
      </c>
      <c r="R38" s="619">
        <v>0</v>
      </c>
      <c r="S38" s="619"/>
      <c r="T38" s="619"/>
      <c r="U38" s="619"/>
      <c r="V38" s="619"/>
      <c r="W38" s="619"/>
      <c r="X38" s="619"/>
      <c r="Y38" s="619">
        <f t="shared" si="0"/>
        <v>0</v>
      </c>
      <c r="Z38" s="455">
        <v>15080</v>
      </c>
      <c r="AA38" s="456">
        <v>13</v>
      </c>
      <c r="AB38" s="457">
        <v>44245</v>
      </c>
      <c r="AC38" s="457">
        <v>44267</v>
      </c>
      <c r="AD38" s="454"/>
      <c r="AE38" s="459"/>
      <c r="AF38" s="460"/>
      <c r="AG38" s="458"/>
      <c r="AH38" s="454"/>
      <c r="AI38" s="456"/>
      <c r="AJ38" s="460"/>
      <c r="AK38" s="458"/>
      <c r="AL38" s="454"/>
      <c r="AM38" s="456"/>
      <c r="AN38" s="460"/>
      <c r="AO38" s="458"/>
      <c r="AP38" s="454"/>
      <c r="AQ38" s="456"/>
      <c r="AR38" s="460"/>
      <c r="AS38" s="458"/>
      <c r="AT38" s="154">
        <f t="shared" si="1"/>
        <v>15080</v>
      </c>
      <c r="AU38" s="461">
        <f t="shared" si="2"/>
        <v>15080</v>
      </c>
    </row>
    <row r="39" spans="1:47" s="210" customFormat="1" ht="22.5" x14ac:dyDescent="0.25">
      <c r="A39" s="148"/>
      <c r="B39" s="149">
        <v>32</v>
      </c>
      <c r="C39" s="149" t="s">
        <v>38</v>
      </c>
      <c r="D39" s="450">
        <v>30480676</v>
      </c>
      <c r="E39" s="473" t="s">
        <v>2651</v>
      </c>
      <c r="F39" s="486" t="s">
        <v>539</v>
      </c>
      <c r="G39" s="452" t="s">
        <v>2616</v>
      </c>
      <c r="H39" s="460" t="s">
        <v>2617</v>
      </c>
      <c r="I39" s="617" t="s">
        <v>42</v>
      </c>
      <c r="J39" s="618">
        <v>761177</v>
      </c>
      <c r="K39" s="618">
        <v>294026</v>
      </c>
      <c r="L39" s="618">
        <v>0</v>
      </c>
      <c r="M39" s="619">
        <v>0</v>
      </c>
      <c r="N39" s="619">
        <v>0</v>
      </c>
      <c r="O39" s="619">
        <v>0</v>
      </c>
      <c r="P39" s="619">
        <v>0</v>
      </c>
      <c r="Q39" s="619">
        <v>0</v>
      </c>
      <c r="R39" s="619">
        <v>0</v>
      </c>
      <c r="S39" s="619"/>
      <c r="T39" s="619"/>
      <c r="U39" s="619"/>
      <c r="V39" s="619"/>
      <c r="W39" s="619"/>
      <c r="X39" s="619"/>
      <c r="Y39" s="619">
        <f t="shared" si="0"/>
        <v>0</v>
      </c>
      <c r="Z39" s="455">
        <v>1</v>
      </c>
      <c r="AA39" s="456">
        <v>15</v>
      </c>
      <c r="AB39" s="457">
        <v>44251</v>
      </c>
      <c r="AC39" s="457">
        <v>44267</v>
      </c>
      <c r="AD39" s="454"/>
      <c r="AE39" s="459"/>
      <c r="AF39" s="460"/>
      <c r="AG39" s="458"/>
      <c r="AH39" s="454"/>
      <c r="AI39" s="456"/>
      <c r="AJ39" s="460"/>
      <c r="AK39" s="458"/>
      <c r="AL39" s="454"/>
      <c r="AM39" s="456"/>
      <c r="AN39" s="460"/>
      <c r="AO39" s="458"/>
      <c r="AP39" s="454"/>
      <c r="AQ39" s="456"/>
      <c r="AR39" s="460"/>
      <c r="AS39" s="458"/>
      <c r="AT39" s="154">
        <f t="shared" si="1"/>
        <v>1</v>
      </c>
      <c r="AU39" s="461">
        <f t="shared" si="2"/>
        <v>1</v>
      </c>
    </row>
    <row r="40" spans="1:47" s="210" customFormat="1" ht="22.5" x14ac:dyDescent="0.25">
      <c r="A40" s="148"/>
      <c r="B40" s="149">
        <v>33</v>
      </c>
      <c r="C40" s="149" t="s">
        <v>38</v>
      </c>
      <c r="D40" s="450">
        <v>30483609</v>
      </c>
      <c r="E40" s="473" t="s">
        <v>2652</v>
      </c>
      <c r="F40" s="486" t="s">
        <v>2653</v>
      </c>
      <c r="G40" s="452" t="s">
        <v>2616</v>
      </c>
      <c r="H40" s="460" t="s">
        <v>2617</v>
      </c>
      <c r="I40" s="617" t="s">
        <v>42</v>
      </c>
      <c r="J40" s="618">
        <v>271020</v>
      </c>
      <c r="K40" s="618">
        <v>186332</v>
      </c>
      <c r="L40" s="618">
        <v>0</v>
      </c>
      <c r="M40" s="619">
        <v>0</v>
      </c>
      <c r="N40" s="619">
        <v>0</v>
      </c>
      <c r="O40" s="619">
        <v>0</v>
      </c>
      <c r="P40" s="619">
        <v>0</v>
      </c>
      <c r="Q40" s="619">
        <v>0</v>
      </c>
      <c r="R40" s="619">
        <v>0</v>
      </c>
      <c r="S40" s="619"/>
      <c r="T40" s="619"/>
      <c r="U40" s="619"/>
      <c r="V40" s="619"/>
      <c r="W40" s="619"/>
      <c r="X40" s="619"/>
      <c r="Y40" s="619">
        <f t="shared" si="0"/>
        <v>0</v>
      </c>
      <c r="Z40" s="455">
        <v>15932</v>
      </c>
      <c r="AA40" s="456">
        <v>11</v>
      </c>
      <c r="AB40" s="457">
        <v>44245</v>
      </c>
      <c r="AC40" s="457">
        <v>44258</v>
      </c>
      <c r="AD40" s="454"/>
      <c r="AE40" s="459"/>
      <c r="AF40" s="460"/>
      <c r="AG40" s="458"/>
      <c r="AH40" s="454"/>
      <c r="AI40" s="456"/>
      <c r="AJ40" s="460"/>
      <c r="AK40" s="458"/>
      <c r="AL40" s="454"/>
      <c r="AM40" s="456"/>
      <c r="AN40" s="460"/>
      <c r="AO40" s="458"/>
      <c r="AP40" s="454"/>
      <c r="AQ40" s="456"/>
      <c r="AR40" s="460"/>
      <c r="AS40" s="458"/>
      <c r="AT40" s="154">
        <f t="shared" si="1"/>
        <v>15932</v>
      </c>
      <c r="AU40" s="461">
        <f t="shared" si="2"/>
        <v>15932</v>
      </c>
    </row>
    <row r="41" spans="1:47" s="210" customFormat="1" ht="22.5" x14ac:dyDescent="0.25">
      <c r="A41" s="148"/>
      <c r="B41" s="149">
        <v>34</v>
      </c>
      <c r="C41" s="149" t="s">
        <v>38</v>
      </c>
      <c r="D41" s="450">
        <v>30484949</v>
      </c>
      <c r="E41" s="473" t="s">
        <v>2654</v>
      </c>
      <c r="F41" s="486" t="s">
        <v>204</v>
      </c>
      <c r="G41" s="452" t="s">
        <v>2616</v>
      </c>
      <c r="H41" s="460" t="s">
        <v>2617</v>
      </c>
      <c r="I41" s="617" t="s">
        <v>42</v>
      </c>
      <c r="J41" s="618">
        <v>50742</v>
      </c>
      <c r="K41" s="618">
        <v>35405</v>
      </c>
      <c r="L41" s="618">
        <v>0</v>
      </c>
      <c r="M41" s="619">
        <v>0</v>
      </c>
      <c r="N41" s="619">
        <v>0</v>
      </c>
      <c r="O41" s="619">
        <v>0</v>
      </c>
      <c r="P41" s="619">
        <v>14400</v>
      </c>
      <c r="Q41" s="619">
        <v>0</v>
      </c>
      <c r="R41" s="619">
        <v>0</v>
      </c>
      <c r="S41" s="619"/>
      <c r="T41" s="619"/>
      <c r="U41" s="619"/>
      <c r="V41" s="619"/>
      <c r="W41" s="619"/>
      <c r="X41" s="619"/>
      <c r="Y41" s="619">
        <f t="shared" si="0"/>
        <v>14400</v>
      </c>
      <c r="Z41" s="455">
        <v>14400</v>
      </c>
      <c r="AA41" s="456">
        <v>12</v>
      </c>
      <c r="AB41" s="457">
        <v>44245</v>
      </c>
      <c r="AC41" s="457">
        <v>44266</v>
      </c>
      <c r="AD41" s="454"/>
      <c r="AE41" s="459"/>
      <c r="AF41" s="460"/>
      <c r="AG41" s="458"/>
      <c r="AH41" s="454"/>
      <c r="AI41" s="456"/>
      <c r="AJ41" s="460"/>
      <c r="AK41" s="458"/>
      <c r="AL41" s="454"/>
      <c r="AM41" s="456"/>
      <c r="AN41" s="460"/>
      <c r="AO41" s="458"/>
      <c r="AP41" s="454"/>
      <c r="AQ41" s="456"/>
      <c r="AR41" s="460"/>
      <c r="AS41" s="458"/>
      <c r="AT41" s="154">
        <f t="shared" si="1"/>
        <v>14400</v>
      </c>
      <c r="AU41" s="461">
        <f t="shared" si="2"/>
        <v>0</v>
      </c>
    </row>
    <row r="42" spans="1:47" s="210" customFormat="1" ht="22.5" x14ac:dyDescent="0.25">
      <c r="A42" s="148"/>
      <c r="B42" s="149">
        <v>35</v>
      </c>
      <c r="C42" s="149" t="s">
        <v>38</v>
      </c>
      <c r="D42" s="450">
        <v>30485271</v>
      </c>
      <c r="E42" s="473" t="s">
        <v>2655</v>
      </c>
      <c r="F42" s="486" t="s">
        <v>2615</v>
      </c>
      <c r="G42" s="452" t="s">
        <v>2616</v>
      </c>
      <c r="H42" s="460" t="s">
        <v>2617</v>
      </c>
      <c r="I42" s="617" t="s">
        <v>42</v>
      </c>
      <c r="J42" s="618">
        <v>904391</v>
      </c>
      <c r="K42" s="618">
        <v>599582</v>
      </c>
      <c r="L42" s="618">
        <v>0</v>
      </c>
      <c r="M42" s="619">
        <v>0</v>
      </c>
      <c r="N42" s="619">
        <v>72584.612999999998</v>
      </c>
      <c r="O42" s="619">
        <v>70116.816999999995</v>
      </c>
      <c r="P42" s="619">
        <v>0</v>
      </c>
      <c r="Q42" s="619">
        <v>0</v>
      </c>
      <c r="R42" s="619">
        <v>0</v>
      </c>
      <c r="S42" s="619"/>
      <c r="T42" s="619"/>
      <c r="U42" s="619"/>
      <c r="V42" s="619"/>
      <c r="W42" s="619"/>
      <c r="X42" s="619"/>
      <c r="Y42" s="619">
        <f t="shared" si="0"/>
        <v>142701.43</v>
      </c>
      <c r="Z42" s="455">
        <v>252870</v>
      </c>
      <c r="AA42" s="456">
        <v>11</v>
      </c>
      <c r="AB42" s="457">
        <v>44245</v>
      </c>
      <c r="AC42" s="457">
        <v>44258</v>
      </c>
      <c r="AD42" s="454">
        <v>-101635</v>
      </c>
      <c r="AE42" s="459">
        <v>25</v>
      </c>
      <c r="AF42" s="457">
        <v>44328</v>
      </c>
      <c r="AG42" s="458">
        <v>44342</v>
      </c>
      <c r="AH42" s="454"/>
      <c r="AI42" s="456"/>
      <c r="AJ42" s="460"/>
      <c r="AK42" s="458"/>
      <c r="AL42" s="454"/>
      <c r="AM42" s="456"/>
      <c r="AN42" s="460"/>
      <c r="AO42" s="458"/>
      <c r="AP42" s="454"/>
      <c r="AQ42" s="456"/>
      <c r="AR42" s="460"/>
      <c r="AS42" s="458"/>
      <c r="AT42" s="154">
        <f t="shared" si="1"/>
        <v>151235</v>
      </c>
      <c r="AU42" s="461">
        <f t="shared" si="2"/>
        <v>8533.570000000007</v>
      </c>
    </row>
    <row r="43" spans="1:47" s="210" customFormat="1" ht="22.5" x14ac:dyDescent="0.25">
      <c r="A43" s="148"/>
      <c r="B43" s="149">
        <v>36</v>
      </c>
      <c r="C43" s="149" t="s">
        <v>38</v>
      </c>
      <c r="D43" s="450">
        <v>40000979</v>
      </c>
      <c r="E43" s="473" t="s">
        <v>2656</v>
      </c>
      <c r="F43" s="486" t="s">
        <v>2615</v>
      </c>
      <c r="G43" s="452" t="s">
        <v>2616</v>
      </c>
      <c r="H43" s="460" t="s">
        <v>2617</v>
      </c>
      <c r="I43" s="617" t="s">
        <v>43</v>
      </c>
      <c r="J43" s="618">
        <v>3612481</v>
      </c>
      <c r="K43" s="618">
        <v>9378</v>
      </c>
      <c r="L43" s="618">
        <v>273484</v>
      </c>
      <c r="M43" s="619">
        <v>0</v>
      </c>
      <c r="N43" s="619">
        <v>0</v>
      </c>
      <c r="O43" s="619">
        <v>0</v>
      </c>
      <c r="P43" s="619">
        <v>86425</v>
      </c>
      <c r="Q43" s="619">
        <v>160683</v>
      </c>
      <c r="R43" s="619">
        <v>141231</v>
      </c>
      <c r="S43" s="619"/>
      <c r="T43" s="619"/>
      <c r="U43" s="619"/>
      <c r="V43" s="619"/>
      <c r="W43" s="619"/>
      <c r="X43" s="619"/>
      <c r="Y43" s="619">
        <f t="shared" si="0"/>
        <v>388339</v>
      </c>
      <c r="Z43" s="455">
        <v>230000</v>
      </c>
      <c r="AA43" s="456">
        <v>7</v>
      </c>
      <c r="AB43" s="457">
        <v>44223</v>
      </c>
      <c r="AC43" s="457">
        <v>44244</v>
      </c>
      <c r="AD43" s="454">
        <v>1740000</v>
      </c>
      <c r="AE43" s="459">
        <v>25</v>
      </c>
      <c r="AF43" s="457">
        <v>44328</v>
      </c>
      <c r="AG43" s="458">
        <v>44342</v>
      </c>
      <c r="AH43" s="454"/>
      <c r="AI43" s="456"/>
      <c r="AJ43" s="460"/>
      <c r="AK43" s="458"/>
      <c r="AL43" s="454"/>
      <c r="AM43" s="456"/>
      <c r="AN43" s="460"/>
      <c r="AO43" s="458"/>
      <c r="AP43" s="454"/>
      <c r="AQ43" s="456"/>
      <c r="AR43" s="460"/>
      <c r="AS43" s="458"/>
      <c r="AT43" s="154">
        <f t="shared" si="1"/>
        <v>1970000</v>
      </c>
      <c r="AU43" s="461">
        <f t="shared" si="2"/>
        <v>1581661</v>
      </c>
    </row>
    <row r="44" spans="1:47" s="210" customFormat="1" ht="22.5" x14ac:dyDescent="0.25">
      <c r="A44" s="148"/>
      <c r="B44" s="149">
        <v>37</v>
      </c>
      <c r="C44" s="149" t="s">
        <v>38</v>
      </c>
      <c r="D44" s="450">
        <v>40001774</v>
      </c>
      <c r="E44" s="473" t="s">
        <v>2657</v>
      </c>
      <c r="F44" s="486" t="s">
        <v>2615</v>
      </c>
      <c r="G44" s="452" t="s">
        <v>2616</v>
      </c>
      <c r="H44" s="460" t="s">
        <v>2617</v>
      </c>
      <c r="I44" s="617" t="s">
        <v>42</v>
      </c>
      <c r="J44" s="618">
        <v>480225</v>
      </c>
      <c r="K44" s="618">
        <v>441633</v>
      </c>
      <c r="L44" s="618">
        <v>0</v>
      </c>
      <c r="M44" s="619">
        <v>0</v>
      </c>
      <c r="N44" s="619">
        <v>0</v>
      </c>
      <c r="O44" s="619">
        <v>2950</v>
      </c>
      <c r="P44" s="619">
        <v>0</v>
      </c>
      <c r="Q44" s="619">
        <v>0</v>
      </c>
      <c r="R44" s="619">
        <v>0</v>
      </c>
      <c r="S44" s="619"/>
      <c r="T44" s="619"/>
      <c r="U44" s="619"/>
      <c r="V44" s="619"/>
      <c r="W44" s="619"/>
      <c r="X44" s="619"/>
      <c r="Y44" s="619">
        <f t="shared" si="0"/>
        <v>2950</v>
      </c>
      <c r="Z44" s="455">
        <v>2950</v>
      </c>
      <c r="AA44" s="456">
        <v>12</v>
      </c>
      <c r="AB44" s="457">
        <v>44245</v>
      </c>
      <c r="AC44" s="457">
        <v>44266</v>
      </c>
      <c r="AD44" s="454"/>
      <c r="AE44" s="459"/>
      <c r="AF44" s="460"/>
      <c r="AG44" s="458"/>
      <c r="AH44" s="454"/>
      <c r="AI44" s="456"/>
      <c r="AJ44" s="460"/>
      <c r="AK44" s="458"/>
      <c r="AL44" s="454"/>
      <c r="AM44" s="456"/>
      <c r="AN44" s="460"/>
      <c r="AO44" s="458"/>
      <c r="AP44" s="454"/>
      <c r="AQ44" s="456"/>
      <c r="AR44" s="460"/>
      <c r="AS44" s="458"/>
      <c r="AT44" s="154">
        <f t="shared" si="1"/>
        <v>2950</v>
      </c>
      <c r="AU44" s="461">
        <f t="shared" si="2"/>
        <v>0</v>
      </c>
    </row>
    <row r="45" spans="1:47" s="210" customFormat="1" ht="22.5" x14ac:dyDescent="0.25">
      <c r="A45" s="148"/>
      <c r="B45" s="149">
        <v>38</v>
      </c>
      <c r="C45" s="149" t="s">
        <v>38</v>
      </c>
      <c r="D45" s="450">
        <v>40002064</v>
      </c>
      <c r="E45" s="473" t="s">
        <v>2658</v>
      </c>
      <c r="F45" s="486" t="s">
        <v>204</v>
      </c>
      <c r="G45" s="452" t="s">
        <v>2616</v>
      </c>
      <c r="H45" s="460" t="s">
        <v>2617</v>
      </c>
      <c r="I45" s="617" t="s">
        <v>42</v>
      </c>
      <c r="J45" s="618">
        <v>87110</v>
      </c>
      <c r="K45" s="618">
        <v>45031</v>
      </c>
      <c r="L45" s="618">
        <v>0</v>
      </c>
      <c r="M45" s="619">
        <v>0</v>
      </c>
      <c r="N45" s="619">
        <v>0</v>
      </c>
      <c r="O45" s="619">
        <v>0</v>
      </c>
      <c r="P45" s="619">
        <v>0</v>
      </c>
      <c r="Q45" s="619">
        <v>0</v>
      </c>
      <c r="R45" s="619">
        <v>18435</v>
      </c>
      <c r="S45" s="619"/>
      <c r="T45" s="619"/>
      <c r="U45" s="619"/>
      <c r="V45" s="619"/>
      <c r="W45" s="619"/>
      <c r="X45" s="619"/>
      <c r="Y45" s="619">
        <f t="shared" si="0"/>
        <v>18435</v>
      </c>
      <c r="Z45" s="455">
        <v>18435</v>
      </c>
      <c r="AA45" s="456">
        <v>12</v>
      </c>
      <c r="AB45" s="457">
        <v>44245</v>
      </c>
      <c r="AC45" s="457">
        <v>44266</v>
      </c>
      <c r="AD45" s="454"/>
      <c r="AE45" s="459"/>
      <c r="AF45" s="460"/>
      <c r="AG45" s="458"/>
      <c r="AH45" s="454"/>
      <c r="AI45" s="456"/>
      <c r="AJ45" s="460"/>
      <c r="AK45" s="458"/>
      <c r="AL45" s="454"/>
      <c r="AM45" s="456"/>
      <c r="AN45" s="460"/>
      <c r="AO45" s="458"/>
      <c r="AP45" s="454"/>
      <c r="AQ45" s="456"/>
      <c r="AR45" s="460"/>
      <c r="AS45" s="458"/>
      <c r="AT45" s="154">
        <f t="shared" si="1"/>
        <v>18435</v>
      </c>
      <c r="AU45" s="461">
        <f t="shared" si="2"/>
        <v>0</v>
      </c>
    </row>
    <row r="46" spans="1:47" s="210" customFormat="1" ht="22.5" x14ac:dyDescent="0.25">
      <c r="A46" s="148"/>
      <c r="B46" s="149">
        <v>39</v>
      </c>
      <c r="C46" s="149" t="s">
        <v>38</v>
      </c>
      <c r="D46" s="450">
        <v>40003168</v>
      </c>
      <c r="E46" s="473" t="s">
        <v>2659</v>
      </c>
      <c r="F46" s="486" t="s">
        <v>897</v>
      </c>
      <c r="G46" s="452" t="s">
        <v>2616</v>
      </c>
      <c r="H46" s="460" t="s">
        <v>2660</v>
      </c>
      <c r="I46" s="617" t="s">
        <v>43</v>
      </c>
      <c r="J46" s="618">
        <v>2149554</v>
      </c>
      <c r="K46" s="618">
        <v>0</v>
      </c>
      <c r="L46" s="618">
        <v>0</v>
      </c>
      <c r="M46" s="619">
        <v>0</v>
      </c>
      <c r="N46" s="619">
        <v>0</v>
      </c>
      <c r="O46" s="619">
        <v>0</v>
      </c>
      <c r="P46" s="619">
        <v>0</v>
      </c>
      <c r="Q46" s="619">
        <v>70632</v>
      </c>
      <c r="R46" s="619">
        <v>43152</v>
      </c>
      <c r="S46" s="619"/>
      <c r="T46" s="619"/>
      <c r="U46" s="619"/>
      <c r="V46" s="619"/>
      <c r="W46" s="619"/>
      <c r="X46" s="619"/>
      <c r="Y46" s="619">
        <f t="shared" si="0"/>
        <v>113784</v>
      </c>
      <c r="Z46" s="455">
        <v>619845</v>
      </c>
      <c r="AA46" s="456">
        <v>8</v>
      </c>
      <c r="AB46" s="457">
        <v>44223</v>
      </c>
      <c r="AC46" s="457">
        <v>44237</v>
      </c>
      <c r="AD46" s="454"/>
      <c r="AE46" s="459"/>
      <c r="AF46" s="460"/>
      <c r="AG46" s="458"/>
      <c r="AH46" s="454"/>
      <c r="AI46" s="456"/>
      <c r="AJ46" s="460"/>
      <c r="AK46" s="458"/>
      <c r="AL46" s="454"/>
      <c r="AM46" s="456"/>
      <c r="AN46" s="460"/>
      <c r="AO46" s="458"/>
      <c r="AP46" s="454"/>
      <c r="AQ46" s="456"/>
      <c r="AR46" s="460"/>
      <c r="AS46" s="458"/>
      <c r="AT46" s="154">
        <f t="shared" si="1"/>
        <v>619845</v>
      </c>
      <c r="AU46" s="461">
        <f t="shared" si="2"/>
        <v>506061</v>
      </c>
    </row>
    <row r="47" spans="1:47" s="210" customFormat="1" ht="22.5" x14ac:dyDescent="0.25">
      <c r="A47" s="148"/>
      <c r="B47" s="149">
        <v>40</v>
      </c>
      <c r="C47" s="149" t="s">
        <v>40</v>
      </c>
      <c r="D47" s="450">
        <v>30341574</v>
      </c>
      <c r="E47" s="473" t="s">
        <v>2661</v>
      </c>
      <c r="F47" s="486" t="s">
        <v>2615</v>
      </c>
      <c r="G47" s="452" t="s">
        <v>2616</v>
      </c>
      <c r="H47" s="460" t="s">
        <v>2617</v>
      </c>
      <c r="I47" s="617" t="s">
        <v>42</v>
      </c>
      <c r="J47" s="618">
        <v>345033</v>
      </c>
      <c r="K47" s="618">
        <v>33721</v>
      </c>
      <c r="L47" s="618">
        <v>0</v>
      </c>
      <c r="M47" s="619">
        <v>0</v>
      </c>
      <c r="N47" s="619">
        <v>0</v>
      </c>
      <c r="O47" s="619">
        <v>0</v>
      </c>
      <c r="P47" s="619">
        <v>0</v>
      </c>
      <c r="Q47" s="619">
        <v>0</v>
      </c>
      <c r="R47" s="619">
        <v>0</v>
      </c>
      <c r="S47" s="619"/>
      <c r="T47" s="619"/>
      <c r="U47" s="619"/>
      <c r="V47" s="619"/>
      <c r="W47" s="619"/>
      <c r="X47" s="619"/>
      <c r="Y47" s="619">
        <f t="shared" si="0"/>
        <v>0</v>
      </c>
      <c r="Z47" s="455">
        <v>295193</v>
      </c>
      <c r="AA47" s="456">
        <v>14</v>
      </c>
      <c r="AB47" s="457">
        <v>44245</v>
      </c>
      <c r="AC47" s="457">
        <v>44287</v>
      </c>
      <c r="AD47" s="454"/>
      <c r="AE47" s="459"/>
      <c r="AF47" s="460"/>
      <c r="AG47" s="458"/>
      <c r="AH47" s="454"/>
      <c r="AI47" s="456"/>
      <c r="AJ47" s="460"/>
      <c r="AK47" s="458"/>
      <c r="AL47" s="454"/>
      <c r="AM47" s="456"/>
      <c r="AN47" s="460"/>
      <c r="AO47" s="458"/>
      <c r="AP47" s="454"/>
      <c r="AQ47" s="456"/>
      <c r="AR47" s="460"/>
      <c r="AS47" s="458"/>
      <c r="AT47" s="154">
        <f t="shared" si="1"/>
        <v>295193</v>
      </c>
      <c r="AU47" s="461">
        <f t="shared" si="2"/>
        <v>295193</v>
      </c>
    </row>
    <row r="48" spans="1:47" s="210" customFormat="1" ht="22.5" x14ac:dyDescent="0.25">
      <c r="A48" s="148"/>
      <c r="B48" s="149">
        <v>41</v>
      </c>
      <c r="C48" s="149" t="s">
        <v>38</v>
      </c>
      <c r="D48" s="450">
        <v>40010116</v>
      </c>
      <c r="E48" s="473" t="s">
        <v>2662</v>
      </c>
      <c r="F48" s="486" t="s">
        <v>2663</v>
      </c>
      <c r="G48" s="452" t="s">
        <v>2616</v>
      </c>
      <c r="H48" s="460" t="s">
        <v>2664</v>
      </c>
      <c r="I48" s="617" t="s">
        <v>43</v>
      </c>
      <c r="J48" s="618">
        <v>11662119</v>
      </c>
      <c r="K48" s="618">
        <v>0</v>
      </c>
      <c r="L48" s="618">
        <v>5247507</v>
      </c>
      <c r="M48" s="619">
        <v>0</v>
      </c>
      <c r="N48" s="619">
        <v>0</v>
      </c>
      <c r="O48" s="619">
        <v>0</v>
      </c>
      <c r="P48" s="619">
        <v>0</v>
      </c>
      <c r="Q48" s="619">
        <v>41936</v>
      </c>
      <c r="R48" s="619">
        <v>993712</v>
      </c>
      <c r="S48" s="619"/>
      <c r="T48" s="619"/>
      <c r="U48" s="619"/>
      <c r="V48" s="619"/>
      <c r="W48" s="619"/>
      <c r="X48" s="619"/>
      <c r="Y48" s="619">
        <f t="shared" si="0"/>
        <v>1035648</v>
      </c>
      <c r="Z48" s="455">
        <v>1002000</v>
      </c>
      <c r="AA48" s="456">
        <v>7</v>
      </c>
      <c r="AB48" s="457">
        <v>44223</v>
      </c>
      <c r="AC48" s="457">
        <v>44244</v>
      </c>
      <c r="AD48" s="454">
        <v>1500000</v>
      </c>
      <c r="AE48" s="459">
        <v>25</v>
      </c>
      <c r="AF48" s="457">
        <v>44328</v>
      </c>
      <c r="AG48" s="458">
        <v>44342</v>
      </c>
      <c r="AH48" s="454"/>
      <c r="AI48" s="456"/>
      <c r="AJ48" s="460"/>
      <c r="AK48" s="458"/>
      <c r="AL48" s="454"/>
      <c r="AM48" s="456"/>
      <c r="AN48" s="460"/>
      <c r="AO48" s="458"/>
      <c r="AP48" s="454"/>
      <c r="AQ48" s="456"/>
      <c r="AR48" s="460"/>
      <c r="AS48" s="458"/>
      <c r="AT48" s="154">
        <f t="shared" si="1"/>
        <v>2502000</v>
      </c>
      <c r="AU48" s="461">
        <f t="shared" si="2"/>
        <v>1466352</v>
      </c>
    </row>
    <row r="49" spans="1:47" s="210" customFormat="1" ht="22.5" x14ac:dyDescent="0.25">
      <c r="A49" s="148"/>
      <c r="B49" s="149">
        <v>42</v>
      </c>
      <c r="C49" s="149" t="s">
        <v>38</v>
      </c>
      <c r="D49" s="450">
        <v>40010167</v>
      </c>
      <c r="E49" s="473" t="s">
        <v>2665</v>
      </c>
      <c r="F49" s="486" t="s">
        <v>897</v>
      </c>
      <c r="G49" s="452" t="s">
        <v>2616</v>
      </c>
      <c r="H49" s="460" t="s">
        <v>2660</v>
      </c>
      <c r="I49" s="617" t="s">
        <v>43</v>
      </c>
      <c r="J49" s="618">
        <v>327178</v>
      </c>
      <c r="K49" s="618">
        <v>0</v>
      </c>
      <c r="L49" s="618">
        <v>0</v>
      </c>
      <c r="M49" s="619">
        <v>0</v>
      </c>
      <c r="N49" s="619">
        <v>0</v>
      </c>
      <c r="O49" s="619">
        <v>0</v>
      </c>
      <c r="P49" s="619">
        <v>0</v>
      </c>
      <c r="Q49" s="619">
        <v>0</v>
      </c>
      <c r="R49" s="619">
        <v>0</v>
      </c>
      <c r="S49" s="619"/>
      <c r="T49" s="619"/>
      <c r="U49" s="619"/>
      <c r="V49" s="619"/>
      <c r="W49" s="619"/>
      <c r="X49" s="619"/>
      <c r="Y49" s="619">
        <f t="shared" si="0"/>
        <v>0</v>
      </c>
      <c r="Z49" s="455">
        <v>10000</v>
      </c>
      <c r="AA49" s="456">
        <v>8</v>
      </c>
      <c r="AB49" s="457">
        <v>44223</v>
      </c>
      <c r="AC49" s="457">
        <v>44237</v>
      </c>
      <c r="AD49" s="454"/>
      <c r="AE49" s="459"/>
      <c r="AF49" s="460"/>
      <c r="AG49" s="458"/>
      <c r="AH49" s="454"/>
      <c r="AI49" s="456"/>
      <c r="AJ49" s="460"/>
      <c r="AK49" s="458"/>
      <c r="AL49" s="454"/>
      <c r="AM49" s="456"/>
      <c r="AN49" s="460"/>
      <c r="AO49" s="458"/>
      <c r="AP49" s="454"/>
      <c r="AQ49" s="456"/>
      <c r="AR49" s="460"/>
      <c r="AS49" s="458"/>
      <c r="AT49" s="154">
        <f t="shared" si="1"/>
        <v>10000</v>
      </c>
      <c r="AU49" s="461">
        <f t="shared" si="2"/>
        <v>10000</v>
      </c>
    </row>
    <row r="50" spans="1:47" s="210" customFormat="1" ht="22.5" x14ac:dyDescent="0.25">
      <c r="A50" s="148"/>
      <c r="B50" s="149">
        <v>43</v>
      </c>
      <c r="C50" s="149" t="s">
        <v>38</v>
      </c>
      <c r="D50" s="450">
        <v>40010404</v>
      </c>
      <c r="E50" s="473" t="s">
        <v>2666</v>
      </c>
      <c r="F50" s="486" t="s">
        <v>204</v>
      </c>
      <c r="G50" s="452" t="s">
        <v>2616</v>
      </c>
      <c r="H50" s="460" t="s">
        <v>2617</v>
      </c>
      <c r="I50" s="617" t="s">
        <v>43</v>
      </c>
      <c r="J50" s="618">
        <v>225145</v>
      </c>
      <c r="K50" s="618">
        <v>0</v>
      </c>
      <c r="L50" s="618">
        <v>102386</v>
      </c>
      <c r="M50" s="619">
        <v>0</v>
      </c>
      <c r="N50" s="619">
        <v>0</v>
      </c>
      <c r="O50" s="619">
        <v>0</v>
      </c>
      <c r="P50" s="619">
        <v>0</v>
      </c>
      <c r="Q50" s="619">
        <v>0</v>
      </c>
      <c r="R50" s="619">
        <v>0</v>
      </c>
      <c r="S50" s="619"/>
      <c r="T50" s="619"/>
      <c r="U50" s="619"/>
      <c r="V50" s="619"/>
      <c r="W50" s="619"/>
      <c r="X50" s="619"/>
      <c r="Y50" s="619">
        <f t="shared" si="0"/>
        <v>0</v>
      </c>
      <c r="Z50" s="455">
        <v>120057</v>
      </c>
      <c r="AA50" s="456">
        <v>5</v>
      </c>
      <c r="AB50" s="457">
        <v>44223</v>
      </c>
      <c r="AC50" s="457">
        <v>44230</v>
      </c>
      <c r="AD50" s="454">
        <v>1</v>
      </c>
      <c r="AE50" s="459">
        <v>17</v>
      </c>
      <c r="AF50" s="457">
        <v>44260</v>
      </c>
      <c r="AG50" s="457">
        <v>44272</v>
      </c>
      <c r="AH50" s="454">
        <v>-51735</v>
      </c>
      <c r="AI50" s="456">
        <v>25</v>
      </c>
      <c r="AJ50" s="457">
        <v>44328</v>
      </c>
      <c r="AK50" s="458">
        <v>44342</v>
      </c>
      <c r="AL50" s="454"/>
      <c r="AM50" s="456"/>
      <c r="AN50" s="460"/>
      <c r="AO50" s="458"/>
      <c r="AP50" s="454"/>
      <c r="AQ50" s="456"/>
      <c r="AR50" s="460"/>
      <c r="AS50" s="458"/>
      <c r="AT50" s="154">
        <f t="shared" si="1"/>
        <v>68323</v>
      </c>
      <c r="AU50" s="461">
        <f t="shared" si="2"/>
        <v>68323</v>
      </c>
    </row>
    <row r="51" spans="1:47" s="210" customFormat="1" ht="22.5" x14ac:dyDescent="0.25">
      <c r="A51" s="148"/>
      <c r="B51" s="149">
        <v>44</v>
      </c>
      <c r="C51" s="149" t="s">
        <v>38</v>
      </c>
      <c r="D51" s="450">
        <v>40014571</v>
      </c>
      <c r="E51" s="473" t="s">
        <v>2667</v>
      </c>
      <c r="F51" s="486" t="s">
        <v>897</v>
      </c>
      <c r="G51" s="452" t="s">
        <v>2616</v>
      </c>
      <c r="H51" s="460" t="s">
        <v>2634</v>
      </c>
      <c r="I51" s="617" t="s">
        <v>43</v>
      </c>
      <c r="J51" s="618">
        <v>414371</v>
      </c>
      <c r="K51" s="618">
        <v>0</v>
      </c>
      <c r="L51" s="618">
        <v>0</v>
      </c>
      <c r="M51" s="619">
        <v>0</v>
      </c>
      <c r="N51" s="619">
        <v>0</v>
      </c>
      <c r="O51" s="619">
        <v>0</v>
      </c>
      <c r="P51" s="619">
        <v>0</v>
      </c>
      <c r="Q51" s="619">
        <v>0</v>
      </c>
      <c r="R51" s="619">
        <v>0</v>
      </c>
      <c r="S51" s="619"/>
      <c r="T51" s="619"/>
      <c r="U51" s="619"/>
      <c r="V51" s="619"/>
      <c r="W51" s="619"/>
      <c r="X51" s="619"/>
      <c r="Y51" s="619">
        <f t="shared" si="0"/>
        <v>0</v>
      </c>
      <c r="Z51" s="455">
        <v>11399</v>
      </c>
      <c r="AA51" s="456">
        <v>8</v>
      </c>
      <c r="AB51" s="457">
        <v>44223</v>
      </c>
      <c r="AC51" s="457">
        <v>44237</v>
      </c>
      <c r="AD51" s="454">
        <v>1</v>
      </c>
      <c r="AE51" s="459">
        <v>17</v>
      </c>
      <c r="AF51" s="457">
        <v>44260</v>
      </c>
      <c r="AG51" s="457">
        <v>44272</v>
      </c>
      <c r="AH51" s="454"/>
      <c r="AI51" s="456"/>
      <c r="AJ51" s="460"/>
      <c r="AK51" s="458"/>
      <c r="AL51" s="454"/>
      <c r="AM51" s="456"/>
      <c r="AN51" s="460"/>
      <c r="AO51" s="458"/>
      <c r="AP51" s="454"/>
      <c r="AQ51" s="456"/>
      <c r="AR51" s="460"/>
      <c r="AS51" s="458"/>
      <c r="AT51" s="154">
        <f t="shared" si="1"/>
        <v>11400</v>
      </c>
      <c r="AU51" s="461">
        <f t="shared" si="2"/>
        <v>11400</v>
      </c>
    </row>
    <row r="52" spans="1:47" s="210" customFormat="1" ht="22.5" x14ac:dyDescent="0.25">
      <c r="A52" s="148"/>
      <c r="B52" s="149">
        <v>45</v>
      </c>
      <c r="C52" s="149" t="s">
        <v>38</v>
      </c>
      <c r="D52" s="450">
        <v>40020666</v>
      </c>
      <c r="E52" s="473" t="s">
        <v>2668</v>
      </c>
      <c r="F52" s="486" t="s">
        <v>2641</v>
      </c>
      <c r="G52" s="452" t="s">
        <v>2616</v>
      </c>
      <c r="H52" s="460" t="s">
        <v>2616</v>
      </c>
      <c r="I52" s="617" t="s">
        <v>43</v>
      </c>
      <c r="J52" s="618">
        <v>4401053</v>
      </c>
      <c r="K52" s="618">
        <v>0</v>
      </c>
      <c r="L52" s="618">
        <v>2232288</v>
      </c>
      <c r="M52" s="619">
        <v>0</v>
      </c>
      <c r="N52" s="619">
        <v>0</v>
      </c>
      <c r="O52" s="619">
        <v>0</v>
      </c>
      <c r="P52" s="619">
        <v>0</v>
      </c>
      <c r="Q52" s="619">
        <v>1300</v>
      </c>
      <c r="R52" s="619">
        <v>0</v>
      </c>
      <c r="S52" s="619"/>
      <c r="T52" s="619"/>
      <c r="U52" s="619"/>
      <c r="V52" s="619"/>
      <c r="W52" s="619"/>
      <c r="X52" s="619"/>
      <c r="Y52" s="619">
        <f t="shared" si="0"/>
        <v>1300</v>
      </c>
      <c r="Z52" s="455">
        <v>101000</v>
      </c>
      <c r="AA52" s="456">
        <v>6</v>
      </c>
      <c r="AB52" s="457">
        <v>44223</v>
      </c>
      <c r="AC52" s="457">
        <v>44236</v>
      </c>
      <c r="AD52" s="454">
        <v>300</v>
      </c>
      <c r="AE52" s="459">
        <v>17</v>
      </c>
      <c r="AF52" s="457">
        <v>44260</v>
      </c>
      <c r="AG52" s="457">
        <v>44272</v>
      </c>
      <c r="AH52" s="454">
        <v>1000000</v>
      </c>
      <c r="AI52" s="456">
        <v>25</v>
      </c>
      <c r="AJ52" s="457">
        <v>44328</v>
      </c>
      <c r="AK52" s="458">
        <v>44342</v>
      </c>
      <c r="AL52" s="454">
        <v>1000000</v>
      </c>
      <c r="AM52" s="456">
        <v>28</v>
      </c>
      <c r="AN52" s="457">
        <v>44351</v>
      </c>
      <c r="AO52" s="458">
        <v>44361</v>
      </c>
      <c r="AP52" s="454"/>
      <c r="AQ52" s="456"/>
      <c r="AR52" s="460"/>
      <c r="AS52" s="458"/>
      <c r="AT52" s="154">
        <f t="shared" si="1"/>
        <v>2101300</v>
      </c>
      <c r="AU52" s="461">
        <f t="shared" si="2"/>
        <v>2100000</v>
      </c>
    </row>
    <row r="53" spans="1:47" s="210" customFormat="1" ht="22.5" x14ac:dyDescent="0.25">
      <c r="A53" s="148"/>
      <c r="B53" s="149">
        <v>46</v>
      </c>
      <c r="C53" s="149" t="s">
        <v>40</v>
      </c>
      <c r="D53" s="450">
        <v>30366926</v>
      </c>
      <c r="E53" s="473" t="s">
        <v>2669</v>
      </c>
      <c r="F53" s="486" t="s">
        <v>897</v>
      </c>
      <c r="G53" s="452" t="s">
        <v>2616</v>
      </c>
      <c r="H53" s="460" t="s">
        <v>2616</v>
      </c>
      <c r="I53" s="617" t="s">
        <v>43</v>
      </c>
      <c r="J53" s="618">
        <v>217020</v>
      </c>
      <c r="K53" s="618">
        <v>0</v>
      </c>
      <c r="L53" s="618">
        <v>68540</v>
      </c>
      <c r="M53" s="619">
        <v>0</v>
      </c>
      <c r="N53" s="619">
        <v>0</v>
      </c>
      <c r="O53" s="619">
        <v>0</v>
      </c>
      <c r="P53" s="619">
        <v>0</v>
      </c>
      <c r="Q53" s="619">
        <v>0</v>
      </c>
      <c r="R53" s="619">
        <v>0</v>
      </c>
      <c r="S53" s="619"/>
      <c r="T53" s="619"/>
      <c r="U53" s="619"/>
      <c r="V53" s="619"/>
      <c r="W53" s="619"/>
      <c r="X53" s="619"/>
      <c r="Y53" s="619">
        <f t="shared" si="0"/>
        <v>0</v>
      </c>
      <c r="Z53" s="455">
        <v>566</v>
      </c>
      <c r="AA53" s="456">
        <v>14</v>
      </c>
      <c r="AB53" s="457">
        <v>44245</v>
      </c>
      <c r="AC53" s="457">
        <v>44287</v>
      </c>
      <c r="AD53" s="454"/>
      <c r="AE53" s="459"/>
      <c r="AF53" s="460"/>
      <c r="AG53" s="458"/>
      <c r="AH53" s="454"/>
      <c r="AI53" s="456"/>
      <c r="AJ53" s="460"/>
      <c r="AK53" s="458"/>
      <c r="AL53" s="454"/>
      <c r="AM53" s="456"/>
      <c r="AN53" s="460"/>
      <c r="AO53" s="458"/>
      <c r="AP53" s="454"/>
      <c r="AQ53" s="456"/>
      <c r="AR53" s="460"/>
      <c r="AS53" s="458"/>
      <c r="AT53" s="154">
        <f t="shared" si="1"/>
        <v>566</v>
      </c>
      <c r="AU53" s="461">
        <f t="shared" si="2"/>
        <v>566</v>
      </c>
    </row>
    <row r="54" spans="1:47" s="210" customFormat="1" ht="22.5" x14ac:dyDescent="0.25">
      <c r="A54" s="148"/>
      <c r="B54" s="149">
        <v>47</v>
      </c>
      <c r="C54" s="149" t="s">
        <v>38</v>
      </c>
      <c r="D54" s="450">
        <v>30210924</v>
      </c>
      <c r="E54" s="473" t="s">
        <v>2670</v>
      </c>
      <c r="F54" s="451" t="s">
        <v>204</v>
      </c>
      <c r="G54" s="452" t="s">
        <v>2616</v>
      </c>
      <c r="H54" s="460" t="s">
        <v>2617</v>
      </c>
      <c r="I54" s="453" t="s">
        <v>42</v>
      </c>
      <c r="J54" s="618">
        <v>253921</v>
      </c>
      <c r="K54" s="619">
        <v>50685</v>
      </c>
      <c r="L54" s="619">
        <v>0</v>
      </c>
      <c r="M54" s="619">
        <v>0</v>
      </c>
      <c r="N54" s="619">
        <v>0</v>
      </c>
      <c r="O54" s="619">
        <v>0</v>
      </c>
      <c r="P54" s="619">
        <v>0</v>
      </c>
      <c r="Q54" s="619">
        <v>0</v>
      </c>
      <c r="R54" s="619">
        <v>0</v>
      </c>
      <c r="S54" s="619"/>
      <c r="T54" s="619"/>
      <c r="U54" s="619"/>
      <c r="V54" s="619"/>
      <c r="W54" s="619"/>
      <c r="X54" s="619"/>
      <c r="Y54" s="619">
        <f t="shared" si="0"/>
        <v>0</v>
      </c>
      <c r="Z54" s="455">
        <v>65000</v>
      </c>
      <c r="AA54" s="456">
        <v>19</v>
      </c>
      <c r="AB54" s="457">
        <v>44267</v>
      </c>
      <c r="AC54" s="458">
        <v>44287</v>
      </c>
      <c r="AD54" s="454"/>
      <c r="AE54" s="459"/>
      <c r="AF54" s="460"/>
      <c r="AG54" s="458"/>
      <c r="AH54" s="454"/>
      <c r="AI54" s="456"/>
      <c r="AJ54" s="460"/>
      <c r="AK54" s="458"/>
      <c r="AL54" s="454"/>
      <c r="AM54" s="456"/>
      <c r="AN54" s="460"/>
      <c r="AO54" s="458"/>
      <c r="AP54" s="454"/>
      <c r="AQ54" s="456"/>
      <c r="AR54" s="460"/>
      <c r="AS54" s="458"/>
      <c r="AT54" s="154">
        <f t="shared" si="1"/>
        <v>65000</v>
      </c>
      <c r="AU54" s="461">
        <f t="shared" si="2"/>
        <v>65000</v>
      </c>
    </row>
    <row r="55" spans="1:47" s="210" customFormat="1" ht="22.5" x14ac:dyDescent="0.25">
      <c r="A55" s="148"/>
      <c r="B55" s="149">
        <v>48</v>
      </c>
      <c r="C55" s="149" t="s">
        <v>38</v>
      </c>
      <c r="D55" s="450">
        <v>40015747</v>
      </c>
      <c r="E55" s="473" t="s">
        <v>2671</v>
      </c>
      <c r="F55" s="451" t="s">
        <v>539</v>
      </c>
      <c r="G55" s="452" t="s">
        <v>2616</v>
      </c>
      <c r="H55" s="460" t="s">
        <v>2617</v>
      </c>
      <c r="I55" s="453" t="s">
        <v>43</v>
      </c>
      <c r="J55" s="618">
        <v>95294</v>
      </c>
      <c r="K55" s="619">
        <v>0</v>
      </c>
      <c r="L55" s="619">
        <v>31847</v>
      </c>
      <c r="M55" s="619">
        <v>0</v>
      </c>
      <c r="N55" s="619">
        <v>0</v>
      </c>
      <c r="O55" s="619">
        <v>0</v>
      </c>
      <c r="P55" s="619">
        <v>0</v>
      </c>
      <c r="Q55" s="619">
        <v>0</v>
      </c>
      <c r="R55" s="619">
        <v>0</v>
      </c>
      <c r="S55" s="619"/>
      <c r="T55" s="619"/>
      <c r="U55" s="619"/>
      <c r="V55" s="619"/>
      <c r="W55" s="619"/>
      <c r="X55" s="619"/>
      <c r="Y55" s="619">
        <f t="shared" si="0"/>
        <v>0</v>
      </c>
      <c r="Z55" s="455">
        <v>1</v>
      </c>
      <c r="AA55" s="456">
        <v>19</v>
      </c>
      <c r="AB55" s="457">
        <v>44267</v>
      </c>
      <c r="AC55" s="458">
        <v>44287</v>
      </c>
      <c r="AD55" s="454"/>
      <c r="AE55" s="459"/>
      <c r="AF55" s="460"/>
      <c r="AG55" s="458"/>
      <c r="AH55" s="454"/>
      <c r="AI55" s="456"/>
      <c r="AJ55" s="460"/>
      <c r="AK55" s="458"/>
      <c r="AL55" s="454"/>
      <c r="AM55" s="456"/>
      <c r="AN55" s="460"/>
      <c r="AO55" s="458"/>
      <c r="AP55" s="454"/>
      <c r="AQ55" s="456"/>
      <c r="AR55" s="460"/>
      <c r="AS55" s="458"/>
      <c r="AT55" s="154">
        <f t="shared" si="1"/>
        <v>1</v>
      </c>
      <c r="AU55" s="461">
        <f t="shared" si="2"/>
        <v>1</v>
      </c>
    </row>
    <row r="56" spans="1:47" s="210" customFormat="1" ht="22.5" x14ac:dyDescent="0.25">
      <c r="A56" s="148"/>
      <c r="B56" s="149">
        <v>49</v>
      </c>
      <c r="C56" s="149" t="s">
        <v>38</v>
      </c>
      <c r="D56" s="450">
        <v>40026641</v>
      </c>
      <c r="E56" s="473" t="s">
        <v>2672</v>
      </c>
      <c r="F56" s="451" t="s">
        <v>2673</v>
      </c>
      <c r="G56" s="452" t="s">
        <v>2616</v>
      </c>
      <c r="H56" s="460" t="s">
        <v>2617</v>
      </c>
      <c r="I56" s="453" t="s">
        <v>43</v>
      </c>
      <c r="J56" s="618">
        <v>3320838</v>
      </c>
      <c r="K56" s="619">
        <v>0</v>
      </c>
      <c r="L56" s="619">
        <v>2353940</v>
      </c>
      <c r="M56" s="619">
        <v>0</v>
      </c>
      <c r="N56" s="619">
        <v>0</v>
      </c>
      <c r="O56" s="619">
        <v>0</v>
      </c>
      <c r="P56" s="619">
        <v>0</v>
      </c>
      <c r="Q56" s="619">
        <v>0</v>
      </c>
      <c r="R56" s="619">
        <v>0</v>
      </c>
      <c r="S56" s="619"/>
      <c r="T56" s="619"/>
      <c r="U56" s="619"/>
      <c r="V56" s="619"/>
      <c r="W56" s="619"/>
      <c r="X56" s="619"/>
      <c r="Y56" s="619">
        <f t="shared" si="0"/>
        <v>0</v>
      </c>
      <c r="Z56" s="455">
        <v>4629</v>
      </c>
      <c r="AA56" s="456">
        <v>19</v>
      </c>
      <c r="AB56" s="457">
        <v>44267</v>
      </c>
      <c r="AC56" s="458">
        <v>44287</v>
      </c>
      <c r="AD56" s="454"/>
      <c r="AE56" s="459"/>
      <c r="AF56" s="460"/>
      <c r="AG56" s="458"/>
      <c r="AH56" s="454"/>
      <c r="AI56" s="456"/>
      <c r="AJ56" s="460"/>
      <c r="AK56" s="458"/>
      <c r="AL56" s="454"/>
      <c r="AM56" s="456"/>
      <c r="AN56" s="460"/>
      <c r="AO56" s="458"/>
      <c r="AP56" s="454"/>
      <c r="AQ56" s="456"/>
      <c r="AR56" s="460"/>
      <c r="AS56" s="458"/>
      <c r="AT56" s="154">
        <f t="shared" si="1"/>
        <v>4629</v>
      </c>
      <c r="AU56" s="461">
        <f t="shared" si="2"/>
        <v>4629</v>
      </c>
    </row>
    <row r="57" spans="1:47" s="210" customFormat="1" ht="22.5" x14ac:dyDescent="0.25">
      <c r="B57" s="149">
        <v>50</v>
      </c>
      <c r="C57" s="149" t="s">
        <v>38</v>
      </c>
      <c r="D57" s="450">
        <v>40010380</v>
      </c>
      <c r="E57" s="473" t="s">
        <v>2674</v>
      </c>
      <c r="F57" s="451" t="s">
        <v>204</v>
      </c>
      <c r="G57" s="452" t="s">
        <v>2616</v>
      </c>
      <c r="H57" s="460" t="s">
        <v>2617</v>
      </c>
      <c r="I57" s="453" t="s">
        <v>43</v>
      </c>
      <c r="J57" s="618">
        <v>258885</v>
      </c>
      <c r="K57" s="619">
        <v>0</v>
      </c>
      <c r="L57" s="619">
        <v>140808</v>
      </c>
      <c r="M57" s="619">
        <v>0</v>
      </c>
      <c r="N57" s="619">
        <v>0</v>
      </c>
      <c r="O57" s="619">
        <v>0</v>
      </c>
      <c r="P57" s="619">
        <v>0</v>
      </c>
      <c r="Q57" s="619">
        <v>0</v>
      </c>
      <c r="R57" s="619">
        <v>0</v>
      </c>
      <c r="S57" s="619"/>
      <c r="T57" s="619"/>
      <c r="U57" s="619"/>
      <c r="V57" s="619"/>
      <c r="W57" s="619"/>
      <c r="X57" s="619"/>
      <c r="Y57" s="619">
        <f t="shared" si="0"/>
        <v>0</v>
      </c>
      <c r="Z57" s="455">
        <v>3001</v>
      </c>
      <c r="AA57" s="456">
        <v>19</v>
      </c>
      <c r="AB57" s="457">
        <v>44267</v>
      </c>
      <c r="AC57" s="458">
        <v>44287</v>
      </c>
      <c r="AD57" s="454"/>
      <c r="AE57" s="459"/>
      <c r="AF57" s="460"/>
      <c r="AG57" s="458"/>
      <c r="AH57" s="454"/>
      <c r="AI57" s="456"/>
      <c r="AJ57" s="460"/>
      <c r="AK57" s="458"/>
      <c r="AL57" s="454"/>
      <c r="AM57" s="456"/>
      <c r="AN57" s="460"/>
      <c r="AO57" s="458"/>
      <c r="AP57" s="454"/>
      <c r="AQ57" s="456"/>
      <c r="AR57" s="460"/>
      <c r="AS57" s="458"/>
      <c r="AT57" s="154">
        <f t="shared" si="1"/>
        <v>3001</v>
      </c>
      <c r="AU57" s="461">
        <f t="shared" si="2"/>
        <v>3001</v>
      </c>
    </row>
    <row r="58" spans="1:47" s="210" customFormat="1" ht="22.5" x14ac:dyDescent="0.25">
      <c r="B58" s="149">
        <v>51</v>
      </c>
      <c r="C58" s="149" t="s">
        <v>38</v>
      </c>
      <c r="D58" s="450">
        <v>40013459</v>
      </c>
      <c r="E58" s="473" t="s">
        <v>2675</v>
      </c>
      <c r="F58" s="451" t="s">
        <v>2673</v>
      </c>
      <c r="G58" s="452" t="s">
        <v>2616</v>
      </c>
      <c r="H58" s="460" t="s">
        <v>2617</v>
      </c>
      <c r="I58" s="453" t="s">
        <v>43</v>
      </c>
      <c r="J58" s="618">
        <v>457040</v>
      </c>
      <c r="K58" s="619">
        <v>0</v>
      </c>
      <c r="L58" s="619">
        <v>0</v>
      </c>
      <c r="M58" s="619">
        <v>0</v>
      </c>
      <c r="N58" s="619">
        <v>0</v>
      </c>
      <c r="O58" s="619">
        <v>0</v>
      </c>
      <c r="P58" s="619">
        <v>0</v>
      </c>
      <c r="Q58" s="619">
        <v>0</v>
      </c>
      <c r="R58" s="619">
        <v>0</v>
      </c>
      <c r="S58" s="619"/>
      <c r="T58" s="619"/>
      <c r="U58" s="619"/>
      <c r="V58" s="619"/>
      <c r="W58" s="619"/>
      <c r="X58" s="619"/>
      <c r="Y58" s="619">
        <f t="shared" si="0"/>
        <v>0</v>
      </c>
      <c r="Z58" s="455">
        <v>3003</v>
      </c>
      <c r="AA58" s="456">
        <v>19</v>
      </c>
      <c r="AB58" s="457">
        <v>44267</v>
      </c>
      <c r="AC58" s="458">
        <v>44287</v>
      </c>
      <c r="AD58" s="454"/>
      <c r="AE58" s="459"/>
      <c r="AF58" s="460"/>
      <c r="AG58" s="458"/>
      <c r="AH58" s="454"/>
      <c r="AI58" s="456"/>
      <c r="AJ58" s="460"/>
      <c r="AK58" s="458"/>
      <c r="AL58" s="454"/>
      <c r="AM58" s="456"/>
      <c r="AN58" s="460"/>
      <c r="AO58" s="458"/>
      <c r="AP58" s="454"/>
      <c r="AQ58" s="456"/>
      <c r="AR58" s="460"/>
      <c r="AS58" s="458"/>
      <c r="AT58" s="154">
        <f t="shared" si="1"/>
        <v>3003</v>
      </c>
      <c r="AU58" s="461">
        <f t="shared" si="2"/>
        <v>3003</v>
      </c>
    </row>
    <row r="59" spans="1:47" s="210" customFormat="1" ht="22.5" x14ac:dyDescent="0.25">
      <c r="B59" s="149">
        <v>52</v>
      </c>
      <c r="C59" s="149" t="s">
        <v>38</v>
      </c>
      <c r="D59" s="450">
        <v>40018963</v>
      </c>
      <c r="E59" s="473" t="s">
        <v>2676</v>
      </c>
      <c r="F59" s="451" t="s">
        <v>2641</v>
      </c>
      <c r="G59" s="452" t="s">
        <v>2616</v>
      </c>
      <c r="H59" s="460" t="s">
        <v>2617</v>
      </c>
      <c r="I59" s="453" t="s">
        <v>43</v>
      </c>
      <c r="J59" s="618">
        <v>525951</v>
      </c>
      <c r="K59" s="619">
        <v>0</v>
      </c>
      <c r="L59" s="619">
        <v>0</v>
      </c>
      <c r="M59" s="619">
        <v>0</v>
      </c>
      <c r="N59" s="619">
        <v>0</v>
      </c>
      <c r="O59" s="619">
        <v>0</v>
      </c>
      <c r="P59" s="619">
        <v>0</v>
      </c>
      <c r="Q59" s="619">
        <v>0</v>
      </c>
      <c r="R59" s="619">
        <v>0</v>
      </c>
      <c r="S59" s="619"/>
      <c r="T59" s="619"/>
      <c r="U59" s="619"/>
      <c r="V59" s="619"/>
      <c r="W59" s="619"/>
      <c r="X59" s="619"/>
      <c r="Y59" s="619">
        <f t="shared" si="0"/>
        <v>0</v>
      </c>
      <c r="Z59" s="455">
        <v>2</v>
      </c>
      <c r="AA59" s="456">
        <v>19</v>
      </c>
      <c r="AB59" s="457">
        <v>44267</v>
      </c>
      <c r="AC59" s="458">
        <v>44287</v>
      </c>
      <c r="AD59" s="454"/>
      <c r="AE59" s="459"/>
      <c r="AF59" s="460"/>
      <c r="AG59" s="458"/>
      <c r="AH59" s="454"/>
      <c r="AI59" s="456"/>
      <c r="AJ59" s="460"/>
      <c r="AK59" s="458"/>
      <c r="AL59" s="454"/>
      <c r="AM59" s="456"/>
      <c r="AN59" s="460"/>
      <c r="AO59" s="458"/>
      <c r="AP59" s="454"/>
      <c r="AQ59" s="456"/>
      <c r="AR59" s="460"/>
      <c r="AS59" s="458"/>
      <c r="AT59" s="154">
        <f t="shared" si="1"/>
        <v>2</v>
      </c>
      <c r="AU59" s="461">
        <f t="shared" si="2"/>
        <v>2</v>
      </c>
    </row>
    <row r="60" spans="1:47" s="210" customFormat="1" ht="22.5" x14ac:dyDescent="0.25">
      <c r="B60" s="149">
        <v>53</v>
      </c>
      <c r="C60" s="149" t="s">
        <v>38</v>
      </c>
      <c r="D60" s="450">
        <v>30354827</v>
      </c>
      <c r="E60" s="473" t="s">
        <v>2677</v>
      </c>
      <c r="F60" s="451" t="s">
        <v>2673</v>
      </c>
      <c r="G60" s="452" t="s">
        <v>2616</v>
      </c>
      <c r="H60" s="460" t="s">
        <v>2617</v>
      </c>
      <c r="I60" s="453" t="s">
        <v>43</v>
      </c>
      <c r="J60" s="618">
        <v>756600</v>
      </c>
      <c r="K60" s="619">
        <v>0</v>
      </c>
      <c r="L60" s="619">
        <v>0</v>
      </c>
      <c r="M60" s="619">
        <v>0</v>
      </c>
      <c r="N60" s="619">
        <v>0</v>
      </c>
      <c r="O60" s="619">
        <v>0</v>
      </c>
      <c r="P60" s="619">
        <v>0</v>
      </c>
      <c r="Q60" s="619">
        <v>2500</v>
      </c>
      <c r="R60" s="619">
        <v>0</v>
      </c>
      <c r="S60" s="619"/>
      <c r="T60" s="619"/>
      <c r="U60" s="619"/>
      <c r="V60" s="619"/>
      <c r="W60" s="619"/>
      <c r="X60" s="619"/>
      <c r="Y60" s="619">
        <f t="shared" si="0"/>
        <v>2500</v>
      </c>
      <c r="Z60" s="455">
        <v>2502</v>
      </c>
      <c r="AA60" s="456">
        <v>19</v>
      </c>
      <c r="AB60" s="457">
        <v>44267</v>
      </c>
      <c r="AC60" s="458">
        <v>44287</v>
      </c>
      <c r="AD60" s="454"/>
      <c r="AE60" s="459"/>
      <c r="AF60" s="460"/>
      <c r="AG60" s="458"/>
      <c r="AH60" s="454"/>
      <c r="AI60" s="456"/>
      <c r="AJ60" s="460"/>
      <c r="AK60" s="458"/>
      <c r="AL60" s="454"/>
      <c r="AM60" s="456"/>
      <c r="AN60" s="460"/>
      <c r="AO60" s="458"/>
      <c r="AP60" s="454"/>
      <c r="AQ60" s="456"/>
      <c r="AR60" s="460"/>
      <c r="AS60" s="458"/>
      <c r="AT60" s="154">
        <f t="shared" si="1"/>
        <v>2502</v>
      </c>
      <c r="AU60" s="461">
        <f t="shared" si="2"/>
        <v>2</v>
      </c>
    </row>
    <row r="61" spans="1:47" s="210" customFormat="1" ht="22.5" x14ac:dyDescent="0.25">
      <c r="B61" s="149">
        <v>54</v>
      </c>
      <c r="C61" s="149" t="s">
        <v>38</v>
      </c>
      <c r="D61" s="450">
        <v>40016355</v>
      </c>
      <c r="E61" s="473" t="s">
        <v>2678</v>
      </c>
      <c r="F61" s="451" t="s">
        <v>204</v>
      </c>
      <c r="G61" s="452" t="s">
        <v>2616</v>
      </c>
      <c r="H61" s="460" t="s">
        <v>2617</v>
      </c>
      <c r="I61" s="453" t="s">
        <v>43</v>
      </c>
      <c r="J61" s="618">
        <v>55655</v>
      </c>
      <c r="K61" s="619">
        <v>0</v>
      </c>
      <c r="L61" s="619">
        <v>32052</v>
      </c>
      <c r="M61" s="619">
        <v>0</v>
      </c>
      <c r="N61" s="619">
        <v>0</v>
      </c>
      <c r="O61" s="619">
        <v>0</v>
      </c>
      <c r="P61" s="619">
        <v>0</v>
      </c>
      <c r="Q61" s="619">
        <v>0</v>
      </c>
      <c r="R61" s="619">
        <v>0</v>
      </c>
      <c r="S61" s="619"/>
      <c r="T61" s="619"/>
      <c r="U61" s="619"/>
      <c r="V61" s="619"/>
      <c r="W61" s="619"/>
      <c r="X61" s="619"/>
      <c r="Y61" s="619">
        <f t="shared" si="0"/>
        <v>0</v>
      </c>
      <c r="Z61" s="455">
        <v>2623</v>
      </c>
      <c r="AA61" s="456">
        <v>23</v>
      </c>
      <c r="AB61" s="457">
        <v>44307</v>
      </c>
      <c r="AC61" s="458">
        <v>44313</v>
      </c>
      <c r="AD61" s="454"/>
      <c r="AE61" s="459"/>
      <c r="AF61" s="460"/>
      <c r="AG61" s="458"/>
      <c r="AH61" s="454"/>
      <c r="AI61" s="456"/>
      <c r="AJ61" s="460"/>
      <c r="AK61" s="458"/>
      <c r="AL61" s="454"/>
      <c r="AM61" s="456"/>
      <c r="AN61" s="460"/>
      <c r="AO61" s="458"/>
      <c r="AP61" s="454"/>
      <c r="AQ61" s="456"/>
      <c r="AR61" s="460"/>
      <c r="AS61" s="458"/>
      <c r="AT61" s="154">
        <f t="shared" si="1"/>
        <v>2623</v>
      </c>
      <c r="AU61" s="461">
        <f t="shared" si="2"/>
        <v>2623</v>
      </c>
    </row>
    <row r="62" spans="1:47" s="210" customFormat="1" ht="22.5" x14ac:dyDescent="0.25">
      <c r="B62" s="149">
        <v>55</v>
      </c>
      <c r="C62" s="149" t="s">
        <v>38</v>
      </c>
      <c r="D62" s="450">
        <v>40016158</v>
      </c>
      <c r="E62" s="473" t="s">
        <v>2679</v>
      </c>
      <c r="F62" s="451" t="s">
        <v>204</v>
      </c>
      <c r="G62" s="452" t="s">
        <v>2616</v>
      </c>
      <c r="H62" s="460" t="s">
        <v>2617</v>
      </c>
      <c r="I62" s="453" t="s">
        <v>43</v>
      </c>
      <c r="J62" s="618">
        <v>56303</v>
      </c>
      <c r="K62" s="619">
        <v>0</v>
      </c>
      <c r="L62" s="619">
        <v>42945</v>
      </c>
      <c r="M62" s="619">
        <v>0</v>
      </c>
      <c r="N62" s="619">
        <v>0</v>
      </c>
      <c r="O62" s="619">
        <v>0</v>
      </c>
      <c r="P62" s="619">
        <v>0</v>
      </c>
      <c r="Q62" s="619">
        <v>0</v>
      </c>
      <c r="R62" s="619">
        <v>0</v>
      </c>
      <c r="S62" s="619"/>
      <c r="T62" s="619"/>
      <c r="U62" s="619"/>
      <c r="V62" s="619"/>
      <c r="W62" s="619"/>
      <c r="X62" s="619"/>
      <c r="Y62" s="619">
        <f t="shared" si="0"/>
        <v>0</v>
      </c>
      <c r="Z62" s="455">
        <v>2623</v>
      </c>
      <c r="AA62" s="456">
        <v>23</v>
      </c>
      <c r="AB62" s="457">
        <v>44307</v>
      </c>
      <c r="AC62" s="458">
        <v>44313</v>
      </c>
      <c r="AD62" s="454"/>
      <c r="AE62" s="459"/>
      <c r="AF62" s="460"/>
      <c r="AG62" s="458"/>
      <c r="AH62" s="454"/>
      <c r="AI62" s="456"/>
      <c r="AJ62" s="460"/>
      <c r="AK62" s="458"/>
      <c r="AL62" s="454"/>
      <c r="AM62" s="456"/>
      <c r="AN62" s="460"/>
      <c r="AO62" s="458"/>
      <c r="AP62" s="454"/>
      <c r="AQ62" s="456"/>
      <c r="AR62" s="460"/>
      <c r="AS62" s="458"/>
      <c r="AT62" s="154">
        <f t="shared" si="1"/>
        <v>2623</v>
      </c>
      <c r="AU62" s="461">
        <f t="shared" si="2"/>
        <v>2623</v>
      </c>
    </row>
    <row r="63" spans="1:47" s="210" customFormat="1" ht="22.5" x14ac:dyDescent="0.25">
      <c r="B63" s="149">
        <v>56</v>
      </c>
      <c r="C63" s="149" t="s">
        <v>38</v>
      </c>
      <c r="D63" s="450">
        <v>40016353</v>
      </c>
      <c r="E63" s="473" t="s">
        <v>2680</v>
      </c>
      <c r="F63" s="451" t="s">
        <v>204</v>
      </c>
      <c r="G63" s="452" t="s">
        <v>2616</v>
      </c>
      <c r="H63" s="460" t="s">
        <v>2617</v>
      </c>
      <c r="I63" s="453" t="s">
        <v>43</v>
      </c>
      <c r="J63" s="618">
        <v>61261</v>
      </c>
      <c r="K63" s="619">
        <v>0</v>
      </c>
      <c r="L63" s="619">
        <v>31363</v>
      </c>
      <c r="M63" s="619">
        <v>0</v>
      </c>
      <c r="N63" s="619">
        <v>0</v>
      </c>
      <c r="O63" s="619">
        <v>0</v>
      </c>
      <c r="P63" s="619">
        <v>0</v>
      </c>
      <c r="Q63" s="619">
        <v>0</v>
      </c>
      <c r="R63" s="619">
        <v>0</v>
      </c>
      <c r="S63" s="619"/>
      <c r="T63" s="619"/>
      <c r="U63" s="619"/>
      <c r="V63" s="619"/>
      <c r="W63" s="619"/>
      <c r="X63" s="619"/>
      <c r="Y63" s="619">
        <f t="shared" si="0"/>
        <v>0</v>
      </c>
      <c r="Z63" s="455">
        <v>2623</v>
      </c>
      <c r="AA63" s="456">
        <v>23</v>
      </c>
      <c r="AB63" s="457">
        <v>44307</v>
      </c>
      <c r="AC63" s="458">
        <v>44313</v>
      </c>
      <c r="AD63" s="454"/>
      <c r="AE63" s="459"/>
      <c r="AF63" s="460"/>
      <c r="AG63" s="458"/>
      <c r="AH63" s="454"/>
      <c r="AI63" s="456"/>
      <c r="AJ63" s="460"/>
      <c r="AK63" s="458"/>
      <c r="AL63" s="454"/>
      <c r="AM63" s="456"/>
      <c r="AN63" s="460"/>
      <c r="AO63" s="458"/>
      <c r="AP63" s="454"/>
      <c r="AQ63" s="456"/>
      <c r="AR63" s="460"/>
      <c r="AS63" s="458"/>
      <c r="AT63" s="154">
        <f t="shared" si="1"/>
        <v>2623</v>
      </c>
      <c r="AU63" s="461">
        <f t="shared" si="2"/>
        <v>2623</v>
      </c>
    </row>
    <row r="64" spans="1:47" s="210" customFormat="1" ht="22.5" x14ac:dyDescent="0.25">
      <c r="B64" s="149">
        <v>57</v>
      </c>
      <c r="C64" s="149" t="s">
        <v>38</v>
      </c>
      <c r="D64" s="450">
        <v>40009222</v>
      </c>
      <c r="E64" s="473" t="s">
        <v>2681</v>
      </c>
      <c r="F64" s="451" t="s">
        <v>204</v>
      </c>
      <c r="G64" s="452" t="s">
        <v>2616</v>
      </c>
      <c r="H64" s="460" t="s">
        <v>2617</v>
      </c>
      <c r="I64" s="453" t="s">
        <v>43</v>
      </c>
      <c r="J64" s="618">
        <v>59646</v>
      </c>
      <c r="K64" s="619">
        <v>0</v>
      </c>
      <c r="L64" s="619">
        <v>45199</v>
      </c>
      <c r="M64" s="619">
        <v>0</v>
      </c>
      <c r="N64" s="619">
        <v>0</v>
      </c>
      <c r="O64" s="619">
        <v>0</v>
      </c>
      <c r="P64" s="619">
        <v>0</v>
      </c>
      <c r="Q64" s="619">
        <v>0</v>
      </c>
      <c r="R64" s="619">
        <v>0</v>
      </c>
      <c r="S64" s="619"/>
      <c r="T64" s="619"/>
      <c r="U64" s="619"/>
      <c r="V64" s="619"/>
      <c r="W64" s="619"/>
      <c r="X64" s="619"/>
      <c r="Y64" s="619">
        <f t="shared" si="0"/>
        <v>0</v>
      </c>
      <c r="Z64" s="455">
        <v>3148</v>
      </c>
      <c r="AA64" s="456">
        <v>23</v>
      </c>
      <c r="AB64" s="457">
        <v>44307</v>
      </c>
      <c r="AC64" s="458">
        <v>44313</v>
      </c>
      <c r="AD64" s="454"/>
      <c r="AE64" s="459"/>
      <c r="AF64" s="460"/>
      <c r="AG64" s="458"/>
      <c r="AH64" s="454"/>
      <c r="AI64" s="456"/>
      <c r="AJ64" s="460"/>
      <c r="AK64" s="458"/>
      <c r="AL64" s="454"/>
      <c r="AM64" s="456"/>
      <c r="AN64" s="460"/>
      <c r="AO64" s="458"/>
      <c r="AP64" s="454"/>
      <c r="AQ64" s="456"/>
      <c r="AR64" s="460"/>
      <c r="AS64" s="458"/>
      <c r="AT64" s="154">
        <f t="shared" si="1"/>
        <v>3148</v>
      </c>
      <c r="AU64" s="461">
        <f t="shared" si="2"/>
        <v>3148</v>
      </c>
    </row>
    <row r="65" spans="2:47" s="210" customFormat="1" ht="22.5" x14ac:dyDescent="0.25">
      <c r="B65" s="149">
        <v>58</v>
      </c>
      <c r="C65" s="149" t="s">
        <v>38</v>
      </c>
      <c r="D65" s="450">
        <v>30084822</v>
      </c>
      <c r="E65" s="473" t="s">
        <v>2682</v>
      </c>
      <c r="F65" s="451" t="s">
        <v>204</v>
      </c>
      <c r="G65" s="452" t="s">
        <v>2616</v>
      </c>
      <c r="H65" s="460" t="s">
        <v>2617</v>
      </c>
      <c r="I65" s="453" t="s">
        <v>43</v>
      </c>
      <c r="J65" s="618">
        <v>263874</v>
      </c>
      <c r="K65" s="619">
        <v>0</v>
      </c>
      <c r="L65" s="619">
        <v>235874</v>
      </c>
      <c r="M65" s="619">
        <v>0</v>
      </c>
      <c r="N65" s="619">
        <v>0</v>
      </c>
      <c r="O65" s="619">
        <v>0</v>
      </c>
      <c r="P65" s="619">
        <v>0</v>
      </c>
      <c r="Q65" s="619">
        <v>0</v>
      </c>
      <c r="R65" s="619">
        <v>0</v>
      </c>
      <c r="S65" s="619"/>
      <c r="T65" s="619"/>
      <c r="U65" s="619"/>
      <c r="V65" s="619"/>
      <c r="W65" s="619"/>
      <c r="X65" s="619"/>
      <c r="Y65" s="619">
        <f t="shared" si="0"/>
        <v>0</v>
      </c>
      <c r="Z65" s="455">
        <v>2573</v>
      </c>
      <c r="AA65" s="456">
        <v>23</v>
      </c>
      <c r="AB65" s="457">
        <v>44307</v>
      </c>
      <c r="AC65" s="458">
        <v>44313</v>
      </c>
      <c r="AD65" s="454"/>
      <c r="AE65" s="459"/>
      <c r="AF65" s="460"/>
      <c r="AG65" s="458"/>
      <c r="AH65" s="454"/>
      <c r="AI65" s="456"/>
      <c r="AJ65" s="460"/>
      <c r="AK65" s="458"/>
      <c r="AL65" s="454"/>
      <c r="AM65" s="456"/>
      <c r="AN65" s="460"/>
      <c r="AO65" s="458"/>
      <c r="AP65" s="454"/>
      <c r="AQ65" s="456"/>
      <c r="AR65" s="460"/>
      <c r="AS65" s="458"/>
      <c r="AT65" s="154">
        <f t="shared" si="1"/>
        <v>2573</v>
      </c>
      <c r="AU65" s="461">
        <f t="shared" si="2"/>
        <v>2573</v>
      </c>
    </row>
    <row r="66" spans="2:47" s="210" customFormat="1" ht="22.5" x14ac:dyDescent="0.25">
      <c r="B66" s="149">
        <v>59</v>
      </c>
      <c r="C66" s="149" t="s">
        <v>38</v>
      </c>
      <c r="D66" s="450">
        <v>30476991</v>
      </c>
      <c r="E66" s="473" t="s">
        <v>2683</v>
      </c>
      <c r="F66" s="451" t="s">
        <v>204</v>
      </c>
      <c r="G66" s="452" t="s">
        <v>2616</v>
      </c>
      <c r="H66" s="460" t="s">
        <v>2660</v>
      </c>
      <c r="I66" s="453" t="s">
        <v>43</v>
      </c>
      <c r="J66" s="618">
        <v>83641</v>
      </c>
      <c r="K66" s="619">
        <v>6263</v>
      </c>
      <c r="L66" s="619">
        <v>37378</v>
      </c>
      <c r="M66" s="619">
        <v>0</v>
      </c>
      <c r="N66" s="619">
        <v>0</v>
      </c>
      <c r="O66" s="619">
        <v>0</v>
      </c>
      <c r="P66" s="619">
        <v>0</v>
      </c>
      <c r="Q66" s="619">
        <v>0</v>
      </c>
      <c r="R66" s="619">
        <v>0</v>
      </c>
      <c r="S66" s="619"/>
      <c r="T66" s="619"/>
      <c r="U66" s="619"/>
      <c r="V66" s="619"/>
      <c r="W66" s="619"/>
      <c r="X66" s="619"/>
      <c r="Y66" s="619">
        <f t="shared" si="0"/>
        <v>0</v>
      </c>
      <c r="Z66" s="455">
        <v>1</v>
      </c>
      <c r="AA66" s="456">
        <v>23</v>
      </c>
      <c r="AB66" s="457">
        <v>44307</v>
      </c>
      <c r="AC66" s="458">
        <v>44313</v>
      </c>
      <c r="AD66" s="454"/>
      <c r="AE66" s="459"/>
      <c r="AF66" s="460"/>
      <c r="AG66" s="458"/>
      <c r="AH66" s="454"/>
      <c r="AI66" s="456"/>
      <c r="AJ66" s="460"/>
      <c r="AK66" s="458"/>
      <c r="AL66" s="454"/>
      <c r="AM66" s="456"/>
      <c r="AN66" s="460"/>
      <c r="AO66" s="458"/>
      <c r="AP66" s="454"/>
      <c r="AQ66" s="456"/>
      <c r="AR66" s="460"/>
      <c r="AS66" s="458"/>
      <c r="AT66" s="154">
        <f t="shared" si="1"/>
        <v>1</v>
      </c>
      <c r="AU66" s="461">
        <f t="shared" si="2"/>
        <v>1</v>
      </c>
    </row>
    <row r="67" spans="2:47" s="210" customFormat="1" ht="22.5" x14ac:dyDescent="0.25">
      <c r="B67" s="149">
        <v>60</v>
      </c>
      <c r="C67" s="149" t="s">
        <v>38</v>
      </c>
      <c r="D67" s="450">
        <v>30397027</v>
      </c>
      <c r="E67" s="473" t="s">
        <v>2684</v>
      </c>
      <c r="F67" s="451" t="s">
        <v>2685</v>
      </c>
      <c r="G67" s="452" t="s">
        <v>2616</v>
      </c>
      <c r="H67" s="460" t="s">
        <v>2617</v>
      </c>
      <c r="I67" s="453" t="s">
        <v>42</v>
      </c>
      <c r="J67" s="618">
        <v>5336119</v>
      </c>
      <c r="K67" s="619">
        <v>5226119</v>
      </c>
      <c r="L67" s="619">
        <v>0</v>
      </c>
      <c r="M67" s="619">
        <v>0</v>
      </c>
      <c r="N67" s="619">
        <v>0</v>
      </c>
      <c r="O67" s="619">
        <v>0</v>
      </c>
      <c r="P67" s="619">
        <v>0</v>
      </c>
      <c r="Q67" s="619">
        <v>0</v>
      </c>
      <c r="R67" s="619">
        <v>0</v>
      </c>
      <c r="S67" s="619"/>
      <c r="T67" s="619"/>
      <c r="U67" s="619"/>
      <c r="V67" s="619"/>
      <c r="W67" s="619"/>
      <c r="X67" s="619"/>
      <c r="Y67" s="619">
        <f t="shared" si="0"/>
        <v>0</v>
      </c>
      <c r="Z67" s="455">
        <v>109574</v>
      </c>
      <c r="AA67" s="456">
        <v>27</v>
      </c>
      <c r="AB67" s="457">
        <v>44347</v>
      </c>
      <c r="AC67" s="458">
        <v>44361</v>
      </c>
      <c r="AD67" s="454"/>
      <c r="AE67" s="459"/>
      <c r="AF67" s="460"/>
      <c r="AG67" s="458"/>
      <c r="AH67" s="454"/>
      <c r="AI67" s="456"/>
      <c r="AJ67" s="460"/>
      <c r="AK67" s="458"/>
      <c r="AL67" s="454"/>
      <c r="AM67" s="456"/>
      <c r="AN67" s="460"/>
      <c r="AO67" s="458"/>
      <c r="AP67" s="454"/>
      <c r="AQ67" s="456"/>
      <c r="AR67" s="460"/>
      <c r="AS67" s="458"/>
      <c r="AT67" s="154">
        <f t="shared" si="1"/>
        <v>109574</v>
      </c>
      <c r="AU67" s="461">
        <f t="shared" si="2"/>
        <v>109574</v>
      </c>
    </row>
    <row r="68" spans="2:47" s="210" customFormat="1" ht="22.5" x14ac:dyDescent="0.25">
      <c r="B68" s="149">
        <v>61</v>
      </c>
      <c r="C68" s="149" t="s">
        <v>38</v>
      </c>
      <c r="D68" s="450">
        <v>30379523</v>
      </c>
      <c r="E68" s="473" t="s">
        <v>2686</v>
      </c>
      <c r="F68" s="451" t="s">
        <v>204</v>
      </c>
      <c r="G68" s="452" t="s">
        <v>2616</v>
      </c>
      <c r="H68" s="622" t="s">
        <v>2660</v>
      </c>
      <c r="I68" s="453" t="s">
        <v>43</v>
      </c>
      <c r="J68" s="618">
        <v>295349</v>
      </c>
      <c r="K68" s="619">
        <v>0</v>
      </c>
      <c r="L68" s="619">
        <v>262082</v>
      </c>
      <c r="M68" s="619">
        <v>0</v>
      </c>
      <c r="N68" s="619">
        <v>0</v>
      </c>
      <c r="O68" s="619">
        <v>0</v>
      </c>
      <c r="P68" s="619">
        <v>0</v>
      </c>
      <c r="Q68" s="619">
        <v>0</v>
      </c>
      <c r="R68" s="619">
        <v>0</v>
      </c>
      <c r="S68" s="619"/>
      <c r="T68" s="619"/>
      <c r="U68" s="619"/>
      <c r="V68" s="619"/>
      <c r="W68" s="619"/>
      <c r="X68" s="619"/>
      <c r="Y68" s="619">
        <f t="shared" si="0"/>
        <v>0</v>
      </c>
      <c r="Z68" s="455">
        <v>33267</v>
      </c>
      <c r="AA68" s="456">
        <v>29</v>
      </c>
      <c r="AB68" s="460" t="s">
        <v>2687</v>
      </c>
      <c r="AC68" s="458">
        <v>44365</v>
      </c>
      <c r="AD68" s="454"/>
      <c r="AE68" s="459"/>
      <c r="AF68" s="460"/>
      <c r="AG68" s="458"/>
      <c r="AH68" s="454"/>
      <c r="AI68" s="456"/>
      <c r="AJ68" s="460"/>
      <c r="AK68" s="458"/>
      <c r="AL68" s="454"/>
      <c r="AM68" s="456"/>
      <c r="AN68" s="460"/>
      <c r="AO68" s="458"/>
      <c r="AP68" s="454"/>
      <c r="AQ68" s="456"/>
      <c r="AR68" s="460"/>
      <c r="AS68" s="458"/>
      <c r="AT68" s="154">
        <f t="shared" si="1"/>
        <v>33267</v>
      </c>
      <c r="AU68" s="461">
        <f t="shared" si="2"/>
        <v>33267</v>
      </c>
    </row>
    <row r="69" spans="2:47" s="210" customFormat="1" ht="22.5" x14ac:dyDescent="0.25">
      <c r="B69" s="149">
        <v>62</v>
      </c>
      <c r="C69" s="149" t="s">
        <v>38</v>
      </c>
      <c r="D69" s="450">
        <v>30065797</v>
      </c>
      <c r="E69" s="473" t="s">
        <v>2688</v>
      </c>
      <c r="F69" s="451" t="s">
        <v>204</v>
      </c>
      <c r="G69" s="452" t="s">
        <v>2616</v>
      </c>
      <c r="H69" s="460" t="s">
        <v>2617</v>
      </c>
      <c r="I69" s="453" t="s">
        <v>42</v>
      </c>
      <c r="J69" s="618">
        <v>1743765</v>
      </c>
      <c r="K69" s="619">
        <v>191510</v>
      </c>
      <c r="L69" s="619">
        <v>1164512</v>
      </c>
      <c r="M69" s="619">
        <v>0</v>
      </c>
      <c r="N69" s="619">
        <v>0</v>
      </c>
      <c r="O69" s="619">
        <v>0</v>
      </c>
      <c r="P69" s="619">
        <v>0</v>
      </c>
      <c r="Q69" s="619">
        <v>0</v>
      </c>
      <c r="R69" s="619">
        <v>63396</v>
      </c>
      <c r="S69" s="619"/>
      <c r="T69" s="619"/>
      <c r="U69" s="619"/>
      <c r="V69" s="619"/>
      <c r="W69" s="619"/>
      <c r="X69" s="619"/>
      <c r="Y69" s="619">
        <f t="shared" si="0"/>
        <v>63396</v>
      </c>
      <c r="Z69" s="455">
        <v>387448</v>
      </c>
      <c r="AA69" s="456">
        <v>31</v>
      </c>
      <c r="AB69" s="457">
        <v>44362</v>
      </c>
      <c r="AC69" s="458">
        <v>44371</v>
      </c>
      <c r="AD69" s="454"/>
      <c r="AE69" s="459"/>
      <c r="AF69" s="460"/>
      <c r="AG69" s="458"/>
      <c r="AH69" s="454"/>
      <c r="AI69" s="456"/>
      <c r="AJ69" s="460"/>
      <c r="AK69" s="458"/>
      <c r="AL69" s="454"/>
      <c r="AM69" s="456"/>
      <c r="AN69" s="460"/>
      <c r="AO69" s="458"/>
      <c r="AP69" s="454"/>
      <c r="AQ69" s="456"/>
      <c r="AR69" s="460"/>
      <c r="AS69" s="458"/>
      <c r="AT69" s="154">
        <f t="shared" si="1"/>
        <v>387448</v>
      </c>
      <c r="AU69" s="461">
        <f t="shared" si="2"/>
        <v>324052</v>
      </c>
    </row>
    <row r="70" spans="2:47" s="210" customFormat="1" ht="22.5" x14ac:dyDescent="0.25">
      <c r="B70" s="149">
        <v>63</v>
      </c>
      <c r="C70" s="149" t="s">
        <v>38</v>
      </c>
      <c r="D70" s="450">
        <v>40011410</v>
      </c>
      <c r="E70" s="473" t="s">
        <v>2689</v>
      </c>
      <c r="F70" s="451" t="s">
        <v>204</v>
      </c>
      <c r="G70" s="452" t="s">
        <v>2616</v>
      </c>
      <c r="H70" s="460" t="s">
        <v>2617</v>
      </c>
      <c r="I70" s="453" t="s">
        <v>43</v>
      </c>
      <c r="J70" s="618">
        <v>164448</v>
      </c>
      <c r="K70" s="619">
        <v>0</v>
      </c>
      <c r="L70" s="619">
        <v>113314</v>
      </c>
      <c r="M70" s="619">
        <v>0</v>
      </c>
      <c r="N70" s="619">
        <v>0</v>
      </c>
      <c r="O70" s="619">
        <v>0</v>
      </c>
      <c r="P70" s="619">
        <v>0</v>
      </c>
      <c r="Q70" s="619">
        <v>0</v>
      </c>
      <c r="R70" s="619">
        <v>0</v>
      </c>
      <c r="S70" s="619"/>
      <c r="T70" s="619"/>
      <c r="U70" s="619"/>
      <c r="V70" s="619"/>
      <c r="W70" s="619"/>
      <c r="X70" s="619"/>
      <c r="Y70" s="619">
        <f t="shared" si="0"/>
        <v>0</v>
      </c>
      <c r="Z70" s="455">
        <v>51134</v>
      </c>
      <c r="AA70" s="456">
        <v>31</v>
      </c>
      <c r="AB70" s="457">
        <v>44362</v>
      </c>
      <c r="AC70" s="458">
        <v>44371</v>
      </c>
      <c r="AD70" s="454"/>
      <c r="AE70" s="459"/>
      <c r="AF70" s="460"/>
      <c r="AG70" s="458"/>
      <c r="AH70" s="454"/>
      <c r="AI70" s="456"/>
      <c r="AJ70" s="460"/>
      <c r="AK70" s="458"/>
      <c r="AL70" s="454"/>
      <c r="AM70" s="456"/>
      <c r="AN70" s="460"/>
      <c r="AO70" s="458"/>
      <c r="AP70" s="454"/>
      <c r="AQ70" s="456"/>
      <c r="AR70" s="460"/>
      <c r="AS70" s="458"/>
      <c r="AT70" s="154">
        <f t="shared" si="1"/>
        <v>51134</v>
      </c>
      <c r="AU70" s="461">
        <f t="shared" si="2"/>
        <v>51134</v>
      </c>
    </row>
    <row r="71" spans="2:47" s="210" customFormat="1" ht="22.5" x14ac:dyDescent="0.25">
      <c r="B71" s="149">
        <v>64</v>
      </c>
      <c r="C71" s="149" t="s">
        <v>38</v>
      </c>
      <c r="D71" s="450">
        <v>30354782</v>
      </c>
      <c r="E71" s="473" t="s">
        <v>2690</v>
      </c>
      <c r="F71" s="451" t="s">
        <v>2673</v>
      </c>
      <c r="G71" s="452" t="s">
        <v>2616</v>
      </c>
      <c r="H71" s="460" t="s">
        <v>2617</v>
      </c>
      <c r="I71" s="453" t="s">
        <v>43</v>
      </c>
      <c r="J71" s="618">
        <v>1237701</v>
      </c>
      <c r="K71" s="619">
        <v>0</v>
      </c>
      <c r="L71" s="619">
        <v>1084777</v>
      </c>
      <c r="M71" s="619">
        <v>0</v>
      </c>
      <c r="N71" s="619">
        <v>0</v>
      </c>
      <c r="O71" s="619">
        <v>0</v>
      </c>
      <c r="P71" s="619">
        <v>0</v>
      </c>
      <c r="Q71" s="619">
        <v>0</v>
      </c>
      <c r="R71" s="619">
        <v>0</v>
      </c>
      <c r="S71" s="619"/>
      <c r="T71" s="619"/>
      <c r="U71" s="619"/>
      <c r="V71" s="619"/>
      <c r="W71" s="619"/>
      <c r="X71" s="619"/>
      <c r="Y71" s="619">
        <f t="shared" si="0"/>
        <v>0</v>
      </c>
      <c r="Z71" s="455">
        <v>152923</v>
      </c>
      <c r="AA71" s="456">
        <v>31</v>
      </c>
      <c r="AB71" s="457">
        <v>44362</v>
      </c>
      <c r="AC71" s="458">
        <v>44371</v>
      </c>
      <c r="AD71" s="454"/>
      <c r="AE71" s="459"/>
      <c r="AF71" s="460"/>
      <c r="AG71" s="458"/>
      <c r="AH71" s="454"/>
      <c r="AI71" s="456"/>
      <c r="AJ71" s="460"/>
      <c r="AK71" s="458"/>
      <c r="AL71" s="454"/>
      <c r="AM71" s="456"/>
      <c r="AN71" s="460"/>
      <c r="AO71" s="458"/>
      <c r="AP71" s="454"/>
      <c r="AQ71" s="456"/>
      <c r="AR71" s="460"/>
      <c r="AS71" s="458"/>
      <c r="AT71" s="154">
        <f t="shared" si="1"/>
        <v>152923</v>
      </c>
      <c r="AU71" s="461">
        <f t="shared" si="2"/>
        <v>152923</v>
      </c>
    </row>
    <row r="72" spans="2:47" hidden="1" x14ac:dyDescent="0.25">
      <c r="B72" s="307"/>
      <c r="C72" s="307"/>
      <c r="D72" s="16"/>
      <c r="E72" s="326"/>
      <c r="F72" s="326"/>
      <c r="G72" s="17"/>
      <c r="H72" s="317"/>
      <c r="I72" s="308"/>
      <c r="J72" s="614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309"/>
      <c r="AA72" s="19"/>
      <c r="AB72" s="21"/>
      <c r="AC72" s="25"/>
      <c r="AD72" s="57"/>
      <c r="AE72" s="20"/>
      <c r="AF72" s="21"/>
      <c r="AG72" s="25"/>
      <c r="AH72" s="309"/>
      <c r="AI72" s="19"/>
      <c r="AJ72" s="21"/>
      <c r="AK72" s="25"/>
      <c r="AL72" s="309"/>
      <c r="AM72" s="19"/>
      <c r="AN72" s="21"/>
      <c r="AO72" s="25"/>
      <c r="AP72" s="309"/>
      <c r="AQ72" s="19"/>
      <c r="AR72" s="21"/>
      <c r="AS72" s="25"/>
      <c r="AT72" s="22"/>
      <c r="AU72" s="311"/>
    </row>
    <row r="73" spans="2:47" hidden="1" x14ac:dyDescent="0.25">
      <c r="B73" s="307"/>
      <c r="C73" s="307"/>
      <c r="D73" s="16"/>
      <c r="E73" s="326"/>
      <c r="F73" s="326"/>
      <c r="G73" s="17"/>
      <c r="H73" s="317"/>
      <c r="I73" s="308"/>
      <c r="J73" s="614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309"/>
      <c r="AA73" s="19"/>
      <c r="AB73" s="21"/>
      <c r="AC73" s="25"/>
      <c r="AD73" s="309"/>
      <c r="AE73" s="20"/>
      <c r="AF73" s="21"/>
      <c r="AG73" s="25"/>
      <c r="AH73" s="309"/>
      <c r="AI73" s="19"/>
      <c r="AJ73" s="21"/>
      <c r="AK73" s="25"/>
      <c r="AL73" s="309"/>
      <c r="AM73" s="19"/>
      <c r="AN73" s="21"/>
      <c r="AO73" s="25"/>
      <c r="AP73" s="309"/>
      <c r="AQ73" s="19"/>
      <c r="AR73" s="21"/>
      <c r="AS73" s="25"/>
      <c r="AT73" s="22"/>
      <c r="AU73" s="311"/>
    </row>
    <row r="74" spans="2:47" hidden="1" x14ac:dyDescent="0.25">
      <c r="B74" s="307"/>
      <c r="C74" s="307"/>
      <c r="D74" s="16"/>
      <c r="E74" s="326"/>
      <c r="F74" s="326"/>
      <c r="G74" s="17"/>
      <c r="H74" s="317"/>
      <c r="I74" s="308"/>
      <c r="J74" s="614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309"/>
      <c r="AA74" s="19"/>
      <c r="AB74" s="21"/>
      <c r="AC74" s="25"/>
      <c r="AD74" s="309"/>
      <c r="AE74" s="20"/>
      <c r="AF74" s="21"/>
      <c r="AG74" s="25"/>
      <c r="AH74" s="309"/>
      <c r="AI74" s="19"/>
      <c r="AJ74" s="21"/>
      <c r="AK74" s="25"/>
      <c r="AL74" s="309"/>
      <c r="AM74" s="19"/>
      <c r="AN74" s="21"/>
      <c r="AO74" s="25"/>
      <c r="AP74" s="309"/>
      <c r="AQ74" s="19"/>
      <c r="AR74" s="21"/>
      <c r="AS74" s="25"/>
      <c r="AT74" s="22"/>
      <c r="AU74" s="311"/>
    </row>
    <row r="75" spans="2:47" hidden="1" x14ac:dyDescent="0.25">
      <c r="B75" s="307"/>
      <c r="C75" s="307"/>
      <c r="D75" s="16"/>
      <c r="E75" s="326"/>
      <c r="F75" s="326"/>
      <c r="G75" s="17"/>
      <c r="H75" s="317"/>
      <c r="I75" s="308"/>
      <c r="J75" s="614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309"/>
      <c r="AA75" s="19"/>
      <c r="AB75" s="21"/>
      <c r="AC75" s="25"/>
      <c r="AD75" s="309"/>
      <c r="AE75" s="20"/>
      <c r="AF75" s="21"/>
      <c r="AG75" s="25"/>
      <c r="AH75" s="309"/>
      <c r="AI75" s="19"/>
      <c r="AJ75" s="21"/>
      <c r="AK75" s="25"/>
      <c r="AL75" s="309"/>
      <c r="AM75" s="19"/>
      <c r="AN75" s="21"/>
      <c r="AO75" s="25"/>
      <c r="AP75" s="309"/>
      <c r="AQ75" s="19"/>
      <c r="AR75" s="21"/>
      <c r="AS75" s="25"/>
      <c r="AT75" s="22"/>
      <c r="AU75" s="311"/>
    </row>
    <row r="76" spans="2:47" hidden="1" x14ac:dyDescent="0.25">
      <c r="B76" s="307"/>
      <c r="C76" s="307"/>
      <c r="D76" s="16"/>
      <c r="E76" s="326"/>
      <c r="F76" s="326"/>
      <c r="G76" s="17"/>
      <c r="H76" s="317"/>
      <c r="I76" s="308"/>
      <c r="J76" s="614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309"/>
      <c r="AA76" s="19"/>
      <c r="AB76" s="21"/>
      <c r="AC76" s="25"/>
      <c r="AD76" s="309"/>
      <c r="AE76" s="20"/>
      <c r="AF76" s="21"/>
      <c r="AG76" s="25"/>
      <c r="AH76" s="309"/>
      <c r="AI76" s="19"/>
      <c r="AJ76" s="21"/>
      <c r="AK76" s="25"/>
      <c r="AL76" s="309"/>
      <c r="AM76" s="19"/>
      <c r="AN76" s="21"/>
      <c r="AO76" s="25"/>
      <c r="AP76" s="309"/>
      <c r="AQ76" s="19"/>
      <c r="AR76" s="21"/>
      <c r="AS76" s="25"/>
      <c r="AT76" s="22"/>
      <c r="AU76" s="311"/>
    </row>
    <row r="77" spans="2:47" hidden="1" x14ac:dyDescent="0.25">
      <c r="B77" s="307"/>
      <c r="C77" s="307"/>
      <c r="D77" s="16"/>
      <c r="E77" s="326"/>
      <c r="F77" s="326"/>
      <c r="G77" s="17"/>
      <c r="H77" s="317"/>
      <c r="I77" s="308"/>
      <c r="J77" s="614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309"/>
      <c r="AA77" s="19"/>
      <c r="AB77" s="21"/>
      <c r="AC77" s="25"/>
      <c r="AD77" s="309"/>
      <c r="AE77" s="20"/>
      <c r="AF77" s="21"/>
      <c r="AG77" s="25"/>
      <c r="AH77" s="309"/>
      <c r="AI77" s="19"/>
      <c r="AJ77" s="21"/>
      <c r="AK77" s="25"/>
      <c r="AL77" s="309"/>
      <c r="AM77" s="19"/>
      <c r="AN77" s="21"/>
      <c r="AO77" s="25"/>
      <c r="AP77" s="309"/>
      <c r="AQ77" s="19"/>
      <c r="AR77" s="21"/>
      <c r="AS77" s="25"/>
      <c r="AT77" s="22"/>
      <c r="AU77" s="311"/>
    </row>
    <row r="78" spans="2:47" hidden="1" x14ac:dyDescent="0.25">
      <c r="B78" s="307"/>
      <c r="C78" s="307"/>
      <c r="D78" s="16"/>
      <c r="E78" s="326"/>
      <c r="F78" s="326"/>
      <c r="G78" s="17"/>
      <c r="H78" s="317"/>
      <c r="I78" s="308"/>
      <c r="J78" s="614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309"/>
      <c r="AA78" s="19"/>
      <c r="AB78" s="21"/>
      <c r="AC78" s="25"/>
      <c r="AD78" s="309"/>
      <c r="AE78" s="20"/>
      <c r="AF78" s="21"/>
      <c r="AG78" s="25"/>
      <c r="AH78" s="309"/>
      <c r="AI78" s="19"/>
      <c r="AJ78" s="21"/>
      <c r="AK78" s="25"/>
      <c r="AL78" s="309"/>
      <c r="AM78" s="19"/>
      <c r="AN78" s="21"/>
      <c r="AO78" s="25"/>
      <c r="AP78" s="309"/>
      <c r="AQ78" s="19"/>
      <c r="AR78" s="21"/>
      <c r="AS78" s="25"/>
      <c r="AT78" s="22"/>
      <c r="AU78" s="311"/>
    </row>
    <row r="79" spans="2:47" hidden="1" x14ac:dyDescent="0.25">
      <c r="B79" s="307"/>
      <c r="C79" s="307"/>
      <c r="D79" s="16"/>
      <c r="E79" s="326"/>
      <c r="F79" s="326"/>
      <c r="G79" s="17"/>
      <c r="H79" s="317"/>
      <c r="I79" s="308"/>
      <c r="J79" s="614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309"/>
      <c r="AA79" s="19"/>
      <c r="AB79" s="21"/>
      <c r="AC79" s="25"/>
      <c r="AD79" s="309"/>
      <c r="AE79" s="20"/>
      <c r="AF79" s="21"/>
      <c r="AG79" s="25"/>
      <c r="AH79" s="309"/>
      <c r="AI79" s="19"/>
      <c r="AJ79" s="21"/>
      <c r="AK79" s="25"/>
      <c r="AL79" s="309"/>
      <c r="AM79" s="19"/>
      <c r="AN79" s="21"/>
      <c r="AO79" s="25"/>
      <c r="AP79" s="309"/>
      <c r="AQ79" s="19"/>
      <c r="AR79" s="21"/>
      <c r="AS79" s="25"/>
      <c r="AT79" s="22"/>
      <c r="AU79" s="311"/>
    </row>
    <row r="80" spans="2:47" hidden="1" x14ac:dyDescent="0.25">
      <c r="B80" s="307"/>
      <c r="C80" s="307"/>
      <c r="D80" s="16"/>
      <c r="E80" s="326"/>
      <c r="F80" s="326"/>
      <c r="G80" s="17"/>
      <c r="H80" s="317"/>
      <c r="I80" s="308"/>
      <c r="J80" s="614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309"/>
      <c r="AA80" s="19"/>
      <c r="AB80" s="21"/>
      <c r="AC80" s="25"/>
      <c r="AD80" s="309"/>
      <c r="AE80" s="20"/>
      <c r="AF80" s="21"/>
      <c r="AG80" s="25"/>
      <c r="AH80" s="309"/>
      <c r="AI80" s="19"/>
      <c r="AJ80" s="21"/>
      <c r="AK80" s="25"/>
      <c r="AL80" s="309"/>
      <c r="AM80" s="19"/>
      <c r="AN80" s="21"/>
      <c r="AO80" s="25"/>
      <c r="AP80" s="309"/>
      <c r="AQ80" s="19"/>
      <c r="AR80" s="21"/>
      <c r="AS80" s="25"/>
      <c r="AT80" s="22">
        <v>0</v>
      </c>
      <c r="AU80" s="311">
        <v>0</v>
      </c>
    </row>
    <row r="81" spans="2:47" hidden="1" x14ac:dyDescent="0.25">
      <c r="B81" s="307"/>
      <c r="C81" s="307"/>
      <c r="D81" s="16"/>
      <c r="E81" s="326"/>
      <c r="F81" s="326"/>
      <c r="G81" s="17"/>
      <c r="H81" s="317"/>
      <c r="I81" s="320"/>
      <c r="J81" s="614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309"/>
      <c r="AA81" s="19"/>
      <c r="AB81" s="21"/>
      <c r="AC81" s="25"/>
      <c r="AD81" s="309"/>
      <c r="AE81" s="20"/>
      <c r="AF81" s="21"/>
      <c r="AG81" s="25"/>
      <c r="AH81" s="309"/>
      <c r="AI81" s="19"/>
      <c r="AJ81" s="21"/>
      <c r="AK81" s="25"/>
      <c r="AL81" s="309"/>
      <c r="AM81" s="19"/>
      <c r="AN81" s="21"/>
      <c r="AO81" s="25"/>
      <c r="AP81" s="309"/>
      <c r="AQ81" s="19"/>
      <c r="AR81" s="21"/>
      <c r="AS81" s="25"/>
      <c r="AT81" s="22">
        <v>0</v>
      </c>
      <c r="AU81" s="311">
        <v>0</v>
      </c>
    </row>
    <row r="82" spans="2:47" x14ac:dyDescent="0.25">
      <c r="B82" s="746" t="s">
        <v>39</v>
      </c>
      <c r="C82" s="747"/>
      <c r="D82" s="747"/>
      <c r="E82" s="747"/>
      <c r="F82" s="747"/>
      <c r="G82" s="747"/>
      <c r="H82" s="747"/>
      <c r="I82" s="748"/>
      <c r="J82" s="615">
        <f>SUBTOTAL(9,J8:J73)</f>
        <v>147218309</v>
      </c>
      <c r="K82" s="615">
        <f t="shared" ref="K82:Z82" si="3">SUBTOTAL(9,K8:K73)</f>
        <v>65846484</v>
      </c>
      <c r="L82" s="615">
        <f t="shared" si="3"/>
        <v>24109440</v>
      </c>
      <c r="M82" s="615">
        <f t="shared" si="3"/>
        <v>0</v>
      </c>
      <c r="N82" s="615">
        <f t="shared" si="3"/>
        <v>182839.916</v>
      </c>
      <c r="O82" s="615">
        <f t="shared" si="3"/>
        <v>1308876.075</v>
      </c>
      <c r="P82" s="615">
        <f t="shared" si="3"/>
        <v>832859</v>
      </c>
      <c r="Q82" s="615">
        <f t="shared" si="3"/>
        <v>469912</v>
      </c>
      <c r="R82" s="615">
        <f t="shared" si="3"/>
        <v>1651202</v>
      </c>
      <c r="S82" s="615">
        <f t="shared" si="3"/>
        <v>0</v>
      </c>
      <c r="T82" s="615">
        <f t="shared" si="3"/>
        <v>0</v>
      </c>
      <c r="U82" s="615">
        <f t="shared" si="3"/>
        <v>0</v>
      </c>
      <c r="V82" s="615">
        <f t="shared" si="3"/>
        <v>0</v>
      </c>
      <c r="W82" s="615">
        <f t="shared" si="3"/>
        <v>0</v>
      </c>
      <c r="X82" s="615">
        <f t="shared" si="3"/>
        <v>0</v>
      </c>
      <c r="Y82" s="615">
        <f t="shared" si="3"/>
        <v>4445688.9910000004</v>
      </c>
      <c r="Z82" s="615">
        <f t="shared" si="3"/>
        <v>12281037</v>
      </c>
      <c r="AA82" s="24"/>
      <c r="AB82" s="24"/>
      <c r="AC82" s="24"/>
      <c r="AD82" s="615">
        <f t="shared" ref="AD82" si="4">SUBTOTAL(9,AD8:AD73)</f>
        <v>4378496</v>
      </c>
      <c r="AE82" s="24"/>
      <c r="AF82" s="24"/>
      <c r="AG82" s="24"/>
      <c r="AH82" s="615">
        <f>SUBTOTAL(9,AH8:AH73)</f>
        <v>989325</v>
      </c>
      <c r="AI82" s="24"/>
      <c r="AJ82" s="24"/>
      <c r="AK82" s="24"/>
      <c r="AL82" s="615">
        <f t="shared" ref="AL82" si="5">SUBTOTAL(9,AL8:AL73)</f>
        <v>902703</v>
      </c>
      <c r="AM82" s="24"/>
      <c r="AN82" s="24"/>
      <c r="AO82" s="24"/>
      <c r="AP82" s="615">
        <f t="shared" ref="AP82" si="6">SUBTOTAL(9,AP8:AP73)</f>
        <v>0</v>
      </c>
      <c r="AQ82" s="24"/>
      <c r="AR82" s="24"/>
      <c r="AS82" s="24"/>
      <c r="AT82" s="615">
        <f>SUBTOTAL(9,AT8:AT73)</f>
        <v>18551561</v>
      </c>
      <c r="AU82" s="615">
        <f>SUBTOTAL(9,AU8:AU73)</f>
        <v>14105872.009</v>
      </c>
    </row>
    <row r="83" spans="2:47" s="210" customFormat="1" x14ac:dyDescent="0.25"/>
    <row r="84" spans="2:47" s="210" customFormat="1" x14ac:dyDescent="0.25"/>
    <row r="85" spans="2:47" s="210" customFormat="1" x14ac:dyDescent="0.25"/>
    <row r="86" spans="2:47" s="210" customFormat="1" x14ac:dyDescent="0.25"/>
    <row r="87" spans="2:47" s="210" customFormat="1" x14ac:dyDescent="0.25"/>
    <row r="88" spans="2:47" s="210" customFormat="1" x14ac:dyDescent="0.25"/>
    <row r="89" spans="2:47" s="210" customFormat="1" x14ac:dyDescent="0.25"/>
    <row r="90" spans="2:47" s="210" customFormat="1" x14ac:dyDescent="0.25"/>
    <row r="91" spans="2:47" s="210" customFormat="1" x14ac:dyDescent="0.25"/>
    <row r="92" spans="2:47" s="210" customFormat="1" x14ac:dyDescent="0.25"/>
    <row r="93" spans="2:47" s="210" customFormat="1" x14ac:dyDescent="0.25"/>
    <row r="94" spans="2:47" s="210" customFormat="1" x14ac:dyDescent="0.25"/>
    <row r="95" spans="2:47" s="210" customFormat="1" x14ac:dyDescent="0.25"/>
    <row r="96" spans="2:47" s="210" customFormat="1" x14ac:dyDescent="0.25"/>
    <row r="97" s="210" customFormat="1" x14ac:dyDescent="0.25"/>
    <row r="98" s="210" customFormat="1" x14ac:dyDescent="0.25"/>
    <row r="99" s="210" customFormat="1" x14ac:dyDescent="0.25"/>
    <row r="100" s="210" customFormat="1" x14ac:dyDescent="0.25"/>
    <row r="101" s="210" customFormat="1" x14ac:dyDescent="0.25"/>
    <row r="102" s="210" customFormat="1" x14ac:dyDescent="0.25"/>
    <row r="103" s="210" customFormat="1" x14ac:dyDescent="0.25"/>
    <row r="104" s="210" customFormat="1" x14ac:dyDescent="0.25"/>
    <row r="105" s="210" customFormat="1" x14ac:dyDescent="0.25"/>
    <row r="106" s="210" customFormat="1" x14ac:dyDescent="0.25"/>
    <row r="107" s="210" customFormat="1" x14ac:dyDescent="0.25"/>
    <row r="108" s="210" customFormat="1" x14ac:dyDescent="0.25"/>
    <row r="109" s="210" customFormat="1" x14ac:dyDescent="0.25"/>
    <row r="110" s="210" customFormat="1" x14ac:dyDescent="0.25"/>
    <row r="111" s="210" customFormat="1" x14ac:dyDescent="0.25"/>
    <row r="112" s="210" customFormat="1" x14ac:dyDescent="0.25"/>
    <row r="113" s="210" customFormat="1" x14ac:dyDescent="0.25"/>
    <row r="114" s="210" customFormat="1" x14ac:dyDescent="0.25"/>
    <row r="115" s="210" customFormat="1" x14ac:dyDescent="0.25"/>
    <row r="116" s="210" customFormat="1" x14ac:dyDescent="0.25"/>
    <row r="117" s="210" customFormat="1" x14ac:dyDescent="0.25"/>
    <row r="118" s="210" customFormat="1" x14ac:dyDescent="0.25"/>
    <row r="119" s="210" customFormat="1" x14ac:dyDescent="0.25"/>
    <row r="120" s="210" customFormat="1" x14ac:dyDescent="0.25"/>
    <row r="121" s="210" customFormat="1" x14ac:dyDescent="0.25"/>
    <row r="122" s="210" customFormat="1" x14ac:dyDescent="0.25"/>
    <row r="123" s="210" customFormat="1" x14ac:dyDescent="0.25"/>
    <row r="124" s="210" customFormat="1" x14ac:dyDescent="0.25"/>
    <row r="125" s="210" customFormat="1" x14ac:dyDescent="0.25"/>
    <row r="126" s="210" customFormat="1" x14ac:dyDescent="0.25"/>
    <row r="127" s="210" customFormat="1" x14ac:dyDescent="0.25"/>
    <row r="128" s="210" customFormat="1" x14ac:dyDescent="0.25"/>
    <row r="129" s="210" customFormat="1" x14ac:dyDescent="0.25"/>
    <row r="130" s="210" customFormat="1" x14ac:dyDescent="0.25"/>
    <row r="131" s="210" customFormat="1" x14ac:dyDescent="0.25"/>
    <row r="132" s="210" customFormat="1" x14ac:dyDescent="0.25"/>
    <row r="133" s="210" customFormat="1" x14ac:dyDescent="0.25"/>
    <row r="134" s="210" customFormat="1" x14ac:dyDescent="0.25"/>
    <row r="135" s="210" customFormat="1" x14ac:dyDescent="0.25"/>
    <row r="136" s="210" customFormat="1" x14ac:dyDescent="0.25"/>
    <row r="137" s="210" customFormat="1" x14ac:dyDescent="0.25"/>
    <row r="138" s="210" customFormat="1" x14ac:dyDescent="0.25"/>
    <row r="139" s="210" customFormat="1" x14ac:dyDescent="0.25"/>
    <row r="140" s="210" customFormat="1" x14ac:dyDescent="0.25"/>
    <row r="141" s="210" customFormat="1" x14ac:dyDescent="0.25"/>
    <row r="142" s="210" customFormat="1" x14ac:dyDescent="0.25"/>
    <row r="143" s="210" customFormat="1" x14ac:dyDescent="0.25"/>
    <row r="144" s="210" customFormat="1" x14ac:dyDescent="0.25"/>
    <row r="145" s="210" customFormat="1" x14ac:dyDescent="0.25"/>
    <row r="146" s="210" customFormat="1" x14ac:dyDescent="0.25"/>
    <row r="147" s="210" customFormat="1" x14ac:dyDescent="0.25"/>
    <row r="148" s="210" customFormat="1" x14ac:dyDescent="0.25"/>
    <row r="149" s="210" customFormat="1" x14ac:dyDescent="0.25"/>
    <row r="150" s="210" customFormat="1" x14ac:dyDescent="0.25"/>
    <row r="151" s="210" customFormat="1" x14ac:dyDescent="0.25"/>
    <row r="152" s="210" customFormat="1" x14ac:dyDescent="0.25"/>
    <row r="153" s="210" customFormat="1" x14ac:dyDescent="0.25"/>
    <row r="154" s="210" customFormat="1" x14ac:dyDescent="0.25"/>
    <row r="155" s="210" customFormat="1" x14ac:dyDescent="0.25"/>
    <row r="156" s="210" customFormat="1" x14ac:dyDescent="0.25"/>
    <row r="157" s="210" customFormat="1" x14ac:dyDescent="0.25"/>
    <row r="158" s="210" customFormat="1" x14ac:dyDescent="0.25"/>
    <row r="159" s="210" customFormat="1" x14ac:dyDescent="0.25"/>
    <row r="160" s="210" customFormat="1" x14ac:dyDescent="0.25"/>
    <row r="161" s="210" customFormat="1" x14ac:dyDescent="0.25"/>
    <row r="162" s="210" customFormat="1" x14ac:dyDescent="0.25"/>
    <row r="163" s="210" customFormat="1" x14ac:dyDescent="0.25"/>
    <row r="164" s="210" customFormat="1" x14ac:dyDescent="0.25"/>
    <row r="165" s="210" customFormat="1" x14ac:dyDescent="0.25"/>
    <row r="166" s="210" customFormat="1" x14ac:dyDescent="0.25"/>
    <row r="167" s="210" customFormat="1" x14ac:dyDescent="0.25"/>
    <row r="168" s="210" customFormat="1" x14ac:dyDescent="0.25"/>
    <row r="169" s="210" customFormat="1" x14ac:dyDescent="0.25"/>
    <row r="170" s="210" customFormat="1" x14ac:dyDescent="0.25"/>
    <row r="171" s="210" customFormat="1" x14ac:dyDescent="0.25"/>
    <row r="172" s="210" customFormat="1" x14ac:dyDescent="0.25"/>
    <row r="173" s="210" customFormat="1" x14ac:dyDescent="0.25"/>
    <row r="174" s="210" customFormat="1" x14ac:dyDescent="0.25"/>
    <row r="175" s="210" customFormat="1" x14ac:dyDescent="0.25"/>
    <row r="176" s="210" customFormat="1" x14ac:dyDescent="0.25"/>
    <row r="177" s="210" customFormat="1" x14ac:dyDescent="0.25"/>
    <row r="178" s="210" customFormat="1" x14ac:dyDescent="0.25"/>
    <row r="179" s="210" customFormat="1" x14ac:dyDescent="0.25"/>
    <row r="180" s="210" customFormat="1" x14ac:dyDescent="0.25"/>
    <row r="181" s="210" customFormat="1" x14ac:dyDescent="0.25"/>
    <row r="182" s="210" customFormat="1" x14ac:dyDescent="0.25"/>
    <row r="183" s="210" customFormat="1" x14ac:dyDescent="0.25"/>
    <row r="184" s="210" customFormat="1" x14ac:dyDescent="0.25"/>
    <row r="185" s="210" customFormat="1" x14ac:dyDescent="0.25"/>
    <row r="186" s="210" customFormat="1" x14ac:dyDescent="0.25"/>
    <row r="187" s="210" customFormat="1" x14ac:dyDescent="0.25"/>
    <row r="188" s="210" customFormat="1" x14ac:dyDescent="0.25"/>
    <row r="189" s="210" customFormat="1" x14ac:dyDescent="0.25"/>
    <row r="190" s="210" customFormat="1" x14ac:dyDescent="0.25"/>
    <row r="191" s="210" customFormat="1" x14ac:dyDescent="0.25"/>
    <row r="192" s="210" customFormat="1" x14ac:dyDescent="0.25"/>
    <row r="193" s="210" customFormat="1" x14ac:dyDescent="0.25"/>
    <row r="194" s="210" customFormat="1" x14ac:dyDescent="0.25"/>
    <row r="195" s="210" customFormat="1" x14ac:dyDescent="0.25"/>
    <row r="196" s="210" customFormat="1" x14ac:dyDescent="0.25"/>
    <row r="197" s="210" customFormat="1" x14ac:dyDescent="0.25"/>
    <row r="198" s="210" customFormat="1" x14ac:dyDescent="0.25"/>
    <row r="199" s="210" customFormat="1" x14ac:dyDescent="0.25"/>
    <row r="200" s="210" customFormat="1" x14ac:dyDescent="0.25"/>
    <row r="201" s="210" customFormat="1" x14ac:dyDescent="0.25"/>
    <row r="202" s="210" customFormat="1" x14ac:dyDescent="0.25"/>
    <row r="203" s="210" customFormat="1" x14ac:dyDescent="0.25"/>
    <row r="204" s="210" customFormat="1" x14ac:dyDescent="0.25"/>
    <row r="205" s="210" customFormat="1" x14ac:dyDescent="0.25"/>
    <row r="206" s="210" customFormat="1" x14ac:dyDescent="0.25"/>
    <row r="207" s="210" customFormat="1" x14ac:dyDescent="0.25"/>
    <row r="208" s="210" customFormat="1" x14ac:dyDescent="0.25"/>
    <row r="209" s="210" customFormat="1" x14ac:dyDescent="0.25"/>
    <row r="210" s="210" customFormat="1" x14ac:dyDescent="0.25"/>
    <row r="211" s="210" customFormat="1" x14ac:dyDescent="0.25"/>
    <row r="212" s="210" customFormat="1" x14ac:dyDescent="0.25"/>
    <row r="213" s="210" customFormat="1" x14ac:dyDescent="0.25"/>
    <row r="214" s="210" customFormat="1" x14ac:dyDescent="0.25"/>
    <row r="215" s="210" customFormat="1" x14ac:dyDescent="0.25"/>
    <row r="216" s="210" customFormat="1" x14ac:dyDescent="0.25"/>
    <row r="217" s="210" customFormat="1" x14ac:dyDescent="0.25"/>
    <row r="218" s="210" customFormat="1" x14ac:dyDescent="0.25"/>
    <row r="219" s="210" customFormat="1" x14ac:dyDescent="0.25"/>
    <row r="220" s="210" customFormat="1" x14ac:dyDescent="0.25"/>
    <row r="221" s="210" customFormat="1" x14ac:dyDescent="0.25"/>
    <row r="222" s="210" customFormat="1" x14ac:dyDescent="0.25"/>
    <row r="223" s="210" customFormat="1" x14ac:dyDescent="0.25"/>
    <row r="224" s="210" customFormat="1" x14ac:dyDescent="0.25"/>
    <row r="225" s="210" customFormat="1" x14ac:dyDescent="0.25"/>
    <row r="226" s="210" customFormat="1" x14ac:dyDescent="0.25"/>
    <row r="227" s="210" customFormat="1" x14ac:dyDescent="0.25"/>
    <row r="228" s="210" customFormat="1" x14ac:dyDescent="0.25"/>
    <row r="229" s="210" customFormat="1" x14ac:dyDescent="0.25"/>
    <row r="230" s="210" customFormat="1" x14ac:dyDescent="0.25"/>
    <row r="231" s="210" customFormat="1" x14ac:dyDescent="0.25"/>
    <row r="232" s="210" customFormat="1" x14ac:dyDescent="0.25"/>
    <row r="233" s="210" customFormat="1" x14ac:dyDescent="0.25"/>
    <row r="234" s="210" customFormat="1" x14ac:dyDescent="0.25"/>
    <row r="235" s="210" customFormat="1" x14ac:dyDescent="0.25"/>
    <row r="236" s="210" customFormat="1" x14ac:dyDescent="0.25"/>
    <row r="237" s="210" customFormat="1" x14ac:dyDescent="0.25"/>
    <row r="238" s="210" customFormat="1" x14ac:dyDescent="0.25"/>
    <row r="239" s="210" customFormat="1" x14ac:dyDescent="0.25"/>
    <row r="240" s="210" customFormat="1" x14ac:dyDescent="0.25"/>
    <row r="241" s="210" customFormat="1" x14ac:dyDescent="0.25"/>
    <row r="242" s="210" customFormat="1" x14ac:dyDescent="0.25"/>
    <row r="243" s="210" customFormat="1" x14ac:dyDescent="0.25"/>
    <row r="244" s="210" customFormat="1" x14ac:dyDescent="0.25"/>
    <row r="245" s="210" customFormat="1" x14ac:dyDescent="0.25"/>
    <row r="246" s="210" customFormat="1" x14ac:dyDescent="0.25"/>
    <row r="247" s="210" customFormat="1" x14ac:dyDescent="0.25"/>
    <row r="248" s="210" customFormat="1" x14ac:dyDescent="0.25"/>
    <row r="249" s="210" customFormat="1" x14ac:dyDescent="0.25"/>
    <row r="250" s="210" customFormat="1" x14ac:dyDescent="0.25"/>
    <row r="251" s="210" customFormat="1" x14ac:dyDescent="0.25"/>
    <row r="252" s="210" customFormat="1" x14ac:dyDescent="0.25"/>
    <row r="253" s="210" customFormat="1" x14ac:dyDescent="0.25"/>
    <row r="254" s="210" customFormat="1" x14ac:dyDescent="0.25"/>
    <row r="255" s="210" customFormat="1" x14ac:dyDescent="0.25"/>
    <row r="256" s="210" customFormat="1" x14ac:dyDescent="0.25"/>
    <row r="257" s="210" customFormat="1" x14ac:dyDescent="0.25"/>
    <row r="258" s="210" customFormat="1" x14ac:dyDescent="0.25"/>
    <row r="259" s="210" customFormat="1" x14ac:dyDescent="0.25"/>
    <row r="260" s="210" customFormat="1" x14ac:dyDescent="0.25"/>
    <row r="261" s="210" customFormat="1" x14ac:dyDescent="0.25"/>
    <row r="262" s="210" customFormat="1" x14ac:dyDescent="0.25"/>
    <row r="263" s="210" customFormat="1" x14ac:dyDescent="0.25"/>
    <row r="264" s="210" customFormat="1" x14ac:dyDescent="0.25"/>
    <row r="265" s="210" customFormat="1" x14ac:dyDescent="0.25"/>
    <row r="266" s="210" customFormat="1" x14ac:dyDescent="0.25"/>
    <row r="267" s="210" customFormat="1" x14ac:dyDescent="0.25"/>
    <row r="268" s="210" customFormat="1" x14ac:dyDescent="0.25"/>
    <row r="269" s="210" customFormat="1" x14ac:dyDescent="0.25"/>
    <row r="270" s="210" customFormat="1" x14ac:dyDescent="0.25"/>
    <row r="271" s="210" customFormat="1" x14ac:dyDescent="0.25"/>
    <row r="272" s="210" customFormat="1" x14ac:dyDescent="0.25"/>
    <row r="273" s="210" customFormat="1" x14ac:dyDescent="0.25"/>
    <row r="274" s="210" customFormat="1" x14ac:dyDescent="0.25"/>
    <row r="275" s="210" customFormat="1" x14ac:dyDescent="0.25"/>
    <row r="276" s="210" customFormat="1" x14ac:dyDescent="0.25"/>
    <row r="277" s="210" customFormat="1" x14ac:dyDescent="0.25"/>
    <row r="278" s="210" customFormat="1" x14ac:dyDescent="0.25"/>
    <row r="279" s="210" customFormat="1" x14ac:dyDescent="0.25"/>
    <row r="280" s="210" customFormat="1" x14ac:dyDescent="0.25"/>
    <row r="281" s="210" customFormat="1" x14ac:dyDescent="0.25"/>
    <row r="282" s="210" customFormat="1" x14ac:dyDescent="0.25"/>
    <row r="283" s="210" customFormat="1" x14ac:dyDescent="0.25"/>
    <row r="284" s="210" customFormat="1" x14ac:dyDescent="0.25"/>
    <row r="285" s="210" customFormat="1" x14ac:dyDescent="0.25"/>
    <row r="286" s="210" customFormat="1" x14ac:dyDescent="0.25"/>
    <row r="287" s="210" customFormat="1" x14ac:dyDescent="0.25"/>
    <row r="288" s="210" customFormat="1" x14ac:dyDescent="0.25"/>
    <row r="289" s="210" customFormat="1" x14ac:dyDescent="0.25"/>
    <row r="290" s="210" customFormat="1" x14ac:dyDescent="0.25"/>
    <row r="291" s="210" customFormat="1" x14ac:dyDescent="0.25"/>
    <row r="292" s="210" customFormat="1" x14ac:dyDescent="0.25"/>
    <row r="293" s="210" customFormat="1" x14ac:dyDescent="0.25"/>
    <row r="294" s="210" customFormat="1" x14ac:dyDescent="0.25"/>
    <row r="295" s="210" customFormat="1" x14ac:dyDescent="0.25"/>
    <row r="296" s="210" customFormat="1" x14ac:dyDescent="0.25"/>
    <row r="297" s="210" customFormat="1" x14ac:dyDescent="0.25"/>
    <row r="298" s="210" customFormat="1" x14ac:dyDescent="0.25"/>
    <row r="299" s="210" customFormat="1" x14ac:dyDescent="0.25"/>
    <row r="300" s="210" customFormat="1" x14ac:dyDescent="0.25"/>
    <row r="301" s="210" customFormat="1" x14ac:dyDescent="0.25"/>
    <row r="302" s="210" customFormat="1" x14ac:dyDescent="0.25"/>
    <row r="303" s="210" customFormat="1" x14ac:dyDescent="0.25"/>
    <row r="304" s="210" customFormat="1" x14ac:dyDescent="0.25"/>
    <row r="305" s="210" customFormat="1" x14ac:dyDescent="0.25"/>
    <row r="306" s="210" customFormat="1" x14ac:dyDescent="0.25"/>
    <row r="307" s="210" customFormat="1" x14ac:dyDescent="0.25"/>
    <row r="308" s="210" customFormat="1" x14ac:dyDescent="0.25"/>
    <row r="309" s="210" customFormat="1" x14ac:dyDescent="0.25"/>
    <row r="310" s="210" customFormat="1" x14ac:dyDescent="0.25"/>
    <row r="311" s="210" customFormat="1" x14ac:dyDescent="0.25"/>
    <row r="312" s="210" customFormat="1" x14ac:dyDescent="0.25"/>
    <row r="313" s="210" customFormat="1" x14ac:dyDescent="0.25"/>
    <row r="314" s="210" customFormat="1" x14ac:dyDescent="0.25"/>
    <row r="315" s="210" customFormat="1" x14ac:dyDescent="0.25"/>
    <row r="316" s="210" customFormat="1" x14ac:dyDescent="0.25"/>
    <row r="317" s="210" customFormat="1" x14ac:dyDescent="0.25"/>
    <row r="318" s="210" customFormat="1" x14ac:dyDescent="0.25"/>
    <row r="319" s="210" customFormat="1" x14ac:dyDescent="0.25"/>
    <row r="320" s="210" customFormat="1" x14ac:dyDescent="0.25"/>
    <row r="321" s="210" customFormat="1" x14ac:dyDescent="0.25"/>
    <row r="322" s="210" customFormat="1" x14ac:dyDescent="0.25"/>
    <row r="323" s="210" customFormat="1" x14ac:dyDescent="0.25"/>
    <row r="324" s="210" customFormat="1" x14ac:dyDescent="0.25"/>
    <row r="325" s="210" customFormat="1" x14ac:dyDescent="0.25"/>
    <row r="326" s="210" customFormat="1" x14ac:dyDescent="0.25"/>
    <row r="327" s="210" customFormat="1" x14ac:dyDescent="0.25"/>
    <row r="328" s="210" customFormat="1" x14ac:dyDescent="0.25"/>
    <row r="329" s="210" customFormat="1" x14ac:dyDescent="0.25"/>
    <row r="330" s="210" customFormat="1" x14ac:dyDescent="0.25"/>
    <row r="331" s="210" customFormat="1" x14ac:dyDescent="0.25"/>
    <row r="332" s="210" customFormat="1" x14ac:dyDescent="0.25"/>
    <row r="333" s="210" customFormat="1" x14ac:dyDescent="0.25"/>
    <row r="334" s="210" customFormat="1" x14ac:dyDescent="0.25"/>
    <row r="335" s="210" customFormat="1" x14ac:dyDescent="0.25"/>
    <row r="336" s="210" customFormat="1" x14ac:dyDescent="0.25"/>
    <row r="337" s="210" customFormat="1" x14ac:dyDescent="0.25"/>
    <row r="338" s="210" customFormat="1" x14ac:dyDescent="0.25"/>
    <row r="339" s="210" customFormat="1" x14ac:dyDescent="0.25"/>
    <row r="340" s="210" customFormat="1" x14ac:dyDescent="0.25"/>
    <row r="341" s="210" customFormat="1" x14ac:dyDescent="0.25"/>
    <row r="342" s="210" customFormat="1" x14ac:dyDescent="0.25"/>
    <row r="343" s="210" customFormat="1" x14ac:dyDescent="0.25"/>
    <row r="344" s="210" customFormat="1" x14ac:dyDescent="0.25"/>
    <row r="345" s="210" customFormat="1" x14ac:dyDescent="0.25"/>
    <row r="346" s="210" customFormat="1" x14ac:dyDescent="0.25"/>
    <row r="347" s="210" customFormat="1" x14ac:dyDescent="0.25"/>
    <row r="348" s="210" customFormat="1" x14ac:dyDescent="0.25"/>
    <row r="349" s="210" customFormat="1" x14ac:dyDescent="0.25"/>
    <row r="350" s="210" customFormat="1" x14ac:dyDescent="0.25"/>
    <row r="351" s="210" customFormat="1" x14ac:dyDescent="0.25"/>
    <row r="352" s="210" customFormat="1" x14ac:dyDescent="0.25"/>
    <row r="353" s="210" customFormat="1" x14ac:dyDescent="0.25"/>
    <row r="354" s="210" customFormat="1" x14ac:dyDescent="0.25"/>
    <row r="355" s="210" customFormat="1" x14ac:dyDescent="0.25"/>
    <row r="356" s="210" customFormat="1" x14ac:dyDescent="0.25"/>
    <row r="357" s="210" customFormat="1" x14ac:dyDescent="0.25"/>
    <row r="358" s="210" customFormat="1" x14ac:dyDescent="0.25"/>
    <row r="359" s="210" customFormat="1" x14ac:dyDescent="0.25"/>
    <row r="360" s="210" customFormat="1" x14ac:dyDescent="0.25"/>
    <row r="361" s="210" customFormat="1" x14ac:dyDescent="0.25"/>
    <row r="362" s="210" customFormat="1" x14ac:dyDescent="0.25"/>
    <row r="363" s="210" customFormat="1" x14ac:dyDescent="0.25"/>
    <row r="364" s="210" customFormat="1" x14ac:dyDescent="0.25"/>
    <row r="365" s="210" customFormat="1" x14ac:dyDescent="0.25"/>
    <row r="366" s="210" customFormat="1" x14ac:dyDescent="0.25"/>
    <row r="367" s="210" customFormat="1" x14ac:dyDescent="0.25"/>
    <row r="368" s="210" customFormat="1" x14ac:dyDescent="0.25"/>
    <row r="369" s="210" customFormat="1" x14ac:dyDescent="0.25"/>
    <row r="370" s="210" customFormat="1" x14ac:dyDescent="0.25"/>
    <row r="371" s="210" customFormat="1" x14ac:dyDescent="0.25"/>
    <row r="372" s="210" customFormat="1" x14ac:dyDescent="0.25"/>
    <row r="373" s="210" customFormat="1" x14ac:dyDescent="0.25"/>
    <row r="374" s="210" customFormat="1" x14ac:dyDescent="0.25"/>
    <row r="375" s="210" customFormat="1" x14ac:dyDescent="0.25"/>
    <row r="376" s="210" customFormat="1" x14ac:dyDescent="0.25"/>
    <row r="377" s="210" customFormat="1" x14ac:dyDescent="0.25"/>
    <row r="378" s="210" customFormat="1" x14ac:dyDescent="0.25"/>
    <row r="379" s="210" customFormat="1" x14ac:dyDescent="0.25"/>
    <row r="380" s="210" customFormat="1" x14ac:dyDescent="0.25"/>
    <row r="381" s="210" customFormat="1" x14ac:dyDescent="0.25"/>
    <row r="382" s="210" customFormat="1" x14ac:dyDescent="0.25"/>
    <row r="383" s="210" customFormat="1" x14ac:dyDescent="0.25"/>
    <row r="384" s="210" customFormat="1" x14ac:dyDescent="0.25"/>
    <row r="385" s="210" customFormat="1" x14ac:dyDescent="0.25"/>
    <row r="386" s="210" customFormat="1" x14ac:dyDescent="0.25"/>
    <row r="387" s="210" customFormat="1" x14ac:dyDescent="0.25"/>
    <row r="388" s="210" customFormat="1" x14ac:dyDescent="0.25"/>
    <row r="389" s="210" customFormat="1" x14ac:dyDescent="0.25"/>
    <row r="390" s="210" customFormat="1" x14ac:dyDescent="0.25"/>
    <row r="391" s="210" customFormat="1" x14ac:dyDescent="0.25"/>
    <row r="392" s="210" customFormat="1" x14ac:dyDescent="0.25"/>
    <row r="393" s="210" customFormat="1" x14ac:dyDescent="0.25"/>
    <row r="394" s="210" customFormat="1" x14ac:dyDescent="0.25"/>
    <row r="395" s="210" customFormat="1" x14ac:dyDescent="0.25"/>
    <row r="396" s="210" customFormat="1" x14ac:dyDescent="0.25"/>
    <row r="397" s="210" customFormat="1" x14ac:dyDescent="0.25"/>
    <row r="398" s="210" customFormat="1" x14ac:dyDescent="0.25"/>
    <row r="399" s="210" customFormat="1" x14ac:dyDescent="0.25"/>
    <row r="400" s="210" customFormat="1" x14ac:dyDescent="0.25"/>
    <row r="401" s="210" customFormat="1" x14ac:dyDescent="0.25"/>
    <row r="402" s="210" customFormat="1" x14ac:dyDescent="0.25"/>
    <row r="403" s="210" customFormat="1" x14ac:dyDescent="0.25"/>
    <row r="404" s="210" customFormat="1" x14ac:dyDescent="0.25"/>
    <row r="405" s="210" customFormat="1" x14ac:dyDescent="0.25"/>
    <row r="406" s="210" customFormat="1" x14ac:dyDescent="0.25"/>
    <row r="407" s="210" customFormat="1" x14ac:dyDescent="0.25"/>
    <row r="408" s="210" customFormat="1" x14ac:dyDescent="0.25"/>
    <row r="409" s="210" customFormat="1" x14ac:dyDescent="0.25"/>
    <row r="410" s="210" customFormat="1" x14ac:dyDescent="0.25"/>
    <row r="411" s="210" customFormat="1" x14ac:dyDescent="0.25"/>
    <row r="412" s="210" customFormat="1" x14ac:dyDescent="0.25"/>
    <row r="413" s="210" customFormat="1" x14ac:dyDescent="0.25"/>
    <row r="414" s="210" customFormat="1" x14ac:dyDescent="0.25"/>
    <row r="415" s="210" customFormat="1" x14ac:dyDescent="0.25"/>
    <row r="416" s="210" customFormat="1" x14ac:dyDescent="0.25"/>
    <row r="417" s="210" customFormat="1" x14ac:dyDescent="0.25"/>
    <row r="418" s="210" customFormat="1" x14ac:dyDescent="0.25"/>
    <row r="419" s="210" customFormat="1" x14ac:dyDescent="0.25"/>
    <row r="420" s="210" customFormat="1" x14ac:dyDescent="0.25"/>
    <row r="421" s="210" customFormat="1" x14ac:dyDescent="0.25"/>
    <row r="422" s="210" customFormat="1" x14ac:dyDescent="0.25"/>
    <row r="423" s="210" customFormat="1" x14ac:dyDescent="0.25"/>
    <row r="424" s="210" customFormat="1" x14ac:dyDescent="0.25"/>
    <row r="425" s="210" customFormat="1" x14ac:dyDescent="0.25"/>
    <row r="426" s="210" customFormat="1" x14ac:dyDescent="0.25"/>
    <row r="427" s="210" customFormat="1" x14ac:dyDescent="0.25"/>
    <row r="428" s="210" customFormat="1" x14ac:dyDescent="0.25"/>
    <row r="429" s="210" customFormat="1" x14ac:dyDescent="0.25"/>
    <row r="430" s="210" customFormat="1" x14ac:dyDescent="0.25"/>
    <row r="431" s="210" customFormat="1" x14ac:dyDescent="0.25"/>
    <row r="432" s="210" customFormat="1" x14ac:dyDescent="0.25"/>
    <row r="433" s="210" customFormat="1" x14ac:dyDescent="0.25"/>
    <row r="434" s="210" customFormat="1" x14ac:dyDescent="0.25"/>
    <row r="435" s="210" customFormat="1" x14ac:dyDescent="0.25"/>
    <row r="436" s="210" customFormat="1" x14ac:dyDescent="0.25"/>
    <row r="437" s="210" customFormat="1" x14ac:dyDescent="0.25"/>
    <row r="438" s="210" customFormat="1" x14ac:dyDescent="0.25"/>
    <row r="439" s="210" customFormat="1" x14ac:dyDescent="0.25"/>
    <row r="440" s="210" customFormat="1" x14ac:dyDescent="0.25"/>
    <row r="441" s="210" customFormat="1" x14ac:dyDescent="0.25"/>
    <row r="442" s="210" customFormat="1" x14ac:dyDescent="0.25"/>
    <row r="443" s="210" customFormat="1" x14ac:dyDescent="0.25"/>
    <row r="444" s="210" customFormat="1" x14ac:dyDescent="0.25"/>
    <row r="445" s="210" customFormat="1" x14ac:dyDescent="0.25"/>
    <row r="446" s="210" customFormat="1" x14ac:dyDescent="0.25"/>
    <row r="447" s="210" customFormat="1" x14ac:dyDescent="0.25"/>
    <row r="448" s="210" customFormat="1" x14ac:dyDescent="0.25"/>
    <row r="449" s="210" customFormat="1" x14ac:dyDescent="0.25"/>
    <row r="450" s="210" customFormat="1" x14ac:dyDescent="0.25"/>
    <row r="451" s="210" customFormat="1" x14ac:dyDescent="0.25"/>
    <row r="452" s="210" customFormat="1" x14ac:dyDescent="0.25"/>
    <row r="453" s="210" customFormat="1" x14ac:dyDescent="0.25"/>
    <row r="454" s="210" customFormat="1" x14ac:dyDescent="0.25"/>
    <row r="455" s="210" customFormat="1" x14ac:dyDescent="0.25"/>
    <row r="456" s="210" customFormat="1" x14ac:dyDescent="0.25"/>
    <row r="457" s="210" customFormat="1" x14ac:dyDescent="0.25"/>
    <row r="458" s="210" customFormat="1" x14ac:dyDescent="0.25"/>
    <row r="459" s="210" customFormat="1" x14ac:dyDescent="0.25"/>
    <row r="460" s="210" customFormat="1" x14ac:dyDescent="0.25"/>
    <row r="461" s="210" customFormat="1" x14ac:dyDescent="0.25"/>
    <row r="462" s="210" customFormat="1" x14ac:dyDescent="0.25"/>
    <row r="463" s="210" customFormat="1" x14ac:dyDescent="0.25"/>
    <row r="464" s="210" customFormat="1" x14ac:dyDescent="0.25"/>
    <row r="465" s="210" customFormat="1" x14ac:dyDescent="0.25"/>
    <row r="466" s="210" customFormat="1" x14ac:dyDescent="0.25"/>
    <row r="467" s="210" customFormat="1" x14ac:dyDescent="0.25"/>
    <row r="468" s="210" customFormat="1" x14ac:dyDescent="0.25"/>
    <row r="469" s="210" customFormat="1" x14ac:dyDescent="0.25"/>
    <row r="470" s="210" customFormat="1" x14ac:dyDescent="0.25"/>
    <row r="471" s="210" customFormat="1" x14ac:dyDescent="0.25"/>
    <row r="472" s="210" customFormat="1" x14ac:dyDescent="0.25"/>
    <row r="473" s="210" customFormat="1" x14ac:dyDescent="0.25"/>
    <row r="474" s="210" customFormat="1" x14ac:dyDescent="0.25"/>
    <row r="475" s="210" customFormat="1" x14ac:dyDescent="0.25"/>
    <row r="476" s="210" customFormat="1" x14ac:dyDescent="0.25"/>
    <row r="477" s="210" customFormat="1" x14ac:dyDescent="0.25"/>
    <row r="478" s="210" customFormat="1" x14ac:dyDescent="0.25"/>
    <row r="479" s="210" customFormat="1" x14ac:dyDescent="0.25"/>
    <row r="480" s="210" customFormat="1" x14ac:dyDescent="0.25"/>
    <row r="481" s="210" customFormat="1" x14ac:dyDescent="0.25"/>
    <row r="482" s="210" customFormat="1" x14ac:dyDescent="0.25"/>
    <row r="483" s="210" customFormat="1" x14ac:dyDescent="0.25"/>
    <row r="484" s="210" customFormat="1" x14ac:dyDescent="0.25"/>
    <row r="485" s="210" customFormat="1" x14ac:dyDescent="0.25"/>
    <row r="486" s="210" customFormat="1" x14ac:dyDescent="0.25"/>
    <row r="487" s="210" customFormat="1" x14ac:dyDescent="0.25"/>
    <row r="488" s="210" customFormat="1" x14ac:dyDescent="0.25"/>
    <row r="489" s="210" customFormat="1" x14ac:dyDescent="0.25"/>
    <row r="490" s="210" customFormat="1" x14ac:dyDescent="0.25"/>
    <row r="491" s="210" customFormat="1" x14ac:dyDescent="0.25"/>
    <row r="492" s="210" customFormat="1" x14ac:dyDescent="0.25"/>
    <row r="493" s="210" customFormat="1" x14ac:dyDescent="0.25"/>
    <row r="494" s="210" customFormat="1" x14ac:dyDescent="0.25"/>
    <row r="495" s="210" customFormat="1" x14ac:dyDescent="0.25"/>
    <row r="496" s="210" customFormat="1" x14ac:dyDescent="0.25"/>
    <row r="497" s="210" customFormat="1" x14ac:dyDescent="0.25"/>
    <row r="498" s="210" customFormat="1" x14ac:dyDescent="0.25"/>
    <row r="499" s="210" customFormat="1" x14ac:dyDescent="0.25"/>
    <row r="500" s="210" customFormat="1" x14ac:dyDescent="0.25"/>
    <row r="501" s="210" customFormat="1" x14ac:dyDescent="0.25"/>
    <row r="502" s="210" customFormat="1" x14ac:dyDescent="0.25"/>
    <row r="503" s="210" customFormat="1" x14ac:dyDescent="0.25"/>
    <row r="504" s="210" customFormat="1" x14ac:dyDescent="0.25"/>
    <row r="505" s="210" customFormat="1" x14ac:dyDescent="0.25"/>
    <row r="506" s="210" customFormat="1" x14ac:dyDescent="0.25"/>
    <row r="507" s="210" customFormat="1" x14ac:dyDescent="0.25"/>
    <row r="508" s="210" customFormat="1" x14ac:dyDescent="0.25"/>
    <row r="509" s="210" customFormat="1" x14ac:dyDescent="0.25"/>
    <row r="510" s="210" customFormat="1" x14ac:dyDescent="0.25"/>
    <row r="511" s="210" customFormat="1" x14ac:dyDescent="0.25"/>
    <row r="512" s="210" customFormat="1" x14ac:dyDescent="0.25"/>
    <row r="513" s="210" customFormat="1" x14ac:dyDescent="0.25"/>
    <row r="514" s="210" customFormat="1" x14ac:dyDescent="0.25"/>
    <row r="515" s="210" customFormat="1" x14ac:dyDescent="0.25"/>
    <row r="516" s="210" customFormat="1" x14ac:dyDescent="0.25"/>
    <row r="517" s="210" customFormat="1" x14ac:dyDescent="0.25"/>
    <row r="518" s="210" customFormat="1" x14ac:dyDescent="0.25"/>
    <row r="519" s="210" customFormat="1" x14ac:dyDescent="0.25"/>
    <row r="520" s="210" customFormat="1" x14ac:dyDescent="0.25"/>
    <row r="521" s="210" customFormat="1" x14ac:dyDescent="0.25"/>
    <row r="522" s="210" customFormat="1" x14ac:dyDescent="0.25"/>
    <row r="523" s="210" customFormat="1" x14ac:dyDescent="0.25"/>
    <row r="524" s="210" customFormat="1" x14ac:dyDescent="0.25"/>
    <row r="525" s="210" customFormat="1" x14ac:dyDescent="0.25"/>
    <row r="526" s="210" customFormat="1" x14ac:dyDescent="0.25"/>
    <row r="527" s="210" customFormat="1" x14ac:dyDescent="0.25"/>
    <row r="528" s="210" customFormat="1" x14ac:dyDescent="0.25"/>
    <row r="529" s="210" customFormat="1" x14ac:dyDescent="0.25"/>
    <row r="530" s="210" customFormat="1" x14ac:dyDescent="0.25"/>
    <row r="531" s="210" customFormat="1" x14ac:dyDescent="0.25"/>
    <row r="532" s="210" customFormat="1" x14ac:dyDescent="0.25"/>
    <row r="533" s="210" customFormat="1" x14ac:dyDescent="0.25"/>
    <row r="534" s="210" customFormat="1" x14ac:dyDescent="0.25"/>
    <row r="535" s="210" customFormat="1" x14ac:dyDescent="0.25"/>
    <row r="536" s="210" customFormat="1" x14ac:dyDescent="0.25"/>
    <row r="537" s="210" customFormat="1" x14ac:dyDescent="0.25"/>
    <row r="538" s="210" customFormat="1" x14ac:dyDescent="0.25"/>
    <row r="539" s="210" customFormat="1" x14ac:dyDescent="0.25"/>
    <row r="540" s="210" customFormat="1" x14ac:dyDescent="0.25"/>
    <row r="541" s="210" customFormat="1" x14ac:dyDescent="0.25"/>
    <row r="542" s="210" customFormat="1" x14ac:dyDescent="0.25"/>
    <row r="543" s="210" customFormat="1" x14ac:dyDescent="0.25"/>
    <row r="544" s="210" customFormat="1" x14ac:dyDescent="0.25"/>
    <row r="545" s="210" customFormat="1" x14ac:dyDescent="0.25"/>
    <row r="546" s="210" customFormat="1" x14ac:dyDescent="0.25"/>
    <row r="547" s="210" customFormat="1" x14ac:dyDescent="0.25"/>
    <row r="548" s="210" customFormat="1" x14ac:dyDescent="0.25"/>
    <row r="549" s="210" customFormat="1" x14ac:dyDescent="0.25"/>
    <row r="550" s="210" customFormat="1" x14ac:dyDescent="0.25"/>
    <row r="551" s="210" customFormat="1" x14ac:dyDescent="0.25"/>
    <row r="552" s="210" customFormat="1" x14ac:dyDescent="0.25"/>
    <row r="553" s="210" customFormat="1" x14ac:dyDescent="0.25"/>
    <row r="554" s="210" customFormat="1" x14ac:dyDescent="0.25"/>
    <row r="555" s="210" customFormat="1" x14ac:dyDescent="0.25"/>
    <row r="556" s="210" customFormat="1" x14ac:dyDescent="0.25"/>
    <row r="557" s="210" customFormat="1" x14ac:dyDescent="0.25"/>
    <row r="558" s="210" customFormat="1" x14ac:dyDescent="0.25"/>
    <row r="559" s="210" customFormat="1" x14ac:dyDescent="0.25"/>
    <row r="560" s="210" customFormat="1" x14ac:dyDescent="0.25"/>
    <row r="561" s="210" customFormat="1" x14ac:dyDescent="0.25"/>
    <row r="562" s="210" customFormat="1" x14ac:dyDescent="0.25"/>
    <row r="563" s="210" customFormat="1" x14ac:dyDescent="0.25"/>
    <row r="564" s="210" customFormat="1" x14ac:dyDescent="0.25"/>
    <row r="565" s="210" customFormat="1" x14ac:dyDescent="0.25"/>
    <row r="566" s="210" customFormat="1" x14ac:dyDescent="0.25"/>
    <row r="567" s="210" customFormat="1" x14ac:dyDescent="0.25"/>
    <row r="568" s="210" customFormat="1" x14ac:dyDescent="0.25"/>
    <row r="569" s="210" customFormat="1" x14ac:dyDescent="0.25"/>
    <row r="570" s="210" customFormat="1" x14ac:dyDescent="0.25"/>
    <row r="571" s="210" customFormat="1" x14ac:dyDescent="0.25"/>
    <row r="572" s="210" customFormat="1" x14ac:dyDescent="0.25"/>
    <row r="573" s="210" customFormat="1" x14ac:dyDescent="0.25"/>
    <row r="574" s="210" customFormat="1" x14ac:dyDescent="0.25"/>
    <row r="575" s="210" customFormat="1" x14ac:dyDescent="0.25"/>
    <row r="576" s="210" customFormat="1" x14ac:dyDescent="0.25"/>
    <row r="577" s="210" customFormat="1" x14ac:dyDescent="0.25"/>
    <row r="578" s="210" customFormat="1" x14ac:dyDescent="0.25"/>
    <row r="579" s="210" customFormat="1" x14ac:dyDescent="0.25"/>
    <row r="580" s="210" customFormat="1" x14ac:dyDescent="0.25"/>
    <row r="581" s="210" customFormat="1" x14ac:dyDescent="0.25"/>
    <row r="582" s="210" customFormat="1" x14ac:dyDescent="0.25"/>
    <row r="583" s="210" customFormat="1" x14ac:dyDescent="0.25"/>
    <row r="584" s="210" customFormat="1" x14ac:dyDescent="0.25"/>
    <row r="585" s="210" customFormat="1" x14ac:dyDescent="0.25"/>
    <row r="586" s="210" customFormat="1" x14ac:dyDescent="0.25"/>
    <row r="587" s="210" customFormat="1" x14ac:dyDescent="0.25"/>
    <row r="588" s="210" customFormat="1" x14ac:dyDescent="0.25"/>
    <row r="589" s="210" customFormat="1" x14ac:dyDescent="0.25"/>
    <row r="590" s="210" customFormat="1" x14ac:dyDescent="0.25"/>
    <row r="591" s="210" customFormat="1" x14ac:dyDescent="0.25"/>
    <row r="592" s="210" customFormat="1" x14ac:dyDescent="0.25"/>
    <row r="593" s="210" customFormat="1" x14ac:dyDescent="0.25"/>
    <row r="594" s="210" customFormat="1" x14ac:dyDescent="0.25"/>
    <row r="595" s="210" customFormat="1" x14ac:dyDescent="0.25"/>
    <row r="596" s="210" customFormat="1" x14ac:dyDescent="0.25"/>
    <row r="597" s="210" customFormat="1" x14ac:dyDescent="0.25"/>
    <row r="598" s="210" customFormat="1" x14ac:dyDescent="0.25"/>
    <row r="599" s="210" customFormat="1" x14ac:dyDescent="0.25"/>
    <row r="600" s="210" customFormat="1" x14ac:dyDescent="0.25"/>
    <row r="601" s="210" customFormat="1" x14ac:dyDescent="0.25"/>
    <row r="602" s="210" customFormat="1" x14ac:dyDescent="0.25"/>
    <row r="603" s="210" customFormat="1" x14ac:dyDescent="0.25"/>
    <row r="604" s="210" customFormat="1" x14ac:dyDescent="0.25"/>
    <row r="605" s="210" customFormat="1" x14ac:dyDescent="0.25"/>
    <row r="606" s="210" customFormat="1" x14ac:dyDescent="0.25"/>
    <row r="607" s="210" customFormat="1" x14ac:dyDescent="0.25"/>
    <row r="608" s="210" customFormat="1" x14ac:dyDescent="0.25"/>
    <row r="609" s="210" customFormat="1" x14ac:dyDescent="0.25"/>
    <row r="610" s="210" customFormat="1" x14ac:dyDescent="0.25"/>
    <row r="611" s="210" customFormat="1" x14ac:dyDescent="0.25"/>
  </sheetData>
  <mergeCells count="8">
    <mergeCell ref="AT6:AU6"/>
    <mergeCell ref="B82:I82"/>
    <mergeCell ref="B1:AC2"/>
    <mergeCell ref="Z6:AC6"/>
    <mergeCell ref="AD6:AG6"/>
    <mergeCell ref="AH6:AK6"/>
    <mergeCell ref="AL6:AO6"/>
    <mergeCell ref="AP6:AS6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RR625"/>
  <sheetViews>
    <sheetView topLeftCell="A9" workbookViewId="0">
      <selection activeCell="B9" sqref="B9:AC10"/>
    </sheetView>
  </sheetViews>
  <sheetFormatPr baseColWidth="10" defaultRowHeight="11.25" x14ac:dyDescent="0.2"/>
  <cols>
    <col min="1" max="1" width="5" style="134" customWidth="1"/>
    <col min="2" max="2" width="11" style="12" bestFit="1" customWidth="1"/>
    <col min="3" max="3" width="9.85546875" style="3" customWidth="1"/>
    <col min="4" max="4" width="11.140625" style="12" bestFit="1" customWidth="1"/>
    <col min="5" max="5" width="59" style="3" bestFit="1" customWidth="1"/>
    <col min="6" max="6" width="8.140625" style="3" bestFit="1" customWidth="1"/>
    <col min="7" max="7" width="6.140625" style="3" bestFit="1" customWidth="1"/>
    <col min="8" max="8" width="10.140625" style="324" bestFit="1" customWidth="1"/>
    <col min="9" max="9" width="8.85546875" style="3" bestFit="1" customWidth="1"/>
    <col min="10" max="10" width="8.28515625" style="6" bestFit="1" customWidth="1"/>
    <col min="11" max="11" width="11.7109375" style="6" bestFit="1" customWidth="1"/>
    <col min="12" max="12" width="11" style="6" bestFit="1" customWidth="1"/>
    <col min="13" max="20" width="10.28515625" style="3" bestFit="1" customWidth="1"/>
    <col min="21" max="21" width="11.42578125" style="3" bestFit="1" customWidth="1"/>
    <col min="22" max="22" width="10.28515625" style="3" bestFit="1" customWidth="1"/>
    <col min="23" max="23" width="11" style="3" bestFit="1" customWidth="1"/>
    <col min="24" max="24" width="10.28515625" style="3" bestFit="1" customWidth="1"/>
    <col min="25" max="25" width="14.28515625" style="3" bestFit="1" customWidth="1"/>
    <col min="26" max="26" width="9" style="201" bestFit="1" customWidth="1"/>
    <col min="27" max="27" width="10.140625" style="7" customWidth="1"/>
    <col min="28" max="29" width="9" style="3" bestFit="1" customWidth="1"/>
    <col min="30" max="30" width="8.5703125" style="3" bestFit="1" customWidth="1"/>
    <col min="31" max="31" width="10.140625" style="6" customWidth="1"/>
    <col min="32" max="33" width="9" style="3" bestFit="1" customWidth="1"/>
    <col min="34" max="34" width="8.5703125" style="3" bestFit="1" customWidth="1"/>
    <col min="35" max="35" width="10.140625" style="7" customWidth="1"/>
    <col min="36" max="37" width="9" style="3" bestFit="1" customWidth="1"/>
    <col min="38" max="38" width="8.5703125" style="3" bestFit="1" customWidth="1"/>
    <col min="39" max="39" width="10.140625" style="7" customWidth="1"/>
    <col min="40" max="40" width="8.28515625" style="3" bestFit="1" customWidth="1"/>
    <col min="41" max="41" width="6.85546875" style="3" bestFit="1" customWidth="1"/>
    <col min="42" max="42" width="8.5703125" style="3" bestFit="1" customWidth="1"/>
    <col min="43" max="43" width="10.140625" style="7" customWidth="1"/>
    <col min="44" max="44" width="8.28515625" style="3" bestFit="1" customWidth="1"/>
    <col min="45" max="45" width="6.85546875" style="3" bestFit="1" customWidth="1"/>
    <col min="46" max="46" width="10.5703125" style="3" bestFit="1" customWidth="1"/>
    <col min="47" max="47" width="9.7109375" style="3" bestFit="1" customWidth="1"/>
    <col min="48" max="486" width="11.42578125" style="134"/>
    <col min="487" max="16384" width="11.42578125" style="3"/>
  </cols>
  <sheetData>
    <row r="1" spans="1:486" hidden="1" x14ac:dyDescent="0.2">
      <c r="B1" s="730"/>
      <c r="C1" s="730"/>
      <c r="D1" s="731"/>
      <c r="E1" s="731"/>
      <c r="F1" s="731"/>
      <c r="G1" s="731"/>
      <c r="H1" s="731"/>
      <c r="I1" s="731"/>
      <c r="J1" s="731"/>
      <c r="K1" s="731"/>
      <c r="L1" s="731"/>
      <c r="M1" s="731"/>
      <c r="N1" s="731"/>
      <c r="O1" s="731"/>
      <c r="P1" s="731"/>
      <c r="Q1" s="731"/>
      <c r="R1" s="731"/>
      <c r="S1" s="731"/>
      <c r="T1" s="731"/>
      <c r="U1" s="731"/>
      <c r="V1" s="731"/>
      <c r="W1" s="731"/>
      <c r="X1" s="731"/>
      <c r="Y1" s="731"/>
      <c r="Z1" s="731"/>
      <c r="AA1" s="731"/>
      <c r="AB1" s="731"/>
      <c r="AC1" s="731"/>
      <c r="AD1" s="62"/>
      <c r="AE1" s="1"/>
      <c r="AF1" s="62"/>
      <c r="AG1" s="62"/>
      <c r="AH1" s="62"/>
      <c r="AI1" s="2"/>
      <c r="AJ1" s="62"/>
      <c r="AK1" s="62"/>
      <c r="AL1" s="62"/>
      <c r="AM1" s="2"/>
      <c r="AN1" s="62"/>
      <c r="AO1" s="62"/>
      <c r="AP1" s="62"/>
      <c r="AQ1" s="2"/>
      <c r="AR1" s="62"/>
      <c r="AS1" s="62"/>
    </row>
    <row r="2" spans="1:486" hidden="1" x14ac:dyDescent="0.2">
      <c r="B2" s="731"/>
      <c r="C2" s="731"/>
      <c r="D2" s="731"/>
      <c r="E2" s="731"/>
      <c r="F2" s="731"/>
      <c r="G2" s="731"/>
      <c r="H2" s="731"/>
      <c r="I2" s="731"/>
      <c r="J2" s="731"/>
      <c r="K2" s="731"/>
      <c r="L2" s="731"/>
      <c r="M2" s="731"/>
      <c r="N2" s="731"/>
      <c r="O2" s="731"/>
      <c r="P2" s="731"/>
      <c r="Q2" s="731"/>
      <c r="R2" s="731"/>
      <c r="S2" s="731"/>
      <c r="T2" s="731"/>
      <c r="U2" s="731"/>
      <c r="V2" s="731"/>
      <c r="W2" s="731"/>
      <c r="X2" s="731"/>
      <c r="Y2" s="731"/>
      <c r="Z2" s="731"/>
      <c r="AA2" s="731"/>
      <c r="AB2" s="731"/>
      <c r="AC2" s="731"/>
      <c r="AD2" s="62"/>
      <c r="AE2" s="1"/>
      <c r="AF2" s="62"/>
      <c r="AG2" s="62"/>
      <c r="AH2" s="62"/>
      <c r="AI2" s="2"/>
      <c r="AJ2" s="62"/>
      <c r="AK2" s="62"/>
      <c r="AL2" s="62"/>
      <c r="AM2" s="2"/>
      <c r="AN2" s="62"/>
      <c r="AO2" s="62"/>
      <c r="AP2" s="62"/>
      <c r="AQ2" s="2"/>
      <c r="AR2" s="62"/>
      <c r="AS2" s="62"/>
    </row>
    <row r="3" spans="1:486" ht="12.75" hidden="1" customHeight="1" x14ac:dyDescent="0.2">
      <c r="B3" s="729"/>
      <c r="C3" s="729"/>
      <c r="D3" s="729"/>
      <c r="E3" s="729"/>
      <c r="F3" s="729"/>
      <c r="G3" s="729"/>
      <c r="H3" s="729"/>
      <c r="I3" s="729"/>
      <c r="J3" s="729"/>
      <c r="K3" s="729"/>
      <c r="L3" s="729"/>
      <c r="M3" s="729"/>
      <c r="N3" s="729"/>
      <c r="O3" s="729"/>
      <c r="P3" s="729"/>
      <c r="Q3" s="729"/>
      <c r="R3" s="729"/>
      <c r="S3" s="729"/>
      <c r="T3" s="729"/>
      <c r="U3" s="729"/>
      <c r="V3" s="729"/>
      <c r="W3" s="729"/>
      <c r="X3" s="729"/>
      <c r="Y3" s="729"/>
      <c r="Z3" s="729"/>
      <c r="AA3" s="729"/>
      <c r="AB3" s="729"/>
      <c r="AC3" s="729"/>
      <c r="AD3" s="61"/>
      <c r="AE3" s="4"/>
      <c r="AF3" s="61"/>
      <c r="AG3" s="61"/>
      <c r="AH3" s="61"/>
      <c r="AI3" s="5"/>
      <c r="AJ3" s="61"/>
      <c r="AK3" s="61"/>
      <c r="AL3" s="61"/>
      <c r="AM3" s="5"/>
      <c r="AN3" s="61"/>
      <c r="AO3" s="61"/>
      <c r="AP3" s="61"/>
      <c r="AQ3" s="5"/>
      <c r="AR3" s="61"/>
      <c r="AS3" s="61"/>
    </row>
    <row r="4" spans="1:486" ht="21.75" hidden="1" customHeight="1" x14ac:dyDescent="0.2">
      <c r="B4" s="729"/>
      <c r="C4" s="729"/>
      <c r="D4" s="729"/>
      <c r="E4" s="729"/>
      <c r="F4" s="729"/>
      <c r="G4" s="729"/>
      <c r="H4" s="729"/>
      <c r="I4" s="729"/>
      <c r="J4" s="729"/>
      <c r="K4" s="729"/>
      <c r="L4" s="729"/>
      <c r="M4" s="729"/>
      <c r="N4" s="729"/>
      <c r="O4" s="729"/>
      <c r="P4" s="729"/>
      <c r="Q4" s="729"/>
      <c r="R4" s="729"/>
      <c r="S4" s="729"/>
      <c r="T4" s="729"/>
      <c r="U4" s="729"/>
      <c r="V4" s="729"/>
      <c r="W4" s="729"/>
      <c r="X4" s="729"/>
      <c r="Y4" s="729"/>
      <c r="Z4" s="729"/>
      <c r="AA4" s="729"/>
      <c r="AB4" s="729"/>
      <c r="AC4" s="729"/>
      <c r="AD4" s="61"/>
      <c r="AE4" s="4"/>
      <c r="AF4" s="61"/>
      <c r="AG4" s="61"/>
      <c r="AH4" s="61"/>
      <c r="AI4" s="5"/>
      <c r="AJ4" s="61"/>
      <c r="AK4" s="61"/>
      <c r="AL4" s="61"/>
      <c r="AM4" s="5"/>
      <c r="AN4" s="61"/>
      <c r="AO4" s="61"/>
      <c r="AP4" s="61"/>
      <c r="AQ4" s="5"/>
      <c r="AR4" s="61"/>
      <c r="AS4" s="61"/>
    </row>
    <row r="5" spans="1:486" ht="11.25" hidden="1" customHeight="1" x14ac:dyDescent="0.2">
      <c r="B5" s="729"/>
      <c r="C5" s="729"/>
      <c r="D5" s="729"/>
      <c r="E5" s="729"/>
      <c r="F5" s="729"/>
      <c r="G5" s="729"/>
      <c r="H5" s="729"/>
      <c r="I5" s="729"/>
      <c r="J5" s="729"/>
      <c r="K5" s="729"/>
      <c r="L5" s="729"/>
      <c r="M5" s="729"/>
      <c r="N5" s="729"/>
      <c r="O5" s="729"/>
      <c r="P5" s="729"/>
      <c r="Q5" s="729"/>
      <c r="R5" s="729"/>
      <c r="S5" s="729"/>
      <c r="T5" s="729"/>
      <c r="U5" s="729"/>
      <c r="V5" s="729"/>
      <c r="W5" s="729"/>
      <c r="X5" s="729"/>
      <c r="Y5" s="729"/>
      <c r="Z5" s="729"/>
      <c r="AA5" s="729"/>
      <c r="AB5" s="729"/>
      <c r="AC5" s="729"/>
      <c r="AD5" s="61"/>
      <c r="AE5" s="4"/>
      <c r="AF5" s="61"/>
      <c r="AG5" s="61"/>
      <c r="AH5" s="61"/>
      <c r="AI5" s="5"/>
      <c r="AJ5" s="61"/>
      <c r="AK5" s="61"/>
      <c r="AL5" s="61"/>
      <c r="AM5" s="5"/>
      <c r="AN5" s="61"/>
      <c r="AO5" s="61"/>
      <c r="AP5" s="61"/>
      <c r="AQ5" s="5"/>
      <c r="AR5" s="61"/>
      <c r="AS5" s="61"/>
    </row>
    <row r="6" spans="1:486" ht="15" hidden="1" customHeight="1" x14ac:dyDescent="0.2">
      <c r="B6" s="729"/>
      <c r="C6" s="729"/>
      <c r="D6" s="729"/>
      <c r="E6" s="729"/>
      <c r="F6" s="729"/>
      <c r="G6" s="729"/>
      <c r="H6" s="729"/>
      <c r="I6" s="729"/>
      <c r="J6" s="729"/>
      <c r="K6" s="729"/>
      <c r="L6" s="729"/>
      <c r="M6" s="729"/>
      <c r="N6" s="729"/>
      <c r="O6" s="729"/>
      <c r="P6" s="729"/>
      <c r="Q6" s="729"/>
      <c r="R6" s="729"/>
      <c r="S6" s="729"/>
      <c r="T6" s="729"/>
      <c r="U6" s="729"/>
      <c r="V6" s="729"/>
      <c r="W6" s="729"/>
      <c r="X6" s="729"/>
      <c r="Y6" s="729"/>
      <c r="Z6" s="729"/>
      <c r="AA6" s="729"/>
      <c r="AB6" s="729"/>
      <c r="AC6" s="729"/>
      <c r="AD6" s="61"/>
      <c r="AE6" s="4"/>
      <c r="AF6" s="61"/>
      <c r="AG6" s="61"/>
      <c r="AH6" s="61"/>
      <c r="AI6" s="5"/>
      <c r="AJ6" s="61"/>
      <c r="AK6" s="61"/>
      <c r="AL6" s="61"/>
      <c r="AM6" s="5"/>
      <c r="AN6" s="61"/>
      <c r="AO6" s="61"/>
      <c r="AP6" s="61"/>
      <c r="AQ6" s="5"/>
      <c r="AR6" s="61"/>
      <c r="AS6" s="61"/>
    </row>
    <row r="7" spans="1:486" ht="21" hidden="1" customHeight="1" x14ac:dyDescent="0.2">
      <c r="B7" s="729"/>
      <c r="C7" s="729"/>
      <c r="D7" s="729"/>
      <c r="E7" s="729"/>
      <c r="F7" s="729"/>
      <c r="G7" s="729"/>
      <c r="H7" s="729"/>
      <c r="I7" s="729"/>
      <c r="J7" s="729"/>
      <c r="K7" s="729"/>
      <c r="L7" s="729"/>
      <c r="M7" s="729"/>
      <c r="N7" s="729"/>
      <c r="O7" s="729"/>
      <c r="P7" s="729"/>
      <c r="Q7" s="729"/>
      <c r="R7" s="729"/>
      <c r="S7" s="729"/>
      <c r="T7" s="729"/>
      <c r="U7" s="729"/>
      <c r="V7" s="729"/>
      <c r="W7" s="729"/>
      <c r="X7" s="729"/>
      <c r="Y7" s="729"/>
      <c r="Z7" s="729"/>
      <c r="AA7" s="729"/>
      <c r="AB7" s="729"/>
      <c r="AC7" s="729"/>
      <c r="AD7" s="61"/>
      <c r="AE7" s="4"/>
      <c r="AF7" s="61"/>
      <c r="AG7" s="61"/>
      <c r="AH7" s="61"/>
      <c r="AI7" s="5"/>
      <c r="AJ7" s="61"/>
      <c r="AK7" s="61"/>
      <c r="AL7" s="61"/>
      <c r="AM7" s="5"/>
      <c r="AN7" s="61"/>
      <c r="AO7" s="61"/>
      <c r="AP7" s="61"/>
      <c r="AQ7" s="5"/>
      <c r="AR7" s="61"/>
      <c r="AS7" s="61"/>
    </row>
    <row r="8" spans="1:486" ht="16.5" hidden="1" customHeight="1" x14ac:dyDescent="0.2">
      <c r="B8" s="729"/>
      <c r="C8" s="729"/>
      <c r="D8" s="729"/>
      <c r="E8" s="729"/>
      <c r="F8" s="729"/>
      <c r="G8" s="729"/>
      <c r="H8" s="729"/>
      <c r="I8" s="729"/>
      <c r="J8" s="729"/>
      <c r="K8" s="729"/>
      <c r="L8" s="729"/>
      <c r="M8" s="729"/>
      <c r="N8" s="729"/>
      <c r="O8" s="729"/>
      <c r="P8" s="729"/>
      <c r="Q8" s="729"/>
      <c r="R8" s="729"/>
      <c r="S8" s="729"/>
      <c r="T8" s="729"/>
      <c r="U8" s="729"/>
      <c r="V8" s="729"/>
      <c r="W8" s="729"/>
      <c r="X8" s="729"/>
      <c r="Y8" s="729"/>
      <c r="Z8" s="729"/>
      <c r="AA8" s="729"/>
      <c r="AB8" s="729"/>
      <c r="AC8" s="729"/>
      <c r="AD8" s="61"/>
      <c r="AE8" s="4"/>
      <c r="AF8" s="61"/>
      <c r="AG8" s="61"/>
      <c r="AH8" s="61"/>
      <c r="AI8" s="5"/>
      <c r="AJ8" s="61"/>
      <c r="AK8" s="61"/>
      <c r="AL8" s="61"/>
      <c r="AM8" s="5"/>
      <c r="AN8" s="61"/>
      <c r="AO8" s="61"/>
      <c r="AP8" s="61"/>
      <c r="AQ8" s="5"/>
      <c r="AR8" s="61"/>
      <c r="AS8" s="61"/>
    </row>
    <row r="9" spans="1:486" s="134" customFormat="1" ht="18.75" customHeight="1" x14ac:dyDescent="0.2">
      <c r="B9" s="751" t="s">
        <v>0</v>
      </c>
      <c r="C9" s="751"/>
      <c r="D9" s="751"/>
      <c r="E9" s="751"/>
      <c r="F9" s="751"/>
      <c r="G9" s="751"/>
      <c r="H9" s="751"/>
      <c r="I9" s="751"/>
      <c r="J9" s="751"/>
      <c r="K9" s="751"/>
      <c r="L9" s="751"/>
      <c r="M9" s="751"/>
      <c r="N9" s="751"/>
      <c r="O9" s="751"/>
      <c r="P9" s="751"/>
      <c r="Q9" s="751"/>
      <c r="R9" s="751"/>
      <c r="S9" s="751"/>
      <c r="T9" s="751"/>
      <c r="U9" s="751"/>
      <c r="V9" s="751"/>
      <c r="W9" s="751"/>
      <c r="X9" s="751"/>
      <c r="Y9" s="751"/>
      <c r="Z9" s="751"/>
      <c r="AA9" s="751"/>
      <c r="AB9" s="751"/>
      <c r="AC9" s="751"/>
      <c r="AD9" s="137"/>
      <c r="AE9" s="136"/>
      <c r="AF9" s="137"/>
      <c r="AG9" s="137"/>
      <c r="AH9" s="137"/>
      <c r="AI9" s="138"/>
      <c r="AJ9" s="137"/>
      <c r="AK9" s="137"/>
      <c r="AL9" s="137"/>
      <c r="AM9" s="138"/>
      <c r="AN9" s="137"/>
      <c r="AO9" s="137"/>
      <c r="AP9" s="137"/>
      <c r="AQ9" s="138"/>
      <c r="AR9" s="137"/>
      <c r="AS9" s="137"/>
    </row>
    <row r="10" spans="1:486" s="134" customFormat="1" x14ac:dyDescent="0.2">
      <c r="B10" s="751"/>
      <c r="C10" s="751"/>
      <c r="D10" s="751"/>
      <c r="E10" s="751"/>
      <c r="F10" s="751"/>
      <c r="G10" s="751"/>
      <c r="H10" s="751"/>
      <c r="I10" s="751"/>
      <c r="J10" s="751"/>
      <c r="K10" s="751"/>
      <c r="L10" s="751"/>
      <c r="M10" s="751"/>
      <c r="N10" s="751"/>
      <c r="O10" s="751"/>
      <c r="P10" s="751"/>
      <c r="Q10" s="751"/>
      <c r="R10" s="751"/>
      <c r="S10" s="751"/>
      <c r="T10" s="751"/>
      <c r="U10" s="751"/>
      <c r="V10" s="751"/>
      <c r="W10" s="751"/>
      <c r="X10" s="751"/>
      <c r="Y10" s="751"/>
      <c r="Z10" s="751"/>
      <c r="AA10" s="751"/>
      <c r="AB10" s="751"/>
      <c r="AC10" s="751"/>
      <c r="AE10" s="140"/>
      <c r="AI10" s="141"/>
      <c r="AM10" s="141"/>
      <c r="AQ10" s="141"/>
    </row>
    <row r="11" spans="1:486" s="134" customFormat="1" ht="18.75" x14ac:dyDescent="0.2">
      <c r="B11" s="142"/>
      <c r="C11" s="142"/>
      <c r="D11" s="142"/>
      <c r="E11" s="142"/>
      <c r="F11" s="142"/>
      <c r="G11" s="142"/>
      <c r="H11" s="657"/>
      <c r="I11" s="142"/>
      <c r="J11" s="168"/>
      <c r="K11" s="168"/>
      <c r="L11" s="168"/>
      <c r="M11" s="142"/>
      <c r="N11" s="142"/>
      <c r="O11" s="142"/>
      <c r="P11" s="142"/>
      <c r="Q11" s="142"/>
      <c r="R11" s="142"/>
      <c r="S11" s="142"/>
      <c r="T11" s="142"/>
      <c r="U11" s="142"/>
      <c r="V11" s="142"/>
      <c r="W11" s="142"/>
      <c r="X11" s="142"/>
      <c r="Y11" s="142"/>
      <c r="Z11" s="179"/>
      <c r="AA11" s="142"/>
      <c r="AB11" s="142"/>
      <c r="AC11" s="142"/>
      <c r="AE11" s="140"/>
      <c r="AI11" s="141"/>
      <c r="AM11" s="141"/>
      <c r="AQ11" s="141"/>
    </row>
    <row r="12" spans="1:486" ht="22.5" x14ac:dyDescent="0.2">
      <c r="B12" s="8" t="s">
        <v>1</v>
      </c>
      <c r="C12" s="8" t="s">
        <v>2</v>
      </c>
      <c r="D12" s="9" t="s">
        <v>3</v>
      </c>
      <c r="E12" s="10" t="s">
        <v>4</v>
      </c>
      <c r="F12" s="119"/>
      <c r="G12" s="142"/>
      <c r="H12" s="657"/>
      <c r="I12" s="142"/>
      <c r="J12" s="168"/>
      <c r="K12" s="168"/>
      <c r="L12" s="168"/>
      <c r="M12" s="142"/>
      <c r="N12" s="142"/>
      <c r="O12" s="142"/>
      <c r="P12" s="142"/>
      <c r="Q12" s="142"/>
      <c r="R12" s="142"/>
      <c r="S12" s="142"/>
      <c r="T12" s="142"/>
      <c r="U12" s="142"/>
      <c r="V12" s="142"/>
      <c r="W12" s="142"/>
      <c r="X12" s="142"/>
      <c r="Y12" s="142"/>
      <c r="Z12" s="179"/>
      <c r="AA12" s="142"/>
      <c r="AB12" s="142"/>
      <c r="AC12" s="142"/>
      <c r="AD12" s="134"/>
      <c r="AE12" s="140"/>
      <c r="AF12" s="134"/>
      <c r="AG12" s="134"/>
      <c r="AH12" s="134"/>
      <c r="AI12" s="141"/>
      <c r="AJ12" s="134"/>
      <c r="AK12" s="134"/>
      <c r="AL12" s="134"/>
      <c r="AM12" s="141"/>
      <c r="AN12" s="134"/>
      <c r="AO12" s="134"/>
      <c r="AP12" s="134"/>
      <c r="AQ12" s="141"/>
      <c r="AR12" s="134"/>
      <c r="AS12" s="134"/>
      <c r="AT12" s="134"/>
      <c r="AU12" s="134"/>
    </row>
    <row r="13" spans="1:486" ht="18.75" x14ac:dyDescent="0.2">
      <c r="B13" s="623">
        <v>30320009</v>
      </c>
      <c r="C13" s="624">
        <v>30320009</v>
      </c>
      <c r="D13" s="623">
        <v>30320009</v>
      </c>
      <c r="E13" s="625">
        <f>+Y185</f>
        <v>4837719</v>
      </c>
      <c r="F13" s="144"/>
      <c r="G13" s="142"/>
      <c r="H13" s="657"/>
      <c r="I13" s="142"/>
      <c r="J13" s="168"/>
      <c r="K13" s="168"/>
      <c r="L13" s="168"/>
      <c r="M13" s="142"/>
      <c r="N13" s="142"/>
      <c r="O13" s="142"/>
      <c r="P13" s="142"/>
      <c r="Q13" s="142"/>
      <c r="R13" s="142"/>
      <c r="S13" s="142"/>
      <c r="T13" s="142"/>
      <c r="U13" s="142"/>
      <c r="V13" s="142"/>
      <c r="W13" s="142"/>
      <c r="X13" s="142"/>
      <c r="Y13" s="142"/>
      <c r="Z13" s="179"/>
      <c r="AA13" s="142"/>
      <c r="AB13" s="142"/>
      <c r="AC13" s="142"/>
      <c r="AD13" s="134"/>
      <c r="AE13" s="140"/>
      <c r="AF13" s="134"/>
      <c r="AG13" s="134"/>
      <c r="AH13" s="134"/>
      <c r="AI13" s="141"/>
      <c r="AJ13" s="134"/>
      <c r="AK13" s="134"/>
      <c r="AL13" s="134"/>
      <c r="AM13" s="141"/>
      <c r="AN13" s="134"/>
      <c r="AO13" s="134"/>
      <c r="AP13" s="134"/>
      <c r="AQ13" s="141"/>
      <c r="AR13" s="134"/>
      <c r="AS13" s="134"/>
      <c r="AT13" s="134"/>
      <c r="AU13" s="134"/>
    </row>
    <row r="14" spans="1:486" ht="15" customHeight="1" x14ac:dyDescent="0.2">
      <c r="C14" s="13"/>
      <c r="D14" s="14"/>
      <c r="E14" s="13"/>
      <c r="F14" s="146"/>
      <c r="G14" s="134"/>
      <c r="H14" s="162"/>
      <c r="I14" s="134"/>
      <c r="J14" s="140"/>
      <c r="K14" s="140"/>
      <c r="L14" s="140"/>
      <c r="M14" s="134"/>
      <c r="N14" s="134"/>
      <c r="O14" s="134"/>
      <c r="P14" s="134"/>
      <c r="Q14" s="134"/>
      <c r="R14" s="134"/>
      <c r="S14" s="134"/>
      <c r="T14" s="134"/>
      <c r="U14" s="134"/>
      <c r="V14" s="134"/>
      <c r="W14" s="134"/>
      <c r="X14" s="134"/>
      <c r="Y14" s="134"/>
      <c r="Z14" s="736" t="s">
        <v>5</v>
      </c>
      <c r="AA14" s="737"/>
      <c r="AB14" s="737"/>
      <c r="AC14" s="738"/>
      <c r="AD14" s="739" t="s">
        <v>6</v>
      </c>
      <c r="AE14" s="740"/>
      <c r="AF14" s="740"/>
      <c r="AG14" s="741"/>
      <c r="AH14" s="739" t="s">
        <v>6</v>
      </c>
      <c r="AI14" s="740"/>
      <c r="AJ14" s="740"/>
      <c r="AK14" s="741"/>
      <c r="AL14" s="739" t="s">
        <v>6</v>
      </c>
      <c r="AM14" s="740"/>
      <c r="AN14" s="740"/>
      <c r="AO14" s="741"/>
      <c r="AP14" s="739" t="s">
        <v>6</v>
      </c>
      <c r="AQ14" s="740"/>
      <c r="AR14" s="740"/>
      <c r="AS14" s="741"/>
      <c r="AT14" s="723" t="s">
        <v>7</v>
      </c>
      <c r="AU14" s="723"/>
    </row>
    <row r="15" spans="1:486" s="15" customFormat="1" ht="55.5" customHeight="1" x14ac:dyDescent="0.25">
      <c r="A15" s="148"/>
      <c r="B15" s="81" t="s">
        <v>8</v>
      </c>
      <c r="C15" s="81" t="s">
        <v>9</v>
      </c>
      <c r="D15" s="81" t="s">
        <v>10</v>
      </c>
      <c r="E15" s="83" t="s">
        <v>11</v>
      </c>
      <c r="F15" s="83" t="s">
        <v>12</v>
      </c>
      <c r="G15" s="83" t="s">
        <v>13</v>
      </c>
      <c r="H15" s="83" t="s">
        <v>14</v>
      </c>
      <c r="I15" s="83" t="s">
        <v>122</v>
      </c>
      <c r="J15" s="164" t="s">
        <v>15</v>
      </c>
      <c r="K15" s="164" t="s">
        <v>16</v>
      </c>
      <c r="L15" s="164" t="s">
        <v>17</v>
      </c>
      <c r="M15" s="626" t="s">
        <v>18</v>
      </c>
      <c r="N15" s="626" t="s">
        <v>19</v>
      </c>
      <c r="O15" s="626" t="s">
        <v>20</v>
      </c>
      <c r="P15" s="626" t="s">
        <v>21</v>
      </c>
      <c r="Q15" s="626" t="s">
        <v>22</v>
      </c>
      <c r="R15" s="165" t="s">
        <v>23</v>
      </c>
      <c r="S15" s="165" t="s">
        <v>24</v>
      </c>
      <c r="T15" s="165" t="s">
        <v>25</v>
      </c>
      <c r="U15" s="165" t="s">
        <v>26</v>
      </c>
      <c r="V15" s="165" t="s">
        <v>27</v>
      </c>
      <c r="W15" s="165" t="s">
        <v>28</v>
      </c>
      <c r="X15" s="165" t="s">
        <v>29</v>
      </c>
      <c r="Y15" s="627" t="s">
        <v>30</v>
      </c>
      <c r="Z15" s="628" t="s">
        <v>31</v>
      </c>
      <c r="AA15" s="86" t="s">
        <v>32</v>
      </c>
      <c r="AB15" s="85" t="s">
        <v>33</v>
      </c>
      <c r="AC15" s="85" t="s">
        <v>34</v>
      </c>
      <c r="AD15" s="629" t="s">
        <v>35</v>
      </c>
      <c r="AE15" s="88" t="s">
        <v>32</v>
      </c>
      <c r="AF15" s="87" t="s">
        <v>33</v>
      </c>
      <c r="AG15" s="87" t="s">
        <v>34</v>
      </c>
      <c r="AH15" s="87" t="s">
        <v>35</v>
      </c>
      <c r="AI15" s="88" t="s">
        <v>32</v>
      </c>
      <c r="AJ15" s="87" t="s">
        <v>33</v>
      </c>
      <c r="AK15" s="87" t="s">
        <v>34</v>
      </c>
      <c r="AL15" s="87" t="s">
        <v>35</v>
      </c>
      <c r="AM15" s="88" t="s">
        <v>32</v>
      </c>
      <c r="AN15" s="87" t="s">
        <v>33</v>
      </c>
      <c r="AO15" s="87" t="s">
        <v>34</v>
      </c>
      <c r="AP15" s="87" t="s">
        <v>35</v>
      </c>
      <c r="AQ15" s="88" t="s">
        <v>32</v>
      </c>
      <c r="AR15" s="87" t="s">
        <v>33</v>
      </c>
      <c r="AS15" s="87" t="s">
        <v>34</v>
      </c>
      <c r="AT15" s="89" t="s">
        <v>36</v>
      </c>
      <c r="AU15" s="89" t="s">
        <v>37</v>
      </c>
      <c r="AV15" s="148"/>
      <c r="AW15" s="148"/>
      <c r="AX15" s="148"/>
      <c r="AY15" s="148"/>
      <c r="AZ15" s="148"/>
      <c r="BA15" s="148"/>
      <c r="BB15" s="148"/>
      <c r="BC15" s="148"/>
      <c r="BD15" s="148"/>
      <c r="BE15" s="148"/>
      <c r="BF15" s="148"/>
      <c r="BG15" s="148"/>
      <c r="BH15" s="148"/>
      <c r="BI15" s="148"/>
      <c r="BJ15" s="148"/>
      <c r="BK15" s="148"/>
      <c r="BL15" s="148"/>
      <c r="BM15" s="148"/>
      <c r="BN15" s="148"/>
      <c r="BO15" s="148"/>
      <c r="BP15" s="148"/>
      <c r="BQ15" s="148"/>
      <c r="BR15" s="148"/>
      <c r="BS15" s="148"/>
      <c r="BT15" s="148"/>
      <c r="BU15" s="148"/>
      <c r="BV15" s="148"/>
      <c r="BW15" s="148"/>
      <c r="BX15" s="148"/>
      <c r="BY15" s="148"/>
      <c r="BZ15" s="148"/>
      <c r="CA15" s="148"/>
      <c r="CB15" s="148"/>
      <c r="CC15" s="148"/>
      <c r="CD15" s="148"/>
      <c r="CE15" s="148"/>
      <c r="CF15" s="148"/>
      <c r="CG15" s="148"/>
      <c r="CH15" s="148"/>
      <c r="CI15" s="148"/>
      <c r="CJ15" s="148"/>
      <c r="CK15" s="148"/>
      <c r="CL15" s="148"/>
      <c r="CM15" s="148"/>
      <c r="CN15" s="148"/>
      <c r="CO15" s="148"/>
      <c r="CP15" s="148"/>
      <c r="CQ15" s="148"/>
      <c r="CR15" s="148"/>
      <c r="CS15" s="148"/>
      <c r="CT15" s="148"/>
      <c r="CU15" s="148"/>
      <c r="CV15" s="148"/>
      <c r="CW15" s="148"/>
      <c r="CX15" s="148"/>
      <c r="CY15" s="148"/>
      <c r="CZ15" s="148"/>
      <c r="DA15" s="148"/>
      <c r="DB15" s="148"/>
      <c r="DC15" s="148"/>
      <c r="DD15" s="148"/>
      <c r="DE15" s="148"/>
      <c r="DF15" s="148"/>
      <c r="DG15" s="148"/>
      <c r="DH15" s="148"/>
      <c r="DI15" s="148"/>
      <c r="DJ15" s="148"/>
      <c r="DK15" s="148"/>
      <c r="DL15" s="148"/>
      <c r="DM15" s="148"/>
      <c r="DN15" s="148"/>
      <c r="DO15" s="148"/>
      <c r="DP15" s="148"/>
      <c r="DQ15" s="148"/>
      <c r="DR15" s="148"/>
      <c r="DS15" s="148"/>
      <c r="DT15" s="148"/>
      <c r="DU15" s="148"/>
      <c r="DV15" s="148"/>
      <c r="DW15" s="148"/>
      <c r="DX15" s="148"/>
      <c r="DY15" s="148"/>
      <c r="DZ15" s="148"/>
      <c r="EA15" s="148"/>
      <c r="EB15" s="148"/>
      <c r="EC15" s="148"/>
      <c r="ED15" s="148"/>
      <c r="EE15" s="148"/>
      <c r="EF15" s="148"/>
      <c r="EG15" s="148"/>
      <c r="EH15" s="148"/>
      <c r="EI15" s="148"/>
      <c r="EJ15" s="148"/>
      <c r="EK15" s="148"/>
      <c r="EL15" s="148"/>
      <c r="EM15" s="148"/>
      <c r="EN15" s="148"/>
      <c r="EO15" s="148"/>
      <c r="EP15" s="148"/>
      <c r="EQ15" s="148"/>
      <c r="ER15" s="148"/>
      <c r="ES15" s="148"/>
      <c r="ET15" s="148"/>
      <c r="EU15" s="148"/>
      <c r="EV15" s="148"/>
      <c r="EW15" s="148"/>
      <c r="EX15" s="148"/>
      <c r="EY15" s="148"/>
      <c r="EZ15" s="148"/>
      <c r="FA15" s="148"/>
      <c r="FB15" s="148"/>
      <c r="FC15" s="148"/>
      <c r="FD15" s="148"/>
      <c r="FE15" s="148"/>
      <c r="FF15" s="148"/>
      <c r="FG15" s="148"/>
      <c r="FH15" s="148"/>
      <c r="FI15" s="148"/>
      <c r="FJ15" s="148"/>
      <c r="FK15" s="148"/>
      <c r="FL15" s="148"/>
      <c r="FM15" s="148"/>
      <c r="FN15" s="148"/>
      <c r="FO15" s="148"/>
      <c r="FP15" s="148"/>
      <c r="FQ15" s="148"/>
      <c r="FR15" s="148"/>
      <c r="FS15" s="148"/>
      <c r="FT15" s="148"/>
      <c r="FU15" s="148"/>
      <c r="FV15" s="148"/>
      <c r="FW15" s="148"/>
      <c r="FX15" s="148"/>
      <c r="FY15" s="148"/>
      <c r="FZ15" s="148"/>
      <c r="GA15" s="148"/>
      <c r="GB15" s="148"/>
      <c r="GC15" s="148"/>
      <c r="GD15" s="148"/>
      <c r="GE15" s="148"/>
      <c r="GF15" s="148"/>
      <c r="GG15" s="148"/>
      <c r="GH15" s="148"/>
      <c r="GI15" s="148"/>
      <c r="GJ15" s="148"/>
      <c r="GK15" s="148"/>
      <c r="GL15" s="148"/>
      <c r="GM15" s="148"/>
      <c r="GN15" s="148"/>
      <c r="GO15" s="148"/>
      <c r="GP15" s="148"/>
      <c r="GQ15" s="148"/>
      <c r="GR15" s="148"/>
      <c r="GS15" s="148"/>
      <c r="GT15" s="148"/>
      <c r="GU15" s="148"/>
      <c r="GV15" s="148"/>
      <c r="GW15" s="148"/>
      <c r="GX15" s="148"/>
      <c r="GY15" s="148"/>
      <c r="GZ15" s="148"/>
      <c r="HA15" s="148"/>
      <c r="HB15" s="148"/>
      <c r="HC15" s="148"/>
      <c r="HD15" s="148"/>
      <c r="HE15" s="148"/>
      <c r="HF15" s="148"/>
      <c r="HG15" s="148"/>
      <c r="HH15" s="148"/>
      <c r="HI15" s="148"/>
      <c r="HJ15" s="148"/>
      <c r="HK15" s="148"/>
      <c r="HL15" s="148"/>
      <c r="HM15" s="148"/>
      <c r="HN15" s="148"/>
      <c r="HO15" s="148"/>
      <c r="HP15" s="148"/>
      <c r="HQ15" s="148"/>
      <c r="HR15" s="148"/>
      <c r="HS15" s="148"/>
      <c r="HT15" s="148"/>
      <c r="HU15" s="148"/>
      <c r="HV15" s="148"/>
      <c r="HW15" s="148"/>
      <c r="HX15" s="148"/>
      <c r="HY15" s="148"/>
      <c r="HZ15" s="148"/>
      <c r="IA15" s="148"/>
      <c r="IB15" s="148"/>
      <c r="IC15" s="148"/>
      <c r="ID15" s="148"/>
      <c r="IE15" s="148"/>
      <c r="IF15" s="148"/>
      <c r="IG15" s="148"/>
      <c r="IH15" s="148"/>
      <c r="II15" s="148"/>
      <c r="IJ15" s="148"/>
      <c r="IK15" s="148"/>
      <c r="IL15" s="148"/>
      <c r="IM15" s="148"/>
      <c r="IN15" s="148"/>
      <c r="IO15" s="148"/>
      <c r="IP15" s="148"/>
      <c r="IQ15" s="148"/>
      <c r="IR15" s="148"/>
      <c r="IS15" s="148"/>
      <c r="IT15" s="148"/>
      <c r="IU15" s="148"/>
      <c r="IV15" s="148"/>
      <c r="IW15" s="148"/>
      <c r="IX15" s="148"/>
      <c r="IY15" s="148"/>
      <c r="IZ15" s="148"/>
      <c r="JA15" s="148"/>
      <c r="JB15" s="148"/>
      <c r="JC15" s="148"/>
      <c r="JD15" s="148"/>
      <c r="JE15" s="148"/>
      <c r="JF15" s="148"/>
      <c r="JG15" s="148"/>
      <c r="JH15" s="148"/>
      <c r="JI15" s="148"/>
      <c r="JJ15" s="148"/>
      <c r="JK15" s="148"/>
      <c r="JL15" s="148"/>
      <c r="JM15" s="148"/>
      <c r="JN15" s="148"/>
      <c r="JO15" s="148"/>
      <c r="JP15" s="148"/>
      <c r="JQ15" s="148"/>
      <c r="JR15" s="148"/>
      <c r="JS15" s="148"/>
      <c r="JT15" s="148"/>
      <c r="JU15" s="148"/>
      <c r="JV15" s="148"/>
      <c r="JW15" s="148"/>
      <c r="JX15" s="148"/>
      <c r="JY15" s="148"/>
      <c r="JZ15" s="148"/>
      <c r="KA15" s="148"/>
      <c r="KB15" s="148"/>
      <c r="KC15" s="148"/>
      <c r="KD15" s="148"/>
      <c r="KE15" s="148"/>
      <c r="KF15" s="148"/>
      <c r="KG15" s="148"/>
      <c r="KH15" s="148"/>
      <c r="KI15" s="148"/>
      <c r="KJ15" s="148"/>
      <c r="KK15" s="148"/>
      <c r="KL15" s="148"/>
      <c r="KM15" s="148"/>
      <c r="KN15" s="148"/>
      <c r="KO15" s="148"/>
      <c r="KP15" s="148"/>
      <c r="KQ15" s="148"/>
      <c r="KR15" s="148"/>
      <c r="KS15" s="148"/>
      <c r="KT15" s="148"/>
      <c r="KU15" s="148"/>
      <c r="KV15" s="148"/>
      <c r="KW15" s="148"/>
      <c r="KX15" s="148"/>
      <c r="KY15" s="148"/>
      <c r="KZ15" s="148"/>
      <c r="LA15" s="148"/>
      <c r="LB15" s="148"/>
      <c r="LC15" s="148"/>
      <c r="LD15" s="148"/>
      <c r="LE15" s="148"/>
      <c r="LF15" s="148"/>
      <c r="LG15" s="148"/>
      <c r="LH15" s="148"/>
      <c r="LI15" s="148"/>
      <c r="LJ15" s="148"/>
      <c r="LK15" s="148"/>
      <c r="LL15" s="148"/>
      <c r="LM15" s="148"/>
      <c r="LN15" s="148"/>
      <c r="LO15" s="148"/>
      <c r="LP15" s="148"/>
      <c r="LQ15" s="148"/>
      <c r="LR15" s="148"/>
      <c r="LS15" s="148"/>
      <c r="LT15" s="148"/>
      <c r="LU15" s="148"/>
      <c r="LV15" s="148"/>
      <c r="LW15" s="148"/>
      <c r="LX15" s="148"/>
      <c r="LY15" s="148"/>
      <c r="LZ15" s="148"/>
      <c r="MA15" s="148"/>
      <c r="MB15" s="148"/>
      <c r="MC15" s="148"/>
      <c r="MD15" s="148"/>
      <c r="ME15" s="148"/>
      <c r="MF15" s="148"/>
      <c r="MG15" s="148"/>
      <c r="MH15" s="148"/>
      <c r="MI15" s="148"/>
      <c r="MJ15" s="148"/>
      <c r="MK15" s="148"/>
      <c r="ML15" s="148"/>
      <c r="MM15" s="148"/>
      <c r="MN15" s="148"/>
      <c r="MO15" s="148"/>
      <c r="MP15" s="148"/>
      <c r="MQ15" s="148"/>
      <c r="MR15" s="148"/>
      <c r="MS15" s="148"/>
      <c r="MT15" s="148"/>
      <c r="MU15" s="148"/>
      <c r="MV15" s="148"/>
      <c r="MW15" s="148"/>
      <c r="MX15" s="148"/>
      <c r="MY15" s="148"/>
      <c r="MZ15" s="148"/>
      <c r="NA15" s="148"/>
      <c r="NB15" s="148"/>
      <c r="NC15" s="148"/>
      <c r="ND15" s="148"/>
      <c r="NE15" s="148"/>
      <c r="NF15" s="148"/>
      <c r="NG15" s="148"/>
      <c r="NH15" s="148"/>
      <c r="NI15" s="148"/>
      <c r="NJ15" s="148"/>
      <c r="NK15" s="148"/>
      <c r="NL15" s="148"/>
      <c r="NM15" s="148"/>
      <c r="NN15" s="148"/>
      <c r="NO15" s="148"/>
      <c r="NP15" s="148"/>
      <c r="NQ15" s="148"/>
      <c r="NR15" s="148"/>
      <c r="NS15" s="148"/>
      <c r="NT15" s="148"/>
      <c r="NU15" s="148"/>
      <c r="NV15" s="148"/>
      <c r="NW15" s="148"/>
      <c r="NX15" s="148"/>
      <c r="NY15" s="148"/>
      <c r="NZ15" s="148"/>
      <c r="OA15" s="148"/>
      <c r="OB15" s="148"/>
      <c r="OC15" s="148"/>
      <c r="OD15" s="148"/>
      <c r="OE15" s="148"/>
      <c r="OF15" s="148"/>
      <c r="OG15" s="148"/>
      <c r="OH15" s="148"/>
      <c r="OI15" s="148"/>
      <c r="OJ15" s="148"/>
      <c r="OK15" s="148"/>
      <c r="OL15" s="148"/>
      <c r="OM15" s="148"/>
      <c r="ON15" s="148"/>
      <c r="OO15" s="148"/>
      <c r="OP15" s="148"/>
      <c r="OQ15" s="148"/>
      <c r="OR15" s="148"/>
      <c r="OS15" s="148"/>
      <c r="OT15" s="148"/>
      <c r="OU15" s="148"/>
      <c r="OV15" s="148"/>
      <c r="OW15" s="148"/>
      <c r="OX15" s="148"/>
      <c r="OY15" s="148"/>
      <c r="OZ15" s="148"/>
      <c r="PA15" s="148"/>
      <c r="PB15" s="148"/>
      <c r="PC15" s="148"/>
      <c r="PD15" s="148"/>
      <c r="PE15" s="148"/>
      <c r="PF15" s="148"/>
      <c r="PG15" s="148"/>
      <c r="PH15" s="148"/>
      <c r="PI15" s="148"/>
      <c r="PJ15" s="148"/>
      <c r="PK15" s="148"/>
      <c r="PL15" s="148"/>
      <c r="PM15" s="148"/>
      <c r="PN15" s="148"/>
      <c r="PO15" s="148"/>
      <c r="PP15" s="148"/>
      <c r="PQ15" s="148"/>
      <c r="PR15" s="148"/>
      <c r="PS15" s="148"/>
      <c r="PT15" s="148"/>
      <c r="PU15" s="148"/>
      <c r="PV15" s="148"/>
      <c r="PW15" s="148"/>
      <c r="PX15" s="148"/>
      <c r="PY15" s="148"/>
      <c r="PZ15" s="148"/>
      <c r="QA15" s="148"/>
      <c r="QB15" s="148"/>
      <c r="QC15" s="148"/>
      <c r="QD15" s="148"/>
      <c r="QE15" s="148"/>
      <c r="QF15" s="148"/>
      <c r="QG15" s="148"/>
      <c r="QH15" s="148"/>
      <c r="QI15" s="148"/>
      <c r="QJ15" s="148"/>
      <c r="QK15" s="148"/>
      <c r="QL15" s="148"/>
      <c r="QM15" s="148"/>
      <c r="QN15" s="148"/>
      <c r="QO15" s="148"/>
      <c r="QP15" s="148"/>
      <c r="QQ15" s="148"/>
      <c r="QR15" s="148"/>
      <c r="QS15" s="148"/>
      <c r="QT15" s="148"/>
      <c r="QU15" s="148"/>
      <c r="QV15" s="148"/>
      <c r="QW15" s="148"/>
      <c r="QX15" s="148"/>
      <c r="QY15" s="148"/>
      <c r="QZ15" s="148"/>
      <c r="RA15" s="148"/>
      <c r="RB15" s="148"/>
      <c r="RC15" s="148"/>
      <c r="RD15" s="148"/>
      <c r="RE15" s="148"/>
      <c r="RF15" s="148"/>
      <c r="RG15" s="148"/>
      <c r="RH15" s="148"/>
      <c r="RI15" s="148"/>
      <c r="RJ15" s="148"/>
      <c r="RK15" s="148"/>
      <c r="RL15" s="148"/>
      <c r="RM15" s="148"/>
      <c r="RN15" s="148"/>
      <c r="RO15" s="148"/>
      <c r="RP15" s="148"/>
      <c r="RQ15" s="148"/>
      <c r="RR15" s="148"/>
    </row>
    <row r="16" spans="1:486" s="15" customFormat="1" x14ac:dyDescent="0.25">
      <c r="A16" s="148"/>
      <c r="B16" s="350">
        <v>1</v>
      </c>
      <c r="C16" s="630" t="s">
        <v>2691</v>
      </c>
      <c r="D16" s="631">
        <v>40001916</v>
      </c>
      <c r="E16" s="344" t="s">
        <v>2692</v>
      </c>
      <c r="F16" s="344" t="s">
        <v>45</v>
      </c>
      <c r="G16" s="17" t="s">
        <v>2693</v>
      </c>
      <c r="H16" s="632" t="s">
        <v>2694</v>
      </c>
      <c r="I16" s="346" t="s">
        <v>43</v>
      </c>
      <c r="J16" s="341" t="s">
        <v>2695</v>
      </c>
      <c r="K16" s="633">
        <v>43601</v>
      </c>
      <c r="L16" s="633">
        <v>0</v>
      </c>
      <c r="M16" s="633">
        <v>0</v>
      </c>
      <c r="N16" s="633">
        <v>0</v>
      </c>
      <c r="O16" s="633">
        <v>5643</v>
      </c>
      <c r="P16" s="633">
        <v>0</v>
      </c>
      <c r="Q16" s="633">
        <v>0</v>
      </c>
      <c r="R16" s="633">
        <v>0</v>
      </c>
      <c r="S16" s="633"/>
      <c r="T16" s="633"/>
      <c r="U16" s="633"/>
      <c r="V16" s="633"/>
      <c r="W16" s="633"/>
      <c r="X16" s="633"/>
      <c r="Y16" s="633">
        <f>SUM(M16:X16)</f>
        <v>5643</v>
      </c>
      <c r="Z16" s="634">
        <v>99497</v>
      </c>
      <c r="AA16" s="635" t="s">
        <v>296</v>
      </c>
      <c r="AB16" s="23">
        <v>44232</v>
      </c>
      <c r="AC16" s="23">
        <v>44250</v>
      </c>
      <c r="AD16" s="636"/>
      <c r="AE16" s="20"/>
      <c r="AF16" s="315"/>
      <c r="AG16" s="23"/>
      <c r="AH16" s="637"/>
      <c r="AI16" s="19"/>
      <c r="AJ16" s="21"/>
      <c r="AK16" s="25"/>
      <c r="AL16" s="309"/>
      <c r="AM16" s="19"/>
      <c r="AN16" s="21"/>
      <c r="AO16" s="25"/>
      <c r="AP16" s="309"/>
      <c r="AQ16" s="19"/>
      <c r="AR16" s="21"/>
      <c r="AS16" s="25"/>
      <c r="AT16" s="638">
        <f>+Z16+AD16+AH16+AL16+AP16</f>
        <v>99497</v>
      </c>
      <c r="AU16" s="311">
        <f t="shared" ref="AU16:AU132" si="0">+AT16-Y16</f>
        <v>93854</v>
      </c>
      <c r="AV16" s="148"/>
      <c r="AW16" s="148"/>
      <c r="AX16" s="148"/>
      <c r="AY16" s="148"/>
      <c r="AZ16" s="148"/>
      <c r="BA16" s="148"/>
      <c r="BB16" s="148"/>
      <c r="BC16" s="148"/>
      <c r="BD16" s="148"/>
      <c r="BE16" s="148"/>
      <c r="BF16" s="148"/>
      <c r="BG16" s="148"/>
      <c r="BH16" s="148"/>
      <c r="BI16" s="148"/>
      <c r="BJ16" s="148"/>
      <c r="BK16" s="148"/>
      <c r="BL16" s="148"/>
      <c r="BM16" s="148"/>
      <c r="BN16" s="148"/>
      <c r="BO16" s="148"/>
      <c r="BP16" s="148"/>
      <c r="BQ16" s="148"/>
      <c r="BR16" s="148"/>
      <c r="BS16" s="148"/>
      <c r="BT16" s="148"/>
      <c r="BU16" s="148"/>
      <c r="BV16" s="148"/>
      <c r="BW16" s="148"/>
      <c r="BX16" s="148"/>
      <c r="BY16" s="148"/>
      <c r="BZ16" s="148"/>
      <c r="CA16" s="148"/>
      <c r="CB16" s="148"/>
      <c r="CC16" s="148"/>
      <c r="CD16" s="148"/>
      <c r="CE16" s="148"/>
      <c r="CF16" s="148"/>
      <c r="CG16" s="148"/>
      <c r="CH16" s="148"/>
      <c r="CI16" s="148"/>
      <c r="CJ16" s="148"/>
      <c r="CK16" s="148"/>
      <c r="CL16" s="148"/>
      <c r="CM16" s="148"/>
      <c r="CN16" s="148"/>
      <c r="CO16" s="148"/>
      <c r="CP16" s="148"/>
      <c r="CQ16" s="148"/>
      <c r="CR16" s="148"/>
      <c r="CS16" s="148"/>
      <c r="CT16" s="148"/>
      <c r="CU16" s="148"/>
      <c r="CV16" s="148"/>
      <c r="CW16" s="148"/>
      <c r="CX16" s="148"/>
      <c r="CY16" s="148"/>
      <c r="CZ16" s="148"/>
      <c r="DA16" s="148"/>
      <c r="DB16" s="148"/>
      <c r="DC16" s="148"/>
      <c r="DD16" s="148"/>
      <c r="DE16" s="148"/>
      <c r="DF16" s="148"/>
      <c r="DG16" s="148"/>
      <c r="DH16" s="148"/>
      <c r="DI16" s="148"/>
      <c r="DJ16" s="148"/>
      <c r="DK16" s="148"/>
      <c r="DL16" s="148"/>
      <c r="DM16" s="148"/>
      <c r="DN16" s="148"/>
      <c r="DO16" s="148"/>
      <c r="DP16" s="148"/>
      <c r="DQ16" s="148"/>
      <c r="DR16" s="148"/>
      <c r="DS16" s="148"/>
      <c r="DT16" s="148"/>
      <c r="DU16" s="148"/>
      <c r="DV16" s="148"/>
      <c r="DW16" s="148"/>
      <c r="DX16" s="148"/>
      <c r="DY16" s="148"/>
      <c r="DZ16" s="148"/>
      <c r="EA16" s="148"/>
      <c r="EB16" s="148"/>
      <c r="EC16" s="148"/>
      <c r="ED16" s="148"/>
      <c r="EE16" s="148"/>
      <c r="EF16" s="148"/>
      <c r="EG16" s="148"/>
      <c r="EH16" s="148"/>
      <c r="EI16" s="148"/>
      <c r="EJ16" s="148"/>
      <c r="EK16" s="148"/>
      <c r="EL16" s="148"/>
      <c r="EM16" s="148"/>
      <c r="EN16" s="148"/>
      <c r="EO16" s="148"/>
      <c r="EP16" s="148"/>
      <c r="EQ16" s="148"/>
      <c r="ER16" s="148"/>
      <c r="ES16" s="148"/>
      <c r="ET16" s="148"/>
      <c r="EU16" s="148"/>
      <c r="EV16" s="148"/>
      <c r="EW16" s="148"/>
      <c r="EX16" s="148"/>
      <c r="EY16" s="148"/>
      <c r="EZ16" s="148"/>
      <c r="FA16" s="148"/>
      <c r="FB16" s="148"/>
      <c r="FC16" s="148"/>
      <c r="FD16" s="148"/>
      <c r="FE16" s="148"/>
      <c r="FF16" s="148"/>
      <c r="FG16" s="148"/>
      <c r="FH16" s="148"/>
      <c r="FI16" s="148"/>
      <c r="FJ16" s="148"/>
      <c r="FK16" s="148"/>
      <c r="FL16" s="148"/>
      <c r="FM16" s="148"/>
      <c r="FN16" s="148"/>
      <c r="FO16" s="148"/>
      <c r="FP16" s="148"/>
      <c r="FQ16" s="148"/>
      <c r="FR16" s="148"/>
      <c r="FS16" s="148"/>
      <c r="FT16" s="148"/>
      <c r="FU16" s="148"/>
      <c r="FV16" s="148"/>
      <c r="FW16" s="148"/>
      <c r="FX16" s="148"/>
      <c r="FY16" s="148"/>
      <c r="FZ16" s="148"/>
      <c r="GA16" s="148"/>
      <c r="GB16" s="148"/>
      <c r="GC16" s="148"/>
      <c r="GD16" s="148"/>
      <c r="GE16" s="148"/>
      <c r="GF16" s="148"/>
      <c r="GG16" s="148"/>
      <c r="GH16" s="148"/>
      <c r="GI16" s="148"/>
      <c r="GJ16" s="148"/>
      <c r="GK16" s="148"/>
      <c r="GL16" s="148"/>
      <c r="GM16" s="148"/>
      <c r="GN16" s="148"/>
      <c r="GO16" s="148"/>
      <c r="GP16" s="148"/>
      <c r="GQ16" s="148"/>
      <c r="GR16" s="148"/>
      <c r="GS16" s="148"/>
      <c r="GT16" s="148"/>
      <c r="GU16" s="148"/>
      <c r="GV16" s="148"/>
      <c r="GW16" s="148"/>
      <c r="GX16" s="148"/>
      <c r="GY16" s="148"/>
      <c r="GZ16" s="148"/>
      <c r="HA16" s="148"/>
      <c r="HB16" s="148"/>
      <c r="HC16" s="148"/>
      <c r="HD16" s="148"/>
      <c r="HE16" s="148"/>
      <c r="HF16" s="148"/>
      <c r="HG16" s="148"/>
      <c r="HH16" s="148"/>
      <c r="HI16" s="148"/>
      <c r="HJ16" s="148"/>
      <c r="HK16" s="148"/>
      <c r="HL16" s="148"/>
      <c r="HM16" s="148"/>
      <c r="HN16" s="148"/>
      <c r="HO16" s="148"/>
      <c r="HP16" s="148"/>
      <c r="HQ16" s="148"/>
      <c r="HR16" s="148"/>
      <c r="HS16" s="148"/>
      <c r="HT16" s="148"/>
      <c r="HU16" s="148"/>
      <c r="HV16" s="148"/>
      <c r="HW16" s="148"/>
      <c r="HX16" s="148"/>
      <c r="HY16" s="148"/>
      <c r="HZ16" s="148"/>
      <c r="IA16" s="148"/>
      <c r="IB16" s="148"/>
      <c r="IC16" s="148"/>
      <c r="ID16" s="148"/>
      <c r="IE16" s="148"/>
      <c r="IF16" s="148"/>
      <c r="IG16" s="148"/>
      <c r="IH16" s="148"/>
      <c r="II16" s="148"/>
      <c r="IJ16" s="148"/>
      <c r="IK16" s="148"/>
      <c r="IL16" s="148"/>
      <c r="IM16" s="148"/>
      <c r="IN16" s="148"/>
      <c r="IO16" s="148"/>
      <c r="IP16" s="148"/>
      <c r="IQ16" s="148"/>
      <c r="IR16" s="148"/>
      <c r="IS16" s="148"/>
      <c r="IT16" s="148"/>
      <c r="IU16" s="148"/>
      <c r="IV16" s="148"/>
      <c r="IW16" s="148"/>
      <c r="IX16" s="148"/>
      <c r="IY16" s="148"/>
      <c r="IZ16" s="148"/>
      <c r="JA16" s="148"/>
      <c r="JB16" s="148"/>
      <c r="JC16" s="148"/>
      <c r="JD16" s="148"/>
      <c r="JE16" s="148"/>
      <c r="JF16" s="148"/>
      <c r="JG16" s="148"/>
      <c r="JH16" s="148"/>
      <c r="JI16" s="148"/>
      <c r="JJ16" s="148"/>
      <c r="JK16" s="148"/>
      <c r="JL16" s="148"/>
      <c r="JM16" s="148"/>
      <c r="JN16" s="148"/>
      <c r="JO16" s="148"/>
      <c r="JP16" s="148"/>
      <c r="JQ16" s="148"/>
      <c r="JR16" s="148"/>
      <c r="JS16" s="148"/>
      <c r="JT16" s="148"/>
      <c r="JU16" s="148"/>
      <c r="JV16" s="148"/>
      <c r="JW16" s="148"/>
      <c r="JX16" s="148"/>
      <c r="JY16" s="148"/>
      <c r="JZ16" s="148"/>
      <c r="KA16" s="148"/>
      <c r="KB16" s="148"/>
      <c r="KC16" s="148"/>
      <c r="KD16" s="148"/>
      <c r="KE16" s="148"/>
      <c r="KF16" s="148"/>
      <c r="KG16" s="148"/>
      <c r="KH16" s="148"/>
      <c r="KI16" s="148"/>
      <c r="KJ16" s="148"/>
      <c r="KK16" s="148"/>
      <c r="KL16" s="148"/>
      <c r="KM16" s="148"/>
      <c r="KN16" s="148"/>
      <c r="KO16" s="148"/>
      <c r="KP16" s="148"/>
      <c r="KQ16" s="148"/>
      <c r="KR16" s="148"/>
      <c r="KS16" s="148"/>
      <c r="KT16" s="148"/>
      <c r="KU16" s="148"/>
      <c r="KV16" s="148"/>
      <c r="KW16" s="148"/>
      <c r="KX16" s="148"/>
      <c r="KY16" s="148"/>
      <c r="KZ16" s="148"/>
      <c r="LA16" s="148"/>
      <c r="LB16" s="148"/>
      <c r="LC16" s="148"/>
      <c r="LD16" s="148"/>
      <c r="LE16" s="148"/>
      <c r="LF16" s="148"/>
      <c r="LG16" s="148"/>
      <c r="LH16" s="148"/>
      <c r="LI16" s="148"/>
      <c r="LJ16" s="148"/>
      <c r="LK16" s="148"/>
      <c r="LL16" s="148"/>
      <c r="LM16" s="148"/>
      <c r="LN16" s="148"/>
      <c r="LO16" s="148"/>
      <c r="LP16" s="148"/>
      <c r="LQ16" s="148"/>
      <c r="LR16" s="148"/>
      <c r="LS16" s="148"/>
      <c r="LT16" s="148"/>
      <c r="LU16" s="148"/>
      <c r="LV16" s="148"/>
      <c r="LW16" s="148"/>
      <c r="LX16" s="148"/>
      <c r="LY16" s="148"/>
      <c r="LZ16" s="148"/>
      <c r="MA16" s="148"/>
      <c r="MB16" s="148"/>
      <c r="MC16" s="148"/>
      <c r="MD16" s="148"/>
      <c r="ME16" s="148"/>
      <c r="MF16" s="148"/>
      <c r="MG16" s="148"/>
      <c r="MH16" s="148"/>
      <c r="MI16" s="148"/>
      <c r="MJ16" s="148"/>
      <c r="MK16" s="148"/>
      <c r="ML16" s="148"/>
      <c r="MM16" s="148"/>
      <c r="MN16" s="148"/>
      <c r="MO16" s="148"/>
      <c r="MP16" s="148"/>
      <c r="MQ16" s="148"/>
      <c r="MR16" s="148"/>
      <c r="MS16" s="148"/>
      <c r="MT16" s="148"/>
      <c r="MU16" s="148"/>
      <c r="MV16" s="148"/>
      <c r="MW16" s="148"/>
      <c r="MX16" s="148"/>
      <c r="MY16" s="148"/>
      <c r="MZ16" s="148"/>
      <c r="NA16" s="148"/>
      <c r="NB16" s="148"/>
      <c r="NC16" s="148"/>
      <c r="ND16" s="148"/>
      <c r="NE16" s="148"/>
      <c r="NF16" s="148"/>
      <c r="NG16" s="148"/>
      <c r="NH16" s="148"/>
      <c r="NI16" s="148"/>
      <c r="NJ16" s="148"/>
      <c r="NK16" s="148"/>
      <c r="NL16" s="148"/>
      <c r="NM16" s="148"/>
      <c r="NN16" s="148"/>
      <c r="NO16" s="148"/>
      <c r="NP16" s="148"/>
      <c r="NQ16" s="148"/>
      <c r="NR16" s="148"/>
      <c r="NS16" s="148"/>
      <c r="NT16" s="148"/>
      <c r="NU16" s="148"/>
      <c r="NV16" s="148"/>
      <c r="NW16" s="148"/>
      <c r="NX16" s="148"/>
      <c r="NY16" s="148"/>
      <c r="NZ16" s="148"/>
      <c r="OA16" s="148"/>
      <c r="OB16" s="148"/>
      <c r="OC16" s="148"/>
      <c r="OD16" s="148"/>
      <c r="OE16" s="148"/>
      <c r="OF16" s="148"/>
      <c r="OG16" s="148"/>
      <c r="OH16" s="148"/>
      <c r="OI16" s="148"/>
      <c r="OJ16" s="148"/>
      <c r="OK16" s="148"/>
      <c r="OL16" s="148"/>
      <c r="OM16" s="148"/>
      <c r="ON16" s="148"/>
      <c r="OO16" s="148"/>
      <c r="OP16" s="148"/>
      <c r="OQ16" s="148"/>
      <c r="OR16" s="148"/>
      <c r="OS16" s="148"/>
      <c r="OT16" s="148"/>
      <c r="OU16" s="148"/>
      <c r="OV16" s="148"/>
      <c r="OW16" s="148"/>
      <c r="OX16" s="148"/>
      <c r="OY16" s="148"/>
      <c r="OZ16" s="148"/>
      <c r="PA16" s="148"/>
      <c r="PB16" s="148"/>
      <c r="PC16" s="148"/>
      <c r="PD16" s="148"/>
      <c r="PE16" s="148"/>
      <c r="PF16" s="148"/>
      <c r="PG16" s="148"/>
      <c r="PH16" s="148"/>
      <c r="PI16" s="148"/>
      <c r="PJ16" s="148"/>
      <c r="PK16" s="148"/>
      <c r="PL16" s="148"/>
      <c r="PM16" s="148"/>
      <c r="PN16" s="148"/>
      <c r="PO16" s="148"/>
      <c r="PP16" s="148"/>
      <c r="PQ16" s="148"/>
      <c r="PR16" s="148"/>
      <c r="PS16" s="148"/>
      <c r="PT16" s="148"/>
      <c r="PU16" s="148"/>
      <c r="PV16" s="148"/>
      <c r="PW16" s="148"/>
      <c r="PX16" s="148"/>
      <c r="PY16" s="148"/>
      <c r="PZ16" s="148"/>
      <c r="QA16" s="148"/>
      <c r="QB16" s="148"/>
      <c r="QC16" s="148"/>
      <c r="QD16" s="148"/>
      <c r="QE16" s="148"/>
      <c r="QF16" s="148"/>
      <c r="QG16" s="148"/>
      <c r="QH16" s="148"/>
      <c r="QI16" s="148"/>
      <c r="QJ16" s="148"/>
      <c r="QK16" s="148"/>
      <c r="QL16" s="148"/>
      <c r="QM16" s="148"/>
      <c r="QN16" s="148"/>
      <c r="QO16" s="148"/>
      <c r="QP16" s="148"/>
      <c r="QQ16" s="148"/>
      <c r="QR16" s="148"/>
      <c r="QS16" s="148"/>
      <c r="QT16" s="148"/>
      <c r="QU16" s="148"/>
      <c r="QV16" s="148"/>
      <c r="QW16" s="148"/>
      <c r="QX16" s="148"/>
      <c r="QY16" s="148"/>
      <c r="QZ16" s="148"/>
      <c r="RA16" s="148"/>
      <c r="RB16" s="148"/>
      <c r="RC16" s="148"/>
      <c r="RD16" s="148"/>
      <c r="RE16" s="148"/>
      <c r="RF16" s="148"/>
      <c r="RG16" s="148"/>
      <c r="RH16" s="148"/>
      <c r="RI16" s="148"/>
      <c r="RJ16" s="148"/>
      <c r="RK16" s="148"/>
      <c r="RL16" s="148"/>
      <c r="RM16" s="148"/>
      <c r="RN16" s="148"/>
      <c r="RO16" s="148"/>
      <c r="RP16" s="148"/>
      <c r="RQ16" s="148"/>
      <c r="RR16" s="148"/>
    </row>
    <row r="17" spans="1:486" s="15" customFormat="1" x14ac:dyDescent="0.25">
      <c r="A17" s="148"/>
      <c r="B17" s="350">
        <v>2</v>
      </c>
      <c r="C17" s="630" t="s">
        <v>2691</v>
      </c>
      <c r="D17" s="631">
        <v>40007511</v>
      </c>
      <c r="E17" s="344" t="s">
        <v>2696</v>
      </c>
      <c r="F17" s="344" t="s">
        <v>45</v>
      </c>
      <c r="G17" s="17" t="s">
        <v>2693</v>
      </c>
      <c r="H17" s="632" t="s">
        <v>2697</v>
      </c>
      <c r="I17" s="346" t="s">
        <v>43</v>
      </c>
      <c r="J17" s="341" t="s">
        <v>2698</v>
      </c>
      <c r="K17" s="633">
        <v>0</v>
      </c>
      <c r="L17" s="633">
        <v>0</v>
      </c>
      <c r="M17" s="633">
        <v>0</v>
      </c>
      <c r="N17" s="633">
        <v>0</v>
      </c>
      <c r="O17" s="633">
        <v>7550</v>
      </c>
      <c r="P17" s="633">
        <v>0</v>
      </c>
      <c r="Q17" s="639">
        <v>6040</v>
      </c>
      <c r="R17" s="633">
        <v>0</v>
      </c>
      <c r="S17" s="633"/>
      <c r="T17" s="633"/>
      <c r="U17" s="633"/>
      <c r="V17" s="633"/>
      <c r="W17" s="633"/>
      <c r="X17" s="633"/>
      <c r="Y17" s="633">
        <f t="shared" ref="Y17:Y80" si="1">SUM(M17:X17)</f>
        <v>13590</v>
      </c>
      <c r="Z17" s="634">
        <v>10000</v>
      </c>
      <c r="AA17" s="635" t="s">
        <v>296</v>
      </c>
      <c r="AB17" s="23">
        <v>44232</v>
      </c>
      <c r="AC17" s="23">
        <v>44250</v>
      </c>
      <c r="AD17" s="640">
        <v>3590</v>
      </c>
      <c r="AE17" s="20">
        <v>27</v>
      </c>
      <c r="AF17" s="23">
        <v>44322</v>
      </c>
      <c r="AG17" s="23">
        <v>44347</v>
      </c>
      <c r="AH17" s="637"/>
      <c r="AI17" s="19"/>
      <c r="AJ17" s="21"/>
      <c r="AK17" s="25"/>
      <c r="AL17" s="309"/>
      <c r="AM17" s="19"/>
      <c r="AN17" s="21"/>
      <c r="AO17" s="25"/>
      <c r="AP17" s="309"/>
      <c r="AQ17" s="19"/>
      <c r="AR17" s="21"/>
      <c r="AS17" s="25"/>
      <c r="AT17" s="638">
        <f t="shared" ref="AT17:AT80" si="2">+Z17+AD17+AH17+AL17+AP17</f>
        <v>13590</v>
      </c>
      <c r="AU17" s="311">
        <f t="shared" si="0"/>
        <v>0</v>
      </c>
      <c r="AV17" s="148"/>
      <c r="AW17" s="148"/>
      <c r="AX17" s="148"/>
      <c r="AY17" s="148"/>
      <c r="AZ17" s="148"/>
      <c r="BA17" s="148"/>
      <c r="BB17" s="148"/>
      <c r="BC17" s="148"/>
      <c r="BD17" s="148"/>
      <c r="BE17" s="148"/>
      <c r="BF17" s="148"/>
      <c r="BG17" s="148"/>
      <c r="BH17" s="148"/>
      <c r="BI17" s="148"/>
      <c r="BJ17" s="148"/>
      <c r="BK17" s="148"/>
      <c r="BL17" s="148"/>
      <c r="BM17" s="148"/>
      <c r="BN17" s="148"/>
      <c r="BO17" s="148"/>
      <c r="BP17" s="148"/>
      <c r="BQ17" s="148"/>
      <c r="BR17" s="148"/>
      <c r="BS17" s="148"/>
      <c r="BT17" s="148"/>
      <c r="BU17" s="148"/>
      <c r="BV17" s="148"/>
      <c r="BW17" s="148"/>
      <c r="BX17" s="148"/>
      <c r="BY17" s="148"/>
      <c r="BZ17" s="148"/>
      <c r="CA17" s="148"/>
      <c r="CB17" s="148"/>
      <c r="CC17" s="148"/>
      <c r="CD17" s="148"/>
      <c r="CE17" s="148"/>
      <c r="CF17" s="148"/>
      <c r="CG17" s="148"/>
      <c r="CH17" s="148"/>
      <c r="CI17" s="148"/>
      <c r="CJ17" s="148"/>
      <c r="CK17" s="148"/>
      <c r="CL17" s="148"/>
      <c r="CM17" s="148"/>
      <c r="CN17" s="148"/>
      <c r="CO17" s="148"/>
      <c r="CP17" s="148"/>
      <c r="CQ17" s="148"/>
      <c r="CR17" s="148"/>
      <c r="CS17" s="148"/>
      <c r="CT17" s="148"/>
      <c r="CU17" s="148"/>
      <c r="CV17" s="148"/>
      <c r="CW17" s="148"/>
      <c r="CX17" s="148"/>
      <c r="CY17" s="148"/>
      <c r="CZ17" s="148"/>
      <c r="DA17" s="148"/>
      <c r="DB17" s="148"/>
      <c r="DC17" s="148"/>
      <c r="DD17" s="148"/>
      <c r="DE17" s="148"/>
      <c r="DF17" s="148"/>
      <c r="DG17" s="148"/>
      <c r="DH17" s="148"/>
      <c r="DI17" s="148"/>
      <c r="DJ17" s="148"/>
      <c r="DK17" s="148"/>
      <c r="DL17" s="148"/>
      <c r="DM17" s="148"/>
      <c r="DN17" s="148"/>
      <c r="DO17" s="148"/>
      <c r="DP17" s="148"/>
      <c r="DQ17" s="148"/>
      <c r="DR17" s="148"/>
      <c r="DS17" s="148"/>
      <c r="DT17" s="148"/>
      <c r="DU17" s="148"/>
      <c r="DV17" s="148"/>
      <c r="DW17" s="148"/>
      <c r="DX17" s="148"/>
      <c r="DY17" s="148"/>
      <c r="DZ17" s="148"/>
      <c r="EA17" s="148"/>
      <c r="EB17" s="148"/>
      <c r="EC17" s="148"/>
      <c r="ED17" s="148"/>
      <c r="EE17" s="148"/>
      <c r="EF17" s="148"/>
      <c r="EG17" s="148"/>
      <c r="EH17" s="148"/>
      <c r="EI17" s="148"/>
      <c r="EJ17" s="148"/>
      <c r="EK17" s="148"/>
      <c r="EL17" s="148"/>
      <c r="EM17" s="148"/>
      <c r="EN17" s="148"/>
      <c r="EO17" s="148"/>
      <c r="EP17" s="148"/>
      <c r="EQ17" s="148"/>
      <c r="ER17" s="148"/>
      <c r="ES17" s="148"/>
      <c r="ET17" s="148"/>
      <c r="EU17" s="148"/>
      <c r="EV17" s="148"/>
      <c r="EW17" s="148"/>
      <c r="EX17" s="148"/>
      <c r="EY17" s="148"/>
      <c r="EZ17" s="148"/>
      <c r="FA17" s="148"/>
      <c r="FB17" s="148"/>
      <c r="FC17" s="148"/>
      <c r="FD17" s="148"/>
      <c r="FE17" s="148"/>
      <c r="FF17" s="148"/>
      <c r="FG17" s="148"/>
      <c r="FH17" s="148"/>
      <c r="FI17" s="148"/>
      <c r="FJ17" s="148"/>
      <c r="FK17" s="148"/>
      <c r="FL17" s="148"/>
      <c r="FM17" s="148"/>
      <c r="FN17" s="148"/>
      <c r="FO17" s="148"/>
      <c r="FP17" s="148"/>
      <c r="FQ17" s="148"/>
      <c r="FR17" s="148"/>
      <c r="FS17" s="148"/>
      <c r="FT17" s="148"/>
      <c r="FU17" s="148"/>
      <c r="FV17" s="148"/>
      <c r="FW17" s="148"/>
      <c r="FX17" s="148"/>
      <c r="FY17" s="148"/>
      <c r="FZ17" s="148"/>
      <c r="GA17" s="148"/>
      <c r="GB17" s="148"/>
      <c r="GC17" s="148"/>
      <c r="GD17" s="148"/>
      <c r="GE17" s="148"/>
      <c r="GF17" s="148"/>
      <c r="GG17" s="148"/>
      <c r="GH17" s="148"/>
      <c r="GI17" s="148"/>
      <c r="GJ17" s="148"/>
      <c r="GK17" s="148"/>
      <c r="GL17" s="148"/>
      <c r="GM17" s="148"/>
      <c r="GN17" s="148"/>
      <c r="GO17" s="148"/>
      <c r="GP17" s="148"/>
      <c r="GQ17" s="148"/>
      <c r="GR17" s="148"/>
      <c r="GS17" s="148"/>
      <c r="GT17" s="148"/>
      <c r="GU17" s="148"/>
      <c r="GV17" s="148"/>
      <c r="GW17" s="148"/>
      <c r="GX17" s="148"/>
      <c r="GY17" s="148"/>
      <c r="GZ17" s="148"/>
      <c r="HA17" s="148"/>
      <c r="HB17" s="148"/>
      <c r="HC17" s="148"/>
      <c r="HD17" s="148"/>
      <c r="HE17" s="148"/>
      <c r="HF17" s="148"/>
      <c r="HG17" s="148"/>
      <c r="HH17" s="148"/>
      <c r="HI17" s="148"/>
      <c r="HJ17" s="148"/>
      <c r="HK17" s="148"/>
      <c r="HL17" s="148"/>
      <c r="HM17" s="148"/>
      <c r="HN17" s="148"/>
      <c r="HO17" s="148"/>
      <c r="HP17" s="148"/>
      <c r="HQ17" s="148"/>
      <c r="HR17" s="148"/>
      <c r="HS17" s="148"/>
      <c r="HT17" s="148"/>
      <c r="HU17" s="148"/>
      <c r="HV17" s="148"/>
      <c r="HW17" s="148"/>
      <c r="HX17" s="148"/>
      <c r="HY17" s="148"/>
      <c r="HZ17" s="148"/>
      <c r="IA17" s="148"/>
      <c r="IB17" s="148"/>
      <c r="IC17" s="148"/>
      <c r="ID17" s="148"/>
      <c r="IE17" s="148"/>
      <c r="IF17" s="148"/>
      <c r="IG17" s="148"/>
      <c r="IH17" s="148"/>
      <c r="II17" s="148"/>
      <c r="IJ17" s="148"/>
      <c r="IK17" s="148"/>
      <c r="IL17" s="148"/>
      <c r="IM17" s="148"/>
      <c r="IN17" s="148"/>
      <c r="IO17" s="148"/>
      <c r="IP17" s="148"/>
      <c r="IQ17" s="148"/>
      <c r="IR17" s="148"/>
      <c r="IS17" s="148"/>
      <c r="IT17" s="148"/>
      <c r="IU17" s="148"/>
      <c r="IV17" s="148"/>
      <c r="IW17" s="148"/>
      <c r="IX17" s="148"/>
      <c r="IY17" s="148"/>
      <c r="IZ17" s="148"/>
      <c r="JA17" s="148"/>
      <c r="JB17" s="148"/>
      <c r="JC17" s="148"/>
      <c r="JD17" s="148"/>
      <c r="JE17" s="148"/>
      <c r="JF17" s="148"/>
      <c r="JG17" s="148"/>
      <c r="JH17" s="148"/>
      <c r="JI17" s="148"/>
      <c r="JJ17" s="148"/>
      <c r="JK17" s="148"/>
      <c r="JL17" s="148"/>
      <c r="JM17" s="148"/>
      <c r="JN17" s="148"/>
      <c r="JO17" s="148"/>
      <c r="JP17" s="148"/>
      <c r="JQ17" s="148"/>
      <c r="JR17" s="148"/>
      <c r="JS17" s="148"/>
      <c r="JT17" s="148"/>
      <c r="JU17" s="148"/>
      <c r="JV17" s="148"/>
      <c r="JW17" s="148"/>
      <c r="JX17" s="148"/>
      <c r="JY17" s="148"/>
      <c r="JZ17" s="148"/>
      <c r="KA17" s="148"/>
      <c r="KB17" s="148"/>
      <c r="KC17" s="148"/>
      <c r="KD17" s="148"/>
      <c r="KE17" s="148"/>
      <c r="KF17" s="148"/>
      <c r="KG17" s="148"/>
      <c r="KH17" s="148"/>
      <c r="KI17" s="148"/>
      <c r="KJ17" s="148"/>
      <c r="KK17" s="148"/>
      <c r="KL17" s="148"/>
      <c r="KM17" s="148"/>
      <c r="KN17" s="148"/>
      <c r="KO17" s="148"/>
      <c r="KP17" s="148"/>
      <c r="KQ17" s="148"/>
      <c r="KR17" s="148"/>
      <c r="KS17" s="148"/>
      <c r="KT17" s="148"/>
      <c r="KU17" s="148"/>
      <c r="KV17" s="148"/>
      <c r="KW17" s="148"/>
      <c r="KX17" s="148"/>
      <c r="KY17" s="148"/>
      <c r="KZ17" s="148"/>
      <c r="LA17" s="148"/>
      <c r="LB17" s="148"/>
      <c r="LC17" s="148"/>
      <c r="LD17" s="148"/>
      <c r="LE17" s="148"/>
      <c r="LF17" s="148"/>
      <c r="LG17" s="148"/>
      <c r="LH17" s="148"/>
      <c r="LI17" s="148"/>
      <c r="LJ17" s="148"/>
      <c r="LK17" s="148"/>
      <c r="LL17" s="148"/>
      <c r="LM17" s="148"/>
      <c r="LN17" s="148"/>
      <c r="LO17" s="148"/>
      <c r="LP17" s="148"/>
      <c r="LQ17" s="148"/>
      <c r="LR17" s="148"/>
      <c r="LS17" s="148"/>
      <c r="LT17" s="148"/>
      <c r="LU17" s="148"/>
      <c r="LV17" s="148"/>
      <c r="LW17" s="148"/>
      <c r="LX17" s="148"/>
      <c r="LY17" s="148"/>
      <c r="LZ17" s="148"/>
      <c r="MA17" s="148"/>
      <c r="MB17" s="148"/>
      <c r="MC17" s="148"/>
      <c r="MD17" s="148"/>
      <c r="ME17" s="148"/>
      <c r="MF17" s="148"/>
      <c r="MG17" s="148"/>
      <c r="MH17" s="148"/>
      <c r="MI17" s="148"/>
      <c r="MJ17" s="148"/>
      <c r="MK17" s="148"/>
      <c r="ML17" s="148"/>
      <c r="MM17" s="148"/>
      <c r="MN17" s="148"/>
      <c r="MO17" s="148"/>
      <c r="MP17" s="148"/>
      <c r="MQ17" s="148"/>
      <c r="MR17" s="148"/>
      <c r="MS17" s="148"/>
      <c r="MT17" s="148"/>
      <c r="MU17" s="148"/>
      <c r="MV17" s="148"/>
      <c r="MW17" s="148"/>
      <c r="MX17" s="148"/>
      <c r="MY17" s="148"/>
      <c r="MZ17" s="148"/>
      <c r="NA17" s="148"/>
      <c r="NB17" s="148"/>
      <c r="NC17" s="148"/>
      <c r="ND17" s="148"/>
      <c r="NE17" s="148"/>
      <c r="NF17" s="148"/>
      <c r="NG17" s="148"/>
      <c r="NH17" s="148"/>
      <c r="NI17" s="148"/>
      <c r="NJ17" s="148"/>
      <c r="NK17" s="148"/>
      <c r="NL17" s="148"/>
      <c r="NM17" s="148"/>
      <c r="NN17" s="148"/>
      <c r="NO17" s="148"/>
      <c r="NP17" s="148"/>
      <c r="NQ17" s="148"/>
      <c r="NR17" s="148"/>
      <c r="NS17" s="148"/>
      <c r="NT17" s="148"/>
      <c r="NU17" s="148"/>
      <c r="NV17" s="148"/>
      <c r="NW17" s="148"/>
      <c r="NX17" s="148"/>
      <c r="NY17" s="148"/>
      <c r="NZ17" s="148"/>
      <c r="OA17" s="148"/>
      <c r="OB17" s="148"/>
      <c r="OC17" s="148"/>
      <c r="OD17" s="148"/>
      <c r="OE17" s="148"/>
      <c r="OF17" s="148"/>
      <c r="OG17" s="148"/>
      <c r="OH17" s="148"/>
      <c r="OI17" s="148"/>
      <c r="OJ17" s="148"/>
      <c r="OK17" s="148"/>
      <c r="OL17" s="148"/>
      <c r="OM17" s="148"/>
      <c r="ON17" s="148"/>
      <c r="OO17" s="148"/>
      <c r="OP17" s="148"/>
      <c r="OQ17" s="148"/>
      <c r="OR17" s="148"/>
      <c r="OS17" s="148"/>
      <c r="OT17" s="148"/>
      <c r="OU17" s="148"/>
      <c r="OV17" s="148"/>
      <c r="OW17" s="148"/>
      <c r="OX17" s="148"/>
      <c r="OY17" s="148"/>
      <c r="OZ17" s="148"/>
      <c r="PA17" s="148"/>
      <c r="PB17" s="148"/>
      <c r="PC17" s="148"/>
      <c r="PD17" s="148"/>
      <c r="PE17" s="148"/>
      <c r="PF17" s="148"/>
      <c r="PG17" s="148"/>
      <c r="PH17" s="148"/>
      <c r="PI17" s="148"/>
      <c r="PJ17" s="148"/>
      <c r="PK17" s="148"/>
      <c r="PL17" s="148"/>
      <c r="PM17" s="148"/>
      <c r="PN17" s="148"/>
      <c r="PO17" s="148"/>
      <c r="PP17" s="148"/>
      <c r="PQ17" s="148"/>
      <c r="PR17" s="148"/>
      <c r="PS17" s="148"/>
      <c r="PT17" s="148"/>
      <c r="PU17" s="148"/>
      <c r="PV17" s="148"/>
      <c r="PW17" s="148"/>
      <c r="PX17" s="148"/>
      <c r="PY17" s="148"/>
      <c r="PZ17" s="148"/>
      <c r="QA17" s="148"/>
      <c r="QB17" s="148"/>
      <c r="QC17" s="148"/>
      <c r="QD17" s="148"/>
      <c r="QE17" s="148"/>
      <c r="QF17" s="148"/>
      <c r="QG17" s="148"/>
      <c r="QH17" s="148"/>
      <c r="QI17" s="148"/>
      <c r="QJ17" s="148"/>
      <c r="QK17" s="148"/>
      <c r="QL17" s="148"/>
      <c r="QM17" s="148"/>
      <c r="QN17" s="148"/>
      <c r="QO17" s="148"/>
      <c r="QP17" s="148"/>
      <c r="QQ17" s="148"/>
      <c r="QR17" s="148"/>
      <c r="QS17" s="148"/>
      <c r="QT17" s="148"/>
      <c r="QU17" s="148"/>
      <c r="QV17" s="148"/>
      <c r="QW17" s="148"/>
      <c r="QX17" s="148"/>
      <c r="QY17" s="148"/>
      <c r="QZ17" s="148"/>
      <c r="RA17" s="148"/>
      <c r="RB17" s="148"/>
      <c r="RC17" s="148"/>
      <c r="RD17" s="148"/>
      <c r="RE17" s="148"/>
      <c r="RF17" s="148"/>
      <c r="RG17" s="148"/>
      <c r="RH17" s="148"/>
      <c r="RI17" s="148"/>
      <c r="RJ17" s="148"/>
      <c r="RK17" s="148"/>
      <c r="RL17" s="148"/>
      <c r="RM17" s="148"/>
      <c r="RN17" s="148"/>
      <c r="RO17" s="148"/>
      <c r="RP17" s="148"/>
      <c r="RQ17" s="148"/>
      <c r="RR17" s="148"/>
    </row>
    <row r="18" spans="1:486" s="15" customFormat="1" x14ac:dyDescent="0.25">
      <c r="A18" s="148"/>
      <c r="B18" s="350">
        <v>3</v>
      </c>
      <c r="C18" s="641" t="s">
        <v>894</v>
      </c>
      <c r="D18" s="631">
        <v>20119065</v>
      </c>
      <c r="E18" s="344" t="s">
        <v>2699</v>
      </c>
      <c r="F18" s="344" t="s">
        <v>46</v>
      </c>
      <c r="G18" s="17" t="s">
        <v>2693</v>
      </c>
      <c r="H18" s="17" t="s">
        <v>2700</v>
      </c>
      <c r="I18" s="346" t="s">
        <v>43</v>
      </c>
      <c r="J18" s="341" t="s">
        <v>2701</v>
      </c>
      <c r="K18" s="633">
        <v>14888</v>
      </c>
      <c r="L18" s="633">
        <v>0</v>
      </c>
      <c r="M18" s="633">
        <v>0</v>
      </c>
      <c r="N18" s="633">
        <v>0</v>
      </c>
      <c r="O18" s="633">
        <v>0</v>
      </c>
      <c r="P18" s="633">
        <v>0</v>
      </c>
      <c r="Q18" s="633">
        <v>0</v>
      </c>
      <c r="R18" s="633">
        <v>0</v>
      </c>
      <c r="S18" s="633"/>
      <c r="T18" s="633"/>
      <c r="U18" s="633"/>
      <c r="V18" s="633"/>
      <c r="W18" s="633"/>
      <c r="X18" s="633"/>
      <c r="Y18" s="633">
        <f t="shared" si="1"/>
        <v>0</v>
      </c>
      <c r="Z18" s="407">
        <v>27040</v>
      </c>
      <c r="AA18" s="635" t="s">
        <v>296</v>
      </c>
      <c r="AB18" s="23">
        <v>44232</v>
      </c>
      <c r="AC18" s="23">
        <v>44250</v>
      </c>
      <c r="AD18" s="636"/>
      <c r="AE18" s="314"/>
      <c r="AF18" s="315"/>
      <c r="AG18" s="315"/>
      <c r="AH18" s="642"/>
      <c r="AI18" s="338"/>
      <c r="AJ18" s="315"/>
      <c r="AK18" s="316"/>
      <c r="AL18" s="589"/>
      <c r="AM18" s="338"/>
      <c r="AN18" s="315"/>
      <c r="AO18" s="25"/>
      <c r="AP18" s="589"/>
      <c r="AQ18" s="19"/>
      <c r="AR18" s="23"/>
      <c r="AS18" s="25"/>
      <c r="AT18" s="638">
        <f t="shared" si="2"/>
        <v>27040</v>
      </c>
      <c r="AU18" s="311">
        <f t="shared" si="0"/>
        <v>27040</v>
      </c>
      <c r="AV18" s="148"/>
      <c r="AW18" s="148"/>
      <c r="AX18" s="148"/>
      <c r="AY18" s="148"/>
      <c r="AZ18" s="148"/>
      <c r="BA18" s="148"/>
      <c r="BB18" s="148"/>
      <c r="BC18" s="148"/>
      <c r="BD18" s="148"/>
      <c r="BE18" s="148"/>
      <c r="BF18" s="148"/>
      <c r="BG18" s="148"/>
      <c r="BH18" s="148"/>
      <c r="BI18" s="148"/>
      <c r="BJ18" s="148"/>
      <c r="BK18" s="148"/>
      <c r="BL18" s="148"/>
      <c r="BM18" s="148"/>
      <c r="BN18" s="148"/>
      <c r="BO18" s="148"/>
      <c r="BP18" s="148"/>
      <c r="BQ18" s="148"/>
      <c r="BR18" s="148"/>
      <c r="BS18" s="148"/>
      <c r="BT18" s="148"/>
      <c r="BU18" s="148"/>
      <c r="BV18" s="148"/>
      <c r="BW18" s="148"/>
      <c r="BX18" s="148"/>
      <c r="BY18" s="148"/>
      <c r="BZ18" s="148"/>
      <c r="CA18" s="148"/>
      <c r="CB18" s="148"/>
      <c r="CC18" s="148"/>
      <c r="CD18" s="148"/>
      <c r="CE18" s="148"/>
      <c r="CF18" s="148"/>
      <c r="CG18" s="148"/>
      <c r="CH18" s="148"/>
      <c r="CI18" s="148"/>
      <c r="CJ18" s="148"/>
      <c r="CK18" s="148"/>
      <c r="CL18" s="148"/>
      <c r="CM18" s="148"/>
      <c r="CN18" s="148"/>
      <c r="CO18" s="148"/>
      <c r="CP18" s="148"/>
      <c r="CQ18" s="148"/>
      <c r="CR18" s="148"/>
      <c r="CS18" s="148"/>
      <c r="CT18" s="148"/>
      <c r="CU18" s="148"/>
      <c r="CV18" s="148"/>
      <c r="CW18" s="148"/>
      <c r="CX18" s="148"/>
      <c r="CY18" s="148"/>
      <c r="CZ18" s="148"/>
      <c r="DA18" s="148"/>
      <c r="DB18" s="148"/>
      <c r="DC18" s="148"/>
      <c r="DD18" s="148"/>
      <c r="DE18" s="148"/>
      <c r="DF18" s="148"/>
      <c r="DG18" s="148"/>
      <c r="DH18" s="148"/>
      <c r="DI18" s="148"/>
      <c r="DJ18" s="148"/>
      <c r="DK18" s="148"/>
      <c r="DL18" s="148"/>
      <c r="DM18" s="148"/>
      <c r="DN18" s="148"/>
      <c r="DO18" s="148"/>
      <c r="DP18" s="148"/>
      <c r="DQ18" s="148"/>
      <c r="DR18" s="148"/>
      <c r="DS18" s="148"/>
      <c r="DT18" s="148"/>
      <c r="DU18" s="148"/>
      <c r="DV18" s="148"/>
      <c r="DW18" s="148"/>
      <c r="DX18" s="148"/>
      <c r="DY18" s="148"/>
      <c r="DZ18" s="148"/>
      <c r="EA18" s="148"/>
      <c r="EB18" s="148"/>
      <c r="EC18" s="148"/>
      <c r="ED18" s="148"/>
      <c r="EE18" s="148"/>
      <c r="EF18" s="148"/>
      <c r="EG18" s="148"/>
      <c r="EH18" s="148"/>
      <c r="EI18" s="148"/>
      <c r="EJ18" s="148"/>
      <c r="EK18" s="148"/>
      <c r="EL18" s="148"/>
      <c r="EM18" s="148"/>
      <c r="EN18" s="148"/>
      <c r="EO18" s="148"/>
      <c r="EP18" s="148"/>
      <c r="EQ18" s="148"/>
      <c r="ER18" s="148"/>
      <c r="ES18" s="148"/>
      <c r="ET18" s="148"/>
      <c r="EU18" s="148"/>
      <c r="EV18" s="148"/>
      <c r="EW18" s="148"/>
      <c r="EX18" s="148"/>
      <c r="EY18" s="148"/>
      <c r="EZ18" s="148"/>
      <c r="FA18" s="148"/>
      <c r="FB18" s="148"/>
      <c r="FC18" s="148"/>
      <c r="FD18" s="148"/>
      <c r="FE18" s="148"/>
      <c r="FF18" s="148"/>
      <c r="FG18" s="148"/>
      <c r="FH18" s="148"/>
      <c r="FI18" s="148"/>
      <c r="FJ18" s="148"/>
      <c r="FK18" s="148"/>
      <c r="FL18" s="148"/>
      <c r="FM18" s="148"/>
      <c r="FN18" s="148"/>
      <c r="FO18" s="148"/>
      <c r="FP18" s="148"/>
      <c r="FQ18" s="148"/>
      <c r="FR18" s="148"/>
      <c r="FS18" s="148"/>
      <c r="FT18" s="148"/>
      <c r="FU18" s="148"/>
      <c r="FV18" s="148"/>
      <c r="FW18" s="148"/>
      <c r="FX18" s="148"/>
      <c r="FY18" s="148"/>
      <c r="FZ18" s="148"/>
      <c r="GA18" s="148"/>
      <c r="GB18" s="148"/>
      <c r="GC18" s="148"/>
      <c r="GD18" s="148"/>
      <c r="GE18" s="148"/>
      <c r="GF18" s="148"/>
      <c r="GG18" s="148"/>
      <c r="GH18" s="148"/>
      <c r="GI18" s="148"/>
      <c r="GJ18" s="148"/>
      <c r="GK18" s="148"/>
      <c r="GL18" s="148"/>
      <c r="GM18" s="148"/>
      <c r="GN18" s="148"/>
      <c r="GO18" s="148"/>
      <c r="GP18" s="148"/>
      <c r="GQ18" s="148"/>
      <c r="GR18" s="148"/>
      <c r="GS18" s="148"/>
      <c r="GT18" s="148"/>
      <c r="GU18" s="148"/>
      <c r="GV18" s="148"/>
      <c r="GW18" s="148"/>
      <c r="GX18" s="148"/>
      <c r="GY18" s="148"/>
      <c r="GZ18" s="148"/>
      <c r="HA18" s="148"/>
      <c r="HB18" s="148"/>
      <c r="HC18" s="148"/>
      <c r="HD18" s="148"/>
      <c r="HE18" s="148"/>
      <c r="HF18" s="148"/>
      <c r="HG18" s="148"/>
      <c r="HH18" s="148"/>
      <c r="HI18" s="148"/>
      <c r="HJ18" s="148"/>
      <c r="HK18" s="148"/>
      <c r="HL18" s="148"/>
      <c r="HM18" s="148"/>
      <c r="HN18" s="148"/>
      <c r="HO18" s="148"/>
      <c r="HP18" s="148"/>
      <c r="HQ18" s="148"/>
      <c r="HR18" s="148"/>
      <c r="HS18" s="148"/>
      <c r="HT18" s="148"/>
      <c r="HU18" s="148"/>
      <c r="HV18" s="148"/>
      <c r="HW18" s="148"/>
      <c r="HX18" s="148"/>
      <c r="HY18" s="148"/>
      <c r="HZ18" s="148"/>
      <c r="IA18" s="148"/>
      <c r="IB18" s="148"/>
      <c r="IC18" s="148"/>
      <c r="ID18" s="148"/>
      <c r="IE18" s="148"/>
      <c r="IF18" s="148"/>
      <c r="IG18" s="148"/>
      <c r="IH18" s="148"/>
      <c r="II18" s="148"/>
      <c r="IJ18" s="148"/>
      <c r="IK18" s="148"/>
      <c r="IL18" s="148"/>
      <c r="IM18" s="148"/>
      <c r="IN18" s="148"/>
      <c r="IO18" s="148"/>
      <c r="IP18" s="148"/>
      <c r="IQ18" s="148"/>
      <c r="IR18" s="148"/>
      <c r="IS18" s="148"/>
      <c r="IT18" s="148"/>
      <c r="IU18" s="148"/>
      <c r="IV18" s="148"/>
      <c r="IW18" s="148"/>
      <c r="IX18" s="148"/>
      <c r="IY18" s="148"/>
      <c r="IZ18" s="148"/>
      <c r="JA18" s="148"/>
      <c r="JB18" s="148"/>
      <c r="JC18" s="148"/>
      <c r="JD18" s="148"/>
      <c r="JE18" s="148"/>
      <c r="JF18" s="148"/>
      <c r="JG18" s="148"/>
      <c r="JH18" s="148"/>
      <c r="JI18" s="148"/>
      <c r="JJ18" s="148"/>
      <c r="JK18" s="148"/>
      <c r="JL18" s="148"/>
      <c r="JM18" s="148"/>
      <c r="JN18" s="148"/>
      <c r="JO18" s="148"/>
      <c r="JP18" s="148"/>
      <c r="JQ18" s="148"/>
      <c r="JR18" s="148"/>
      <c r="JS18" s="148"/>
      <c r="JT18" s="148"/>
      <c r="JU18" s="148"/>
      <c r="JV18" s="148"/>
      <c r="JW18" s="148"/>
      <c r="JX18" s="148"/>
      <c r="JY18" s="148"/>
      <c r="JZ18" s="148"/>
      <c r="KA18" s="148"/>
      <c r="KB18" s="148"/>
      <c r="KC18" s="148"/>
      <c r="KD18" s="148"/>
      <c r="KE18" s="148"/>
      <c r="KF18" s="148"/>
      <c r="KG18" s="148"/>
      <c r="KH18" s="148"/>
      <c r="KI18" s="148"/>
      <c r="KJ18" s="148"/>
      <c r="KK18" s="148"/>
      <c r="KL18" s="148"/>
      <c r="KM18" s="148"/>
      <c r="KN18" s="148"/>
      <c r="KO18" s="148"/>
      <c r="KP18" s="148"/>
      <c r="KQ18" s="148"/>
      <c r="KR18" s="148"/>
      <c r="KS18" s="148"/>
      <c r="KT18" s="148"/>
      <c r="KU18" s="148"/>
      <c r="KV18" s="148"/>
      <c r="KW18" s="148"/>
      <c r="KX18" s="148"/>
      <c r="KY18" s="148"/>
      <c r="KZ18" s="148"/>
      <c r="LA18" s="148"/>
      <c r="LB18" s="148"/>
      <c r="LC18" s="148"/>
      <c r="LD18" s="148"/>
      <c r="LE18" s="148"/>
      <c r="LF18" s="148"/>
      <c r="LG18" s="148"/>
      <c r="LH18" s="148"/>
      <c r="LI18" s="148"/>
      <c r="LJ18" s="148"/>
      <c r="LK18" s="148"/>
      <c r="LL18" s="148"/>
      <c r="LM18" s="148"/>
      <c r="LN18" s="148"/>
      <c r="LO18" s="148"/>
      <c r="LP18" s="148"/>
      <c r="LQ18" s="148"/>
      <c r="LR18" s="148"/>
      <c r="LS18" s="148"/>
      <c r="LT18" s="148"/>
      <c r="LU18" s="148"/>
      <c r="LV18" s="148"/>
      <c r="LW18" s="148"/>
      <c r="LX18" s="148"/>
      <c r="LY18" s="148"/>
      <c r="LZ18" s="148"/>
      <c r="MA18" s="148"/>
      <c r="MB18" s="148"/>
      <c r="MC18" s="148"/>
      <c r="MD18" s="148"/>
      <c r="ME18" s="148"/>
      <c r="MF18" s="148"/>
      <c r="MG18" s="148"/>
      <c r="MH18" s="148"/>
      <c r="MI18" s="148"/>
      <c r="MJ18" s="148"/>
      <c r="MK18" s="148"/>
      <c r="ML18" s="148"/>
      <c r="MM18" s="148"/>
      <c r="MN18" s="148"/>
      <c r="MO18" s="148"/>
      <c r="MP18" s="148"/>
      <c r="MQ18" s="148"/>
      <c r="MR18" s="148"/>
      <c r="MS18" s="148"/>
      <c r="MT18" s="148"/>
      <c r="MU18" s="148"/>
      <c r="MV18" s="148"/>
      <c r="MW18" s="148"/>
      <c r="MX18" s="148"/>
      <c r="MY18" s="148"/>
      <c r="MZ18" s="148"/>
      <c r="NA18" s="148"/>
      <c r="NB18" s="148"/>
      <c r="NC18" s="148"/>
      <c r="ND18" s="148"/>
      <c r="NE18" s="148"/>
      <c r="NF18" s="148"/>
      <c r="NG18" s="148"/>
      <c r="NH18" s="148"/>
      <c r="NI18" s="148"/>
      <c r="NJ18" s="148"/>
      <c r="NK18" s="148"/>
      <c r="NL18" s="148"/>
      <c r="NM18" s="148"/>
      <c r="NN18" s="148"/>
      <c r="NO18" s="148"/>
      <c r="NP18" s="148"/>
      <c r="NQ18" s="148"/>
      <c r="NR18" s="148"/>
      <c r="NS18" s="148"/>
      <c r="NT18" s="148"/>
      <c r="NU18" s="148"/>
      <c r="NV18" s="148"/>
      <c r="NW18" s="148"/>
      <c r="NX18" s="148"/>
      <c r="NY18" s="148"/>
      <c r="NZ18" s="148"/>
      <c r="OA18" s="148"/>
      <c r="OB18" s="148"/>
      <c r="OC18" s="148"/>
      <c r="OD18" s="148"/>
      <c r="OE18" s="148"/>
      <c r="OF18" s="148"/>
      <c r="OG18" s="148"/>
      <c r="OH18" s="148"/>
      <c r="OI18" s="148"/>
      <c r="OJ18" s="148"/>
      <c r="OK18" s="148"/>
      <c r="OL18" s="148"/>
      <c r="OM18" s="148"/>
      <c r="ON18" s="148"/>
      <c r="OO18" s="148"/>
      <c r="OP18" s="148"/>
      <c r="OQ18" s="148"/>
      <c r="OR18" s="148"/>
      <c r="OS18" s="148"/>
      <c r="OT18" s="148"/>
      <c r="OU18" s="148"/>
      <c r="OV18" s="148"/>
      <c r="OW18" s="148"/>
      <c r="OX18" s="148"/>
      <c r="OY18" s="148"/>
      <c r="OZ18" s="148"/>
      <c r="PA18" s="148"/>
      <c r="PB18" s="148"/>
      <c r="PC18" s="148"/>
      <c r="PD18" s="148"/>
      <c r="PE18" s="148"/>
      <c r="PF18" s="148"/>
      <c r="PG18" s="148"/>
      <c r="PH18" s="148"/>
      <c r="PI18" s="148"/>
      <c r="PJ18" s="148"/>
      <c r="PK18" s="148"/>
      <c r="PL18" s="148"/>
      <c r="PM18" s="148"/>
      <c r="PN18" s="148"/>
      <c r="PO18" s="148"/>
      <c r="PP18" s="148"/>
      <c r="PQ18" s="148"/>
      <c r="PR18" s="148"/>
      <c r="PS18" s="148"/>
      <c r="PT18" s="148"/>
      <c r="PU18" s="148"/>
      <c r="PV18" s="148"/>
      <c r="PW18" s="148"/>
      <c r="PX18" s="148"/>
      <c r="PY18" s="148"/>
      <c r="PZ18" s="148"/>
      <c r="QA18" s="148"/>
      <c r="QB18" s="148"/>
      <c r="QC18" s="148"/>
      <c r="QD18" s="148"/>
      <c r="QE18" s="148"/>
      <c r="QF18" s="148"/>
      <c r="QG18" s="148"/>
      <c r="QH18" s="148"/>
      <c r="QI18" s="148"/>
      <c r="QJ18" s="148"/>
      <c r="QK18" s="148"/>
      <c r="QL18" s="148"/>
      <c r="QM18" s="148"/>
      <c r="QN18" s="148"/>
      <c r="QO18" s="148"/>
      <c r="QP18" s="148"/>
      <c r="QQ18" s="148"/>
      <c r="QR18" s="148"/>
      <c r="QS18" s="148"/>
      <c r="QT18" s="148"/>
      <c r="QU18" s="148"/>
      <c r="QV18" s="148"/>
      <c r="QW18" s="148"/>
      <c r="QX18" s="148"/>
      <c r="QY18" s="148"/>
      <c r="QZ18" s="148"/>
      <c r="RA18" s="148"/>
      <c r="RB18" s="148"/>
      <c r="RC18" s="148"/>
      <c r="RD18" s="148"/>
      <c r="RE18" s="148"/>
      <c r="RF18" s="148"/>
      <c r="RG18" s="148"/>
      <c r="RH18" s="148"/>
      <c r="RI18" s="148"/>
      <c r="RJ18" s="148"/>
      <c r="RK18" s="148"/>
      <c r="RL18" s="148"/>
      <c r="RM18" s="148"/>
      <c r="RN18" s="148"/>
      <c r="RO18" s="148"/>
      <c r="RP18" s="148"/>
      <c r="RQ18" s="148"/>
      <c r="RR18" s="148"/>
    </row>
    <row r="19" spans="1:486" s="15" customFormat="1" ht="20.25" customHeight="1" x14ac:dyDescent="0.25">
      <c r="A19" s="148"/>
      <c r="B19" s="350">
        <v>4</v>
      </c>
      <c r="C19" s="643" t="s">
        <v>894</v>
      </c>
      <c r="D19" s="631">
        <v>30002297</v>
      </c>
      <c r="E19" s="344" t="s">
        <v>2702</v>
      </c>
      <c r="F19" s="344" t="s">
        <v>45</v>
      </c>
      <c r="G19" s="17" t="s">
        <v>2693</v>
      </c>
      <c r="H19" s="17" t="s">
        <v>2703</v>
      </c>
      <c r="I19" s="346" t="s">
        <v>42</v>
      </c>
      <c r="J19" s="341" t="s">
        <v>2704</v>
      </c>
      <c r="K19" s="633">
        <v>0</v>
      </c>
      <c r="L19" s="633">
        <v>438576</v>
      </c>
      <c r="M19" s="633">
        <v>0</v>
      </c>
      <c r="N19" s="633">
        <v>0</v>
      </c>
      <c r="O19" s="633">
        <v>50064</v>
      </c>
      <c r="P19" s="633">
        <v>0</v>
      </c>
      <c r="Q19" s="633">
        <v>0</v>
      </c>
      <c r="R19" s="639">
        <v>126062</v>
      </c>
      <c r="S19" s="633"/>
      <c r="T19" s="633"/>
      <c r="U19" s="633"/>
      <c r="V19" s="633"/>
      <c r="W19" s="633"/>
      <c r="X19" s="633"/>
      <c r="Y19" s="633">
        <f t="shared" si="1"/>
        <v>176126</v>
      </c>
      <c r="Z19" s="407">
        <v>315000</v>
      </c>
      <c r="AA19" s="635" t="s">
        <v>296</v>
      </c>
      <c r="AB19" s="23">
        <v>44232</v>
      </c>
      <c r="AC19" s="23">
        <v>44250</v>
      </c>
      <c r="AD19" s="640">
        <v>285000</v>
      </c>
      <c r="AE19" s="19">
        <v>25</v>
      </c>
      <c r="AF19" s="315">
        <v>44312</v>
      </c>
      <c r="AG19" s="315">
        <v>44328</v>
      </c>
      <c r="AH19" s="637"/>
      <c r="AI19" s="338"/>
      <c r="AJ19" s="315"/>
      <c r="AK19" s="316"/>
      <c r="AL19" s="57"/>
      <c r="AM19" s="338"/>
      <c r="AN19" s="315"/>
      <c r="AO19" s="25"/>
      <c r="AP19" s="57"/>
      <c r="AQ19" s="19"/>
      <c r="AR19" s="23"/>
      <c r="AS19" s="25"/>
      <c r="AT19" s="638">
        <f t="shared" si="2"/>
        <v>600000</v>
      </c>
      <c r="AU19" s="311">
        <f t="shared" si="0"/>
        <v>423874</v>
      </c>
      <c r="AV19" s="148"/>
      <c r="AW19" s="148"/>
      <c r="AX19" s="148"/>
      <c r="AY19" s="148"/>
      <c r="AZ19" s="148"/>
      <c r="BA19" s="148"/>
      <c r="BB19" s="148"/>
      <c r="BC19" s="148"/>
      <c r="BD19" s="148"/>
      <c r="BE19" s="148"/>
      <c r="BF19" s="148"/>
      <c r="BG19" s="148"/>
      <c r="BH19" s="148"/>
      <c r="BI19" s="148"/>
      <c r="BJ19" s="148"/>
      <c r="BK19" s="148"/>
      <c r="BL19" s="148"/>
      <c r="BM19" s="148"/>
      <c r="BN19" s="148"/>
      <c r="BO19" s="148"/>
      <c r="BP19" s="148"/>
      <c r="BQ19" s="148"/>
      <c r="BR19" s="148"/>
      <c r="BS19" s="148"/>
      <c r="BT19" s="148"/>
      <c r="BU19" s="148"/>
      <c r="BV19" s="148"/>
      <c r="BW19" s="148"/>
      <c r="BX19" s="148"/>
      <c r="BY19" s="148"/>
      <c r="BZ19" s="148"/>
      <c r="CA19" s="148"/>
      <c r="CB19" s="148"/>
      <c r="CC19" s="148"/>
      <c r="CD19" s="148"/>
      <c r="CE19" s="148"/>
      <c r="CF19" s="148"/>
      <c r="CG19" s="148"/>
      <c r="CH19" s="148"/>
      <c r="CI19" s="148"/>
      <c r="CJ19" s="148"/>
      <c r="CK19" s="148"/>
      <c r="CL19" s="148"/>
      <c r="CM19" s="148"/>
      <c r="CN19" s="148"/>
      <c r="CO19" s="148"/>
      <c r="CP19" s="148"/>
      <c r="CQ19" s="148"/>
      <c r="CR19" s="148"/>
      <c r="CS19" s="148"/>
      <c r="CT19" s="148"/>
      <c r="CU19" s="148"/>
      <c r="CV19" s="148"/>
      <c r="CW19" s="148"/>
      <c r="CX19" s="148"/>
      <c r="CY19" s="148"/>
      <c r="CZ19" s="148"/>
      <c r="DA19" s="148"/>
      <c r="DB19" s="148"/>
      <c r="DC19" s="148"/>
      <c r="DD19" s="148"/>
      <c r="DE19" s="148"/>
      <c r="DF19" s="148"/>
      <c r="DG19" s="148"/>
      <c r="DH19" s="148"/>
      <c r="DI19" s="148"/>
      <c r="DJ19" s="148"/>
      <c r="DK19" s="148"/>
      <c r="DL19" s="148"/>
      <c r="DM19" s="148"/>
      <c r="DN19" s="148"/>
      <c r="DO19" s="148"/>
      <c r="DP19" s="148"/>
      <c r="DQ19" s="148"/>
      <c r="DR19" s="148"/>
      <c r="DS19" s="148"/>
      <c r="DT19" s="148"/>
      <c r="DU19" s="148"/>
      <c r="DV19" s="148"/>
      <c r="DW19" s="148"/>
      <c r="DX19" s="148"/>
      <c r="DY19" s="148"/>
      <c r="DZ19" s="148"/>
      <c r="EA19" s="148"/>
      <c r="EB19" s="148"/>
      <c r="EC19" s="148"/>
      <c r="ED19" s="148"/>
      <c r="EE19" s="148"/>
      <c r="EF19" s="148"/>
      <c r="EG19" s="148"/>
      <c r="EH19" s="148"/>
      <c r="EI19" s="148"/>
      <c r="EJ19" s="148"/>
      <c r="EK19" s="148"/>
      <c r="EL19" s="148"/>
      <c r="EM19" s="148"/>
      <c r="EN19" s="148"/>
      <c r="EO19" s="148"/>
      <c r="EP19" s="148"/>
      <c r="EQ19" s="148"/>
      <c r="ER19" s="148"/>
      <c r="ES19" s="148"/>
      <c r="ET19" s="148"/>
      <c r="EU19" s="148"/>
      <c r="EV19" s="148"/>
      <c r="EW19" s="148"/>
      <c r="EX19" s="148"/>
      <c r="EY19" s="148"/>
      <c r="EZ19" s="148"/>
      <c r="FA19" s="148"/>
      <c r="FB19" s="148"/>
      <c r="FC19" s="148"/>
      <c r="FD19" s="148"/>
      <c r="FE19" s="148"/>
      <c r="FF19" s="148"/>
      <c r="FG19" s="148"/>
      <c r="FH19" s="148"/>
      <c r="FI19" s="148"/>
      <c r="FJ19" s="148"/>
      <c r="FK19" s="148"/>
      <c r="FL19" s="148"/>
      <c r="FM19" s="148"/>
      <c r="FN19" s="148"/>
      <c r="FO19" s="148"/>
      <c r="FP19" s="148"/>
      <c r="FQ19" s="148"/>
      <c r="FR19" s="148"/>
      <c r="FS19" s="148"/>
      <c r="FT19" s="148"/>
      <c r="FU19" s="148"/>
      <c r="FV19" s="148"/>
      <c r="FW19" s="148"/>
      <c r="FX19" s="148"/>
      <c r="FY19" s="148"/>
      <c r="FZ19" s="148"/>
      <c r="GA19" s="148"/>
      <c r="GB19" s="148"/>
      <c r="GC19" s="148"/>
      <c r="GD19" s="148"/>
      <c r="GE19" s="148"/>
      <c r="GF19" s="148"/>
      <c r="GG19" s="148"/>
      <c r="GH19" s="148"/>
      <c r="GI19" s="148"/>
      <c r="GJ19" s="148"/>
      <c r="GK19" s="148"/>
      <c r="GL19" s="148"/>
      <c r="GM19" s="148"/>
      <c r="GN19" s="148"/>
      <c r="GO19" s="148"/>
      <c r="GP19" s="148"/>
      <c r="GQ19" s="148"/>
      <c r="GR19" s="148"/>
      <c r="GS19" s="148"/>
      <c r="GT19" s="148"/>
      <c r="GU19" s="148"/>
      <c r="GV19" s="148"/>
      <c r="GW19" s="148"/>
      <c r="GX19" s="148"/>
      <c r="GY19" s="148"/>
      <c r="GZ19" s="148"/>
      <c r="HA19" s="148"/>
      <c r="HB19" s="148"/>
      <c r="HC19" s="148"/>
      <c r="HD19" s="148"/>
      <c r="HE19" s="148"/>
      <c r="HF19" s="148"/>
      <c r="HG19" s="148"/>
      <c r="HH19" s="148"/>
      <c r="HI19" s="148"/>
      <c r="HJ19" s="148"/>
      <c r="HK19" s="148"/>
      <c r="HL19" s="148"/>
      <c r="HM19" s="148"/>
      <c r="HN19" s="148"/>
      <c r="HO19" s="148"/>
      <c r="HP19" s="148"/>
      <c r="HQ19" s="148"/>
      <c r="HR19" s="148"/>
      <c r="HS19" s="148"/>
      <c r="HT19" s="148"/>
      <c r="HU19" s="148"/>
      <c r="HV19" s="148"/>
      <c r="HW19" s="148"/>
      <c r="HX19" s="148"/>
      <c r="HY19" s="148"/>
      <c r="HZ19" s="148"/>
      <c r="IA19" s="148"/>
      <c r="IB19" s="148"/>
      <c r="IC19" s="148"/>
      <c r="ID19" s="148"/>
      <c r="IE19" s="148"/>
      <c r="IF19" s="148"/>
      <c r="IG19" s="148"/>
      <c r="IH19" s="148"/>
      <c r="II19" s="148"/>
      <c r="IJ19" s="148"/>
      <c r="IK19" s="148"/>
      <c r="IL19" s="148"/>
      <c r="IM19" s="148"/>
      <c r="IN19" s="148"/>
      <c r="IO19" s="148"/>
      <c r="IP19" s="148"/>
      <c r="IQ19" s="148"/>
      <c r="IR19" s="148"/>
      <c r="IS19" s="148"/>
      <c r="IT19" s="148"/>
      <c r="IU19" s="148"/>
      <c r="IV19" s="148"/>
      <c r="IW19" s="148"/>
      <c r="IX19" s="148"/>
      <c r="IY19" s="148"/>
      <c r="IZ19" s="148"/>
      <c r="JA19" s="148"/>
      <c r="JB19" s="148"/>
      <c r="JC19" s="148"/>
      <c r="JD19" s="148"/>
      <c r="JE19" s="148"/>
      <c r="JF19" s="148"/>
      <c r="JG19" s="148"/>
      <c r="JH19" s="148"/>
      <c r="JI19" s="148"/>
      <c r="JJ19" s="148"/>
      <c r="JK19" s="148"/>
      <c r="JL19" s="148"/>
      <c r="JM19" s="148"/>
      <c r="JN19" s="148"/>
      <c r="JO19" s="148"/>
      <c r="JP19" s="148"/>
      <c r="JQ19" s="148"/>
      <c r="JR19" s="148"/>
      <c r="JS19" s="148"/>
      <c r="JT19" s="148"/>
      <c r="JU19" s="148"/>
      <c r="JV19" s="148"/>
      <c r="JW19" s="148"/>
      <c r="JX19" s="148"/>
      <c r="JY19" s="148"/>
      <c r="JZ19" s="148"/>
      <c r="KA19" s="148"/>
      <c r="KB19" s="148"/>
      <c r="KC19" s="148"/>
      <c r="KD19" s="148"/>
      <c r="KE19" s="148"/>
      <c r="KF19" s="148"/>
      <c r="KG19" s="148"/>
      <c r="KH19" s="148"/>
      <c r="KI19" s="148"/>
      <c r="KJ19" s="148"/>
      <c r="KK19" s="148"/>
      <c r="KL19" s="148"/>
      <c r="KM19" s="148"/>
      <c r="KN19" s="148"/>
      <c r="KO19" s="148"/>
      <c r="KP19" s="148"/>
      <c r="KQ19" s="148"/>
      <c r="KR19" s="148"/>
      <c r="KS19" s="148"/>
      <c r="KT19" s="148"/>
      <c r="KU19" s="148"/>
      <c r="KV19" s="148"/>
      <c r="KW19" s="148"/>
      <c r="KX19" s="148"/>
      <c r="KY19" s="148"/>
      <c r="KZ19" s="148"/>
      <c r="LA19" s="148"/>
      <c r="LB19" s="148"/>
      <c r="LC19" s="148"/>
      <c r="LD19" s="148"/>
      <c r="LE19" s="148"/>
      <c r="LF19" s="148"/>
      <c r="LG19" s="148"/>
      <c r="LH19" s="148"/>
      <c r="LI19" s="148"/>
      <c r="LJ19" s="148"/>
      <c r="LK19" s="148"/>
      <c r="LL19" s="148"/>
      <c r="LM19" s="148"/>
      <c r="LN19" s="148"/>
      <c r="LO19" s="148"/>
      <c r="LP19" s="148"/>
      <c r="LQ19" s="148"/>
      <c r="LR19" s="148"/>
      <c r="LS19" s="148"/>
      <c r="LT19" s="148"/>
      <c r="LU19" s="148"/>
      <c r="LV19" s="148"/>
      <c r="LW19" s="148"/>
      <c r="LX19" s="148"/>
      <c r="LY19" s="148"/>
      <c r="LZ19" s="148"/>
      <c r="MA19" s="148"/>
      <c r="MB19" s="148"/>
      <c r="MC19" s="148"/>
      <c r="MD19" s="148"/>
      <c r="ME19" s="148"/>
      <c r="MF19" s="148"/>
      <c r="MG19" s="148"/>
      <c r="MH19" s="148"/>
      <c r="MI19" s="148"/>
      <c r="MJ19" s="148"/>
      <c r="MK19" s="148"/>
      <c r="ML19" s="148"/>
      <c r="MM19" s="148"/>
      <c r="MN19" s="148"/>
      <c r="MO19" s="148"/>
      <c r="MP19" s="148"/>
      <c r="MQ19" s="148"/>
      <c r="MR19" s="148"/>
      <c r="MS19" s="148"/>
      <c r="MT19" s="148"/>
      <c r="MU19" s="148"/>
      <c r="MV19" s="148"/>
      <c r="MW19" s="148"/>
      <c r="MX19" s="148"/>
      <c r="MY19" s="148"/>
      <c r="MZ19" s="148"/>
      <c r="NA19" s="148"/>
      <c r="NB19" s="148"/>
      <c r="NC19" s="148"/>
      <c r="ND19" s="148"/>
      <c r="NE19" s="148"/>
      <c r="NF19" s="148"/>
      <c r="NG19" s="148"/>
      <c r="NH19" s="148"/>
      <c r="NI19" s="148"/>
      <c r="NJ19" s="148"/>
      <c r="NK19" s="148"/>
      <c r="NL19" s="148"/>
      <c r="NM19" s="148"/>
      <c r="NN19" s="148"/>
      <c r="NO19" s="148"/>
      <c r="NP19" s="148"/>
      <c r="NQ19" s="148"/>
      <c r="NR19" s="148"/>
      <c r="NS19" s="148"/>
      <c r="NT19" s="148"/>
      <c r="NU19" s="148"/>
      <c r="NV19" s="148"/>
      <c r="NW19" s="148"/>
      <c r="NX19" s="148"/>
      <c r="NY19" s="148"/>
      <c r="NZ19" s="148"/>
      <c r="OA19" s="148"/>
      <c r="OB19" s="148"/>
      <c r="OC19" s="148"/>
      <c r="OD19" s="148"/>
      <c r="OE19" s="148"/>
      <c r="OF19" s="148"/>
      <c r="OG19" s="148"/>
      <c r="OH19" s="148"/>
      <c r="OI19" s="148"/>
      <c r="OJ19" s="148"/>
      <c r="OK19" s="148"/>
      <c r="OL19" s="148"/>
      <c r="OM19" s="148"/>
      <c r="ON19" s="148"/>
      <c r="OO19" s="148"/>
      <c r="OP19" s="148"/>
      <c r="OQ19" s="148"/>
      <c r="OR19" s="148"/>
      <c r="OS19" s="148"/>
      <c r="OT19" s="148"/>
      <c r="OU19" s="148"/>
      <c r="OV19" s="148"/>
      <c r="OW19" s="148"/>
      <c r="OX19" s="148"/>
      <c r="OY19" s="148"/>
      <c r="OZ19" s="148"/>
      <c r="PA19" s="148"/>
      <c r="PB19" s="148"/>
      <c r="PC19" s="148"/>
      <c r="PD19" s="148"/>
      <c r="PE19" s="148"/>
      <c r="PF19" s="148"/>
      <c r="PG19" s="148"/>
      <c r="PH19" s="148"/>
      <c r="PI19" s="148"/>
      <c r="PJ19" s="148"/>
      <c r="PK19" s="148"/>
      <c r="PL19" s="148"/>
      <c r="PM19" s="148"/>
      <c r="PN19" s="148"/>
      <c r="PO19" s="148"/>
      <c r="PP19" s="148"/>
      <c r="PQ19" s="148"/>
      <c r="PR19" s="148"/>
      <c r="PS19" s="148"/>
      <c r="PT19" s="148"/>
      <c r="PU19" s="148"/>
      <c r="PV19" s="148"/>
      <c r="PW19" s="148"/>
      <c r="PX19" s="148"/>
      <c r="PY19" s="148"/>
      <c r="PZ19" s="148"/>
      <c r="QA19" s="148"/>
      <c r="QB19" s="148"/>
      <c r="QC19" s="148"/>
      <c r="QD19" s="148"/>
      <c r="QE19" s="148"/>
      <c r="QF19" s="148"/>
      <c r="QG19" s="148"/>
      <c r="QH19" s="148"/>
      <c r="QI19" s="148"/>
      <c r="QJ19" s="148"/>
      <c r="QK19" s="148"/>
      <c r="QL19" s="148"/>
      <c r="QM19" s="148"/>
      <c r="QN19" s="148"/>
      <c r="QO19" s="148"/>
      <c r="QP19" s="148"/>
      <c r="QQ19" s="148"/>
      <c r="QR19" s="148"/>
      <c r="QS19" s="148"/>
      <c r="QT19" s="148"/>
      <c r="QU19" s="148"/>
      <c r="QV19" s="148"/>
      <c r="QW19" s="148"/>
      <c r="QX19" s="148"/>
      <c r="QY19" s="148"/>
      <c r="QZ19" s="148"/>
      <c r="RA19" s="148"/>
      <c r="RB19" s="148"/>
      <c r="RC19" s="148"/>
      <c r="RD19" s="148"/>
      <c r="RE19" s="148"/>
      <c r="RF19" s="148"/>
      <c r="RG19" s="148"/>
      <c r="RH19" s="148"/>
      <c r="RI19" s="148"/>
      <c r="RJ19" s="148"/>
      <c r="RK19" s="148"/>
      <c r="RL19" s="148"/>
      <c r="RM19" s="148"/>
      <c r="RN19" s="148"/>
      <c r="RO19" s="148"/>
      <c r="RP19" s="148"/>
      <c r="RQ19" s="148"/>
      <c r="RR19" s="148"/>
    </row>
    <row r="20" spans="1:486" s="15" customFormat="1" x14ac:dyDescent="0.25">
      <c r="A20" s="148"/>
      <c r="B20" s="350">
        <v>5</v>
      </c>
      <c r="C20" s="641" t="s">
        <v>894</v>
      </c>
      <c r="D20" s="631">
        <v>30202824</v>
      </c>
      <c r="E20" s="344" t="s">
        <v>2705</v>
      </c>
      <c r="F20" s="344" t="s">
        <v>46</v>
      </c>
      <c r="G20" s="17" t="s">
        <v>2693</v>
      </c>
      <c r="H20" s="17" t="s">
        <v>2706</v>
      </c>
      <c r="I20" s="346" t="s">
        <v>43</v>
      </c>
      <c r="J20" s="341" t="s">
        <v>2707</v>
      </c>
      <c r="K20" s="633">
        <v>107857</v>
      </c>
      <c r="L20" s="633">
        <v>6590</v>
      </c>
      <c r="M20" s="633">
        <v>0</v>
      </c>
      <c r="N20" s="633">
        <v>0</v>
      </c>
      <c r="O20" s="633">
        <v>15462</v>
      </c>
      <c r="P20" s="633"/>
      <c r="Q20" s="633">
        <v>0</v>
      </c>
      <c r="R20" s="639">
        <v>16828</v>
      </c>
      <c r="S20" s="633"/>
      <c r="T20" s="633"/>
      <c r="U20" s="633"/>
      <c r="V20" s="633"/>
      <c r="W20" s="633"/>
      <c r="X20" s="633"/>
      <c r="Y20" s="633">
        <f t="shared" si="1"/>
        <v>32290</v>
      </c>
      <c r="Z20" s="407">
        <v>67851</v>
      </c>
      <c r="AA20" s="635" t="s">
        <v>296</v>
      </c>
      <c r="AB20" s="23">
        <v>44232</v>
      </c>
      <c r="AC20" s="23">
        <v>44250</v>
      </c>
      <c r="AD20" s="640">
        <v>10000</v>
      </c>
      <c r="AE20" s="19">
        <v>25</v>
      </c>
      <c r="AF20" s="315">
        <v>44312</v>
      </c>
      <c r="AG20" s="315">
        <v>44328</v>
      </c>
      <c r="AH20" s="637"/>
      <c r="AI20" s="338"/>
      <c r="AJ20" s="315"/>
      <c r="AK20" s="316"/>
      <c r="AL20" s="57"/>
      <c r="AM20" s="338"/>
      <c r="AN20" s="315"/>
      <c r="AO20" s="25"/>
      <c r="AP20" s="57"/>
      <c r="AQ20" s="19"/>
      <c r="AR20" s="23"/>
      <c r="AS20" s="25"/>
      <c r="AT20" s="638">
        <f t="shared" si="2"/>
        <v>77851</v>
      </c>
      <c r="AU20" s="311">
        <f t="shared" si="0"/>
        <v>45561</v>
      </c>
      <c r="AV20" s="148"/>
      <c r="AW20" s="148"/>
      <c r="AX20" s="148"/>
      <c r="AY20" s="148"/>
      <c r="AZ20" s="148"/>
      <c r="BA20" s="148"/>
      <c r="BB20" s="148"/>
      <c r="BC20" s="148"/>
      <c r="BD20" s="148"/>
      <c r="BE20" s="148"/>
      <c r="BF20" s="148"/>
      <c r="BG20" s="148"/>
      <c r="BH20" s="148"/>
      <c r="BI20" s="148"/>
      <c r="BJ20" s="148"/>
      <c r="BK20" s="148"/>
      <c r="BL20" s="148"/>
      <c r="BM20" s="148"/>
      <c r="BN20" s="148"/>
      <c r="BO20" s="148"/>
      <c r="BP20" s="148"/>
      <c r="BQ20" s="148"/>
      <c r="BR20" s="148"/>
      <c r="BS20" s="148"/>
      <c r="BT20" s="148"/>
      <c r="BU20" s="148"/>
      <c r="BV20" s="148"/>
      <c r="BW20" s="148"/>
      <c r="BX20" s="148"/>
      <c r="BY20" s="148"/>
      <c r="BZ20" s="148"/>
      <c r="CA20" s="148"/>
      <c r="CB20" s="148"/>
      <c r="CC20" s="148"/>
      <c r="CD20" s="148"/>
      <c r="CE20" s="148"/>
      <c r="CF20" s="148"/>
      <c r="CG20" s="148"/>
      <c r="CH20" s="148"/>
      <c r="CI20" s="148"/>
      <c r="CJ20" s="148"/>
      <c r="CK20" s="148"/>
      <c r="CL20" s="148"/>
      <c r="CM20" s="148"/>
      <c r="CN20" s="148"/>
      <c r="CO20" s="148"/>
      <c r="CP20" s="148"/>
      <c r="CQ20" s="148"/>
      <c r="CR20" s="148"/>
      <c r="CS20" s="148"/>
      <c r="CT20" s="148"/>
      <c r="CU20" s="148"/>
      <c r="CV20" s="148"/>
      <c r="CW20" s="148"/>
      <c r="CX20" s="148"/>
      <c r="CY20" s="148"/>
      <c r="CZ20" s="148"/>
      <c r="DA20" s="148"/>
      <c r="DB20" s="148"/>
      <c r="DC20" s="148"/>
      <c r="DD20" s="148"/>
      <c r="DE20" s="148"/>
      <c r="DF20" s="148"/>
      <c r="DG20" s="148"/>
      <c r="DH20" s="148"/>
      <c r="DI20" s="148"/>
      <c r="DJ20" s="148"/>
      <c r="DK20" s="148"/>
      <c r="DL20" s="148"/>
      <c r="DM20" s="148"/>
      <c r="DN20" s="148"/>
      <c r="DO20" s="148"/>
      <c r="DP20" s="148"/>
      <c r="DQ20" s="148"/>
      <c r="DR20" s="148"/>
      <c r="DS20" s="148"/>
      <c r="DT20" s="148"/>
      <c r="DU20" s="148"/>
      <c r="DV20" s="148"/>
      <c r="DW20" s="148"/>
      <c r="DX20" s="148"/>
      <c r="DY20" s="148"/>
      <c r="DZ20" s="148"/>
      <c r="EA20" s="148"/>
      <c r="EB20" s="148"/>
      <c r="EC20" s="148"/>
      <c r="ED20" s="148"/>
      <c r="EE20" s="148"/>
      <c r="EF20" s="148"/>
      <c r="EG20" s="148"/>
      <c r="EH20" s="148"/>
      <c r="EI20" s="148"/>
      <c r="EJ20" s="148"/>
      <c r="EK20" s="148"/>
      <c r="EL20" s="148"/>
      <c r="EM20" s="148"/>
      <c r="EN20" s="148"/>
      <c r="EO20" s="148"/>
      <c r="EP20" s="148"/>
      <c r="EQ20" s="148"/>
      <c r="ER20" s="148"/>
      <c r="ES20" s="148"/>
      <c r="ET20" s="148"/>
      <c r="EU20" s="148"/>
      <c r="EV20" s="148"/>
      <c r="EW20" s="148"/>
      <c r="EX20" s="148"/>
      <c r="EY20" s="148"/>
      <c r="EZ20" s="148"/>
      <c r="FA20" s="148"/>
      <c r="FB20" s="148"/>
      <c r="FC20" s="148"/>
      <c r="FD20" s="148"/>
      <c r="FE20" s="148"/>
      <c r="FF20" s="148"/>
      <c r="FG20" s="148"/>
      <c r="FH20" s="148"/>
      <c r="FI20" s="148"/>
      <c r="FJ20" s="148"/>
      <c r="FK20" s="148"/>
      <c r="FL20" s="148"/>
      <c r="FM20" s="148"/>
      <c r="FN20" s="148"/>
      <c r="FO20" s="148"/>
      <c r="FP20" s="148"/>
      <c r="FQ20" s="148"/>
      <c r="FR20" s="148"/>
      <c r="FS20" s="148"/>
      <c r="FT20" s="148"/>
      <c r="FU20" s="148"/>
      <c r="FV20" s="148"/>
      <c r="FW20" s="148"/>
      <c r="FX20" s="148"/>
      <c r="FY20" s="148"/>
      <c r="FZ20" s="148"/>
      <c r="GA20" s="148"/>
      <c r="GB20" s="148"/>
      <c r="GC20" s="148"/>
      <c r="GD20" s="148"/>
      <c r="GE20" s="148"/>
      <c r="GF20" s="148"/>
      <c r="GG20" s="148"/>
      <c r="GH20" s="148"/>
      <c r="GI20" s="148"/>
      <c r="GJ20" s="148"/>
      <c r="GK20" s="148"/>
      <c r="GL20" s="148"/>
      <c r="GM20" s="148"/>
      <c r="GN20" s="148"/>
      <c r="GO20" s="148"/>
      <c r="GP20" s="148"/>
      <c r="GQ20" s="148"/>
      <c r="GR20" s="148"/>
      <c r="GS20" s="148"/>
      <c r="GT20" s="148"/>
      <c r="GU20" s="148"/>
      <c r="GV20" s="148"/>
      <c r="GW20" s="148"/>
      <c r="GX20" s="148"/>
      <c r="GY20" s="148"/>
      <c r="GZ20" s="148"/>
      <c r="HA20" s="148"/>
      <c r="HB20" s="148"/>
      <c r="HC20" s="148"/>
      <c r="HD20" s="148"/>
      <c r="HE20" s="148"/>
      <c r="HF20" s="148"/>
      <c r="HG20" s="148"/>
      <c r="HH20" s="148"/>
      <c r="HI20" s="148"/>
      <c r="HJ20" s="148"/>
      <c r="HK20" s="148"/>
      <c r="HL20" s="148"/>
      <c r="HM20" s="148"/>
      <c r="HN20" s="148"/>
      <c r="HO20" s="148"/>
      <c r="HP20" s="148"/>
      <c r="HQ20" s="148"/>
      <c r="HR20" s="148"/>
      <c r="HS20" s="148"/>
      <c r="HT20" s="148"/>
      <c r="HU20" s="148"/>
      <c r="HV20" s="148"/>
      <c r="HW20" s="148"/>
      <c r="HX20" s="148"/>
      <c r="HY20" s="148"/>
      <c r="HZ20" s="148"/>
      <c r="IA20" s="148"/>
      <c r="IB20" s="148"/>
      <c r="IC20" s="148"/>
      <c r="ID20" s="148"/>
      <c r="IE20" s="148"/>
      <c r="IF20" s="148"/>
      <c r="IG20" s="148"/>
      <c r="IH20" s="148"/>
      <c r="II20" s="148"/>
      <c r="IJ20" s="148"/>
      <c r="IK20" s="148"/>
      <c r="IL20" s="148"/>
      <c r="IM20" s="148"/>
      <c r="IN20" s="148"/>
      <c r="IO20" s="148"/>
      <c r="IP20" s="148"/>
      <c r="IQ20" s="148"/>
      <c r="IR20" s="148"/>
      <c r="IS20" s="148"/>
      <c r="IT20" s="148"/>
      <c r="IU20" s="148"/>
      <c r="IV20" s="148"/>
      <c r="IW20" s="148"/>
      <c r="IX20" s="148"/>
      <c r="IY20" s="148"/>
      <c r="IZ20" s="148"/>
      <c r="JA20" s="148"/>
      <c r="JB20" s="148"/>
      <c r="JC20" s="148"/>
      <c r="JD20" s="148"/>
      <c r="JE20" s="148"/>
      <c r="JF20" s="148"/>
      <c r="JG20" s="148"/>
      <c r="JH20" s="148"/>
      <c r="JI20" s="148"/>
      <c r="JJ20" s="148"/>
      <c r="JK20" s="148"/>
      <c r="JL20" s="148"/>
      <c r="JM20" s="148"/>
      <c r="JN20" s="148"/>
      <c r="JO20" s="148"/>
      <c r="JP20" s="148"/>
      <c r="JQ20" s="148"/>
      <c r="JR20" s="148"/>
      <c r="JS20" s="148"/>
      <c r="JT20" s="148"/>
      <c r="JU20" s="148"/>
      <c r="JV20" s="148"/>
      <c r="JW20" s="148"/>
      <c r="JX20" s="148"/>
      <c r="JY20" s="148"/>
      <c r="JZ20" s="148"/>
      <c r="KA20" s="148"/>
      <c r="KB20" s="148"/>
      <c r="KC20" s="148"/>
      <c r="KD20" s="148"/>
      <c r="KE20" s="148"/>
      <c r="KF20" s="148"/>
      <c r="KG20" s="148"/>
      <c r="KH20" s="148"/>
      <c r="KI20" s="148"/>
      <c r="KJ20" s="148"/>
      <c r="KK20" s="148"/>
      <c r="KL20" s="148"/>
      <c r="KM20" s="148"/>
      <c r="KN20" s="148"/>
      <c r="KO20" s="148"/>
      <c r="KP20" s="148"/>
      <c r="KQ20" s="148"/>
      <c r="KR20" s="148"/>
      <c r="KS20" s="148"/>
      <c r="KT20" s="148"/>
      <c r="KU20" s="148"/>
      <c r="KV20" s="148"/>
      <c r="KW20" s="148"/>
      <c r="KX20" s="148"/>
      <c r="KY20" s="148"/>
      <c r="KZ20" s="148"/>
      <c r="LA20" s="148"/>
      <c r="LB20" s="148"/>
      <c r="LC20" s="148"/>
      <c r="LD20" s="148"/>
      <c r="LE20" s="148"/>
      <c r="LF20" s="148"/>
      <c r="LG20" s="148"/>
      <c r="LH20" s="148"/>
      <c r="LI20" s="148"/>
      <c r="LJ20" s="148"/>
      <c r="LK20" s="148"/>
      <c r="LL20" s="148"/>
      <c r="LM20" s="148"/>
      <c r="LN20" s="148"/>
      <c r="LO20" s="148"/>
      <c r="LP20" s="148"/>
      <c r="LQ20" s="148"/>
      <c r="LR20" s="148"/>
      <c r="LS20" s="148"/>
      <c r="LT20" s="148"/>
      <c r="LU20" s="148"/>
      <c r="LV20" s="148"/>
      <c r="LW20" s="148"/>
      <c r="LX20" s="148"/>
      <c r="LY20" s="148"/>
      <c r="LZ20" s="148"/>
      <c r="MA20" s="148"/>
      <c r="MB20" s="148"/>
      <c r="MC20" s="148"/>
      <c r="MD20" s="148"/>
      <c r="ME20" s="148"/>
      <c r="MF20" s="148"/>
      <c r="MG20" s="148"/>
      <c r="MH20" s="148"/>
      <c r="MI20" s="148"/>
      <c r="MJ20" s="148"/>
      <c r="MK20" s="148"/>
      <c r="ML20" s="148"/>
      <c r="MM20" s="148"/>
      <c r="MN20" s="148"/>
      <c r="MO20" s="148"/>
      <c r="MP20" s="148"/>
      <c r="MQ20" s="148"/>
      <c r="MR20" s="148"/>
      <c r="MS20" s="148"/>
      <c r="MT20" s="148"/>
      <c r="MU20" s="148"/>
      <c r="MV20" s="148"/>
      <c r="MW20" s="148"/>
      <c r="MX20" s="148"/>
      <c r="MY20" s="148"/>
      <c r="MZ20" s="148"/>
      <c r="NA20" s="148"/>
      <c r="NB20" s="148"/>
      <c r="NC20" s="148"/>
      <c r="ND20" s="148"/>
      <c r="NE20" s="148"/>
      <c r="NF20" s="148"/>
      <c r="NG20" s="148"/>
      <c r="NH20" s="148"/>
      <c r="NI20" s="148"/>
      <c r="NJ20" s="148"/>
      <c r="NK20" s="148"/>
      <c r="NL20" s="148"/>
      <c r="NM20" s="148"/>
      <c r="NN20" s="148"/>
      <c r="NO20" s="148"/>
      <c r="NP20" s="148"/>
      <c r="NQ20" s="148"/>
      <c r="NR20" s="148"/>
      <c r="NS20" s="148"/>
      <c r="NT20" s="148"/>
      <c r="NU20" s="148"/>
      <c r="NV20" s="148"/>
      <c r="NW20" s="148"/>
      <c r="NX20" s="148"/>
      <c r="NY20" s="148"/>
      <c r="NZ20" s="148"/>
      <c r="OA20" s="148"/>
      <c r="OB20" s="148"/>
      <c r="OC20" s="148"/>
      <c r="OD20" s="148"/>
      <c r="OE20" s="148"/>
      <c r="OF20" s="148"/>
      <c r="OG20" s="148"/>
      <c r="OH20" s="148"/>
      <c r="OI20" s="148"/>
      <c r="OJ20" s="148"/>
      <c r="OK20" s="148"/>
      <c r="OL20" s="148"/>
      <c r="OM20" s="148"/>
      <c r="ON20" s="148"/>
      <c r="OO20" s="148"/>
      <c r="OP20" s="148"/>
      <c r="OQ20" s="148"/>
      <c r="OR20" s="148"/>
      <c r="OS20" s="148"/>
      <c r="OT20" s="148"/>
      <c r="OU20" s="148"/>
      <c r="OV20" s="148"/>
      <c r="OW20" s="148"/>
      <c r="OX20" s="148"/>
      <c r="OY20" s="148"/>
      <c r="OZ20" s="148"/>
      <c r="PA20" s="148"/>
      <c r="PB20" s="148"/>
      <c r="PC20" s="148"/>
      <c r="PD20" s="148"/>
      <c r="PE20" s="148"/>
      <c r="PF20" s="148"/>
      <c r="PG20" s="148"/>
      <c r="PH20" s="148"/>
      <c r="PI20" s="148"/>
      <c r="PJ20" s="148"/>
      <c r="PK20" s="148"/>
      <c r="PL20" s="148"/>
      <c r="PM20" s="148"/>
      <c r="PN20" s="148"/>
      <c r="PO20" s="148"/>
      <c r="PP20" s="148"/>
      <c r="PQ20" s="148"/>
      <c r="PR20" s="148"/>
      <c r="PS20" s="148"/>
      <c r="PT20" s="148"/>
      <c r="PU20" s="148"/>
      <c r="PV20" s="148"/>
      <c r="PW20" s="148"/>
      <c r="PX20" s="148"/>
      <c r="PY20" s="148"/>
      <c r="PZ20" s="148"/>
      <c r="QA20" s="148"/>
      <c r="QB20" s="148"/>
      <c r="QC20" s="148"/>
      <c r="QD20" s="148"/>
      <c r="QE20" s="148"/>
      <c r="QF20" s="148"/>
      <c r="QG20" s="148"/>
      <c r="QH20" s="148"/>
      <c r="QI20" s="148"/>
      <c r="QJ20" s="148"/>
      <c r="QK20" s="148"/>
      <c r="QL20" s="148"/>
      <c r="QM20" s="148"/>
      <c r="QN20" s="148"/>
      <c r="QO20" s="148"/>
      <c r="QP20" s="148"/>
      <c r="QQ20" s="148"/>
      <c r="QR20" s="148"/>
      <c r="QS20" s="148"/>
      <c r="QT20" s="148"/>
      <c r="QU20" s="148"/>
      <c r="QV20" s="148"/>
      <c r="QW20" s="148"/>
      <c r="QX20" s="148"/>
      <c r="QY20" s="148"/>
      <c r="QZ20" s="148"/>
      <c r="RA20" s="148"/>
      <c r="RB20" s="148"/>
      <c r="RC20" s="148"/>
      <c r="RD20" s="148"/>
      <c r="RE20" s="148"/>
      <c r="RF20" s="148"/>
      <c r="RG20" s="148"/>
      <c r="RH20" s="148"/>
      <c r="RI20" s="148"/>
      <c r="RJ20" s="148"/>
      <c r="RK20" s="148"/>
      <c r="RL20" s="148"/>
      <c r="RM20" s="148"/>
      <c r="RN20" s="148"/>
      <c r="RO20" s="148"/>
      <c r="RP20" s="148"/>
      <c r="RQ20" s="148"/>
      <c r="RR20" s="148"/>
    </row>
    <row r="21" spans="1:486" s="15" customFormat="1" x14ac:dyDescent="0.25">
      <c r="A21" s="148"/>
      <c r="B21" s="350">
        <v>6</v>
      </c>
      <c r="C21" s="643" t="s">
        <v>894</v>
      </c>
      <c r="D21" s="631">
        <v>30245474</v>
      </c>
      <c r="E21" s="344" t="s">
        <v>2708</v>
      </c>
      <c r="F21" s="344" t="s">
        <v>45</v>
      </c>
      <c r="G21" s="17" t="s">
        <v>2693</v>
      </c>
      <c r="H21" s="17" t="s">
        <v>2709</v>
      </c>
      <c r="I21" s="346" t="s">
        <v>43</v>
      </c>
      <c r="J21" s="341" t="s">
        <v>2710</v>
      </c>
      <c r="K21" s="633">
        <v>1059853</v>
      </c>
      <c r="L21" s="633">
        <v>0</v>
      </c>
      <c r="M21" s="633">
        <v>0</v>
      </c>
      <c r="N21" s="633">
        <v>0</v>
      </c>
      <c r="O21" s="633">
        <v>0</v>
      </c>
      <c r="P21" s="633">
        <v>0</v>
      </c>
      <c r="Q21" s="633">
        <v>0</v>
      </c>
      <c r="R21" s="633">
        <v>0</v>
      </c>
      <c r="S21" s="633"/>
      <c r="T21" s="633"/>
      <c r="U21" s="633"/>
      <c r="V21" s="633"/>
      <c r="W21" s="633"/>
      <c r="X21" s="633"/>
      <c r="Y21" s="633">
        <f t="shared" si="1"/>
        <v>0</v>
      </c>
      <c r="Z21" s="407">
        <v>1</v>
      </c>
      <c r="AA21" s="635" t="s">
        <v>296</v>
      </c>
      <c r="AB21" s="23">
        <v>44232</v>
      </c>
      <c r="AC21" s="23">
        <v>44250</v>
      </c>
      <c r="AD21" s="636"/>
      <c r="AE21" s="20"/>
      <c r="AF21" s="23"/>
      <c r="AG21" s="23"/>
      <c r="AH21" s="637"/>
      <c r="AI21" s="19"/>
      <c r="AJ21" s="23"/>
      <c r="AK21" s="25"/>
      <c r="AL21" s="57"/>
      <c r="AM21" s="19"/>
      <c r="AN21" s="23"/>
      <c r="AO21" s="25"/>
      <c r="AP21" s="57"/>
      <c r="AQ21" s="19"/>
      <c r="AR21" s="23"/>
      <c r="AS21" s="25"/>
      <c r="AT21" s="638">
        <f t="shared" si="2"/>
        <v>1</v>
      </c>
      <c r="AU21" s="311">
        <f t="shared" si="0"/>
        <v>1</v>
      </c>
      <c r="AV21" s="148"/>
      <c r="AW21" s="148"/>
      <c r="AX21" s="148"/>
      <c r="AY21" s="148"/>
      <c r="AZ21" s="148"/>
      <c r="BA21" s="148"/>
      <c r="BB21" s="148"/>
      <c r="BC21" s="148"/>
      <c r="BD21" s="148"/>
      <c r="BE21" s="148"/>
      <c r="BF21" s="148"/>
      <c r="BG21" s="148"/>
      <c r="BH21" s="148"/>
      <c r="BI21" s="148"/>
      <c r="BJ21" s="148"/>
      <c r="BK21" s="148"/>
      <c r="BL21" s="148"/>
      <c r="BM21" s="148"/>
      <c r="BN21" s="148"/>
      <c r="BO21" s="148"/>
      <c r="BP21" s="148"/>
      <c r="BQ21" s="148"/>
      <c r="BR21" s="148"/>
      <c r="BS21" s="148"/>
      <c r="BT21" s="148"/>
      <c r="BU21" s="148"/>
      <c r="BV21" s="148"/>
      <c r="BW21" s="148"/>
      <c r="BX21" s="148"/>
      <c r="BY21" s="148"/>
      <c r="BZ21" s="148"/>
      <c r="CA21" s="148"/>
      <c r="CB21" s="148"/>
      <c r="CC21" s="148"/>
      <c r="CD21" s="148"/>
      <c r="CE21" s="148"/>
      <c r="CF21" s="148"/>
      <c r="CG21" s="148"/>
      <c r="CH21" s="148"/>
      <c r="CI21" s="148"/>
      <c r="CJ21" s="148"/>
      <c r="CK21" s="148"/>
      <c r="CL21" s="148"/>
      <c r="CM21" s="148"/>
      <c r="CN21" s="148"/>
      <c r="CO21" s="148"/>
      <c r="CP21" s="148"/>
      <c r="CQ21" s="148"/>
      <c r="CR21" s="148"/>
      <c r="CS21" s="148"/>
      <c r="CT21" s="148"/>
      <c r="CU21" s="148"/>
      <c r="CV21" s="148"/>
      <c r="CW21" s="148"/>
      <c r="CX21" s="148"/>
      <c r="CY21" s="148"/>
      <c r="CZ21" s="148"/>
      <c r="DA21" s="148"/>
      <c r="DB21" s="148"/>
      <c r="DC21" s="148"/>
      <c r="DD21" s="148"/>
      <c r="DE21" s="148"/>
      <c r="DF21" s="148"/>
      <c r="DG21" s="148"/>
      <c r="DH21" s="148"/>
      <c r="DI21" s="148"/>
      <c r="DJ21" s="148"/>
      <c r="DK21" s="148"/>
      <c r="DL21" s="148"/>
      <c r="DM21" s="148"/>
      <c r="DN21" s="148"/>
      <c r="DO21" s="148"/>
      <c r="DP21" s="148"/>
      <c r="DQ21" s="148"/>
      <c r="DR21" s="148"/>
      <c r="DS21" s="148"/>
      <c r="DT21" s="148"/>
      <c r="DU21" s="148"/>
      <c r="DV21" s="148"/>
      <c r="DW21" s="148"/>
      <c r="DX21" s="148"/>
      <c r="DY21" s="148"/>
      <c r="DZ21" s="148"/>
      <c r="EA21" s="148"/>
      <c r="EB21" s="148"/>
      <c r="EC21" s="148"/>
      <c r="ED21" s="148"/>
      <c r="EE21" s="148"/>
      <c r="EF21" s="148"/>
      <c r="EG21" s="148"/>
      <c r="EH21" s="148"/>
      <c r="EI21" s="148"/>
      <c r="EJ21" s="148"/>
      <c r="EK21" s="148"/>
      <c r="EL21" s="148"/>
      <c r="EM21" s="148"/>
      <c r="EN21" s="148"/>
      <c r="EO21" s="148"/>
      <c r="EP21" s="148"/>
      <c r="EQ21" s="148"/>
      <c r="ER21" s="148"/>
      <c r="ES21" s="148"/>
      <c r="ET21" s="148"/>
      <c r="EU21" s="148"/>
      <c r="EV21" s="148"/>
      <c r="EW21" s="148"/>
      <c r="EX21" s="148"/>
      <c r="EY21" s="148"/>
      <c r="EZ21" s="148"/>
      <c r="FA21" s="148"/>
      <c r="FB21" s="148"/>
      <c r="FC21" s="148"/>
      <c r="FD21" s="148"/>
      <c r="FE21" s="148"/>
      <c r="FF21" s="148"/>
      <c r="FG21" s="148"/>
      <c r="FH21" s="148"/>
      <c r="FI21" s="148"/>
      <c r="FJ21" s="148"/>
      <c r="FK21" s="148"/>
      <c r="FL21" s="148"/>
      <c r="FM21" s="148"/>
      <c r="FN21" s="148"/>
      <c r="FO21" s="148"/>
      <c r="FP21" s="148"/>
      <c r="FQ21" s="148"/>
      <c r="FR21" s="148"/>
      <c r="FS21" s="148"/>
      <c r="FT21" s="148"/>
      <c r="FU21" s="148"/>
      <c r="FV21" s="148"/>
      <c r="FW21" s="148"/>
      <c r="FX21" s="148"/>
      <c r="FY21" s="148"/>
      <c r="FZ21" s="148"/>
      <c r="GA21" s="148"/>
      <c r="GB21" s="148"/>
      <c r="GC21" s="148"/>
      <c r="GD21" s="148"/>
      <c r="GE21" s="148"/>
      <c r="GF21" s="148"/>
      <c r="GG21" s="148"/>
      <c r="GH21" s="148"/>
      <c r="GI21" s="148"/>
      <c r="GJ21" s="148"/>
      <c r="GK21" s="148"/>
      <c r="GL21" s="148"/>
      <c r="GM21" s="148"/>
      <c r="GN21" s="148"/>
      <c r="GO21" s="148"/>
      <c r="GP21" s="148"/>
      <c r="GQ21" s="148"/>
      <c r="GR21" s="148"/>
      <c r="GS21" s="148"/>
      <c r="GT21" s="148"/>
      <c r="GU21" s="148"/>
      <c r="GV21" s="148"/>
      <c r="GW21" s="148"/>
      <c r="GX21" s="148"/>
      <c r="GY21" s="148"/>
      <c r="GZ21" s="148"/>
      <c r="HA21" s="148"/>
      <c r="HB21" s="148"/>
      <c r="HC21" s="148"/>
      <c r="HD21" s="148"/>
      <c r="HE21" s="148"/>
      <c r="HF21" s="148"/>
      <c r="HG21" s="148"/>
      <c r="HH21" s="148"/>
      <c r="HI21" s="148"/>
      <c r="HJ21" s="148"/>
      <c r="HK21" s="148"/>
      <c r="HL21" s="148"/>
      <c r="HM21" s="148"/>
      <c r="HN21" s="148"/>
      <c r="HO21" s="148"/>
      <c r="HP21" s="148"/>
      <c r="HQ21" s="148"/>
      <c r="HR21" s="148"/>
      <c r="HS21" s="148"/>
      <c r="HT21" s="148"/>
      <c r="HU21" s="148"/>
      <c r="HV21" s="148"/>
      <c r="HW21" s="148"/>
      <c r="HX21" s="148"/>
      <c r="HY21" s="148"/>
      <c r="HZ21" s="148"/>
      <c r="IA21" s="148"/>
      <c r="IB21" s="148"/>
      <c r="IC21" s="148"/>
      <c r="ID21" s="148"/>
      <c r="IE21" s="148"/>
      <c r="IF21" s="148"/>
      <c r="IG21" s="148"/>
      <c r="IH21" s="148"/>
      <c r="II21" s="148"/>
      <c r="IJ21" s="148"/>
      <c r="IK21" s="148"/>
      <c r="IL21" s="148"/>
      <c r="IM21" s="148"/>
      <c r="IN21" s="148"/>
      <c r="IO21" s="148"/>
      <c r="IP21" s="148"/>
      <c r="IQ21" s="148"/>
      <c r="IR21" s="148"/>
      <c r="IS21" s="148"/>
      <c r="IT21" s="148"/>
      <c r="IU21" s="148"/>
      <c r="IV21" s="148"/>
      <c r="IW21" s="148"/>
      <c r="IX21" s="148"/>
      <c r="IY21" s="148"/>
      <c r="IZ21" s="148"/>
      <c r="JA21" s="148"/>
      <c r="JB21" s="148"/>
      <c r="JC21" s="148"/>
      <c r="JD21" s="148"/>
      <c r="JE21" s="148"/>
      <c r="JF21" s="148"/>
      <c r="JG21" s="148"/>
      <c r="JH21" s="148"/>
      <c r="JI21" s="148"/>
      <c r="JJ21" s="148"/>
      <c r="JK21" s="148"/>
      <c r="JL21" s="148"/>
      <c r="JM21" s="148"/>
      <c r="JN21" s="148"/>
      <c r="JO21" s="148"/>
      <c r="JP21" s="148"/>
      <c r="JQ21" s="148"/>
      <c r="JR21" s="148"/>
      <c r="JS21" s="148"/>
      <c r="JT21" s="148"/>
      <c r="JU21" s="148"/>
      <c r="JV21" s="148"/>
      <c r="JW21" s="148"/>
      <c r="JX21" s="148"/>
      <c r="JY21" s="148"/>
      <c r="JZ21" s="148"/>
      <c r="KA21" s="148"/>
      <c r="KB21" s="148"/>
      <c r="KC21" s="148"/>
      <c r="KD21" s="148"/>
      <c r="KE21" s="148"/>
      <c r="KF21" s="148"/>
      <c r="KG21" s="148"/>
      <c r="KH21" s="148"/>
      <c r="KI21" s="148"/>
      <c r="KJ21" s="148"/>
      <c r="KK21" s="148"/>
      <c r="KL21" s="148"/>
      <c r="KM21" s="148"/>
      <c r="KN21" s="148"/>
      <c r="KO21" s="148"/>
      <c r="KP21" s="148"/>
      <c r="KQ21" s="148"/>
      <c r="KR21" s="148"/>
      <c r="KS21" s="148"/>
      <c r="KT21" s="148"/>
      <c r="KU21" s="148"/>
      <c r="KV21" s="148"/>
      <c r="KW21" s="148"/>
      <c r="KX21" s="148"/>
      <c r="KY21" s="148"/>
      <c r="KZ21" s="148"/>
      <c r="LA21" s="148"/>
      <c r="LB21" s="148"/>
      <c r="LC21" s="148"/>
      <c r="LD21" s="148"/>
      <c r="LE21" s="148"/>
      <c r="LF21" s="148"/>
      <c r="LG21" s="148"/>
      <c r="LH21" s="148"/>
      <c r="LI21" s="148"/>
      <c r="LJ21" s="148"/>
      <c r="LK21" s="148"/>
      <c r="LL21" s="148"/>
      <c r="LM21" s="148"/>
      <c r="LN21" s="148"/>
      <c r="LO21" s="148"/>
      <c r="LP21" s="148"/>
      <c r="LQ21" s="148"/>
      <c r="LR21" s="148"/>
      <c r="LS21" s="148"/>
      <c r="LT21" s="148"/>
      <c r="LU21" s="148"/>
      <c r="LV21" s="148"/>
      <c r="LW21" s="148"/>
      <c r="LX21" s="148"/>
      <c r="LY21" s="148"/>
      <c r="LZ21" s="148"/>
      <c r="MA21" s="148"/>
      <c r="MB21" s="148"/>
      <c r="MC21" s="148"/>
      <c r="MD21" s="148"/>
      <c r="ME21" s="148"/>
      <c r="MF21" s="148"/>
      <c r="MG21" s="148"/>
      <c r="MH21" s="148"/>
      <c r="MI21" s="148"/>
      <c r="MJ21" s="148"/>
      <c r="MK21" s="148"/>
      <c r="ML21" s="148"/>
      <c r="MM21" s="148"/>
      <c r="MN21" s="148"/>
      <c r="MO21" s="148"/>
      <c r="MP21" s="148"/>
      <c r="MQ21" s="148"/>
      <c r="MR21" s="148"/>
      <c r="MS21" s="148"/>
      <c r="MT21" s="148"/>
      <c r="MU21" s="148"/>
      <c r="MV21" s="148"/>
      <c r="MW21" s="148"/>
      <c r="MX21" s="148"/>
      <c r="MY21" s="148"/>
      <c r="MZ21" s="148"/>
      <c r="NA21" s="148"/>
      <c r="NB21" s="148"/>
      <c r="NC21" s="148"/>
      <c r="ND21" s="148"/>
      <c r="NE21" s="148"/>
      <c r="NF21" s="148"/>
      <c r="NG21" s="148"/>
      <c r="NH21" s="148"/>
      <c r="NI21" s="148"/>
      <c r="NJ21" s="148"/>
      <c r="NK21" s="148"/>
      <c r="NL21" s="148"/>
      <c r="NM21" s="148"/>
      <c r="NN21" s="148"/>
      <c r="NO21" s="148"/>
      <c r="NP21" s="148"/>
      <c r="NQ21" s="148"/>
      <c r="NR21" s="148"/>
      <c r="NS21" s="148"/>
      <c r="NT21" s="148"/>
      <c r="NU21" s="148"/>
      <c r="NV21" s="148"/>
      <c r="NW21" s="148"/>
      <c r="NX21" s="148"/>
      <c r="NY21" s="148"/>
      <c r="NZ21" s="148"/>
      <c r="OA21" s="148"/>
      <c r="OB21" s="148"/>
      <c r="OC21" s="148"/>
      <c r="OD21" s="148"/>
      <c r="OE21" s="148"/>
      <c r="OF21" s="148"/>
      <c r="OG21" s="148"/>
      <c r="OH21" s="148"/>
      <c r="OI21" s="148"/>
      <c r="OJ21" s="148"/>
      <c r="OK21" s="148"/>
      <c r="OL21" s="148"/>
      <c r="OM21" s="148"/>
      <c r="ON21" s="148"/>
      <c r="OO21" s="148"/>
      <c r="OP21" s="148"/>
      <c r="OQ21" s="148"/>
      <c r="OR21" s="148"/>
      <c r="OS21" s="148"/>
      <c r="OT21" s="148"/>
      <c r="OU21" s="148"/>
      <c r="OV21" s="148"/>
      <c r="OW21" s="148"/>
      <c r="OX21" s="148"/>
      <c r="OY21" s="148"/>
      <c r="OZ21" s="148"/>
      <c r="PA21" s="148"/>
      <c r="PB21" s="148"/>
      <c r="PC21" s="148"/>
      <c r="PD21" s="148"/>
      <c r="PE21" s="148"/>
      <c r="PF21" s="148"/>
      <c r="PG21" s="148"/>
      <c r="PH21" s="148"/>
      <c r="PI21" s="148"/>
      <c r="PJ21" s="148"/>
      <c r="PK21" s="148"/>
      <c r="PL21" s="148"/>
      <c r="PM21" s="148"/>
      <c r="PN21" s="148"/>
      <c r="PO21" s="148"/>
      <c r="PP21" s="148"/>
      <c r="PQ21" s="148"/>
      <c r="PR21" s="148"/>
      <c r="PS21" s="148"/>
      <c r="PT21" s="148"/>
      <c r="PU21" s="148"/>
      <c r="PV21" s="148"/>
      <c r="PW21" s="148"/>
      <c r="PX21" s="148"/>
      <c r="PY21" s="148"/>
      <c r="PZ21" s="148"/>
      <c r="QA21" s="148"/>
      <c r="QB21" s="148"/>
      <c r="QC21" s="148"/>
      <c r="QD21" s="148"/>
      <c r="QE21" s="148"/>
      <c r="QF21" s="148"/>
      <c r="QG21" s="148"/>
      <c r="QH21" s="148"/>
      <c r="QI21" s="148"/>
      <c r="QJ21" s="148"/>
      <c r="QK21" s="148"/>
      <c r="QL21" s="148"/>
      <c r="QM21" s="148"/>
      <c r="QN21" s="148"/>
      <c r="QO21" s="148"/>
      <c r="QP21" s="148"/>
      <c r="QQ21" s="148"/>
      <c r="QR21" s="148"/>
      <c r="QS21" s="148"/>
      <c r="QT21" s="148"/>
      <c r="QU21" s="148"/>
      <c r="QV21" s="148"/>
      <c r="QW21" s="148"/>
      <c r="QX21" s="148"/>
      <c r="QY21" s="148"/>
      <c r="QZ21" s="148"/>
      <c r="RA21" s="148"/>
      <c r="RB21" s="148"/>
      <c r="RC21" s="148"/>
      <c r="RD21" s="148"/>
      <c r="RE21" s="148"/>
      <c r="RF21" s="148"/>
      <c r="RG21" s="148"/>
      <c r="RH21" s="148"/>
      <c r="RI21" s="148"/>
      <c r="RJ21" s="148"/>
      <c r="RK21" s="148"/>
      <c r="RL21" s="148"/>
      <c r="RM21" s="148"/>
      <c r="RN21" s="148"/>
      <c r="RO21" s="148"/>
      <c r="RP21" s="148"/>
      <c r="RQ21" s="148"/>
      <c r="RR21" s="148"/>
    </row>
    <row r="22" spans="1:486" s="15" customFormat="1" x14ac:dyDescent="0.25">
      <c r="A22" s="148"/>
      <c r="B22" s="350">
        <v>7</v>
      </c>
      <c r="C22" s="641" t="s">
        <v>894</v>
      </c>
      <c r="D22" s="631">
        <v>30286222</v>
      </c>
      <c r="E22" s="344" t="s">
        <v>2711</v>
      </c>
      <c r="F22" s="344" t="s">
        <v>45</v>
      </c>
      <c r="G22" s="17" t="s">
        <v>2693</v>
      </c>
      <c r="H22" s="17" t="s">
        <v>2712</v>
      </c>
      <c r="I22" s="346" t="s">
        <v>43</v>
      </c>
      <c r="J22" s="341" t="s">
        <v>2713</v>
      </c>
      <c r="K22" s="633">
        <v>189057</v>
      </c>
      <c r="L22" s="633">
        <v>1393401</v>
      </c>
      <c r="M22" s="633">
        <v>0</v>
      </c>
      <c r="N22" s="633">
        <v>0</v>
      </c>
      <c r="O22" s="633">
        <v>0</v>
      </c>
      <c r="P22" s="633">
        <v>0</v>
      </c>
      <c r="Q22" s="633">
        <v>0</v>
      </c>
      <c r="R22" s="633">
        <v>0</v>
      </c>
      <c r="S22" s="633"/>
      <c r="T22" s="633"/>
      <c r="U22" s="633"/>
      <c r="V22" s="633"/>
      <c r="W22" s="633"/>
      <c r="X22" s="633"/>
      <c r="Y22" s="633">
        <f t="shared" si="1"/>
        <v>0</v>
      </c>
      <c r="Z22" s="407">
        <v>500000</v>
      </c>
      <c r="AA22" s="635" t="s">
        <v>296</v>
      </c>
      <c r="AB22" s="23">
        <v>44232</v>
      </c>
      <c r="AC22" s="23">
        <v>44250</v>
      </c>
      <c r="AD22" s="636"/>
      <c r="AE22" s="20"/>
      <c r="AF22" s="21"/>
      <c r="AG22" s="23"/>
      <c r="AH22" s="637"/>
      <c r="AI22" s="19"/>
      <c r="AJ22" s="21"/>
      <c r="AK22" s="25"/>
      <c r="AL22" s="309"/>
      <c r="AM22" s="19"/>
      <c r="AN22" s="21"/>
      <c r="AO22" s="25"/>
      <c r="AP22" s="309"/>
      <c r="AQ22" s="19"/>
      <c r="AR22" s="21"/>
      <c r="AS22" s="25"/>
      <c r="AT22" s="638">
        <f t="shared" si="2"/>
        <v>500000</v>
      </c>
      <c r="AU22" s="311">
        <f t="shared" si="0"/>
        <v>500000</v>
      </c>
      <c r="AV22" s="148"/>
      <c r="AW22" s="148"/>
      <c r="AX22" s="148"/>
      <c r="AY22" s="148"/>
      <c r="AZ22" s="148"/>
      <c r="BA22" s="148"/>
      <c r="BB22" s="148"/>
      <c r="BC22" s="148"/>
      <c r="BD22" s="148"/>
      <c r="BE22" s="148"/>
      <c r="BF22" s="148"/>
      <c r="BG22" s="148"/>
      <c r="BH22" s="148"/>
      <c r="BI22" s="148"/>
      <c r="BJ22" s="148"/>
      <c r="BK22" s="148"/>
      <c r="BL22" s="148"/>
      <c r="BM22" s="148"/>
      <c r="BN22" s="148"/>
      <c r="BO22" s="148"/>
      <c r="BP22" s="148"/>
      <c r="BQ22" s="148"/>
      <c r="BR22" s="148"/>
      <c r="BS22" s="148"/>
      <c r="BT22" s="148"/>
      <c r="BU22" s="148"/>
      <c r="BV22" s="148"/>
      <c r="BW22" s="148"/>
      <c r="BX22" s="148"/>
      <c r="BY22" s="148"/>
      <c r="BZ22" s="148"/>
      <c r="CA22" s="148"/>
      <c r="CB22" s="148"/>
      <c r="CC22" s="148"/>
      <c r="CD22" s="148"/>
      <c r="CE22" s="148"/>
      <c r="CF22" s="148"/>
      <c r="CG22" s="148"/>
      <c r="CH22" s="148"/>
      <c r="CI22" s="148"/>
      <c r="CJ22" s="148"/>
      <c r="CK22" s="148"/>
      <c r="CL22" s="148"/>
      <c r="CM22" s="148"/>
      <c r="CN22" s="148"/>
      <c r="CO22" s="148"/>
      <c r="CP22" s="148"/>
      <c r="CQ22" s="148"/>
      <c r="CR22" s="148"/>
      <c r="CS22" s="148"/>
      <c r="CT22" s="148"/>
      <c r="CU22" s="148"/>
      <c r="CV22" s="148"/>
      <c r="CW22" s="148"/>
      <c r="CX22" s="148"/>
      <c r="CY22" s="148"/>
      <c r="CZ22" s="148"/>
      <c r="DA22" s="148"/>
      <c r="DB22" s="148"/>
      <c r="DC22" s="148"/>
      <c r="DD22" s="148"/>
      <c r="DE22" s="148"/>
      <c r="DF22" s="148"/>
      <c r="DG22" s="148"/>
      <c r="DH22" s="148"/>
      <c r="DI22" s="148"/>
      <c r="DJ22" s="148"/>
      <c r="DK22" s="148"/>
      <c r="DL22" s="148"/>
      <c r="DM22" s="148"/>
      <c r="DN22" s="148"/>
      <c r="DO22" s="148"/>
      <c r="DP22" s="148"/>
      <c r="DQ22" s="148"/>
      <c r="DR22" s="148"/>
      <c r="DS22" s="148"/>
      <c r="DT22" s="148"/>
      <c r="DU22" s="148"/>
      <c r="DV22" s="148"/>
      <c r="DW22" s="148"/>
      <c r="DX22" s="148"/>
      <c r="DY22" s="148"/>
      <c r="DZ22" s="148"/>
      <c r="EA22" s="148"/>
      <c r="EB22" s="148"/>
      <c r="EC22" s="148"/>
      <c r="ED22" s="148"/>
      <c r="EE22" s="148"/>
      <c r="EF22" s="148"/>
      <c r="EG22" s="148"/>
      <c r="EH22" s="148"/>
      <c r="EI22" s="148"/>
      <c r="EJ22" s="148"/>
      <c r="EK22" s="148"/>
      <c r="EL22" s="148"/>
      <c r="EM22" s="148"/>
      <c r="EN22" s="148"/>
      <c r="EO22" s="148"/>
      <c r="EP22" s="148"/>
      <c r="EQ22" s="148"/>
      <c r="ER22" s="148"/>
      <c r="ES22" s="148"/>
      <c r="ET22" s="148"/>
      <c r="EU22" s="148"/>
      <c r="EV22" s="148"/>
      <c r="EW22" s="148"/>
      <c r="EX22" s="148"/>
      <c r="EY22" s="148"/>
      <c r="EZ22" s="148"/>
      <c r="FA22" s="148"/>
      <c r="FB22" s="148"/>
      <c r="FC22" s="148"/>
      <c r="FD22" s="148"/>
      <c r="FE22" s="148"/>
      <c r="FF22" s="148"/>
      <c r="FG22" s="148"/>
      <c r="FH22" s="148"/>
      <c r="FI22" s="148"/>
      <c r="FJ22" s="148"/>
      <c r="FK22" s="148"/>
      <c r="FL22" s="148"/>
      <c r="FM22" s="148"/>
      <c r="FN22" s="148"/>
      <c r="FO22" s="148"/>
      <c r="FP22" s="148"/>
      <c r="FQ22" s="148"/>
      <c r="FR22" s="148"/>
      <c r="FS22" s="148"/>
      <c r="FT22" s="148"/>
      <c r="FU22" s="148"/>
      <c r="FV22" s="148"/>
      <c r="FW22" s="148"/>
      <c r="FX22" s="148"/>
      <c r="FY22" s="148"/>
      <c r="FZ22" s="148"/>
      <c r="GA22" s="148"/>
      <c r="GB22" s="148"/>
      <c r="GC22" s="148"/>
      <c r="GD22" s="148"/>
      <c r="GE22" s="148"/>
      <c r="GF22" s="148"/>
      <c r="GG22" s="148"/>
      <c r="GH22" s="148"/>
      <c r="GI22" s="148"/>
      <c r="GJ22" s="148"/>
      <c r="GK22" s="148"/>
      <c r="GL22" s="148"/>
      <c r="GM22" s="148"/>
      <c r="GN22" s="148"/>
      <c r="GO22" s="148"/>
      <c r="GP22" s="148"/>
      <c r="GQ22" s="148"/>
      <c r="GR22" s="148"/>
      <c r="GS22" s="148"/>
      <c r="GT22" s="148"/>
      <c r="GU22" s="148"/>
      <c r="GV22" s="148"/>
      <c r="GW22" s="148"/>
      <c r="GX22" s="148"/>
      <c r="GY22" s="148"/>
      <c r="GZ22" s="148"/>
      <c r="HA22" s="148"/>
      <c r="HB22" s="148"/>
      <c r="HC22" s="148"/>
      <c r="HD22" s="148"/>
      <c r="HE22" s="148"/>
      <c r="HF22" s="148"/>
      <c r="HG22" s="148"/>
      <c r="HH22" s="148"/>
      <c r="HI22" s="148"/>
      <c r="HJ22" s="148"/>
      <c r="HK22" s="148"/>
      <c r="HL22" s="148"/>
      <c r="HM22" s="148"/>
      <c r="HN22" s="148"/>
      <c r="HO22" s="148"/>
      <c r="HP22" s="148"/>
      <c r="HQ22" s="148"/>
      <c r="HR22" s="148"/>
      <c r="HS22" s="148"/>
      <c r="HT22" s="148"/>
      <c r="HU22" s="148"/>
      <c r="HV22" s="148"/>
      <c r="HW22" s="148"/>
      <c r="HX22" s="148"/>
      <c r="HY22" s="148"/>
      <c r="HZ22" s="148"/>
      <c r="IA22" s="148"/>
      <c r="IB22" s="148"/>
      <c r="IC22" s="148"/>
      <c r="ID22" s="148"/>
      <c r="IE22" s="148"/>
      <c r="IF22" s="148"/>
      <c r="IG22" s="148"/>
      <c r="IH22" s="148"/>
      <c r="II22" s="148"/>
      <c r="IJ22" s="148"/>
      <c r="IK22" s="148"/>
      <c r="IL22" s="148"/>
      <c r="IM22" s="148"/>
      <c r="IN22" s="148"/>
      <c r="IO22" s="148"/>
      <c r="IP22" s="148"/>
      <c r="IQ22" s="148"/>
      <c r="IR22" s="148"/>
      <c r="IS22" s="148"/>
      <c r="IT22" s="148"/>
      <c r="IU22" s="148"/>
      <c r="IV22" s="148"/>
      <c r="IW22" s="148"/>
      <c r="IX22" s="148"/>
      <c r="IY22" s="148"/>
      <c r="IZ22" s="148"/>
      <c r="JA22" s="148"/>
      <c r="JB22" s="148"/>
      <c r="JC22" s="148"/>
      <c r="JD22" s="148"/>
      <c r="JE22" s="148"/>
      <c r="JF22" s="148"/>
      <c r="JG22" s="148"/>
      <c r="JH22" s="148"/>
      <c r="JI22" s="148"/>
      <c r="JJ22" s="148"/>
      <c r="JK22" s="148"/>
      <c r="JL22" s="148"/>
      <c r="JM22" s="148"/>
      <c r="JN22" s="148"/>
      <c r="JO22" s="148"/>
      <c r="JP22" s="148"/>
      <c r="JQ22" s="148"/>
      <c r="JR22" s="148"/>
      <c r="JS22" s="148"/>
      <c r="JT22" s="148"/>
      <c r="JU22" s="148"/>
      <c r="JV22" s="148"/>
      <c r="JW22" s="148"/>
      <c r="JX22" s="148"/>
      <c r="JY22" s="148"/>
      <c r="JZ22" s="148"/>
      <c r="KA22" s="148"/>
      <c r="KB22" s="148"/>
      <c r="KC22" s="148"/>
      <c r="KD22" s="148"/>
      <c r="KE22" s="148"/>
      <c r="KF22" s="148"/>
      <c r="KG22" s="148"/>
      <c r="KH22" s="148"/>
      <c r="KI22" s="148"/>
      <c r="KJ22" s="148"/>
      <c r="KK22" s="148"/>
      <c r="KL22" s="148"/>
      <c r="KM22" s="148"/>
      <c r="KN22" s="148"/>
      <c r="KO22" s="148"/>
      <c r="KP22" s="148"/>
      <c r="KQ22" s="148"/>
      <c r="KR22" s="148"/>
      <c r="KS22" s="148"/>
      <c r="KT22" s="148"/>
      <c r="KU22" s="148"/>
      <c r="KV22" s="148"/>
      <c r="KW22" s="148"/>
      <c r="KX22" s="148"/>
      <c r="KY22" s="148"/>
      <c r="KZ22" s="148"/>
      <c r="LA22" s="148"/>
      <c r="LB22" s="148"/>
      <c r="LC22" s="148"/>
      <c r="LD22" s="148"/>
      <c r="LE22" s="148"/>
      <c r="LF22" s="148"/>
      <c r="LG22" s="148"/>
      <c r="LH22" s="148"/>
      <c r="LI22" s="148"/>
      <c r="LJ22" s="148"/>
      <c r="LK22" s="148"/>
      <c r="LL22" s="148"/>
      <c r="LM22" s="148"/>
      <c r="LN22" s="148"/>
      <c r="LO22" s="148"/>
      <c r="LP22" s="148"/>
      <c r="LQ22" s="148"/>
      <c r="LR22" s="148"/>
      <c r="LS22" s="148"/>
      <c r="LT22" s="148"/>
      <c r="LU22" s="148"/>
      <c r="LV22" s="148"/>
      <c r="LW22" s="148"/>
      <c r="LX22" s="148"/>
      <c r="LY22" s="148"/>
      <c r="LZ22" s="148"/>
      <c r="MA22" s="148"/>
      <c r="MB22" s="148"/>
      <c r="MC22" s="148"/>
      <c r="MD22" s="148"/>
      <c r="ME22" s="148"/>
      <c r="MF22" s="148"/>
      <c r="MG22" s="148"/>
      <c r="MH22" s="148"/>
      <c r="MI22" s="148"/>
      <c r="MJ22" s="148"/>
      <c r="MK22" s="148"/>
      <c r="ML22" s="148"/>
      <c r="MM22" s="148"/>
      <c r="MN22" s="148"/>
      <c r="MO22" s="148"/>
      <c r="MP22" s="148"/>
      <c r="MQ22" s="148"/>
      <c r="MR22" s="148"/>
      <c r="MS22" s="148"/>
      <c r="MT22" s="148"/>
      <c r="MU22" s="148"/>
      <c r="MV22" s="148"/>
      <c r="MW22" s="148"/>
      <c r="MX22" s="148"/>
      <c r="MY22" s="148"/>
      <c r="MZ22" s="148"/>
      <c r="NA22" s="148"/>
      <c r="NB22" s="148"/>
      <c r="NC22" s="148"/>
      <c r="ND22" s="148"/>
      <c r="NE22" s="148"/>
      <c r="NF22" s="148"/>
      <c r="NG22" s="148"/>
      <c r="NH22" s="148"/>
      <c r="NI22" s="148"/>
      <c r="NJ22" s="148"/>
      <c r="NK22" s="148"/>
      <c r="NL22" s="148"/>
      <c r="NM22" s="148"/>
      <c r="NN22" s="148"/>
      <c r="NO22" s="148"/>
      <c r="NP22" s="148"/>
      <c r="NQ22" s="148"/>
      <c r="NR22" s="148"/>
      <c r="NS22" s="148"/>
      <c r="NT22" s="148"/>
      <c r="NU22" s="148"/>
      <c r="NV22" s="148"/>
      <c r="NW22" s="148"/>
      <c r="NX22" s="148"/>
      <c r="NY22" s="148"/>
      <c r="NZ22" s="148"/>
      <c r="OA22" s="148"/>
      <c r="OB22" s="148"/>
      <c r="OC22" s="148"/>
      <c r="OD22" s="148"/>
      <c r="OE22" s="148"/>
      <c r="OF22" s="148"/>
      <c r="OG22" s="148"/>
      <c r="OH22" s="148"/>
      <c r="OI22" s="148"/>
      <c r="OJ22" s="148"/>
      <c r="OK22" s="148"/>
      <c r="OL22" s="148"/>
      <c r="OM22" s="148"/>
      <c r="ON22" s="148"/>
      <c r="OO22" s="148"/>
      <c r="OP22" s="148"/>
      <c r="OQ22" s="148"/>
      <c r="OR22" s="148"/>
      <c r="OS22" s="148"/>
      <c r="OT22" s="148"/>
      <c r="OU22" s="148"/>
      <c r="OV22" s="148"/>
      <c r="OW22" s="148"/>
      <c r="OX22" s="148"/>
      <c r="OY22" s="148"/>
      <c r="OZ22" s="148"/>
      <c r="PA22" s="148"/>
      <c r="PB22" s="148"/>
      <c r="PC22" s="148"/>
      <c r="PD22" s="148"/>
      <c r="PE22" s="148"/>
      <c r="PF22" s="148"/>
      <c r="PG22" s="148"/>
      <c r="PH22" s="148"/>
      <c r="PI22" s="148"/>
      <c r="PJ22" s="148"/>
      <c r="PK22" s="148"/>
      <c r="PL22" s="148"/>
      <c r="PM22" s="148"/>
      <c r="PN22" s="148"/>
      <c r="PO22" s="148"/>
      <c r="PP22" s="148"/>
      <c r="PQ22" s="148"/>
      <c r="PR22" s="148"/>
      <c r="PS22" s="148"/>
      <c r="PT22" s="148"/>
      <c r="PU22" s="148"/>
      <c r="PV22" s="148"/>
      <c r="PW22" s="148"/>
      <c r="PX22" s="148"/>
      <c r="PY22" s="148"/>
      <c r="PZ22" s="148"/>
      <c r="QA22" s="148"/>
      <c r="QB22" s="148"/>
      <c r="QC22" s="148"/>
      <c r="QD22" s="148"/>
      <c r="QE22" s="148"/>
      <c r="QF22" s="148"/>
      <c r="QG22" s="148"/>
      <c r="QH22" s="148"/>
      <c r="QI22" s="148"/>
      <c r="QJ22" s="148"/>
      <c r="QK22" s="148"/>
      <c r="QL22" s="148"/>
      <c r="QM22" s="148"/>
      <c r="QN22" s="148"/>
      <c r="QO22" s="148"/>
      <c r="QP22" s="148"/>
      <c r="QQ22" s="148"/>
      <c r="QR22" s="148"/>
      <c r="QS22" s="148"/>
      <c r="QT22" s="148"/>
      <c r="QU22" s="148"/>
      <c r="QV22" s="148"/>
      <c r="QW22" s="148"/>
      <c r="QX22" s="148"/>
      <c r="QY22" s="148"/>
      <c r="QZ22" s="148"/>
      <c r="RA22" s="148"/>
      <c r="RB22" s="148"/>
      <c r="RC22" s="148"/>
      <c r="RD22" s="148"/>
      <c r="RE22" s="148"/>
      <c r="RF22" s="148"/>
      <c r="RG22" s="148"/>
      <c r="RH22" s="148"/>
      <c r="RI22" s="148"/>
      <c r="RJ22" s="148"/>
      <c r="RK22" s="148"/>
      <c r="RL22" s="148"/>
      <c r="RM22" s="148"/>
      <c r="RN22" s="148"/>
      <c r="RO22" s="148"/>
      <c r="RP22" s="148"/>
      <c r="RQ22" s="148"/>
      <c r="RR22" s="148"/>
    </row>
    <row r="23" spans="1:486" s="15" customFormat="1" ht="21.75" customHeight="1" x14ac:dyDescent="0.25">
      <c r="A23" s="148"/>
      <c r="B23" s="350">
        <v>8</v>
      </c>
      <c r="C23" s="643" t="s">
        <v>894</v>
      </c>
      <c r="D23" s="631">
        <v>30391922</v>
      </c>
      <c r="E23" s="344" t="s">
        <v>2714</v>
      </c>
      <c r="F23" s="344" t="s">
        <v>45</v>
      </c>
      <c r="G23" s="17" t="s">
        <v>2693</v>
      </c>
      <c r="H23" s="17" t="s">
        <v>2715</v>
      </c>
      <c r="I23" s="346" t="s">
        <v>43</v>
      </c>
      <c r="J23" s="341" t="s">
        <v>2716</v>
      </c>
      <c r="K23" s="633">
        <v>0</v>
      </c>
      <c r="L23" s="633">
        <v>0</v>
      </c>
      <c r="M23" s="633">
        <v>0</v>
      </c>
      <c r="N23" s="633">
        <v>0</v>
      </c>
      <c r="O23" s="633">
        <v>0</v>
      </c>
      <c r="P23" s="639">
        <v>1320</v>
      </c>
      <c r="Q23" s="633">
        <v>0</v>
      </c>
      <c r="R23" s="633">
        <v>0</v>
      </c>
      <c r="S23" s="633"/>
      <c r="T23" s="633"/>
      <c r="U23" s="633"/>
      <c r="V23" s="633"/>
      <c r="W23" s="633"/>
      <c r="X23" s="633"/>
      <c r="Y23" s="633">
        <f t="shared" si="1"/>
        <v>1320</v>
      </c>
      <c r="Z23" s="407">
        <v>110567</v>
      </c>
      <c r="AA23" s="635" t="s">
        <v>296</v>
      </c>
      <c r="AB23" s="23">
        <v>44232</v>
      </c>
      <c r="AC23" s="23">
        <v>44250</v>
      </c>
      <c r="AD23" s="636"/>
      <c r="AE23" s="20"/>
      <c r="AF23" s="21"/>
      <c r="AG23" s="23"/>
      <c r="AH23" s="637"/>
      <c r="AI23" s="19"/>
      <c r="AJ23" s="21"/>
      <c r="AK23" s="25"/>
      <c r="AL23" s="309"/>
      <c r="AM23" s="19"/>
      <c r="AN23" s="21"/>
      <c r="AO23" s="25"/>
      <c r="AP23" s="309"/>
      <c r="AQ23" s="19"/>
      <c r="AR23" s="21"/>
      <c r="AS23" s="25"/>
      <c r="AT23" s="638">
        <f t="shared" si="2"/>
        <v>110567</v>
      </c>
      <c r="AU23" s="311">
        <f t="shared" si="0"/>
        <v>109247</v>
      </c>
      <c r="AV23" s="148"/>
      <c r="AW23" s="148"/>
      <c r="AX23" s="148"/>
      <c r="AY23" s="148"/>
      <c r="AZ23" s="148"/>
      <c r="BA23" s="148"/>
      <c r="BB23" s="148"/>
      <c r="BC23" s="148"/>
      <c r="BD23" s="148"/>
      <c r="BE23" s="148"/>
      <c r="BF23" s="148"/>
      <c r="BG23" s="148"/>
      <c r="BH23" s="148"/>
      <c r="BI23" s="148"/>
      <c r="BJ23" s="148"/>
      <c r="BK23" s="148"/>
      <c r="BL23" s="148"/>
      <c r="BM23" s="148"/>
      <c r="BN23" s="148"/>
      <c r="BO23" s="148"/>
      <c r="BP23" s="148"/>
      <c r="BQ23" s="148"/>
      <c r="BR23" s="148"/>
      <c r="BS23" s="148"/>
      <c r="BT23" s="148"/>
      <c r="BU23" s="148"/>
      <c r="BV23" s="148"/>
      <c r="BW23" s="148"/>
      <c r="BX23" s="148"/>
      <c r="BY23" s="148"/>
      <c r="BZ23" s="148"/>
      <c r="CA23" s="148"/>
      <c r="CB23" s="148"/>
      <c r="CC23" s="148"/>
      <c r="CD23" s="148"/>
      <c r="CE23" s="148"/>
      <c r="CF23" s="148"/>
      <c r="CG23" s="148"/>
      <c r="CH23" s="148"/>
      <c r="CI23" s="148"/>
      <c r="CJ23" s="148"/>
      <c r="CK23" s="148"/>
      <c r="CL23" s="148"/>
      <c r="CM23" s="148"/>
      <c r="CN23" s="148"/>
      <c r="CO23" s="148"/>
      <c r="CP23" s="148"/>
      <c r="CQ23" s="148"/>
      <c r="CR23" s="148"/>
      <c r="CS23" s="148"/>
      <c r="CT23" s="148"/>
      <c r="CU23" s="148"/>
      <c r="CV23" s="148"/>
      <c r="CW23" s="148"/>
      <c r="CX23" s="148"/>
      <c r="CY23" s="148"/>
      <c r="CZ23" s="148"/>
      <c r="DA23" s="148"/>
      <c r="DB23" s="148"/>
      <c r="DC23" s="148"/>
      <c r="DD23" s="148"/>
      <c r="DE23" s="148"/>
      <c r="DF23" s="148"/>
      <c r="DG23" s="148"/>
      <c r="DH23" s="148"/>
      <c r="DI23" s="148"/>
      <c r="DJ23" s="148"/>
      <c r="DK23" s="148"/>
      <c r="DL23" s="148"/>
      <c r="DM23" s="148"/>
      <c r="DN23" s="148"/>
      <c r="DO23" s="148"/>
      <c r="DP23" s="148"/>
      <c r="DQ23" s="148"/>
      <c r="DR23" s="148"/>
      <c r="DS23" s="148"/>
      <c r="DT23" s="148"/>
      <c r="DU23" s="148"/>
      <c r="DV23" s="148"/>
      <c r="DW23" s="148"/>
      <c r="DX23" s="148"/>
      <c r="DY23" s="148"/>
      <c r="DZ23" s="148"/>
      <c r="EA23" s="148"/>
      <c r="EB23" s="148"/>
      <c r="EC23" s="148"/>
      <c r="ED23" s="148"/>
      <c r="EE23" s="148"/>
      <c r="EF23" s="148"/>
      <c r="EG23" s="148"/>
      <c r="EH23" s="148"/>
      <c r="EI23" s="148"/>
      <c r="EJ23" s="148"/>
      <c r="EK23" s="148"/>
      <c r="EL23" s="148"/>
      <c r="EM23" s="148"/>
      <c r="EN23" s="148"/>
      <c r="EO23" s="148"/>
      <c r="EP23" s="148"/>
      <c r="EQ23" s="148"/>
      <c r="ER23" s="148"/>
      <c r="ES23" s="148"/>
      <c r="ET23" s="148"/>
      <c r="EU23" s="148"/>
      <c r="EV23" s="148"/>
      <c r="EW23" s="148"/>
      <c r="EX23" s="148"/>
      <c r="EY23" s="148"/>
      <c r="EZ23" s="148"/>
      <c r="FA23" s="148"/>
      <c r="FB23" s="148"/>
      <c r="FC23" s="148"/>
      <c r="FD23" s="148"/>
      <c r="FE23" s="148"/>
      <c r="FF23" s="148"/>
      <c r="FG23" s="148"/>
      <c r="FH23" s="148"/>
      <c r="FI23" s="148"/>
      <c r="FJ23" s="148"/>
      <c r="FK23" s="148"/>
      <c r="FL23" s="148"/>
      <c r="FM23" s="148"/>
      <c r="FN23" s="148"/>
      <c r="FO23" s="148"/>
      <c r="FP23" s="148"/>
      <c r="FQ23" s="148"/>
      <c r="FR23" s="148"/>
      <c r="FS23" s="148"/>
      <c r="FT23" s="148"/>
      <c r="FU23" s="148"/>
      <c r="FV23" s="148"/>
      <c r="FW23" s="148"/>
      <c r="FX23" s="148"/>
      <c r="FY23" s="148"/>
      <c r="FZ23" s="148"/>
      <c r="GA23" s="148"/>
      <c r="GB23" s="148"/>
      <c r="GC23" s="148"/>
      <c r="GD23" s="148"/>
      <c r="GE23" s="148"/>
      <c r="GF23" s="148"/>
      <c r="GG23" s="148"/>
      <c r="GH23" s="148"/>
      <c r="GI23" s="148"/>
      <c r="GJ23" s="148"/>
      <c r="GK23" s="148"/>
      <c r="GL23" s="148"/>
      <c r="GM23" s="148"/>
      <c r="GN23" s="148"/>
      <c r="GO23" s="148"/>
      <c r="GP23" s="148"/>
      <c r="GQ23" s="148"/>
      <c r="GR23" s="148"/>
      <c r="GS23" s="148"/>
      <c r="GT23" s="148"/>
      <c r="GU23" s="148"/>
      <c r="GV23" s="148"/>
      <c r="GW23" s="148"/>
      <c r="GX23" s="148"/>
      <c r="GY23" s="148"/>
      <c r="GZ23" s="148"/>
      <c r="HA23" s="148"/>
      <c r="HB23" s="148"/>
      <c r="HC23" s="148"/>
      <c r="HD23" s="148"/>
      <c r="HE23" s="148"/>
      <c r="HF23" s="148"/>
      <c r="HG23" s="148"/>
      <c r="HH23" s="148"/>
      <c r="HI23" s="148"/>
      <c r="HJ23" s="148"/>
      <c r="HK23" s="148"/>
      <c r="HL23" s="148"/>
      <c r="HM23" s="148"/>
      <c r="HN23" s="148"/>
      <c r="HO23" s="148"/>
      <c r="HP23" s="148"/>
      <c r="HQ23" s="148"/>
      <c r="HR23" s="148"/>
      <c r="HS23" s="148"/>
      <c r="HT23" s="148"/>
      <c r="HU23" s="148"/>
      <c r="HV23" s="148"/>
      <c r="HW23" s="148"/>
      <c r="HX23" s="148"/>
      <c r="HY23" s="148"/>
      <c r="HZ23" s="148"/>
      <c r="IA23" s="148"/>
      <c r="IB23" s="148"/>
      <c r="IC23" s="148"/>
      <c r="ID23" s="148"/>
      <c r="IE23" s="148"/>
      <c r="IF23" s="148"/>
      <c r="IG23" s="148"/>
      <c r="IH23" s="148"/>
      <c r="II23" s="148"/>
      <c r="IJ23" s="148"/>
      <c r="IK23" s="148"/>
      <c r="IL23" s="148"/>
      <c r="IM23" s="148"/>
      <c r="IN23" s="148"/>
      <c r="IO23" s="148"/>
      <c r="IP23" s="148"/>
      <c r="IQ23" s="148"/>
      <c r="IR23" s="148"/>
      <c r="IS23" s="148"/>
      <c r="IT23" s="148"/>
      <c r="IU23" s="148"/>
      <c r="IV23" s="148"/>
      <c r="IW23" s="148"/>
      <c r="IX23" s="148"/>
      <c r="IY23" s="148"/>
      <c r="IZ23" s="148"/>
      <c r="JA23" s="148"/>
      <c r="JB23" s="148"/>
      <c r="JC23" s="148"/>
      <c r="JD23" s="148"/>
      <c r="JE23" s="148"/>
      <c r="JF23" s="148"/>
      <c r="JG23" s="148"/>
      <c r="JH23" s="148"/>
      <c r="JI23" s="148"/>
      <c r="JJ23" s="148"/>
      <c r="JK23" s="148"/>
      <c r="JL23" s="148"/>
      <c r="JM23" s="148"/>
      <c r="JN23" s="148"/>
      <c r="JO23" s="148"/>
      <c r="JP23" s="148"/>
      <c r="JQ23" s="148"/>
      <c r="JR23" s="148"/>
      <c r="JS23" s="148"/>
      <c r="JT23" s="148"/>
      <c r="JU23" s="148"/>
      <c r="JV23" s="148"/>
      <c r="JW23" s="148"/>
      <c r="JX23" s="148"/>
      <c r="JY23" s="148"/>
      <c r="JZ23" s="148"/>
      <c r="KA23" s="148"/>
      <c r="KB23" s="148"/>
      <c r="KC23" s="148"/>
      <c r="KD23" s="148"/>
      <c r="KE23" s="148"/>
      <c r="KF23" s="148"/>
      <c r="KG23" s="148"/>
      <c r="KH23" s="148"/>
      <c r="KI23" s="148"/>
      <c r="KJ23" s="148"/>
      <c r="KK23" s="148"/>
      <c r="KL23" s="148"/>
      <c r="KM23" s="148"/>
      <c r="KN23" s="148"/>
      <c r="KO23" s="148"/>
      <c r="KP23" s="148"/>
      <c r="KQ23" s="148"/>
      <c r="KR23" s="148"/>
      <c r="KS23" s="148"/>
      <c r="KT23" s="148"/>
      <c r="KU23" s="148"/>
      <c r="KV23" s="148"/>
      <c r="KW23" s="148"/>
      <c r="KX23" s="148"/>
      <c r="KY23" s="148"/>
      <c r="KZ23" s="148"/>
      <c r="LA23" s="148"/>
      <c r="LB23" s="148"/>
      <c r="LC23" s="148"/>
      <c r="LD23" s="148"/>
      <c r="LE23" s="148"/>
      <c r="LF23" s="148"/>
      <c r="LG23" s="148"/>
      <c r="LH23" s="148"/>
      <c r="LI23" s="148"/>
      <c r="LJ23" s="148"/>
      <c r="LK23" s="148"/>
      <c r="LL23" s="148"/>
      <c r="LM23" s="148"/>
      <c r="LN23" s="148"/>
      <c r="LO23" s="148"/>
      <c r="LP23" s="148"/>
      <c r="LQ23" s="148"/>
      <c r="LR23" s="148"/>
      <c r="LS23" s="148"/>
      <c r="LT23" s="148"/>
      <c r="LU23" s="148"/>
      <c r="LV23" s="148"/>
      <c r="LW23" s="148"/>
      <c r="LX23" s="148"/>
      <c r="LY23" s="148"/>
      <c r="LZ23" s="148"/>
      <c r="MA23" s="148"/>
      <c r="MB23" s="148"/>
      <c r="MC23" s="148"/>
      <c r="MD23" s="148"/>
      <c r="ME23" s="148"/>
      <c r="MF23" s="148"/>
      <c r="MG23" s="148"/>
      <c r="MH23" s="148"/>
      <c r="MI23" s="148"/>
      <c r="MJ23" s="148"/>
      <c r="MK23" s="148"/>
      <c r="ML23" s="148"/>
      <c r="MM23" s="148"/>
      <c r="MN23" s="148"/>
      <c r="MO23" s="148"/>
      <c r="MP23" s="148"/>
      <c r="MQ23" s="148"/>
      <c r="MR23" s="148"/>
      <c r="MS23" s="148"/>
      <c r="MT23" s="148"/>
      <c r="MU23" s="148"/>
      <c r="MV23" s="148"/>
      <c r="MW23" s="148"/>
      <c r="MX23" s="148"/>
      <c r="MY23" s="148"/>
      <c r="MZ23" s="148"/>
      <c r="NA23" s="148"/>
      <c r="NB23" s="148"/>
      <c r="NC23" s="148"/>
      <c r="ND23" s="148"/>
      <c r="NE23" s="148"/>
      <c r="NF23" s="148"/>
      <c r="NG23" s="148"/>
      <c r="NH23" s="148"/>
      <c r="NI23" s="148"/>
      <c r="NJ23" s="148"/>
      <c r="NK23" s="148"/>
      <c r="NL23" s="148"/>
      <c r="NM23" s="148"/>
      <c r="NN23" s="148"/>
      <c r="NO23" s="148"/>
      <c r="NP23" s="148"/>
      <c r="NQ23" s="148"/>
      <c r="NR23" s="148"/>
      <c r="NS23" s="148"/>
      <c r="NT23" s="148"/>
      <c r="NU23" s="148"/>
      <c r="NV23" s="148"/>
      <c r="NW23" s="148"/>
      <c r="NX23" s="148"/>
      <c r="NY23" s="148"/>
      <c r="NZ23" s="148"/>
      <c r="OA23" s="148"/>
      <c r="OB23" s="148"/>
      <c r="OC23" s="148"/>
      <c r="OD23" s="148"/>
      <c r="OE23" s="148"/>
      <c r="OF23" s="148"/>
      <c r="OG23" s="148"/>
      <c r="OH23" s="148"/>
      <c r="OI23" s="148"/>
      <c r="OJ23" s="148"/>
      <c r="OK23" s="148"/>
      <c r="OL23" s="148"/>
      <c r="OM23" s="148"/>
      <c r="ON23" s="148"/>
      <c r="OO23" s="148"/>
      <c r="OP23" s="148"/>
      <c r="OQ23" s="148"/>
      <c r="OR23" s="148"/>
      <c r="OS23" s="148"/>
      <c r="OT23" s="148"/>
      <c r="OU23" s="148"/>
      <c r="OV23" s="148"/>
      <c r="OW23" s="148"/>
      <c r="OX23" s="148"/>
      <c r="OY23" s="148"/>
      <c r="OZ23" s="148"/>
      <c r="PA23" s="148"/>
      <c r="PB23" s="148"/>
      <c r="PC23" s="148"/>
      <c r="PD23" s="148"/>
      <c r="PE23" s="148"/>
      <c r="PF23" s="148"/>
      <c r="PG23" s="148"/>
      <c r="PH23" s="148"/>
      <c r="PI23" s="148"/>
      <c r="PJ23" s="148"/>
      <c r="PK23" s="148"/>
      <c r="PL23" s="148"/>
      <c r="PM23" s="148"/>
      <c r="PN23" s="148"/>
      <c r="PO23" s="148"/>
      <c r="PP23" s="148"/>
      <c r="PQ23" s="148"/>
      <c r="PR23" s="148"/>
      <c r="PS23" s="148"/>
      <c r="PT23" s="148"/>
      <c r="PU23" s="148"/>
      <c r="PV23" s="148"/>
      <c r="PW23" s="148"/>
      <c r="PX23" s="148"/>
      <c r="PY23" s="148"/>
      <c r="PZ23" s="148"/>
      <c r="QA23" s="148"/>
      <c r="QB23" s="148"/>
      <c r="QC23" s="148"/>
      <c r="QD23" s="148"/>
      <c r="QE23" s="148"/>
      <c r="QF23" s="148"/>
      <c r="QG23" s="148"/>
      <c r="QH23" s="148"/>
      <c r="QI23" s="148"/>
      <c r="QJ23" s="148"/>
      <c r="QK23" s="148"/>
      <c r="QL23" s="148"/>
      <c r="QM23" s="148"/>
      <c r="QN23" s="148"/>
      <c r="QO23" s="148"/>
      <c r="QP23" s="148"/>
      <c r="QQ23" s="148"/>
      <c r="QR23" s="148"/>
      <c r="QS23" s="148"/>
      <c r="QT23" s="148"/>
      <c r="QU23" s="148"/>
      <c r="QV23" s="148"/>
      <c r="QW23" s="148"/>
      <c r="QX23" s="148"/>
      <c r="QY23" s="148"/>
      <c r="QZ23" s="148"/>
      <c r="RA23" s="148"/>
      <c r="RB23" s="148"/>
      <c r="RC23" s="148"/>
      <c r="RD23" s="148"/>
      <c r="RE23" s="148"/>
      <c r="RF23" s="148"/>
      <c r="RG23" s="148"/>
      <c r="RH23" s="148"/>
      <c r="RI23" s="148"/>
      <c r="RJ23" s="148"/>
      <c r="RK23" s="148"/>
      <c r="RL23" s="148"/>
      <c r="RM23" s="148"/>
      <c r="RN23" s="148"/>
      <c r="RO23" s="148"/>
      <c r="RP23" s="148"/>
      <c r="RQ23" s="148"/>
      <c r="RR23" s="148"/>
    </row>
    <row r="24" spans="1:486" s="15" customFormat="1" ht="23.25" customHeight="1" x14ac:dyDescent="0.25">
      <c r="A24" s="148"/>
      <c r="B24" s="350">
        <v>9</v>
      </c>
      <c r="C24" s="641" t="s">
        <v>894</v>
      </c>
      <c r="D24" s="631">
        <v>30451574</v>
      </c>
      <c r="E24" s="344" t="s">
        <v>2717</v>
      </c>
      <c r="F24" s="344" t="s">
        <v>45</v>
      </c>
      <c r="G24" s="17" t="s">
        <v>2693</v>
      </c>
      <c r="H24" s="17" t="s">
        <v>2718</v>
      </c>
      <c r="I24" s="346" t="s">
        <v>43</v>
      </c>
      <c r="J24" s="341" t="s">
        <v>2719</v>
      </c>
      <c r="K24" s="633">
        <v>0</v>
      </c>
      <c r="L24" s="633">
        <v>1566779</v>
      </c>
      <c r="M24" s="633">
        <v>0</v>
      </c>
      <c r="N24" s="633">
        <v>0</v>
      </c>
      <c r="O24" s="633">
        <v>0</v>
      </c>
      <c r="P24" s="633">
        <v>0</v>
      </c>
      <c r="Q24" s="633">
        <v>0</v>
      </c>
      <c r="R24" s="633">
        <v>0</v>
      </c>
      <c r="S24" s="633"/>
      <c r="T24" s="633"/>
      <c r="U24" s="633"/>
      <c r="V24" s="633"/>
      <c r="W24" s="633"/>
      <c r="X24" s="633"/>
      <c r="Y24" s="633">
        <f t="shared" si="1"/>
        <v>0</v>
      </c>
      <c r="Z24" s="407">
        <v>1</v>
      </c>
      <c r="AA24" s="635" t="s">
        <v>296</v>
      </c>
      <c r="AB24" s="23">
        <v>44232</v>
      </c>
      <c r="AC24" s="23">
        <v>44250</v>
      </c>
      <c r="AD24" s="636"/>
      <c r="AE24" s="20"/>
      <c r="AF24" s="21"/>
      <c r="AG24" s="23"/>
      <c r="AH24" s="637"/>
      <c r="AI24" s="19"/>
      <c r="AJ24" s="21"/>
      <c r="AK24" s="25"/>
      <c r="AL24" s="309"/>
      <c r="AM24" s="19"/>
      <c r="AN24" s="21"/>
      <c r="AO24" s="25"/>
      <c r="AP24" s="309"/>
      <c r="AQ24" s="19"/>
      <c r="AR24" s="21"/>
      <c r="AS24" s="25"/>
      <c r="AT24" s="638">
        <f t="shared" si="2"/>
        <v>1</v>
      </c>
      <c r="AU24" s="311">
        <f t="shared" si="0"/>
        <v>1</v>
      </c>
      <c r="AV24" s="148"/>
      <c r="AW24" s="148"/>
      <c r="AX24" s="148"/>
      <c r="AY24" s="148"/>
      <c r="AZ24" s="148"/>
      <c r="BA24" s="148"/>
      <c r="BB24" s="148"/>
      <c r="BC24" s="148"/>
      <c r="BD24" s="148"/>
      <c r="BE24" s="148"/>
      <c r="BF24" s="148"/>
      <c r="BG24" s="148"/>
      <c r="BH24" s="148"/>
      <c r="BI24" s="148"/>
      <c r="BJ24" s="148"/>
      <c r="BK24" s="148"/>
      <c r="BL24" s="148"/>
      <c r="BM24" s="148"/>
      <c r="BN24" s="148"/>
      <c r="BO24" s="148"/>
      <c r="BP24" s="148"/>
      <c r="BQ24" s="148"/>
      <c r="BR24" s="148"/>
      <c r="BS24" s="148"/>
      <c r="BT24" s="148"/>
      <c r="BU24" s="148"/>
      <c r="BV24" s="148"/>
      <c r="BW24" s="148"/>
      <c r="BX24" s="148"/>
      <c r="BY24" s="148"/>
      <c r="BZ24" s="148"/>
      <c r="CA24" s="148"/>
      <c r="CB24" s="148"/>
      <c r="CC24" s="148"/>
      <c r="CD24" s="148"/>
      <c r="CE24" s="148"/>
      <c r="CF24" s="148"/>
      <c r="CG24" s="148"/>
      <c r="CH24" s="148"/>
      <c r="CI24" s="148"/>
      <c r="CJ24" s="148"/>
      <c r="CK24" s="148"/>
      <c r="CL24" s="148"/>
      <c r="CM24" s="148"/>
      <c r="CN24" s="148"/>
      <c r="CO24" s="148"/>
      <c r="CP24" s="148"/>
      <c r="CQ24" s="148"/>
      <c r="CR24" s="148"/>
      <c r="CS24" s="148"/>
      <c r="CT24" s="148"/>
      <c r="CU24" s="148"/>
      <c r="CV24" s="148"/>
      <c r="CW24" s="148"/>
      <c r="CX24" s="148"/>
      <c r="CY24" s="148"/>
      <c r="CZ24" s="148"/>
      <c r="DA24" s="148"/>
      <c r="DB24" s="148"/>
      <c r="DC24" s="148"/>
      <c r="DD24" s="148"/>
      <c r="DE24" s="148"/>
      <c r="DF24" s="148"/>
      <c r="DG24" s="148"/>
      <c r="DH24" s="148"/>
      <c r="DI24" s="148"/>
      <c r="DJ24" s="148"/>
      <c r="DK24" s="148"/>
      <c r="DL24" s="148"/>
      <c r="DM24" s="148"/>
      <c r="DN24" s="148"/>
      <c r="DO24" s="148"/>
      <c r="DP24" s="148"/>
      <c r="DQ24" s="148"/>
      <c r="DR24" s="148"/>
      <c r="DS24" s="148"/>
      <c r="DT24" s="148"/>
      <c r="DU24" s="148"/>
      <c r="DV24" s="148"/>
      <c r="DW24" s="148"/>
      <c r="DX24" s="148"/>
      <c r="DY24" s="148"/>
      <c r="DZ24" s="148"/>
      <c r="EA24" s="148"/>
      <c r="EB24" s="148"/>
      <c r="EC24" s="148"/>
      <c r="ED24" s="148"/>
      <c r="EE24" s="148"/>
      <c r="EF24" s="148"/>
      <c r="EG24" s="148"/>
      <c r="EH24" s="148"/>
      <c r="EI24" s="148"/>
      <c r="EJ24" s="148"/>
      <c r="EK24" s="148"/>
      <c r="EL24" s="148"/>
      <c r="EM24" s="148"/>
      <c r="EN24" s="148"/>
      <c r="EO24" s="148"/>
      <c r="EP24" s="148"/>
      <c r="EQ24" s="148"/>
      <c r="ER24" s="148"/>
      <c r="ES24" s="148"/>
      <c r="ET24" s="148"/>
      <c r="EU24" s="148"/>
      <c r="EV24" s="148"/>
      <c r="EW24" s="148"/>
      <c r="EX24" s="148"/>
      <c r="EY24" s="148"/>
      <c r="EZ24" s="148"/>
      <c r="FA24" s="148"/>
      <c r="FB24" s="148"/>
      <c r="FC24" s="148"/>
      <c r="FD24" s="148"/>
      <c r="FE24" s="148"/>
      <c r="FF24" s="148"/>
      <c r="FG24" s="148"/>
      <c r="FH24" s="148"/>
      <c r="FI24" s="148"/>
      <c r="FJ24" s="148"/>
      <c r="FK24" s="148"/>
      <c r="FL24" s="148"/>
      <c r="FM24" s="148"/>
      <c r="FN24" s="148"/>
      <c r="FO24" s="148"/>
      <c r="FP24" s="148"/>
      <c r="FQ24" s="148"/>
      <c r="FR24" s="148"/>
      <c r="FS24" s="148"/>
      <c r="FT24" s="148"/>
      <c r="FU24" s="148"/>
      <c r="FV24" s="148"/>
      <c r="FW24" s="148"/>
      <c r="FX24" s="148"/>
      <c r="FY24" s="148"/>
      <c r="FZ24" s="148"/>
      <c r="GA24" s="148"/>
      <c r="GB24" s="148"/>
      <c r="GC24" s="148"/>
      <c r="GD24" s="148"/>
      <c r="GE24" s="148"/>
      <c r="GF24" s="148"/>
      <c r="GG24" s="148"/>
      <c r="GH24" s="148"/>
      <c r="GI24" s="148"/>
      <c r="GJ24" s="148"/>
      <c r="GK24" s="148"/>
      <c r="GL24" s="148"/>
      <c r="GM24" s="148"/>
      <c r="GN24" s="148"/>
      <c r="GO24" s="148"/>
      <c r="GP24" s="148"/>
      <c r="GQ24" s="148"/>
      <c r="GR24" s="148"/>
      <c r="GS24" s="148"/>
      <c r="GT24" s="148"/>
      <c r="GU24" s="148"/>
      <c r="GV24" s="148"/>
      <c r="GW24" s="148"/>
      <c r="GX24" s="148"/>
      <c r="GY24" s="148"/>
      <c r="GZ24" s="148"/>
      <c r="HA24" s="148"/>
      <c r="HB24" s="148"/>
      <c r="HC24" s="148"/>
      <c r="HD24" s="148"/>
      <c r="HE24" s="148"/>
      <c r="HF24" s="148"/>
      <c r="HG24" s="148"/>
      <c r="HH24" s="148"/>
      <c r="HI24" s="148"/>
      <c r="HJ24" s="148"/>
      <c r="HK24" s="148"/>
      <c r="HL24" s="148"/>
      <c r="HM24" s="148"/>
      <c r="HN24" s="148"/>
      <c r="HO24" s="148"/>
      <c r="HP24" s="148"/>
      <c r="HQ24" s="148"/>
      <c r="HR24" s="148"/>
      <c r="HS24" s="148"/>
      <c r="HT24" s="148"/>
      <c r="HU24" s="148"/>
      <c r="HV24" s="148"/>
      <c r="HW24" s="148"/>
      <c r="HX24" s="148"/>
      <c r="HY24" s="148"/>
      <c r="HZ24" s="148"/>
      <c r="IA24" s="148"/>
      <c r="IB24" s="148"/>
      <c r="IC24" s="148"/>
      <c r="ID24" s="148"/>
      <c r="IE24" s="148"/>
      <c r="IF24" s="148"/>
      <c r="IG24" s="148"/>
      <c r="IH24" s="148"/>
      <c r="II24" s="148"/>
      <c r="IJ24" s="148"/>
      <c r="IK24" s="148"/>
      <c r="IL24" s="148"/>
      <c r="IM24" s="148"/>
      <c r="IN24" s="148"/>
      <c r="IO24" s="148"/>
      <c r="IP24" s="148"/>
      <c r="IQ24" s="148"/>
      <c r="IR24" s="148"/>
      <c r="IS24" s="148"/>
      <c r="IT24" s="148"/>
      <c r="IU24" s="148"/>
      <c r="IV24" s="148"/>
      <c r="IW24" s="148"/>
      <c r="IX24" s="148"/>
      <c r="IY24" s="148"/>
      <c r="IZ24" s="148"/>
      <c r="JA24" s="148"/>
      <c r="JB24" s="148"/>
      <c r="JC24" s="148"/>
      <c r="JD24" s="148"/>
      <c r="JE24" s="148"/>
      <c r="JF24" s="148"/>
      <c r="JG24" s="148"/>
      <c r="JH24" s="148"/>
      <c r="JI24" s="148"/>
      <c r="JJ24" s="148"/>
      <c r="JK24" s="148"/>
      <c r="JL24" s="148"/>
      <c r="JM24" s="148"/>
      <c r="JN24" s="148"/>
      <c r="JO24" s="148"/>
      <c r="JP24" s="148"/>
      <c r="JQ24" s="148"/>
      <c r="JR24" s="148"/>
      <c r="JS24" s="148"/>
      <c r="JT24" s="148"/>
      <c r="JU24" s="148"/>
      <c r="JV24" s="148"/>
      <c r="JW24" s="148"/>
      <c r="JX24" s="148"/>
      <c r="JY24" s="148"/>
      <c r="JZ24" s="148"/>
      <c r="KA24" s="148"/>
      <c r="KB24" s="148"/>
      <c r="KC24" s="148"/>
      <c r="KD24" s="148"/>
      <c r="KE24" s="148"/>
      <c r="KF24" s="148"/>
      <c r="KG24" s="148"/>
      <c r="KH24" s="148"/>
      <c r="KI24" s="148"/>
      <c r="KJ24" s="148"/>
      <c r="KK24" s="148"/>
      <c r="KL24" s="148"/>
      <c r="KM24" s="148"/>
      <c r="KN24" s="148"/>
      <c r="KO24" s="148"/>
      <c r="KP24" s="148"/>
      <c r="KQ24" s="148"/>
      <c r="KR24" s="148"/>
      <c r="KS24" s="148"/>
      <c r="KT24" s="148"/>
      <c r="KU24" s="148"/>
      <c r="KV24" s="148"/>
      <c r="KW24" s="148"/>
      <c r="KX24" s="148"/>
      <c r="KY24" s="148"/>
      <c r="KZ24" s="148"/>
      <c r="LA24" s="148"/>
      <c r="LB24" s="148"/>
      <c r="LC24" s="148"/>
      <c r="LD24" s="148"/>
      <c r="LE24" s="148"/>
      <c r="LF24" s="148"/>
      <c r="LG24" s="148"/>
      <c r="LH24" s="148"/>
      <c r="LI24" s="148"/>
      <c r="LJ24" s="148"/>
      <c r="LK24" s="148"/>
      <c r="LL24" s="148"/>
      <c r="LM24" s="148"/>
      <c r="LN24" s="148"/>
      <c r="LO24" s="148"/>
      <c r="LP24" s="148"/>
      <c r="LQ24" s="148"/>
      <c r="LR24" s="148"/>
      <c r="LS24" s="148"/>
      <c r="LT24" s="148"/>
      <c r="LU24" s="148"/>
      <c r="LV24" s="148"/>
      <c r="LW24" s="148"/>
      <c r="LX24" s="148"/>
      <c r="LY24" s="148"/>
      <c r="LZ24" s="148"/>
      <c r="MA24" s="148"/>
      <c r="MB24" s="148"/>
      <c r="MC24" s="148"/>
      <c r="MD24" s="148"/>
      <c r="ME24" s="148"/>
      <c r="MF24" s="148"/>
      <c r="MG24" s="148"/>
      <c r="MH24" s="148"/>
      <c r="MI24" s="148"/>
      <c r="MJ24" s="148"/>
      <c r="MK24" s="148"/>
      <c r="ML24" s="148"/>
      <c r="MM24" s="148"/>
      <c r="MN24" s="148"/>
      <c r="MO24" s="148"/>
      <c r="MP24" s="148"/>
      <c r="MQ24" s="148"/>
      <c r="MR24" s="148"/>
      <c r="MS24" s="148"/>
      <c r="MT24" s="148"/>
      <c r="MU24" s="148"/>
      <c r="MV24" s="148"/>
      <c r="MW24" s="148"/>
      <c r="MX24" s="148"/>
      <c r="MY24" s="148"/>
      <c r="MZ24" s="148"/>
      <c r="NA24" s="148"/>
      <c r="NB24" s="148"/>
      <c r="NC24" s="148"/>
      <c r="ND24" s="148"/>
      <c r="NE24" s="148"/>
      <c r="NF24" s="148"/>
      <c r="NG24" s="148"/>
      <c r="NH24" s="148"/>
      <c r="NI24" s="148"/>
      <c r="NJ24" s="148"/>
      <c r="NK24" s="148"/>
      <c r="NL24" s="148"/>
      <c r="NM24" s="148"/>
      <c r="NN24" s="148"/>
      <c r="NO24" s="148"/>
      <c r="NP24" s="148"/>
      <c r="NQ24" s="148"/>
      <c r="NR24" s="148"/>
      <c r="NS24" s="148"/>
      <c r="NT24" s="148"/>
      <c r="NU24" s="148"/>
      <c r="NV24" s="148"/>
      <c r="NW24" s="148"/>
      <c r="NX24" s="148"/>
      <c r="NY24" s="148"/>
      <c r="NZ24" s="148"/>
      <c r="OA24" s="148"/>
      <c r="OB24" s="148"/>
      <c r="OC24" s="148"/>
      <c r="OD24" s="148"/>
      <c r="OE24" s="148"/>
      <c r="OF24" s="148"/>
      <c r="OG24" s="148"/>
      <c r="OH24" s="148"/>
      <c r="OI24" s="148"/>
      <c r="OJ24" s="148"/>
      <c r="OK24" s="148"/>
      <c r="OL24" s="148"/>
      <c r="OM24" s="148"/>
      <c r="ON24" s="148"/>
      <c r="OO24" s="148"/>
      <c r="OP24" s="148"/>
      <c r="OQ24" s="148"/>
      <c r="OR24" s="148"/>
      <c r="OS24" s="148"/>
      <c r="OT24" s="148"/>
      <c r="OU24" s="148"/>
      <c r="OV24" s="148"/>
      <c r="OW24" s="148"/>
      <c r="OX24" s="148"/>
      <c r="OY24" s="148"/>
      <c r="OZ24" s="148"/>
      <c r="PA24" s="148"/>
      <c r="PB24" s="148"/>
      <c r="PC24" s="148"/>
      <c r="PD24" s="148"/>
      <c r="PE24" s="148"/>
      <c r="PF24" s="148"/>
      <c r="PG24" s="148"/>
      <c r="PH24" s="148"/>
      <c r="PI24" s="148"/>
      <c r="PJ24" s="148"/>
      <c r="PK24" s="148"/>
      <c r="PL24" s="148"/>
      <c r="PM24" s="148"/>
      <c r="PN24" s="148"/>
      <c r="PO24" s="148"/>
      <c r="PP24" s="148"/>
      <c r="PQ24" s="148"/>
      <c r="PR24" s="148"/>
      <c r="PS24" s="148"/>
      <c r="PT24" s="148"/>
      <c r="PU24" s="148"/>
      <c r="PV24" s="148"/>
      <c r="PW24" s="148"/>
      <c r="PX24" s="148"/>
      <c r="PY24" s="148"/>
      <c r="PZ24" s="148"/>
      <c r="QA24" s="148"/>
      <c r="QB24" s="148"/>
      <c r="QC24" s="148"/>
      <c r="QD24" s="148"/>
      <c r="QE24" s="148"/>
      <c r="QF24" s="148"/>
      <c r="QG24" s="148"/>
      <c r="QH24" s="148"/>
      <c r="QI24" s="148"/>
      <c r="QJ24" s="148"/>
      <c r="QK24" s="148"/>
      <c r="QL24" s="148"/>
      <c r="QM24" s="148"/>
      <c r="QN24" s="148"/>
      <c r="QO24" s="148"/>
      <c r="QP24" s="148"/>
      <c r="QQ24" s="148"/>
      <c r="QR24" s="148"/>
      <c r="QS24" s="148"/>
      <c r="QT24" s="148"/>
      <c r="QU24" s="148"/>
      <c r="QV24" s="148"/>
      <c r="QW24" s="148"/>
      <c r="QX24" s="148"/>
      <c r="QY24" s="148"/>
      <c r="QZ24" s="148"/>
      <c r="RA24" s="148"/>
      <c r="RB24" s="148"/>
      <c r="RC24" s="148"/>
      <c r="RD24" s="148"/>
      <c r="RE24" s="148"/>
      <c r="RF24" s="148"/>
      <c r="RG24" s="148"/>
      <c r="RH24" s="148"/>
      <c r="RI24" s="148"/>
      <c r="RJ24" s="148"/>
      <c r="RK24" s="148"/>
      <c r="RL24" s="148"/>
      <c r="RM24" s="148"/>
      <c r="RN24" s="148"/>
      <c r="RO24" s="148"/>
      <c r="RP24" s="148"/>
      <c r="RQ24" s="148"/>
      <c r="RR24" s="148"/>
    </row>
    <row r="25" spans="1:486" s="15" customFormat="1" x14ac:dyDescent="0.25">
      <c r="A25" s="148"/>
      <c r="B25" s="350">
        <v>10</v>
      </c>
      <c r="C25" s="643" t="s">
        <v>894</v>
      </c>
      <c r="D25" s="631">
        <v>30479895</v>
      </c>
      <c r="E25" s="344" t="s">
        <v>2720</v>
      </c>
      <c r="F25" s="344" t="s">
        <v>46</v>
      </c>
      <c r="G25" s="17" t="s">
        <v>2693</v>
      </c>
      <c r="H25" s="317" t="s">
        <v>2715</v>
      </c>
      <c r="I25" s="346" t="s">
        <v>43</v>
      </c>
      <c r="J25" s="341" t="s">
        <v>2721</v>
      </c>
      <c r="K25" s="633">
        <v>53991</v>
      </c>
      <c r="L25" s="633">
        <v>0</v>
      </c>
      <c r="M25" s="633">
        <v>0</v>
      </c>
      <c r="N25" s="633">
        <v>0</v>
      </c>
      <c r="O25" s="633">
        <v>0</v>
      </c>
      <c r="P25" s="633">
        <v>0</v>
      </c>
      <c r="Q25" s="633">
        <v>0</v>
      </c>
      <c r="R25" s="633">
        <v>0</v>
      </c>
      <c r="S25" s="633"/>
      <c r="T25" s="633"/>
      <c r="U25" s="633"/>
      <c r="V25" s="633"/>
      <c r="W25" s="633"/>
      <c r="X25" s="633"/>
      <c r="Y25" s="633">
        <f t="shared" si="1"/>
        <v>0</v>
      </c>
      <c r="Z25" s="407">
        <v>17120</v>
      </c>
      <c r="AA25" s="635" t="s">
        <v>296</v>
      </c>
      <c r="AB25" s="23">
        <v>44232</v>
      </c>
      <c r="AC25" s="23">
        <v>44250</v>
      </c>
      <c r="AD25" s="636"/>
      <c r="AE25" s="20"/>
      <c r="AF25" s="21"/>
      <c r="AG25" s="23"/>
      <c r="AH25" s="637"/>
      <c r="AI25" s="19"/>
      <c r="AJ25" s="21"/>
      <c r="AK25" s="25"/>
      <c r="AL25" s="309"/>
      <c r="AM25" s="19"/>
      <c r="AN25" s="21"/>
      <c r="AO25" s="25"/>
      <c r="AP25" s="309"/>
      <c r="AQ25" s="19"/>
      <c r="AR25" s="21"/>
      <c r="AS25" s="25"/>
      <c r="AT25" s="638">
        <f t="shared" si="2"/>
        <v>17120</v>
      </c>
      <c r="AU25" s="311">
        <f t="shared" si="0"/>
        <v>17120</v>
      </c>
      <c r="AV25" s="148"/>
      <c r="AW25" s="148"/>
      <c r="AX25" s="148"/>
      <c r="AY25" s="148"/>
      <c r="AZ25" s="148"/>
      <c r="BA25" s="148"/>
      <c r="BB25" s="148"/>
      <c r="BC25" s="148"/>
      <c r="BD25" s="148"/>
      <c r="BE25" s="148"/>
      <c r="BF25" s="148"/>
      <c r="BG25" s="148"/>
      <c r="BH25" s="148"/>
      <c r="BI25" s="148"/>
      <c r="BJ25" s="148"/>
      <c r="BK25" s="148"/>
      <c r="BL25" s="148"/>
      <c r="BM25" s="148"/>
      <c r="BN25" s="148"/>
      <c r="BO25" s="148"/>
      <c r="BP25" s="148"/>
      <c r="BQ25" s="148"/>
      <c r="BR25" s="148"/>
      <c r="BS25" s="148"/>
      <c r="BT25" s="148"/>
      <c r="BU25" s="148"/>
      <c r="BV25" s="148"/>
      <c r="BW25" s="148"/>
      <c r="BX25" s="148"/>
      <c r="BY25" s="148"/>
      <c r="BZ25" s="148"/>
      <c r="CA25" s="148"/>
      <c r="CB25" s="148"/>
      <c r="CC25" s="148"/>
      <c r="CD25" s="148"/>
      <c r="CE25" s="148"/>
      <c r="CF25" s="148"/>
      <c r="CG25" s="148"/>
      <c r="CH25" s="148"/>
      <c r="CI25" s="148"/>
      <c r="CJ25" s="148"/>
      <c r="CK25" s="148"/>
      <c r="CL25" s="148"/>
      <c r="CM25" s="148"/>
      <c r="CN25" s="148"/>
      <c r="CO25" s="148"/>
      <c r="CP25" s="148"/>
      <c r="CQ25" s="148"/>
      <c r="CR25" s="148"/>
      <c r="CS25" s="148"/>
      <c r="CT25" s="148"/>
      <c r="CU25" s="148"/>
      <c r="CV25" s="148"/>
      <c r="CW25" s="148"/>
      <c r="CX25" s="148"/>
      <c r="CY25" s="148"/>
      <c r="CZ25" s="148"/>
      <c r="DA25" s="148"/>
      <c r="DB25" s="148"/>
      <c r="DC25" s="148"/>
      <c r="DD25" s="148"/>
      <c r="DE25" s="148"/>
      <c r="DF25" s="148"/>
      <c r="DG25" s="148"/>
      <c r="DH25" s="148"/>
      <c r="DI25" s="148"/>
      <c r="DJ25" s="148"/>
      <c r="DK25" s="148"/>
      <c r="DL25" s="148"/>
      <c r="DM25" s="148"/>
      <c r="DN25" s="148"/>
      <c r="DO25" s="148"/>
      <c r="DP25" s="148"/>
      <c r="DQ25" s="148"/>
      <c r="DR25" s="148"/>
      <c r="DS25" s="148"/>
      <c r="DT25" s="148"/>
      <c r="DU25" s="148"/>
      <c r="DV25" s="148"/>
      <c r="DW25" s="148"/>
      <c r="DX25" s="148"/>
      <c r="DY25" s="148"/>
      <c r="DZ25" s="148"/>
      <c r="EA25" s="148"/>
      <c r="EB25" s="148"/>
      <c r="EC25" s="148"/>
      <c r="ED25" s="148"/>
      <c r="EE25" s="148"/>
      <c r="EF25" s="148"/>
      <c r="EG25" s="148"/>
      <c r="EH25" s="148"/>
      <c r="EI25" s="148"/>
      <c r="EJ25" s="148"/>
      <c r="EK25" s="148"/>
      <c r="EL25" s="148"/>
      <c r="EM25" s="148"/>
      <c r="EN25" s="148"/>
      <c r="EO25" s="148"/>
      <c r="EP25" s="148"/>
      <c r="EQ25" s="148"/>
      <c r="ER25" s="148"/>
      <c r="ES25" s="148"/>
      <c r="ET25" s="148"/>
      <c r="EU25" s="148"/>
      <c r="EV25" s="148"/>
      <c r="EW25" s="148"/>
      <c r="EX25" s="148"/>
      <c r="EY25" s="148"/>
      <c r="EZ25" s="148"/>
      <c r="FA25" s="148"/>
      <c r="FB25" s="148"/>
      <c r="FC25" s="148"/>
      <c r="FD25" s="148"/>
      <c r="FE25" s="148"/>
      <c r="FF25" s="148"/>
      <c r="FG25" s="148"/>
      <c r="FH25" s="148"/>
      <c r="FI25" s="148"/>
      <c r="FJ25" s="148"/>
      <c r="FK25" s="148"/>
      <c r="FL25" s="148"/>
      <c r="FM25" s="148"/>
      <c r="FN25" s="148"/>
      <c r="FO25" s="148"/>
      <c r="FP25" s="148"/>
      <c r="FQ25" s="148"/>
      <c r="FR25" s="148"/>
      <c r="FS25" s="148"/>
      <c r="FT25" s="148"/>
      <c r="FU25" s="148"/>
      <c r="FV25" s="148"/>
      <c r="FW25" s="148"/>
      <c r="FX25" s="148"/>
      <c r="FY25" s="148"/>
      <c r="FZ25" s="148"/>
      <c r="GA25" s="148"/>
      <c r="GB25" s="148"/>
      <c r="GC25" s="148"/>
      <c r="GD25" s="148"/>
      <c r="GE25" s="148"/>
      <c r="GF25" s="148"/>
      <c r="GG25" s="148"/>
      <c r="GH25" s="148"/>
      <c r="GI25" s="148"/>
      <c r="GJ25" s="148"/>
      <c r="GK25" s="148"/>
      <c r="GL25" s="148"/>
      <c r="GM25" s="148"/>
      <c r="GN25" s="148"/>
      <c r="GO25" s="148"/>
      <c r="GP25" s="148"/>
      <c r="GQ25" s="148"/>
      <c r="GR25" s="148"/>
      <c r="GS25" s="148"/>
      <c r="GT25" s="148"/>
      <c r="GU25" s="148"/>
      <c r="GV25" s="148"/>
      <c r="GW25" s="148"/>
      <c r="GX25" s="148"/>
      <c r="GY25" s="148"/>
      <c r="GZ25" s="148"/>
      <c r="HA25" s="148"/>
      <c r="HB25" s="148"/>
      <c r="HC25" s="148"/>
      <c r="HD25" s="148"/>
      <c r="HE25" s="148"/>
      <c r="HF25" s="148"/>
      <c r="HG25" s="148"/>
      <c r="HH25" s="148"/>
      <c r="HI25" s="148"/>
      <c r="HJ25" s="148"/>
      <c r="HK25" s="148"/>
      <c r="HL25" s="148"/>
      <c r="HM25" s="148"/>
      <c r="HN25" s="148"/>
      <c r="HO25" s="148"/>
      <c r="HP25" s="148"/>
      <c r="HQ25" s="148"/>
      <c r="HR25" s="148"/>
      <c r="HS25" s="148"/>
      <c r="HT25" s="148"/>
      <c r="HU25" s="148"/>
      <c r="HV25" s="148"/>
      <c r="HW25" s="148"/>
      <c r="HX25" s="148"/>
      <c r="HY25" s="148"/>
      <c r="HZ25" s="148"/>
      <c r="IA25" s="148"/>
      <c r="IB25" s="148"/>
      <c r="IC25" s="148"/>
      <c r="ID25" s="148"/>
      <c r="IE25" s="148"/>
      <c r="IF25" s="148"/>
      <c r="IG25" s="148"/>
      <c r="IH25" s="148"/>
      <c r="II25" s="148"/>
      <c r="IJ25" s="148"/>
      <c r="IK25" s="148"/>
      <c r="IL25" s="148"/>
      <c r="IM25" s="148"/>
      <c r="IN25" s="148"/>
      <c r="IO25" s="148"/>
      <c r="IP25" s="148"/>
      <c r="IQ25" s="148"/>
      <c r="IR25" s="148"/>
      <c r="IS25" s="148"/>
      <c r="IT25" s="148"/>
      <c r="IU25" s="148"/>
      <c r="IV25" s="148"/>
      <c r="IW25" s="148"/>
      <c r="IX25" s="148"/>
      <c r="IY25" s="148"/>
      <c r="IZ25" s="148"/>
      <c r="JA25" s="148"/>
      <c r="JB25" s="148"/>
      <c r="JC25" s="148"/>
      <c r="JD25" s="148"/>
      <c r="JE25" s="148"/>
      <c r="JF25" s="148"/>
      <c r="JG25" s="148"/>
      <c r="JH25" s="148"/>
      <c r="JI25" s="148"/>
      <c r="JJ25" s="148"/>
      <c r="JK25" s="148"/>
      <c r="JL25" s="148"/>
      <c r="JM25" s="148"/>
      <c r="JN25" s="148"/>
      <c r="JO25" s="148"/>
      <c r="JP25" s="148"/>
      <c r="JQ25" s="148"/>
      <c r="JR25" s="148"/>
      <c r="JS25" s="148"/>
      <c r="JT25" s="148"/>
      <c r="JU25" s="148"/>
      <c r="JV25" s="148"/>
      <c r="JW25" s="148"/>
      <c r="JX25" s="148"/>
      <c r="JY25" s="148"/>
      <c r="JZ25" s="148"/>
      <c r="KA25" s="148"/>
      <c r="KB25" s="148"/>
      <c r="KC25" s="148"/>
      <c r="KD25" s="148"/>
      <c r="KE25" s="148"/>
      <c r="KF25" s="148"/>
      <c r="KG25" s="148"/>
      <c r="KH25" s="148"/>
      <c r="KI25" s="148"/>
      <c r="KJ25" s="148"/>
      <c r="KK25" s="148"/>
      <c r="KL25" s="148"/>
      <c r="KM25" s="148"/>
      <c r="KN25" s="148"/>
      <c r="KO25" s="148"/>
      <c r="KP25" s="148"/>
      <c r="KQ25" s="148"/>
      <c r="KR25" s="148"/>
      <c r="KS25" s="148"/>
      <c r="KT25" s="148"/>
      <c r="KU25" s="148"/>
      <c r="KV25" s="148"/>
      <c r="KW25" s="148"/>
      <c r="KX25" s="148"/>
      <c r="KY25" s="148"/>
      <c r="KZ25" s="148"/>
      <c r="LA25" s="148"/>
      <c r="LB25" s="148"/>
      <c r="LC25" s="148"/>
      <c r="LD25" s="148"/>
      <c r="LE25" s="148"/>
      <c r="LF25" s="148"/>
      <c r="LG25" s="148"/>
      <c r="LH25" s="148"/>
      <c r="LI25" s="148"/>
      <c r="LJ25" s="148"/>
      <c r="LK25" s="148"/>
      <c r="LL25" s="148"/>
      <c r="LM25" s="148"/>
      <c r="LN25" s="148"/>
      <c r="LO25" s="148"/>
      <c r="LP25" s="148"/>
      <c r="LQ25" s="148"/>
      <c r="LR25" s="148"/>
      <c r="LS25" s="148"/>
      <c r="LT25" s="148"/>
      <c r="LU25" s="148"/>
      <c r="LV25" s="148"/>
      <c r="LW25" s="148"/>
      <c r="LX25" s="148"/>
      <c r="LY25" s="148"/>
      <c r="LZ25" s="148"/>
      <c r="MA25" s="148"/>
      <c r="MB25" s="148"/>
      <c r="MC25" s="148"/>
      <c r="MD25" s="148"/>
      <c r="ME25" s="148"/>
      <c r="MF25" s="148"/>
      <c r="MG25" s="148"/>
      <c r="MH25" s="148"/>
      <c r="MI25" s="148"/>
      <c r="MJ25" s="148"/>
      <c r="MK25" s="148"/>
      <c r="ML25" s="148"/>
      <c r="MM25" s="148"/>
      <c r="MN25" s="148"/>
      <c r="MO25" s="148"/>
      <c r="MP25" s="148"/>
      <c r="MQ25" s="148"/>
      <c r="MR25" s="148"/>
      <c r="MS25" s="148"/>
      <c r="MT25" s="148"/>
      <c r="MU25" s="148"/>
      <c r="MV25" s="148"/>
      <c r="MW25" s="148"/>
      <c r="MX25" s="148"/>
      <c r="MY25" s="148"/>
      <c r="MZ25" s="148"/>
      <c r="NA25" s="148"/>
      <c r="NB25" s="148"/>
      <c r="NC25" s="148"/>
      <c r="ND25" s="148"/>
      <c r="NE25" s="148"/>
      <c r="NF25" s="148"/>
      <c r="NG25" s="148"/>
      <c r="NH25" s="148"/>
      <c r="NI25" s="148"/>
      <c r="NJ25" s="148"/>
      <c r="NK25" s="148"/>
      <c r="NL25" s="148"/>
      <c r="NM25" s="148"/>
      <c r="NN25" s="148"/>
      <c r="NO25" s="148"/>
      <c r="NP25" s="148"/>
      <c r="NQ25" s="148"/>
      <c r="NR25" s="148"/>
      <c r="NS25" s="148"/>
      <c r="NT25" s="148"/>
      <c r="NU25" s="148"/>
      <c r="NV25" s="148"/>
      <c r="NW25" s="148"/>
      <c r="NX25" s="148"/>
      <c r="NY25" s="148"/>
      <c r="NZ25" s="148"/>
      <c r="OA25" s="148"/>
      <c r="OB25" s="148"/>
      <c r="OC25" s="148"/>
      <c r="OD25" s="148"/>
      <c r="OE25" s="148"/>
      <c r="OF25" s="148"/>
      <c r="OG25" s="148"/>
      <c r="OH25" s="148"/>
      <c r="OI25" s="148"/>
      <c r="OJ25" s="148"/>
      <c r="OK25" s="148"/>
      <c r="OL25" s="148"/>
      <c r="OM25" s="148"/>
      <c r="ON25" s="148"/>
      <c r="OO25" s="148"/>
      <c r="OP25" s="148"/>
      <c r="OQ25" s="148"/>
      <c r="OR25" s="148"/>
      <c r="OS25" s="148"/>
      <c r="OT25" s="148"/>
      <c r="OU25" s="148"/>
      <c r="OV25" s="148"/>
      <c r="OW25" s="148"/>
      <c r="OX25" s="148"/>
      <c r="OY25" s="148"/>
      <c r="OZ25" s="148"/>
      <c r="PA25" s="148"/>
      <c r="PB25" s="148"/>
      <c r="PC25" s="148"/>
      <c r="PD25" s="148"/>
      <c r="PE25" s="148"/>
      <c r="PF25" s="148"/>
      <c r="PG25" s="148"/>
      <c r="PH25" s="148"/>
      <c r="PI25" s="148"/>
      <c r="PJ25" s="148"/>
      <c r="PK25" s="148"/>
      <c r="PL25" s="148"/>
      <c r="PM25" s="148"/>
      <c r="PN25" s="148"/>
      <c r="PO25" s="148"/>
      <c r="PP25" s="148"/>
      <c r="PQ25" s="148"/>
      <c r="PR25" s="148"/>
      <c r="PS25" s="148"/>
      <c r="PT25" s="148"/>
      <c r="PU25" s="148"/>
      <c r="PV25" s="148"/>
      <c r="PW25" s="148"/>
      <c r="PX25" s="148"/>
      <c r="PY25" s="148"/>
      <c r="PZ25" s="148"/>
      <c r="QA25" s="148"/>
      <c r="QB25" s="148"/>
      <c r="QC25" s="148"/>
      <c r="QD25" s="148"/>
      <c r="QE25" s="148"/>
      <c r="QF25" s="148"/>
      <c r="QG25" s="148"/>
      <c r="QH25" s="148"/>
      <c r="QI25" s="148"/>
      <c r="QJ25" s="148"/>
      <c r="QK25" s="148"/>
      <c r="QL25" s="148"/>
      <c r="QM25" s="148"/>
      <c r="QN25" s="148"/>
      <c r="QO25" s="148"/>
      <c r="QP25" s="148"/>
      <c r="QQ25" s="148"/>
      <c r="QR25" s="148"/>
      <c r="QS25" s="148"/>
      <c r="QT25" s="148"/>
      <c r="QU25" s="148"/>
      <c r="QV25" s="148"/>
      <c r="QW25" s="148"/>
      <c r="QX25" s="148"/>
      <c r="QY25" s="148"/>
      <c r="QZ25" s="148"/>
      <c r="RA25" s="148"/>
      <c r="RB25" s="148"/>
      <c r="RC25" s="148"/>
      <c r="RD25" s="148"/>
      <c r="RE25" s="148"/>
      <c r="RF25" s="148"/>
      <c r="RG25" s="148"/>
      <c r="RH25" s="148"/>
      <c r="RI25" s="148"/>
      <c r="RJ25" s="148"/>
      <c r="RK25" s="148"/>
      <c r="RL25" s="148"/>
      <c r="RM25" s="148"/>
      <c r="RN25" s="148"/>
      <c r="RO25" s="148"/>
      <c r="RP25" s="148"/>
      <c r="RQ25" s="148"/>
      <c r="RR25" s="148"/>
    </row>
    <row r="26" spans="1:486" s="15" customFormat="1" x14ac:dyDescent="0.25">
      <c r="A26" s="148"/>
      <c r="B26" s="350">
        <v>11</v>
      </c>
      <c r="C26" s="641" t="s">
        <v>894</v>
      </c>
      <c r="D26" s="631">
        <v>30480903</v>
      </c>
      <c r="E26" s="344" t="s">
        <v>2722</v>
      </c>
      <c r="F26" s="344" t="s">
        <v>45</v>
      </c>
      <c r="G26" s="17" t="s">
        <v>2693</v>
      </c>
      <c r="H26" s="317" t="s">
        <v>2723</v>
      </c>
      <c r="I26" s="346" t="s">
        <v>43</v>
      </c>
      <c r="J26" s="341" t="s">
        <v>2724</v>
      </c>
      <c r="K26" s="633">
        <v>1186054</v>
      </c>
      <c r="L26" s="633">
        <v>0</v>
      </c>
      <c r="M26" s="633">
        <v>0</v>
      </c>
      <c r="N26" s="633">
        <v>0</v>
      </c>
      <c r="O26" s="633">
        <v>31380</v>
      </c>
      <c r="P26" s="639">
        <v>1890</v>
      </c>
      <c r="Q26" s="633">
        <v>0</v>
      </c>
      <c r="R26" s="633">
        <v>0</v>
      </c>
      <c r="S26" s="633"/>
      <c r="T26" s="633"/>
      <c r="U26" s="633"/>
      <c r="V26" s="633"/>
      <c r="W26" s="633"/>
      <c r="X26" s="633"/>
      <c r="Y26" s="633">
        <f t="shared" si="1"/>
        <v>33270</v>
      </c>
      <c r="Z26" s="407">
        <v>460135</v>
      </c>
      <c r="AA26" s="635" t="s">
        <v>296</v>
      </c>
      <c r="AB26" s="23">
        <v>44232</v>
      </c>
      <c r="AC26" s="23">
        <v>44250</v>
      </c>
      <c r="AD26" s="640">
        <v>77498</v>
      </c>
      <c r="AE26" s="19">
        <v>19</v>
      </c>
      <c r="AF26" s="315">
        <v>44271</v>
      </c>
      <c r="AG26" s="315">
        <v>44312</v>
      </c>
      <c r="AH26" s="637"/>
      <c r="AI26" s="19"/>
      <c r="AJ26" s="21"/>
      <c r="AK26" s="25"/>
      <c r="AL26" s="309"/>
      <c r="AM26" s="19"/>
      <c r="AN26" s="21"/>
      <c r="AO26" s="25"/>
      <c r="AP26" s="309"/>
      <c r="AQ26" s="19"/>
      <c r="AR26" s="21"/>
      <c r="AS26" s="25"/>
      <c r="AT26" s="638">
        <f t="shared" si="2"/>
        <v>537633</v>
      </c>
      <c r="AU26" s="311">
        <f t="shared" si="0"/>
        <v>504363</v>
      </c>
      <c r="AV26" s="148"/>
      <c r="AW26" s="148"/>
      <c r="AX26" s="148"/>
      <c r="AY26" s="148"/>
      <c r="AZ26" s="148"/>
      <c r="BA26" s="148"/>
      <c r="BB26" s="148"/>
      <c r="BC26" s="148"/>
      <c r="BD26" s="148"/>
      <c r="BE26" s="148"/>
      <c r="BF26" s="148"/>
      <c r="BG26" s="148"/>
      <c r="BH26" s="148"/>
      <c r="BI26" s="148"/>
      <c r="BJ26" s="148"/>
      <c r="BK26" s="148"/>
      <c r="BL26" s="148"/>
      <c r="BM26" s="148"/>
      <c r="BN26" s="148"/>
      <c r="BO26" s="148"/>
      <c r="BP26" s="148"/>
      <c r="BQ26" s="148"/>
      <c r="BR26" s="148"/>
      <c r="BS26" s="148"/>
      <c r="BT26" s="148"/>
      <c r="BU26" s="148"/>
      <c r="BV26" s="148"/>
      <c r="BW26" s="148"/>
      <c r="BX26" s="148"/>
      <c r="BY26" s="148"/>
      <c r="BZ26" s="148"/>
      <c r="CA26" s="148"/>
      <c r="CB26" s="148"/>
      <c r="CC26" s="148"/>
      <c r="CD26" s="148"/>
      <c r="CE26" s="148"/>
      <c r="CF26" s="148"/>
      <c r="CG26" s="148"/>
      <c r="CH26" s="148"/>
      <c r="CI26" s="148"/>
      <c r="CJ26" s="148"/>
      <c r="CK26" s="148"/>
      <c r="CL26" s="148"/>
      <c r="CM26" s="148"/>
      <c r="CN26" s="148"/>
      <c r="CO26" s="148"/>
      <c r="CP26" s="148"/>
      <c r="CQ26" s="148"/>
      <c r="CR26" s="148"/>
      <c r="CS26" s="148"/>
      <c r="CT26" s="148"/>
      <c r="CU26" s="148"/>
      <c r="CV26" s="148"/>
      <c r="CW26" s="148"/>
      <c r="CX26" s="148"/>
      <c r="CY26" s="148"/>
      <c r="CZ26" s="148"/>
      <c r="DA26" s="148"/>
      <c r="DB26" s="148"/>
      <c r="DC26" s="148"/>
      <c r="DD26" s="148"/>
      <c r="DE26" s="148"/>
      <c r="DF26" s="148"/>
      <c r="DG26" s="148"/>
      <c r="DH26" s="148"/>
      <c r="DI26" s="148"/>
      <c r="DJ26" s="148"/>
      <c r="DK26" s="148"/>
      <c r="DL26" s="148"/>
      <c r="DM26" s="148"/>
      <c r="DN26" s="148"/>
      <c r="DO26" s="148"/>
      <c r="DP26" s="148"/>
      <c r="DQ26" s="148"/>
      <c r="DR26" s="148"/>
      <c r="DS26" s="148"/>
      <c r="DT26" s="148"/>
      <c r="DU26" s="148"/>
      <c r="DV26" s="148"/>
      <c r="DW26" s="148"/>
      <c r="DX26" s="148"/>
      <c r="DY26" s="148"/>
      <c r="DZ26" s="148"/>
      <c r="EA26" s="148"/>
      <c r="EB26" s="148"/>
      <c r="EC26" s="148"/>
      <c r="ED26" s="148"/>
      <c r="EE26" s="148"/>
      <c r="EF26" s="148"/>
      <c r="EG26" s="148"/>
      <c r="EH26" s="148"/>
      <c r="EI26" s="148"/>
      <c r="EJ26" s="148"/>
      <c r="EK26" s="148"/>
      <c r="EL26" s="148"/>
      <c r="EM26" s="148"/>
      <c r="EN26" s="148"/>
      <c r="EO26" s="148"/>
      <c r="EP26" s="148"/>
      <c r="EQ26" s="148"/>
      <c r="ER26" s="148"/>
      <c r="ES26" s="148"/>
      <c r="ET26" s="148"/>
      <c r="EU26" s="148"/>
      <c r="EV26" s="148"/>
      <c r="EW26" s="148"/>
      <c r="EX26" s="148"/>
      <c r="EY26" s="148"/>
      <c r="EZ26" s="148"/>
      <c r="FA26" s="148"/>
      <c r="FB26" s="148"/>
      <c r="FC26" s="148"/>
      <c r="FD26" s="148"/>
      <c r="FE26" s="148"/>
      <c r="FF26" s="148"/>
      <c r="FG26" s="148"/>
      <c r="FH26" s="148"/>
      <c r="FI26" s="148"/>
      <c r="FJ26" s="148"/>
      <c r="FK26" s="148"/>
      <c r="FL26" s="148"/>
      <c r="FM26" s="148"/>
      <c r="FN26" s="148"/>
      <c r="FO26" s="148"/>
      <c r="FP26" s="148"/>
      <c r="FQ26" s="148"/>
      <c r="FR26" s="148"/>
      <c r="FS26" s="148"/>
      <c r="FT26" s="148"/>
      <c r="FU26" s="148"/>
      <c r="FV26" s="148"/>
      <c r="FW26" s="148"/>
      <c r="FX26" s="148"/>
      <c r="FY26" s="148"/>
      <c r="FZ26" s="148"/>
      <c r="GA26" s="148"/>
      <c r="GB26" s="148"/>
      <c r="GC26" s="148"/>
      <c r="GD26" s="148"/>
      <c r="GE26" s="148"/>
      <c r="GF26" s="148"/>
      <c r="GG26" s="148"/>
      <c r="GH26" s="148"/>
      <c r="GI26" s="148"/>
      <c r="GJ26" s="148"/>
      <c r="GK26" s="148"/>
      <c r="GL26" s="148"/>
      <c r="GM26" s="148"/>
      <c r="GN26" s="148"/>
      <c r="GO26" s="148"/>
      <c r="GP26" s="148"/>
      <c r="GQ26" s="148"/>
      <c r="GR26" s="148"/>
      <c r="GS26" s="148"/>
      <c r="GT26" s="148"/>
      <c r="GU26" s="148"/>
      <c r="GV26" s="148"/>
      <c r="GW26" s="148"/>
      <c r="GX26" s="148"/>
      <c r="GY26" s="148"/>
      <c r="GZ26" s="148"/>
      <c r="HA26" s="148"/>
      <c r="HB26" s="148"/>
      <c r="HC26" s="148"/>
      <c r="HD26" s="148"/>
      <c r="HE26" s="148"/>
      <c r="HF26" s="148"/>
      <c r="HG26" s="148"/>
      <c r="HH26" s="148"/>
      <c r="HI26" s="148"/>
      <c r="HJ26" s="148"/>
      <c r="HK26" s="148"/>
      <c r="HL26" s="148"/>
      <c r="HM26" s="148"/>
      <c r="HN26" s="148"/>
      <c r="HO26" s="148"/>
      <c r="HP26" s="148"/>
      <c r="HQ26" s="148"/>
      <c r="HR26" s="148"/>
      <c r="HS26" s="148"/>
      <c r="HT26" s="148"/>
      <c r="HU26" s="148"/>
      <c r="HV26" s="148"/>
      <c r="HW26" s="148"/>
      <c r="HX26" s="148"/>
      <c r="HY26" s="148"/>
      <c r="HZ26" s="148"/>
      <c r="IA26" s="148"/>
      <c r="IB26" s="148"/>
      <c r="IC26" s="148"/>
      <c r="ID26" s="148"/>
      <c r="IE26" s="148"/>
      <c r="IF26" s="148"/>
      <c r="IG26" s="148"/>
      <c r="IH26" s="148"/>
      <c r="II26" s="148"/>
      <c r="IJ26" s="148"/>
      <c r="IK26" s="148"/>
      <c r="IL26" s="148"/>
      <c r="IM26" s="148"/>
      <c r="IN26" s="148"/>
      <c r="IO26" s="148"/>
      <c r="IP26" s="148"/>
      <c r="IQ26" s="148"/>
      <c r="IR26" s="148"/>
      <c r="IS26" s="148"/>
      <c r="IT26" s="148"/>
      <c r="IU26" s="148"/>
      <c r="IV26" s="148"/>
      <c r="IW26" s="148"/>
      <c r="IX26" s="148"/>
      <c r="IY26" s="148"/>
      <c r="IZ26" s="148"/>
      <c r="JA26" s="148"/>
      <c r="JB26" s="148"/>
      <c r="JC26" s="148"/>
      <c r="JD26" s="148"/>
      <c r="JE26" s="148"/>
      <c r="JF26" s="148"/>
      <c r="JG26" s="148"/>
      <c r="JH26" s="148"/>
      <c r="JI26" s="148"/>
      <c r="JJ26" s="148"/>
      <c r="JK26" s="148"/>
      <c r="JL26" s="148"/>
      <c r="JM26" s="148"/>
      <c r="JN26" s="148"/>
      <c r="JO26" s="148"/>
      <c r="JP26" s="148"/>
      <c r="JQ26" s="148"/>
      <c r="JR26" s="148"/>
      <c r="JS26" s="148"/>
      <c r="JT26" s="148"/>
      <c r="JU26" s="148"/>
      <c r="JV26" s="148"/>
      <c r="JW26" s="148"/>
      <c r="JX26" s="148"/>
      <c r="JY26" s="148"/>
      <c r="JZ26" s="148"/>
      <c r="KA26" s="148"/>
      <c r="KB26" s="148"/>
      <c r="KC26" s="148"/>
      <c r="KD26" s="148"/>
      <c r="KE26" s="148"/>
      <c r="KF26" s="148"/>
      <c r="KG26" s="148"/>
      <c r="KH26" s="148"/>
      <c r="KI26" s="148"/>
      <c r="KJ26" s="148"/>
      <c r="KK26" s="148"/>
      <c r="KL26" s="148"/>
      <c r="KM26" s="148"/>
      <c r="KN26" s="148"/>
      <c r="KO26" s="148"/>
      <c r="KP26" s="148"/>
      <c r="KQ26" s="148"/>
      <c r="KR26" s="148"/>
      <c r="KS26" s="148"/>
      <c r="KT26" s="148"/>
      <c r="KU26" s="148"/>
      <c r="KV26" s="148"/>
      <c r="KW26" s="148"/>
      <c r="KX26" s="148"/>
      <c r="KY26" s="148"/>
      <c r="KZ26" s="148"/>
      <c r="LA26" s="148"/>
      <c r="LB26" s="148"/>
      <c r="LC26" s="148"/>
      <c r="LD26" s="148"/>
      <c r="LE26" s="148"/>
      <c r="LF26" s="148"/>
      <c r="LG26" s="148"/>
      <c r="LH26" s="148"/>
      <c r="LI26" s="148"/>
      <c r="LJ26" s="148"/>
      <c r="LK26" s="148"/>
      <c r="LL26" s="148"/>
      <c r="LM26" s="148"/>
      <c r="LN26" s="148"/>
      <c r="LO26" s="148"/>
      <c r="LP26" s="148"/>
      <c r="LQ26" s="148"/>
      <c r="LR26" s="148"/>
      <c r="LS26" s="148"/>
      <c r="LT26" s="148"/>
      <c r="LU26" s="148"/>
      <c r="LV26" s="148"/>
      <c r="LW26" s="148"/>
      <c r="LX26" s="148"/>
      <c r="LY26" s="148"/>
      <c r="LZ26" s="148"/>
      <c r="MA26" s="148"/>
      <c r="MB26" s="148"/>
      <c r="MC26" s="148"/>
      <c r="MD26" s="148"/>
      <c r="ME26" s="148"/>
      <c r="MF26" s="148"/>
      <c r="MG26" s="148"/>
      <c r="MH26" s="148"/>
      <c r="MI26" s="148"/>
      <c r="MJ26" s="148"/>
      <c r="MK26" s="148"/>
      <c r="ML26" s="148"/>
      <c r="MM26" s="148"/>
      <c r="MN26" s="148"/>
      <c r="MO26" s="148"/>
      <c r="MP26" s="148"/>
      <c r="MQ26" s="148"/>
      <c r="MR26" s="148"/>
      <c r="MS26" s="148"/>
      <c r="MT26" s="148"/>
      <c r="MU26" s="148"/>
      <c r="MV26" s="148"/>
      <c r="MW26" s="148"/>
      <c r="MX26" s="148"/>
      <c r="MY26" s="148"/>
      <c r="MZ26" s="148"/>
      <c r="NA26" s="148"/>
      <c r="NB26" s="148"/>
      <c r="NC26" s="148"/>
      <c r="ND26" s="148"/>
      <c r="NE26" s="148"/>
      <c r="NF26" s="148"/>
      <c r="NG26" s="148"/>
      <c r="NH26" s="148"/>
      <c r="NI26" s="148"/>
      <c r="NJ26" s="148"/>
      <c r="NK26" s="148"/>
      <c r="NL26" s="148"/>
      <c r="NM26" s="148"/>
      <c r="NN26" s="148"/>
      <c r="NO26" s="148"/>
      <c r="NP26" s="148"/>
      <c r="NQ26" s="148"/>
      <c r="NR26" s="148"/>
      <c r="NS26" s="148"/>
      <c r="NT26" s="148"/>
      <c r="NU26" s="148"/>
      <c r="NV26" s="148"/>
      <c r="NW26" s="148"/>
      <c r="NX26" s="148"/>
      <c r="NY26" s="148"/>
      <c r="NZ26" s="148"/>
      <c r="OA26" s="148"/>
      <c r="OB26" s="148"/>
      <c r="OC26" s="148"/>
      <c r="OD26" s="148"/>
      <c r="OE26" s="148"/>
      <c r="OF26" s="148"/>
      <c r="OG26" s="148"/>
      <c r="OH26" s="148"/>
      <c r="OI26" s="148"/>
      <c r="OJ26" s="148"/>
      <c r="OK26" s="148"/>
      <c r="OL26" s="148"/>
      <c r="OM26" s="148"/>
      <c r="ON26" s="148"/>
      <c r="OO26" s="148"/>
      <c r="OP26" s="148"/>
      <c r="OQ26" s="148"/>
      <c r="OR26" s="148"/>
      <c r="OS26" s="148"/>
      <c r="OT26" s="148"/>
      <c r="OU26" s="148"/>
      <c r="OV26" s="148"/>
      <c r="OW26" s="148"/>
      <c r="OX26" s="148"/>
      <c r="OY26" s="148"/>
      <c r="OZ26" s="148"/>
      <c r="PA26" s="148"/>
      <c r="PB26" s="148"/>
      <c r="PC26" s="148"/>
      <c r="PD26" s="148"/>
      <c r="PE26" s="148"/>
      <c r="PF26" s="148"/>
      <c r="PG26" s="148"/>
      <c r="PH26" s="148"/>
      <c r="PI26" s="148"/>
      <c r="PJ26" s="148"/>
      <c r="PK26" s="148"/>
      <c r="PL26" s="148"/>
      <c r="PM26" s="148"/>
      <c r="PN26" s="148"/>
      <c r="PO26" s="148"/>
      <c r="PP26" s="148"/>
      <c r="PQ26" s="148"/>
      <c r="PR26" s="148"/>
      <c r="PS26" s="148"/>
      <c r="PT26" s="148"/>
      <c r="PU26" s="148"/>
      <c r="PV26" s="148"/>
      <c r="PW26" s="148"/>
      <c r="PX26" s="148"/>
      <c r="PY26" s="148"/>
      <c r="PZ26" s="148"/>
      <c r="QA26" s="148"/>
      <c r="QB26" s="148"/>
      <c r="QC26" s="148"/>
      <c r="QD26" s="148"/>
      <c r="QE26" s="148"/>
      <c r="QF26" s="148"/>
      <c r="QG26" s="148"/>
      <c r="QH26" s="148"/>
      <c r="QI26" s="148"/>
      <c r="QJ26" s="148"/>
      <c r="QK26" s="148"/>
      <c r="QL26" s="148"/>
      <c r="QM26" s="148"/>
      <c r="QN26" s="148"/>
      <c r="QO26" s="148"/>
      <c r="QP26" s="148"/>
      <c r="QQ26" s="148"/>
      <c r="QR26" s="148"/>
      <c r="QS26" s="148"/>
      <c r="QT26" s="148"/>
      <c r="QU26" s="148"/>
      <c r="QV26" s="148"/>
      <c r="QW26" s="148"/>
      <c r="QX26" s="148"/>
      <c r="QY26" s="148"/>
      <c r="QZ26" s="148"/>
      <c r="RA26" s="148"/>
      <c r="RB26" s="148"/>
      <c r="RC26" s="148"/>
      <c r="RD26" s="148"/>
      <c r="RE26" s="148"/>
      <c r="RF26" s="148"/>
      <c r="RG26" s="148"/>
      <c r="RH26" s="148"/>
      <c r="RI26" s="148"/>
      <c r="RJ26" s="148"/>
      <c r="RK26" s="148"/>
      <c r="RL26" s="148"/>
      <c r="RM26" s="148"/>
      <c r="RN26" s="148"/>
      <c r="RO26" s="148"/>
      <c r="RP26" s="148"/>
      <c r="RQ26" s="148"/>
      <c r="RR26" s="148"/>
    </row>
    <row r="27" spans="1:486" s="15" customFormat="1" x14ac:dyDescent="0.25">
      <c r="A27" s="148"/>
      <c r="B27" s="350">
        <v>12</v>
      </c>
      <c r="C27" s="643" t="s">
        <v>894</v>
      </c>
      <c r="D27" s="631">
        <v>30485888</v>
      </c>
      <c r="E27" s="344" t="s">
        <v>2725</v>
      </c>
      <c r="F27" s="344" t="s">
        <v>46</v>
      </c>
      <c r="G27" s="17" t="s">
        <v>2693</v>
      </c>
      <c r="H27" s="317" t="s">
        <v>2715</v>
      </c>
      <c r="I27" s="346" t="s">
        <v>43</v>
      </c>
      <c r="J27" s="341" t="s">
        <v>2726</v>
      </c>
      <c r="K27" s="633">
        <v>14494</v>
      </c>
      <c r="L27" s="633">
        <v>0</v>
      </c>
      <c r="M27" s="633">
        <v>0</v>
      </c>
      <c r="N27" s="633">
        <v>0</v>
      </c>
      <c r="O27" s="633">
        <v>0</v>
      </c>
      <c r="P27" s="633">
        <v>0</v>
      </c>
      <c r="Q27" s="633">
        <v>0</v>
      </c>
      <c r="R27" s="633">
        <v>0</v>
      </c>
      <c r="S27" s="633"/>
      <c r="T27" s="633"/>
      <c r="U27" s="633"/>
      <c r="V27" s="633"/>
      <c r="W27" s="633"/>
      <c r="X27" s="633"/>
      <c r="Y27" s="633">
        <f t="shared" si="1"/>
        <v>0</v>
      </c>
      <c r="Z27" s="407">
        <v>33075</v>
      </c>
      <c r="AA27" s="635" t="s">
        <v>296</v>
      </c>
      <c r="AB27" s="23">
        <v>44232</v>
      </c>
      <c r="AC27" s="23">
        <v>44250</v>
      </c>
      <c r="AD27" s="636"/>
      <c r="AE27" s="20"/>
      <c r="AF27" s="21"/>
      <c r="AG27" s="23"/>
      <c r="AH27" s="637"/>
      <c r="AI27" s="19"/>
      <c r="AJ27" s="21"/>
      <c r="AK27" s="25"/>
      <c r="AL27" s="309"/>
      <c r="AM27" s="19"/>
      <c r="AN27" s="21"/>
      <c r="AO27" s="25"/>
      <c r="AP27" s="309"/>
      <c r="AQ27" s="19"/>
      <c r="AR27" s="21"/>
      <c r="AS27" s="25"/>
      <c r="AT27" s="638">
        <f t="shared" si="2"/>
        <v>33075</v>
      </c>
      <c r="AU27" s="311">
        <f t="shared" si="0"/>
        <v>33075</v>
      </c>
      <c r="AV27" s="148"/>
      <c r="AW27" s="148"/>
      <c r="AX27" s="148"/>
      <c r="AY27" s="148"/>
      <c r="AZ27" s="148"/>
      <c r="BA27" s="148"/>
      <c r="BB27" s="148"/>
      <c r="BC27" s="148"/>
      <c r="BD27" s="148"/>
      <c r="BE27" s="148"/>
      <c r="BF27" s="148"/>
      <c r="BG27" s="148"/>
      <c r="BH27" s="148"/>
      <c r="BI27" s="148"/>
      <c r="BJ27" s="148"/>
      <c r="BK27" s="148"/>
      <c r="BL27" s="148"/>
      <c r="BM27" s="148"/>
      <c r="BN27" s="148"/>
      <c r="BO27" s="148"/>
      <c r="BP27" s="148"/>
      <c r="BQ27" s="148"/>
      <c r="BR27" s="148"/>
      <c r="BS27" s="148"/>
      <c r="BT27" s="148"/>
      <c r="BU27" s="148"/>
      <c r="BV27" s="148"/>
      <c r="BW27" s="148"/>
      <c r="BX27" s="148"/>
      <c r="BY27" s="148"/>
      <c r="BZ27" s="148"/>
      <c r="CA27" s="148"/>
      <c r="CB27" s="148"/>
      <c r="CC27" s="148"/>
      <c r="CD27" s="148"/>
      <c r="CE27" s="148"/>
      <c r="CF27" s="148"/>
      <c r="CG27" s="148"/>
      <c r="CH27" s="148"/>
      <c r="CI27" s="148"/>
      <c r="CJ27" s="148"/>
      <c r="CK27" s="148"/>
      <c r="CL27" s="148"/>
      <c r="CM27" s="148"/>
      <c r="CN27" s="148"/>
      <c r="CO27" s="148"/>
      <c r="CP27" s="148"/>
      <c r="CQ27" s="148"/>
      <c r="CR27" s="148"/>
      <c r="CS27" s="148"/>
      <c r="CT27" s="148"/>
      <c r="CU27" s="148"/>
      <c r="CV27" s="148"/>
      <c r="CW27" s="148"/>
      <c r="CX27" s="148"/>
      <c r="CY27" s="148"/>
      <c r="CZ27" s="148"/>
      <c r="DA27" s="148"/>
      <c r="DB27" s="148"/>
      <c r="DC27" s="148"/>
      <c r="DD27" s="148"/>
      <c r="DE27" s="148"/>
      <c r="DF27" s="148"/>
      <c r="DG27" s="148"/>
      <c r="DH27" s="148"/>
      <c r="DI27" s="148"/>
      <c r="DJ27" s="148"/>
      <c r="DK27" s="148"/>
      <c r="DL27" s="148"/>
      <c r="DM27" s="148"/>
      <c r="DN27" s="148"/>
      <c r="DO27" s="148"/>
      <c r="DP27" s="148"/>
      <c r="DQ27" s="148"/>
      <c r="DR27" s="148"/>
      <c r="DS27" s="148"/>
      <c r="DT27" s="148"/>
      <c r="DU27" s="148"/>
      <c r="DV27" s="148"/>
      <c r="DW27" s="148"/>
      <c r="DX27" s="148"/>
      <c r="DY27" s="148"/>
      <c r="DZ27" s="148"/>
      <c r="EA27" s="148"/>
      <c r="EB27" s="148"/>
      <c r="EC27" s="148"/>
      <c r="ED27" s="148"/>
      <c r="EE27" s="148"/>
      <c r="EF27" s="148"/>
      <c r="EG27" s="148"/>
      <c r="EH27" s="148"/>
      <c r="EI27" s="148"/>
      <c r="EJ27" s="148"/>
      <c r="EK27" s="148"/>
      <c r="EL27" s="148"/>
      <c r="EM27" s="148"/>
      <c r="EN27" s="148"/>
      <c r="EO27" s="148"/>
      <c r="EP27" s="148"/>
      <c r="EQ27" s="148"/>
      <c r="ER27" s="148"/>
      <c r="ES27" s="148"/>
      <c r="ET27" s="148"/>
      <c r="EU27" s="148"/>
      <c r="EV27" s="148"/>
      <c r="EW27" s="148"/>
      <c r="EX27" s="148"/>
      <c r="EY27" s="148"/>
      <c r="EZ27" s="148"/>
      <c r="FA27" s="148"/>
      <c r="FB27" s="148"/>
      <c r="FC27" s="148"/>
      <c r="FD27" s="148"/>
      <c r="FE27" s="148"/>
      <c r="FF27" s="148"/>
      <c r="FG27" s="148"/>
      <c r="FH27" s="148"/>
      <c r="FI27" s="148"/>
      <c r="FJ27" s="148"/>
      <c r="FK27" s="148"/>
      <c r="FL27" s="148"/>
      <c r="FM27" s="148"/>
      <c r="FN27" s="148"/>
      <c r="FO27" s="148"/>
      <c r="FP27" s="148"/>
      <c r="FQ27" s="148"/>
      <c r="FR27" s="148"/>
      <c r="FS27" s="148"/>
      <c r="FT27" s="148"/>
      <c r="FU27" s="148"/>
      <c r="FV27" s="148"/>
      <c r="FW27" s="148"/>
      <c r="FX27" s="148"/>
      <c r="FY27" s="148"/>
      <c r="FZ27" s="148"/>
      <c r="GA27" s="148"/>
      <c r="GB27" s="148"/>
      <c r="GC27" s="148"/>
      <c r="GD27" s="148"/>
      <c r="GE27" s="148"/>
      <c r="GF27" s="148"/>
      <c r="GG27" s="148"/>
      <c r="GH27" s="148"/>
      <c r="GI27" s="148"/>
      <c r="GJ27" s="148"/>
      <c r="GK27" s="148"/>
      <c r="GL27" s="148"/>
      <c r="GM27" s="148"/>
      <c r="GN27" s="148"/>
      <c r="GO27" s="148"/>
      <c r="GP27" s="148"/>
      <c r="GQ27" s="148"/>
      <c r="GR27" s="148"/>
      <c r="GS27" s="148"/>
      <c r="GT27" s="148"/>
      <c r="GU27" s="148"/>
      <c r="GV27" s="148"/>
      <c r="GW27" s="148"/>
      <c r="GX27" s="148"/>
      <c r="GY27" s="148"/>
      <c r="GZ27" s="148"/>
      <c r="HA27" s="148"/>
      <c r="HB27" s="148"/>
      <c r="HC27" s="148"/>
      <c r="HD27" s="148"/>
      <c r="HE27" s="148"/>
      <c r="HF27" s="148"/>
      <c r="HG27" s="148"/>
      <c r="HH27" s="148"/>
      <c r="HI27" s="148"/>
      <c r="HJ27" s="148"/>
      <c r="HK27" s="148"/>
      <c r="HL27" s="148"/>
      <c r="HM27" s="148"/>
      <c r="HN27" s="148"/>
      <c r="HO27" s="148"/>
      <c r="HP27" s="148"/>
      <c r="HQ27" s="148"/>
      <c r="HR27" s="148"/>
      <c r="HS27" s="148"/>
      <c r="HT27" s="148"/>
      <c r="HU27" s="148"/>
      <c r="HV27" s="148"/>
      <c r="HW27" s="148"/>
      <c r="HX27" s="148"/>
      <c r="HY27" s="148"/>
      <c r="HZ27" s="148"/>
      <c r="IA27" s="148"/>
      <c r="IB27" s="148"/>
      <c r="IC27" s="148"/>
      <c r="ID27" s="148"/>
      <c r="IE27" s="148"/>
      <c r="IF27" s="148"/>
      <c r="IG27" s="148"/>
      <c r="IH27" s="148"/>
      <c r="II27" s="148"/>
      <c r="IJ27" s="148"/>
      <c r="IK27" s="148"/>
      <c r="IL27" s="148"/>
      <c r="IM27" s="148"/>
      <c r="IN27" s="148"/>
      <c r="IO27" s="148"/>
      <c r="IP27" s="148"/>
      <c r="IQ27" s="148"/>
      <c r="IR27" s="148"/>
      <c r="IS27" s="148"/>
      <c r="IT27" s="148"/>
      <c r="IU27" s="148"/>
      <c r="IV27" s="148"/>
      <c r="IW27" s="148"/>
      <c r="IX27" s="148"/>
      <c r="IY27" s="148"/>
      <c r="IZ27" s="148"/>
      <c r="JA27" s="148"/>
      <c r="JB27" s="148"/>
      <c r="JC27" s="148"/>
      <c r="JD27" s="148"/>
      <c r="JE27" s="148"/>
      <c r="JF27" s="148"/>
      <c r="JG27" s="148"/>
      <c r="JH27" s="148"/>
      <c r="JI27" s="148"/>
      <c r="JJ27" s="148"/>
      <c r="JK27" s="148"/>
      <c r="JL27" s="148"/>
      <c r="JM27" s="148"/>
      <c r="JN27" s="148"/>
      <c r="JO27" s="148"/>
      <c r="JP27" s="148"/>
      <c r="JQ27" s="148"/>
      <c r="JR27" s="148"/>
      <c r="JS27" s="148"/>
      <c r="JT27" s="148"/>
      <c r="JU27" s="148"/>
      <c r="JV27" s="148"/>
      <c r="JW27" s="148"/>
      <c r="JX27" s="148"/>
      <c r="JY27" s="148"/>
      <c r="JZ27" s="148"/>
      <c r="KA27" s="148"/>
      <c r="KB27" s="148"/>
      <c r="KC27" s="148"/>
      <c r="KD27" s="148"/>
      <c r="KE27" s="148"/>
      <c r="KF27" s="148"/>
      <c r="KG27" s="148"/>
      <c r="KH27" s="148"/>
      <c r="KI27" s="148"/>
      <c r="KJ27" s="148"/>
      <c r="KK27" s="148"/>
      <c r="KL27" s="148"/>
      <c r="KM27" s="148"/>
      <c r="KN27" s="148"/>
      <c r="KO27" s="148"/>
      <c r="KP27" s="148"/>
      <c r="KQ27" s="148"/>
      <c r="KR27" s="148"/>
      <c r="KS27" s="148"/>
      <c r="KT27" s="148"/>
      <c r="KU27" s="148"/>
      <c r="KV27" s="148"/>
      <c r="KW27" s="148"/>
      <c r="KX27" s="148"/>
      <c r="KY27" s="148"/>
      <c r="KZ27" s="148"/>
      <c r="LA27" s="148"/>
      <c r="LB27" s="148"/>
      <c r="LC27" s="148"/>
      <c r="LD27" s="148"/>
      <c r="LE27" s="148"/>
      <c r="LF27" s="148"/>
      <c r="LG27" s="148"/>
      <c r="LH27" s="148"/>
      <c r="LI27" s="148"/>
      <c r="LJ27" s="148"/>
      <c r="LK27" s="148"/>
      <c r="LL27" s="148"/>
      <c r="LM27" s="148"/>
      <c r="LN27" s="148"/>
      <c r="LO27" s="148"/>
      <c r="LP27" s="148"/>
      <c r="LQ27" s="148"/>
      <c r="LR27" s="148"/>
      <c r="LS27" s="148"/>
      <c r="LT27" s="148"/>
      <c r="LU27" s="148"/>
      <c r="LV27" s="148"/>
      <c r="LW27" s="148"/>
      <c r="LX27" s="148"/>
      <c r="LY27" s="148"/>
      <c r="LZ27" s="148"/>
      <c r="MA27" s="148"/>
      <c r="MB27" s="148"/>
      <c r="MC27" s="148"/>
      <c r="MD27" s="148"/>
      <c r="ME27" s="148"/>
      <c r="MF27" s="148"/>
      <c r="MG27" s="148"/>
      <c r="MH27" s="148"/>
      <c r="MI27" s="148"/>
      <c r="MJ27" s="148"/>
      <c r="MK27" s="148"/>
      <c r="ML27" s="148"/>
      <c r="MM27" s="148"/>
      <c r="MN27" s="148"/>
      <c r="MO27" s="148"/>
      <c r="MP27" s="148"/>
      <c r="MQ27" s="148"/>
      <c r="MR27" s="148"/>
      <c r="MS27" s="148"/>
      <c r="MT27" s="148"/>
      <c r="MU27" s="148"/>
      <c r="MV27" s="148"/>
      <c r="MW27" s="148"/>
      <c r="MX27" s="148"/>
      <c r="MY27" s="148"/>
      <c r="MZ27" s="148"/>
      <c r="NA27" s="148"/>
      <c r="NB27" s="148"/>
      <c r="NC27" s="148"/>
      <c r="ND27" s="148"/>
      <c r="NE27" s="148"/>
      <c r="NF27" s="148"/>
      <c r="NG27" s="148"/>
      <c r="NH27" s="148"/>
      <c r="NI27" s="148"/>
      <c r="NJ27" s="148"/>
      <c r="NK27" s="148"/>
      <c r="NL27" s="148"/>
      <c r="NM27" s="148"/>
      <c r="NN27" s="148"/>
      <c r="NO27" s="148"/>
      <c r="NP27" s="148"/>
      <c r="NQ27" s="148"/>
      <c r="NR27" s="148"/>
      <c r="NS27" s="148"/>
      <c r="NT27" s="148"/>
      <c r="NU27" s="148"/>
      <c r="NV27" s="148"/>
      <c r="NW27" s="148"/>
      <c r="NX27" s="148"/>
      <c r="NY27" s="148"/>
      <c r="NZ27" s="148"/>
      <c r="OA27" s="148"/>
      <c r="OB27" s="148"/>
      <c r="OC27" s="148"/>
      <c r="OD27" s="148"/>
      <c r="OE27" s="148"/>
      <c r="OF27" s="148"/>
      <c r="OG27" s="148"/>
      <c r="OH27" s="148"/>
      <c r="OI27" s="148"/>
      <c r="OJ27" s="148"/>
      <c r="OK27" s="148"/>
      <c r="OL27" s="148"/>
      <c r="OM27" s="148"/>
      <c r="ON27" s="148"/>
      <c r="OO27" s="148"/>
      <c r="OP27" s="148"/>
      <c r="OQ27" s="148"/>
      <c r="OR27" s="148"/>
      <c r="OS27" s="148"/>
      <c r="OT27" s="148"/>
      <c r="OU27" s="148"/>
      <c r="OV27" s="148"/>
      <c r="OW27" s="148"/>
      <c r="OX27" s="148"/>
      <c r="OY27" s="148"/>
      <c r="OZ27" s="148"/>
      <c r="PA27" s="148"/>
      <c r="PB27" s="148"/>
      <c r="PC27" s="148"/>
      <c r="PD27" s="148"/>
      <c r="PE27" s="148"/>
      <c r="PF27" s="148"/>
      <c r="PG27" s="148"/>
      <c r="PH27" s="148"/>
      <c r="PI27" s="148"/>
      <c r="PJ27" s="148"/>
      <c r="PK27" s="148"/>
      <c r="PL27" s="148"/>
      <c r="PM27" s="148"/>
      <c r="PN27" s="148"/>
      <c r="PO27" s="148"/>
      <c r="PP27" s="148"/>
      <c r="PQ27" s="148"/>
      <c r="PR27" s="148"/>
      <c r="PS27" s="148"/>
      <c r="PT27" s="148"/>
      <c r="PU27" s="148"/>
      <c r="PV27" s="148"/>
      <c r="PW27" s="148"/>
      <c r="PX27" s="148"/>
      <c r="PY27" s="148"/>
      <c r="PZ27" s="148"/>
      <c r="QA27" s="148"/>
      <c r="QB27" s="148"/>
      <c r="QC27" s="148"/>
      <c r="QD27" s="148"/>
      <c r="QE27" s="148"/>
      <c r="QF27" s="148"/>
      <c r="QG27" s="148"/>
      <c r="QH27" s="148"/>
      <c r="QI27" s="148"/>
      <c r="QJ27" s="148"/>
      <c r="QK27" s="148"/>
      <c r="QL27" s="148"/>
      <c r="QM27" s="148"/>
      <c r="QN27" s="148"/>
      <c r="QO27" s="148"/>
      <c r="QP27" s="148"/>
      <c r="QQ27" s="148"/>
      <c r="QR27" s="148"/>
      <c r="QS27" s="148"/>
      <c r="QT27" s="148"/>
      <c r="QU27" s="148"/>
      <c r="QV27" s="148"/>
      <c r="QW27" s="148"/>
      <c r="QX27" s="148"/>
      <c r="QY27" s="148"/>
      <c r="QZ27" s="148"/>
      <c r="RA27" s="148"/>
      <c r="RB27" s="148"/>
      <c r="RC27" s="148"/>
      <c r="RD27" s="148"/>
      <c r="RE27" s="148"/>
      <c r="RF27" s="148"/>
      <c r="RG27" s="148"/>
      <c r="RH27" s="148"/>
      <c r="RI27" s="148"/>
      <c r="RJ27" s="148"/>
      <c r="RK27" s="148"/>
      <c r="RL27" s="148"/>
      <c r="RM27" s="148"/>
      <c r="RN27" s="148"/>
      <c r="RO27" s="148"/>
      <c r="RP27" s="148"/>
      <c r="RQ27" s="148"/>
      <c r="RR27" s="148"/>
    </row>
    <row r="28" spans="1:486" s="15" customFormat="1" ht="22.5" x14ac:dyDescent="0.25">
      <c r="A28" s="148"/>
      <c r="B28" s="350">
        <v>13</v>
      </c>
      <c r="C28" s="641" t="s">
        <v>894</v>
      </c>
      <c r="D28" s="631">
        <v>40001573</v>
      </c>
      <c r="E28" s="344" t="s">
        <v>2727</v>
      </c>
      <c r="F28" s="344" t="s">
        <v>46</v>
      </c>
      <c r="G28" s="17" t="s">
        <v>2693</v>
      </c>
      <c r="H28" s="317" t="s">
        <v>2728</v>
      </c>
      <c r="I28" s="346" t="s">
        <v>43</v>
      </c>
      <c r="J28" s="341" t="s">
        <v>2729</v>
      </c>
      <c r="K28" s="633">
        <v>143449</v>
      </c>
      <c r="L28" s="633">
        <v>0</v>
      </c>
      <c r="M28" s="633">
        <v>0</v>
      </c>
      <c r="N28" s="633">
        <v>0</v>
      </c>
      <c r="O28" s="633">
        <v>0</v>
      </c>
      <c r="P28" s="633">
        <v>0</v>
      </c>
      <c r="Q28" s="633">
        <v>0</v>
      </c>
      <c r="R28" s="633">
        <v>0</v>
      </c>
      <c r="S28" s="633"/>
      <c r="T28" s="633"/>
      <c r="U28" s="633"/>
      <c r="V28" s="633"/>
      <c r="W28" s="633"/>
      <c r="X28" s="633"/>
      <c r="Y28" s="633">
        <f t="shared" si="1"/>
        <v>0</v>
      </c>
      <c r="Z28" s="407">
        <v>20000</v>
      </c>
      <c r="AA28" s="635" t="s">
        <v>296</v>
      </c>
      <c r="AB28" s="23">
        <v>44232</v>
      </c>
      <c r="AC28" s="23">
        <v>44250</v>
      </c>
      <c r="AD28" s="636"/>
      <c r="AE28" s="20"/>
      <c r="AF28" s="21"/>
      <c r="AG28" s="23"/>
      <c r="AH28" s="637"/>
      <c r="AI28" s="19"/>
      <c r="AJ28" s="21"/>
      <c r="AK28" s="25"/>
      <c r="AL28" s="309"/>
      <c r="AM28" s="19"/>
      <c r="AN28" s="21"/>
      <c r="AO28" s="25"/>
      <c r="AP28" s="309"/>
      <c r="AQ28" s="19"/>
      <c r="AR28" s="21"/>
      <c r="AS28" s="25"/>
      <c r="AT28" s="638">
        <f t="shared" si="2"/>
        <v>20000</v>
      </c>
      <c r="AU28" s="311">
        <f t="shared" si="0"/>
        <v>20000</v>
      </c>
      <c r="AV28" s="148"/>
      <c r="AW28" s="148"/>
      <c r="AX28" s="148"/>
      <c r="AY28" s="148"/>
      <c r="AZ28" s="148"/>
      <c r="BA28" s="148"/>
      <c r="BB28" s="148"/>
      <c r="BC28" s="148"/>
      <c r="BD28" s="148"/>
      <c r="BE28" s="148"/>
      <c r="BF28" s="148"/>
      <c r="BG28" s="148"/>
      <c r="BH28" s="148"/>
      <c r="BI28" s="148"/>
      <c r="BJ28" s="148"/>
      <c r="BK28" s="148"/>
      <c r="BL28" s="148"/>
      <c r="BM28" s="148"/>
      <c r="BN28" s="148"/>
      <c r="BO28" s="148"/>
      <c r="BP28" s="148"/>
      <c r="BQ28" s="148"/>
      <c r="BR28" s="148"/>
      <c r="BS28" s="148"/>
      <c r="BT28" s="148"/>
      <c r="BU28" s="148"/>
      <c r="BV28" s="148"/>
      <c r="BW28" s="148"/>
      <c r="BX28" s="148"/>
      <c r="BY28" s="148"/>
      <c r="BZ28" s="148"/>
      <c r="CA28" s="148"/>
      <c r="CB28" s="148"/>
      <c r="CC28" s="148"/>
      <c r="CD28" s="148"/>
      <c r="CE28" s="148"/>
      <c r="CF28" s="148"/>
      <c r="CG28" s="148"/>
      <c r="CH28" s="148"/>
      <c r="CI28" s="148"/>
      <c r="CJ28" s="148"/>
      <c r="CK28" s="148"/>
      <c r="CL28" s="148"/>
      <c r="CM28" s="148"/>
      <c r="CN28" s="148"/>
      <c r="CO28" s="148"/>
      <c r="CP28" s="148"/>
      <c r="CQ28" s="148"/>
      <c r="CR28" s="148"/>
      <c r="CS28" s="148"/>
      <c r="CT28" s="148"/>
      <c r="CU28" s="148"/>
      <c r="CV28" s="148"/>
      <c r="CW28" s="148"/>
      <c r="CX28" s="148"/>
      <c r="CY28" s="148"/>
      <c r="CZ28" s="148"/>
      <c r="DA28" s="148"/>
      <c r="DB28" s="148"/>
      <c r="DC28" s="148"/>
      <c r="DD28" s="148"/>
      <c r="DE28" s="148"/>
      <c r="DF28" s="148"/>
      <c r="DG28" s="148"/>
      <c r="DH28" s="148"/>
      <c r="DI28" s="148"/>
      <c r="DJ28" s="148"/>
      <c r="DK28" s="148"/>
      <c r="DL28" s="148"/>
      <c r="DM28" s="148"/>
      <c r="DN28" s="148"/>
      <c r="DO28" s="148"/>
      <c r="DP28" s="148"/>
      <c r="DQ28" s="148"/>
      <c r="DR28" s="148"/>
      <c r="DS28" s="148"/>
      <c r="DT28" s="148"/>
      <c r="DU28" s="148"/>
      <c r="DV28" s="148"/>
      <c r="DW28" s="148"/>
      <c r="DX28" s="148"/>
      <c r="DY28" s="148"/>
      <c r="DZ28" s="148"/>
      <c r="EA28" s="148"/>
      <c r="EB28" s="148"/>
      <c r="EC28" s="148"/>
      <c r="ED28" s="148"/>
      <c r="EE28" s="148"/>
      <c r="EF28" s="148"/>
      <c r="EG28" s="148"/>
      <c r="EH28" s="148"/>
      <c r="EI28" s="148"/>
      <c r="EJ28" s="148"/>
      <c r="EK28" s="148"/>
      <c r="EL28" s="148"/>
      <c r="EM28" s="148"/>
      <c r="EN28" s="148"/>
      <c r="EO28" s="148"/>
      <c r="EP28" s="148"/>
      <c r="EQ28" s="148"/>
      <c r="ER28" s="148"/>
      <c r="ES28" s="148"/>
      <c r="ET28" s="148"/>
      <c r="EU28" s="148"/>
      <c r="EV28" s="148"/>
      <c r="EW28" s="148"/>
      <c r="EX28" s="148"/>
      <c r="EY28" s="148"/>
      <c r="EZ28" s="148"/>
      <c r="FA28" s="148"/>
      <c r="FB28" s="148"/>
      <c r="FC28" s="148"/>
      <c r="FD28" s="148"/>
      <c r="FE28" s="148"/>
      <c r="FF28" s="148"/>
      <c r="FG28" s="148"/>
      <c r="FH28" s="148"/>
      <c r="FI28" s="148"/>
      <c r="FJ28" s="148"/>
      <c r="FK28" s="148"/>
      <c r="FL28" s="148"/>
      <c r="FM28" s="148"/>
      <c r="FN28" s="148"/>
      <c r="FO28" s="148"/>
      <c r="FP28" s="148"/>
      <c r="FQ28" s="148"/>
      <c r="FR28" s="148"/>
      <c r="FS28" s="148"/>
      <c r="FT28" s="148"/>
      <c r="FU28" s="148"/>
      <c r="FV28" s="148"/>
      <c r="FW28" s="148"/>
      <c r="FX28" s="148"/>
      <c r="FY28" s="148"/>
      <c r="FZ28" s="148"/>
      <c r="GA28" s="148"/>
      <c r="GB28" s="148"/>
      <c r="GC28" s="148"/>
      <c r="GD28" s="148"/>
      <c r="GE28" s="148"/>
      <c r="GF28" s="148"/>
      <c r="GG28" s="148"/>
      <c r="GH28" s="148"/>
      <c r="GI28" s="148"/>
      <c r="GJ28" s="148"/>
      <c r="GK28" s="148"/>
      <c r="GL28" s="148"/>
      <c r="GM28" s="148"/>
      <c r="GN28" s="148"/>
      <c r="GO28" s="148"/>
      <c r="GP28" s="148"/>
      <c r="GQ28" s="148"/>
      <c r="GR28" s="148"/>
      <c r="GS28" s="148"/>
      <c r="GT28" s="148"/>
      <c r="GU28" s="148"/>
      <c r="GV28" s="148"/>
      <c r="GW28" s="148"/>
      <c r="GX28" s="148"/>
      <c r="GY28" s="148"/>
      <c r="GZ28" s="148"/>
      <c r="HA28" s="148"/>
      <c r="HB28" s="148"/>
      <c r="HC28" s="148"/>
      <c r="HD28" s="148"/>
      <c r="HE28" s="148"/>
      <c r="HF28" s="148"/>
      <c r="HG28" s="148"/>
      <c r="HH28" s="148"/>
      <c r="HI28" s="148"/>
      <c r="HJ28" s="148"/>
      <c r="HK28" s="148"/>
      <c r="HL28" s="148"/>
      <c r="HM28" s="148"/>
      <c r="HN28" s="148"/>
      <c r="HO28" s="148"/>
      <c r="HP28" s="148"/>
      <c r="HQ28" s="148"/>
      <c r="HR28" s="148"/>
      <c r="HS28" s="148"/>
      <c r="HT28" s="148"/>
      <c r="HU28" s="148"/>
      <c r="HV28" s="148"/>
      <c r="HW28" s="148"/>
      <c r="HX28" s="148"/>
      <c r="HY28" s="148"/>
      <c r="HZ28" s="148"/>
      <c r="IA28" s="148"/>
      <c r="IB28" s="148"/>
      <c r="IC28" s="148"/>
      <c r="ID28" s="148"/>
      <c r="IE28" s="148"/>
      <c r="IF28" s="148"/>
      <c r="IG28" s="148"/>
      <c r="IH28" s="148"/>
      <c r="II28" s="148"/>
      <c r="IJ28" s="148"/>
      <c r="IK28" s="148"/>
      <c r="IL28" s="148"/>
      <c r="IM28" s="148"/>
      <c r="IN28" s="148"/>
      <c r="IO28" s="148"/>
      <c r="IP28" s="148"/>
      <c r="IQ28" s="148"/>
      <c r="IR28" s="148"/>
      <c r="IS28" s="148"/>
      <c r="IT28" s="148"/>
      <c r="IU28" s="148"/>
      <c r="IV28" s="148"/>
      <c r="IW28" s="148"/>
      <c r="IX28" s="148"/>
      <c r="IY28" s="148"/>
      <c r="IZ28" s="148"/>
      <c r="JA28" s="148"/>
      <c r="JB28" s="148"/>
      <c r="JC28" s="148"/>
      <c r="JD28" s="148"/>
      <c r="JE28" s="148"/>
      <c r="JF28" s="148"/>
      <c r="JG28" s="148"/>
      <c r="JH28" s="148"/>
      <c r="JI28" s="148"/>
      <c r="JJ28" s="148"/>
      <c r="JK28" s="148"/>
      <c r="JL28" s="148"/>
      <c r="JM28" s="148"/>
      <c r="JN28" s="148"/>
      <c r="JO28" s="148"/>
      <c r="JP28" s="148"/>
      <c r="JQ28" s="148"/>
      <c r="JR28" s="148"/>
      <c r="JS28" s="148"/>
      <c r="JT28" s="148"/>
      <c r="JU28" s="148"/>
      <c r="JV28" s="148"/>
      <c r="JW28" s="148"/>
      <c r="JX28" s="148"/>
      <c r="JY28" s="148"/>
      <c r="JZ28" s="148"/>
      <c r="KA28" s="148"/>
      <c r="KB28" s="148"/>
      <c r="KC28" s="148"/>
      <c r="KD28" s="148"/>
      <c r="KE28" s="148"/>
      <c r="KF28" s="148"/>
      <c r="KG28" s="148"/>
      <c r="KH28" s="148"/>
      <c r="KI28" s="148"/>
      <c r="KJ28" s="148"/>
      <c r="KK28" s="148"/>
      <c r="KL28" s="148"/>
      <c r="KM28" s="148"/>
      <c r="KN28" s="148"/>
      <c r="KO28" s="148"/>
      <c r="KP28" s="148"/>
      <c r="KQ28" s="148"/>
      <c r="KR28" s="148"/>
      <c r="KS28" s="148"/>
      <c r="KT28" s="148"/>
      <c r="KU28" s="148"/>
      <c r="KV28" s="148"/>
      <c r="KW28" s="148"/>
      <c r="KX28" s="148"/>
      <c r="KY28" s="148"/>
      <c r="KZ28" s="148"/>
      <c r="LA28" s="148"/>
      <c r="LB28" s="148"/>
      <c r="LC28" s="148"/>
      <c r="LD28" s="148"/>
      <c r="LE28" s="148"/>
      <c r="LF28" s="148"/>
      <c r="LG28" s="148"/>
      <c r="LH28" s="148"/>
      <c r="LI28" s="148"/>
      <c r="LJ28" s="148"/>
      <c r="LK28" s="148"/>
      <c r="LL28" s="148"/>
      <c r="LM28" s="148"/>
      <c r="LN28" s="148"/>
      <c r="LO28" s="148"/>
      <c r="LP28" s="148"/>
      <c r="LQ28" s="148"/>
      <c r="LR28" s="148"/>
      <c r="LS28" s="148"/>
      <c r="LT28" s="148"/>
      <c r="LU28" s="148"/>
      <c r="LV28" s="148"/>
      <c r="LW28" s="148"/>
      <c r="LX28" s="148"/>
      <c r="LY28" s="148"/>
      <c r="LZ28" s="148"/>
      <c r="MA28" s="148"/>
      <c r="MB28" s="148"/>
      <c r="MC28" s="148"/>
      <c r="MD28" s="148"/>
      <c r="ME28" s="148"/>
      <c r="MF28" s="148"/>
      <c r="MG28" s="148"/>
      <c r="MH28" s="148"/>
      <c r="MI28" s="148"/>
      <c r="MJ28" s="148"/>
      <c r="MK28" s="148"/>
      <c r="ML28" s="148"/>
      <c r="MM28" s="148"/>
      <c r="MN28" s="148"/>
      <c r="MO28" s="148"/>
      <c r="MP28" s="148"/>
      <c r="MQ28" s="148"/>
      <c r="MR28" s="148"/>
      <c r="MS28" s="148"/>
      <c r="MT28" s="148"/>
      <c r="MU28" s="148"/>
      <c r="MV28" s="148"/>
      <c r="MW28" s="148"/>
      <c r="MX28" s="148"/>
      <c r="MY28" s="148"/>
      <c r="MZ28" s="148"/>
      <c r="NA28" s="148"/>
      <c r="NB28" s="148"/>
      <c r="NC28" s="148"/>
      <c r="ND28" s="148"/>
      <c r="NE28" s="148"/>
      <c r="NF28" s="148"/>
      <c r="NG28" s="148"/>
      <c r="NH28" s="148"/>
      <c r="NI28" s="148"/>
      <c r="NJ28" s="148"/>
      <c r="NK28" s="148"/>
      <c r="NL28" s="148"/>
      <c r="NM28" s="148"/>
      <c r="NN28" s="148"/>
      <c r="NO28" s="148"/>
      <c r="NP28" s="148"/>
      <c r="NQ28" s="148"/>
      <c r="NR28" s="148"/>
      <c r="NS28" s="148"/>
      <c r="NT28" s="148"/>
      <c r="NU28" s="148"/>
      <c r="NV28" s="148"/>
      <c r="NW28" s="148"/>
      <c r="NX28" s="148"/>
      <c r="NY28" s="148"/>
      <c r="NZ28" s="148"/>
      <c r="OA28" s="148"/>
      <c r="OB28" s="148"/>
      <c r="OC28" s="148"/>
      <c r="OD28" s="148"/>
      <c r="OE28" s="148"/>
      <c r="OF28" s="148"/>
      <c r="OG28" s="148"/>
      <c r="OH28" s="148"/>
      <c r="OI28" s="148"/>
      <c r="OJ28" s="148"/>
      <c r="OK28" s="148"/>
      <c r="OL28" s="148"/>
      <c r="OM28" s="148"/>
      <c r="ON28" s="148"/>
      <c r="OO28" s="148"/>
      <c r="OP28" s="148"/>
      <c r="OQ28" s="148"/>
      <c r="OR28" s="148"/>
      <c r="OS28" s="148"/>
      <c r="OT28" s="148"/>
      <c r="OU28" s="148"/>
      <c r="OV28" s="148"/>
      <c r="OW28" s="148"/>
      <c r="OX28" s="148"/>
      <c r="OY28" s="148"/>
      <c r="OZ28" s="148"/>
      <c r="PA28" s="148"/>
      <c r="PB28" s="148"/>
      <c r="PC28" s="148"/>
      <c r="PD28" s="148"/>
      <c r="PE28" s="148"/>
      <c r="PF28" s="148"/>
      <c r="PG28" s="148"/>
      <c r="PH28" s="148"/>
      <c r="PI28" s="148"/>
      <c r="PJ28" s="148"/>
      <c r="PK28" s="148"/>
      <c r="PL28" s="148"/>
      <c r="PM28" s="148"/>
      <c r="PN28" s="148"/>
      <c r="PO28" s="148"/>
      <c r="PP28" s="148"/>
      <c r="PQ28" s="148"/>
      <c r="PR28" s="148"/>
      <c r="PS28" s="148"/>
      <c r="PT28" s="148"/>
      <c r="PU28" s="148"/>
      <c r="PV28" s="148"/>
      <c r="PW28" s="148"/>
      <c r="PX28" s="148"/>
      <c r="PY28" s="148"/>
      <c r="PZ28" s="148"/>
      <c r="QA28" s="148"/>
      <c r="QB28" s="148"/>
      <c r="QC28" s="148"/>
      <c r="QD28" s="148"/>
      <c r="QE28" s="148"/>
      <c r="QF28" s="148"/>
      <c r="QG28" s="148"/>
      <c r="QH28" s="148"/>
      <c r="QI28" s="148"/>
      <c r="QJ28" s="148"/>
      <c r="QK28" s="148"/>
      <c r="QL28" s="148"/>
      <c r="QM28" s="148"/>
      <c r="QN28" s="148"/>
      <c r="QO28" s="148"/>
      <c r="QP28" s="148"/>
      <c r="QQ28" s="148"/>
      <c r="QR28" s="148"/>
      <c r="QS28" s="148"/>
      <c r="QT28" s="148"/>
      <c r="QU28" s="148"/>
      <c r="QV28" s="148"/>
      <c r="QW28" s="148"/>
      <c r="QX28" s="148"/>
      <c r="QY28" s="148"/>
      <c r="QZ28" s="148"/>
      <c r="RA28" s="148"/>
      <c r="RB28" s="148"/>
      <c r="RC28" s="148"/>
      <c r="RD28" s="148"/>
      <c r="RE28" s="148"/>
      <c r="RF28" s="148"/>
      <c r="RG28" s="148"/>
      <c r="RH28" s="148"/>
      <c r="RI28" s="148"/>
      <c r="RJ28" s="148"/>
      <c r="RK28" s="148"/>
      <c r="RL28" s="148"/>
      <c r="RM28" s="148"/>
      <c r="RN28" s="148"/>
      <c r="RO28" s="148"/>
      <c r="RP28" s="148"/>
      <c r="RQ28" s="148"/>
      <c r="RR28" s="148"/>
    </row>
    <row r="29" spans="1:486" s="15" customFormat="1" ht="22.5" x14ac:dyDescent="0.25">
      <c r="A29" s="148"/>
      <c r="B29" s="350">
        <v>14</v>
      </c>
      <c r="C29" s="643" t="s">
        <v>894</v>
      </c>
      <c r="D29" s="631">
        <v>40004175</v>
      </c>
      <c r="E29" s="344" t="s">
        <v>2730</v>
      </c>
      <c r="F29" s="344" t="s">
        <v>45</v>
      </c>
      <c r="G29" s="17" t="s">
        <v>2693</v>
      </c>
      <c r="H29" s="317" t="s">
        <v>2731</v>
      </c>
      <c r="I29" s="346" t="s">
        <v>43</v>
      </c>
      <c r="J29" s="341" t="s">
        <v>2732</v>
      </c>
      <c r="K29" s="633">
        <v>0</v>
      </c>
      <c r="L29" s="633">
        <v>0</v>
      </c>
      <c r="M29" s="633">
        <v>0</v>
      </c>
      <c r="N29" s="633">
        <v>0</v>
      </c>
      <c r="O29" s="633">
        <v>0</v>
      </c>
      <c r="P29" s="633">
        <v>0</v>
      </c>
      <c r="Q29" s="633">
        <v>0</v>
      </c>
      <c r="R29" s="633">
        <v>0</v>
      </c>
      <c r="S29" s="633"/>
      <c r="T29" s="633"/>
      <c r="U29" s="633"/>
      <c r="V29" s="633"/>
      <c r="W29" s="633"/>
      <c r="X29" s="633"/>
      <c r="Y29" s="633">
        <f t="shared" si="1"/>
        <v>0</v>
      </c>
      <c r="Z29" s="407">
        <v>925000</v>
      </c>
      <c r="AA29" s="635" t="s">
        <v>296</v>
      </c>
      <c r="AB29" s="23">
        <v>44232</v>
      </c>
      <c r="AC29" s="23">
        <v>44250</v>
      </c>
      <c r="AD29" s="636"/>
      <c r="AE29" s="20"/>
      <c r="AF29" s="21"/>
      <c r="AG29" s="23"/>
      <c r="AH29" s="637"/>
      <c r="AI29" s="19"/>
      <c r="AJ29" s="21"/>
      <c r="AK29" s="25"/>
      <c r="AL29" s="309"/>
      <c r="AM29" s="19"/>
      <c r="AN29" s="21"/>
      <c r="AO29" s="25"/>
      <c r="AP29" s="309"/>
      <c r="AQ29" s="19"/>
      <c r="AR29" s="21"/>
      <c r="AS29" s="25"/>
      <c r="AT29" s="638">
        <f t="shared" si="2"/>
        <v>925000</v>
      </c>
      <c r="AU29" s="311">
        <f t="shared" si="0"/>
        <v>925000</v>
      </c>
      <c r="AV29" s="148"/>
      <c r="AW29" s="148"/>
      <c r="AX29" s="148"/>
      <c r="AY29" s="148"/>
      <c r="AZ29" s="148"/>
      <c r="BA29" s="148"/>
      <c r="BB29" s="148"/>
      <c r="BC29" s="148"/>
      <c r="BD29" s="148"/>
      <c r="BE29" s="148"/>
      <c r="BF29" s="148"/>
      <c r="BG29" s="148"/>
      <c r="BH29" s="148"/>
      <c r="BI29" s="148"/>
      <c r="BJ29" s="148"/>
      <c r="BK29" s="148"/>
      <c r="BL29" s="148"/>
      <c r="BM29" s="148"/>
      <c r="BN29" s="148"/>
      <c r="BO29" s="148"/>
      <c r="BP29" s="148"/>
      <c r="BQ29" s="148"/>
      <c r="BR29" s="148"/>
      <c r="BS29" s="148"/>
      <c r="BT29" s="148"/>
      <c r="BU29" s="148"/>
      <c r="BV29" s="148"/>
      <c r="BW29" s="148"/>
      <c r="BX29" s="148"/>
      <c r="BY29" s="148"/>
      <c r="BZ29" s="148"/>
      <c r="CA29" s="148"/>
      <c r="CB29" s="148"/>
      <c r="CC29" s="148"/>
      <c r="CD29" s="148"/>
      <c r="CE29" s="148"/>
      <c r="CF29" s="148"/>
      <c r="CG29" s="148"/>
      <c r="CH29" s="148"/>
      <c r="CI29" s="148"/>
      <c r="CJ29" s="148"/>
      <c r="CK29" s="148"/>
      <c r="CL29" s="148"/>
      <c r="CM29" s="148"/>
      <c r="CN29" s="148"/>
      <c r="CO29" s="148"/>
      <c r="CP29" s="148"/>
      <c r="CQ29" s="148"/>
      <c r="CR29" s="148"/>
      <c r="CS29" s="148"/>
      <c r="CT29" s="148"/>
      <c r="CU29" s="148"/>
      <c r="CV29" s="148"/>
      <c r="CW29" s="148"/>
      <c r="CX29" s="148"/>
      <c r="CY29" s="148"/>
      <c r="CZ29" s="148"/>
      <c r="DA29" s="148"/>
      <c r="DB29" s="148"/>
      <c r="DC29" s="148"/>
      <c r="DD29" s="148"/>
      <c r="DE29" s="148"/>
      <c r="DF29" s="148"/>
      <c r="DG29" s="148"/>
      <c r="DH29" s="148"/>
      <c r="DI29" s="148"/>
      <c r="DJ29" s="148"/>
      <c r="DK29" s="148"/>
      <c r="DL29" s="148"/>
      <c r="DM29" s="148"/>
      <c r="DN29" s="148"/>
      <c r="DO29" s="148"/>
      <c r="DP29" s="148"/>
      <c r="DQ29" s="148"/>
      <c r="DR29" s="148"/>
      <c r="DS29" s="148"/>
      <c r="DT29" s="148"/>
      <c r="DU29" s="148"/>
      <c r="DV29" s="148"/>
      <c r="DW29" s="148"/>
      <c r="DX29" s="148"/>
      <c r="DY29" s="148"/>
      <c r="DZ29" s="148"/>
      <c r="EA29" s="148"/>
      <c r="EB29" s="148"/>
      <c r="EC29" s="148"/>
      <c r="ED29" s="148"/>
      <c r="EE29" s="148"/>
      <c r="EF29" s="148"/>
      <c r="EG29" s="148"/>
      <c r="EH29" s="148"/>
      <c r="EI29" s="148"/>
      <c r="EJ29" s="148"/>
      <c r="EK29" s="148"/>
      <c r="EL29" s="148"/>
      <c r="EM29" s="148"/>
      <c r="EN29" s="148"/>
      <c r="EO29" s="148"/>
      <c r="EP29" s="148"/>
      <c r="EQ29" s="148"/>
      <c r="ER29" s="148"/>
      <c r="ES29" s="148"/>
      <c r="ET29" s="148"/>
      <c r="EU29" s="148"/>
      <c r="EV29" s="148"/>
      <c r="EW29" s="148"/>
      <c r="EX29" s="148"/>
      <c r="EY29" s="148"/>
      <c r="EZ29" s="148"/>
      <c r="FA29" s="148"/>
      <c r="FB29" s="148"/>
      <c r="FC29" s="148"/>
      <c r="FD29" s="148"/>
      <c r="FE29" s="148"/>
      <c r="FF29" s="148"/>
      <c r="FG29" s="148"/>
      <c r="FH29" s="148"/>
      <c r="FI29" s="148"/>
      <c r="FJ29" s="148"/>
      <c r="FK29" s="148"/>
      <c r="FL29" s="148"/>
      <c r="FM29" s="148"/>
      <c r="FN29" s="148"/>
      <c r="FO29" s="148"/>
      <c r="FP29" s="148"/>
      <c r="FQ29" s="148"/>
      <c r="FR29" s="148"/>
      <c r="FS29" s="148"/>
      <c r="FT29" s="148"/>
      <c r="FU29" s="148"/>
      <c r="FV29" s="148"/>
      <c r="FW29" s="148"/>
      <c r="FX29" s="148"/>
      <c r="FY29" s="148"/>
      <c r="FZ29" s="148"/>
      <c r="GA29" s="148"/>
      <c r="GB29" s="148"/>
      <c r="GC29" s="148"/>
      <c r="GD29" s="148"/>
      <c r="GE29" s="148"/>
      <c r="GF29" s="148"/>
      <c r="GG29" s="148"/>
      <c r="GH29" s="148"/>
      <c r="GI29" s="148"/>
      <c r="GJ29" s="148"/>
      <c r="GK29" s="148"/>
      <c r="GL29" s="148"/>
      <c r="GM29" s="148"/>
      <c r="GN29" s="148"/>
      <c r="GO29" s="148"/>
      <c r="GP29" s="148"/>
      <c r="GQ29" s="148"/>
      <c r="GR29" s="148"/>
      <c r="GS29" s="148"/>
      <c r="GT29" s="148"/>
      <c r="GU29" s="148"/>
      <c r="GV29" s="148"/>
      <c r="GW29" s="148"/>
      <c r="GX29" s="148"/>
      <c r="GY29" s="148"/>
      <c r="GZ29" s="148"/>
      <c r="HA29" s="148"/>
      <c r="HB29" s="148"/>
      <c r="HC29" s="148"/>
      <c r="HD29" s="148"/>
      <c r="HE29" s="148"/>
      <c r="HF29" s="148"/>
      <c r="HG29" s="148"/>
      <c r="HH29" s="148"/>
      <c r="HI29" s="148"/>
      <c r="HJ29" s="148"/>
      <c r="HK29" s="148"/>
      <c r="HL29" s="148"/>
      <c r="HM29" s="148"/>
      <c r="HN29" s="148"/>
      <c r="HO29" s="148"/>
      <c r="HP29" s="148"/>
      <c r="HQ29" s="148"/>
      <c r="HR29" s="148"/>
      <c r="HS29" s="148"/>
      <c r="HT29" s="148"/>
      <c r="HU29" s="148"/>
      <c r="HV29" s="148"/>
      <c r="HW29" s="148"/>
      <c r="HX29" s="148"/>
      <c r="HY29" s="148"/>
      <c r="HZ29" s="148"/>
      <c r="IA29" s="148"/>
      <c r="IB29" s="148"/>
      <c r="IC29" s="148"/>
      <c r="ID29" s="148"/>
      <c r="IE29" s="148"/>
      <c r="IF29" s="148"/>
      <c r="IG29" s="148"/>
      <c r="IH29" s="148"/>
      <c r="II29" s="148"/>
      <c r="IJ29" s="148"/>
      <c r="IK29" s="148"/>
      <c r="IL29" s="148"/>
      <c r="IM29" s="148"/>
      <c r="IN29" s="148"/>
      <c r="IO29" s="148"/>
      <c r="IP29" s="148"/>
      <c r="IQ29" s="148"/>
      <c r="IR29" s="148"/>
      <c r="IS29" s="148"/>
      <c r="IT29" s="148"/>
      <c r="IU29" s="148"/>
      <c r="IV29" s="148"/>
      <c r="IW29" s="148"/>
      <c r="IX29" s="148"/>
      <c r="IY29" s="148"/>
      <c r="IZ29" s="148"/>
      <c r="JA29" s="148"/>
      <c r="JB29" s="148"/>
      <c r="JC29" s="148"/>
      <c r="JD29" s="148"/>
      <c r="JE29" s="148"/>
      <c r="JF29" s="148"/>
      <c r="JG29" s="148"/>
      <c r="JH29" s="148"/>
      <c r="JI29" s="148"/>
      <c r="JJ29" s="148"/>
      <c r="JK29" s="148"/>
      <c r="JL29" s="148"/>
      <c r="JM29" s="148"/>
      <c r="JN29" s="148"/>
      <c r="JO29" s="148"/>
      <c r="JP29" s="148"/>
      <c r="JQ29" s="148"/>
      <c r="JR29" s="148"/>
      <c r="JS29" s="148"/>
      <c r="JT29" s="148"/>
      <c r="JU29" s="148"/>
      <c r="JV29" s="148"/>
      <c r="JW29" s="148"/>
      <c r="JX29" s="148"/>
      <c r="JY29" s="148"/>
      <c r="JZ29" s="148"/>
      <c r="KA29" s="148"/>
      <c r="KB29" s="148"/>
      <c r="KC29" s="148"/>
      <c r="KD29" s="148"/>
      <c r="KE29" s="148"/>
      <c r="KF29" s="148"/>
      <c r="KG29" s="148"/>
      <c r="KH29" s="148"/>
      <c r="KI29" s="148"/>
      <c r="KJ29" s="148"/>
      <c r="KK29" s="148"/>
      <c r="KL29" s="148"/>
      <c r="KM29" s="148"/>
      <c r="KN29" s="148"/>
      <c r="KO29" s="148"/>
      <c r="KP29" s="148"/>
      <c r="KQ29" s="148"/>
      <c r="KR29" s="148"/>
      <c r="KS29" s="148"/>
      <c r="KT29" s="148"/>
      <c r="KU29" s="148"/>
      <c r="KV29" s="148"/>
      <c r="KW29" s="148"/>
      <c r="KX29" s="148"/>
      <c r="KY29" s="148"/>
      <c r="KZ29" s="148"/>
      <c r="LA29" s="148"/>
      <c r="LB29" s="148"/>
      <c r="LC29" s="148"/>
      <c r="LD29" s="148"/>
      <c r="LE29" s="148"/>
      <c r="LF29" s="148"/>
      <c r="LG29" s="148"/>
      <c r="LH29" s="148"/>
      <c r="LI29" s="148"/>
      <c r="LJ29" s="148"/>
      <c r="LK29" s="148"/>
      <c r="LL29" s="148"/>
      <c r="LM29" s="148"/>
      <c r="LN29" s="148"/>
      <c r="LO29" s="148"/>
      <c r="LP29" s="148"/>
      <c r="LQ29" s="148"/>
      <c r="LR29" s="148"/>
      <c r="LS29" s="148"/>
      <c r="LT29" s="148"/>
      <c r="LU29" s="148"/>
      <c r="LV29" s="148"/>
      <c r="LW29" s="148"/>
      <c r="LX29" s="148"/>
      <c r="LY29" s="148"/>
      <c r="LZ29" s="148"/>
      <c r="MA29" s="148"/>
      <c r="MB29" s="148"/>
      <c r="MC29" s="148"/>
      <c r="MD29" s="148"/>
      <c r="ME29" s="148"/>
      <c r="MF29" s="148"/>
      <c r="MG29" s="148"/>
      <c r="MH29" s="148"/>
      <c r="MI29" s="148"/>
      <c r="MJ29" s="148"/>
      <c r="MK29" s="148"/>
      <c r="ML29" s="148"/>
      <c r="MM29" s="148"/>
      <c r="MN29" s="148"/>
      <c r="MO29" s="148"/>
      <c r="MP29" s="148"/>
      <c r="MQ29" s="148"/>
      <c r="MR29" s="148"/>
      <c r="MS29" s="148"/>
      <c r="MT29" s="148"/>
      <c r="MU29" s="148"/>
      <c r="MV29" s="148"/>
      <c r="MW29" s="148"/>
      <c r="MX29" s="148"/>
      <c r="MY29" s="148"/>
      <c r="MZ29" s="148"/>
      <c r="NA29" s="148"/>
      <c r="NB29" s="148"/>
      <c r="NC29" s="148"/>
      <c r="ND29" s="148"/>
      <c r="NE29" s="148"/>
      <c r="NF29" s="148"/>
      <c r="NG29" s="148"/>
      <c r="NH29" s="148"/>
      <c r="NI29" s="148"/>
      <c r="NJ29" s="148"/>
      <c r="NK29" s="148"/>
      <c r="NL29" s="148"/>
      <c r="NM29" s="148"/>
      <c r="NN29" s="148"/>
      <c r="NO29" s="148"/>
      <c r="NP29" s="148"/>
      <c r="NQ29" s="148"/>
      <c r="NR29" s="148"/>
      <c r="NS29" s="148"/>
      <c r="NT29" s="148"/>
      <c r="NU29" s="148"/>
      <c r="NV29" s="148"/>
      <c r="NW29" s="148"/>
      <c r="NX29" s="148"/>
      <c r="NY29" s="148"/>
      <c r="NZ29" s="148"/>
      <c r="OA29" s="148"/>
      <c r="OB29" s="148"/>
      <c r="OC29" s="148"/>
      <c r="OD29" s="148"/>
      <c r="OE29" s="148"/>
      <c r="OF29" s="148"/>
      <c r="OG29" s="148"/>
      <c r="OH29" s="148"/>
      <c r="OI29" s="148"/>
      <c r="OJ29" s="148"/>
      <c r="OK29" s="148"/>
      <c r="OL29" s="148"/>
      <c r="OM29" s="148"/>
      <c r="ON29" s="148"/>
      <c r="OO29" s="148"/>
      <c r="OP29" s="148"/>
      <c r="OQ29" s="148"/>
      <c r="OR29" s="148"/>
      <c r="OS29" s="148"/>
      <c r="OT29" s="148"/>
      <c r="OU29" s="148"/>
      <c r="OV29" s="148"/>
      <c r="OW29" s="148"/>
      <c r="OX29" s="148"/>
      <c r="OY29" s="148"/>
      <c r="OZ29" s="148"/>
      <c r="PA29" s="148"/>
      <c r="PB29" s="148"/>
      <c r="PC29" s="148"/>
      <c r="PD29" s="148"/>
      <c r="PE29" s="148"/>
      <c r="PF29" s="148"/>
      <c r="PG29" s="148"/>
      <c r="PH29" s="148"/>
      <c r="PI29" s="148"/>
      <c r="PJ29" s="148"/>
      <c r="PK29" s="148"/>
      <c r="PL29" s="148"/>
      <c r="PM29" s="148"/>
      <c r="PN29" s="148"/>
      <c r="PO29" s="148"/>
      <c r="PP29" s="148"/>
      <c r="PQ29" s="148"/>
      <c r="PR29" s="148"/>
      <c r="PS29" s="148"/>
      <c r="PT29" s="148"/>
      <c r="PU29" s="148"/>
      <c r="PV29" s="148"/>
      <c r="PW29" s="148"/>
      <c r="PX29" s="148"/>
      <c r="PY29" s="148"/>
      <c r="PZ29" s="148"/>
      <c r="QA29" s="148"/>
      <c r="QB29" s="148"/>
      <c r="QC29" s="148"/>
      <c r="QD29" s="148"/>
      <c r="QE29" s="148"/>
      <c r="QF29" s="148"/>
      <c r="QG29" s="148"/>
      <c r="QH29" s="148"/>
      <c r="QI29" s="148"/>
      <c r="QJ29" s="148"/>
      <c r="QK29" s="148"/>
      <c r="QL29" s="148"/>
      <c r="QM29" s="148"/>
      <c r="QN29" s="148"/>
      <c r="QO29" s="148"/>
      <c r="QP29" s="148"/>
      <c r="QQ29" s="148"/>
      <c r="QR29" s="148"/>
      <c r="QS29" s="148"/>
      <c r="QT29" s="148"/>
      <c r="QU29" s="148"/>
      <c r="QV29" s="148"/>
      <c r="QW29" s="148"/>
      <c r="QX29" s="148"/>
      <c r="QY29" s="148"/>
      <c r="QZ29" s="148"/>
      <c r="RA29" s="148"/>
      <c r="RB29" s="148"/>
      <c r="RC29" s="148"/>
      <c r="RD29" s="148"/>
      <c r="RE29" s="148"/>
      <c r="RF29" s="148"/>
      <c r="RG29" s="148"/>
      <c r="RH29" s="148"/>
      <c r="RI29" s="148"/>
      <c r="RJ29" s="148"/>
      <c r="RK29" s="148"/>
      <c r="RL29" s="148"/>
      <c r="RM29" s="148"/>
      <c r="RN29" s="148"/>
      <c r="RO29" s="148"/>
      <c r="RP29" s="148"/>
      <c r="RQ29" s="148"/>
      <c r="RR29" s="148"/>
    </row>
    <row r="30" spans="1:486" s="15" customFormat="1" ht="22.5" x14ac:dyDescent="0.25">
      <c r="A30" s="148"/>
      <c r="B30" s="350">
        <v>15</v>
      </c>
      <c r="C30" s="641" t="s">
        <v>894</v>
      </c>
      <c r="D30" s="631">
        <v>40004289</v>
      </c>
      <c r="E30" s="344" t="s">
        <v>2733</v>
      </c>
      <c r="F30" s="344" t="s">
        <v>45</v>
      </c>
      <c r="G30" s="17" t="s">
        <v>2693</v>
      </c>
      <c r="H30" s="317" t="s">
        <v>2715</v>
      </c>
      <c r="I30" s="346" t="s">
        <v>43</v>
      </c>
      <c r="J30" s="341" t="s">
        <v>2734</v>
      </c>
      <c r="K30" s="633">
        <v>0</v>
      </c>
      <c r="L30" s="633">
        <v>0</v>
      </c>
      <c r="M30" s="633">
        <v>0</v>
      </c>
      <c r="N30" s="633">
        <v>0</v>
      </c>
      <c r="O30" s="633">
        <v>0</v>
      </c>
      <c r="P30" s="633">
        <v>0</v>
      </c>
      <c r="Q30" s="633">
        <v>0</v>
      </c>
      <c r="R30" s="633">
        <v>0</v>
      </c>
      <c r="S30" s="633"/>
      <c r="T30" s="633"/>
      <c r="U30" s="633"/>
      <c r="V30" s="633"/>
      <c r="W30" s="633"/>
      <c r="X30" s="633"/>
      <c r="Y30" s="633">
        <f t="shared" si="1"/>
        <v>0</v>
      </c>
      <c r="Z30" s="407">
        <v>100000</v>
      </c>
      <c r="AA30" s="635" t="s">
        <v>296</v>
      </c>
      <c r="AB30" s="23">
        <v>44232</v>
      </c>
      <c r="AC30" s="23">
        <v>44250</v>
      </c>
      <c r="AD30" s="636"/>
      <c r="AE30" s="20"/>
      <c r="AF30" s="21"/>
      <c r="AG30" s="23"/>
      <c r="AH30" s="637"/>
      <c r="AI30" s="19"/>
      <c r="AJ30" s="21"/>
      <c r="AK30" s="25"/>
      <c r="AL30" s="309"/>
      <c r="AM30" s="19"/>
      <c r="AN30" s="21"/>
      <c r="AO30" s="25"/>
      <c r="AP30" s="309"/>
      <c r="AQ30" s="19"/>
      <c r="AR30" s="21"/>
      <c r="AS30" s="25"/>
      <c r="AT30" s="638">
        <f t="shared" si="2"/>
        <v>100000</v>
      </c>
      <c r="AU30" s="311">
        <f t="shared" si="0"/>
        <v>100000</v>
      </c>
      <c r="AV30" s="148"/>
      <c r="AW30" s="148"/>
      <c r="AX30" s="148"/>
      <c r="AY30" s="148"/>
      <c r="AZ30" s="148"/>
      <c r="BA30" s="148"/>
      <c r="BB30" s="148"/>
      <c r="BC30" s="148"/>
      <c r="BD30" s="148"/>
      <c r="BE30" s="148"/>
      <c r="BF30" s="148"/>
      <c r="BG30" s="148"/>
      <c r="BH30" s="148"/>
      <c r="BI30" s="148"/>
      <c r="BJ30" s="148"/>
      <c r="BK30" s="148"/>
      <c r="BL30" s="148"/>
      <c r="BM30" s="148"/>
      <c r="BN30" s="148"/>
      <c r="BO30" s="148"/>
      <c r="BP30" s="148"/>
      <c r="BQ30" s="148"/>
      <c r="BR30" s="148"/>
      <c r="BS30" s="148"/>
      <c r="BT30" s="148"/>
      <c r="BU30" s="148"/>
      <c r="BV30" s="148"/>
      <c r="BW30" s="148"/>
      <c r="BX30" s="148"/>
      <c r="BY30" s="148"/>
      <c r="BZ30" s="148"/>
      <c r="CA30" s="148"/>
      <c r="CB30" s="148"/>
      <c r="CC30" s="148"/>
      <c r="CD30" s="148"/>
      <c r="CE30" s="148"/>
      <c r="CF30" s="148"/>
      <c r="CG30" s="148"/>
      <c r="CH30" s="148"/>
      <c r="CI30" s="148"/>
      <c r="CJ30" s="148"/>
      <c r="CK30" s="148"/>
      <c r="CL30" s="148"/>
      <c r="CM30" s="148"/>
      <c r="CN30" s="148"/>
      <c r="CO30" s="148"/>
      <c r="CP30" s="148"/>
      <c r="CQ30" s="148"/>
      <c r="CR30" s="148"/>
      <c r="CS30" s="148"/>
      <c r="CT30" s="148"/>
      <c r="CU30" s="148"/>
      <c r="CV30" s="148"/>
      <c r="CW30" s="148"/>
      <c r="CX30" s="148"/>
      <c r="CY30" s="148"/>
      <c r="CZ30" s="148"/>
      <c r="DA30" s="148"/>
      <c r="DB30" s="148"/>
      <c r="DC30" s="148"/>
      <c r="DD30" s="148"/>
      <c r="DE30" s="148"/>
      <c r="DF30" s="148"/>
      <c r="DG30" s="148"/>
      <c r="DH30" s="148"/>
      <c r="DI30" s="148"/>
      <c r="DJ30" s="148"/>
      <c r="DK30" s="148"/>
      <c r="DL30" s="148"/>
      <c r="DM30" s="148"/>
      <c r="DN30" s="148"/>
      <c r="DO30" s="148"/>
      <c r="DP30" s="148"/>
      <c r="DQ30" s="148"/>
      <c r="DR30" s="148"/>
      <c r="DS30" s="148"/>
      <c r="DT30" s="148"/>
      <c r="DU30" s="148"/>
      <c r="DV30" s="148"/>
      <c r="DW30" s="148"/>
      <c r="DX30" s="148"/>
      <c r="DY30" s="148"/>
      <c r="DZ30" s="148"/>
      <c r="EA30" s="148"/>
      <c r="EB30" s="148"/>
      <c r="EC30" s="148"/>
      <c r="ED30" s="148"/>
      <c r="EE30" s="148"/>
      <c r="EF30" s="148"/>
      <c r="EG30" s="148"/>
      <c r="EH30" s="148"/>
      <c r="EI30" s="148"/>
      <c r="EJ30" s="148"/>
      <c r="EK30" s="148"/>
      <c r="EL30" s="148"/>
      <c r="EM30" s="148"/>
      <c r="EN30" s="148"/>
      <c r="EO30" s="148"/>
      <c r="EP30" s="148"/>
      <c r="EQ30" s="148"/>
      <c r="ER30" s="148"/>
      <c r="ES30" s="148"/>
      <c r="ET30" s="148"/>
      <c r="EU30" s="148"/>
      <c r="EV30" s="148"/>
      <c r="EW30" s="148"/>
      <c r="EX30" s="148"/>
      <c r="EY30" s="148"/>
      <c r="EZ30" s="148"/>
      <c r="FA30" s="148"/>
      <c r="FB30" s="148"/>
      <c r="FC30" s="148"/>
      <c r="FD30" s="148"/>
      <c r="FE30" s="148"/>
      <c r="FF30" s="148"/>
      <c r="FG30" s="148"/>
      <c r="FH30" s="148"/>
      <c r="FI30" s="148"/>
      <c r="FJ30" s="148"/>
      <c r="FK30" s="148"/>
      <c r="FL30" s="148"/>
      <c r="FM30" s="148"/>
      <c r="FN30" s="148"/>
      <c r="FO30" s="148"/>
      <c r="FP30" s="148"/>
      <c r="FQ30" s="148"/>
      <c r="FR30" s="148"/>
      <c r="FS30" s="148"/>
      <c r="FT30" s="148"/>
      <c r="FU30" s="148"/>
      <c r="FV30" s="148"/>
      <c r="FW30" s="148"/>
      <c r="FX30" s="148"/>
      <c r="FY30" s="148"/>
      <c r="FZ30" s="148"/>
      <c r="GA30" s="148"/>
      <c r="GB30" s="148"/>
      <c r="GC30" s="148"/>
      <c r="GD30" s="148"/>
      <c r="GE30" s="148"/>
      <c r="GF30" s="148"/>
      <c r="GG30" s="148"/>
      <c r="GH30" s="148"/>
      <c r="GI30" s="148"/>
      <c r="GJ30" s="148"/>
      <c r="GK30" s="148"/>
      <c r="GL30" s="148"/>
      <c r="GM30" s="148"/>
      <c r="GN30" s="148"/>
      <c r="GO30" s="148"/>
      <c r="GP30" s="148"/>
      <c r="GQ30" s="148"/>
      <c r="GR30" s="148"/>
      <c r="GS30" s="148"/>
      <c r="GT30" s="148"/>
      <c r="GU30" s="148"/>
      <c r="GV30" s="148"/>
      <c r="GW30" s="148"/>
      <c r="GX30" s="148"/>
      <c r="GY30" s="148"/>
      <c r="GZ30" s="148"/>
      <c r="HA30" s="148"/>
      <c r="HB30" s="148"/>
      <c r="HC30" s="148"/>
      <c r="HD30" s="148"/>
      <c r="HE30" s="148"/>
      <c r="HF30" s="148"/>
      <c r="HG30" s="148"/>
      <c r="HH30" s="148"/>
      <c r="HI30" s="148"/>
      <c r="HJ30" s="148"/>
      <c r="HK30" s="148"/>
      <c r="HL30" s="148"/>
      <c r="HM30" s="148"/>
      <c r="HN30" s="148"/>
      <c r="HO30" s="148"/>
      <c r="HP30" s="148"/>
      <c r="HQ30" s="148"/>
      <c r="HR30" s="148"/>
      <c r="HS30" s="148"/>
      <c r="HT30" s="148"/>
      <c r="HU30" s="148"/>
      <c r="HV30" s="148"/>
      <c r="HW30" s="148"/>
      <c r="HX30" s="148"/>
      <c r="HY30" s="148"/>
      <c r="HZ30" s="148"/>
      <c r="IA30" s="148"/>
      <c r="IB30" s="148"/>
      <c r="IC30" s="148"/>
      <c r="ID30" s="148"/>
      <c r="IE30" s="148"/>
      <c r="IF30" s="148"/>
      <c r="IG30" s="148"/>
      <c r="IH30" s="148"/>
      <c r="II30" s="148"/>
      <c r="IJ30" s="148"/>
      <c r="IK30" s="148"/>
      <c r="IL30" s="148"/>
      <c r="IM30" s="148"/>
      <c r="IN30" s="148"/>
      <c r="IO30" s="148"/>
      <c r="IP30" s="148"/>
      <c r="IQ30" s="148"/>
      <c r="IR30" s="148"/>
      <c r="IS30" s="148"/>
      <c r="IT30" s="148"/>
      <c r="IU30" s="148"/>
      <c r="IV30" s="148"/>
      <c r="IW30" s="148"/>
      <c r="IX30" s="148"/>
      <c r="IY30" s="148"/>
      <c r="IZ30" s="148"/>
      <c r="JA30" s="148"/>
      <c r="JB30" s="148"/>
      <c r="JC30" s="148"/>
      <c r="JD30" s="148"/>
      <c r="JE30" s="148"/>
      <c r="JF30" s="148"/>
      <c r="JG30" s="148"/>
      <c r="JH30" s="148"/>
      <c r="JI30" s="148"/>
      <c r="JJ30" s="148"/>
      <c r="JK30" s="148"/>
      <c r="JL30" s="148"/>
      <c r="JM30" s="148"/>
      <c r="JN30" s="148"/>
      <c r="JO30" s="148"/>
      <c r="JP30" s="148"/>
      <c r="JQ30" s="148"/>
      <c r="JR30" s="148"/>
      <c r="JS30" s="148"/>
      <c r="JT30" s="148"/>
      <c r="JU30" s="148"/>
      <c r="JV30" s="148"/>
      <c r="JW30" s="148"/>
      <c r="JX30" s="148"/>
      <c r="JY30" s="148"/>
      <c r="JZ30" s="148"/>
      <c r="KA30" s="148"/>
      <c r="KB30" s="148"/>
      <c r="KC30" s="148"/>
      <c r="KD30" s="148"/>
      <c r="KE30" s="148"/>
      <c r="KF30" s="148"/>
      <c r="KG30" s="148"/>
      <c r="KH30" s="148"/>
      <c r="KI30" s="148"/>
      <c r="KJ30" s="148"/>
      <c r="KK30" s="148"/>
      <c r="KL30" s="148"/>
      <c r="KM30" s="148"/>
      <c r="KN30" s="148"/>
      <c r="KO30" s="148"/>
      <c r="KP30" s="148"/>
      <c r="KQ30" s="148"/>
      <c r="KR30" s="148"/>
      <c r="KS30" s="148"/>
      <c r="KT30" s="148"/>
      <c r="KU30" s="148"/>
      <c r="KV30" s="148"/>
      <c r="KW30" s="148"/>
      <c r="KX30" s="148"/>
      <c r="KY30" s="148"/>
      <c r="KZ30" s="148"/>
      <c r="LA30" s="148"/>
      <c r="LB30" s="148"/>
      <c r="LC30" s="148"/>
      <c r="LD30" s="148"/>
      <c r="LE30" s="148"/>
      <c r="LF30" s="148"/>
      <c r="LG30" s="148"/>
      <c r="LH30" s="148"/>
      <c r="LI30" s="148"/>
      <c r="LJ30" s="148"/>
      <c r="LK30" s="148"/>
      <c r="LL30" s="148"/>
      <c r="LM30" s="148"/>
      <c r="LN30" s="148"/>
      <c r="LO30" s="148"/>
      <c r="LP30" s="148"/>
      <c r="LQ30" s="148"/>
      <c r="LR30" s="148"/>
      <c r="LS30" s="148"/>
      <c r="LT30" s="148"/>
      <c r="LU30" s="148"/>
      <c r="LV30" s="148"/>
      <c r="LW30" s="148"/>
      <c r="LX30" s="148"/>
      <c r="LY30" s="148"/>
      <c r="LZ30" s="148"/>
      <c r="MA30" s="148"/>
      <c r="MB30" s="148"/>
      <c r="MC30" s="148"/>
      <c r="MD30" s="148"/>
      <c r="ME30" s="148"/>
      <c r="MF30" s="148"/>
      <c r="MG30" s="148"/>
      <c r="MH30" s="148"/>
      <c r="MI30" s="148"/>
      <c r="MJ30" s="148"/>
      <c r="MK30" s="148"/>
      <c r="ML30" s="148"/>
      <c r="MM30" s="148"/>
      <c r="MN30" s="148"/>
      <c r="MO30" s="148"/>
      <c r="MP30" s="148"/>
      <c r="MQ30" s="148"/>
      <c r="MR30" s="148"/>
      <c r="MS30" s="148"/>
      <c r="MT30" s="148"/>
      <c r="MU30" s="148"/>
      <c r="MV30" s="148"/>
      <c r="MW30" s="148"/>
      <c r="MX30" s="148"/>
      <c r="MY30" s="148"/>
      <c r="MZ30" s="148"/>
      <c r="NA30" s="148"/>
      <c r="NB30" s="148"/>
      <c r="NC30" s="148"/>
      <c r="ND30" s="148"/>
      <c r="NE30" s="148"/>
      <c r="NF30" s="148"/>
      <c r="NG30" s="148"/>
      <c r="NH30" s="148"/>
      <c r="NI30" s="148"/>
      <c r="NJ30" s="148"/>
      <c r="NK30" s="148"/>
      <c r="NL30" s="148"/>
      <c r="NM30" s="148"/>
      <c r="NN30" s="148"/>
      <c r="NO30" s="148"/>
      <c r="NP30" s="148"/>
      <c r="NQ30" s="148"/>
      <c r="NR30" s="148"/>
      <c r="NS30" s="148"/>
      <c r="NT30" s="148"/>
      <c r="NU30" s="148"/>
      <c r="NV30" s="148"/>
      <c r="NW30" s="148"/>
      <c r="NX30" s="148"/>
      <c r="NY30" s="148"/>
      <c r="NZ30" s="148"/>
      <c r="OA30" s="148"/>
      <c r="OB30" s="148"/>
      <c r="OC30" s="148"/>
      <c r="OD30" s="148"/>
      <c r="OE30" s="148"/>
      <c r="OF30" s="148"/>
      <c r="OG30" s="148"/>
      <c r="OH30" s="148"/>
      <c r="OI30" s="148"/>
      <c r="OJ30" s="148"/>
      <c r="OK30" s="148"/>
      <c r="OL30" s="148"/>
      <c r="OM30" s="148"/>
      <c r="ON30" s="148"/>
      <c r="OO30" s="148"/>
      <c r="OP30" s="148"/>
      <c r="OQ30" s="148"/>
      <c r="OR30" s="148"/>
      <c r="OS30" s="148"/>
      <c r="OT30" s="148"/>
      <c r="OU30" s="148"/>
      <c r="OV30" s="148"/>
      <c r="OW30" s="148"/>
      <c r="OX30" s="148"/>
      <c r="OY30" s="148"/>
      <c r="OZ30" s="148"/>
      <c r="PA30" s="148"/>
      <c r="PB30" s="148"/>
      <c r="PC30" s="148"/>
      <c r="PD30" s="148"/>
      <c r="PE30" s="148"/>
      <c r="PF30" s="148"/>
      <c r="PG30" s="148"/>
      <c r="PH30" s="148"/>
      <c r="PI30" s="148"/>
      <c r="PJ30" s="148"/>
      <c r="PK30" s="148"/>
      <c r="PL30" s="148"/>
      <c r="PM30" s="148"/>
      <c r="PN30" s="148"/>
      <c r="PO30" s="148"/>
      <c r="PP30" s="148"/>
      <c r="PQ30" s="148"/>
      <c r="PR30" s="148"/>
      <c r="PS30" s="148"/>
      <c r="PT30" s="148"/>
      <c r="PU30" s="148"/>
      <c r="PV30" s="148"/>
      <c r="PW30" s="148"/>
      <c r="PX30" s="148"/>
      <c r="PY30" s="148"/>
      <c r="PZ30" s="148"/>
      <c r="QA30" s="148"/>
      <c r="QB30" s="148"/>
      <c r="QC30" s="148"/>
      <c r="QD30" s="148"/>
      <c r="QE30" s="148"/>
      <c r="QF30" s="148"/>
      <c r="QG30" s="148"/>
      <c r="QH30" s="148"/>
      <c r="QI30" s="148"/>
      <c r="QJ30" s="148"/>
      <c r="QK30" s="148"/>
      <c r="QL30" s="148"/>
      <c r="QM30" s="148"/>
      <c r="QN30" s="148"/>
      <c r="QO30" s="148"/>
      <c r="QP30" s="148"/>
      <c r="QQ30" s="148"/>
      <c r="QR30" s="148"/>
      <c r="QS30" s="148"/>
      <c r="QT30" s="148"/>
      <c r="QU30" s="148"/>
      <c r="QV30" s="148"/>
      <c r="QW30" s="148"/>
      <c r="QX30" s="148"/>
      <c r="QY30" s="148"/>
      <c r="QZ30" s="148"/>
      <c r="RA30" s="148"/>
      <c r="RB30" s="148"/>
      <c r="RC30" s="148"/>
      <c r="RD30" s="148"/>
      <c r="RE30" s="148"/>
      <c r="RF30" s="148"/>
      <c r="RG30" s="148"/>
      <c r="RH30" s="148"/>
      <c r="RI30" s="148"/>
      <c r="RJ30" s="148"/>
      <c r="RK30" s="148"/>
      <c r="RL30" s="148"/>
      <c r="RM30" s="148"/>
      <c r="RN30" s="148"/>
      <c r="RO30" s="148"/>
      <c r="RP30" s="148"/>
      <c r="RQ30" s="148"/>
      <c r="RR30" s="148"/>
    </row>
    <row r="31" spans="1:486" s="15" customFormat="1" ht="21.75" customHeight="1" x14ac:dyDescent="0.25">
      <c r="A31" s="148"/>
      <c r="B31" s="350">
        <v>16</v>
      </c>
      <c r="C31" s="643" t="s">
        <v>894</v>
      </c>
      <c r="D31" s="631">
        <v>40007647</v>
      </c>
      <c r="E31" s="344" t="s">
        <v>2735</v>
      </c>
      <c r="F31" s="344" t="s">
        <v>45</v>
      </c>
      <c r="G31" s="17" t="s">
        <v>2693</v>
      </c>
      <c r="H31" s="317" t="s">
        <v>2736</v>
      </c>
      <c r="I31" s="346" t="s">
        <v>43</v>
      </c>
      <c r="J31" s="341" t="s">
        <v>2737</v>
      </c>
      <c r="K31" s="633">
        <v>260966</v>
      </c>
      <c r="L31" s="633">
        <v>0</v>
      </c>
      <c r="M31" s="633">
        <v>0</v>
      </c>
      <c r="N31" s="633">
        <v>0</v>
      </c>
      <c r="O31" s="633">
        <v>80459</v>
      </c>
      <c r="P31" s="633">
        <v>0</v>
      </c>
      <c r="Q31" s="639">
        <v>44894</v>
      </c>
      <c r="R31" s="633">
        <v>0</v>
      </c>
      <c r="S31" s="639">
        <v>16528</v>
      </c>
      <c r="T31" s="633"/>
      <c r="U31" s="633"/>
      <c r="V31" s="633"/>
      <c r="W31" s="633"/>
      <c r="X31" s="633"/>
      <c r="Y31" s="633">
        <f t="shared" si="1"/>
        <v>141881</v>
      </c>
      <c r="Z31" s="407">
        <v>421696</v>
      </c>
      <c r="AA31" s="635" t="s">
        <v>296</v>
      </c>
      <c r="AB31" s="23">
        <v>44232</v>
      </c>
      <c r="AC31" s="23">
        <v>44250</v>
      </c>
      <c r="AD31" s="636"/>
      <c r="AE31" s="20"/>
      <c r="AF31" s="21"/>
      <c r="AG31" s="23"/>
      <c r="AH31" s="637"/>
      <c r="AI31" s="19"/>
      <c r="AJ31" s="21"/>
      <c r="AK31" s="25"/>
      <c r="AL31" s="309"/>
      <c r="AM31" s="19"/>
      <c r="AN31" s="21"/>
      <c r="AO31" s="25"/>
      <c r="AP31" s="309"/>
      <c r="AQ31" s="19"/>
      <c r="AR31" s="21"/>
      <c r="AS31" s="25"/>
      <c r="AT31" s="638">
        <f t="shared" si="2"/>
        <v>421696</v>
      </c>
      <c r="AU31" s="311">
        <f t="shared" si="0"/>
        <v>279815</v>
      </c>
      <c r="AV31" s="148"/>
      <c r="AW31" s="148"/>
      <c r="AX31" s="148"/>
      <c r="AY31" s="148"/>
      <c r="AZ31" s="148"/>
      <c r="BA31" s="148"/>
      <c r="BB31" s="148"/>
      <c r="BC31" s="148"/>
      <c r="BD31" s="148"/>
      <c r="BE31" s="148"/>
      <c r="BF31" s="148"/>
      <c r="BG31" s="148"/>
      <c r="BH31" s="148"/>
      <c r="BI31" s="148"/>
      <c r="BJ31" s="148"/>
      <c r="BK31" s="148"/>
      <c r="BL31" s="148"/>
      <c r="BM31" s="148"/>
      <c r="BN31" s="148"/>
      <c r="BO31" s="148"/>
      <c r="BP31" s="148"/>
      <c r="BQ31" s="148"/>
      <c r="BR31" s="148"/>
      <c r="BS31" s="148"/>
      <c r="BT31" s="148"/>
      <c r="BU31" s="148"/>
      <c r="BV31" s="148"/>
      <c r="BW31" s="148"/>
      <c r="BX31" s="148"/>
      <c r="BY31" s="148"/>
      <c r="BZ31" s="148"/>
      <c r="CA31" s="148"/>
      <c r="CB31" s="148"/>
      <c r="CC31" s="148"/>
      <c r="CD31" s="148"/>
      <c r="CE31" s="148"/>
      <c r="CF31" s="148"/>
      <c r="CG31" s="148"/>
      <c r="CH31" s="148"/>
      <c r="CI31" s="148"/>
      <c r="CJ31" s="148"/>
      <c r="CK31" s="148"/>
      <c r="CL31" s="148"/>
      <c r="CM31" s="148"/>
      <c r="CN31" s="148"/>
      <c r="CO31" s="148"/>
      <c r="CP31" s="148"/>
      <c r="CQ31" s="148"/>
      <c r="CR31" s="148"/>
      <c r="CS31" s="148"/>
      <c r="CT31" s="148"/>
      <c r="CU31" s="148"/>
      <c r="CV31" s="148"/>
      <c r="CW31" s="148"/>
      <c r="CX31" s="148"/>
      <c r="CY31" s="148"/>
      <c r="CZ31" s="148"/>
      <c r="DA31" s="148"/>
      <c r="DB31" s="148"/>
      <c r="DC31" s="148"/>
      <c r="DD31" s="148"/>
      <c r="DE31" s="148"/>
      <c r="DF31" s="148"/>
      <c r="DG31" s="148"/>
      <c r="DH31" s="148"/>
      <c r="DI31" s="148"/>
      <c r="DJ31" s="148"/>
      <c r="DK31" s="148"/>
      <c r="DL31" s="148"/>
      <c r="DM31" s="148"/>
      <c r="DN31" s="148"/>
      <c r="DO31" s="148"/>
      <c r="DP31" s="148"/>
      <c r="DQ31" s="148"/>
      <c r="DR31" s="148"/>
      <c r="DS31" s="148"/>
      <c r="DT31" s="148"/>
      <c r="DU31" s="148"/>
      <c r="DV31" s="148"/>
      <c r="DW31" s="148"/>
      <c r="DX31" s="148"/>
      <c r="DY31" s="148"/>
      <c r="DZ31" s="148"/>
      <c r="EA31" s="148"/>
      <c r="EB31" s="148"/>
      <c r="EC31" s="148"/>
      <c r="ED31" s="148"/>
      <c r="EE31" s="148"/>
      <c r="EF31" s="148"/>
      <c r="EG31" s="148"/>
      <c r="EH31" s="148"/>
      <c r="EI31" s="148"/>
      <c r="EJ31" s="148"/>
      <c r="EK31" s="148"/>
      <c r="EL31" s="148"/>
      <c r="EM31" s="148"/>
      <c r="EN31" s="148"/>
      <c r="EO31" s="148"/>
      <c r="EP31" s="148"/>
      <c r="EQ31" s="148"/>
      <c r="ER31" s="148"/>
      <c r="ES31" s="148"/>
      <c r="ET31" s="148"/>
      <c r="EU31" s="148"/>
      <c r="EV31" s="148"/>
      <c r="EW31" s="148"/>
      <c r="EX31" s="148"/>
      <c r="EY31" s="148"/>
      <c r="EZ31" s="148"/>
      <c r="FA31" s="148"/>
      <c r="FB31" s="148"/>
      <c r="FC31" s="148"/>
      <c r="FD31" s="148"/>
      <c r="FE31" s="148"/>
      <c r="FF31" s="148"/>
      <c r="FG31" s="148"/>
      <c r="FH31" s="148"/>
      <c r="FI31" s="148"/>
      <c r="FJ31" s="148"/>
      <c r="FK31" s="148"/>
      <c r="FL31" s="148"/>
      <c r="FM31" s="148"/>
      <c r="FN31" s="148"/>
      <c r="FO31" s="148"/>
      <c r="FP31" s="148"/>
      <c r="FQ31" s="148"/>
      <c r="FR31" s="148"/>
      <c r="FS31" s="148"/>
      <c r="FT31" s="148"/>
      <c r="FU31" s="148"/>
      <c r="FV31" s="148"/>
      <c r="FW31" s="148"/>
      <c r="FX31" s="148"/>
      <c r="FY31" s="148"/>
      <c r="FZ31" s="148"/>
      <c r="GA31" s="148"/>
      <c r="GB31" s="148"/>
      <c r="GC31" s="148"/>
      <c r="GD31" s="148"/>
      <c r="GE31" s="148"/>
      <c r="GF31" s="148"/>
      <c r="GG31" s="148"/>
      <c r="GH31" s="148"/>
      <c r="GI31" s="148"/>
      <c r="GJ31" s="148"/>
      <c r="GK31" s="148"/>
      <c r="GL31" s="148"/>
      <c r="GM31" s="148"/>
      <c r="GN31" s="148"/>
      <c r="GO31" s="148"/>
      <c r="GP31" s="148"/>
      <c r="GQ31" s="148"/>
      <c r="GR31" s="148"/>
      <c r="GS31" s="148"/>
      <c r="GT31" s="148"/>
      <c r="GU31" s="148"/>
      <c r="GV31" s="148"/>
      <c r="GW31" s="148"/>
      <c r="GX31" s="148"/>
      <c r="GY31" s="148"/>
      <c r="GZ31" s="148"/>
      <c r="HA31" s="148"/>
      <c r="HB31" s="148"/>
      <c r="HC31" s="148"/>
      <c r="HD31" s="148"/>
      <c r="HE31" s="148"/>
      <c r="HF31" s="148"/>
      <c r="HG31" s="148"/>
      <c r="HH31" s="148"/>
      <c r="HI31" s="148"/>
      <c r="HJ31" s="148"/>
      <c r="HK31" s="148"/>
      <c r="HL31" s="148"/>
      <c r="HM31" s="148"/>
      <c r="HN31" s="148"/>
      <c r="HO31" s="148"/>
      <c r="HP31" s="148"/>
      <c r="HQ31" s="148"/>
      <c r="HR31" s="148"/>
      <c r="HS31" s="148"/>
      <c r="HT31" s="148"/>
      <c r="HU31" s="148"/>
      <c r="HV31" s="148"/>
      <c r="HW31" s="148"/>
      <c r="HX31" s="148"/>
      <c r="HY31" s="148"/>
      <c r="HZ31" s="148"/>
      <c r="IA31" s="148"/>
      <c r="IB31" s="148"/>
      <c r="IC31" s="148"/>
      <c r="ID31" s="148"/>
      <c r="IE31" s="148"/>
      <c r="IF31" s="148"/>
      <c r="IG31" s="148"/>
      <c r="IH31" s="148"/>
      <c r="II31" s="148"/>
      <c r="IJ31" s="148"/>
      <c r="IK31" s="148"/>
      <c r="IL31" s="148"/>
      <c r="IM31" s="148"/>
      <c r="IN31" s="148"/>
      <c r="IO31" s="148"/>
      <c r="IP31" s="148"/>
      <c r="IQ31" s="148"/>
      <c r="IR31" s="148"/>
      <c r="IS31" s="148"/>
      <c r="IT31" s="148"/>
      <c r="IU31" s="148"/>
      <c r="IV31" s="148"/>
      <c r="IW31" s="148"/>
      <c r="IX31" s="148"/>
      <c r="IY31" s="148"/>
      <c r="IZ31" s="148"/>
      <c r="JA31" s="148"/>
      <c r="JB31" s="148"/>
      <c r="JC31" s="148"/>
      <c r="JD31" s="148"/>
      <c r="JE31" s="148"/>
      <c r="JF31" s="148"/>
      <c r="JG31" s="148"/>
      <c r="JH31" s="148"/>
      <c r="JI31" s="148"/>
      <c r="JJ31" s="148"/>
      <c r="JK31" s="148"/>
      <c r="JL31" s="148"/>
      <c r="JM31" s="148"/>
      <c r="JN31" s="148"/>
      <c r="JO31" s="148"/>
      <c r="JP31" s="148"/>
      <c r="JQ31" s="148"/>
      <c r="JR31" s="148"/>
      <c r="JS31" s="148"/>
      <c r="JT31" s="148"/>
      <c r="JU31" s="148"/>
      <c r="JV31" s="148"/>
      <c r="JW31" s="148"/>
      <c r="JX31" s="148"/>
      <c r="JY31" s="148"/>
      <c r="JZ31" s="148"/>
      <c r="KA31" s="148"/>
      <c r="KB31" s="148"/>
      <c r="KC31" s="148"/>
      <c r="KD31" s="148"/>
      <c r="KE31" s="148"/>
      <c r="KF31" s="148"/>
      <c r="KG31" s="148"/>
      <c r="KH31" s="148"/>
      <c r="KI31" s="148"/>
      <c r="KJ31" s="148"/>
      <c r="KK31" s="148"/>
      <c r="KL31" s="148"/>
      <c r="KM31" s="148"/>
      <c r="KN31" s="148"/>
      <c r="KO31" s="148"/>
      <c r="KP31" s="148"/>
      <c r="KQ31" s="148"/>
      <c r="KR31" s="148"/>
      <c r="KS31" s="148"/>
      <c r="KT31" s="148"/>
      <c r="KU31" s="148"/>
      <c r="KV31" s="148"/>
      <c r="KW31" s="148"/>
      <c r="KX31" s="148"/>
      <c r="KY31" s="148"/>
      <c r="KZ31" s="148"/>
      <c r="LA31" s="148"/>
      <c r="LB31" s="148"/>
      <c r="LC31" s="148"/>
      <c r="LD31" s="148"/>
      <c r="LE31" s="148"/>
      <c r="LF31" s="148"/>
      <c r="LG31" s="148"/>
      <c r="LH31" s="148"/>
      <c r="LI31" s="148"/>
      <c r="LJ31" s="148"/>
      <c r="LK31" s="148"/>
      <c r="LL31" s="148"/>
      <c r="LM31" s="148"/>
      <c r="LN31" s="148"/>
      <c r="LO31" s="148"/>
      <c r="LP31" s="148"/>
      <c r="LQ31" s="148"/>
      <c r="LR31" s="148"/>
      <c r="LS31" s="148"/>
      <c r="LT31" s="148"/>
      <c r="LU31" s="148"/>
      <c r="LV31" s="148"/>
      <c r="LW31" s="148"/>
      <c r="LX31" s="148"/>
      <c r="LY31" s="148"/>
      <c r="LZ31" s="148"/>
      <c r="MA31" s="148"/>
      <c r="MB31" s="148"/>
      <c r="MC31" s="148"/>
      <c r="MD31" s="148"/>
      <c r="ME31" s="148"/>
      <c r="MF31" s="148"/>
      <c r="MG31" s="148"/>
      <c r="MH31" s="148"/>
      <c r="MI31" s="148"/>
      <c r="MJ31" s="148"/>
      <c r="MK31" s="148"/>
      <c r="ML31" s="148"/>
      <c r="MM31" s="148"/>
      <c r="MN31" s="148"/>
      <c r="MO31" s="148"/>
      <c r="MP31" s="148"/>
      <c r="MQ31" s="148"/>
      <c r="MR31" s="148"/>
      <c r="MS31" s="148"/>
      <c r="MT31" s="148"/>
      <c r="MU31" s="148"/>
      <c r="MV31" s="148"/>
      <c r="MW31" s="148"/>
      <c r="MX31" s="148"/>
      <c r="MY31" s="148"/>
      <c r="MZ31" s="148"/>
      <c r="NA31" s="148"/>
      <c r="NB31" s="148"/>
      <c r="NC31" s="148"/>
      <c r="ND31" s="148"/>
      <c r="NE31" s="148"/>
      <c r="NF31" s="148"/>
      <c r="NG31" s="148"/>
      <c r="NH31" s="148"/>
      <c r="NI31" s="148"/>
      <c r="NJ31" s="148"/>
      <c r="NK31" s="148"/>
      <c r="NL31" s="148"/>
      <c r="NM31" s="148"/>
      <c r="NN31" s="148"/>
      <c r="NO31" s="148"/>
      <c r="NP31" s="148"/>
      <c r="NQ31" s="148"/>
      <c r="NR31" s="148"/>
      <c r="NS31" s="148"/>
      <c r="NT31" s="148"/>
      <c r="NU31" s="148"/>
      <c r="NV31" s="148"/>
      <c r="NW31" s="148"/>
      <c r="NX31" s="148"/>
      <c r="NY31" s="148"/>
      <c r="NZ31" s="148"/>
      <c r="OA31" s="148"/>
      <c r="OB31" s="148"/>
      <c r="OC31" s="148"/>
      <c r="OD31" s="148"/>
      <c r="OE31" s="148"/>
      <c r="OF31" s="148"/>
      <c r="OG31" s="148"/>
      <c r="OH31" s="148"/>
      <c r="OI31" s="148"/>
      <c r="OJ31" s="148"/>
      <c r="OK31" s="148"/>
      <c r="OL31" s="148"/>
      <c r="OM31" s="148"/>
      <c r="ON31" s="148"/>
      <c r="OO31" s="148"/>
      <c r="OP31" s="148"/>
      <c r="OQ31" s="148"/>
      <c r="OR31" s="148"/>
      <c r="OS31" s="148"/>
      <c r="OT31" s="148"/>
      <c r="OU31" s="148"/>
      <c r="OV31" s="148"/>
      <c r="OW31" s="148"/>
      <c r="OX31" s="148"/>
      <c r="OY31" s="148"/>
      <c r="OZ31" s="148"/>
      <c r="PA31" s="148"/>
      <c r="PB31" s="148"/>
      <c r="PC31" s="148"/>
      <c r="PD31" s="148"/>
      <c r="PE31" s="148"/>
      <c r="PF31" s="148"/>
      <c r="PG31" s="148"/>
      <c r="PH31" s="148"/>
      <c r="PI31" s="148"/>
      <c r="PJ31" s="148"/>
      <c r="PK31" s="148"/>
      <c r="PL31" s="148"/>
      <c r="PM31" s="148"/>
      <c r="PN31" s="148"/>
      <c r="PO31" s="148"/>
      <c r="PP31" s="148"/>
      <c r="PQ31" s="148"/>
      <c r="PR31" s="148"/>
      <c r="PS31" s="148"/>
      <c r="PT31" s="148"/>
      <c r="PU31" s="148"/>
      <c r="PV31" s="148"/>
      <c r="PW31" s="148"/>
      <c r="PX31" s="148"/>
      <c r="PY31" s="148"/>
      <c r="PZ31" s="148"/>
      <c r="QA31" s="148"/>
      <c r="QB31" s="148"/>
      <c r="QC31" s="148"/>
      <c r="QD31" s="148"/>
      <c r="QE31" s="148"/>
      <c r="QF31" s="148"/>
      <c r="QG31" s="148"/>
      <c r="QH31" s="148"/>
      <c r="QI31" s="148"/>
      <c r="QJ31" s="148"/>
      <c r="QK31" s="148"/>
      <c r="QL31" s="148"/>
      <c r="QM31" s="148"/>
      <c r="QN31" s="148"/>
      <c r="QO31" s="148"/>
      <c r="QP31" s="148"/>
      <c r="QQ31" s="148"/>
      <c r="QR31" s="148"/>
      <c r="QS31" s="148"/>
      <c r="QT31" s="148"/>
      <c r="QU31" s="148"/>
      <c r="QV31" s="148"/>
      <c r="QW31" s="148"/>
      <c r="QX31" s="148"/>
      <c r="QY31" s="148"/>
      <c r="QZ31" s="148"/>
      <c r="RA31" s="148"/>
      <c r="RB31" s="148"/>
      <c r="RC31" s="148"/>
      <c r="RD31" s="148"/>
      <c r="RE31" s="148"/>
      <c r="RF31" s="148"/>
      <c r="RG31" s="148"/>
      <c r="RH31" s="148"/>
      <c r="RI31" s="148"/>
      <c r="RJ31" s="148"/>
      <c r="RK31" s="148"/>
      <c r="RL31" s="148"/>
      <c r="RM31" s="148"/>
      <c r="RN31" s="148"/>
      <c r="RO31" s="148"/>
      <c r="RP31" s="148"/>
      <c r="RQ31" s="148"/>
      <c r="RR31" s="148"/>
    </row>
    <row r="32" spans="1:486" s="15" customFormat="1" x14ac:dyDescent="0.25">
      <c r="A32" s="148"/>
      <c r="B32" s="350">
        <v>17</v>
      </c>
      <c r="C32" s="641" t="s">
        <v>894</v>
      </c>
      <c r="D32" s="631">
        <v>40008541</v>
      </c>
      <c r="E32" s="344" t="s">
        <v>2738</v>
      </c>
      <c r="F32" s="344" t="s">
        <v>45</v>
      </c>
      <c r="G32" s="17" t="s">
        <v>2693</v>
      </c>
      <c r="H32" s="317" t="s">
        <v>2739</v>
      </c>
      <c r="I32" s="346" t="s">
        <v>43</v>
      </c>
      <c r="J32" s="341" t="s">
        <v>2740</v>
      </c>
      <c r="K32" s="633">
        <v>47845</v>
      </c>
      <c r="L32" s="633">
        <v>0</v>
      </c>
      <c r="M32" s="633">
        <v>0</v>
      </c>
      <c r="N32" s="633">
        <v>0</v>
      </c>
      <c r="O32" s="633">
        <v>231590</v>
      </c>
      <c r="P32" s="639">
        <v>81092</v>
      </c>
      <c r="Q32" s="633">
        <v>0</v>
      </c>
      <c r="R32" s="633">
        <v>0</v>
      </c>
      <c r="S32" s="633"/>
      <c r="T32" s="633"/>
      <c r="U32" s="633"/>
      <c r="V32" s="633"/>
      <c r="W32" s="633"/>
      <c r="X32" s="633"/>
      <c r="Y32" s="633">
        <f t="shared" si="1"/>
        <v>312682</v>
      </c>
      <c r="Z32" s="407">
        <v>301953</v>
      </c>
      <c r="AA32" s="635" t="s">
        <v>296</v>
      </c>
      <c r="AB32" s="23">
        <v>44232</v>
      </c>
      <c r="AC32" s="23">
        <v>44250</v>
      </c>
      <c r="AD32" s="640">
        <v>10729</v>
      </c>
      <c r="AE32" s="19">
        <v>19</v>
      </c>
      <c r="AF32" s="315">
        <v>44271</v>
      </c>
      <c r="AG32" s="315">
        <v>44312</v>
      </c>
      <c r="AH32" s="637"/>
      <c r="AI32" s="19"/>
      <c r="AJ32" s="21"/>
      <c r="AK32" s="25"/>
      <c r="AL32" s="309"/>
      <c r="AM32" s="19"/>
      <c r="AN32" s="21"/>
      <c r="AO32" s="25"/>
      <c r="AP32" s="309"/>
      <c r="AQ32" s="19"/>
      <c r="AR32" s="21"/>
      <c r="AS32" s="25"/>
      <c r="AT32" s="638">
        <f t="shared" si="2"/>
        <v>312682</v>
      </c>
      <c r="AU32" s="311">
        <f t="shared" si="0"/>
        <v>0</v>
      </c>
      <c r="AV32" s="148"/>
      <c r="AW32" s="148"/>
      <c r="AX32" s="148"/>
      <c r="AY32" s="148"/>
      <c r="AZ32" s="148"/>
      <c r="BA32" s="148"/>
      <c r="BB32" s="148"/>
      <c r="BC32" s="148"/>
      <c r="BD32" s="148"/>
      <c r="BE32" s="148"/>
      <c r="BF32" s="148"/>
      <c r="BG32" s="148"/>
      <c r="BH32" s="148"/>
      <c r="BI32" s="148"/>
      <c r="BJ32" s="148"/>
      <c r="BK32" s="148"/>
      <c r="BL32" s="148"/>
      <c r="BM32" s="148"/>
      <c r="BN32" s="148"/>
      <c r="BO32" s="148"/>
      <c r="BP32" s="148"/>
      <c r="BQ32" s="148"/>
      <c r="BR32" s="148"/>
      <c r="BS32" s="148"/>
      <c r="BT32" s="148"/>
      <c r="BU32" s="148"/>
      <c r="BV32" s="148"/>
      <c r="BW32" s="148"/>
      <c r="BX32" s="148"/>
      <c r="BY32" s="148"/>
      <c r="BZ32" s="148"/>
      <c r="CA32" s="148"/>
      <c r="CB32" s="148"/>
      <c r="CC32" s="148"/>
      <c r="CD32" s="148"/>
      <c r="CE32" s="148"/>
      <c r="CF32" s="148"/>
      <c r="CG32" s="148"/>
      <c r="CH32" s="148"/>
      <c r="CI32" s="148"/>
      <c r="CJ32" s="148"/>
      <c r="CK32" s="148"/>
      <c r="CL32" s="148"/>
      <c r="CM32" s="148"/>
      <c r="CN32" s="148"/>
      <c r="CO32" s="148"/>
      <c r="CP32" s="148"/>
      <c r="CQ32" s="148"/>
      <c r="CR32" s="148"/>
      <c r="CS32" s="148"/>
      <c r="CT32" s="148"/>
      <c r="CU32" s="148"/>
      <c r="CV32" s="148"/>
      <c r="CW32" s="148"/>
      <c r="CX32" s="148"/>
      <c r="CY32" s="148"/>
      <c r="CZ32" s="148"/>
      <c r="DA32" s="148"/>
      <c r="DB32" s="148"/>
      <c r="DC32" s="148"/>
      <c r="DD32" s="148"/>
      <c r="DE32" s="148"/>
      <c r="DF32" s="148"/>
      <c r="DG32" s="148"/>
      <c r="DH32" s="148"/>
      <c r="DI32" s="148"/>
      <c r="DJ32" s="148"/>
      <c r="DK32" s="148"/>
      <c r="DL32" s="148"/>
      <c r="DM32" s="148"/>
      <c r="DN32" s="148"/>
      <c r="DO32" s="148"/>
      <c r="DP32" s="148"/>
      <c r="DQ32" s="148"/>
      <c r="DR32" s="148"/>
      <c r="DS32" s="148"/>
      <c r="DT32" s="148"/>
      <c r="DU32" s="148"/>
      <c r="DV32" s="148"/>
      <c r="DW32" s="148"/>
      <c r="DX32" s="148"/>
      <c r="DY32" s="148"/>
      <c r="DZ32" s="148"/>
      <c r="EA32" s="148"/>
      <c r="EB32" s="148"/>
      <c r="EC32" s="148"/>
      <c r="ED32" s="148"/>
      <c r="EE32" s="148"/>
      <c r="EF32" s="148"/>
      <c r="EG32" s="148"/>
      <c r="EH32" s="148"/>
      <c r="EI32" s="148"/>
      <c r="EJ32" s="148"/>
      <c r="EK32" s="148"/>
      <c r="EL32" s="148"/>
      <c r="EM32" s="148"/>
      <c r="EN32" s="148"/>
      <c r="EO32" s="148"/>
      <c r="EP32" s="148"/>
      <c r="EQ32" s="148"/>
      <c r="ER32" s="148"/>
      <c r="ES32" s="148"/>
      <c r="ET32" s="148"/>
      <c r="EU32" s="148"/>
      <c r="EV32" s="148"/>
      <c r="EW32" s="148"/>
      <c r="EX32" s="148"/>
      <c r="EY32" s="148"/>
      <c r="EZ32" s="148"/>
      <c r="FA32" s="148"/>
      <c r="FB32" s="148"/>
      <c r="FC32" s="148"/>
      <c r="FD32" s="148"/>
      <c r="FE32" s="148"/>
      <c r="FF32" s="148"/>
      <c r="FG32" s="148"/>
      <c r="FH32" s="148"/>
      <c r="FI32" s="148"/>
      <c r="FJ32" s="148"/>
      <c r="FK32" s="148"/>
      <c r="FL32" s="148"/>
      <c r="FM32" s="148"/>
      <c r="FN32" s="148"/>
      <c r="FO32" s="148"/>
      <c r="FP32" s="148"/>
      <c r="FQ32" s="148"/>
      <c r="FR32" s="148"/>
      <c r="FS32" s="148"/>
      <c r="FT32" s="148"/>
      <c r="FU32" s="148"/>
      <c r="FV32" s="148"/>
      <c r="FW32" s="148"/>
      <c r="FX32" s="148"/>
      <c r="FY32" s="148"/>
      <c r="FZ32" s="148"/>
      <c r="GA32" s="148"/>
      <c r="GB32" s="148"/>
      <c r="GC32" s="148"/>
      <c r="GD32" s="148"/>
      <c r="GE32" s="148"/>
      <c r="GF32" s="148"/>
      <c r="GG32" s="148"/>
      <c r="GH32" s="148"/>
      <c r="GI32" s="148"/>
      <c r="GJ32" s="148"/>
      <c r="GK32" s="148"/>
      <c r="GL32" s="148"/>
      <c r="GM32" s="148"/>
      <c r="GN32" s="148"/>
      <c r="GO32" s="148"/>
      <c r="GP32" s="148"/>
      <c r="GQ32" s="148"/>
      <c r="GR32" s="148"/>
      <c r="GS32" s="148"/>
      <c r="GT32" s="148"/>
      <c r="GU32" s="148"/>
      <c r="GV32" s="148"/>
      <c r="GW32" s="148"/>
      <c r="GX32" s="148"/>
      <c r="GY32" s="148"/>
      <c r="GZ32" s="148"/>
      <c r="HA32" s="148"/>
      <c r="HB32" s="148"/>
      <c r="HC32" s="148"/>
      <c r="HD32" s="148"/>
      <c r="HE32" s="148"/>
      <c r="HF32" s="148"/>
      <c r="HG32" s="148"/>
      <c r="HH32" s="148"/>
      <c r="HI32" s="148"/>
      <c r="HJ32" s="148"/>
      <c r="HK32" s="148"/>
      <c r="HL32" s="148"/>
      <c r="HM32" s="148"/>
      <c r="HN32" s="148"/>
      <c r="HO32" s="148"/>
      <c r="HP32" s="148"/>
      <c r="HQ32" s="148"/>
      <c r="HR32" s="148"/>
      <c r="HS32" s="148"/>
      <c r="HT32" s="148"/>
      <c r="HU32" s="148"/>
      <c r="HV32" s="148"/>
      <c r="HW32" s="148"/>
      <c r="HX32" s="148"/>
      <c r="HY32" s="148"/>
      <c r="HZ32" s="148"/>
      <c r="IA32" s="148"/>
      <c r="IB32" s="148"/>
      <c r="IC32" s="148"/>
      <c r="ID32" s="148"/>
      <c r="IE32" s="148"/>
      <c r="IF32" s="148"/>
      <c r="IG32" s="148"/>
      <c r="IH32" s="148"/>
      <c r="II32" s="148"/>
      <c r="IJ32" s="148"/>
      <c r="IK32" s="148"/>
      <c r="IL32" s="148"/>
      <c r="IM32" s="148"/>
      <c r="IN32" s="148"/>
      <c r="IO32" s="148"/>
      <c r="IP32" s="148"/>
      <c r="IQ32" s="148"/>
      <c r="IR32" s="148"/>
      <c r="IS32" s="148"/>
      <c r="IT32" s="148"/>
      <c r="IU32" s="148"/>
      <c r="IV32" s="148"/>
      <c r="IW32" s="148"/>
      <c r="IX32" s="148"/>
      <c r="IY32" s="148"/>
      <c r="IZ32" s="148"/>
      <c r="JA32" s="148"/>
      <c r="JB32" s="148"/>
      <c r="JC32" s="148"/>
      <c r="JD32" s="148"/>
      <c r="JE32" s="148"/>
      <c r="JF32" s="148"/>
      <c r="JG32" s="148"/>
      <c r="JH32" s="148"/>
      <c r="JI32" s="148"/>
      <c r="JJ32" s="148"/>
      <c r="JK32" s="148"/>
      <c r="JL32" s="148"/>
      <c r="JM32" s="148"/>
      <c r="JN32" s="148"/>
      <c r="JO32" s="148"/>
      <c r="JP32" s="148"/>
      <c r="JQ32" s="148"/>
      <c r="JR32" s="148"/>
      <c r="JS32" s="148"/>
      <c r="JT32" s="148"/>
      <c r="JU32" s="148"/>
      <c r="JV32" s="148"/>
      <c r="JW32" s="148"/>
      <c r="JX32" s="148"/>
      <c r="JY32" s="148"/>
      <c r="JZ32" s="148"/>
      <c r="KA32" s="148"/>
      <c r="KB32" s="148"/>
      <c r="KC32" s="148"/>
      <c r="KD32" s="148"/>
      <c r="KE32" s="148"/>
      <c r="KF32" s="148"/>
      <c r="KG32" s="148"/>
      <c r="KH32" s="148"/>
      <c r="KI32" s="148"/>
      <c r="KJ32" s="148"/>
      <c r="KK32" s="148"/>
      <c r="KL32" s="148"/>
      <c r="KM32" s="148"/>
      <c r="KN32" s="148"/>
      <c r="KO32" s="148"/>
      <c r="KP32" s="148"/>
      <c r="KQ32" s="148"/>
      <c r="KR32" s="148"/>
      <c r="KS32" s="148"/>
      <c r="KT32" s="148"/>
      <c r="KU32" s="148"/>
      <c r="KV32" s="148"/>
      <c r="KW32" s="148"/>
      <c r="KX32" s="148"/>
      <c r="KY32" s="148"/>
      <c r="KZ32" s="148"/>
      <c r="LA32" s="148"/>
      <c r="LB32" s="148"/>
      <c r="LC32" s="148"/>
      <c r="LD32" s="148"/>
      <c r="LE32" s="148"/>
      <c r="LF32" s="148"/>
      <c r="LG32" s="148"/>
      <c r="LH32" s="148"/>
      <c r="LI32" s="148"/>
      <c r="LJ32" s="148"/>
      <c r="LK32" s="148"/>
      <c r="LL32" s="148"/>
      <c r="LM32" s="148"/>
      <c r="LN32" s="148"/>
      <c r="LO32" s="148"/>
      <c r="LP32" s="148"/>
      <c r="LQ32" s="148"/>
      <c r="LR32" s="148"/>
      <c r="LS32" s="148"/>
      <c r="LT32" s="148"/>
      <c r="LU32" s="148"/>
      <c r="LV32" s="148"/>
      <c r="LW32" s="148"/>
      <c r="LX32" s="148"/>
      <c r="LY32" s="148"/>
      <c r="LZ32" s="148"/>
      <c r="MA32" s="148"/>
      <c r="MB32" s="148"/>
      <c r="MC32" s="148"/>
      <c r="MD32" s="148"/>
      <c r="ME32" s="148"/>
      <c r="MF32" s="148"/>
      <c r="MG32" s="148"/>
      <c r="MH32" s="148"/>
      <c r="MI32" s="148"/>
      <c r="MJ32" s="148"/>
      <c r="MK32" s="148"/>
      <c r="ML32" s="148"/>
      <c r="MM32" s="148"/>
      <c r="MN32" s="148"/>
      <c r="MO32" s="148"/>
      <c r="MP32" s="148"/>
      <c r="MQ32" s="148"/>
      <c r="MR32" s="148"/>
      <c r="MS32" s="148"/>
      <c r="MT32" s="148"/>
      <c r="MU32" s="148"/>
      <c r="MV32" s="148"/>
      <c r="MW32" s="148"/>
      <c r="MX32" s="148"/>
      <c r="MY32" s="148"/>
      <c r="MZ32" s="148"/>
      <c r="NA32" s="148"/>
      <c r="NB32" s="148"/>
      <c r="NC32" s="148"/>
      <c r="ND32" s="148"/>
      <c r="NE32" s="148"/>
      <c r="NF32" s="148"/>
      <c r="NG32" s="148"/>
      <c r="NH32" s="148"/>
      <c r="NI32" s="148"/>
      <c r="NJ32" s="148"/>
      <c r="NK32" s="148"/>
      <c r="NL32" s="148"/>
      <c r="NM32" s="148"/>
      <c r="NN32" s="148"/>
      <c r="NO32" s="148"/>
      <c r="NP32" s="148"/>
      <c r="NQ32" s="148"/>
      <c r="NR32" s="148"/>
      <c r="NS32" s="148"/>
      <c r="NT32" s="148"/>
      <c r="NU32" s="148"/>
      <c r="NV32" s="148"/>
      <c r="NW32" s="148"/>
      <c r="NX32" s="148"/>
      <c r="NY32" s="148"/>
      <c r="NZ32" s="148"/>
      <c r="OA32" s="148"/>
      <c r="OB32" s="148"/>
      <c r="OC32" s="148"/>
      <c r="OD32" s="148"/>
      <c r="OE32" s="148"/>
      <c r="OF32" s="148"/>
      <c r="OG32" s="148"/>
      <c r="OH32" s="148"/>
      <c r="OI32" s="148"/>
      <c r="OJ32" s="148"/>
      <c r="OK32" s="148"/>
      <c r="OL32" s="148"/>
      <c r="OM32" s="148"/>
      <c r="ON32" s="148"/>
      <c r="OO32" s="148"/>
      <c r="OP32" s="148"/>
      <c r="OQ32" s="148"/>
      <c r="OR32" s="148"/>
      <c r="OS32" s="148"/>
      <c r="OT32" s="148"/>
      <c r="OU32" s="148"/>
      <c r="OV32" s="148"/>
      <c r="OW32" s="148"/>
      <c r="OX32" s="148"/>
      <c r="OY32" s="148"/>
      <c r="OZ32" s="148"/>
      <c r="PA32" s="148"/>
      <c r="PB32" s="148"/>
      <c r="PC32" s="148"/>
      <c r="PD32" s="148"/>
      <c r="PE32" s="148"/>
      <c r="PF32" s="148"/>
      <c r="PG32" s="148"/>
      <c r="PH32" s="148"/>
      <c r="PI32" s="148"/>
      <c r="PJ32" s="148"/>
      <c r="PK32" s="148"/>
      <c r="PL32" s="148"/>
      <c r="PM32" s="148"/>
      <c r="PN32" s="148"/>
      <c r="PO32" s="148"/>
      <c r="PP32" s="148"/>
      <c r="PQ32" s="148"/>
      <c r="PR32" s="148"/>
      <c r="PS32" s="148"/>
      <c r="PT32" s="148"/>
      <c r="PU32" s="148"/>
      <c r="PV32" s="148"/>
      <c r="PW32" s="148"/>
      <c r="PX32" s="148"/>
      <c r="PY32" s="148"/>
      <c r="PZ32" s="148"/>
      <c r="QA32" s="148"/>
      <c r="QB32" s="148"/>
      <c r="QC32" s="148"/>
      <c r="QD32" s="148"/>
      <c r="QE32" s="148"/>
      <c r="QF32" s="148"/>
      <c r="QG32" s="148"/>
      <c r="QH32" s="148"/>
      <c r="QI32" s="148"/>
      <c r="QJ32" s="148"/>
      <c r="QK32" s="148"/>
      <c r="QL32" s="148"/>
      <c r="QM32" s="148"/>
      <c r="QN32" s="148"/>
      <c r="QO32" s="148"/>
      <c r="QP32" s="148"/>
      <c r="QQ32" s="148"/>
      <c r="QR32" s="148"/>
      <c r="QS32" s="148"/>
      <c r="QT32" s="148"/>
      <c r="QU32" s="148"/>
      <c r="QV32" s="148"/>
      <c r="QW32" s="148"/>
      <c r="QX32" s="148"/>
      <c r="QY32" s="148"/>
      <c r="QZ32" s="148"/>
      <c r="RA32" s="148"/>
      <c r="RB32" s="148"/>
      <c r="RC32" s="148"/>
      <c r="RD32" s="148"/>
      <c r="RE32" s="148"/>
      <c r="RF32" s="148"/>
      <c r="RG32" s="148"/>
      <c r="RH32" s="148"/>
      <c r="RI32" s="148"/>
      <c r="RJ32" s="148"/>
      <c r="RK32" s="148"/>
      <c r="RL32" s="148"/>
      <c r="RM32" s="148"/>
      <c r="RN32" s="148"/>
      <c r="RO32" s="148"/>
      <c r="RP32" s="148"/>
      <c r="RQ32" s="148"/>
      <c r="RR32" s="148"/>
    </row>
    <row r="33" spans="1:486" s="15" customFormat="1" x14ac:dyDescent="0.25">
      <c r="A33" s="148"/>
      <c r="B33" s="350">
        <v>18</v>
      </c>
      <c r="C33" s="643" t="s">
        <v>894</v>
      </c>
      <c r="D33" s="631">
        <v>40009975</v>
      </c>
      <c r="E33" s="344" t="s">
        <v>2741</v>
      </c>
      <c r="F33" s="344" t="s">
        <v>45</v>
      </c>
      <c r="G33" s="17" t="s">
        <v>2693</v>
      </c>
      <c r="H33" s="317" t="s">
        <v>2742</v>
      </c>
      <c r="I33" s="346" t="s">
        <v>43</v>
      </c>
      <c r="J33" s="341" t="s">
        <v>2743</v>
      </c>
      <c r="K33" s="633">
        <v>0</v>
      </c>
      <c r="L33" s="633">
        <v>0</v>
      </c>
      <c r="M33" s="633">
        <v>0</v>
      </c>
      <c r="N33" s="633">
        <f>40000+85699</f>
        <v>125699</v>
      </c>
      <c r="O33" s="633">
        <v>0</v>
      </c>
      <c r="P33" s="633">
        <v>0</v>
      </c>
      <c r="Q33" s="639">
        <v>124717</v>
      </c>
      <c r="R33" s="633">
        <v>0</v>
      </c>
      <c r="S33" s="633"/>
      <c r="T33" s="633"/>
      <c r="U33" s="633"/>
      <c r="V33" s="633"/>
      <c r="W33" s="633"/>
      <c r="X33" s="633"/>
      <c r="Y33" s="633">
        <f t="shared" si="1"/>
        <v>250416</v>
      </c>
      <c r="Z33" s="407">
        <v>372602</v>
      </c>
      <c r="AA33" s="635" t="s">
        <v>296</v>
      </c>
      <c r="AB33" s="23">
        <v>44232</v>
      </c>
      <c r="AC33" s="23">
        <v>44250</v>
      </c>
      <c r="AD33" s="636"/>
      <c r="AE33" s="20"/>
      <c r="AF33" s="21"/>
      <c r="AG33" s="23"/>
      <c r="AH33" s="637"/>
      <c r="AI33" s="19"/>
      <c r="AJ33" s="21"/>
      <c r="AK33" s="25"/>
      <c r="AL33" s="309"/>
      <c r="AM33" s="19"/>
      <c r="AN33" s="21"/>
      <c r="AO33" s="25"/>
      <c r="AP33" s="309"/>
      <c r="AQ33" s="19"/>
      <c r="AR33" s="21"/>
      <c r="AS33" s="25"/>
      <c r="AT33" s="638">
        <f t="shared" si="2"/>
        <v>372602</v>
      </c>
      <c r="AU33" s="311">
        <f t="shared" si="0"/>
        <v>122186</v>
      </c>
      <c r="AV33" s="148"/>
      <c r="AW33" s="148"/>
      <c r="AX33" s="148"/>
      <c r="AY33" s="148"/>
      <c r="AZ33" s="148"/>
      <c r="BA33" s="148"/>
      <c r="BB33" s="148"/>
      <c r="BC33" s="148"/>
      <c r="BD33" s="148"/>
      <c r="BE33" s="148"/>
      <c r="BF33" s="148"/>
      <c r="BG33" s="148"/>
      <c r="BH33" s="148"/>
      <c r="BI33" s="148"/>
      <c r="BJ33" s="148"/>
      <c r="BK33" s="148"/>
      <c r="BL33" s="148"/>
      <c r="BM33" s="148"/>
      <c r="BN33" s="148"/>
      <c r="BO33" s="148"/>
      <c r="BP33" s="148"/>
      <c r="BQ33" s="148"/>
      <c r="BR33" s="148"/>
      <c r="BS33" s="148"/>
      <c r="BT33" s="148"/>
      <c r="BU33" s="148"/>
      <c r="BV33" s="148"/>
      <c r="BW33" s="148"/>
      <c r="BX33" s="148"/>
      <c r="BY33" s="148"/>
      <c r="BZ33" s="148"/>
      <c r="CA33" s="148"/>
      <c r="CB33" s="148"/>
      <c r="CC33" s="148"/>
      <c r="CD33" s="148"/>
      <c r="CE33" s="148"/>
      <c r="CF33" s="148"/>
      <c r="CG33" s="148"/>
      <c r="CH33" s="148"/>
      <c r="CI33" s="148"/>
      <c r="CJ33" s="148"/>
      <c r="CK33" s="148"/>
      <c r="CL33" s="148"/>
      <c r="CM33" s="148"/>
      <c r="CN33" s="148"/>
      <c r="CO33" s="148"/>
      <c r="CP33" s="148"/>
      <c r="CQ33" s="148"/>
      <c r="CR33" s="148"/>
      <c r="CS33" s="148"/>
      <c r="CT33" s="148"/>
      <c r="CU33" s="148"/>
      <c r="CV33" s="148"/>
      <c r="CW33" s="148"/>
      <c r="CX33" s="148"/>
      <c r="CY33" s="148"/>
      <c r="CZ33" s="148"/>
      <c r="DA33" s="148"/>
      <c r="DB33" s="148"/>
      <c r="DC33" s="148"/>
      <c r="DD33" s="148"/>
      <c r="DE33" s="148"/>
      <c r="DF33" s="148"/>
      <c r="DG33" s="148"/>
      <c r="DH33" s="148"/>
      <c r="DI33" s="148"/>
      <c r="DJ33" s="148"/>
      <c r="DK33" s="148"/>
      <c r="DL33" s="148"/>
      <c r="DM33" s="148"/>
      <c r="DN33" s="148"/>
      <c r="DO33" s="148"/>
      <c r="DP33" s="148"/>
      <c r="DQ33" s="148"/>
      <c r="DR33" s="148"/>
      <c r="DS33" s="148"/>
      <c r="DT33" s="148"/>
      <c r="DU33" s="148"/>
      <c r="DV33" s="148"/>
      <c r="DW33" s="148"/>
      <c r="DX33" s="148"/>
      <c r="DY33" s="148"/>
      <c r="DZ33" s="148"/>
      <c r="EA33" s="148"/>
      <c r="EB33" s="148"/>
      <c r="EC33" s="148"/>
      <c r="ED33" s="148"/>
      <c r="EE33" s="148"/>
      <c r="EF33" s="148"/>
      <c r="EG33" s="148"/>
      <c r="EH33" s="148"/>
      <c r="EI33" s="148"/>
      <c r="EJ33" s="148"/>
      <c r="EK33" s="148"/>
      <c r="EL33" s="148"/>
      <c r="EM33" s="148"/>
      <c r="EN33" s="148"/>
      <c r="EO33" s="148"/>
      <c r="EP33" s="148"/>
      <c r="EQ33" s="148"/>
      <c r="ER33" s="148"/>
      <c r="ES33" s="148"/>
      <c r="ET33" s="148"/>
      <c r="EU33" s="148"/>
      <c r="EV33" s="148"/>
      <c r="EW33" s="148"/>
      <c r="EX33" s="148"/>
      <c r="EY33" s="148"/>
      <c r="EZ33" s="148"/>
      <c r="FA33" s="148"/>
      <c r="FB33" s="148"/>
      <c r="FC33" s="148"/>
      <c r="FD33" s="148"/>
      <c r="FE33" s="148"/>
      <c r="FF33" s="148"/>
      <c r="FG33" s="148"/>
      <c r="FH33" s="148"/>
      <c r="FI33" s="148"/>
      <c r="FJ33" s="148"/>
      <c r="FK33" s="148"/>
      <c r="FL33" s="148"/>
      <c r="FM33" s="148"/>
      <c r="FN33" s="148"/>
      <c r="FO33" s="148"/>
      <c r="FP33" s="148"/>
      <c r="FQ33" s="148"/>
      <c r="FR33" s="148"/>
      <c r="FS33" s="148"/>
      <c r="FT33" s="148"/>
      <c r="FU33" s="148"/>
      <c r="FV33" s="148"/>
      <c r="FW33" s="148"/>
      <c r="FX33" s="148"/>
      <c r="FY33" s="148"/>
      <c r="FZ33" s="148"/>
      <c r="GA33" s="148"/>
      <c r="GB33" s="148"/>
      <c r="GC33" s="148"/>
      <c r="GD33" s="148"/>
      <c r="GE33" s="148"/>
      <c r="GF33" s="148"/>
      <c r="GG33" s="148"/>
      <c r="GH33" s="148"/>
      <c r="GI33" s="148"/>
      <c r="GJ33" s="148"/>
      <c r="GK33" s="148"/>
      <c r="GL33" s="148"/>
      <c r="GM33" s="148"/>
      <c r="GN33" s="148"/>
      <c r="GO33" s="148"/>
      <c r="GP33" s="148"/>
      <c r="GQ33" s="148"/>
      <c r="GR33" s="148"/>
      <c r="GS33" s="148"/>
      <c r="GT33" s="148"/>
      <c r="GU33" s="148"/>
      <c r="GV33" s="148"/>
      <c r="GW33" s="148"/>
      <c r="GX33" s="148"/>
      <c r="GY33" s="148"/>
      <c r="GZ33" s="148"/>
      <c r="HA33" s="148"/>
      <c r="HB33" s="148"/>
      <c r="HC33" s="148"/>
      <c r="HD33" s="148"/>
      <c r="HE33" s="148"/>
      <c r="HF33" s="148"/>
      <c r="HG33" s="148"/>
      <c r="HH33" s="148"/>
      <c r="HI33" s="148"/>
      <c r="HJ33" s="148"/>
      <c r="HK33" s="148"/>
      <c r="HL33" s="148"/>
      <c r="HM33" s="148"/>
      <c r="HN33" s="148"/>
      <c r="HO33" s="148"/>
      <c r="HP33" s="148"/>
      <c r="HQ33" s="148"/>
      <c r="HR33" s="148"/>
      <c r="HS33" s="148"/>
      <c r="HT33" s="148"/>
      <c r="HU33" s="148"/>
      <c r="HV33" s="148"/>
      <c r="HW33" s="148"/>
      <c r="HX33" s="148"/>
      <c r="HY33" s="148"/>
      <c r="HZ33" s="148"/>
      <c r="IA33" s="148"/>
      <c r="IB33" s="148"/>
      <c r="IC33" s="148"/>
      <c r="ID33" s="148"/>
      <c r="IE33" s="148"/>
      <c r="IF33" s="148"/>
      <c r="IG33" s="148"/>
      <c r="IH33" s="148"/>
      <c r="II33" s="148"/>
      <c r="IJ33" s="148"/>
      <c r="IK33" s="148"/>
      <c r="IL33" s="148"/>
      <c r="IM33" s="148"/>
      <c r="IN33" s="148"/>
      <c r="IO33" s="148"/>
      <c r="IP33" s="148"/>
      <c r="IQ33" s="148"/>
      <c r="IR33" s="148"/>
      <c r="IS33" s="148"/>
      <c r="IT33" s="148"/>
      <c r="IU33" s="148"/>
      <c r="IV33" s="148"/>
      <c r="IW33" s="148"/>
      <c r="IX33" s="148"/>
      <c r="IY33" s="148"/>
      <c r="IZ33" s="148"/>
      <c r="JA33" s="148"/>
      <c r="JB33" s="148"/>
      <c r="JC33" s="148"/>
      <c r="JD33" s="148"/>
      <c r="JE33" s="148"/>
      <c r="JF33" s="148"/>
      <c r="JG33" s="148"/>
      <c r="JH33" s="148"/>
      <c r="JI33" s="148"/>
      <c r="JJ33" s="148"/>
      <c r="JK33" s="148"/>
      <c r="JL33" s="148"/>
      <c r="JM33" s="148"/>
      <c r="JN33" s="148"/>
      <c r="JO33" s="148"/>
      <c r="JP33" s="148"/>
      <c r="JQ33" s="148"/>
      <c r="JR33" s="148"/>
      <c r="JS33" s="148"/>
      <c r="JT33" s="148"/>
      <c r="JU33" s="148"/>
      <c r="JV33" s="148"/>
      <c r="JW33" s="148"/>
      <c r="JX33" s="148"/>
      <c r="JY33" s="148"/>
      <c r="JZ33" s="148"/>
      <c r="KA33" s="148"/>
      <c r="KB33" s="148"/>
      <c r="KC33" s="148"/>
      <c r="KD33" s="148"/>
      <c r="KE33" s="148"/>
      <c r="KF33" s="148"/>
      <c r="KG33" s="148"/>
      <c r="KH33" s="148"/>
      <c r="KI33" s="148"/>
      <c r="KJ33" s="148"/>
      <c r="KK33" s="148"/>
      <c r="KL33" s="148"/>
      <c r="KM33" s="148"/>
      <c r="KN33" s="148"/>
      <c r="KO33" s="148"/>
      <c r="KP33" s="148"/>
      <c r="KQ33" s="148"/>
      <c r="KR33" s="148"/>
      <c r="KS33" s="148"/>
      <c r="KT33" s="148"/>
      <c r="KU33" s="148"/>
      <c r="KV33" s="148"/>
      <c r="KW33" s="148"/>
      <c r="KX33" s="148"/>
      <c r="KY33" s="148"/>
      <c r="KZ33" s="148"/>
      <c r="LA33" s="148"/>
      <c r="LB33" s="148"/>
      <c r="LC33" s="148"/>
      <c r="LD33" s="148"/>
      <c r="LE33" s="148"/>
      <c r="LF33" s="148"/>
      <c r="LG33" s="148"/>
      <c r="LH33" s="148"/>
      <c r="LI33" s="148"/>
      <c r="LJ33" s="148"/>
      <c r="LK33" s="148"/>
      <c r="LL33" s="148"/>
      <c r="LM33" s="148"/>
      <c r="LN33" s="148"/>
      <c r="LO33" s="148"/>
      <c r="LP33" s="148"/>
      <c r="LQ33" s="148"/>
      <c r="LR33" s="148"/>
      <c r="LS33" s="148"/>
      <c r="LT33" s="148"/>
      <c r="LU33" s="148"/>
      <c r="LV33" s="148"/>
      <c r="LW33" s="148"/>
      <c r="LX33" s="148"/>
      <c r="LY33" s="148"/>
      <c r="LZ33" s="148"/>
      <c r="MA33" s="148"/>
      <c r="MB33" s="148"/>
      <c r="MC33" s="148"/>
      <c r="MD33" s="148"/>
      <c r="ME33" s="148"/>
      <c r="MF33" s="148"/>
      <c r="MG33" s="148"/>
      <c r="MH33" s="148"/>
      <c r="MI33" s="148"/>
      <c r="MJ33" s="148"/>
      <c r="MK33" s="148"/>
      <c r="ML33" s="148"/>
      <c r="MM33" s="148"/>
      <c r="MN33" s="148"/>
      <c r="MO33" s="148"/>
      <c r="MP33" s="148"/>
      <c r="MQ33" s="148"/>
      <c r="MR33" s="148"/>
      <c r="MS33" s="148"/>
      <c r="MT33" s="148"/>
      <c r="MU33" s="148"/>
      <c r="MV33" s="148"/>
      <c r="MW33" s="148"/>
      <c r="MX33" s="148"/>
      <c r="MY33" s="148"/>
      <c r="MZ33" s="148"/>
      <c r="NA33" s="148"/>
      <c r="NB33" s="148"/>
      <c r="NC33" s="148"/>
      <c r="ND33" s="148"/>
      <c r="NE33" s="148"/>
      <c r="NF33" s="148"/>
      <c r="NG33" s="148"/>
      <c r="NH33" s="148"/>
      <c r="NI33" s="148"/>
      <c r="NJ33" s="148"/>
      <c r="NK33" s="148"/>
      <c r="NL33" s="148"/>
      <c r="NM33" s="148"/>
      <c r="NN33" s="148"/>
      <c r="NO33" s="148"/>
      <c r="NP33" s="148"/>
      <c r="NQ33" s="148"/>
      <c r="NR33" s="148"/>
      <c r="NS33" s="148"/>
      <c r="NT33" s="148"/>
      <c r="NU33" s="148"/>
      <c r="NV33" s="148"/>
      <c r="NW33" s="148"/>
      <c r="NX33" s="148"/>
      <c r="NY33" s="148"/>
      <c r="NZ33" s="148"/>
      <c r="OA33" s="148"/>
      <c r="OB33" s="148"/>
      <c r="OC33" s="148"/>
      <c r="OD33" s="148"/>
      <c r="OE33" s="148"/>
      <c r="OF33" s="148"/>
      <c r="OG33" s="148"/>
      <c r="OH33" s="148"/>
      <c r="OI33" s="148"/>
      <c r="OJ33" s="148"/>
      <c r="OK33" s="148"/>
      <c r="OL33" s="148"/>
      <c r="OM33" s="148"/>
      <c r="ON33" s="148"/>
      <c r="OO33" s="148"/>
      <c r="OP33" s="148"/>
      <c r="OQ33" s="148"/>
      <c r="OR33" s="148"/>
      <c r="OS33" s="148"/>
      <c r="OT33" s="148"/>
      <c r="OU33" s="148"/>
      <c r="OV33" s="148"/>
      <c r="OW33" s="148"/>
      <c r="OX33" s="148"/>
      <c r="OY33" s="148"/>
      <c r="OZ33" s="148"/>
      <c r="PA33" s="148"/>
      <c r="PB33" s="148"/>
      <c r="PC33" s="148"/>
      <c r="PD33" s="148"/>
      <c r="PE33" s="148"/>
      <c r="PF33" s="148"/>
      <c r="PG33" s="148"/>
      <c r="PH33" s="148"/>
      <c r="PI33" s="148"/>
      <c r="PJ33" s="148"/>
      <c r="PK33" s="148"/>
      <c r="PL33" s="148"/>
      <c r="PM33" s="148"/>
      <c r="PN33" s="148"/>
      <c r="PO33" s="148"/>
      <c r="PP33" s="148"/>
      <c r="PQ33" s="148"/>
      <c r="PR33" s="148"/>
      <c r="PS33" s="148"/>
      <c r="PT33" s="148"/>
      <c r="PU33" s="148"/>
      <c r="PV33" s="148"/>
      <c r="PW33" s="148"/>
      <c r="PX33" s="148"/>
      <c r="PY33" s="148"/>
      <c r="PZ33" s="148"/>
      <c r="QA33" s="148"/>
      <c r="QB33" s="148"/>
      <c r="QC33" s="148"/>
      <c r="QD33" s="148"/>
      <c r="QE33" s="148"/>
      <c r="QF33" s="148"/>
      <c r="QG33" s="148"/>
      <c r="QH33" s="148"/>
      <c r="QI33" s="148"/>
      <c r="QJ33" s="148"/>
      <c r="QK33" s="148"/>
      <c r="QL33" s="148"/>
      <c r="QM33" s="148"/>
      <c r="QN33" s="148"/>
      <c r="QO33" s="148"/>
      <c r="QP33" s="148"/>
      <c r="QQ33" s="148"/>
      <c r="QR33" s="148"/>
      <c r="QS33" s="148"/>
      <c r="QT33" s="148"/>
      <c r="QU33" s="148"/>
      <c r="QV33" s="148"/>
      <c r="QW33" s="148"/>
      <c r="QX33" s="148"/>
      <c r="QY33" s="148"/>
      <c r="QZ33" s="148"/>
      <c r="RA33" s="148"/>
      <c r="RB33" s="148"/>
      <c r="RC33" s="148"/>
      <c r="RD33" s="148"/>
      <c r="RE33" s="148"/>
      <c r="RF33" s="148"/>
      <c r="RG33" s="148"/>
      <c r="RH33" s="148"/>
      <c r="RI33" s="148"/>
      <c r="RJ33" s="148"/>
      <c r="RK33" s="148"/>
      <c r="RL33" s="148"/>
      <c r="RM33" s="148"/>
      <c r="RN33" s="148"/>
      <c r="RO33" s="148"/>
      <c r="RP33" s="148"/>
      <c r="RQ33" s="148"/>
      <c r="RR33" s="148"/>
    </row>
    <row r="34" spans="1:486" s="15" customFormat="1" x14ac:dyDescent="0.25">
      <c r="A34" s="148"/>
      <c r="B34" s="350">
        <v>19</v>
      </c>
      <c r="C34" s="641" t="s">
        <v>894</v>
      </c>
      <c r="D34" s="631">
        <v>40010038</v>
      </c>
      <c r="E34" s="344" t="s">
        <v>2744</v>
      </c>
      <c r="F34" s="344" t="s">
        <v>46</v>
      </c>
      <c r="G34" s="17" t="s">
        <v>2693</v>
      </c>
      <c r="H34" s="317" t="s">
        <v>2742</v>
      </c>
      <c r="I34" s="346" t="s">
        <v>43</v>
      </c>
      <c r="J34" s="341" t="s">
        <v>2745</v>
      </c>
      <c r="K34" s="633">
        <v>0</v>
      </c>
      <c r="L34" s="633">
        <v>0</v>
      </c>
      <c r="M34" s="633">
        <v>0</v>
      </c>
      <c r="N34" s="633">
        <v>0</v>
      </c>
      <c r="O34" s="633">
        <v>0</v>
      </c>
      <c r="P34" s="639">
        <v>14550</v>
      </c>
      <c r="Q34" s="633">
        <v>0</v>
      </c>
      <c r="R34" s="633">
        <v>0</v>
      </c>
      <c r="S34" s="633"/>
      <c r="T34" s="633"/>
      <c r="U34" s="633"/>
      <c r="V34" s="633"/>
      <c r="W34" s="633"/>
      <c r="X34" s="633"/>
      <c r="Y34" s="633">
        <f t="shared" si="1"/>
        <v>14550</v>
      </c>
      <c r="Z34" s="407">
        <v>46560</v>
      </c>
      <c r="AA34" s="635" t="s">
        <v>296</v>
      </c>
      <c r="AB34" s="23">
        <v>44232</v>
      </c>
      <c r="AC34" s="23">
        <v>44250</v>
      </c>
      <c r="AD34" s="640">
        <v>10000</v>
      </c>
      <c r="AE34" s="19">
        <v>25</v>
      </c>
      <c r="AF34" s="315">
        <v>44312</v>
      </c>
      <c r="AG34" s="315">
        <v>44328</v>
      </c>
      <c r="AH34" s="637"/>
      <c r="AI34" s="19"/>
      <c r="AJ34" s="21"/>
      <c r="AK34" s="25"/>
      <c r="AL34" s="309"/>
      <c r="AM34" s="19"/>
      <c r="AN34" s="21"/>
      <c r="AO34" s="25"/>
      <c r="AP34" s="309"/>
      <c r="AQ34" s="19"/>
      <c r="AR34" s="21"/>
      <c r="AS34" s="25"/>
      <c r="AT34" s="638">
        <f t="shared" si="2"/>
        <v>56560</v>
      </c>
      <c r="AU34" s="311">
        <f t="shared" si="0"/>
        <v>42010</v>
      </c>
      <c r="AV34" s="148"/>
      <c r="AW34" s="148"/>
      <c r="AX34" s="148"/>
      <c r="AY34" s="148"/>
      <c r="AZ34" s="148"/>
      <c r="BA34" s="148"/>
      <c r="BB34" s="148"/>
      <c r="BC34" s="148"/>
      <c r="BD34" s="148"/>
      <c r="BE34" s="148"/>
      <c r="BF34" s="148"/>
      <c r="BG34" s="148"/>
      <c r="BH34" s="148"/>
      <c r="BI34" s="148"/>
      <c r="BJ34" s="148"/>
      <c r="BK34" s="148"/>
      <c r="BL34" s="148"/>
      <c r="BM34" s="148"/>
      <c r="BN34" s="148"/>
      <c r="BO34" s="148"/>
      <c r="BP34" s="148"/>
      <c r="BQ34" s="148"/>
      <c r="BR34" s="148"/>
      <c r="BS34" s="148"/>
      <c r="BT34" s="148"/>
      <c r="BU34" s="148"/>
      <c r="BV34" s="148"/>
      <c r="BW34" s="148"/>
      <c r="BX34" s="148"/>
      <c r="BY34" s="148"/>
      <c r="BZ34" s="148"/>
      <c r="CA34" s="148"/>
      <c r="CB34" s="148"/>
      <c r="CC34" s="148"/>
      <c r="CD34" s="148"/>
      <c r="CE34" s="148"/>
      <c r="CF34" s="148"/>
      <c r="CG34" s="148"/>
      <c r="CH34" s="148"/>
      <c r="CI34" s="148"/>
      <c r="CJ34" s="148"/>
      <c r="CK34" s="148"/>
      <c r="CL34" s="148"/>
      <c r="CM34" s="148"/>
      <c r="CN34" s="148"/>
      <c r="CO34" s="148"/>
      <c r="CP34" s="148"/>
      <c r="CQ34" s="148"/>
      <c r="CR34" s="148"/>
      <c r="CS34" s="148"/>
      <c r="CT34" s="148"/>
      <c r="CU34" s="148"/>
      <c r="CV34" s="148"/>
      <c r="CW34" s="148"/>
      <c r="CX34" s="148"/>
      <c r="CY34" s="148"/>
      <c r="CZ34" s="148"/>
      <c r="DA34" s="148"/>
      <c r="DB34" s="148"/>
      <c r="DC34" s="148"/>
      <c r="DD34" s="148"/>
      <c r="DE34" s="148"/>
      <c r="DF34" s="148"/>
      <c r="DG34" s="148"/>
      <c r="DH34" s="148"/>
      <c r="DI34" s="148"/>
      <c r="DJ34" s="148"/>
      <c r="DK34" s="148"/>
      <c r="DL34" s="148"/>
      <c r="DM34" s="148"/>
      <c r="DN34" s="148"/>
      <c r="DO34" s="148"/>
      <c r="DP34" s="148"/>
      <c r="DQ34" s="148"/>
      <c r="DR34" s="148"/>
      <c r="DS34" s="148"/>
      <c r="DT34" s="148"/>
      <c r="DU34" s="148"/>
      <c r="DV34" s="148"/>
      <c r="DW34" s="148"/>
      <c r="DX34" s="148"/>
      <c r="DY34" s="148"/>
      <c r="DZ34" s="148"/>
      <c r="EA34" s="148"/>
      <c r="EB34" s="148"/>
      <c r="EC34" s="148"/>
      <c r="ED34" s="148"/>
      <c r="EE34" s="148"/>
      <c r="EF34" s="148"/>
      <c r="EG34" s="148"/>
      <c r="EH34" s="148"/>
      <c r="EI34" s="148"/>
      <c r="EJ34" s="148"/>
      <c r="EK34" s="148"/>
      <c r="EL34" s="148"/>
      <c r="EM34" s="148"/>
      <c r="EN34" s="148"/>
      <c r="EO34" s="148"/>
      <c r="EP34" s="148"/>
      <c r="EQ34" s="148"/>
      <c r="ER34" s="148"/>
      <c r="ES34" s="148"/>
      <c r="ET34" s="148"/>
      <c r="EU34" s="148"/>
      <c r="EV34" s="148"/>
      <c r="EW34" s="148"/>
      <c r="EX34" s="148"/>
      <c r="EY34" s="148"/>
      <c r="EZ34" s="148"/>
      <c r="FA34" s="148"/>
      <c r="FB34" s="148"/>
      <c r="FC34" s="148"/>
      <c r="FD34" s="148"/>
      <c r="FE34" s="148"/>
      <c r="FF34" s="148"/>
      <c r="FG34" s="148"/>
      <c r="FH34" s="148"/>
      <c r="FI34" s="148"/>
      <c r="FJ34" s="148"/>
      <c r="FK34" s="148"/>
      <c r="FL34" s="148"/>
      <c r="FM34" s="148"/>
      <c r="FN34" s="148"/>
      <c r="FO34" s="148"/>
      <c r="FP34" s="148"/>
      <c r="FQ34" s="148"/>
      <c r="FR34" s="148"/>
      <c r="FS34" s="148"/>
      <c r="FT34" s="148"/>
      <c r="FU34" s="148"/>
      <c r="FV34" s="148"/>
      <c r="FW34" s="148"/>
      <c r="FX34" s="148"/>
      <c r="FY34" s="148"/>
      <c r="FZ34" s="148"/>
      <c r="GA34" s="148"/>
      <c r="GB34" s="148"/>
      <c r="GC34" s="148"/>
      <c r="GD34" s="148"/>
      <c r="GE34" s="148"/>
      <c r="GF34" s="148"/>
      <c r="GG34" s="148"/>
      <c r="GH34" s="148"/>
      <c r="GI34" s="148"/>
      <c r="GJ34" s="148"/>
      <c r="GK34" s="148"/>
      <c r="GL34" s="148"/>
      <c r="GM34" s="148"/>
      <c r="GN34" s="148"/>
      <c r="GO34" s="148"/>
      <c r="GP34" s="148"/>
      <c r="GQ34" s="148"/>
      <c r="GR34" s="148"/>
      <c r="GS34" s="148"/>
      <c r="GT34" s="148"/>
      <c r="GU34" s="148"/>
      <c r="GV34" s="148"/>
      <c r="GW34" s="148"/>
      <c r="GX34" s="148"/>
      <c r="GY34" s="148"/>
      <c r="GZ34" s="148"/>
      <c r="HA34" s="148"/>
      <c r="HB34" s="148"/>
      <c r="HC34" s="148"/>
      <c r="HD34" s="148"/>
      <c r="HE34" s="148"/>
      <c r="HF34" s="148"/>
      <c r="HG34" s="148"/>
      <c r="HH34" s="148"/>
      <c r="HI34" s="148"/>
      <c r="HJ34" s="148"/>
      <c r="HK34" s="148"/>
      <c r="HL34" s="148"/>
      <c r="HM34" s="148"/>
      <c r="HN34" s="148"/>
      <c r="HO34" s="148"/>
      <c r="HP34" s="148"/>
      <c r="HQ34" s="148"/>
      <c r="HR34" s="148"/>
      <c r="HS34" s="148"/>
      <c r="HT34" s="148"/>
      <c r="HU34" s="148"/>
      <c r="HV34" s="148"/>
      <c r="HW34" s="148"/>
      <c r="HX34" s="148"/>
      <c r="HY34" s="148"/>
      <c r="HZ34" s="148"/>
      <c r="IA34" s="148"/>
      <c r="IB34" s="148"/>
      <c r="IC34" s="148"/>
      <c r="ID34" s="148"/>
      <c r="IE34" s="148"/>
      <c r="IF34" s="148"/>
      <c r="IG34" s="148"/>
      <c r="IH34" s="148"/>
      <c r="II34" s="148"/>
      <c r="IJ34" s="148"/>
      <c r="IK34" s="148"/>
      <c r="IL34" s="148"/>
      <c r="IM34" s="148"/>
      <c r="IN34" s="148"/>
      <c r="IO34" s="148"/>
      <c r="IP34" s="148"/>
      <c r="IQ34" s="148"/>
      <c r="IR34" s="148"/>
      <c r="IS34" s="148"/>
      <c r="IT34" s="148"/>
      <c r="IU34" s="148"/>
      <c r="IV34" s="148"/>
      <c r="IW34" s="148"/>
      <c r="IX34" s="148"/>
      <c r="IY34" s="148"/>
      <c r="IZ34" s="148"/>
      <c r="JA34" s="148"/>
      <c r="JB34" s="148"/>
      <c r="JC34" s="148"/>
      <c r="JD34" s="148"/>
      <c r="JE34" s="148"/>
      <c r="JF34" s="148"/>
      <c r="JG34" s="148"/>
      <c r="JH34" s="148"/>
      <c r="JI34" s="148"/>
      <c r="JJ34" s="148"/>
      <c r="JK34" s="148"/>
      <c r="JL34" s="148"/>
      <c r="JM34" s="148"/>
      <c r="JN34" s="148"/>
      <c r="JO34" s="148"/>
      <c r="JP34" s="148"/>
      <c r="JQ34" s="148"/>
      <c r="JR34" s="148"/>
      <c r="JS34" s="148"/>
      <c r="JT34" s="148"/>
      <c r="JU34" s="148"/>
      <c r="JV34" s="148"/>
      <c r="JW34" s="148"/>
      <c r="JX34" s="148"/>
      <c r="JY34" s="148"/>
      <c r="JZ34" s="148"/>
      <c r="KA34" s="148"/>
      <c r="KB34" s="148"/>
      <c r="KC34" s="148"/>
      <c r="KD34" s="148"/>
      <c r="KE34" s="148"/>
      <c r="KF34" s="148"/>
      <c r="KG34" s="148"/>
      <c r="KH34" s="148"/>
      <c r="KI34" s="148"/>
      <c r="KJ34" s="148"/>
      <c r="KK34" s="148"/>
      <c r="KL34" s="148"/>
      <c r="KM34" s="148"/>
      <c r="KN34" s="148"/>
      <c r="KO34" s="148"/>
      <c r="KP34" s="148"/>
      <c r="KQ34" s="148"/>
      <c r="KR34" s="148"/>
      <c r="KS34" s="148"/>
      <c r="KT34" s="148"/>
      <c r="KU34" s="148"/>
      <c r="KV34" s="148"/>
      <c r="KW34" s="148"/>
      <c r="KX34" s="148"/>
      <c r="KY34" s="148"/>
      <c r="KZ34" s="148"/>
      <c r="LA34" s="148"/>
      <c r="LB34" s="148"/>
      <c r="LC34" s="148"/>
      <c r="LD34" s="148"/>
      <c r="LE34" s="148"/>
      <c r="LF34" s="148"/>
      <c r="LG34" s="148"/>
      <c r="LH34" s="148"/>
      <c r="LI34" s="148"/>
      <c r="LJ34" s="148"/>
      <c r="LK34" s="148"/>
      <c r="LL34" s="148"/>
      <c r="LM34" s="148"/>
      <c r="LN34" s="148"/>
      <c r="LO34" s="148"/>
      <c r="LP34" s="148"/>
      <c r="LQ34" s="148"/>
      <c r="LR34" s="148"/>
      <c r="LS34" s="148"/>
      <c r="LT34" s="148"/>
      <c r="LU34" s="148"/>
      <c r="LV34" s="148"/>
      <c r="LW34" s="148"/>
      <c r="LX34" s="148"/>
      <c r="LY34" s="148"/>
      <c r="LZ34" s="148"/>
      <c r="MA34" s="148"/>
      <c r="MB34" s="148"/>
      <c r="MC34" s="148"/>
      <c r="MD34" s="148"/>
      <c r="ME34" s="148"/>
      <c r="MF34" s="148"/>
      <c r="MG34" s="148"/>
      <c r="MH34" s="148"/>
      <c r="MI34" s="148"/>
      <c r="MJ34" s="148"/>
      <c r="MK34" s="148"/>
      <c r="ML34" s="148"/>
      <c r="MM34" s="148"/>
      <c r="MN34" s="148"/>
      <c r="MO34" s="148"/>
      <c r="MP34" s="148"/>
      <c r="MQ34" s="148"/>
      <c r="MR34" s="148"/>
      <c r="MS34" s="148"/>
      <c r="MT34" s="148"/>
      <c r="MU34" s="148"/>
      <c r="MV34" s="148"/>
      <c r="MW34" s="148"/>
      <c r="MX34" s="148"/>
      <c r="MY34" s="148"/>
      <c r="MZ34" s="148"/>
      <c r="NA34" s="148"/>
      <c r="NB34" s="148"/>
      <c r="NC34" s="148"/>
      <c r="ND34" s="148"/>
      <c r="NE34" s="148"/>
      <c r="NF34" s="148"/>
      <c r="NG34" s="148"/>
      <c r="NH34" s="148"/>
      <c r="NI34" s="148"/>
      <c r="NJ34" s="148"/>
      <c r="NK34" s="148"/>
      <c r="NL34" s="148"/>
      <c r="NM34" s="148"/>
      <c r="NN34" s="148"/>
      <c r="NO34" s="148"/>
      <c r="NP34" s="148"/>
      <c r="NQ34" s="148"/>
      <c r="NR34" s="148"/>
      <c r="NS34" s="148"/>
      <c r="NT34" s="148"/>
      <c r="NU34" s="148"/>
      <c r="NV34" s="148"/>
      <c r="NW34" s="148"/>
      <c r="NX34" s="148"/>
      <c r="NY34" s="148"/>
      <c r="NZ34" s="148"/>
      <c r="OA34" s="148"/>
      <c r="OB34" s="148"/>
      <c r="OC34" s="148"/>
      <c r="OD34" s="148"/>
      <c r="OE34" s="148"/>
      <c r="OF34" s="148"/>
      <c r="OG34" s="148"/>
      <c r="OH34" s="148"/>
      <c r="OI34" s="148"/>
      <c r="OJ34" s="148"/>
      <c r="OK34" s="148"/>
      <c r="OL34" s="148"/>
      <c r="OM34" s="148"/>
      <c r="ON34" s="148"/>
      <c r="OO34" s="148"/>
      <c r="OP34" s="148"/>
      <c r="OQ34" s="148"/>
      <c r="OR34" s="148"/>
      <c r="OS34" s="148"/>
      <c r="OT34" s="148"/>
      <c r="OU34" s="148"/>
      <c r="OV34" s="148"/>
      <c r="OW34" s="148"/>
      <c r="OX34" s="148"/>
      <c r="OY34" s="148"/>
      <c r="OZ34" s="148"/>
      <c r="PA34" s="148"/>
      <c r="PB34" s="148"/>
      <c r="PC34" s="148"/>
      <c r="PD34" s="148"/>
      <c r="PE34" s="148"/>
      <c r="PF34" s="148"/>
      <c r="PG34" s="148"/>
      <c r="PH34" s="148"/>
      <c r="PI34" s="148"/>
      <c r="PJ34" s="148"/>
      <c r="PK34" s="148"/>
      <c r="PL34" s="148"/>
      <c r="PM34" s="148"/>
      <c r="PN34" s="148"/>
      <c r="PO34" s="148"/>
      <c r="PP34" s="148"/>
      <c r="PQ34" s="148"/>
      <c r="PR34" s="148"/>
      <c r="PS34" s="148"/>
      <c r="PT34" s="148"/>
      <c r="PU34" s="148"/>
      <c r="PV34" s="148"/>
      <c r="PW34" s="148"/>
      <c r="PX34" s="148"/>
      <c r="PY34" s="148"/>
      <c r="PZ34" s="148"/>
      <c r="QA34" s="148"/>
      <c r="QB34" s="148"/>
      <c r="QC34" s="148"/>
      <c r="QD34" s="148"/>
      <c r="QE34" s="148"/>
      <c r="QF34" s="148"/>
      <c r="QG34" s="148"/>
      <c r="QH34" s="148"/>
      <c r="QI34" s="148"/>
      <c r="QJ34" s="148"/>
      <c r="QK34" s="148"/>
      <c r="QL34" s="148"/>
      <c r="QM34" s="148"/>
      <c r="QN34" s="148"/>
      <c r="QO34" s="148"/>
      <c r="QP34" s="148"/>
      <c r="QQ34" s="148"/>
      <c r="QR34" s="148"/>
      <c r="QS34" s="148"/>
      <c r="QT34" s="148"/>
      <c r="QU34" s="148"/>
      <c r="QV34" s="148"/>
      <c r="QW34" s="148"/>
      <c r="QX34" s="148"/>
      <c r="QY34" s="148"/>
      <c r="QZ34" s="148"/>
      <c r="RA34" s="148"/>
      <c r="RB34" s="148"/>
      <c r="RC34" s="148"/>
      <c r="RD34" s="148"/>
      <c r="RE34" s="148"/>
      <c r="RF34" s="148"/>
      <c r="RG34" s="148"/>
      <c r="RH34" s="148"/>
      <c r="RI34" s="148"/>
      <c r="RJ34" s="148"/>
      <c r="RK34" s="148"/>
      <c r="RL34" s="148"/>
      <c r="RM34" s="148"/>
      <c r="RN34" s="148"/>
      <c r="RO34" s="148"/>
      <c r="RP34" s="148"/>
      <c r="RQ34" s="148"/>
      <c r="RR34" s="148"/>
    </row>
    <row r="35" spans="1:486" s="15" customFormat="1" x14ac:dyDescent="0.25">
      <c r="A35" s="148"/>
      <c r="B35" s="350">
        <v>20</v>
      </c>
      <c r="C35" s="643" t="s">
        <v>894</v>
      </c>
      <c r="D35" s="631">
        <v>40010470</v>
      </c>
      <c r="E35" s="344" t="s">
        <v>2746</v>
      </c>
      <c r="F35" s="344" t="s">
        <v>46</v>
      </c>
      <c r="G35" s="17" t="s">
        <v>2693</v>
      </c>
      <c r="H35" s="317" t="s">
        <v>2715</v>
      </c>
      <c r="I35" s="346" t="s">
        <v>43</v>
      </c>
      <c r="J35" s="341" t="s">
        <v>2747</v>
      </c>
      <c r="K35" s="633">
        <v>225436</v>
      </c>
      <c r="L35" s="633">
        <v>0</v>
      </c>
      <c r="M35" s="633">
        <v>0</v>
      </c>
      <c r="N35" s="633">
        <v>0</v>
      </c>
      <c r="O35" s="633">
        <v>0</v>
      </c>
      <c r="P35" s="633">
        <v>0</v>
      </c>
      <c r="Q35" s="639">
        <v>2772</v>
      </c>
      <c r="R35" s="633">
        <v>0</v>
      </c>
      <c r="S35" s="633"/>
      <c r="T35" s="633"/>
      <c r="U35" s="633"/>
      <c r="V35" s="633"/>
      <c r="W35" s="633"/>
      <c r="X35" s="633"/>
      <c r="Y35" s="633">
        <f t="shared" si="1"/>
        <v>2772</v>
      </c>
      <c r="Z35" s="407">
        <v>2835</v>
      </c>
      <c r="AA35" s="635" t="s">
        <v>296</v>
      </c>
      <c r="AB35" s="23">
        <v>44232</v>
      </c>
      <c r="AC35" s="23">
        <v>44250</v>
      </c>
      <c r="AD35" s="640">
        <v>9938</v>
      </c>
      <c r="AE35" s="19">
        <v>19</v>
      </c>
      <c r="AF35" s="315">
        <v>44271</v>
      </c>
      <c r="AG35" s="315">
        <v>44312</v>
      </c>
      <c r="AH35" s="637"/>
      <c r="AI35" s="19"/>
      <c r="AJ35" s="21"/>
      <c r="AK35" s="25"/>
      <c r="AL35" s="309"/>
      <c r="AM35" s="19"/>
      <c r="AN35" s="21"/>
      <c r="AO35" s="25"/>
      <c r="AP35" s="309"/>
      <c r="AQ35" s="19"/>
      <c r="AR35" s="21"/>
      <c r="AS35" s="25"/>
      <c r="AT35" s="638">
        <f t="shared" si="2"/>
        <v>12773</v>
      </c>
      <c r="AU35" s="311">
        <f t="shared" si="0"/>
        <v>10001</v>
      </c>
      <c r="AV35" s="148"/>
      <c r="AW35" s="148"/>
      <c r="AX35" s="148"/>
      <c r="AY35" s="148"/>
      <c r="AZ35" s="148"/>
      <c r="BA35" s="148"/>
      <c r="BB35" s="148"/>
      <c r="BC35" s="148"/>
      <c r="BD35" s="148"/>
      <c r="BE35" s="148"/>
      <c r="BF35" s="148"/>
      <c r="BG35" s="148"/>
      <c r="BH35" s="148"/>
      <c r="BI35" s="148"/>
      <c r="BJ35" s="148"/>
      <c r="BK35" s="148"/>
      <c r="BL35" s="148"/>
      <c r="BM35" s="148"/>
      <c r="BN35" s="148"/>
      <c r="BO35" s="148"/>
      <c r="BP35" s="148"/>
      <c r="BQ35" s="148"/>
      <c r="BR35" s="148"/>
      <c r="BS35" s="148"/>
      <c r="BT35" s="148"/>
      <c r="BU35" s="148"/>
      <c r="BV35" s="148"/>
      <c r="BW35" s="148"/>
      <c r="BX35" s="148"/>
      <c r="BY35" s="148"/>
      <c r="BZ35" s="148"/>
      <c r="CA35" s="148"/>
      <c r="CB35" s="148"/>
      <c r="CC35" s="148"/>
      <c r="CD35" s="148"/>
      <c r="CE35" s="148"/>
      <c r="CF35" s="148"/>
      <c r="CG35" s="148"/>
      <c r="CH35" s="148"/>
      <c r="CI35" s="148"/>
      <c r="CJ35" s="148"/>
      <c r="CK35" s="148"/>
      <c r="CL35" s="148"/>
      <c r="CM35" s="148"/>
      <c r="CN35" s="148"/>
      <c r="CO35" s="148"/>
      <c r="CP35" s="148"/>
      <c r="CQ35" s="148"/>
      <c r="CR35" s="148"/>
      <c r="CS35" s="148"/>
      <c r="CT35" s="148"/>
      <c r="CU35" s="148"/>
      <c r="CV35" s="148"/>
      <c r="CW35" s="148"/>
      <c r="CX35" s="148"/>
      <c r="CY35" s="148"/>
      <c r="CZ35" s="148"/>
      <c r="DA35" s="148"/>
      <c r="DB35" s="148"/>
      <c r="DC35" s="148"/>
      <c r="DD35" s="148"/>
      <c r="DE35" s="148"/>
      <c r="DF35" s="148"/>
      <c r="DG35" s="148"/>
      <c r="DH35" s="148"/>
      <c r="DI35" s="148"/>
      <c r="DJ35" s="148"/>
      <c r="DK35" s="148"/>
      <c r="DL35" s="148"/>
      <c r="DM35" s="148"/>
      <c r="DN35" s="148"/>
      <c r="DO35" s="148"/>
      <c r="DP35" s="148"/>
      <c r="DQ35" s="148"/>
      <c r="DR35" s="148"/>
      <c r="DS35" s="148"/>
      <c r="DT35" s="148"/>
      <c r="DU35" s="148"/>
      <c r="DV35" s="148"/>
      <c r="DW35" s="148"/>
      <c r="DX35" s="148"/>
      <c r="DY35" s="148"/>
      <c r="DZ35" s="148"/>
      <c r="EA35" s="148"/>
      <c r="EB35" s="148"/>
      <c r="EC35" s="148"/>
      <c r="ED35" s="148"/>
      <c r="EE35" s="148"/>
      <c r="EF35" s="148"/>
      <c r="EG35" s="148"/>
      <c r="EH35" s="148"/>
      <c r="EI35" s="148"/>
      <c r="EJ35" s="148"/>
      <c r="EK35" s="148"/>
      <c r="EL35" s="148"/>
      <c r="EM35" s="148"/>
      <c r="EN35" s="148"/>
      <c r="EO35" s="148"/>
      <c r="EP35" s="148"/>
      <c r="EQ35" s="148"/>
      <c r="ER35" s="148"/>
      <c r="ES35" s="148"/>
      <c r="ET35" s="148"/>
      <c r="EU35" s="148"/>
      <c r="EV35" s="148"/>
      <c r="EW35" s="148"/>
      <c r="EX35" s="148"/>
      <c r="EY35" s="148"/>
      <c r="EZ35" s="148"/>
      <c r="FA35" s="148"/>
      <c r="FB35" s="148"/>
      <c r="FC35" s="148"/>
      <c r="FD35" s="148"/>
      <c r="FE35" s="148"/>
      <c r="FF35" s="148"/>
      <c r="FG35" s="148"/>
      <c r="FH35" s="148"/>
      <c r="FI35" s="148"/>
      <c r="FJ35" s="148"/>
      <c r="FK35" s="148"/>
      <c r="FL35" s="148"/>
      <c r="FM35" s="148"/>
      <c r="FN35" s="148"/>
      <c r="FO35" s="148"/>
      <c r="FP35" s="148"/>
      <c r="FQ35" s="148"/>
      <c r="FR35" s="148"/>
      <c r="FS35" s="148"/>
      <c r="FT35" s="148"/>
      <c r="FU35" s="148"/>
      <c r="FV35" s="148"/>
      <c r="FW35" s="148"/>
      <c r="FX35" s="148"/>
      <c r="FY35" s="148"/>
      <c r="FZ35" s="148"/>
      <c r="GA35" s="148"/>
      <c r="GB35" s="148"/>
      <c r="GC35" s="148"/>
      <c r="GD35" s="148"/>
      <c r="GE35" s="148"/>
      <c r="GF35" s="148"/>
      <c r="GG35" s="148"/>
      <c r="GH35" s="148"/>
      <c r="GI35" s="148"/>
      <c r="GJ35" s="148"/>
      <c r="GK35" s="148"/>
      <c r="GL35" s="148"/>
      <c r="GM35" s="148"/>
      <c r="GN35" s="148"/>
      <c r="GO35" s="148"/>
      <c r="GP35" s="148"/>
      <c r="GQ35" s="148"/>
      <c r="GR35" s="148"/>
      <c r="GS35" s="148"/>
      <c r="GT35" s="148"/>
      <c r="GU35" s="148"/>
      <c r="GV35" s="148"/>
      <c r="GW35" s="148"/>
      <c r="GX35" s="148"/>
      <c r="GY35" s="148"/>
      <c r="GZ35" s="148"/>
      <c r="HA35" s="148"/>
      <c r="HB35" s="148"/>
      <c r="HC35" s="148"/>
      <c r="HD35" s="148"/>
      <c r="HE35" s="148"/>
      <c r="HF35" s="148"/>
      <c r="HG35" s="148"/>
      <c r="HH35" s="148"/>
      <c r="HI35" s="148"/>
      <c r="HJ35" s="148"/>
      <c r="HK35" s="148"/>
      <c r="HL35" s="148"/>
      <c r="HM35" s="148"/>
      <c r="HN35" s="148"/>
      <c r="HO35" s="148"/>
      <c r="HP35" s="148"/>
      <c r="HQ35" s="148"/>
      <c r="HR35" s="148"/>
      <c r="HS35" s="148"/>
      <c r="HT35" s="148"/>
      <c r="HU35" s="148"/>
      <c r="HV35" s="148"/>
      <c r="HW35" s="148"/>
      <c r="HX35" s="148"/>
      <c r="HY35" s="148"/>
      <c r="HZ35" s="148"/>
      <c r="IA35" s="148"/>
      <c r="IB35" s="148"/>
      <c r="IC35" s="148"/>
      <c r="ID35" s="148"/>
      <c r="IE35" s="148"/>
      <c r="IF35" s="148"/>
      <c r="IG35" s="148"/>
      <c r="IH35" s="148"/>
      <c r="II35" s="148"/>
      <c r="IJ35" s="148"/>
      <c r="IK35" s="148"/>
      <c r="IL35" s="148"/>
      <c r="IM35" s="148"/>
      <c r="IN35" s="148"/>
      <c r="IO35" s="148"/>
      <c r="IP35" s="148"/>
      <c r="IQ35" s="148"/>
      <c r="IR35" s="148"/>
      <c r="IS35" s="148"/>
      <c r="IT35" s="148"/>
      <c r="IU35" s="148"/>
      <c r="IV35" s="148"/>
      <c r="IW35" s="148"/>
      <c r="IX35" s="148"/>
      <c r="IY35" s="148"/>
      <c r="IZ35" s="148"/>
      <c r="JA35" s="148"/>
      <c r="JB35" s="148"/>
      <c r="JC35" s="148"/>
      <c r="JD35" s="148"/>
      <c r="JE35" s="148"/>
      <c r="JF35" s="148"/>
      <c r="JG35" s="148"/>
      <c r="JH35" s="148"/>
      <c r="JI35" s="148"/>
      <c r="JJ35" s="148"/>
      <c r="JK35" s="148"/>
      <c r="JL35" s="148"/>
      <c r="JM35" s="148"/>
      <c r="JN35" s="148"/>
      <c r="JO35" s="148"/>
      <c r="JP35" s="148"/>
      <c r="JQ35" s="148"/>
      <c r="JR35" s="148"/>
      <c r="JS35" s="148"/>
      <c r="JT35" s="148"/>
      <c r="JU35" s="148"/>
      <c r="JV35" s="148"/>
      <c r="JW35" s="148"/>
      <c r="JX35" s="148"/>
      <c r="JY35" s="148"/>
      <c r="JZ35" s="148"/>
      <c r="KA35" s="148"/>
      <c r="KB35" s="148"/>
      <c r="KC35" s="148"/>
      <c r="KD35" s="148"/>
      <c r="KE35" s="148"/>
      <c r="KF35" s="148"/>
      <c r="KG35" s="148"/>
      <c r="KH35" s="148"/>
      <c r="KI35" s="148"/>
      <c r="KJ35" s="148"/>
      <c r="KK35" s="148"/>
      <c r="KL35" s="148"/>
      <c r="KM35" s="148"/>
      <c r="KN35" s="148"/>
      <c r="KO35" s="148"/>
      <c r="KP35" s="148"/>
      <c r="KQ35" s="148"/>
      <c r="KR35" s="148"/>
      <c r="KS35" s="148"/>
      <c r="KT35" s="148"/>
      <c r="KU35" s="148"/>
      <c r="KV35" s="148"/>
      <c r="KW35" s="148"/>
      <c r="KX35" s="148"/>
      <c r="KY35" s="148"/>
      <c r="KZ35" s="148"/>
      <c r="LA35" s="148"/>
      <c r="LB35" s="148"/>
      <c r="LC35" s="148"/>
      <c r="LD35" s="148"/>
      <c r="LE35" s="148"/>
      <c r="LF35" s="148"/>
      <c r="LG35" s="148"/>
      <c r="LH35" s="148"/>
      <c r="LI35" s="148"/>
      <c r="LJ35" s="148"/>
      <c r="LK35" s="148"/>
      <c r="LL35" s="148"/>
      <c r="LM35" s="148"/>
      <c r="LN35" s="148"/>
      <c r="LO35" s="148"/>
      <c r="LP35" s="148"/>
      <c r="LQ35" s="148"/>
      <c r="LR35" s="148"/>
      <c r="LS35" s="148"/>
      <c r="LT35" s="148"/>
      <c r="LU35" s="148"/>
      <c r="LV35" s="148"/>
      <c r="LW35" s="148"/>
      <c r="LX35" s="148"/>
      <c r="LY35" s="148"/>
      <c r="LZ35" s="148"/>
      <c r="MA35" s="148"/>
      <c r="MB35" s="148"/>
      <c r="MC35" s="148"/>
      <c r="MD35" s="148"/>
      <c r="ME35" s="148"/>
      <c r="MF35" s="148"/>
      <c r="MG35" s="148"/>
      <c r="MH35" s="148"/>
      <c r="MI35" s="148"/>
      <c r="MJ35" s="148"/>
      <c r="MK35" s="148"/>
      <c r="ML35" s="148"/>
      <c r="MM35" s="148"/>
      <c r="MN35" s="148"/>
      <c r="MO35" s="148"/>
      <c r="MP35" s="148"/>
      <c r="MQ35" s="148"/>
      <c r="MR35" s="148"/>
      <c r="MS35" s="148"/>
      <c r="MT35" s="148"/>
      <c r="MU35" s="148"/>
      <c r="MV35" s="148"/>
      <c r="MW35" s="148"/>
      <c r="MX35" s="148"/>
      <c r="MY35" s="148"/>
      <c r="MZ35" s="148"/>
      <c r="NA35" s="148"/>
      <c r="NB35" s="148"/>
      <c r="NC35" s="148"/>
      <c r="ND35" s="148"/>
      <c r="NE35" s="148"/>
      <c r="NF35" s="148"/>
      <c r="NG35" s="148"/>
      <c r="NH35" s="148"/>
      <c r="NI35" s="148"/>
      <c r="NJ35" s="148"/>
      <c r="NK35" s="148"/>
      <c r="NL35" s="148"/>
      <c r="NM35" s="148"/>
      <c r="NN35" s="148"/>
      <c r="NO35" s="148"/>
      <c r="NP35" s="148"/>
      <c r="NQ35" s="148"/>
      <c r="NR35" s="148"/>
      <c r="NS35" s="148"/>
      <c r="NT35" s="148"/>
      <c r="NU35" s="148"/>
      <c r="NV35" s="148"/>
      <c r="NW35" s="148"/>
      <c r="NX35" s="148"/>
      <c r="NY35" s="148"/>
      <c r="NZ35" s="148"/>
      <c r="OA35" s="148"/>
      <c r="OB35" s="148"/>
      <c r="OC35" s="148"/>
      <c r="OD35" s="148"/>
      <c r="OE35" s="148"/>
      <c r="OF35" s="148"/>
      <c r="OG35" s="148"/>
      <c r="OH35" s="148"/>
      <c r="OI35" s="148"/>
      <c r="OJ35" s="148"/>
      <c r="OK35" s="148"/>
      <c r="OL35" s="148"/>
      <c r="OM35" s="148"/>
      <c r="ON35" s="148"/>
      <c r="OO35" s="148"/>
      <c r="OP35" s="148"/>
      <c r="OQ35" s="148"/>
      <c r="OR35" s="148"/>
      <c r="OS35" s="148"/>
      <c r="OT35" s="148"/>
      <c r="OU35" s="148"/>
      <c r="OV35" s="148"/>
      <c r="OW35" s="148"/>
      <c r="OX35" s="148"/>
      <c r="OY35" s="148"/>
      <c r="OZ35" s="148"/>
      <c r="PA35" s="148"/>
      <c r="PB35" s="148"/>
      <c r="PC35" s="148"/>
      <c r="PD35" s="148"/>
      <c r="PE35" s="148"/>
      <c r="PF35" s="148"/>
      <c r="PG35" s="148"/>
      <c r="PH35" s="148"/>
      <c r="PI35" s="148"/>
      <c r="PJ35" s="148"/>
      <c r="PK35" s="148"/>
      <c r="PL35" s="148"/>
      <c r="PM35" s="148"/>
      <c r="PN35" s="148"/>
      <c r="PO35" s="148"/>
      <c r="PP35" s="148"/>
      <c r="PQ35" s="148"/>
      <c r="PR35" s="148"/>
      <c r="PS35" s="148"/>
      <c r="PT35" s="148"/>
      <c r="PU35" s="148"/>
      <c r="PV35" s="148"/>
      <c r="PW35" s="148"/>
      <c r="PX35" s="148"/>
      <c r="PY35" s="148"/>
      <c r="PZ35" s="148"/>
      <c r="QA35" s="148"/>
      <c r="QB35" s="148"/>
      <c r="QC35" s="148"/>
      <c r="QD35" s="148"/>
      <c r="QE35" s="148"/>
      <c r="QF35" s="148"/>
      <c r="QG35" s="148"/>
      <c r="QH35" s="148"/>
      <c r="QI35" s="148"/>
      <c r="QJ35" s="148"/>
      <c r="QK35" s="148"/>
      <c r="QL35" s="148"/>
      <c r="QM35" s="148"/>
      <c r="QN35" s="148"/>
      <c r="QO35" s="148"/>
      <c r="QP35" s="148"/>
      <c r="QQ35" s="148"/>
      <c r="QR35" s="148"/>
      <c r="QS35" s="148"/>
      <c r="QT35" s="148"/>
      <c r="QU35" s="148"/>
      <c r="QV35" s="148"/>
      <c r="QW35" s="148"/>
      <c r="QX35" s="148"/>
      <c r="QY35" s="148"/>
      <c r="QZ35" s="148"/>
      <c r="RA35" s="148"/>
      <c r="RB35" s="148"/>
      <c r="RC35" s="148"/>
      <c r="RD35" s="148"/>
      <c r="RE35" s="148"/>
      <c r="RF35" s="148"/>
      <c r="RG35" s="148"/>
      <c r="RH35" s="148"/>
      <c r="RI35" s="148"/>
      <c r="RJ35" s="148"/>
      <c r="RK35" s="148"/>
      <c r="RL35" s="148"/>
      <c r="RM35" s="148"/>
      <c r="RN35" s="148"/>
      <c r="RO35" s="148"/>
      <c r="RP35" s="148"/>
      <c r="RQ35" s="148"/>
      <c r="RR35" s="148"/>
    </row>
    <row r="36" spans="1:486" s="15" customFormat="1" ht="22.5" x14ac:dyDescent="0.25">
      <c r="A36" s="148"/>
      <c r="B36" s="350">
        <v>21</v>
      </c>
      <c r="C36" s="641" t="s">
        <v>894</v>
      </c>
      <c r="D36" s="631">
        <v>40010478</v>
      </c>
      <c r="E36" s="344" t="s">
        <v>2748</v>
      </c>
      <c r="F36" s="344" t="s">
        <v>45</v>
      </c>
      <c r="G36" s="17" t="s">
        <v>2693</v>
      </c>
      <c r="H36" s="317" t="s">
        <v>2697</v>
      </c>
      <c r="I36" s="346" t="s">
        <v>43</v>
      </c>
      <c r="J36" s="341" t="s">
        <v>2749</v>
      </c>
      <c r="K36" s="633">
        <v>16421</v>
      </c>
      <c r="L36" s="633">
        <v>0</v>
      </c>
      <c r="M36" s="633">
        <v>0</v>
      </c>
      <c r="N36" s="633">
        <v>0</v>
      </c>
      <c r="O36" s="633">
        <v>4015</v>
      </c>
      <c r="P36" s="633">
        <v>0</v>
      </c>
      <c r="Q36" s="633"/>
      <c r="R36" s="633">
        <v>0</v>
      </c>
      <c r="S36" s="633"/>
      <c r="T36" s="633"/>
      <c r="U36" s="633"/>
      <c r="V36" s="633"/>
      <c r="W36" s="633"/>
      <c r="X36" s="633"/>
      <c r="Y36" s="633">
        <f t="shared" si="1"/>
        <v>4015</v>
      </c>
      <c r="Z36" s="407">
        <v>124090</v>
      </c>
      <c r="AA36" s="635" t="s">
        <v>296</v>
      </c>
      <c r="AB36" s="23">
        <v>44232</v>
      </c>
      <c r="AC36" s="23">
        <v>44250</v>
      </c>
      <c r="AD36" s="636"/>
      <c r="AE36" s="20"/>
      <c r="AF36" s="21"/>
      <c r="AG36" s="23"/>
      <c r="AH36" s="637"/>
      <c r="AI36" s="19"/>
      <c r="AJ36" s="21"/>
      <c r="AK36" s="25"/>
      <c r="AL36" s="309"/>
      <c r="AM36" s="19"/>
      <c r="AN36" s="21"/>
      <c r="AO36" s="25"/>
      <c r="AP36" s="309"/>
      <c r="AQ36" s="19"/>
      <c r="AR36" s="21"/>
      <c r="AS36" s="25"/>
      <c r="AT36" s="638">
        <f t="shared" si="2"/>
        <v>124090</v>
      </c>
      <c r="AU36" s="311">
        <f t="shared" si="0"/>
        <v>120075</v>
      </c>
      <c r="AV36" s="148"/>
      <c r="AW36" s="148"/>
      <c r="AX36" s="148"/>
      <c r="AY36" s="148"/>
      <c r="AZ36" s="148"/>
      <c r="BA36" s="148"/>
      <c r="BB36" s="148"/>
      <c r="BC36" s="148"/>
      <c r="BD36" s="148"/>
      <c r="BE36" s="148"/>
      <c r="BF36" s="148"/>
      <c r="BG36" s="148"/>
      <c r="BH36" s="148"/>
      <c r="BI36" s="148"/>
      <c r="BJ36" s="148"/>
      <c r="BK36" s="148"/>
      <c r="BL36" s="148"/>
      <c r="BM36" s="148"/>
      <c r="BN36" s="148"/>
      <c r="BO36" s="148"/>
      <c r="BP36" s="148"/>
      <c r="BQ36" s="148"/>
      <c r="BR36" s="148"/>
      <c r="BS36" s="148"/>
      <c r="BT36" s="148"/>
      <c r="BU36" s="148"/>
      <c r="BV36" s="148"/>
      <c r="BW36" s="148"/>
      <c r="BX36" s="148"/>
      <c r="BY36" s="148"/>
      <c r="BZ36" s="148"/>
      <c r="CA36" s="148"/>
      <c r="CB36" s="148"/>
      <c r="CC36" s="148"/>
      <c r="CD36" s="148"/>
      <c r="CE36" s="148"/>
      <c r="CF36" s="148"/>
      <c r="CG36" s="148"/>
      <c r="CH36" s="148"/>
      <c r="CI36" s="148"/>
      <c r="CJ36" s="148"/>
      <c r="CK36" s="148"/>
      <c r="CL36" s="148"/>
      <c r="CM36" s="148"/>
      <c r="CN36" s="148"/>
      <c r="CO36" s="148"/>
      <c r="CP36" s="148"/>
      <c r="CQ36" s="148"/>
      <c r="CR36" s="148"/>
      <c r="CS36" s="148"/>
      <c r="CT36" s="148"/>
      <c r="CU36" s="148"/>
      <c r="CV36" s="148"/>
      <c r="CW36" s="148"/>
      <c r="CX36" s="148"/>
      <c r="CY36" s="148"/>
      <c r="CZ36" s="148"/>
      <c r="DA36" s="148"/>
      <c r="DB36" s="148"/>
      <c r="DC36" s="148"/>
      <c r="DD36" s="148"/>
      <c r="DE36" s="148"/>
      <c r="DF36" s="148"/>
      <c r="DG36" s="148"/>
      <c r="DH36" s="148"/>
      <c r="DI36" s="148"/>
      <c r="DJ36" s="148"/>
      <c r="DK36" s="148"/>
      <c r="DL36" s="148"/>
      <c r="DM36" s="148"/>
      <c r="DN36" s="148"/>
      <c r="DO36" s="148"/>
      <c r="DP36" s="148"/>
      <c r="DQ36" s="148"/>
      <c r="DR36" s="148"/>
      <c r="DS36" s="148"/>
      <c r="DT36" s="148"/>
      <c r="DU36" s="148"/>
      <c r="DV36" s="148"/>
      <c r="DW36" s="148"/>
      <c r="DX36" s="148"/>
      <c r="DY36" s="148"/>
      <c r="DZ36" s="148"/>
      <c r="EA36" s="148"/>
      <c r="EB36" s="148"/>
      <c r="EC36" s="148"/>
      <c r="ED36" s="148"/>
      <c r="EE36" s="148"/>
      <c r="EF36" s="148"/>
      <c r="EG36" s="148"/>
      <c r="EH36" s="148"/>
      <c r="EI36" s="148"/>
      <c r="EJ36" s="148"/>
      <c r="EK36" s="148"/>
      <c r="EL36" s="148"/>
      <c r="EM36" s="148"/>
      <c r="EN36" s="148"/>
      <c r="EO36" s="148"/>
      <c r="EP36" s="148"/>
      <c r="EQ36" s="148"/>
      <c r="ER36" s="148"/>
      <c r="ES36" s="148"/>
      <c r="ET36" s="148"/>
      <c r="EU36" s="148"/>
      <c r="EV36" s="148"/>
      <c r="EW36" s="148"/>
      <c r="EX36" s="148"/>
      <c r="EY36" s="148"/>
      <c r="EZ36" s="148"/>
      <c r="FA36" s="148"/>
      <c r="FB36" s="148"/>
      <c r="FC36" s="148"/>
      <c r="FD36" s="148"/>
      <c r="FE36" s="148"/>
      <c r="FF36" s="148"/>
      <c r="FG36" s="148"/>
      <c r="FH36" s="148"/>
      <c r="FI36" s="148"/>
      <c r="FJ36" s="148"/>
      <c r="FK36" s="148"/>
      <c r="FL36" s="148"/>
      <c r="FM36" s="148"/>
      <c r="FN36" s="148"/>
      <c r="FO36" s="148"/>
      <c r="FP36" s="148"/>
      <c r="FQ36" s="148"/>
      <c r="FR36" s="148"/>
      <c r="FS36" s="148"/>
      <c r="FT36" s="148"/>
      <c r="FU36" s="148"/>
      <c r="FV36" s="148"/>
      <c r="FW36" s="148"/>
      <c r="FX36" s="148"/>
      <c r="FY36" s="148"/>
      <c r="FZ36" s="148"/>
      <c r="GA36" s="148"/>
      <c r="GB36" s="148"/>
      <c r="GC36" s="148"/>
      <c r="GD36" s="148"/>
      <c r="GE36" s="148"/>
      <c r="GF36" s="148"/>
      <c r="GG36" s="148"/>
      <c r="GH36" s="148"/>
      <c r="GI36" s="148"/>
      <c r="GJ36" s="148"/>
      <c r="GK36" s="148"/>
      <c r="GL36" s="148"/>
      <c r="GM36" s="148"/>
      <c r="GN36" s="148"/>
      <c r="GO36" s="148"/>
      <c r="GP36" s="148"/>
      <c r="GQ36" s="148"/>
      <c r="GR36" s="148"/>
      <c r="GS36" s="148"/>
      <c r="GT36" s="148"/>
      <c r="GU36" s="148"/>
      <c r="GV36" s="148"/>
      <c r="GW36" s="148"/>
      <c r="GX36" s="148"/>
      <c r="GY36" s="148"/>
      <c r="GZ36" s="148"/>
      <c r="HA36" s="148"/>
      <c r="HB36" s="148"/>
      <c r="HC36" s="148"/>
      <c r="HD36" s="148"/>
      <c r="HE36" s="148"/>
      <c r="HF36" s="148"/>
      <c r="HG36" s="148"/>
      <c r="HH36" s="148"/>
      <c r="HI36" s="148"/>
      <c r="HJ36" s="148"/>
      <c r="HK36" s="148"/>
      <c r="HL36" s="148"/>
      <c r="HM36" s="148"/>
      <c r="HN36" s="148"/>
      <c r="HO36" s="148"/>
      <c r="HP36" s="148"/>
      <c r="HQ36" s="148"/>
      <c r="HR36" s="148"/>
      <c r="HS36" s="148"/>
      <c r="HT36" s="148"/>
      <c r="HU36" s="148"/>
      <c r="HV36" s="148"/>
      <c r="HW36" s="148"/>
      <c r="HX36" s="148"/>
      <c r="HY36" s="148"/>
      <c r="HZ36" s="148"/>
      <c r="IA36" s="148"/>
      <c r="IB36" s="148"/>
      <c r="IC36" s="148"/>
      <c r="ID36" s="148"/>
      <c r="IE36" s="148"/>
      <c r="IF36" s="148"/>
      <c r="IG36" s="148"/>
      <c r="IH36" s="148"/>
      <c r="II36" s="148"/>
      <c r="IJ36" s="148"/>
      <c r="IK36" s="148"/>
      <c r="IL36" s="148"/>
      <c r="IM36" s="148"/>
      <c r="IN36" s="148"/>
      <c r="IO36" s="148"/>
      <c r="IP36" s="148"/>
      <c r="IQ36" s="148"/>
      <c r="IR36" s="148"/>
      <c r="IS36" s="148"/>
      <c r="IT36" s="148"/>
      <c r="IU36" s="148"/>
      <c r="IV36" s="148"/>
      <c r="IW36" s="148"/>
      <c r="IX36" s="148"/>
      <c r="IY36" s="148"/>
      <c r="IZ36" s="148"/>
      <c r="JA36" s="148"/>
      <c r="JB36" s="148"/>
      <c r="JC36" s="148"/>
      <c r="JD36" s="148"/>
      <c r="JE36" s="148"/>
      <c r="JF36" s="148"/>
      <c r="JG36" s="148"/>
      <c r="JH36" s="148"/>
      <c r="JI36" s="148"/>
      <c r="JJ36" s="148"/>
      <c r="JK36" s="148"/>
      <c r="JL36" s="148"/>
      <c r="JM36" s="148"/>
      <c r="JN36" s="148"/>
      <c r="JO36" s="148"/>
      <c r="JP36" s="148"/>
      <c r="JQ36" s="148"/>
      <c r="JR36" s="148"/>
      <c r="JS36" s="148"/>
      <c r="JT36" s="148"/>
      <c r="JU36" s="148"/>
      <c r="JV36" s="148"/>
      <c r="JW36" s="148"/>
      <c r="JX36" s="148"/>
      <c r="JY36" s="148"/>
      <c r="JZ36" s="148"/>
      <c r="KA36" s="148"/>
      <c r="KB36" s="148"/>
      <c r="KC36" s="148"/>
      <c r="KD36" s="148"/>
      <c r="KE36" s="148"/>
      <c r="KF36" s="148"/>
      <c r="KG36" s="148"/>
      <c r="KH36" s="148"/>
      <c r="KI36" s="148"/>
      <c r="KJ36" s="148"/>
      <c r="KK36" s="148"/>
      <c r="KL36" s="148"/>
      <c r="KM36" s="148"/>
      <c r="KN36" s="148"/>
      <c r="KO36" s="148"/>
      <c r="KP36" s="148"/>
      <c r="KQ36" s="148"/>
      <c r="KR36" s="148"/>
      <c r="KS36" s="148"/>
      <c r="KT36" s="148"/>
      <c r="KU36" s="148"/>
      <c r="KV36" s="148"/>
      <c r="KW36" s="148"/>
      <c r="KX36" s="148"/>
      <c r="KY36" s="148"/>
      <c r="KZ36" s="148"/>
      <c r="LA36" s="148"/>
      <c r="LB36" s="148"/>
      <c r="LC36" s="148"/>
      <c r="LD36" s="148"/>
      <c r="LE36" s="148"/>
      <c r="LF36" s="148"/>
      <c r="LG36" s="148"/>
      <c r="LH36" s="148"/>
      <c r="LI36" s="148"/>
      <c r="LJ36" s="148"/>
      <c r="LK36" s="148"/>
      <c r="LL36" s="148"/>
      <c r="LM36" s="148"/>
      <c r="LN36" s="148"/>
      <c r="LO36" s="148"/>
      <c r="LP36" s="148"/>
      <c r="LQ36" s="148"/>
      <c r="LR36" s="148"/>
      <c r="LS36" s="148"/>
      <c r="LT36" s="148"/>
      <c r="LU36" s="148"/>
      <c r="LV36" s="148"/>
      <c r="LW36" s="148"/>
      <c r="LX36" s="148"/>
      <c r="LY36" s="148"/>
      <c r="LZ36" s="148"/>
      <c r="MA36" s="148"/>
      <c r="MB36" s="148"/>
      <c r="MC36" s="148"/>
      <c r="MD36" s="148"/>
      <c r="ME36" s="148"/>
      <c r="MF36" s="148"/>
      <c r="MG36" s="148"/>
      <c r="MH36" s="148"/>
      <c r="MI36" s="148"/>
      <c r="MJ36" s="148"/>
      <c r="MK36" s="148"/>
      <c r="ML36" s="148"/>
      <c r="MM36" s="148"/>
      <c r="MN36" s="148"/>
      <c r="MO36" s="148"/>
      <c r="MP36" s="148"/>
      <c r="MQ36" s="148"/>
      <c r="MR36" s="148"/>
      <c r="MS36" s="148"/>
      <c r="MT36" s="148"/>
      <c r="MU36" s="148"/>
      <c r="MV36" s="148"/>
      <c r="MW36" s="148"/>
      <c r="MX36" s="148"/>
      <c r="MY36" s="148"/>
      <c r="MZ36" s="148"/>
      <c r="NA36" s="148"/>
      <c r="NB36" s="148"/>
      <c r="NC36" s="148"/>
      <c r="ND36" s="148"/>
      <c r="NE36" s="148"/>
      <c r="NF36" s="148"/>
      <c r="NG36" s="148"/>
      <c r="NH36" s="148"/>
      <c r="NI36" s="148"/>
      <c r="NJ36" s="148"/>
      <c r="NK36" s="148"/>
      <c r="NL36" s="148"/>
      <c r="NM36" s="148"/>
      <c r="NN36" s="148"/>
      <c r="NO36" s="148"/>
      <c r="NP36" s="148"/>
      <c r="NQ36" s="148"/>
      <c r="NR36" s="148"/>
      <c r="NS36" s="148"/>
      <c r="NT36" s="148"/>
      <c r="NU36" s="148"/>
      <c r="NV36" s="148"/>
      <c r="NW36" s="148"/>
      <c r="NX36" s="148"/>
      <c r="NY36" s="148"/>
      <c r="NZ36" s="148"/>
      <c r="OA36" s="148"/>
      <c r="OB36" s="148"/>
      <c r="OC36" s="148"/>
      <c r="OD36" s="148"/>
      <c r="OE36" s="148"/>
      <c r="OF36" s="148"/>
      <c r="OG36" s="148"/>
      <c r="OH36" s="148"/>
      <c r="OI36" s="148"/>
      <c r="OJ36" s="148"/>
      <c r="OK36" s="148"/>
      <c r="OL36" s="148"/>
      <c r="OM36" s="148"/>
      <c r="ON36" s="148"/>
      <c r="OO36" s="148"/>
      <c r="OP36" s="148"/>
      <c r="OQ36" s="148"/>
      <c r="OR36" s="148"/>
      <c r="OS36" s="148"/>
      <c r="OT36" s="148"/>
      <c r="OU36" s="148"/>
      <c r="OV36" s="148"/>
      <c r="OW36" s="148"/>
      <c r="OX36" s="148"/>
      <c r="OY36" s="148"/>
      <c r="OZ36" s="148"/>
      <c r="PA36" s="148"/>
      <c r="PB36" s="148"/>
      <c r="PC36" s="148"/>
      <c r="PD36" s="148"/>
      <c r="PE36" s="148"/>
      <c r="PF36" s="148"/>
      <c r="PG36" s="148"/>
      <c r="PH36" s="148"/>
      <c r="PI36" s="148"/>
      <c r="PJ36" s="148"/>
      <c r="PK36" s="148"/>
      <c r="PL36" s="148"/>
      <c r="PM36" s="148"/>
      <c r="PN36" s="148"/>
      <c r="PO36" s="148"/>
      <c r="PP36" s="148"/>
      <c r="PQ36" s="148"/>
      <c r="PR36" s="148"/>
      <c r="PS36" s="148"/>
      <c r="PT36" s="148"/>
      <c r="PU36" s="148"/>
      <c r="PV36" s="148"/>
      <c r="PW36" s="148"/>
      <c r="PX36" s="148"/>
      <c r="PY36" s="148"/>
      <c r="PZ36" s="148"/>
      <c r="QA36" s="148"/>
      <c r="QB36" s="148"/>
      <c r="QC36" s="148"/>
      <c r="QD36" s="148"/>
      <c r="QE36" s="148"/>
      <c r="QF36" s="148"/>
      <c r="QG36" s="148"/>
      <c r="QH36" s="148"/>
      <c r="QI36" s="148"/>
      <c r="QJ36" s="148"/>
      <c r="QK36" s="148"/>
      <c r="QL36" s="148"/>
      <c r="QM36" s="148"/>
      <c r="QN36" s="148"/>
      <c r="QO36" s="148"/>
      <c r="QP36" s="148"/>
      <c r="QQ36" s="148"/>
      <c r="QR36" s="148"/>
      <c r="QS36" s="148"/>
      <c r="QT36" s="148"/>
      <c r="QU36" s="148"/>
      <c r="QV36" s="148"/>
      <c r="QW36" s="148"/>
      <c r="QX36" s="148"/>
      <c r="QY36" s="148"/>
      <c r="QZ36" s="148"/>
      <c r="RA36" s="148"/>
      <c r="RB36" s="148"/>
      <c r="RC36" s="148"/>
      <c r="RD36" s="148"/>
      <c r="RE36" s="148"/>
      <c r="RF36" s="148"/>
      <c r="RG36" s="148"/>
      <c r="RH36" s="148"/>
      <c r="RI36" s="148"/>
      <c r="RJ36" s="148"/>
      <c r="RK36" s="148"/>
      <c r="RL36" s="148"/>
      <c r="RM36" s="148"/>
      <c r="RN36" s="148"/>
      <c r="RO36" s="148"/>
      <c r="RP36" s="148"/>
      <c r="RQ36" s="148"/>
      <c r="RR36" s="148"/>
    </row>
    <row r="37" spans="1:486" s="15" customFormat="1" x14ac:dyDescent="0.25">
      <c r="A37" s="148"/>
      <c r="B37" s="350">
        <v>22</v>
      </c>
      <c r="C37" s="643" t="s">
        <v>894</v>
      </c>
      <c r="D37" s="631">
        <v>40011215</v>
      </c>
      <c r="E37" s="344" t="s">
        <v>2750</v>
      </c>
      <c r="F37" s="344" t="s">
        <v>45</v>
      </c>
      <c r="G37" s="17" t="s">
        <v>2693</v>
      </c>
      <c r="H37" s="317" t="s">
        <v>2715</v>
      </c>
      <c r="I37" s="346" t="s">
        <v>43</v>
      </c>
      <c r="J37" s="341" t="s">
        <v>2751</v>
      </c>
      <c r="K37" s="633">
        <v>191011</v>
      </c>
      <c r="L37" s="633">
        <v>0</v>
      </c>
      <c r="M37" s="633">
        <v>0</v>
      </c>
      <c r="N37" s="633">
        <v>0</v>
      </c>
      <c r="O37" s="633">
        <v>0</v>
      </c>
      <c r="P37" s="639">
        <f>12095+27073</f>
        <v>39168</v>
      </c>
      <c r="Q37" s="633">
        <v>0</v>
      </c>
      <c r="R37" s="633">
        <v>0</v>
      </c>
      <c r="S37" s="633"/>
      <c r="T37" s="633"/>
      <c r="U37" s="633"/>
      <c r="V37" s="633"/>
      <c r="W37" s="633"/>
      <c r="X37" s="633"/>
      <c r="Y37" s="633">
        <f t="shared" si="1"/>
        <v>39168</v>
      </c>
      <c r="Z37" s="407">
        <v>42091</v>
      </c>
      <c r="AA37" s="635" t="s">
        <v>296</v>
      </c>
      <c r="AB37" s="23">
        <v>44232</v>
      </c>
      <c r="AC37" s="23">
        <v>44250</v>
      </c>
      <c r="AD37" s="636"/>
      <c r="AE37" s="20"/>
      <c r="AF37" s="21"/>
      <c r="AG37" s="23"/>
      <c r="AH37" s="637"/>
      <c r="AI37" s="19"/>
      <c r="AJ37" s="21"/>
      <c r="AK37" s="25"/>
      <c r="AL37" s="309"/>
      <c r="AM37" s="19"/>
      <c r="AN37" s="21"/>
      <c r="AO37" s="25"/>
      <c r="AP37" s="309"/>
      <c r="AQ37" s="19"/>
      <c r="AR37" s="21"/>
      <c r="AS37" s="25"/>
      <c r="AT37" s="638">
        <f t="shared" si="2"/>
        <v>42091</v>
      </c>
      <c r="AU37" s="311">
        <f t="shared" si="0"/>
        <v>2923</v>
      </c>
      <c r="AV37" s="148"/>
      <c r="AW37" s="148"/>
      <c r="AX37" s="148"/>
      <c r="AY37" s="148"/>
      <c r="AZ37" s="148"/>
      <c r="BA37" s="148"/>
      <c r="BB37" s="148"/>
      <c r="BC37" s="148"/>
      <c r="BD37" s="148"/>
      <c r="BE37" s="148"/>
      <c r="BF37" s="148"/>
      <c r="BG37" s="148"/>
      <c r="BH37" s="148"/>
      <c r="BI37" s="148"/>
      <c r="BJ37" s="148"/>
      <c r="BK37" s="148"/>
      <c r="BL37" s="148"/>
      <c r="BM37" s="148"/>
      <c r="BN37" s="148"/>
      <c r="BO37" s="148"/>
      <c r="BP37" s="148"/>
      <c r="BQ37" s="148"/>
      <c r="BR37" s="148"/>
      <c r="BS37" s="148"/>
      <c r="BT37" s="148"/>
      <c r="BU37" s="148"/>
      <c r="BV37" s="148"/>
      <c r="BW37" s="148"/>
      <c r="BX37" s="148"/>
      <c r="BY37" s="148"/>
      <c r="BZ37" s="148"/>
      <c r="CA37" s="148"/>
      <c r="CB37" s="148"/>
      <c r="CC37" s="148"/>
      <c r="CD37" s="148"/>
      <c r="CE37" s="148"/>
      <c r="CF37" s="148"/>
      <c r="CG37" s="148"/>
      <c r="CH37" s="148"/>
      <c r="CI37" s="148"/>
      <c r="CJ37" s="148"/>
      <c r="CK37" s="148"/>
      <c r="CL37" s="148"/>
      <c r="CM37" s="148"/>
      <c r="CN37" s="148"/>
      <c r="CO37" s="148"/>
      <c r="CP37" s="148"/>
      <c r="CQ37" s="148"/>
      <c r="CR37" s="148"/>
      <c r="CS37" s="148"/>
      <c r="CT37" s="148"/>
      <c r="CU37" s="148"/>
      <c r="CV37" s="148"/>
      <c r="CW37" s="148"/>
      <c r="CX37" s="148"/>
      <c r="CY37" s="148"/>
      <c r="CZ37" s="148"/>
      <c r="DA37" s="148"/>
      <c r="DB37" s="148"/>
      <c r="DC37" s="148"/>
      <c r="DD37" s="148"/>
      <c r="DE37" s="148"/>
      <c r="DF37" s="148"/>
      <c r="DG37" s="148"/>
      <c r="DH37" s="148"/>
      <c r="DI37" s="148"/>
      <c r="DJ37" s="148"/>
      <c r="DK37" s="148"/>
      <c r="DL37" s="148"/>
      <c r="DM37" s="148"/>
      <c r="DN37" s="148"/>
      <c r="DO37" s="148"/>
      <c r="DP37" s="148"/>
      <c r="DQ37" s="148"/>
      <c r="DR37" s="148"/>
      <c r="DS37" s="148"/>
      <c r="DT37" s="148"/>
      <c r="DU37" s="148"/>
      <c r="DV37" s="148"/>
      <c r="DW37" s="148"/>
      <c r="DX37" s="148"/>
      <c r="DY37" s="148"/>
      <c r="DZ37" s="148"/>
      <c r="EA37" s="148"/>
      <c r="EB37" s="148"/>
      <c r="EC37" s="148"/>
      <c r="ED37" s="148"/>
      <c r="EE37" s="148"/>
      <c r="EF37" s="148"/>
      <c r="EG37" s="148"/>
      <c r="EH37" s="148"/>
      <c r="EI37" s="148"/>
      <c r="EJ37" s="148"/>
      <c r="EK37" s="148"/>
      <c r="EL37" s="148"/>
      <c r="EM37" s="148"/>
      <c r="EN37" s="148"/>
      <c r="EO37" s="148"/>
      <c r="EP37" s="148"/>
      <c r="EQ37" s="148"/>
      <c r="ER37" s="148"/>
      <c r="ES37" s="148"/>
      <c r="ET37" s="148"/>
      <c r="EU37" s="148"/>
      <c r="EV37" s="148"/>
      <c r="EW37" s="148"/>
      <c r="EX37" s="148"/>
      <c r="EY37" s="148"/>
      <c r="EZ37" s="148"/>
      <c r="FA37" s="148"/>
      <c r="FB37" s="148"/>
      <c r="FC37" s="148"/>
      <c r="FD37" s="148"/>
      <c r="FE37" s="148"/>
      <c r="FF37" s="148"/>
      <c r="FG37" s="148"/>
      <c r="FH37" s="148"/>
      <c r="FI37" s="148"/>
      <c r="FJ37" s="148"/>
      <c r="FK37" s="148"/>
      <c r="FL37" s="148"/>
      <c r="FM37" s="148"/>
      <c r="FN37" s="148"/>
      <c r="FO37" s="148"/>
      <c r="FP37" s="148"/>
      <c r="FQ37" s="148"/>
      <c r="FR37" s="148"/>
      <c r="FS37" s="148"/>
      <c r="FT37" s="148"/>
      <c r="FU37" s="148"/>
      <c r="FV37" s="148"/>
      <c r="FW37" s="148"/>
      <c r="FX37" s="148"/>
      <c r="FY37" s="148"/>
      <c r="FZ37" s="148"/>
      <c r="GA37" s="148"/>
      <c r="GB37" s="148"/>
      <c r="GC37" s="148"/>
      <c r="GD37" s="148"/>
      <c r="GE37" s="148"/>
      <c r="GF37" s="148"/>
      <c r="GG37" s="148"/>
      <c r="GH37" s="148"/>
      <c r="GI37" s="148"/>
      <c r="GJ37" s="148"/>
      <c r="GK37" s="148"/>
      <c r="GL37" s="148"/>
      <c r="GM37" s="148"/>
      <c r="GN37" s="148"/>
      <c r="GO37" s="148"/>
      <c r="GP37" s="148"/>
      <c r="GQ37" s="148"/>
      <c r="GR37" s="148"/>
      <c r="GS37" s="148"/>
      <c r="GT37" s="148"/>
      <c r="GU37" s="148"/>
      <c r="GV37" s="148"/>
      <c r="GW37" s="148"/>
      <c r="GX37" s="148"/>
      <c r="GY37" s="148"/>
      <c r="GZ37" s="148"/>
      <c r="HA37" s="148"/>
      <c r="HB37" s="148"/>
      <c r="HC37" s="148"/>
      <c r="HD37" s="148"/>
      <c r="HE37" s="148"/>
      <c r="HF37" s="148"/>
      <c r="HG37" s="148"/>
      <c r="HH37" s="148"/>
      <c r="HI37" s="148"/>
      <c r="HJ37" s="148"/>
      <c r="HK37" s="148"/>
      <c r="HL37" s="148"/>
      <c r="HM37" s="148"/>
      <c r="HN37" s="148"/>
      <c r="HO37" s="148"/>
      <c r="HP37" s="148"/>
      <c r="HQ37" s="148"/>
      <c r="HR37" s="148"/>
      <c r="HS37" s="148"/>
      <c r="HT37" s="148"/>
      <c r="HU37" s="148"/>
      <c r="HV37" s="148"/>
      <c r="HW37" s="148"/>
      <c r="HX37" s="148"/>
      <c r="HY37" s="148"/>
      <c r="HZ37" s="148"/>
      <c r="IA37" s="148"/>
      <c r="IB37" s="148"/>
      <c r="IC37" s="148"/>
      <c r="ID37" s="148"/>
      <c r="IE37" s="148"/>
      <c r="IF37" s="148"/>
      <c r="IG37" s="148"/>
      <c r="IH37" s="148"/>
      <c r="II37" s="148"/>
      <c r="IJ37" s="148"/>
      <c r="IK37" s="148"/>
      <c r="IL37" s="148"/>
      <c r="IM37" s="148"/>
      <c r="IN37" s="148"/>
      <c r="IO37" s="148"/>
      <c r="IP37" s="148"/>
      <c r="IQ37" s="148"/>
      <c r="IR37" s="148"/>
      <c r="IS37" s="148"/>
      <c r="IT37" s="148"/>
      <c r="IU37" s="148"/>
      <c r="IV37" s="148"/>
      <c r="IW37" s="148"/>
      <c r="IX37" s="148"/>
      <c r="IY37" s="148"/>
      <c r="IZ37" s="148"/>
      <c r="JA37" s="148"/>
      <c r="JB37" s="148"/>
      <c r="JC37" s="148"/>
      <c r="JD37" s="148"/>
      <c r="JE37" s="148"/>
      <c r="JF37" s="148"/>
      <c r="JG37" s="148"/>
      <c r="JH37" s="148"/>
      <c r="JI37" s="148"/>
      <c r="JJ37" s="148"/>
      <c r="JK37" s="148"/>
      <c r="JL37" s="148"/>
      <c r="JM37" s="148"/>
      <c r="JN37" s="148"/>
      <c r="JO37" s="148"/>
      <c r="JP37" s="148"/>
      <c r="JQ37" s="148"/>
      <c r="JR37" s="148"/>
      <c r="JS37" s="148"/>
      <c r="JT37" s="148"/>
      <c r="JU37" s="148"/>
      <c r="JV37" s="148"/>
      <c r="JW37" s="148"/>
      <c r="JX37" s="148"/>
      <c r="JY37" s="148"/>
      <c r="JZ37" s="148"/>
      <c r="KA37" s="148"/>
      <c r="KB37" s="148"/>
      <c r="KC37" s="148"/>
      <c r="KD37" s="148"/>
      <c r="KE37" s="148"/>
      <c r="KF37" s="148"/>
      <c r="KG37" s="148"/>
      <c r="KH37" s="148"/>
      <c r="KI37" s="148"/>
      <c r="KJ37" s="148"/>
      <c r="KK37" s="148"/>
      <c r="KL37" s="148"/>
      <c r="KM37" s="148"/>
      <c r="KN37" s="148"/>
      <c r="KO37" s="148"/>
      <c r="KP37" s="148"/>
      <c r="KQ37" s="148"/>
      <c r="KR37" s="148"/>
      <c r="KS37" s="148"/>
      <c r="KT37" s="148"/>
      <c r="KU37" s="148"/>
      <c r="KV37" s="148"/>
      <c r="KW37" s="148"/>
      <c r="KX37" s="148"/>
      <c r="KY37" s="148"/>
      <c r="KZ37" s="148"/>
      <c r="LA37" s="148"/>
      <c r="LB37" s="148"/>
      <c r="LC37" s="148"/>
      <c r="LD37" s="148"/>
      <c r="LE37" s="148"/>
      <c r="LF37" s="148"/>
      <c r="LG37" s="148"/>
      <c r="LH37" s="148"/>
      <c r="LI37" s="148"/>
      <c r="LJ37" s="148"/>
      <c r="LK37" s="148"/>
      <c r="LL37" s="148"/>
      <c r="LM37" s="148"/>
      <c r="LN37" s="148"/>
      <c r="LO37" s="148"/>
      <c r="LP37" s="148"/>
      <c r="LQ37" s="148"/>
      <c r="LR37" s="148"/>
      <c r="LS37" s="148"/>
      <c r="LT37" s="148"/>
      <c r="LU37" s="148"/>
      <c r="LV37" s="148"/>
      <c r="LW37" s="148"/>
      <c r="LX37" s="148"/>
      <c r="LY37" s="148"/>
      <c r="LZ37" s="148"/>
      <c r="MA37" s="148"/>
      <c r="MB37" s="148"/>
      <c r="MC37" s="148"/>
      <c r="MD37" s="148"/>
      <c r="ME37" s="148"/>
      <c r="MF37" s="148"/>
      <c r="MG37" s="148"/>
      <c r="MH37" s="148"/>
      <c r="MI37" s="148"/>
      <c r="MJ37" s="148"/>
      <c r="MK37" s="148"/>
      <c r="ML37" s="148"/>
      <c r="MM37" s="148"/>
      <c r="MN37" s="148"/>
      <c r="MO37" s="148"/>
      <c r="MP37" s="148"/>
      <c r="MQ37" s="148"/>
      <c r="MR37" s="148"/>
      <c r="MS37" s="148"/>
      <c r="MT37" s="148"/>
      <c r="MU37" s="148"/>
      <c r="MV37" s="148"/>
      <c r="MW37" s="148"/>
      <c r="MX37" s="148"/>
      <c r="MY37" s="148"/>
      <c r="MZ37" s="148"/>
      <c r="NA37" s="148"/>
      <c r="NB37" s="148"/>
      <c r="NC37" s="148"/>
      <c r="ND37" s="148"/>
      <c r="NE37" s="148"/>
      <c r="NF37" s="148"/>
      <c r="NG37" s="148"/>
      <c r="NH37" s="148"/>
      <c r="NI37" s="148"/>
      <c r="NJ37" s="148"/>
      <c r="NK37" s="148"/>
      <c r="NL37" s="148"/>
      <c r="NM37" s="148"/>
      <c r="NN37" s="148"/>
      <c r="NO37" s="148"/>
      <c r="NP37" s="148"/>
      <c r="NQ37" s="148"/>
      <c r="NR37" s="148"/>
      <c r="NS37" s="148"/>
      <c r="NT37" s="148"/>
      <c r="NU37" s="148"/>
      <c r="NV37" s="148"/>
      <c r="NW37" s="148"/>
      <c r="NX37" s="148"/>
      <c r="NY37" s="148"/>
      <c r="NZ37" s="148"/>
      <c r="OA37" s="148"/>
      <c r="OB37" s="148"/>
      <c r="OC37" s="148"/>
      <c r="OD37" s="148"/>
      <c r="OE37" s="148"/>
      <c r="OF37" s="148"/>
      <c r="OG37" s="148"/>
      <c r="OH37" s="148"/>
      <c r="OI37" s="148"/>
      <c r="OJ37" s="148"/>
      <c r="OK37" s="148"/>
      <c r="OL37" s="148"/>
      <c r="OM37" s="148"/>
      <c r="ON37" s="148"/>
      <c r="OO37" s="148"/>
      <c r="OP37" s="148"/>
      <c r="OQ37" s="148"/>
      <c r="OR37" s="148"/>
      <c r="OS37" s="148"/>
      <c r="OT37" s="148"/>
      <c r="OU37" s="148"/>
      <c r="OV37" s="148"/>
      <c r="OW37" s="148"/>
      <c r="OX37" s="148"/>
      <c r="OY37" s="148"/>
      <c r="OZ37" s="148"/>
      <c r="PA37" s="148"/>
      <c r="PB37" s="148"/>
      <c r="PC37" s="148"/>
      <c r="PD37" s="148"/>
      <c r="PE37" s="148"/>
      <c r="PF37" s="148"/>
      <c r="PG37" s="148"/>
      <c r="PH37" s="148"/>
      <c r="PI37" s="148"/>
      <c r="PJ37" s="148"/>
      <c r="PK37" s="148"/>
      <c r="PL37" s="148"/>
      <c r="PM37" s="148"/>
      <c r="PN37" s="148"/>
      <c r="PO37" s="148"/>
      <c r="PP37" s="148"/>
      <c r="PQ37" s="148"/>
      <c r="PR37" s="148"/>
      <c r="PS37" s="148"/>
      <c r="PT37" s="148"/>
      <c r="PU37" s="148"/>
      <c r="PV37" s="148"/>
      <c r="PW37" s="148"/>
      <c r="PX37" s="148"/>
      <c r="PY37" s="148"/>
      <c r="PZ37" s="148"/>
      <c r="QA37" s="148"/>
      <c r="QB37" s="148"/>
      <c r="QC37" s="148"/>
      <c r="QD37" s="148"/>
      <c r="QE37" s="148"/>
      <c r="QF37" s="148"/>
      <c r="QG37" s="148"/>
      <c r="QH37" s="148"/>
      <c r="QI37" s="148"/>
      <c r="QJ37" s="148"/>
      <c r="QK37" s="148"/>
      <c r="QL37" s="148"/>
      <c r="QM37" s="148"/>
      <c r="QN37" s="148"/>
      <c r="QO37" s="148"/>
      <c r="QP37" s="148"/>
      <c r="QQ37" s="148"/>
      <c r="QR37" s="148"/>
      <c r="QS37" s="148"/>
      <c r="QT37" s="148"/>
      <c r="QU37" s="148"/>
      <c r="QV37" s="148"/>
      <c r="QW37" s="148"/>
      <c r="QX37" s="148"/>
      <c r="QY37" s="148"/>
      <c r="QZ37" s="148"/>
      <c r="RA37" s="148"/>
      <c r="RB37" s="148"/>
      <c r="RC37" s="148"/>
      <c r="RD37" s="148"/>
      <c r="RE37" s="148"/>
      <c r="RF37" s="148"/>
      <c r="RG37" s="148"/>
      <c r="RH37" s="148"/>
      <c r="RI37" s="148"/>
      <c r="RJ37" s="148"/>
      <c r="RK37" s="148"/>
      <c r="RL37" s="148"/>
      <c r="RM37" s="148"/>
      <c r="RN37" s="148"/>
      <c r="RO37" s="148"/>
      <c r="RP37" s="148"/>
      <c r="RQ37" s="148"/>
      <c r="RR37" s="148"/>
    </row>
    <row r="38" spans="1:486" s="15" customFormat="1" ht="23.25" customHeight="1" x14ac:dyDescent="0.25">
      <c r="A38" s="148"/>
      <c r="B38" s="350">
        <v>23</v>
      </c>
      <c r="C38" s="641" t="s">
        <v>894</v>
      </c>
      <c r="D38" s="631">
        <v>40011254</v>
      </c>
      <c r="E38" s="344" t="s">
        <v>2752</v>
      </c>
      <c r="F38" s="344"/>
      <c r="G38" s="17" t="s">
        <v>2693</v>
      </c>
      <c r="H38" s="317" t="s">
        <v>2753</v>
      </c>
      <c r="I38" s="346" t="s">
        <v>43</v>
      </c>
      <c r="J38" s="341" t="s">
        <v>2754</v>
      </c>
      <c r="K38" s="633">
        <v>321971</v>
      </c>
      <c r="L38" s="633">
        <v>0</v>
      </c>
      <c r="M38" s="633">
        <v>0</v>
      </c>
      <c r="N38" s="633">
        <v>0</v>
      </c>
      <c r="O38" s="633">
        <v>0</v>
      </c>
      <c r="P38" s="633">
        <v>291468</v>
      </c>
      <c r="Q38" s="633">
        <v>0</v>
      </c>
      <c r="R38" s="639">
        <v>266486</v>
      </c>
      <c r="S38" s="633"/>
      <c r="T38" s="633"/>
      <c r="U38" s="633"/>
      <c r="V38" s="633"/>
      <c r="W38" s="633"/>
      <c r="X38" s="633"/>
      <c r="Y38" s="633">
        <f t="shared" si="1"/>
        <v>557954</v>
      </c>
      <c r="Z38" s="407">
        <v>948747</v>
      </c>
      <c r="AA38" s="635" t="s">
        <v>296</v>
      </c>
      <c r="AB38" s="23">
        <v>44232</v>
      </c>
      <c r="AC38" s="23">
        <v>44250</v>
      </c>
      <c r="AD38" s="640">
        <v>85449</v>
      </c>
      <c r="AE38" s="19">
        <v>19</v>
      </c>
      <c r="AF38" s="315">
        <v>44271</v>
      </c>
      <c r="AG38" s="315">
        <v>44312</v>
      </c>
      <c r="AH38" s="637"/>
      <c r="AI38" s="19"/>
      <c r="AJ38" s="21"/>
      <c r="AK38" s="25"/>
      <c r="AL38" s="309"/>
      <c r="AM38" s="19"/>
      <c r="AN38" s="21"/>
      <c r="AO38" s="25"/>
      <c r="AP38" s="309"/>
      <c r="AQ38" s="19"/>
      <c r="AR38" s="21"/>
      <c r="AS38" s="25"/>
      <c r="AT38" s="638">
        <f t="shared" si="2"/>
        <v>1034196</v>
      </c>
      <c r="AU38" s="311">
        <f t="shared" si="0"/>
        <v>476242</v>
      </c>
      <c r="AV38" s="148"/>
      <c r="AW38" s="148"/>
      <c r="AX38" s="148"/>
      <c r="AY38" s="148"/>
      <c r="AZ38" s="148"/>
      <c r="BA38" s="148"/>
      <c r="BB38" s="148"/>
      <c r="BC38" s="148"/>
      <c r="BD38" s="148"/>
      <c r="BE38" s="148"/>
      <c r="BF38" s="148"/>
      <c r="BG38" s="148"/>
      <c r="BH38" s="148"/>
      <c r="BI38" s="148"/>
      <c r="BJ38" s="148"/>
      <c r="BK38" s="148"/>
      <c r="BL38" s="148"/>
      <c r="BM38" s="148"/>
      <c r="BN38" s="148"/>
      <c r="BO38" s="148"/>
      <c r="BP38" s="148"/>
      <c r="BQ38" s="148"/>
      <c r="BR38" s="148"/>
      <c r="BS38" s="148"/>
      <c r="BT38" s="148"/>
      <c r="BU38" s="148"/>
      <c r="BV38" s="148"/>
      <c r="BW38" s="148"/>
      <c r="BX38" s="148"/>
      <c r="BY38" s="148"/>
      <c r="BZ38" s="148"/>
      <c r="CA38" s="148"/>
      <c r="CB38" s="148"/>
      <c r="CC38" s="148"/>
      <c r="CD38" s="148"/>
      <c r="CE38" s="148"/>
      <c r="CF38" s="148"/>
      <c r="CG38" s="148"/>
      <c r="CH38" s="148"/>
      <c r="CI38" s="148"/>
      <c r="CJ38" s="148"/>
      <c r="CK38" s="148"/>
      <c r="CL38" s="148"/>
      <c r="CM38" s="148"/>
      <c r="CN38" s="148"/>
      <c r="CO38" s="148"/>
      <c r="CP38" s="148"/>
      <c r="CQ38" s="148"/>
      <c r="CR38" s="148"/>
      <c r="CS38" s="148"/>
      <c r="CT38" s="148"/>
      <c r="CU38" s="148"/>
      <c r="CV38" s="148"/>
      <c r="CW38" s="148"/>
      <c r="CX38" s="148"/>
      <c r="CY38" s="148"/>
      <c r="CZ38" s="148"/>
      <c r="DA38" s="148"/>
      <c r="DB38" s="148"/>
      <c r="DC38" s="148"/>
      <c r="DD38" s="148"/>
      <c r="DE38" s="148"/>
      <c r="DF38" s="148"/>
      <c r="DG38" s="148"/>
      <c r="DH38" s="148"/>
      <c r="DI38" s="148"/>
      <c r="DJ38" s="148"/>
      <c r="DK38" s="148"/>
      <c r="DL38" s="148"/>
      <c r="DM38" s="148"/>
      <c r="DN38" s="148"/>
      <c r="DO38" s="148"/>
      <c r="DP38" s="148"/>
      <c r="DQ38" s="148"/>
      <c r="DR38" s="148"/>
      <c r="DS38" s="148"/>
      <c r="DT38" s="148"/>
      <c r="DU38" s="148"/>
      <c r="DV38" s="148"/>
      <c r="DW38" s="148"/>
      <c r="DX38" s="148"/>
      <c r="DY38" s="148"/>
      <c r="DZ38" s="148"/>
      <c r="EA38" s="148"/>
      <c r="EB38" s="148"/>
      <c r="EC38" s="148"/>
      <c r="ED38" s="148"/>
      <c r="EE38" s="148"/>
      <c r="EF38" s="148"/>
      <c r="EG38" s="148"/>
      <c r="EH38" s="148"/>
      <c r="EI38" s="148"/>
      <c r="EJ38" s="148"/>
      <c r="EK38" s="148"/>
      <c r="EL38" s="148"/>
      <c r="EM38" s="148"/>
      <c r="EN38" s="148"/>
      <c r="EO38" s="148"/>
      <c r="EP38" s="148"/>
      <c r="EQ38" s="148"/>
      <c r="ER38" s="148"/>
      <c r="ES38" s="148"/>
      <c r="ET38" s="148"/>
      <c r="EU38" s="148"/>
      <c r="EV38" s="148"/>
      <c r="EW38" s="148"/>
      <c r="EX38" s="148"/>
      <c r="EY38" s="148"/>
      <c r="EZ38" s="148"/>
      <c r="FA38" s="148"/>
      <c r="FB38" s="148"/>
      <c r="FC38" s="148"/>
      <c r="FD38" s="148"/>
      <c r="FE38" s="148"/>
      <c r="FF38" s="148"/>
      <c r="FG38" s="148"/>
      <c r="FH38" s="148"/>
      <c r="FI38" s="148"/>
      <c r="FJ38" s="148"/>
      <c r="FK38" s="148"/>
      <c r="FL38" s="148"/>
      <c r="FM38" s="148"/>
      <c r="FN38" s="148"/>
      <c r="FO38" s="148"/>
      <c r="FP38" s="148"/>
      <c r="FQ38" s="148"/>
      <c r="FR38" s="148"/>
      <c r="FS38" s="148"/>
      <c r="FT38" s="148"/>
      <c r="FU38" s="148"/>
      <c r="FV38" s="148"/>
      <c r="FW38" s="148"/>
      <c r="FX38" s="148"/>
      <c r="FY38" s="148"/>
      <c r="FZ38" s="148"/>
      <c r="GA38" s="148"/>
      <c r="GB38" s="148"/>
      <c r="GC38" s="148"/>
      <c r="GD38" s="148"/>
      <c r="GE38" s="148"/>
      <c r="GF38" s="148"/>
      <c r="GG38" s="148"/>
      <c r="GH38" s="148"/>
      <c r="GI38" s="148"/>
      <c r="GJ38" s="148"/>
      <c r="GK38" s="148"/>
      <c r="GL38" s="148"/>
      <c r="GM38" s="148"/>
      <c r="GN38" s="148"/>
      <c r="GO38" s="148"/>
      <c r="GP38" s="148"/>
      <c r="GQ38" s="148"/>
      <c r="GR38" s="148"/>
      <c r="GS38" s="148"/>
      <c r="GT38" s="148"/>
      <c r="GU38" s="148"/>
      <c r="GV38" s="148"/>
      <c r="GW38" s="148"/>
      <c r="GX38" s="148"/>
      <c r="GY38" s="148"/>
      <c r="GZ38" s="148"/>
      <c r="HA38" s="148"/>
      <c r="HB38" s="148"/>
      <c r="HC38" s="148"/>
      <c r="HD38" s="148"/>
      <c r="HE38" s="148"/>
      <c r="HF38" s="148"/>
      <c r="HG38" s="148"/>
      <c r="HH38" s="148"/>
      <c r="HI38" s="148"/>
      <c r="HJ38" s="148"/>
      <c r="HK38" s="148"/>
      <c r="HL38" s="148"/>
      <c r="HM38" s="148"/>
      <c r="HN38" s="148"/>
      <c r="HO38" s="148"/>
      <c r="HP38" s="148"/>
      <c r="HQ38" s="148"/>
      <c r="HR38" s="148"/>
      <c r="HS38" s="148"/>
      <c r="HT38" s="148"/>
      <c r="HU38" s="148"/>
      <c r="HV38" s="148"/>
      <c r="HW38" s="148"/>
      <c r="HX38" s="148"/>
      <c r="HY38" s="148"/>
      <c r="HZ38" s="148"/>
      <c r="IA38" s="148"/>
      <c r="IB38" s="148"/>
      <c r="IC38" s="148"/>
      <c r="ID38" s="148"/>
      <c r="IE38" s="148"/>
      <c r="IF38" s="148"/>
      <c r="IG38" s="148"/>
      <c r="IH38" s="148"/>
      <c r="II38" s="148"/>
      <c r="IJ38" s="148"/>
      <c r="IK38" s="148"/>
      <c r="IL38" s="148"/>
      <c r="IM38" s="148"/>
      <c r="IN38" s="148"/>
      <c r="IO38" s="148"/>
      <c r="IP38" s="148"/>
      <c r="IQ38" s="148"/>
      <c r="IR38" s="148"/>
      <c r="IS38" s="148"/>
      <c r="IT38" s="148"/>
      <c r="IU38" s="148"/>
      <c r="IV38" s="148"/>
      <c r="IW38" s="148"/>
      <c r="IX38" s="148"/>
      <c r="IY38" s="148"/>
      <c r="IZ38" s="148"/>
      <c r="JA38" s="148"/>
      <c r="JB38" s="148"/>
      <c r="JC38" s="148"/>
      <c r="JD38" s="148"/>
      <c r="JE38" s="148"/>
      <c r="JF38" s="148"/>
      <c r="JG38" s="148"/>
      <c r="JH38" s="148"/>
      <c r="JI38" s="148"/>
      <c r="JJ38" s="148"/>
      <c r="JK38" s="148"/>
      <c r="JL38" s="148"/>
      <c r="JM38" s="148"/>
      <c r="JN38" s="148"/>
      <c r="JO38" s="148"/>
      <c r="JP38" s="148"/>
      <c r="JQ38" s="148"/>
      <c r="JR38" s="148"/>
      <c r="JS38" s="148"/>
      <c r="JT38" s="148"/>
      <c r="JU38" s="148"/>
      <c r="JV38" s="148"/>
      <c r="JW38" s="148"/>
      <c r="JX38" s="148"/>
      <c r="JY38" s="148"/>
      <c r="JZ38" s="148"/>
      <c r="KA38" s="148"/>
      <c r="KB38" s="148"/>
      <c r="KC38" s="148"/>
      <c r="KD38" s="148"/>
      <c r="KE38" s="148"/>
      <c r="KF38" s="148"/>
      <c r="KG38" s="148"/>
      <c r="KH38" s="148"/>
      <c r="KI38" s="148"/>
      <c r="KJ38" s="148"/>
      <c r="KK38" s="148"/>
      <c r="KL38" s="148"/>
      <c r="KM38" s="148"/>
      <c r="KN38" s="148"/>
      <c r="KO38" s="148"/>
      <c r="KP38" s="148"/>
      <c r="KQ38" s="148"/>
      <c r="KR38" s="148"/>
      <c r="KS38" s="148"/>
      <c r="KT38" s="148"/>
      <c r="KU38" s="148"/>
      <c r="KV38" s="148"/>
      <c r="KW38" s="148"/>
      <c r="KX38" s="148"/>
      <c r="KY38" s="148"/>
      <c r="KZ38" s="148"/>
      <c r="LA38" s="148"/>
      <c r="LB38" s="148"/>
      <c r="LC38" s="148"/>
      <c r="LD38" s="148"/>
      <c r="LE38" s="148"/>
      <c r="LF38" s="148"/>
      <c r="LG38" s="148"/>
      <c r="LH38" s="148"/>
      <c r="LI38" s="148"/>
      <c r="LJ38" s="148"/>
      <c r="LK38" s="148"/>
      <c r="LL38" s="148"/>
      <c r="LM38" s="148"/>
      <c r="LN38" s="148"/>
      <c r="LO38" s="148"/>
      <c r="LP38" s="148"/>
      <c r="LQ38" s="148"/>
      <c r="LR38" s="148"/>
      <c r="LS38" s="148"/>
      <c r="LT38" s="148"/>
      <c r="LU38" s="148"/>
      <c r="LV38" s="148"/>
      <c r="LW38" s="148"/>
      <c r="LX38" s="148"/>
      <c r="LY38" s="148"/>
      <c r="LZ38" s="148"/>
      <c r="MA38" s="148"/>
      <c r="MB38" s="148"/>
      <c r="MC38" s="148"/>
      <c r="MD38" s="148"/>
      <c r="ME38" s="148"/>
      <c r="MF38" s="148"/>
      <c r="MG38" s="148"/>
      <c r="MH38" s="148"/>
      <c r="MI38" s="148"/>
      <c r="MJ38" s="148"/>
      <c r="MK38" s="148"/>
      <c r="ML38" s="148"/>
      <c r="MM38" s="148"/>
      <c r="MN38" s="148"/>
      <c r="MO38" s="148"/>
      <c r="MP38" s="148"/>
      <c r="MQ38" s="148"/>
      <c r="MR38" s="148"/>
      <c r="MS38" s="148"/>
      <c r="MT38" s="148"/>
      <c r="MU38" s="148"/>
      <c r="MV38" s="148"/>
      <c r="MW38" s="148"/>
      <c r="MX38" s="148"/>
      <c r="MY38" s="148"/>
      <c r="MZ38" s="148"/>
      <c r="NA38" s="148"/>
      <c r="NB38" s="148"/>
      <c r="NC38" s="148"/>
      <c r="ND38" s="148"/>
      <c r="NE38" s="148"/>
      <c r="NF38" s="148"/>
      <c r="NG38" s="148"/>
      <c r="NH38" s="148"/>
      <c r="NI38" s="148"/>
      <c r="NJ38" s="148"/>
      <c r="NK38" s="148"/>
      <c r="NL38" s="148"/>
      <c r="NM38" s="148"/>
      <c r="NN38" s="148"/>
      <c r="NO38" s="148"/>
      <c r="NP38" s="148"/>
      <c r="NQ38" s="148"/>
      <c r="NR38" s="148"/>
      <c r="NS38" s="148"/>
      <c r="NT38" s="148"/>
      <c r="NU38" s="148"/>
      <c r="NV38" s="148"/>
      <c r="NW38" s="148"/>
      <c r="NX38" s="148"/>
      <c r="NY38" s="148"/>
      <c r="NZ38" s="148"/>
      <c r="OA38" s="148"/>
      <c r="OB38" s="148"/>
      <c r="OC38" s="148"/>
      <c r="OD38" s="148"/>
      <c r="OE38" s="148"/>
      <c r="OF38" s="148"/>
      <c r="OG38" s="148"/>
      <c r="OH38" s="148"/>
      <c r="OI38" s="148"/>
      <c r="OJ38" s="148"/>
      <c r="OK38" s="148"/>
      <c r="OL38" s="148"/>
      <c r="OM38" s="148"/>
      <c r="ON38" s="148"/>
      <c r="OO38" s="148"/>
      <c r="OP38" s="148"/>
      <c r="OQ38" s="148"/>
      <c r="OR38" s="148"/>
      <c r="OS38" s="148"/>
      <c r="OT38" s="148"/>
      <c r="OU38" s="148"/>
      <c r="OV38" s="148"/>
      <c r="OW38" s="148"/>
      <c r="OX38" s="148"/>
      <c r="OY38" s="148"/>
      <c r="OZ38" s="148"/>
      <c r="PA38" s="148"/>
      <c r="PB38" s="148"/>
      <c r="PC38" s="148"/>
      <c r="PD38" s="148"/>
      <c r="PE38" s="148"/>
      <c r="PF38" s="148"/>
      <c r="PG38" s="148"/>
      <c r="PH38" s="148"/>
      <c r="PI38" s="148"/>
      <c r="PJ38" s="148"/>
      <c r="PK38" s="148"/>
      <c r="PL38" s="148"/>
      <c r="PM38" s="148"/>
      <c r="PN38" s="148"/>
      <c r="PO38" s="148"/>
      <c r="PP38" s="148"/>
      <c r="PQ38" s="148"/>
      <c r="PR38" s="148"/>
      <c r="PS38" s="148"/>
      <c r="PT38" s="148"/>
      <c r="PU38" s="148"/>
      <c r="PV38" s="148"/>
      <c r="PW38" s="148"/>
      <c r="PX38" s="148"/>
      <c r="PY38" s="148"/>
      <c r="PZ38" s="148"/>
      <c r="QA38" s="148"/>
      <c r="QB38" s="148"/>
      <c r="QC38" s="148"/>
      <c r="QD38" s="148"/>
      <c r="QE38" s="148"/>
      <c r="QF38" s="148"/>
      <c r="QG38" s="148"/>
      <c r="QH38" s="148"/>
      <c r="QI38" s="148"/>
      <c r="QJ38" s="148"/>
      <c r="QK38" s="148"/>
      <c r="QL38" s="148"/>
      <c r="QM38" s="148"/>
      <c r="QN38" s="148"/>
      <c r="QO38" s="148"/>
      <c r="QP38" s="148"/>
      <c r="QQ38" s="148"/>
      <c r="QR38" s="148"/>
      <c r="QS38" s="148"/>
      <c r="QT38" s="148"/>
      <c r="QU38" s="148"/>
      <c r="QV38" s="148"/>
      <c r="QW38" s="148"/>
      <c r="QX38" s="148"/>
      <c r="QY38" s="148"/>
      <c r="QZ38" s="148"/>
      <c r="RA38" s="148"/>
      <c r="RB38" s="148"/>
      <c r="RC38" s="148"/>
      <c r="RD38" s="148"/>
      <c r="RE38" s="148"/>
      <c r="RF38" s="148"/>
      <c r="RG38" s="148"/>
      <c r="RH38" s="148"/>
      <c r="RI38" s="148"/>
      <c r="RJ38" s="148"/>
      <c r="RK38" s="148"/>
      <c r="RL38" s="148"/>
      <c r="RM38" s="148"/>
      <c r="RN38" s="148"/>
      <c r="RO38" s="148"/>
      <c r="RP38" s="148"/>
      <c r="RQ38" s="148"/>
      <c r="RR38" s="148"/>
    </row>
    <row r="39" spans="1:486" s="15" customFormat="1" x14ac:dyDescent="0.25">
      <c r="A39" s="148"/>
      <c r="B39" s="350">
        <v>24</v>
      </c>
      <c r="C39" s="643" t="s">
        <v>894</v>
      </c>
      <c r="D39" s="631">
        <v>40011276</v>
      </c>
      <c r="E39" s="344" t="s">
        <v>2755</v>
      </c>
      <c r="F39" s="344" t="s">
        <v>45</v>
      </c>
      <c r="G39" s="17" t="s">
        <v>2693</v>
      </c>
      <c r="H39" s="317" t="s">
        <v>2715</v>
      </c>
      <c r="I39" s="346" t="s">
        <v>43</v>
      </c>
      <c r="J39" s="341" t="s">
        <v>2756</v>
      </c>
      <c r="K39" s="633">
        <v>378012</v>
      </c>
      <c r="L39" s="633">
        <v>0</v>
      </c>
      <c r="M39" s="633">
        <v>0</v>
      </c>
      <c r="N39" s="633">
        <v>0</v>
      </c>
      <c r="O39" s="633">
        <v>0</v>
      </c>
      <c r="P39" s="633">
        <v>0</v>
      </c>
      <c r="Q39" s="633">
        <v>0</v>
      </c>
      <c r="R39" s="633">
        <v>0</v>
      </c>
      <c r="S39" s="633"/>
      <c r="T39" s="633"/>
      <c r="U39" s="633"/>
      <c r="V39" s="633"/>
      <c r="W39" s="633"/>
      <c r="X39" s="633"/>
      <c r="Y39" s="633">
        <f t="shared" si="1"/>
        <v>0</v>
      </c>
      <c r="Z39" s="407">
        <v>680445</v>
      </c>
      <c r="AA39" s="635" t="s">
        <v>296</v>
      </c>
      <c r="AB39" s="23">
        <v>44232</v>
      </c>
      <c r="AC39" s="23">
        <v>44250</v>
      </c>
      <c r="AD39" s="640">
        <v>46110</v>
      </c>
      <c r="AE39" s="19">
        <v>19</v>
      </c>
      <c r="AF39" s="315">
        <v>44271</v>
      </c>
      <c r="AG39" s="315">
        <v>44312</v>
      </c>
      <c r="AH39" s="637"/>
      <c r="AI39" s="19"/>
      <c r="AJ39" s="21"/>
      <c r="AK39" s="25"/>
      <c r="AL39" s="309"/>
      <c r="AM39" s="19"/>
      <c r="AN39" s="21"/>
      <c r="AO39" s="25"/>
      <c r="AP39" s="309"/>
      <c r="AQ39" s="19"/>
      <c r="AR39" s="21"/>
      <c r="AS39" s="25"/>
      <c r="AT39" s="638">
        <f t="shared" si="2"/>
        <v>726555</v>
      </c>
      <c r="AU39" s="311">
        <f t="shared" si="0"/>
        <v>726555</v>
      </c>
      <c r="AV39" s="148"/>
      <c r="AW39" s="148"/>
      <c r="AX39" s="148"/>
      <c r="AY39" s="148"/>
      <c r="AZ39" s="148"/>
      <c r="BA39" s="148"/>
      <c r="BB39" s="148"/>
      <c r="BC39" s="148"/>
      <c r="BD39" s="148"/>
      <c r="BE39" s="148"/>
      <c r="BF39" s="148"/>
      <c r="BG39" s="148"/>
      <c r="BH39" s="148"/>
      <c r="BI39" s="148"/>
      <c r="BJ39" s="148"/>
      <c r="BK39" s="148"/>
      <c r="BL39" s="148"/>
      <c r="BM39" s="148"/>
      <c r="BN39" s="148"/>
      <c r="BO39" s="148"/>
      <c r="BP39" s="148"/>
      <c r="BQ39" s="148"/>
      <c r="BR39" s="148"/>
      <c r="BS39" s="148"/>
      <c r="BT39" s="148"/>
      <c r="BU39" s="148"/>
      <c r="BV39" s="148"/>
      <c r="BW39" s="148"/>
      <c r="BX39" s="148"/>
      <c r="BY39" s="148"/>
      <c r="BZ39" s="148"/>
      <c r="CA39" s="148"/>
      <c r="CB39" s="148"/>
      <c r="CC39" s="148"/>
      <c r="CD39" s="148"/>
      <c r="CE39" s="148"/>
      <c r="CF39" s="148"/>
      <c r="CG39" s="148"/>
      <c r="CH39" s="148"/>
      <c r="CI39" s="148"/>
      <c r="CJ39" s="148"/>
      <c r="CK39" s="148"/>
      <c r="CL39" s="148"/>
      <c r="CM39" s="148"/>
      <c r="CN39" s="148"/>
      <c r="CO39" s="148"/>
      <c r="CP39" s="148"/>
      <c r="CQ39" s="148"/>
      <c r="CR39" s="148"/>
      <c r="CS39" s="148"/>
      <c r="CT39" s="148"/>
      <c r="CU39" s="148"/>
      <c r="CV39" s="148"/>
      <c r="CW39" s="148"/>
      <c r="CX39" s="148"/>
      <c r="CY39" s="148"/>
      <c r="CZ39" s="148"/>
      <c r="DA39" s="148"/>
      <c r="DB39" s="148"/>
      <c r="DC39" s="148"/>
      <c r="DD39" s="148"/>
      <c r="DE39" s="148"/>
      <c r="DF39" s="148"/>
      <c r="DG39" s="148"/>
      <c r="DH39" s="148"/>
      <c r="DI39" s="148"/>
      <c r="DJ39" s="148"/>
      <c r="DK39" s="148"/>
      <c r="DL39" s="148"/>
      <c r="DM39" s="148"/>
      <c r="DN39" s="148"/>
      <c r="DO39" s="148"/>
      <c r="DP39" s="148"/>
      <c r="DQ39" s="148"/>
      <c r="DR39" s="148"/>
      <c r="DS39" s="148"/>
      <c r="DT39" s="148"/>
      <c r="DU39" s="148"/>
      <c r="DV39" s="148"/>
      <c r="DW39" s="148"/>
      <c r="DX39" s="148"/>
      <c r="DY39" s="148"/>
      <c r="DZ39" s="148"/>
      <c r="EA39" s="148"/>
      <c r="EB39" s="148"/>
      <c r="EC39" s="148"/>
      <c r="ED39" s="148"/>
      <c r="EE39" s="148"/>
      <c r="EF39" s="148"/>
      <c r="EG39" s="148"/>
      <c r="EH39" s="148"/>
      <c r="EI39" s="148"/>
      <c r="EJ39" s="148"/>
      <c r="EK39" s="148"/>
      <c r="EL39" s="148"/>
      <c r="EM39" s="148"/>
      <c r="EN39" s="148"/>
      <c r="EO39" s="148"/>
      <c r="EP39" s="148"/>
      <c r="EQ39" s="148"/>
      <c r="ER39" s="148"/>
      <c r="ES39" s="148"/>
      <c r="ET39" s="148"/>
      <c r="EU39" s="148"/>
      <c r="EV39" s="148"/>
      <c r="EW39" s="148"/>
      <c r="EX39" s="148"/>
      <c r="EY39" s="148"/>
      <c r="EZ39" s="148"/>
      <c r="FA39" s="148"/>
      <c r="FB39" s="148"/>
      <c r="FC39" s="148"/>
      <c r="FD39" s="148"/>
      <c r="FE39" s="148"/>
      <c r="FF39" s="148"/>
      <c r="FG39" s="148"/>
      <c r="FH39" s="148"/>
      <c r="FI39" s="148"/>
      <c r="FJ39" s="148"/>
      <c r="FK39" s="148"/>
      <c r="FL39" s="148"/>
      <c r="FM39" s="148"/>
      <c r="FN39" s="148"/>
      <c r="FO39" s="148"/>
      <c r="FP39" s="148"/>
      <c r="FQ39" s="148"/>
      <c r="FR39" s="148"/>
      <c r="FS39" s="148"/>
      <c r="FT39" s="148"/>
      <c r="FU39" s="148"/>
      <c r="FV39" s="148"/>
      <c r="FW39" s="148"/>
      <c r="FX39" s="148"/>
      <c r="FY39" s="148"/>
      <c r="FZ39" s="148"/>
      <c r="GA39" s="148"/>
      <c r="GB39" s="148"/>
      <c r="GC39" s="148"/>
      <c r="GD39" s="148"/>
      <c r="GE39" s="148"/>
      <c r="GF39" s="148"/>
      <c r="GG39" s="148"/>
      <c r="GH39" s="148"/>
      <c r="GI39" s="148"/>
      <c r="GJ39" s="148"/>
      <c r="GK39" s="148"/>
      <c r="GL39" s="148"/>
      <c r="GM39" s="148"/>
      <c r="GN39" s="148"/>
      <c r="GO39" s="148"/>
      <c r="GP39" s="148"/>
      <c r="GQ39" s="148"/>
      <c r="GR39" s="148"/>
      <c r="GS39" s="148"/>
      <c r="GT39" s="148"/>
      <c r="GU39" s="148"/>
      <c r="GV39" s="148"/>
      <c r="GW39" s="148"/>
      <c r="GX39" s="148"/>
      <c r="GY39" s="148"/>
      <c r="GZ39" s="148"/>
      <c r="HA39" s="148"/>
      <c r="HB39" s="148"/>
      <c r="HC39" s="148"/>
      <c r="HD39" s="148"/>
      <c r="HE39" s="148"/>
      <c r="HF39" s="148"/>
      <c r="HG39" s="148"/>
      <c r="HH39" s="148"/>
      <c r="HI39" s="148"/>
      <c r="HJ39" s="148"/>
      <c r="HK39" s="148"/>
      <c r="HL39" s="148"/>
      <c r="HM39" s="148"/>
      <c r="HN39" s="148"/>
      <c r="HO39" s="148"/>
      <c r="HP39" s="148"/>
      <c r="HQ39" s="148"/>
      <c r="HR39" s="148"/>
      <c r="HS39" s="148"/>
      <c r="HT39" s="148"/>
      <c r="HU39" s="148"/>
      <c r="HV39" s="148"/>
      <c r="HW39" s="148"/>
      <c r="HX39" s="148"/>
      <c r="HY39" s="148"/>
      <c r="HZ39" s="148"/>
      <c r="IA39" s="148"/>
      <c r="IB39" s="148"/>
      <c r="IC39" s="148"/>
      <c r="ID39" s="148"/>
      <c r="IE39" s="148"/>
      <c r="IF39" s="148"/>
      <c r="IG39" s="148"/>
      <c r="IH39" s="148"/>
      <c r="II39" s="148"/>
      <c r="IJ39" s="148"/>
      <c r="IK39" s="148"/>
      <c r="IL39" s="148"/>
      <c r="IM39" s="148"/>
      <c r="IN39" s="148"/>
      <c r="IO39" s="148"/>
      <c r="IP39" s="148"/>
      <c r="IQ39" s="148"/>
      <c r="IR39" s="148"/>
      <c r="IS39" s="148"/>
      <c r="IT39" s="148"/>
      <c r="IU39" s="148"/>
      <c r="IV39" s="148"/>
      <c r="IW39" s="148"/>
      <c r="IX39" s="148"/>
      <c r="IY39" s="148"/>
      <c r="IZ39" s="148"/>
      <c r="JA39" s="148"/>
      <c r="JB39" s="148"/>
      <c r="JC39" s="148"/>
      <c r="JD39" s="148"/>
      <c r="JE39" s="148"/>
      <c r="JF39" s="148"/>
      <c r="JG39" s="148"/>
      <c r="JH39" s="148"/>
      <c r="JI39" s="148"/>
      <c r="JJ39" s="148"/>
      <c r="JK39" s="148"/>
      <c r="JL39" s="148"/>
      <c r="JM39" s="148"/>
      <c r="JN39" s="148"/>
      <c r="JO39" s="148"/>
      <c r="JP39" s="148"/>
      <c r="JQ39" s="148"/>
      <c r="JR39" s="148"/>
      <c r="JS39" s="148"/>
      <c r="JT39" s="148"/>
      <c r="JU39" s="148"/>
      <c r="JV39" s="148"/>
      <c r="JW39" s="148"/>
      <c r="JX39" s="148"/>
      <c r="JY39" s="148"/>
      <c r="JZ39" s="148"/>
      <c r="KA39" s="148"/>
      <c r="KB39" s="148"/>
      <c r="KC39" s="148"/>
      <c r="KD39" s="148"/>
      <c r="KE39" s="148"/>
      <c r="KF39" s="148"/>
      <c r="KG39" s="148"/>
      <c r="KH39" s="148"/>
      <c r="KI39" s="148"/>
      <c r="KJ39" s="148"/>
      <c r="KK39" s="148"/>
      <c r="KL39" s="148"/>
      <c r="KM39" s="148"/>
      <c r="KN39" s="148"/>
      <c r="KO39" s="148"/>
      <c r="KP39" s="148"/>
      <c r="KQ39" s="148"/>
      <c r="KR39" s="148"/>
      <c r="KS39" s="148"/>
      <c r="KT39" s="148"/>
      <c r="KU39" s="148"/>
      <c r="KV39" s="148"/>
      <c r="KW39" s="148"/>
      <c r="KX39" s="148"/>
      <c r="KY39" s="148"/>
      <c r="KZ39" s="148"/>
      <c r="LA39" s="148"/>
      <c r="LB39" s="148"/>
      <c r="LC39" s="148"/>
      <c r="LD39" s="148"/>
      <c r="LE39" s="148"/>
      <c r="LF39" s="148"/>
      <c r="LG39" s="148"/>
      <c r="LH39" s="148"/>
      <c r="LI39" s="148"/>
      <c r="LJ39" s="148"/>
      <c r="LK39" s="148"/>
      <c r="LL39" s="148"/>
      <c r="LM39" s="148"/>
      <c r="LN39" s="148"/>
      <c r="LO39" s="148"/>
      <c r="LP39" s="148"/>
      <c r="LQ39" s="148"/>
      <c r="LR39" s="148"/>
      <c r="LS39" s="148"/>
      <c r="LT39" s="148"/>
      <c r="LU39" s="148"/>
      <c r="LV39" s="148"/>
      <c r="LW39" s="148"/>
      <c r="LX39" s="148"/>
      <c r="LY39" s="148"/>
      <c r="LZ39" s="148"/>
      <c r="MA39" s="148"/>
      <c r="MB39" s="148"/>
      <c r="MC39" s="148"/>
      <c r="MD39" s="148"/>
      <c r="ME39" s="148"/>
      <c r="MF39" s="148"/>
      <c r="MG39" s="148"/>
      <c r="MH39" s="148"/>
      <c r="MI39" s="148"/>
      <c r="MJ39" s="148"/>
      <c r="MK39" s="148"/>
      <c r="ML39" s="148"/>
      <c r="MM39" s="148"/>
      <c r="MN39" s="148"/>
      <c r="MO39" s="148"/>
      <c r="MP39" s="148"/>
      <c r="MQ39" s="148"/>
      <c r="MR39" s="148"/>
      <c r="MS39" s="148"/>
      <c r="MT39" s="148"/>
      <c r="MU39" s="148"/>
      <c r="MV39" s="148"/>
      <c r="MW39" s="148"/>
      <c r="MX39" s="148"/>
      <c r="MY39" s="148"/>
      <c r="MZ39" s="148"/>
      <c r="NA39" s="148"/>
      <c r="NB39" s="148"/>
      <c r="NC39" s="148"/>
      <c r="ND39" s="148"/>
      <c r="NE39" s="148"/>
      <c r="NF39" s="148"/>
      <c r="NG39" s="148"/>
      <c r="NH39" s="148"/>
      <c r="NI39" s="148"/>
      <c r="NJ39" s="148"/>
      <c r="NK39" s="148"/>
      <c r="NL39" s="148"/>
      <c r="NM39" s="148"/>
      <c r="NN39" s="148"/>
      <c r="NO39" s="148"/>
      <c r="NP39" s="148"/>
      <c r="NQ39" s="148"/>
      <c r="NR39" s="148"/>
      <c r="NS39" s="148"/>
      <c r="NT39" s="148"/>
      <c r="NU39" s="148"/>
      <c r="NV39" s="148"/>
      <c r="NW39" s="148"/>
      <c r="NX39" s="148"/>
      <c r="NY39" s="148"/>
      <c r="NZ39" s="148"/>
      <c r="OA39" s="148"/>
      <c r="OB39" s="148"/>
      <c r="OC39" s="148"/>
      <c r="OD39" s="148"/>
      <c r="OE39" s="148"/>
      <c r="OF39" s="148"/>
      <c r="OG39" s="148"/>
      <c r="OH39" s="148"/>
      <c r="OI39" s="148"/>
      <c r="OJ39" s="148"/>
      <c r="OK39" s="148"/>
      <c r="OL39" s="148"/>
      <c r="OM39" s="148"/>
      <c r="ON39" s="148"/>
      <c r="OO39" s="148"/>
      <c r="OP39" s="148"/>
      <c r="OQ39" s="148"/>
      <c r="OR39" s="148"/>
      <c r="OS39" s="148"/>
      <c r="OT39" s="148"/>
      <c r="OU39" s="148"/>
      <c r="OV39" s="148"/>
      <c r="OW39" s="148"/>
      <c r="OX39" s="148"/>
      <c r="OY39" s="148"/>
      <c r="OZ39" s="148"/>
      <c r="PA39" s="148"/>
      <c r="PB39" s="148"/>
      <c r="PC39" s="148"/>
      <c r="PD39" s="148"/>
      <c r="PE39" s="148"/>
      <c r="PF39" s="148"/>
      <c r="PG39" s="148"/>
      <c r="PH39" s="148"/>
      <c r="PI39" s="148"/>
      <c r="PJ39" s="148"/>
      <c r="PK39" s="148"/>
      <c r="PL39" s="148"/>
      <c r="PM39" s="148"/>
      <c r="PN39" s="148"/>
      <c r="PO39" s="148"/>
      <c r="PP39" s="148"/>
      <c r="PQ39" s="148"/>
      <c r="PR39" s="148"/>
      <c r="PS39" s="148"/>
      <c r="PT39" s="148"/>
      <c r="PU39" s="148"/>
      <c r="PV39" s="148"/>
      <c r="PW39" s="148"/>
      <c r="PX39" s="148"/>
      <c r="PY39" s="148"/>
      <c r="PZ39" s="148"/>
      <c r="QA39" s="148"/>
      <c r="QB39" s="148"/>
      <c r="QC39" s="148"/>
      <c r="QD39" s="148"/>
      <c r="QE39" s="148"/>
      <c r="QF39" s="148"/>
      <c r="QG39" s="148"/>
      <c r="QH39" s="148"/>
      <c r="QI39" s="148"/>
      <c r="QJ39" s="148"/>
      <c r="QK39" s="148"/>
      <c r="QL39" s="148"/>
      <c r="QM39" s="148"/>
      <c r="QN39" s="148"/>
      <c r="QO39" s="148"/>
      <c r="QP39" s="148"/>
      <c r="QQ39" s="148"/>
      <c r="QR39" s="148"/>
      <c r="QS39" s="148"/>
      <c r="QT39" s="148"/>
      <c r="QU39" s="148"/>
      <c r="QV39" s="148"/>
      <c r="QW39" s="148"/>
      <c r="QX39" s="148"/>
      <c r="QY39" s="148"/>
      <c r="QZ39" s="148"/>
      <c r="RA39" s="148"/>
      <c r="RB39" s="148"/>
      <c r="RC39" s="148"/>
      <c r="RD39" s="148"/>
      <c r="RE39" s="148"/>
      <c r="RF39" s="148"/>
      <c r="RG39" s="148"/>
      <c r="RH39" s="148"/>
      <c r="RI39" s="148"/>
      <c r="RJ39" s="148"/>
      <c r="RK39" s="148"/>
      <c r="RL39" s="148"/>
      <c r="RM39" s="148"/>
      <c r="RN39" s="148"/>
      <c r="RO39" s="148"/>
      <c r="RP39" s="148"/>
      <c r="RQ39" s="148"/>
      <c r="RR39" s="148"/>
    </row>
    <row r="40" spans="1:486" s="15" customFormat="1" x14ac:dyDescent="0.25">
      <c r="A40" s="148"/>
      <c r="B40" s="350">
        <v>25</v>
      </c>
      <c r="C40" s="641" t="s">
        <v>894</v>
      </c>
      <c r="D40" s="631">
        <v>40011412</v>
      </c>
      <c r="E40" s="344" t="s">
        <v>2757</v>
      </c>
      <c r="F40" s="344" t="s">
        <v>45</v>
      </c>
      <c r="G40" s="17" t="s">
        <v>2693</v>
      </c>
      <c r="H40" s="317" t="s">
        <v>1562</v>
      </c>
      <c r="I40" s="346" t="s">
        <v>43</v>
      </c>
      <c r="J40" s="341" t="s">
        <v>2758</v>
      </c>
      <c r="K40" s="633">
        <v>456751</v>
      </c>
      <c r="L40" s="633">
        <v>0</v>
      </c>
      <c r="M40" s="633">
        <v>0</v>
      </c>
      <c r="N40" s="633">
        <v>0</v>
      </c>
      <c r="O40" s="633">
        <v>0</v>
      </c>
      <c r="P40" s="633">
        <v>0</v>
      </c>
      <c r="Q40" s="639">
        <v>2000</v>
      </c>
      <c r="R40" s="633">
        <v>0</v>
      </c>
      <c r="S40" s="633"/>
      <c r="T40" s="633"/>
      <c r="U40" s="633"/>
      <c r="V40" s="633"/>
      <c r="W40" s="633"/>
      <c r="X40" s="633"/>
      <c r="Y40" s="633">
        <f t="shared" si="1"/>
        <v>2000</v>
      </c>
      <c r="Z40" s="407">
        <v>72169</v>
      </c>
      <c r="AA40" s="635" t="s">
        <v>296</v>
      </c>
      <c r="AB40" s="23">
        <v>44232</v>
      </c>
      <c r="AC40" s="23">
        <v>44250</v>
      </c>
      <c r="AD40" s="644">
        <v>-36066</v>
      </c>
      <c r="AE40" s="19">
        <v>33</v>
      </c>
      <c r="AF40" s="315">
        <v>44350</v>
      </c>
      <c r="AG40" s="315">
        <v>44369</v>
      </c>
      <c r="AH40" s="637"/>
      <c r="AI40" s="19"/>
      <c r="AJ40" s="21"/>
      <c r="AK40" s="25"/>
      <c r="AL40" s="309"/>
      <c r="AM40" s="19"/>
      <c r="AN40" s="21"/>
      <c r="AO40" s="25"/>
      <c r="AP40" s="309"/>
      <c r="AQ40" s="19"/>
      <c r="AR40" s="21"/>
      <c r="AS40" s="25"/>
      <c r="AT40" s="638">
        <f t="shared" si="2"/>
        <v>36103</v>
      </c>
      <c r="AU40" s="311">
        <f t="shared" si="0"/>
        <v>34103</v>
      </c>
      <c r="AV40" s="148"/>
      <c r="AW40" s="148"/>
      <c r="AX40" s="148"/>
      <c r="AY40" s="148"/>
      <c r="AZ40" s="148"/>
      <c r="BA40" s="148"/>
      <c r="BB40" s="148"/>
      <c r="BC40" s="148"/>
      <c r="BD40" s="148"/>
      <c r="BE40" s="148"/>
      <c r="BF40" s="148"/>
      <c r="BG40" s="148"/>
      <c r="BH40" s="148"/>
      <c r="BI40" s="148"/>
      <c r="BJ40" s="148"/>
      <c r="BK40" s="148"/>
      <c r="BL40" s="148"/>
      <c r="BM40" s="148"/>
      <c r="BN40" s="148"/>
      <c r="BO40" s="148"/>
      <c r="BP40" s="148"/>
      <c r="BQ40" s="148"/>
      <c r="BR40" s="148"/>
      <c r="BS40" s="148"/>
      <c r="BT40" s="148"/>
      <c r="BU40" s="148"/>
      <c r="BV40" s="148"/>
      <c r="BW40" s="148"/>
      <c r="BX40" s="148"/>
      <c r="BY40" s="148"/>
      <c r="BZ40" s="148"/>
      <c r="CA40" s="148"/>
      <c r="CB40" s="148"/>
      <c r="CC40" s="148"/>
      <c r="CD40" s="148"/>
      <c r="CE40" s="148"/>
      <c r="CF40" s="148"/>
      <c r="CG40" s="148"/>
      <c r="CH40" s="148"/>
      <c r="CI40" s="148"/>
      <c r="CJ40" s="148"/>
      <c r="CK40" s="148"/>
      <c r="CL40" s="148"/>
      <c r="CM40" s="148"/>
      <c r="CN40" s="148"/>
      <c r="CO40" s="148"/>
      <c r="CP40" s="148"/>
      <c r="CQ40" s="148"/>
      <c r="CR40" s="148"/>
      <c r="CS40" s="148"/>
      <c r="CT40" s="148"/>
      <c r="CU40" s="148"/>
      <c r="CV40" s="148"/>
      <c r="CW40" s="148"/>
      <c r="CX40" s="148"/>
      <c r="CY40" s="148"/>
      <c r="CZ40" s="148"/>
      <c r="DA40" s="148"/>
      <c r="DB40" s="148"/>
      <c r="DC40" s="148"/>
      <c r="DD40" s="148"/>
      <c r="DE40" s="148"/>
      <c r="DF40" s="148"/>
      <c r="DG40" s="148"/>
      <c r="DH40" s="148"/>
      <c r="DI40" s="148"/>
      <c r="DJ40" s="148"/>
      <c r="DK40" s="148"/>
      <c r="DL40" s="148"/>
      <c r="DM40" s="148"/>
      <c r="DN40" s="148"/>
      <c r="DO40" s="148"/>
      <c r="DP40" s="148"/>
      <c r="DQ40" s="148"/>
      <c r="DR40" s="148"/>
      <c r="DS40" s="148"/>
      <c r="DT40" s="148"/>
      <c r="DU40" s="148"/>
      <c r="DV40" s="148"/>
      <c r="DW40" s="148"/>
      <c r="DX40" s="148"/>
      <c r="DY40" s="148"/>
      <c r="DZ40" s="148"/>
      <c r="EA40" s="148"/>
      <c r="EB40" s="148"/>
      <c r="EC40" s="148"/>
      <c r="ED40" s="148"/>
      <c r="EE40" s="148"/>
      <c r="EF40" s="148"/>
      <c r="EG40" s="148"/>
      <c r="EH40" s="148"/>
      <c r="EI40" s="148"/>
      <c r="EJ40" s="148"/>
      <c r="EK40" s="148"/>
      <c r="EL40" s="148"/>
      <c r="EM40" s="148"/>
      <c r="EN40" s="148"/>
      <c r="EO40" s="148"/>
      <c r="EP40" s="148"/>
      <c r="EQ40" s="148"/>
      <c r="ER40" s="148"/>
      <c r="ES40" s="148"/>
      <c r="ET40" s="148"/>
      <c r="EU40" s="148"/>
      <c r="EV40" s="148"/>
      <c r="EW40" s="148"/>
      <c r="EX40" s="148"/>
      <c r="EY40" s="148"/>
      <c r="EZ40" s="148"/>
      <c r="FA40" s="148"/>
      <c r="FB40" s="148"/>
      <c r="FC40" s="148"/>
      <c r="FD40" s="148"/>
      <c r="FE40" s="148"/>
      <c r="FF40" s="148"/>
      <c r="FG40" s="148"/>
      <c r="FH40" s="148"/>
      <c r="FI40" s="148"/>
      <c r="FJ40" s="148"/>
      <c r="FK40" s="148"/>
      <c r="FL40" s="148"/>
      <c r="FM40" s="148"/>
      <c r="FN40" s="148"/>
      <c r="FO40" s="148"/>
      <c r="FP40" s="148"/>
      <c r="FQ40" s="148"/>
      <c r="FR40" s="148"/>
      <c r="FS40" s="148"/>
      <c r="FT40" s="148"/>
      <c r="FU40" s="148"/>
      <c r="FV40" s="148"/>
      <c r="FW40" s="148"/>
      <c r="FX40" s="148"/>
      <c r="FY40" s="148"/>
      <c r="FZ40" s="148"/>
      <c r="GA40" s="148"/>
      <c r="GB40" s="148"/>
      <c r="GC40" s="148"/>
      <c r="GD40" s="148"/>
      <c r="GE40" s="148"/>
      <c r="GF40" s="148"/>
      <c r="GG40" s="148"/>
      <c r="GH40" s="148"/>
      <c r="GI40" s="148"/>
      <c r="GJ40" s="148"/>
      <c r="GK40" s="148"/>
      <c r="GL40" s="148"/>
      <c r="GM40" s="148"/>
      <c r="GN40" s="148"/>
      <c r="GO40" s="148"/>
      <c r="GP40" s="148"/>
      <c r="GQ40" s="148"/>
      <c r="GR40" s="148"/>
      <c r="GS40" s="148"/>
      <c r="GT40" s="148"/>
      <c r="GU40" s="148"/>
      <c r="GV40" s="148"/>
      <c r="GW40" s="148"/>
      <c r="GX40" s="148"/>
      <c r="GY40" s="148"/>
      <c r="GZ40" s="148"/>
      <c r="HA40" s="148"/>
      <c r="HB40" s="148"/>
      <c r="HC40" s="148"/>
      <c r="HD40" s="148"/>
      <c r="HE40" s="148"/>
      <c r="HF40" s="148"/>
      <c r="HG40" s="148"/>
      <c r="HH40" s="148"/>
      <c r="HI40" s="148"/>
      <c r="HJ40" s="148"/>
      <c r="HK40" s="148"/>
      <c r="HL40" s="148"/>
      <c r="HM40" s="148"/>
      <c r="HN40" s="148"/>
      <c r="HO40" s="148"/>
      <c r="HP40" s="148"/>
      <c r="HQ40" s="148"/>
      <c r="HR40" s="148"/>
      <c r="HS40" s="148"/>
      <c r="HT40" s="148"/>
      <c r="HU40" s="148"/>
      <c r="HV40" s="148"/>
      <c r="HW40" s="148"/>
      <c r="HX40" s="148"/>
      <c r="HY40" s="148"/>
      <c r="HZ40" s="148"/>
      <c r="IA40" s="148"/>
      <c r="IB40" s="148"/>
      <c r="IC40" s="148"/>
      <c r="ID40" s="148"/>
      <c r="IE40" s="148"/>
      <c r="IF40" s="148"/>
      <c r="IG40" s="148"/>
      <c r="IH40" s="148"/>
      <c r="II40" s="148"/>
      <c r="IJ40" s="148"/>
      <c r="IK40" s="148"/>
      <c r="IL40" s="148"/>
      <c r="IM40" s="148"/>
      <c r="IN40" s="148"/>
      <c r="IO40" s="148"/>
      <c r="IP40" s="148"/>
      <c r="IQ40" s="148"/>
      <c r="IR40" s="148"/>
      <c r="IS40" s="148"/>
      <c r="IT40" s="148"/>
      <c r="IU40" s="148"/>
      <c r="IV40" s="148"/>
      <c r="IW40" s="148"/>
      <c r="IX40" s="148"/>
      <c r="IY40" s="148"/>
      <c r="IZ40" s="148"/>
      <c r="JA40" s="148"/>
      <c r="JB40" s="148"/>
      <c r="JC40" s="148"/>
      <c r="JD40" s="148"/>
      <c r="JE40" s="148"/>
      <c r="JF40" s="148"/>
      <c r="JG40" s="148"/>
      <c r="JH40" s="148"/>
      <c r="JI40" s="148"/>
      <c r="JJ40" s="148"/>
      <c r="JK40" s="148"/>
      <c r="JL40" s="148"/>
      <c r="JM40" s="148"/>
      <c r="JN40" s="148"/>
      <c r="JO40" s="148"/>
      <c r="JP40" s="148"/>
      <c r="JQ40" s="148"/>
      <c r="JR40" s="148"/>
      <c r="JS40" s="148"/>
      <c r="JT40" s="148"/>
      <c r="JU40" s="148"/>
      <c r="JV40" s="148"/>
      <c r="JW40" s="148"/>
      <c r="JX40" s="148"/>
      <c r="JY40" s="148"/>
      <c r="JZ40" s="148"/>
      <c r="KA40" s="148"/>
      <c r="KB40" s="148"/>
      <c r="KC40" s="148"/>
      <c r="KD40" s="148"/>
      <c r="KE40" s="148"/>
      <c r="KF40" s="148"/>
      <c r="KG40" s="148"/>
      <c r="KH40" s="148"/>
      <c r="KI40" s="148"/>
      <c r="KJ40" s="148"/>
      <c r="KK40" s="148"/>
      <c r="KL40" s="148"/>
      <c r="KM40" s="148"/>
      <c r="KN40" s="148"/>
      <c r="KO40" s="148"/>
      <c r="KP40" s="148"/>
      <c r="KQ40" s="148"/>
      <c r="KR40" s="148"/>
      <c r="KS40" s="148"/>
      <c r="KT40" s="148"/>
      <c r="KU40" s="148"/>
      <c r="KV40" s="148"/>
      <c r="KW40" s="148"/>
      <c r="KX40" s="148"/>
      <c r="KY40" s="148"/>
      <c r="KZ40" s="148"/>
      <c r="LA40" s="148"/>
      <c r="LB40" s="148"/>
      <c r="LC40" s="148"/>
      <c r="LD40" s="148"/>
      <c r="LE40" s="148"/>
      <c r="LF40" s="148"/>
      <c r="LG40" s="148"/>
      <c r="LH40" s="148"/>
      <c r="LI40" s="148"/>
      <c r="LJ40" s="148"/>
      <c r="LK40" s="148"/>
      <c r="LL40" s="148"/>
      <c r="LM40" s="148"/>
      <c r="LN40" s="148"/>
      <c r="LO40" s="148"/>
      <c r="LP40" s="148"/>
      <c r="LQ40" s="148"/>
      <c r="LR40" s="148"/>
      <c r="LS40" s="148"/>
      <c r="LT40" s="148"/>
      <c r="LU40" s="148"/>
      <c r="LV40" s="148"/>
      <c r="LW40" s="148"/>
      <c r="LX40" s="148"/>
      <c r="LY40" s="148"/>
      <c r="LZ40" s="148"/>
      <c r="MA40" s="148"/>
      <c r="MB40" s="148"/>
      <c r="MC40" s="148"/>
      <c r="MD40" s="148"/>
      <c r="ME40" s="148"/>
      <c r="MF40" s="148"/>
      <c r="MG40" s="148"/>
      <c r="MH40" s="148"/>
      <c r="MI40" s="148"/>
      <c r="MJ40" s="148"/>
      <c r="MK40" s="148"/>
      <c r="ML40" s="148"/>
      <c r="MM40" s="148"/>
      <c r="MN40" s="148"/>
      <c r="MO40" s="148"/>
      <c r="MP40" s="148"/>
      <c r="MQ40" s="148"/>
      <c r="MR40" s="148"/>
      <c r="MS40" s="148"/>
      <c r="MT40" s="148"/>
      <c r="MU40" s="148"/>
      <c r="MV40" s="148"/>
      <c r="MW40" s="148"/>
      <c r="MX40" s="148"/>
      <c r="MY40" s="148"/>
      <c r="MZ40" s="148"/>
      <c r="NA40" s="148"/>
      <c r="NB40" s="148"/>
      <c r="NC40" s="148"/>
      <c r="ND40" s="148"/>
      <c r="NE40" s="148"/>
      <c r="NF40" s="148"/>
      <c r="NG40" s="148"/>
      <c r="NH40" s="148"/>
      <c r="NI40" s="148"/>
      <c r="NJ40" s="148"/>
      <c r="NK40" s="148"/>
      <c r="NL40" s="148"/>
      <c r="NM40" s="148"/>
      <c r="NN40" s="148"/>
      <c r="NO40" s="148"/>
      <c r="NP40" s="148"/>
      <c r="NQ40" s="148"/>
      <c r="NR40" s="148"/>
      <c r="NS40" s="148"/>
      <c r="NT40" s="148"/>
      <c r="NU40" s="148"/>
      <c r="NV40" s="148"/>
      <c r="NW40" s="148"/>
      <c r="NX40" s="148"/>
      <c r="NY40" s="148"/>
      <c r="NZ40" s="148"/>
      <c r="OA40" s="148"/>
      <c r="OB40" s="148"/>
      <c r="OC40" s="148"/>
      <c r="OD40" s="148"/>
      <c r="OE40" s="148"/>
      <c r="OF40" s="148"/>
      <c r="OG40" s="148"/>
      <c r="OH40" s="148"/>
      <c r="OI40" s="148"/>
      <c r="OJ40" s="148"/>
      <c r="OK40" s="148"/>
      <c r="OL40" s="148"/>
      <c r="OM40" s="148"/>
      <c r="ON40" s="148"/>
      <c r="OO40" s="148"/>
      <c r="OP40" s="148"/>
      <c r="OQ40" s="148"/>
      <c r="OR40" s="148"/>
      <c r="OS40" s="148"/>
      <c r="OT40" s="148"/>
      <c r="OU40" s="148"/>
      <c r="OV40" s="148"/>
      <c r="OW40" s="148"/>
      <c r="OX40" s="148"/>
      <c r="OY40" s="148"/>
      <c r="OZ40" s="148"/>
      <c r="PA40" s="148"/>
      <c r="PB40" s="148"/>
      <c r="PC40" s="148"/>
      <c r="PD40" s="148"/>
      <c r="PE40" s="148"/>
      <c r="PF40" s="148"/>
      <c r="PG40" s="148"/>
      <c r="PH40" s="148"/>
      <c r="PI40" s="148"/>
      <c r="PJ40" s="148"/>
      <c r="PK40" s="148"/>
      <c r="PL40" s="148"/>
      <c r="PM40" s="148"/>
      <c r="PN40" s="148"/>
      <c r="PO40" s="148"/>
      <c r="PP40" s="148"/>
      <c r="PQ40" s="148"/>
      <c r="PR40" s="148"/>
      <c r="PS40" s="148"/>
      <c r="PT40" s="148"/>
      <c r="PU40" s="148"/>
      <c r="PV40" s="148"/>
      <c r="PW40" s="148"/>
      <c r="PX40" s="148"/>
      <c r="PY40" s="148"/>
      <c r="PZ40" s="148"/>
      <c r="QA40" s="148"/>
      <c r="QB40" s="148"/>
      <c r="QC40" s="148"/>
      <c r="QD40" s="148"/>
      <c r="QE40" s="148"/>
      <c r="QF40" s="148"/>
      <c r="QG40" s="148"/>
      <c r="QH40" s="148"/>
      <c r="QI40" s="148"/>
      <c r="QJ40" s="148"/>
      <c r="QK40" s="148"/>
      <c r="QL40" s="148"/>
      <c r="QM40" s="148"/>
      <c r="QN40" s="148"/>
      <c r="QO40" s="148"/>
      <c r="QP40" s="148"/>
      <c r="QQ40" s="148"/>
      <c r="QR40" s="148"/>
      <c r="QS40" s="148"/>
      <c r="QT40" s="148"/>
      <c r="QU40" s="148"/>
      <c r="QV40" s="148"/>
      <c r="QW40" s="148"/>
      <c r="QX40" s="148"/>
      <c r="QY40" s="148"/>
      <c r="QZ40" s="148"/>
      <c r="RA40" s="148"/>
      <c r="RB40" s="148"/>
      <c r="RC40" s="148"/>
      <c r="RD40" s="148"/>
      <c r="RE40" s="148"/>
      <c r="RF40" s="148"/>
      <c r="RG40" s="148"/>
      <c r="RH40" s="148"/>
      <c r="RI40" s="148"/>
      <c r="RJ40" s="148"/>
      <c r="RK40" s="148"/>
      <c r="RL40" s="148"/>
      <c r="RM40" s="148"/>
      <c r="RN40" s="148"/>
      <c r="RO40" s="148"/>
      <c r="RP40" s="148"/>
      <c r="RQ40" s="148"/>
      <c r="RR40" s="148"/>
    </row>
    <row r="41" spans="1:486" s="15" customFormat="1" ht="21.75" customHeight="1" x14ac:dyDescent="0.25">
      <c r="A41" s="148"/>
      <c r="B41" s="350">
        <v>26</v>
      </c>
      <c r="C41" s="643" t="s">
        <v>894</v>
      </c>
      <c r="D41" s="631">
        <v>40015342</v>
      </c>
      <c r="E41" s="344" t="s">
        <v>2759</v>
      </c>
      <c r="F41" s="344" t="s">
        <v>45</v>
      </c>
      <c r="G41" s="17" t="s">
        <v>2693</v>
      </c>
      <c r="H41" s="317" t="s">
        <v>2742</v>
      </c>
      <c r="I41" s="346" t="s">
        <v>43</v>
      </c>
      <c r="J41" s="341" t="s">
        <v>2760</v>
      </c>
      <c r="K41" s="633">
        <v>13319</v>
      </c>
      <c r="L41" s="633">
        <v>0</v>
      </c>
      <c r="M41" s="633">
        <v>0</v>
      </c>
      <c r="N41" s="633">
        <v>0</v>
      </c>
      <c r="O41" s="633">
        <v>0</v>
      </c>
      <c r="P41" s="639">
        <v>5105</v>
      </c>
      <c r="Q41" s="639">
        <f>163584+98131</f>
        <v>261715</v>
      </c>
      <c r="R41" s="633">
        <v>0</v>
      </c>
      <c r="S41" s="633"/>
      <c r="T41" s="633"/>
      <c r="U41" s="633"/>
      <c r="V41" s="633"/>
      <c r="W41" s="633"/>
      <c r="X41" s="633"/>
      <c r="Y41" s="633">
        <f t="shared" si="1"/>
        <v>266820</v>
      </c>
      <c r="Z41" s="407">
        <v>420000</v>
      </c>
      <c r="AA41" s="635" t="s">
        <v>296</v>
      </c>
      <c r="AB41" s="23">
        <v>44232</v>
      </c>
      <c r="AC41" s="23">
        <v>44250</v>
      </c>
      <c r="AD41" s="637">
        <v>5105</v>
      </c>
      <c r="AE41" s="19">
        <v>19</v>
      </c>
      <c r="AF41" s="315">
        <v>44271</v>
      </c>
      <c r="AG41" s="315">
        <v>44312</v>
      </c>
      <c r="AH41" s="645">
        <v>-25105</v>
      </c>
      <c r="AI41" s="19">
        <v>25</v>
      </c>
      <c r="AJ41" s="315">
        <v>44312</v>
      </c>
      <c r="AK41" s="316">
        <v>44328</v>
      </c>
      <c r="AL41" s="309"/>
      <c r="AM41" s="19"/>
      <c r="AN41" s="21"/>
      <c r="AO41" s="25"/>
      <c r="AP41" s="309"/>
      <c r="AQ41" s="19"/>
      <c r="AR41" s="21"/>
      <c r="AS41" s="25"/>
      <c r="AT41" s="638">
        <f t="shared" si="2"/>
        <v>400000</v>
      </c>
      <c r="AU41" s="311">
        <f t="shared" si="0"/>
        <v>133180</v>
      </c>
      <c r="AV41" s="148"/>
      <c r="AW41" s="148"/>
      <c r="AX41" s="148"/>
      <c r="AY41" s="148"/>
      <c r="AZ41" s="148"/>
      <c r="BA41" s="148"/>
      <c r="BB41" s="148"/>
      <c r="BC41" s="148"/>
      <c r="BD41" s="148"/>
      <c r="BE41" s="148"/>
      <c r="BF41" s="148"/>
      <c r="BG41" s="148"/>
      <c r="BH41" s="148"/>
      <c r="BI41" s="148"/>
      <c r="BJ41" s="148"/>
      <c r="BK41" s="148"/>
      <c r="BL41" s="148"/>
      <c r="BM41" s="148"/>
      <c r="BN41" s="148"/>
      <c r="BO41" s="148"/>
      <c r="BP41" s="148"/>
      <c r="BQ41" s="148"/>
      <c r="BR41" s="148"/>
      <c r="BS41" s="148"/>
      <c r="BT41" s="148"/>
      <c r="BU41" s="148"/>
      <c r="BV41" s="148"/>
      <c r="BW41" s="148"/>
      <c r="BX41" s="148"/>
      <c r="BY41" s="148"/>
      <c r="BZ41" s="148"/>
      <c r="CA41" s="148"/>
      <c r="CB41" s="148"/>
      <c r="CC41" s="148"/>
      <c r="CD41" s="148"/>
      <c r="CE41" s="148"/>
      <c r="CF41" s="148"/>
      <c r="CG41" s="148"/>
      <c r="CH41" s="148"/>
      <c r="CI41" s="148"/>
      <c r="CJ41" s="148"/>
      <c r="CK41" s="148"/>
      <c r="CL41" s="148"/>
      <c r="CM41" s="148"/>
      <c r="CN41" s="148"/>
      <c r="CO41" s="148"/>
      <c r="CP41" s="148"/>
      <c r="CQ41" s="148"/>
      <c r="CR41" s="148"/>
      <c r="CS41" s="148"/>
      <c r="CT41" s="148"/>
      <c r="CU41" s="148"/>
      <c r="CV41" s="148"/>
      <c r="CW41" s="148"/>
      <c r="CX41" s="148"/>
      <c r="CY41" s="148"/>
      <c r="CZ41" s="148"/>
      <c r="DA41" s="148"/>
      <c r="DB41" s="148"/>
      <c r="DC41" s="148"/>
      <c r="DD41" s="148"/>
      <c r="DE41" s="148"/>
      <c r="DF41" s="148"/>
      <c r="DG41" s="148"/>
      <c r="DH41" s="148"/>
      <c r="DI41" s="148"/>
      <c r="DJ41" s="148"/>
      <c r="DK41" s="148"/>
      <c r="DL41" s="148"/>
      <c r="DM41" s="148"/>
      <c r="DN41" s="148"/>
      <c r="DO41" s="148"/>
      <c r="DP41" s="148"/>
      <c r="DQ41" s="148"/>
      <c r="DR41" s="148"/>
      <c r="DS41" s="148"/>
      <c r="DT41" s="148"/>
      <c r="DU41" s="148"/>
      <c r="DV41" s="148"/>
      <c r="DW41" s="148"/>
      <c r="DX41" s="148"/>
      <c r="DY41" s="148"/>
      <c r="DZ41" s="148"/>
      <c r="EA41" s="148"/>
      <c r="EB41" s="148"/>
      <c r="EC41" s="148"/>
      <c r="ED41" s="148"/>
      <c r="EE41" s="148"/>
      <c r="EF41" s="148"/>
      <c r="EG41" s="148"/>
      <c r="EH41" s="148"/>
      <c r="EI41" s="148"/>
      <c r="EJ41" s="148"/>
      <c r="EK41" s="148"/>
      <c r="EL41" s="148"/>
      <c r="EM41" s="148"/>
      <c r="EN41" s="148"/>
      <c r="EO41" s="148"/>
      <c r="EP41" s="148"/>
      <c r="EQ41" s="148"/>
      <c r="ER41" s="148"/>
      <c r="ES41" s="148"/>
      <c r="ET41" s="148"/>
      <c r="EU41" s="148"/>
      <c r="EV41" s="148"/>
      <c r="EW41" s="148"/>
      <c r="EX41" s="148"/>
      <c r="EY41" s="148"/>
      <c r="EZ41" s="148"/>
      <c r="FA41" s="148"/>
      <c r="FB41" s="148"/>
      <c r="FC41" s="148"/>
      <c r="FD41" s="148"/>
      <c r="FE41" s="148"/>
      <c r="FF41" s="148"/>
      <c r="FG41" s="148"/>
      <c r="FH41" s="148"/>
      <c r="FI41" s="148"/>
      <c r="FJ41" s="148"/>
      <c r="FK41" s="148"/>
      <c r="FL41" s="148"/>
      <c r="FM41" s="148"/>
      <c r="FN41" s="148"/>
      <c r="FO41" s="148"/>
      <c r="FP41" s="148"/>
      <c r="FQ41" s="148"/>
      <c r="FR41" s="148"/>
      <c r="FS41" s="148"/>
      <c r="FT41" s="148"/>
      <c r="FU41" s="148"/>
      <c r="FV41" s="148"/>
      <c r="FW41" s="148"/>
      <c r="FX41" s="148"/>
      <c r="FY41" s="148"/>
      <c r="FZ41" s="148"/>
      <c r="GA41" s="148"/>
      <c r="GB41" s="148"/>
      <c r="GC41" s="148"/>
      <c r="GD41" s="148"/>
      <c r="GE41" s="148"/>
      <c r="GF41" s="148"/>
      <c r="GG41" s="148"/>
      <c r="GH41" s="148"/>
      <c r="GI41" s="148"/>
      <c r="GJ41" s="148"/>
      <c r="GK41" s="148"/>
      <c r="GL41" s="148"/>
      <c r="GM41" s="148"/>
      <c r="GN41" s="148"/>
      <c r="GO41" s="148"/>
      <c r="GP41" s="148"/>
      <c r="GQ41" s="148"/>
      <c r="GR41" s="148"/>
      <c r="GS41" s="148"/>
      <c r="GT41" s="148"/>
      <c r="GU41" s="148"/>
      <c r="GV41" s="148"/>
      <c r="GW41" s="148"/>
      <c r="GX41" s="148"/>
      <c r="GY41" s="148"/>
      <c r="GZ41" s="148"/>
      <c r="HA41" s="148"/>
      <c r="HB41" s="148"/>
      <c r="HC41" s="148"/>
      <c r="HD41" s="148"/>
      <c r="HE41" s="148"/>
      <c r="HF41" s="148"/>
      <c r="HG41" s="148"/>
      <c r="HH41" s="148"/>
      <c r="HI41" s="148"/>
      <c r="HJ41" s="148"/>
      <c r="HK41" s="148"/>
      <c r="HL41" s="148"/>
      <c r="HM41" s="148"/>
      <c r="HN41" s="148"/>
      <c r="HO41" s="148"/>
      <c r="HP41" s="148"/>
      <c r="HQ41" s="148"/>
      <c r="HR41" s="148"/>
      <c r="HS41" s="148"/>
      <c r="HT41" s="148"/>
      <c r="HU41" s="148"/>
      <c r="HV41" s="148"/>
      <c r="HW41" s="148"/>
      <c r="HX41" s="148"/>
      <c r="HY41" s="148"/>
      <c r="HZ41" s="148"/>
      <c r="IA41" s="148"/>
      <c r="IB41" s="148"/>
      <c r="IC41" s="148"/>
      <c r="ID41" s="148"/>
      <c r="IE41" s="148"/>
      <c r="IF41" s="148"/>
      <c r="IG41" s="148"/>
      <c r="IH41" s="148"/>
      <c r="II41" s="148"/>
      <c r="IJ41" s="148"/>
      <c r="IK41" s="148"/>
      <c r="IL41" s="148"/>
      <c r="IM41" s="148"/>
      <c r="IN41" s="148"/>
      <c r="IO41" s="148"/>
      <c r="IP41" s="148"/>
      <c r="IQ41" s="148"/>
      <c r="IR41" s="148"/>
      <c r="IS41" s="148"/>
      <c r="IT41" s="148"/>
      <c r="IU41" s="148"/>
      <c r="IV41" s="148"/>
      <c r="IW41" s="148"/>
      <c r="IX41" s="148"/>
      <c r="IY41" s="148"/>
      <c r="IZ41" s="148"/>
      <c r="JA41" s="148"/>
      <c r="JB41" s="148"/>
      <c r="JC41" s="148"/>
      <c r="JD41" s="148"/>
      <c r="JE41" s="148"/>
      <c r="JF41" s="148"/>
      <c r="JG41" s="148"/>
      <c r="JH41" s="148"/>
      <c r="JI41" s="148"/>
      <c r="JJ41" s="148"/>
      <c r="JK41" s="148"/>
      <c r="JL41" s="148"/>
      <c r="JM41" s="148"/>
      <c r="JN41" s="148"/>
      <c r="JO41" s="148"/>
      <c r="JP41" s="148"/>
      <c r="JQ41" s="148"/>
      <c r="JR41" s="148"/>
      <c r="JS41" s="148"/>
      <c r="JT41" s="148"/>
      <c r="JU41" s="148"/>
      <c r="JV41" s="148"/>
      <c r="JW41" s="148"/>
      <c r="JX41" s="148"/>
      <c r="JY41" s="148"/>
      <c r="JZ41" s="148"/>
      <c r="KA41" s="148"/>
      <c r="KB41" s="148"/>
      <c r="KC41" s="148"/>
      <c r="KD41" s="148"/>
      <c r="KE41" s="148"/>
      <c r="KF41" s="148"/>
      <c r="KG41" s="148"/>
      <c r="KH41" s="148"/>
      <c r="KI41" s="148"/>
      <c r="KJ41" s="148"/>
      <c r="KK41" s="148"/>
      <c r="KL41" s="148"/>
      <c r="KM41" s="148"/>
      <c r="KN41" s="148"/>
      <c r="KO41" s="148"/>
      <c r="KP41" s="148"/>
      <c r="KQ41" s="148"/>
      <c r="KR41" s="148"/>
      <c r="KS41" s="148"/>
      <c r="KT41" s="148"/>
      <c r="KU41" s="148"/>
      <c r="KV41" s="148"/>
      <c r="KW41" s="148"/>
      <c r="KX41" s="148"/>
      <c r="KY41" s="148"/>
      <c r="KZ41" s="148"/>
      <c r="LA41" s="148"/>
      <c r="LB41" s="148"/>
      <c r="LC41" s="148"/>
      <c r="LD41" s="148"/>
      <c r="LE41" s="148"/>
      <c r="LF41" s="148"/>
      <c r="LG41" s="148"/>
      <c r="LH41" s="148"/>
      <c r="LI41" s="148"/>
      <c r="LJ41" s="148"/>
      <c r="LK41" s="148"/>
      <c r="LL41" s="148"/>
      <c r="LM41" s="148"/>
      <c r="LN41" s="148"/>
      <c r="LO41" s="148"/>
      <c r="LP41" s="148"/>
      <c r="LQ41" s="148"/>
      <c r="LR41" s="148"/>
      <c r="LS41" s="148"/>
      <c r="LT41" s="148"/>
      <c r="LU41" s="148"/>
      <c r="LV41" s="148"/>
      <c r="LW41" s="148"/>
      <c r="LX41" s="148"/>
      <c r="LY41" s="148"/>
      <c r="LZ41" s="148"/>
      <c r="MA41" s="148"/>
      <c r="MB41" s="148"/>
      <c r="MC41" s="148"/>
      <c r="MD41" s="148"/>
      <c r="ME41" s="148"/>
      <c r="MF41" s="148"/>
      <c r="MG41" s="148"/>
      <c r="MH41" s="148"/>
      <c r="MI41" s="148"/>
      <c r="MJ41" s="148"/>
      <c r="MK41" s="148"/>
      <c r="ML41" s="148"/>
      <c r="MM41" s="148"/>
      <c r="MN41" s="148"/>
      <c r="MO41" s="148"/>
      <c r="MP41" s="148"/>
      <c r="MQ41" s="148"/>
      <c r="MR41" s="148"/>
      <c r="MS41" s="148"/>
      <c r="MT41" s="148"/>
      <c r="MU41" s="148"/>
      <c r="MV41" s="148"/>
      <c r="MW41" s="148"/>
      <c r="MX41" s="148"/>
      <c r="MY41" s="148"/>
      <c r="MZ41" s="148"/>
      <c r="NA41" s="148"/>
      <c r="NB41" s="148"/>
      <c r="NC41" s="148"/>
      <c r="ND41" s="148"/>
      <c r="NE41" s="148"/>
      <c r="NF41" s="148"/>
      <c r="NG41" s="148"/>
      <c r="NH41" s="148"/>
      <c r="NI41" s="148"/>
      <c r="NJ41" s="148"/>
      <c r="NK41" s="148"/>
      <c r="NL41" s="148"/>
      <c r="NM41" s="148"/>
      <c r="NN41" s="148"/>
      <c r="NO41" s="148"/>
      <c r="NP41" s="148"/>
      <c r="NQ41" s="148"/>
      <c r="NR41" s="148"/>
      <c r="NS41" s="148"/>
      <c r="NT41" s="148"/>
      <c r="NU41" s="148"/>
      <c r="NV41" s="148"/>
      <c r="NW41" s="148"/>
      <c r="NX41" s="148"/>
      <c r="NY41" s="148"/>
      <c r="NZ41" s="148"/>
      <c r="OA41" s="148"/>
      <c r="OB41" s="148"/>
      <c r="OC41" s="148"/>
      <c r="OD41" s="148"/>
      <c r="OE41" s="148"/>
      <c r="OF41" s="148"/>
      <c r="OG41" s="148"/>
      <c r="OH41" s="148"/>
      <c r="OI41" s="148"/>
      <c r="OJ41" s="148"/>
      <c r="OK41" s="148"/>
      <c r="OL41" s="148"/>
      <c r="OM41" s="148"/>
      <c r="ON41" s="148"/>
      <c r="OO41" s="148"/>
      <c r="OP41" s="148"/>
      <c r="OQ41" s="148"/>
      <c r="OR41" s="148"/>
      <c r="OS41" s="148"/>
      <c r="OT41" s="148"/>
      <c r="OU41" s="148"/>
      <c r="OV41" s="148"/>
      <c r="OW41" s="148"/>
      <c r="OX41" s="148"/>
      <c r="OY41" s="148"/>
      <c r="OZ41" s="148"/>
      <c r="PA41" s="148"/>
      <c r="PB41" s="148"/>
      <c r="PC41" s="148"/>
      <c r="PD41" s="148"/>
      <c r="PE41" s="148"/>
      <c r="PF41" s="148"/>
      <c r="PG41" s="148"/>
      <c r="PH41" s="148"/>
      <c r="PI41" s="148"/>
      <c r="PJ41" s="148"/>
      <c r="PK41" s="148"/>
      <c r="PL41" s="148"/>
      <c r="PM41" s="148"/>
      <c r="PN41" s="148"/>
      <c r="PO41" s="148"/>
      <c r="PP41" s="148"/>
      <c r="PQ41" s="148"/>
      <c r="PR41" s="148"/>
      <c r="PS41" s="148"/>
      <c r="PT41" s="148"/>
      <c r="PU41" s="148"/>
      <c r="PV41" s="148"/>
      <c r="PW41" s="148"/>
      <c r="PX41" s="148"/>
      <c r="PY41" s="148"/>
      <c r="PZ41" s="148"/>
      <c r="QA41" s="148"/>
      <c r="QB41" s="148"/>
      <c r="QC41" s="148"/>
      <c r="QD41" s="148"/>
      <c r="QE41" s="148"/>
      <c r="QF41" s="148"/>
      <c r="QG41" s="148"/>
      <c r="QH41" s="148"/>
      <c r="QI41" s="148"/>
      <c r="QJ41" s="148"/>
      <c r="QK41" s="148"/>
      <c r="QL41" s="148"/>
      <c r="QM41" s="148"/>
      <c r="QN41" s="148"/>
      <c r="QO41" s="148"/>
      <c r="QP41" s="148"/>
      <c r="QQ41" s="148"/>
      <c r="QR41" s="148"/>
      <c r="QS41" s="148"/>
      <c r="QT41" s="148"/>
      <c r="QU41" s="148"/>
      <c r="QV41" s="148"/>
      <c r="QW41" s="148"/>
      <c r="QX41" s="148"/>
      <c r="QY41" s="148"/>
      <c r="QZ41" s="148"/>
      <c r="RA41" s="148"/>
      <c r="RB41" s="148"/>
      <c r="RC41" s="148"/>
      <c r="RD41" s="148"/>
      <c r="RE41" s="148"/>
      <c r="RF41" s="148"/>
      <c r="RG41" s="148"/>
      <c r="RH41" s="148"/>
      <c r="RI41" s="148"/>
      <c r="RJ41" s="148"/>
      <c r="RK41" s="148"/>
      <c r="RL41" s="148"/>
      <c r="RM41" s="148"/>
      <c r="RN41" s="148"/>
      <c r="RO41" s="148"/>
      <c r="RP41" s="148"/>
      <c r="RQ41" s="148"/>
      <c r="RR41" s="148"/>
    </row>
    <row r="42" spans="1:486" s="15" customFormat="1" x14ac:dyDescent="0.25">
      <c r="A42" s="148"/>
      <c r="B42" s="350">
        <v>27</v>
      </c>
      <c r="C42" s="641" t="s">
        <v>894</v>
      </c>
      <c r="D42" s="631">
        <v>40015344</v>
      </c>
      <c r="E42" s="344" t="s">
        <v>2761</v>
      </c>
      <c r="F42" s="344" t="s">
        <v>45</v>
      </c>
      <c r="G42" s="17" t="s">
        <v>2693</v>
      </c>
      <c r="H42" s="317" t="s">
        <v>2703</v>
      </c>
      <c r="I42" s="346" t="s">
        <v>43</v>
      </c>
      <c r="J42" s="341" t="s">
        <v>2762</v>
      </c>
      <c r="K42" s="633">
        <v>12194</v>
      </c>
      <c r="L42" s="633">
        <v>0</v>
      </c>
      <c r="M42" s="633">
        <v>0</v>
      </c>
      <c r="N42" s="407"/>
      <c r="O42" s="633">
        <v>0</v>
      </c>
      <c r="P42" s="633">
        <v>0</v>
      </c>
      <c r="Q42" s="639">
        <v>7025</v>
      </c>
      <c r="R42" s="633">
        <v>0</v>
      </c>
      <c r="S42" s="633"/>
      <c r="T42" s="633"/>
      <c r="U42" s="633"/>
      <c r="V42" s="633"/>
      <c r="W42" s="633"/>
      <c r="X42" s="633"/>
      <c r="Y42" s="633">
        <f t="shared" si="1"/>
        <v>7025</v>
      </c>
      <c r="Z42" s="407">
        <v>7027</v>
      </c>
      <c r="AA42" s="635" t="s">
        <v>296</v>
      </c>
      <c r="AB42" s="23">
        <v>44232</v>
      </c>
      <c r="AC42" s="23">
        <v>44250</v>
      </c>
      <c r="AD42" s="637">
        <v>35000</v>
      </c>
      <c r="AE42" s="20">
        <v>9</v>
      </c>
      <c r="AF42" s="23">
        <v>44271</v>
      </c>
      <c r="AG42" s="23">
        <v>44284</v>
      </c>
      <c r="AH42" s="645">
        <v>5277</v>
      </c>
      <c r="AI42" s="19">
        <v>19</v>
      </c>
      <c r="AJ42" s="315">
        <v>44271</v>
      </c>
      <c r="AK42" s="316">
        <v>44312</v>
      </c>
      <c r="AL42" s="309"/>
      <c r="AM42" s="19"/>
      <c r="AN42" s="21"/>
      <c r="AO42" s="25"/>
      <c r="AP42" s="309"/>
      <c r="AQ42" s="19"/>
      <c r="AR42" s="21"/>
      <c r="AS42" s="25"/>
      <c r="AT42" s="638">
        <f t="shared" si="2"/>
        <v>47304</v>
      </c>
      <c r="AU42" s="311">
        <f t="shared" si="0"/>
        <v>40279</v>
      </c>
      <c r="AV42" s="148"/>
      <c r="AW42" s="148"/>
      <c r="AX42" s="148"/>
      <c r="AY42" s="148"/>
      <c r="AZ42" s="148"/>
      <c r="BA42" s="148"/>
      <c r="BB42" s="148"/>
      <c r="BC42" s="148"/>
      <c r="BD42" s="148"/>
      <c r="BE42" s="148"/>
      <c r="BF42" s="148"/>
      <c r="BG42" s="148"/>
      <c r="BH42" s="148"/>
      <c r="BI42" s="148"/>
      <c r="BJ42" s="148"/>
      <c r="BK42" s="148"/>
      <c r="BL42" s="148"/>
      <c r="BM42" s="148"/>
      <c r="BN42" s="148"/>
      <c r="BO42" s="148"/>
      <c r="BP42" s="148"/>
      <c r="BQ42" s="148"/>
      <c r="BR42" s="148"/>
      <c r="BS42" s="148"/>
      <c r="BT42" s="148"/>
      <c r="BU42" s="148"/>
      <c r="BV42" s="148"/>
      <c r="BW42" s="148"/>
      <c r="BX42" s="148"/>
      <c r="BY42" s="148"/>
      <c r="BZ42" s="148"/>
      <c r="CA42" s="148"/>
      <c r="CB42" s="148"/>
      <c r="CC42" s="148"/>
      <c r="CD42" s="148"/>
      <c r="CE42" s="148"/>
      <c r="CF42" s="148"/>
      <c r="CG42" s="148"/>
      <c r="CH42" s="148"/>
      <c r="CI42" s="148"/>
      <c r="CJ42" s="148"/>
      <c r="CK42" s="148"/>
      <c r="CL42" s="148"/>
      <c r="CM42" s="148"/>
      <c r="CN42" s="148"/>
      <c r="CO42" s="148"/>
      <c r="CP42" s="148"/>
      <c r="CQ42" s="148"/>
      <c r="CR42" s="148"/>
      <c r="CS42" s="148"/>
      <c r="CT42" s="148"/>
      <c r="CU42" s="148"/>
      <c r="CV42" s="148"/>
      <c r="CW42" s="148"/>
      <c r="CX42" s="148"/>
      <c r="CY42" s="148"/>
      <c r="CZ42" s="148"/>
      <c r="DA42" s="148"/>
      <c r="DB42" s="148"/>
      <c r="DC42" s="148"/>
      <c r="DD42" s="148"/>
      <c r="DE42" s="148"/>
      <c r="DF42" s="148"/>
      <c r="DG42" s="148"/>
      <c r="DH42" s="148"/>
      <c r="DI42" s="148"/>
      <c r="DJ42" s="148"/>
      <c r="DK42" s="148"/>
      <c r="DL42" s="148"/>
      <c r="DM42" s="148"/>
      <c r="DN42" s="148"/>
      <c r="DO42" s="148"/>
      <c r="DP42" s="148"/>
      <c r="DQ42" s="148"/>
      <c r="DR42" s="148"/>
      <c r="DS42" s="148"/>
      <c r="DT42" s="148"/>
      <c r="DU42" s="148"/>
      <c r="DV42" s="148"/>
      <c r="DW42" s="148"/>
      <c r="DX42" s="148"/>
      <c r="DY42" s="148"/>
      <c r="DZ42" s="148"/>
      <c r="EA42" s="148"/>
      <c r="EB42" s="148"/>
      <c r="EC42" s="148"/>
      <c r="ED42" s="148"/>
      <c r="EE42" s="148"/>
      <c r="EF42" s="148"/>
      <c r="EG42" s="148"/>
      <c r="EH42" s="148"/>
      <c r="EI42" s="148"/>
      <c r="EJ42" s="148"/>
      <c r="EK42" s="148"/>
      <c r="EL42" s="148"/>
      <c r="EM42" s="148"/>
      <c r="EN42" s="148"/>
      <c r="EO42" s="148"/>
      <c r="EP42" s="148"/>
      <c r="EQ42" s="148"/>
      <c r="ER42" s="148"/>
      <c r="ES42" s="148"/>
      <c r="ET42" s="148"/>
      <c r="EU42" s="148"/>
      <c r="EV42" s="148"/>
      <c r="EW42" s="148"/>
      <c r="EX42" s="148"/>
      <c r="EY42" s="148"/>
      <c r="EZ42" s="148"/>
      <c r="FA42" s="148"/>
      <c r="FB42" s="148"/>
      <c r="FC42" s="148"/>
      <c r="FD42" s="148"/>
      <c r="FE42" s="148"/>
      <c r="FF42" s="148"/>
      <c r="FG42" s="148"/>
      <c r="FH42" s="148"/>
      <c r="FI42" s="148"/>
      <c r="FJ42" s="148"/>
      <c r="FK42" s="148"/>
      <c r="FL42" s="148"/>
      <c r="FM42" s="148"/>
      <c r="FN42" s="148"/>
      <c r="FO42" s="148"/>
      <c r="FP42" s="148"/>
      <c r="FQ42" s="148"/>
      <c r="FR42" s="148"/>
      <c r="FS42" s="148"/>
      <c r="FT42" s="148"/>
      <c r="FU42" s="148"/>
      <c r="FV42" s="148"/>
      <c r="FW42" s="148"/>
      <c r="FX42" s="148"/>
      <c r="FY42" s="148"/>
      <c r="FZ42" s="148"/>
      <c r="GA42" s="148"/>
      <c r="GB42" s="148"/>
      <c r="GC42" s="148"/>
      <c r="GD42" s="148"/>
      <c r="GE42" s="148"/>
      <c r="GF42" s="148"/>
      <c r="GG42" s="148"/>
      <c r="GH42" s="148"/>
      <c r="GI42" s="148"/>
      <c r="GJ42" s="148"/>
      <c r="GK42" s="148"/>
      <c r="GL42" s="148"/>
      <c r="GM42" s="148"/>
      <c r="GN42" s="148"/>
      <c r="GO42" s="148"/>
      <c r="GP42" s="148"/>
      <c r="GQ42" s="148"/>
      <c r="GR42" s="148"/>
      <c r="GS42" s="148"/>
      <c r="GT42" s="148"/>
      <c r="GU42" s="148"/>
      <c r="GV42" s="148"/>
      <c r="GW42" s="148"/>
      <c r="GX42" s="148"/>
      <c r="GY42" s="148"/>
      <c r="GZ42" s="148"/>
      <c r="HA42" s="148"/>
      <c r="HB42" s="148"/>
      <c r="HC42" s="148"/>
      <c r="HD42" s="148"/>
      <c r="HE42" s="148"/>
      <c r="HF42" s="148"/>
      <c r="HG42" s="148"/>
      <c r="HH42" s="148"/>
      <c r="HI42" s="148"/>
      <c r="HJ42" s="148"/>
      <c r="HK42" s="148"/>
      <c r="HL42" s="148"/>
      <c r="HM42" s="148"/>
      <c r="HN42" s="148"/>
      <c r="HO42" s="148"/>
      <c r="HP42" s="148"/>
      <c r="HQ42" s="148"/>
      <c r="HR42" s="148"/>
      <c r="HS42" s="148"/>
      <c r="HT42" s="148"/>
      <c r="HU42" s="148"/>
      <c r="HV42" s="148"/>
      <c r="HW42" s="148"/>
      <c r="HX42" s="148"/>
      <c r="HY42" s="148"/>
      <c r="HZ42" s="148"/>
      <c r="IA42" s="148"/>
      <c r="IB42" s="148"/>
      <c r="IC42" s="148"/>
      <c r="ID42" s="148"/>
      <c r="IE42" s="148"/>
      <c r="IF42" s="148"/>
      <c r="IG42" s="148"/>
      <c r="IH42" s="148"/>
      <c r="II42" s="148"/>
      <c r="IJ42" s="148"/>
      <c r="IK42" s="148"/>
      <c r="IL42" s="148"/>
      <c r="IM42" s="148"/>
      <c r="IN42" s="148"/>
      <c r="IO42" s="148"/>
      <c r="IP42" s="148"/>
      <c r="IQ42" s="148"/>
      <c r="IR42" s="148"/>
      <c r="IS42" s="148"/>
      <c r="IT42" s="148"/>
      <c r="IU42" s="148"/>
      <c r="IV42" s="148"/>
      <c r="IW42" s="148"/>
      <c r="IX42" s="148"/>
      <c r="IY42" s="148"/>
      <c r="IZ42" s="148"/>
      <c r="JA42" s="148"/>
      <c r="JB42" s="148"/>
      <c r="JC42" s="148"/>
      <c r="JD42" s="148"/>
      <c r="JE42" s="148"/>
      <c r="JF42" s="148"/>
      <c r="JG42" s="148"/>
      <c r="JH42" s="148"/>
      <c r="JI42" s="148"/>
      <c r="JJ42" s="148"/>
      <c r="JK42" s="148"/>
      <c r="JL42" s="148"/>
      <c r="JM42" s="148"/>
      <c r="JN42" s="148"/>
      <c r="JO42" s="148"/>
      <c r="JP42" s="148"/>
      <c r="JQ42" s="148"/>
      <c r="JR42" s="148"/>
      <c r="JS42" s="148"/>
      <c r="JT42" s="148"/>
      <c r="JU42" s="148"/>
      <c r="JV42" s="148"/>
      <c r="JW42" s="148"/>
      <c r="JX42" s="148"/>
      <c r="JY42" s="148"/>
      <c r="JZ42" s="148"/>
      <c r="KA42" s="148"/>
      <c r="KB42" s="148"/>
      <c r="KC42" s="148"/>
      <c r="KD42" s="148"/>
      <c r="KE42" s="148"/>
      <c r="KF42" s="148"/>
      <c r="KG42" s="148"/>
      <c r="KH42" s="148"/>
      <c r="KI42" s="148"/>
      <c r="KJ42" s="148"/>
      <c r="KK42" s="148"/>
      <c r="KL42" s="148"/>
      <c r="KM42" s="148"/>
      <c r="KN42" s="148"/>
      <c r="KO42" s="148"/>
      <c r="KP42" s="148"/>
      <c r="KQ42" s="148"/>
      <c r="KR42" s="148"/>
      <c r="KS42" s="148"/>
      <c r="KT42" s="148"/>
      <c r="KU42" s="148"/>
      <c r="KV42" s="148"/>
      <c r="KW42" s="148"/>
      <c r="KX42" s="148"/>
      <c r="KY42" s="148"/>
      <c r="KZ42" s="148"/>
      <c r="LA42" s="148"/>
      <c r="LB42" s="148"/>
      <c r="LC42" s="148"/>
      <c r="LD42" s="148"/>
      <c r="LE42" s="148"/>
      <c r="LF42" s="148"/>
      <c r="LG42" s="148"/>
      <c r="LH42" s="148"/>
      <c r="LI42" s="148"/>
      <c r="LJ42" s="148"/>
      <c r="LK42" s="148"/>
      <c r="LL42" s="148"/>
      <c r="LM42" s="148"/>
      <c r="LN42" s="148"/>
      <c r="LO42" s="148"/>
      <c r="LP42" s="148"/>
      <c r="LQ42" s="148"/>
      <c r="LR42" s="148"/>
      <c r="LS42" s="148"/>
      <c r="LT42" s="148"/>
      <c r="LU42" s="148"/>
      <c r="LV42" s="148"/>
      <c r="LW42" s="148"/>
      <c r="LX42" s="148"/>
      <c r="LY42" s="148"/>
      <c r="LZ42" s="148"/>
      <c r="MA42" s="148"/>
      <c r="MB42" s="148"/>
      <c r="MC42" s="148"/>
      <c r="MD42" s="148"/>
      <c r="ME42" s="148"/>
      <c r="MF42" s="148"/>
      <c r="MG42" s="148"/>
      <c r="MH42" s="148"/>
      <c r="MI42" s="148"/>
      <c r="MJ42" s="148"/>
      <c r="MK42" s="148"/>
      <c r="ML42" s="148"/>
      <c r="MM42" s="148"/>
      <c r="MN42" s="148"/>
      <c r="MO42" s="148"/>
      <c r="MP42" s="148"/>
      <c r="MQ42" s="148"/>
      <c r="MR42" s="148"/>
      <c r="MS42" s="148"/>
      <c r="MT42" s="148"/>
      <c r="MU42" s="148"/>
      <c r="MV42" s="148"/>
      <c r="MW42" s="148"/>
      <c r="MX42" s="148"/>
      <c r="MY42" s="148"/>
      <c r="MZ42" s="148"/>
      <c r="NA42" s="148"/>
      <c r="NB42" s="148"/>
      <c r="NC42" s="148"/>
      <c r="ND42" s="148"/>
      <c r="NE42" s="148"/>
      <c r="NF42" s="148"/>
      <c r="NG42" s="148"/>
      <c r="NH42" s="148"/>
      <c r="NI42" s="148"/>
      <c r="NJ42" s="148"/>
      <c r="NK42" s="148"/>
      <c r="NL42" s="148"/>
      <c r="NM42" s="148"/>
      <c r="NN42" s="148"/>
      <c r="NO42" s="148"/>
      <c r="NP42" s="148"/>
      <c r="NQ42" s="148"/>
      <c r="NR42" s="148"/>
      <c r="NS42" s="148"/>
      <c r="NT42" s="148"/>
      <c r="NU42" s="148"/>
      <c r="NV42" s="148"/>
      <c r="NW42" s="148"/>
      <c r="NX42" s="148"/>
      <c r="NY42" s="148"/>
      <c r="NZ42" s="148"/>
      <c r="OA42" s="148"/>
      <c r="OB42" s="148"/>
      <c r="OC42" s="148"/>
      <c r="OD42" s="148"/>
      <c r="OE42" s="148"/>
      <c r="OF42" s="148"/>
      <c r="OG42" s="148"/>
      <c r="OH42" s="148"/>
      <c r="OI42" s="148"/>
      <c r="OJ42" s="148"/>
      <c r="OK42" s="148"/>
      <c r="OL42" s="148"/>
      <c r="OM42" s="148"/>
      <c r="ON42" s="148"/>
      <c r="OO42" s="148"/>
      <c r="OP42" s="148"/>
      <c r="OQ42" s="148"/>
      <c r="OR42" s="148"/>
      <c r="OS42" s="148"/>
      <c r="OT42" s="148"/>
      <c r="OU42" s="148"/>
      <c r="OV42" s="148"/>
      <c r="OW42" s="148"/>
      <c r="OX42" s="148"/>
      <c r="OY42" s="148"/>
      <c r="OZ42" s="148"/>
      <c r="PA42" s="148"/>
      <c r="PB42" s="148"/>
      <c r="PC42" s="148"/>
      <c r="PD42" s="148"/>
      <c r="PE42" s="148"/>
      <c r="PF42" s="148"/>
      <c r="PG42" s="148"/>
      <c r="PH42" s="148"/>
      <c r="PI42" s="148"/>
      <c r="PJ42" s="148"/>
      <c r="PK42" s="148"/>
      <c r="PL42" s="148"/>
      <c r="PM42" s="148"/>
      <c r="PN42" s="148"/>
      <c r="PO42" s="148"/>
      <c r="PP42" s="148"/>
      <c r="PQ42" s="148"/>
      <c r="PR42" s="148"/>
      <c r="PS42" s="148"/>
      <c r="PT42" s="148"/>
      <c r="PU42" s="148"/>
      <c r="PV42" s="148"/>
      <c r="PW42" s="148"/>
      <c r="PX42" s="148"/>
      <c r="PY42" s="148"/>
      <c r="PZ42" s="148"/>
      <c r="QA42" s="148"/>
      <c r="QB42" s="148"/>
      <c r="QC42" s="148"/>
      <c r="QD42" s="148"/>
      <c r="QE42" s="148"/>
      <c r="QF42" s="148"/>
      <c r="QG42" s="148"/>
      <c r="QH42" s="148"/>
      <c r="QI42" s="148"/>
      <c r="QJ42" s="148"/>
      <c r="QK42" s="148"/>
      <c r="QL42" s="148"/>
      <c r="QM42" s="148"/>
      <c r="QN42" s="148"/>
      <c r="QO42" s="148"/>
      <c r="QP42" s="148"/>
      <c r="QQ42" s="148"/>
      <c r="QR42" s="148"/>
      <c r="QS42" s="148"/>
      <c r="QT42" s="148"/>
      <c r="QU42" s="148"/>
      <c r="QV42" s="148"/>
      <c r="QW42" s="148"/>
      <c r="QX42" s="148"/>
      <c r="QY42" s="148"/>
      <c r="QZ42" s="148"/>
      <c r="RA42" s="148"/>
      <c r="RB42" s="148"/>
      <c r="RC42" s="148"/>
      <c r="RD42" s="148"/>
      <c r="RE42" s="148"/>
      <c r="RF42" s="148"/>
      <c r="RG42" s="148"/>
      <c r="RH42" s="148"/>
      <c r="RI42" s="148"/>
      <c r="RJ42" s="148"/>
      <c r="RK42" s="148"/>
      <c r="RL42" s="148"/>
      <c r="RM42" s="148"/>
      <c r="RN42" s="148"/>
      <c r="RO42" s="148"/>
      <c r="RP42" s="148"/>
      <c r="RQ42" s="148"/>
      <c r="RR42" s="148"/>
    </row>
    <row r="43" spans="1:486" s="15" customFormat="1" ht="18.75" customHeight="1" x14ac:dyDescent="0.25">
      <c r="A43" s="148"/>
      <c r="B43" s="350">
        <v>28</v>
      </c>
      <c r="C43" s="643" t="s">
        <v>894</v>
      </c>
      <c r="D43" s="631">
        <v>40015346</v>
      </c>
      <c r="E43" s="344" t="s">
        <v>2763</v>
      </c>
      <c r="F43" s="344" t="s">
        <v>45</v>
      </c>
      <c r="G43" s="17" t="s">
        <v>2693</v>
      </c>
      <c r="H43" s="317" t="s">
        <v>2715</v>
      </c>
      <c r="I43" s="346" t="s">
        <v>43</v>
      </c>
      <c r="J43" s="341" t="s">
        <v>2764</v>
      </c>
      <c r="K43" s="633">
        <v>12808</v>
      </c>
      <c r="L43" s="633">
        <v>200457</v>
      </c>
      <c r="M43" s="633">
        <v>0</v>
      </c>
      <c r="N43" s="633">
        <v>0</v>
      </c>
      <c r="O43" s="633">
        <v>0</v>
      </c>
      <c r="P43" s="633">
        <v>0</v>
      </c>
      <c r="Q43" s="633">
        <v>0</v>
      </c>
      <c r="R43" s="633">
        <v>0</v>
      </c>
      <c r="S43" s="633"/>
      <c r="T43" s="633"/>
      <c r="U43" s="633"/>
      <c r="V43" s="633"/>
      <c r="W43" s="633"/>
      <c r="X43" s="633"/>
      <c r="Y43" s="633">
        <f t="shared" si="1"/>
        <v>0</v>
      </c>
      <c r="Z43" s="407">
        <v>20000</v>
      </c>
      <c r="AA43" s="635" t="s">
        <v>296</v>
      </c>
      <c r="AB43" s="23">
        <v>44232</v>
      </c>
      <c r="AC43" s="23">
        <v>44250</v>
      </c>
      <c r="AD43" s="637">
        <v>378493</v>
      </c>
      <c r="AE43" s="20">
        <v>9</v>
      </c>
      <c r="AF43" s="23">
        <v>44271</v>
      </c>
      <c r="AG43" s="23">
        <v>44284</v>
      </c>
      <c r="AH43" s="645">
        <v>248</v>
      </c>
      <c r="AI43" s="19">
        <v>19</v>
      </c>
      <c r="AJ43" s="315">
        <v>44271</v>
      </c>
      <c r="AK43" s="316">
        <v>44312</v>
      </c>
      <c r="AL43" s="309"/>
      <c r="AM43" s="19"/>
      <c r="AN43" s="21"/>
      <c r="AO43" s="25"/>
      <c r="AP43" s="309"/>
      <c r="AQ43" s="19"/>
      <c r="AR43" s="21"/>
      <c r="AS43" s="25"/>
      <c r="AT43" s="638">
        <f t="shared" si="2"/>
        <v>398741</v>
      </c>
      <c r="AU43" s="311">
        <f t="shared" si="0"/>
        <v>398741</v>
      </c>
      <c r="AV43" s="148"/>
      <c r="AW43" s="148"/>
      <c r="AX43" s="148"/>
      <c r="AY43" s="148"/>
      <c r="AZ43" s="148"/>
      <c r="BA43" s="148"/>
      <c r="BB43" s="148"/>
      <c r="BC43" s="148"/>
      <c r="BD43" s="148"/>
      <c r="BE43" s="148"/>
      <c r="BF43" s="148"/>
      <c r="BG43" s="148"/>
      <c r="BH43" s="148"/>
      <c r="BI43" s="148"/>
      <c r="BJ43" s="148"/>
      <c r="BK43" s="148"/>
      <c r="BL43" s="148"/>
      <c r="BM43" s="148"/>
      <c r="BN43" s="148"/>
      <c r="BO43" s="148"/>
      <c r="BP43" s="148"/>
      <c r="BQ43" s="148"/>
      <c r="BR43" s="148"/>
      <c r="BS43" s="148"/>
      <c r="BT43" s="148"/>
      <c r="BU43" s="148"/>
      <c r="BV43" s="148"/>
      <c r="BW43" s="148"/>
      <c r="BX43" s="148"/>
      <c r="BY43" s="148"/>
      <c r="BZ43" s="148"/>
      <c r="CA43" s="148"/>
      <c r="CB43" s="148"/>
      <c r="CC43" s="148"/>
      <c r="CD43" s="148"/>
      <c r="CE43" s="148"/>
      <c r="CF43" s="148"/>
      <c r="CG43" s="148"/>
      <c r="CH43" s="148"/>
      <c r="CI43" s="148"/>
      <c r="CJ43" s="148"/>
      <c r="CK43" s="148"/>
      <c r="CL43" s="148"/>
      <c r="CM43" s="148"/>
      <c r="CN43" s="148"/>
      <c r="CO43" s="148"/>
      <c r="CP43" s="148"/>
      <c r="CQ43" s="148"/>
      <c r="CR43" s="148"/>
      <c r="CS43" s="148"/>
      <c r="CT43" s="148"/>
      <c r="CU43" s="148"/>
      <c r="CV43" s="148"/>
      <c r="CW43" s="148"/>
      <c r="CX43" s="148"/>
      <c r="CY43" s="148"/>
      <c r="CZ43" s="148"/>
      <c r="DA43" s="148"/>
      <c r="DB43" s="148"/>
      <c r="DC43" s="148"/>
      <c r="DD43" s="148"/>
      <c r="DE43" s="148"/>
      <c r="DF43" s="148"/>
      <c r="DG43" s="148"/>
      <c r="DH43" s="148"/>
      <c r="DI43" s="148"/>
      <c r="DJ43" s="148"/>
      <c r="DK43" s="148"/>
      <c r="DL43" s="148"/>
      <c r="DM43" s="148"/>
      <c r="DN43" s="148"/>
      <c r="DO43" s="148"/>
      <c r="DP43" s="148"/>
      <c r="DQ43" s="148"/>
      <c r="DR43" s="148"/>
      <c r="DS43" s="148"/>
      <c r="DT43" s="148"/>
      <c r="DU43" s="148"/>
      <c r="DV43" s="148"/>
      <c r="DW43" s="148"/>
      <c r="DX43" s="148"/>
      <c r="DY43" s="148"/>
      <c r="DZ43" s="148"/>
      <c r="EA43" s="148"/>
      <c r="EB43" s="148"/>
      <c r="EC43" s="148"/>
      <c r="ED43" s="148"/>
      <c r="EE43" s="148"/>
      <c r="EF43" s="148"/>
      <c r="EG43" s="148"/>
      <c r="EH43" s="148"/>
      <c r="EI43" s="148"/>
      <c r="EJ43" s="148"/>
      <c r="EK43" s="148"/>
      <c r="EL43" s="148"/>
      <c r="EM43" s="148"/>
      <c r="EN43" s="148"/>
      <c r="EO43" s="148"/>
      <c r="EP43" s="148"/>
      <c r="EQ43" s="148"/>
      <c r="ER43" s="148"/>
      <c r="ES43" s="148"/>
      <c r="ET43" s="148"/>
      <c r="EU43" s="148"/>
      <c r="EV43" s="148"/>
      <c r="EW43" s="148"/>
      <c r="EX43" s="148"/>
      <c r="EY43" s="148"/>
      <c r="EZ43" s="148"/>
      <c r="FA43" s="148"/>
      <c r="FB43" s="148"/>
      <c r="FC43" s="148"/>
      <c r="FD43" s="148"/>
      <c r="FE43" s="148"/>
      <c r="FF43" s="148"/>
      <c r="FG43" s="148"/>
      <c r="FH43" s="148"/>
      <c r="FI43" s="148"/>
      <c r="FJ43" s="148"/>
      <c r="FK43" s="148"/>
      <c r="FL43" s="148"/>
      <c r="FM43" s="148"/>
      <c r="FN43" s="148"/>
      <c r="FO43" s="148"/>
      <c r="FP43" s="148"/>
      <c r="FQ43" s="148"/>
      <c r="FR43" s="148"/>
      <c r="FS43" s="148"/>
      <c r="FT43" s="148"/>
      <c r="FU43" s="148"/>
      <c r="FV43" s="148"/>
      <c r="FW43" s="148"/>
      <c r="FX43" s="148"/>
      <c r="FY43" s="148"/>
      <c r="FZ43" s="148"/>
      <c r="GA43" s="148"/>
      <c r="GB43" s="148"/>
      <c r="GC43" s="148"/>
      <c r="GD43" s="148"/>
      <c r="GE43" s="148"/>
      <c r="GF43" s="148"/>
      <c r="GG43" s="148"/>
      <c r="GH43" s="148"/>
      <c r="GI43" s="148"/>
      <c r="GJ43" s="148"/>
      <c r="GK43" s="148"/>
      <c r="GL43" s="148"/>
      <c r="GM43" s="148"/>
      <c r="GN43" s="148"/>
      <c r="GO43" s="148"/>
      <c r="GP43" s="148"/>
      <c r="GQ43" s="148"/>
      <c r="GR43" s="148"/>
      <c r="GS43" s="148"/>
      <c r="GT43" s="148"/>
      <c r="GU43" s="148"/>
      <c r="GV43" s="148"/>
      <c r="GW43" s="148"/>
      <c r="GX43" s="148"/>
      <c r="GY43" s="148"/>
      <c r="GZ43" s="148"/>
      <c r="HA43" s="148"/>
      <c r="HB43" s="148"/>
      <c r="HC43" s="148"/>
      <c r="HD43" s="148"/>
      <c r="HE43" s="148"/>
      <c r="HF43" s="148"/>
      <c r="HG43" s="148"/>
      <c r="HH43" s="148"/>
      <c r="HI43" s="148"/>
      <c r="HJ43" s="148"/>
      <c r="HK43" s="148"/>
      <c r="HL43" s="148"/>
      <c r="HM43" s="148"/>
      <c r="HN43" s="148"/>
      <c r="HO43" s="148"/>
      <c r="HP43" s="148"/>
      <c r="HQ43" s="148"/>
      <c r="HR43" s="148"/>
      <c r="HS43" s="148"/>
      <c r="HT43" s="148"/>
      <c r="HU43" s="148"/>
      <c r="HV43" s="148"/>
      <c r="HW43" s="148"/>
      <c r="HX43" s="148"/>
      <c r="HY43" s="148"/>
      <c r="HZ43" s="148"/>
      <c r="IA43" s="148"/>
      <c r="IB43" s="148"/>
      <c r="IC43" s="148"/>
      <c r="ID43" s="148"/>
      <c r="IE43" s="148"/>
      <c r="IF43" s="148"/>
      <c r="IG43" s="148"/>
      <c r="IH43" s="148"/>
      <c r="II43" s="148"/>
      <c r="IJ43" s="148"/>
      <c r="IK43" s="148"/>
      <c r="IL43" s="148"/>
      <c r="IM43" s="148"/>
      <c r="IN43" s="148"/>
      <c r="IO43" s="148"/>
      <c r="IP43" s="148"/>
      <c r="IQ43" s="148"/>
      <c r="IR43" s="148"/>
      <c r="IS43" s="148"/>
      <c r="IT43" s="148"/>
      <c r="IU43" s="148"/>
      <c r="IV43" s="148"/>
      <c r="IW43" s="148"/>
      <c r="IX43" s="148"/>
      <c r="IY43" s="148"/>
      <c r="IZ43" s="148"/>
      <c r="JA43" s="148"/>
      <c r="JB43" s="148"/>
      <c r="JC43" s="148"/>
      <c r="JD43" s="148"/>
      <c r="JE43" s="148"/>
      <c r="JF43" s="148"/>
      <c r="JG43" s="148"/>
      <c r="JH43" s="148"/>
      <c r="JI43" s="148"/>
      <c r="JJ43" s="148"/>
      <c r="JK43" s="148"/>
      <c r="JL43" s="148"/>
      <c r="JM43" s="148"/>
      <c r="JN43" s="148"/>
      <c r="JO43" s="148"/>
      <c r="JP43" s="148"/>
      <c r="JQ43" s="148"/>
      <c r="JR43" s="148"/>
      <c r="JS43" s="148"/>
      <c r="JT43" s="148"/>
      <c r="JU43" s="148"/>
      <c r="JV43" s="148"/>
      <c r="JW43" s="148"/>
      <c r="JX43" s="148"/>
      <c r="JY43" s="148"/>
      <c r="JZ43" s="148"/>
      <c r="KA43" s="148"/>
      <c r="KB43" s="148"/>
      <c r="KC43" s="148"/>
      <c r="KD43" s="148"/>
      <c r="KE43" s="148"/>
      <c r="KF43" s="148"/>
      <c r="KG43" s="148"/>
      <c r="KH43" s="148"/>
      <c r="KI43" s="148"/>
      <c r="KJ43" s="148"/>
      <c r="KK43" s="148"/>
      <c r="KL43" s="148"/>
      <c r="KM43" s="148"/>
      <c r="KN43" s="148"/>
      <c r="KO43" s="148"/>
      <c r="KP43" s="148"/>
      <c r="KQ43" s="148"/>
      <c r="KR43" s="148"/>
      <c r="KS43" s="148"/>
      <c r="KT43" s="148"/>
      <c r="KU43" s="148"/>
      <c r="KV43" s="148"/>
      <c r="KW43" s="148"/>
      <c r="KX43" s="148"/>
      <c r="KY43" s="148"/>
      <c r="KZ43" s="148"/>
      <c r="LA43" s="148"/>
      <c r="LB43" s="148"/>
      <c r="LC43" s="148"/>
      <c r="LD43" s="148"/>
      <c r="LE43" s="148"/>
      <c r="LF43" s="148"/>
      <c r="LG43" s="148"/>
      <c r="LH43" s="148"/>
      <c r="LI43" s="148"/>
      <c r="LJ43" s="148"/>
      <c r="LK43" s="148"/>
      <c r="LL43" s="148"/>
      <c r="LM43" s="148"/>
      <c r="LN43" s="148"/>
      <c r="LO43" s="148"/>
      <c r="LP43" s="148"/>
      <c r="LQ43" s="148"/>
      <c r="LR43" s="148"/>
      <c r="LS43" s="148"/>
      <c r="LT43" s="148"/>
      <c r="LU43" s="148"/>
      <c r="LV43" s="148"/>
      <c r="LW43" s="148"/>
      <c r="LX43" s="148"/>
      <c r="LY43" s="148"/>
      <c r="LZ43" s="148"/>
      <c r="MA43" s="148"/>
      <c r="MB43" s="148"/>
      <c r="MC43" s="148"/>
      <c r="MD43" s="148"/>
      <c r="ME43" s="148"/>
      <c r="MF43" s="148"/>
      <c r="MG43" s="148"/>
      <c r="MH43" s="148"/>
      <c r="MI43" s="148"/>
      <c r="MJ43" s="148"/>
      <c r="MK43" s="148"/>
      <c r="ML43" s="148"/>
      <c r="MM43" s="148"/>
      <c r="MN43" s="148"/>
      <c r="MO43" s="148"/>
      <c r="MP43" s="148"/>
      <c r="MQ43" s="148"/>
      <c r="MR43" s="148"/>
      <c r="MS43" s="148"/>
      <c r="MT43" s="148"/>
      <c r="MU43" s="148"/>
      <c r="MV43" s="148"/>
      <c r="MW43" s="148"/>
      <c r="MX43" s="148"/>
      <c r="MY43" s="148"/>
      <c r="MZ43" s="148"/>
      <c r="NA43" s="148"/>
      <c r="NB43" s="148"/>
      <c r="NC43" s="148"/>
      <c r="ND43" s="148"/>
      <c r="NE43" s="148"/>
      <c r="NF43" s="148"/>
      <c r="NG43" s="148"/>
      <c r="NH43" s="148"/>
      <c r="NI43" s="148"/>
      <c r="NJ43" s="148"/>
      <c r="NK43" s="148"/>
      <c r="NL43" s="148"/>
      <c r="NM43" s="148"/>
      <c r="NN43" s="148"/>
      <c r="NO43" s="148"/>
      <c r="NP43" s="148"/>
      <c r="NQ43" s="148"/>
      <c r="NR43" s="148"/>
      <c r="NS43" s="148"/>
      <c r="NT43" s="148"/>
      <c r="NU43" s="148"/>
      <c r="NV43" s="148"/>
      <c r="NW43" s="148"/>
      <c r="NX43" s="148"/>
      <c r="NY43" s="148"/>
      <c r="NZ43" s="148"/>
      <c r="OA43" s="148"/>
      <c r="OB43" s="148"/>
      <c r="OC43" s="148"/>
      <c r="OD43" s="148"/>
      <c r="OE43" s="148"/>
      <c r="OF43" s="148"/>
      <c r="OG43" s="148"/>
      <c r="OH43" s="148"/>
      <c r="OI43" s="148"/>
      <c r="OJ43" s="148"/>
      <c r="OK43" s="148"/>
      <c r="OL43" s="148"/>
      <c r="OM43" s="148"/>
      <c r="ON43" s="148"/>
      <c r="OO43" s="148"/>
      <c r="OP43" s="148"/>
      <c r="OQ43" s="148"/>
      <c r="OR43" s="148"/>
      <c r="OS43" s="148"/>
      <c r="OT43" s="148"/>
      <c r="OU43" s="148"/>
      <c r="OV43" s="148"/>
      <c r="OW43" s="148"/>
      <c r="OX43" s="148"/>
      <c r="OY43" s="148"/>
      <c r="OZ43" s="148"/>
      <c r="PA43" s="148"/>
      <c r="PB43" s="148"/>
      <c r="PC43" s="148"/>
      <c r="PD43" s="148"/>
      <c r="PE43" s="148"/>
      <c r="PF43" s="148"/>
      <c r="PG43" s="148"/>
      <c r="PH43" s="148"/>
      <c r="PI43" s="148"/>
      <c r="PJ43" s="148"/>
      <c r="PK43" s="148"/>
      <c r="PL43" s="148"/>
      <c r="PM43" s="148"/>
      <c r="PN43" s="148"/>
      <c r="PO43" s="148"/>
      <c r="PP43" s="148"/>
      <c r="PQ43" s="148"/>
      <c r="PR43" s="148"/>
      <c r="PS43" s="148"/>
      <c r="PT43" s="148"/>
      <c r="PU43" s="148"/>
      <c r="PV43" s="148"/>
      <c r="PW43" s="148"/>
      <c r="PX43" s="148"/>
      <c r="PY43" s="148"/>
      <c r="PZ43" s="148"/>
      <c r="QA43" s="148"/>
      <c r="QB43" s="148"/>
      <c r="QC43" s="148"/>
      <c r="QD43" s="148"/>
      <c r="QE43" s="148"/>
      <c r="QF43" s="148"/>
      <c r="QG43" s="148"/>
      <c r="QH43" s="148"/>
      <c r="QI43" s="148"/>
      <c r="QJ43" s="148"/>
      <c r="QK43" s="148"/>
      <c r="QL43" s="148"/>
      <c r="QM43" s="148"/>
      <c r="QN43" s="148"/>
      <c r="QO43" s="148"/>
      <c r="QP43" s="148"/>
      <c r="QQ43" s="148"/>
      <c r="QR43" s="148"/>
      <c r="QS43" s="148"/>
      <c r="QT43" s="148"/>
      <c r="QU43" s="148"/>
      <c r="QV43" s="148"/>
      <c r="QW43" s="148"/>
      <c r="QX43" s="148"/>
      <c r="QY43" s="148"/>
      <c r="QZ43" s="148"/>
      <c r="RA43" s="148"/>
      <c r="RB43" s="148"/>
      <c r="RC43" s="148"/>
      <c r="RD43" s="148"/>
      <c r="RE43" s="148"/>
      <c r="RF43" s="148"/>
      <c r="RG43" s="148"/>
      <c r="RH43" s="148"/>
      <c r="RI43" s="148"/>
      <c r="RJ43" s="148"/>
      <c r="RK43" s="148"/>
      <c r="RL43" s="148"/>
      <c r="RM43" s="148"/>
      <c r="RN43" s="148"/>
      <c r="RO43" s="148"/>
      <c r="RP43" s="148"/>
      <c r="RQ43" s="148"/>
      <c r="RR43" s="148"/>
    </row>
    <row r="44" spans="1:486" s="15" customFormat="1" ht="22.5" x14ac:dyDescent="0.25">
      <c r="A44" s="148"/>
      <c r="B44" s="350">
        <v>29</v>
      </c>
      <c r="C44" s="641" t="s">
        <v>894</v>
      </c>
      <c r="D44" s="631">
        <v>40019695</v>
      </c>
      <c r="E44" s="344" t="s">
        <v>2765</v>
      </c>
      <c r="F44" s="344"/>
      <c r="G44" s="17" t="s">
        <v>2693</v>
      </c>
      <c r="H44" s="317" t="s">
        <v>2700</v>
      </c>
      <c r="I44" s="346" t="s">
        <v>43</v>
      </c>
      <c r="J44" s="341" t="s">
        <v>2766</v>
      </c>
      <c r="K44" s="633">
        <v>209403</v>
      </c>
      <c r="L44" s="633">
        <v>0</v>
      </c>
      <c r="M44" s="633">
        <v>0</v>
      </c>
      <c r="N44" s="633">
        <v>0</v>
      </c>
      <c r="O44" s="633">
        <v>0</v>
      </c>
      <c r="P44" s="633">
        <v>2151360</v>
      </c>
      <c r="Q44" s="633">
        <v>0</v>
      </c>
      <c r="R44" s="633">
        <f>2404+108521</f>
        <v>110925</v>
      </c>
      <c r="S44" s="633"/>
      <c r="T44" s="633"/>
      <c r="U44" s="633"/>
      <c r="V44" s="633"/>
      <c r="W44" s="633"/>
      <c r="X44" s="633"/>
      <c r="Y44" s="633">
        <f t="shared" si="1"/>
        <v>2262285</v>
      </c>
      <c r="Z44" s="407">
        <v>791909</v>
      </c>
      <c r="AA44" s="635" t="s">
        <v>296</v>
      </c>
      <c r="AB44" s="23">
        <v>44232</v>
      </c>
      <c r="AC44" s="23">
        <v>44250</v>
      </c>
      <c r="AD44" s="637"/>
      <c r="AE44" s="20"/>
      <c r="AF44" s="21"/>
      <c r="AG44" s="23"/>
      <c r="AH44" s="637"/>
      <c r="AI44" s="19"/>
      <c r="AJ44" s="21"/>
      <c r="AK44" s="25"/>
      <c r="AL44" s="309"/>
      <c r="AM44" s="19"/>
      <c r="AN44" s="21"/>
      <c r="AO44" s="25"/>
      <c r="AP44" s="309"/>
      <c r="AQ44" s="19"/>
      <c r="AR44" s="21"/>
      <c r="AS44" s="25"/>
      <c r="AT44" s="638">
        <f t="shared" si="2"/>
        <v>791909</v>
      </c>
      <c r="AU44" s="311">
        <f t="shared" si="0"/>
        <v>-1470376</v>
      </c>
      <c r="AV44" s="148"/>
      <c r="AW44" s="148"/>
      <c r="AX44" s="148"/>
      <c r="AY44" s="148"/>
      <c r="AZ44" s="148"/>
      <c r="BA44" s="148"/>
      <c r="BB44" s="148"/>
      <c r="BC44" s="148"/>
      <c r="BD44" s="148"/>
      <c r="BE44" s="148"/>
      <c r="BF44" s="148"/>
      <c r="BG44" s="148"/>
      <c r="BH44" s="148"/>
      <c r="BI44" s="148"/>
      <c r="BJ44" s="148"/>
      <c r="BK44" s="148"/>
      <c r="BL44" s="148"/>
      <c r="BM44" s="148"/>
      <c r="BN44" s="148"/>
      <c r="BO44" s="148"/>
      <c r="BP44" s="148"/>
      <c r="BQ44" s="148"/>
      <c r="BR44" s="148"/>
      <c r="BS44" s="148"/>
      <c r="BT44" s="148"/>
      <c r="BU44" s="148"/>
      <c r="BV44" s="148"/>
      <c r="BW44" s="148"/>
      <c r="BX44" s="148"/>
      <c r="BY44" s="148"/>
      <c r="BZ44" s="148"/>
      <c r="CA44" s="148"/>
      <c r="CB44" s="148"/>
      <c r="CC44" s="148"/>
      <c r="CD44" s="148"/>
      <c r="CE44" s="148"/>
      <c r="CF44" s="148"/>
      <c r="CG44" s="148"/>
      <c r="CH44" s="148"/>
      <c r="CI44" s="148"/>
      <c r="CJ44" s="148"/>
      <c r="CK44" s="148"/>
      <c r="CL44" s="148"/>
      <c r="CM44" s="148"/>
      <c r="CN44" s="148"/>
      <c r="CO44" s="148"/>
      <c r="CP44" s="148"/>
      <c r="CQ44" s="148"/>
      <c r="CR44" s="148"/>
      <c r="CS44" s="148"/>
      <c r="CT44" s="148"/>
      <c r="CU44" s="148"/>
      <c r="CV44" s="148"/>
      <c r="CW44" s="148"/>
      <c r="CX44" s="148"/>
      <c r="CY44" s="148"/>
      <c r="CZ44" s="148"/>
      <c r="DA44" s="148"/>
      <c r="DB44" s="148"/>
      <c r="DC44" s="148"/>
      <c r="DD44" s="148"/>
      <c r="DE44" s="148"/>
      <c r="DF44" s="148"/>
      <c r="DG44" s="148"/>
      <c r="DH44" s="148"/>
      <c r="DI44" s="148"/>
      <c r="DJ44" s="148"/>
      <c r="DK44" s="148"/>
      <c r="DL44" s="148"/>
      <c r="DM44" s="148"/>
      <c r="DN44" s="148"/>
      <c r="DO44" s="148"/>
      <c r="DP44" s="148"/>
      <c r="DQ44" s="148"/>
      <c r="DR44" s="148"/>
      <c r="DS44" s="148"/>
      <c r="DT44" s="148"/>
      <c r="DU44" s="148"/>
      <c r="DV44" s="148"/>
      <c r="DW44" s="148"/>
      <c r="DX44" s="148"/>
      <c r="DY44" s="148"/>
      <c r="DZ44" s="148"/>
      <c r="EA44" s="148"/>
      <c r="EB44" s="148"/>
      <c r="EC44" s="148"/>
      <c r="ED44" s="148"/>
      <c r="EE44" s="148"/>
      <c r="EF44" s="148"/>
      <c r="EG44" s="148"/>
      <c r="EH44" s="148"/>
      <c r="EI44" s="148"/>
      <c r="EJ44" s="148"/>
      <c r="EK44" s="148"/>
      <c r="EL44" s="148"/>
      <c r="EM44" s="148"/>
      <c r="EN44" s="148"/>
      <c r="EO44" s="148"/>
      <c r="EP44" s="148"/>
      <c r="EQ44" s="148"/>
      <c r="ER44" s="148"/>
      <c r="ES44" s="148"/>
      <c r="ET44" s="148"/>
      <c r="EU44" s="148"/>
      <c r="EV44" s="148"/>
      <c r="EW44" s="148"/>
      <c r="EX44" s="148"/>
      <c r="EY44" s="148"/>
      <c r="EZ44" s="148"/>
      <c r="FA44" s="148"/>
      <c r="FB44" s="148"/>
      <c r="FC44" s="148"/>
      <c r="FD44" s="148"/>
      <c r="FE44" s="148"/>
      <c r="FF44" s="148"/>
      <c r="FG44" s="148"/>
      <c r="FH44" s="148"/>
      <c r="FI44" s="148"/>
      <c r="FJ44" s="148"/>
      <c r="FK44" s="148"/>
      <c r="FL44" s="148"/>
      <c r="FM44" s="148"/>
      <c r="FN44" s="148"/>
      <c r="FO44" s="148"/>
      <c r="FP44" s="148"/>
      <c r="FQ44" s="148"/>
      <c r="FR44" s="148"/>
      <c r="FS44" s="148"/>
      <c r="FT44" s="148"/>
      <c r="FU44" s="148"/>
      <c r="FV44" s="148"/>
      <c r="FW44" s="148"/>
      <c r="FX44" s="148"/>
      <c r="FY44" s="148"/>
      <c r="FZ44" s="148"/>
      <c r="GA44" s="148"/>
      <c r="GB44" s="148"/>
      <c r="GC44" s="148"/>
      <c r="GD44" s="148"/>
      <c r="GE44" s="148"/>
      <c r="GF44" s="148"/>
      <c r="GG44" s="148"/>
      <c r="GH44" s="148"/>
      <c r="GI44" s="148"/>
      <c r="GJ44" s="148"/>
      <c r="GK44" s="148"/>
      <c r="GL44" s="148"/>
      <c r="GM44" s="148"/>
      <c r="GN44" s="148"/>
      <c r="GO44" s="148"/>
      <c r="GP44" s="148"/>
      <c r="GQ44" s="148"/>
      <c r="GR44" s="148"/>
      <c r="GS44" s="148"/>
      <c r="GT44" s="148"/>
      <c r="GU44" s="148"/>
      <c r="GV44" s="148"/>
      <c r="GW44" s="148"/>
      <c r="GX44" s="148"/>
      <c r="GY44" s="148"/>
      <c r="GZ44" s="148"/>
      <c r="HA44" s="148"/>
      <c r="HB44" s="148"/>
      <c r="HC44" s="148"/>
      <c r="HD44" s="148"/>
      <c r="HE44" s="148"/>
      <c r="HF44" s="148"/>
      <c r="HG44" s="148"/>
      <c r="HH44" s="148"/>
      <c r="HI44" s="148"/>
      <c r="HJ44" s="148"/>
      <c r="HK44" s="148"/>
      <c r="HL44" s="148"/>
      <c r="HM44" s="148"/>
      <c r="HN44" s="148"/>
      <c r="HO44" s="148"/>
      <c r="HP44" s="148"/>
      <c r="HQ44" s="148"/>
      <c r="HR44" s="148"/>
      <c r="HS44" s="148"/>
      <c r="HT44" s="148"/>
      <c r="HU44" s="148"/>
      <c r="HV44" s="148"/>
      <c r="HW44" s="148"/>
      <c r="HX44" s="148"/>
      <c r="HY44" s="148"/>
      <c r="HZ44" s="148"/>
      <c r="IA44" s="148"/>
      <c r="IB44" s="148"/>
      <c r="IC44" s="148"/>
      <c r="ID44" s="148"/>
      <c r="IE44" s="148"/>
      <c r="IF44" s="148"/>
      <c r="IG44" s="148"/>
      <c r="IH44" s="148"/>
      <c r="II44" s="148"/>
      <c r="IJ44" s="148"/>
      <c r="IK44" s="148"/>
      <c r="IL44" s="148"/>
      <c r="IM44" s="148"/>
      <c r="IN44" s="148"/>
      <c r="IO44" s="148"/>
      <c r="IP44" s="148"/>
      <c r="IQ44" s="148"/>
      <c r="IR44" s="148"/>
      <c r="IS44" s="148"/>
      <c r="IT44" s="148"/>
      <c r="IU44" s="148"/>
      <c r="IV44" s="148"/>
      <c r="IW44" s="148"/>
      <c r="IX44" s="148"/>
      <c r="IY44" s="148"/>
      <c r="IZ44" s="148"/>
      <c r="JA44" s="148"/>
      <c r="JB44" s="148"/>
      <c r="JC44" s="148"/>
      <c r="JD44" s="148"/>
      <c r="JE44" s="148"/>
      <c r="JF44" s="148"/>
      <c r="JG44" s="148"/>
      <c r="JH44" s="148"/>
      <c r="JI44" s="148"/>
      <c r="JJ44" s="148"/>
      <c r="JK44" s="148"/>
      <c r="JL44" s="148"/>
      <c r="JM44" s="148"/>
      <c r="JN44" s="148"/>
      <c r="JO44" s="148"/>
      <c r="JP44" s="148"/>
      <c r="JQ44" s="148"/>
      <c r="JR44" s="148"/>
      <c r="JS44" s="148"/>
      <c r="JT44" s="148"/>
      <c r="JU44" s="148"/>
      <c r="JV44" s="148"/>
      <c r="JW44" s="148"/>
      <c r="JX44" s="148"/>
      <c r="JY44" s="148"/>
      <c r="JZ44" s="148"/>
      <c r="KA44" s="148"/>
      <c r="KB44" s="148"/>
      <c r="KC44" s="148"/>
      <c r="KD44" s="148"/>
      <c r="KE44" s="148"/>
      <c r="KF44" s="148"/>
      <c r="KG44" s="148"/>
      <c r="KH44" s="148"/>
      <c r="KI44" s="148"/>
      <c r="KJ44" s="148"/>
      <c r="KK44" s="148"/>
      <c r="KL44" s="148"/>
      <c r="KM44" s="148"/>
      <c r="KN44" s="148"/>
      <c r="KO44" s="148"/>
      <c r="KP44" s="148"/>
      <c r="KQ44" s="148"/>
      <c r="KR44" s="148"/>
      <c r="KS44" s="148"/>
      <c r="KT44" s="148"/>
      <c r="KU44" s="148"/>
      <c r="KV44" s="148"/>
      <c r="KW44" s="148"/>
      <c r="KX44" s="148"/>
      <c r="KY44" s="148"/>
      <c r="KZ44" s="148"/>
      <c r="LA44" s="148"/>
      <c r="LB44" s="148"/>
      <c r="LC44" s="148"/>
      <c r="LD44" s="148"/>
      <c r="LE44" s="148"/>
      <c r="LF44" s="148"/>
      <c r="LG44" s="148"/>
      <c r="LH44" s="148"/>
      <c r="LI44" s="148"/>
      <c r="LJ44" s="148"/>
      <c r="LK44" s="148"/>
      <c r="LL44" s="148"/>
      <c r="LM44" s="148"/>
      <c r="LN44" s="148"/>
      <c r="LO44" s="148"/>
      <c r="LP44" s="148"/>
      <c r="LQ44" s="148"/>
      <c r="LR44" s="148"/>
      <c r="LS44" s="148"/>
      <c r="LT44" s="148"/>
      <c r="LU44" s="148"/>
      <c r="LV44" s="148"/>
      <c r="LW44" s="148"/>
      <c r="LX44" s="148"/>
      <c r="LY44" s="148"/>
      <c r="LZ44" s="148"/>
      <c r="MA44" s="148"/>
      <c r="MB44" s="148"/>
      <c r="MC44" s="148"/>
      <c r="MD44" s="148"/>
      <c r="ME44" s="148"/>
      <c r="MF44" s="148"/>
      <c r="MG44" s="148"/>
      <c r="MH44" s="148"/>
      <c r="MI44" s="148"/>
      <c r="MJ44" s="148"/>
      <c r="MK44" s="148"/>
      <c r="ML44" s="148"/>
      <c r="MM44" s="148"/>
      <c r="MN44" s="148"/>
      <c r="MO44" s="148"/>
      <c r="MP44" s="148"/>
      <c r="MQ44" s="148"/>
      <c r="MR44" s="148"/>
      <c r="MS44" s="148"/>
      <c r="MT44" s="148"/>
      <c r="MU44" s="148"/>
      <c r="MV44" s="148"/>
      <c r="MW44" s="148"/>
      <c r="MX44" s="148"/>
      <c r="MY44" s="148"/>
      <c r="MZ44" s="148"/>
      <c r="NA44" s="148"/>
      <c r="NB44" s="148"/>
      <c r="NC44" s="148"/>
      <c r="ND44" s="148"/>
      <c r="NE44" s="148"/>
      <c r="NF44" s="148"/>
      <c r="NG44" s="148"/>
      <c r="NH44" s="148"/>
      <c r="NI44" s="148"/>
      <c r="NJ44" s="148"/>
      <c r="NK44" s="148"/>
      <c r="NL44" s="148"/>
      <c r="NM44" s="148"/>
      <c r="NN44" s="148"/>
      <c r="NO44" s="148"/>
      <c r="NP44" s="148"/>
      <c r="NQ44" s="148"/>
      <c r="NR44" s="148"/>
      <c r="NS44" s="148"/>
      <c r="NT44" s="148"/>
      <c r="NU44" s="148"/>
      <c r="NV44" s="148"/>
      <c r="NW44" s="148"/>
      <c r="NX44" s="148"/>
      <c r="NY44" s="148"/>
      <c r="NZ44" s="148"/>
      <c r="OA44" s="148"/>
      <c r="OB44" s="148"/>
      <c r="OC44" s="148"/>
      <c r="OD44" s="148"/>
      <c r="OE44" s="148"/>
      <c r="OF44" s="148"/>
      <c r="OG44" s="148"/>
      <c r="OH44" s="148"/>
      <c r="OI44" s="148"/>
      <c r="OJ44" s="148"/>
      <c r="OK44" s="148"/>
      <c r="OL44" s="148"/>
      <c r="OM44" s="148"/>
      <c r="ON44" s="148"/>
      <c r="OO44" s="148"/>
      <c r="OP44" s="148"/>
      <c r="OQ44" s="148"/>
      <c r="OR44" s="148"/>
      <c r="OS44" s="148"/>
      <c r="OT44" s="148"/>
      <c r="OU44" s="148"/>
      <c r="OV44" s="148"/>
      <c r="OW44" s="148"/>
      <c r="OX44" s="148"/>
      <c r="OY44" s="148"/>
      <c r="OZ44" s="148"/>
      <c r="PA44" s="148"/>
      <c r="PB44" s="148"/>
      <c r="PC44" s="148"/>
      <c r="PD44" s="148"/>
      <c r="PE44" s="148"/>
      <c r="PF44" s="148"/>
      <c r="PG44" s="148"/>
      <c r="PH44" s="148"/>
      <c r="PI44" s="148"/>
      <c r="PJ44" s="148"/>
      <c r="PK44" s="148"/>
      <c r="PL44" s="148"/>
      <c r="PM44" s="148"/>
      <c r="PN44" s="148"/>
      <c r="PO44" s="148"/>
      <c r="PP44" s="148"/>
      <c r="PQ44" s="148"/>
      <c r="PR44" s="148"/>
      <c r="PS44" s="148"/>
      <c r="PT44" s="148"/>
      <c r="PU44" s="148"/>
      <c r="PV44" s="148"/>
      <c r="PW44" s="148"/>
      <c r="PX44" s="148"/>
      <c r="PY44" s="148"/>
      <c r="PZ44" s="148"/>
      <c r="QA44" s="148"/>
      <c r="QB44" s="148"/>
      <c r="QC44" s="148"/>
      <c r="QD44" s="148"/>
      <c r="QE44" s="148"/>
      <c r="QF44" s="148"/>
      <c r="QG44" s="148"/>
      <c r="QH44" s="148"/>
      <c r="QI44" s="148"/>
      <c r="QJ44" s="148"/>
      <c r="QK44" s="148"/>
      <c r="QL44" s="148"/>
      <c r="QM44" s="148"/>
      <c r="QN44" s="148"/>
      <c r="QO44" s="148"/>
      <c r="QP44" s="148"/>
      <c r="QQ44" s="148"/>
      <c r="QR44" s="148"/>
      <c r="QS44" s="148"/>
      <c r="QT44" s="148"/>
      <c r="QU44" s="148"/>
      <c r="QV44" s="148"/>
      <c r="QW44" s="148"/>
      <c r="QX44" s="148"/>
      <c r="QY44" s="148"/>
      <c r="QZ44" s="148"/>
      <c r="RA44" s="148"/>
      <c r="RB44" s="148"/>
      <c r="RC44" s="148"/>
      <c r="RD44" s="148"/>
      <c r="RE44" s="148"/>
      <c r="RF44" s="148"/>
      <c r="RG44" s="148"/>
      <c r="RH44" s="148"/>
      <c r="RI44" s="148"/>
      <c r="RJ44" s="148"/>
      <c r="RK44" s="148"/>
      <c r="RL44" s="148"/>
      <c r="RM44" s="148"/>
      <c r="RN44" s="148"/>
      <c r="RO44" s="148"/>
      <c r="RP44" s="148"/>
      <c r="RQ44" s="148"/>
      <c r="RR44" s="148"/>
    </row>
    <row r="45" spans="1:486" s="15" customFormat="1" x14ac:dyDescent="0.25">
      <c r="A45" s="148"/>
      <c r="B45" s="350">
        <v>30</v>
      </c>
      <c r="C45" s="643" t="s">
        <v>2691</v>
      </c>
      <c r="D45" s="631">
        <v>30484444</v>
      </c>
      <c r="E45" s="344" t="s">
        <v>2767</v>
      </c>
      <c r="F45" s="344" t="s">
        <v>45</v>
      </c>
      <c r="G45" s="17" t="s">
        <v>2693</v>
      </c>
      <c r="H45" s="317" t="s">
        <v>2706</v>
      </c>
      <c r="I45" s="346" t="s">
        <v>43</v>
      </c>
      <c r="J45" s="341" t="s">
        <v>2768</v>
      </c>
      <c r="K45" s="633">
        <v>0</v>
      </c>
      <c r="L45" s="633">
        <v>0</v>
      </c>
      <c r="M45" s="633">
        <v>0</v>
      </c>
      <c r="N45" s="633">
        <v>0</v>
      </c>
      <c r="O45" s="633">
        <v>0</v>
      </c>
      <c r="P45" s="633">
        <v>0</v>
      </c>
      <c r="Q45" s="633">
        <v>0</v>
      </c>
      <c r="R45" s="633">
        <v>0</v>
      </c>
      <c r="S45" s="633"/>
      <c r="T45" s="633"/>
      <c r="U45" s="633"/>
      <c r="V45" s="633"/>
      <c r="W45" s="633"/>
      <c r="X45" s="633"/>
      <c r="Y45" s="633">
        <f t="shared" si="1"/>
        <v>0</v>
      </c>
      <c r="Z45" s="407">
        <v>15000</v>
      </c>
      <c r="AA45" s="635" t="s">
        <v>2769</v>
      </c>
      <c r="AB45" s="23">
        <v>44232</v>
      </c>
      <c r="AC45" s="23">
        <v>44250</v>
      </c>
      <c r="AD45" s="637"/>
      <c r="AE45" s="20"/>
      <c r="AF45" s="21"/>
      <c r="AG45" s="23"/>
      <c r="AH45" s="637"/>
      <c r="AI45" s="19"/>
      <c r="AJ45" s="21"/>
      <c r="AK45" s="25"/>
      <c r="AL45" s="309"/>
      <c r="AM45" s="19"/>
      <c r="AN45" s="21"/>
      <c r="AO45" s="25"/>
      <c r="AP45" s="309"/>
      <c r="AQ45" s="19"/>
      <c r="AR45" s="21"/>
      <c r="AS45" s="25"/>
      <c r="AT45" s="638">
        <f t="shared" si="2"/>
        <v>15000</v>
      </c>
      <c r="AU45" s="311">
        <f t="shared" si="0"/>
        <v>15000</v>
      </c>
      <c r="AV45" s="148"/>
      <c r="AW45" s="148"/>
      <c r="AX45" s="148"/>
      <c r="AY45" s="148"/>
      <c r="AZ45" s="148"/>
      <c r="BA45" s="148"/>
      <c r="BB45" s="148"/>
      <c r="BC45" s="148"/>
      <c r="BD45" s="148"/>
      <c r="BE45" s="148"/>
      <c r="BF45" s="148"/>
      <c r="BG45" s="148"/>
      <c r="BH45" s="148"/>
      <c r="BI45" s="148"/>
      <c r="BJ45" s="148"/>
      <c r="BK45" s="148"/>
      <c r="BL45" s="148"/>
      <c r="BM45" s="148"/>
      <c r="BN45" s="148"/>
      <c r="BO45" s="148"/>
      <c r="BP45" s="148"/>
      <c r="BQ45" s="148"/>
      <c r="BR45" s="148"/>
      <c r="BS45" s="148"/>
      <c r="BT45" s="148"/>
      <c r="BU45" s="148"/>
      <c r="BV45" s="148"/>
      <c r="BW45" s="148"/>
      <c r="BX45" s="148"/>
      <c r="BY45" s="148"/>
      <c r="BZ45" s="148"/>
      <c r="CA45" s="148"/>
      <c r="CB45" s="148"/>
      <c r="CC45" s="148"/>
      <c r="CD45" s="148"/>
      <c r="CE45" s="148"/>
      <c r="CF45" s="148"/>
      <c r="CG45" s="148"/>
      <c r="CH45" s="148"/>
      <c r="CI45" s="148"/>
      <c r="CJ45" s="148"/>
      <c r="CK45" s="148"/>
      <c r="CL45" s="148"/>
      <c r="CM45" s="148"/>
      <c r="CN45" s="148"/>
      <c r="CO45" s="148"/>
      <c r="CP45" s="148"/>
      <c r="CQ45" s="148"/>
      <c r="CR45" s="148"/>
      <c r="CS45" s="148"/>
      <c r="CT45" s="148"/>
      <c r="CU45" s="148"/>
      <c r="CV45" s="148"/>
      <c r="CW45" s="148"/>
      <c r="CX45" s="148"/>
      <c r="CY45" s="148"/>
      <c r="CZ45" s="148"/>
      <c r="DA45" s="148"/>
      <c r="DB45" s="148"/>
      <c r="DC45" s="148"/>
      <c r="DD45" s="148"/>
      <c r="DE45" s="148"/>
      <c r="DF45" s="148"/>
      <c r="DG45" s="148"/>
      <c r="DH45" s="148"/>
      <c r="DI45" s="148"/>
      <c r="DJ45" s="148"/>
      <c r="DK45" s="148"/>
      <c r="DL45" s="148"/>
      <c r="DM45" s="148"/>
      <c r="DN45" s="148"/>
      <c r="DO45" s="148"/>
      <c r="DP45" s="148"/>
      <c r="DQ45" s="148"/>
      <c r="DR45" s="148"/>
      <c r="DS45" s="148"/>
      <c r="DT45" s="148"/>
      <c r="DU45" s="148"/>
      <c r="DV45" s="148"/>
      <c r="DW45" s="148"/>
      <c r="DX45" s="148"/>
      <c r="DY45" s="148"/>
      <c r="DZ45" s="148"/>
      <c r="EA45" s="148"/>
      <c r="EB45" s="148"/>
      <c r="EC45" s="148"/>
      <c r="ED45" s="148"/>
      <c r="EE45" s="148"/>
      <c r="EF45" s="148"/>
      <c r="EG45" s="148"/>
      <c r="EH45" s="148"/>
      <c r="EI45" s="148"/>
      <c r="EJ45" s="148"/>
      <c r="EK45" s="148"/>
      <c r="EL45" s="148"/>
      <c r="EM45" s="148"/>
      <c r="EN45" s="148"/>
      <c r="EO45" s="148"/>
      <c r="EP45" s="148"/>
      <c r="EQ45" s="148"/>
      <c r="ER45" s="148"/>
      <c r="ES45" s="148"/>
      <c r="ET45" s="148"/>
      <c r="EU45" s="148"/>
      <c r="EV45" s="148"/>
      <c r="EW45" s="148"/>
      <c r="EX45" s="148"/>
      <c r="EY45" s="148"/>
      <c r="EZ45" s="148"/>
      <c r="FA45" s="148"/>
      <c r="FB45" s="148"/>
      <c r="FC45" s="148"/>
      <c r="FD45" s="148"/>
      <c r="FE45" s="148"/>
      <c r="FF45" s="148"/>
      <c r="FG45" s="148"/>
      <c r="FH45" s="148"/>
      <c r="FI45" s="148"/>
      <c r="FJ45" s="148"/>
      <c r="FK45" s="148"/>
      <c r="FL45" s="148"/>
      <c r="FM45" s="148"/>
      <c r="FN45" s="148"/>
      <c r="FO45" s="148"/>
      <c r="FP45" s="148"/>
      <c r="FQ45" s="148"/>
      <c r="FR45" s="148"/>
      <c r="FS45" s="148"/>
      <c r="FT45" s="148"/>
      <c r="FU45" s="148"/>
      <c r="FV45" s="148"/>
      <c r="FW45" s="148"/>
      <c r="FX45" s="148"/>
      <c r="FY45" s="148"/>
      <c r="FZ45" s="148"/>
      <c r="GA45" s="148"/>
      <c r="GB45" s="148"/>
      <c r="GC45" s="148"/>
      <c r="GD45" s="148"/>
      <c r="GE45" s="148"/>
      <c r="GF45" s="148"/>
      <c r="GG45" s="148"/>
      <c r="GH45" s="148"/>
      <c r="GI45" s="148"/>
      <c r="GJ45" s="148"/>
      <c r="GK45" s="148"/>
      <c r="GL45" s="148"/>
      <c r="GM45" s="148"/>
      <c r="GN45" s="148"/>
      <c r="GO45" s="148"/>
      <c r="GP45" s="148"/>
      <c r="GQ45" s="148"/>
      <c r="GR45" s="148"/>
      <c r="GS45" s="148"/>
      <c r="GT45" s="148"/>
      <c r="GU45" s="148"/>
      <c r="GV45" s="148"/>
      <c r="GW45" s="148"/>
      <c r="GX45" s="148"/>
      <c r="GY45" s="148"/>
      <c r="GZ45" s="148"/>
      <c r="HA45" s="148"/>
      <c r="HB45" s="148"/>
      <c r="HC45" s="148"/>
      <c r="HD45" s="148"/>
      <c r="HE45" s="148"/>
      <c r="HF45" s="148"/>
      <c r="HG45" s="148"/>
      <c r="HH45" s="148"/>
      <c r="HI45" s="148"/>
      <c r="HJ45" s="148"/>
      <c r="HK45" s="148"/>
      <c r="HL45" s="148"/>
      <c r="HM45" s="148"/>
      <c r="HN45" s="148"/>
      <c r="HO45" s="148"/>
      <c r="HP45" s="148"/>
      <c r="HQ45" s="148"/>
      <c r="HR45" s="148"/>
      <c r="HS45" s="148"/>
      <c r="HT45" s="148"/>
      <c r="HU45" s="148"/>
      <c r="HV45" s="148"/>
      <c r="HW45" s="148"/>
      <c r="HX45" s="148"/>
      <c r="HY45" s="148"/>
      <c r="HZ45" s="148"/>
      <c r="IA45" s="148"/>
      <c r="IB45" s="148"/>
      <c r="IC45" s="148"/>
      <c r="ID45" s="148"/>
      <c r="IE45" s="148"/>
      <c r="IF45" s="148"/>
      <c r="IG45" s="148"/>
      <c r="IH45" s="148"/>
      <c r="II45" s="148"/>
      <c r="IJ45" s="148"/>
      <c r="IK45" s="148"/>
      <c r="IL45" s="148"/>
      <c r="IM45" s="148"/>
      <c r="IN45" s="148"/>
      <c r="IO45" s="148"/>
      <c r="IP45" s="148"/>
      <c r="IQ45" s="148"/>
      <c r="IR45" s="148"/>
      <c r="IS45" s="148"/>
      <c r="IT45" s="148"/>
      <c r="IU45" s="148"/>
      <c r="IV45" s="148"/>
      <c r="IW45" s="148"/>
      <c r="IX45" s="148"/>
      <c r="IY45" s="148"/>
      <c r="IZ45" s="148"/>
      <c r="JA45" s="148"/>
      <c r="JB45" s="148"/>
      <c r="JC45" s="148"/>
      <c r="JD45" s="148"/>
      <c r="JE45" s="148"/>
      <c r="JF45" s="148"/>
      <c r="JG45" s="148"/>
      <c r="JH45" s="148"/>
      <c r="JI45" s="148"/>
      <c r="JJ45" s="148"/>
      <c r="JK45" s="148"/>
      <c r="JL45" s="148"/>
      <c r="JM45" s="148"/>
      <c r="JN45" s="148"/>
      <c r="JO45" s="148"/>
      <c r="JP45" s="148"/>
      <c r="JQ45" s="148"/>
      <c r="JR45" s="148"/>
      <c r="JS45" s="148"/>
      <c r="JT45" s="148"/>
      <c r="JU45" s="148"/>
      <c r="JV45" s="148"/>
      <c r="JW45" s="148"/>
      <c r="JX45" s="148"/>
      <c r="JY45" s="148"/>
      <c r="JZ45" s="148"/>
      <c r="KA45" s="148"/>
      <c r="KB45" s="148"/>
      <c r="KC45" s="148"/>
      <c r="KD45" s="148"/>
      <c r="KE45" s="148"/>
      <c r="KF45" s="148"/>
      <c r="KG45" s="148"/>
      <c r="KH45" s="148"/>
      <c r="KI45" s="148"/>
      <c r="KJ45" s="148"/>
      <c r="KK45" s="148"/>
      <c r="KL45" s="148"/>
      <c r="KM45" s="148"/>
      <c r="KN45" s="148"/>
      <c r="KO45" s="148"/>
      <c r="KP45" s="148"/>
      <c r="KQ45" s="148"/>
      <c r="KR45" s="148"/>
      <c r="KS45" s="148"/>
      <c r="KT45" s="148"/>
      <c r="KU45" s="148"/>
      <c r="KV45" s="148"/>
      <c r="KW45" s="148"/>
      <c r="KX45" s="148"/>
      <c r="KY45" s="148"/>
      <c r="KZ45" s="148"/>
      <c r="LA45" s="148"/>
      <c r="LB45" s="148"/>
      <c r="LC45" s="148"/>
      <c r="LD45" s="148"/>
      <c r="LE45" s="148"/>
      <c r="LF45" s="148"/>
      <c r="LG45" s="148"/>
      <c r="LH45" s="148"/>
      <c r="LI45" s="148"/>
      <c r="LJ45" s="148"/>
      <c r="LK45" s="148"/>
      <c r="LL45" s="148"/>
      <c r="LM45" s="148"/>
      <c r="LN45" s="148"/>
      <c r="LO45" s="148"/>
      <c r="LP45" s="148"/>
      <c r="LQ45" s="148"/>
      <c r="LR45" s="148"/>
      <c r="LS45" s="148"/>
      <c r="LT45" s="148"/>
      <c r="LU45" s="148"/>
      <c r="LV45" s="148"/>
      <c r="LW45" s="148"/>
      <c r="LX45" s="148"/>
      <c r="LY45" s="148"/>
      <c r="LZ45" s="148"/>
      <c r="MA45" s="148"/>
      <c r="MB45" s="148"/>
      <c r="MC45" s="148"/>
      <c r="MD45" s="148"/>
      <c r="ME45" s="148"/>
      <c r="MF45" s="148"/>
      <c r="MG45" s="148"/>
      <c r="MH45" s="148"/>
      <c r="MI45" s="148"/>
      <c r="MJ45" s="148"/>
      <c r="MK45" s="148"/>
      <c r="ML45" s="148"/>
      <c r="MM45" s="148"/>
      <c r="MN45" s="148"/>
      <c r="MO45" s="148"/>
      <c r="MP45" s="148"/>
      <c r="MQ45" s="148"/>
      <c r="MR45" s="148"/>
      <c r="MS45" s="148"/>
      <c r="MT45" s="148"/>
      <c r="MU45" s="148"/>
      <c r="MV45" s="148"/>
      <c r="MW45" s="148"/>
      <c r="MX45" s="148"/>
      <c r="MY45" s="148"/>
      <c r="MZ45" s="148"/>
      <c r="NA45" s="148"/>
      <c r="NB45" s="148"/>
      <c r="NC45" s="148"/>
      <c r="ND45" s="148"/>
      <c r="NE45" s="148"/>
      <c r="NF45" s="148"/>
      <c r="NG45" s="148"/>
      <c r="NH45" s="148"/>
      <c r="NI45" s="148"/>
      <c r="NJ45" s="148"/>
      <c r="NK45" s="148"/>
      <c r="NL45" s="148"/>
      <c r="NM45" s="148"/>
      <c r="NN45" s="148"/>
      <c r="NO45" s="148"/>
      <c r="NP45" s="148"/>
      <c r="NQ45" s="148"/>
      <c r="NR45" s="148"/>
      <c r="NS45" s="148"/>
      <c r="NT45" s="148"/>
      <c r="NU45" s="148"/>
      <c r="NV45" s="148"/>
      <c r="NW45" s="148"/>
      <c r="NX45" s="148"/>
      <c r="NY45" s="148"/>
      <c r="NZ45" s="148"/>
      <c r="OA45" s="148"/>
      <c r="OB45" s="148"/>
      <c r="OC45" s="148"/>
      <c r="OD45" s="148"/>
      <c r="OE45" s="148"/>
      <c r="OF45" s="148"/>
      <c r="OG45" s="148"/>
      <c r="OH45" s="148"/>
      <c r="OI45" s="148"/>
      <c r="OJ45" s="148"/>
      <c r="OK45" s="148"/>
      <c r="OL45" s="148"/>
      <c r="OM45" s="148"/>
      <c r="ON45" s="148"/>
      <c r="OO45" s="148"/>
      <c r="OP45" s="148"/>
      <c r="OQ45" s="148"/>
      <c r="OR45" s="148"/>
      <c r="OS45" s="148"/>
      <c r="OT45" s="148"/>
      <c r="OU45" s="148"/>
      <c r="OV45" s="148"/>
      <c r="OW45" s="148"/>
      <c r="OX45" s="148"/>
      <c r="OY45" s="148"/>
      <c r="OZ45" s="148"/>
      <c r="PA45" s="148"/>
      <c r="PB45" s="148"/>
      <c r="PC45" s="148"/>
      <c r="PD45" s="148"/>
      <c r="PE45" s="148"/>
      <c r="PF45" s="148"/>
      <c r="PG45" s="148"/>
      <c r="PH45" s="148"/>
      <c r="PI45" s="148"/>
      <c r="PJ45" s="148"/>
      <c r="PK45" s="148"/>
      <c r="PL45" s="148"/>
      <c r="PM45" s="148"/>
      <c r="PN45" s="148"/>
      <c r="PO45" s="148"/>
      <c r="PP45" s="148"/>
      <c r="PQ45" s="148"/>
      <c r="PR45" s="148"/>
      <c r="PS45" s="148"/>
      <c r="PT45" s="148"/>
      <c r="PU45" s="148"/>
      <c r="PV45" s="148"/>
      <c r="PW45" s="148"/>
      <c r="PX45" s="148"/>
      <c r="PY45" s="148"/>
      <c r="PZ45" s="148"/>
      <c r="QA45" s="148"/>
      <c r="QB45" s="148"/>
      <c r="QC45" s="148"/>
      <c r="QD45" s="148"/>
      <c r="QE45" s="148"/>
      <c r="QF45" s="148"/>
      <c r="QG45" s="148"/>
      <c r="QH45" s="148"/>
      <c r="QI45" s="148"/>
      <c r="QJ45" s="148"/>
      <c r="QK45" s="148"/>
      <c r="QL45" s="148"/>
      <c r="QM45" s="148"/>
      <c r="QN45" s="148"/>
      <c r="QO45" s="148"/>
      <c r="QP45" s="148"/>
      <c r="QQ45" s="148"/>
      <c r="QR45" s="148"/>
      <c r="QS45" s="148"/>
      <c r="QT45" s="148"/>
      <c r="QU45" s="148"/>
      <c r="QV45" s="148"/>
      <c r="QW45" s="148"/>
      <c r="QX45" s="148"/>
      <c r="QY45" s="148"/>
      <c r="QZ45" s="148"/>
      <c r="RA45" s="148"/>
      <c r="RB45" s="148"/>
      <c r="RC45" s="148"/>
      <c r="RD45" s="148"/>
      <c r="RE45" s="148"/>
      <c r="RF45" s="148"/>
      <c r="RG45" s="148"/>
      <c r="RH45" s="148"/>
      <c r="RI45" s="148"/>
      <c r="RJ45" s="148"/>
      <c r="RK45" s="148"/>
      <c r="RL45" s="148"/>
      <c r="RM45" s="148"/>
      <c r="RN45" s="148"/>
      <c r="RO45" s="148"/>
      <c r="RP45" s="148"/>
      <c r="RQ45" s="148"/>
      <c r="RR45" s="148"/>
    </row>
    <row r="46" spans="1:486" s="15" customFormat="1" x14ac:dyDescent="0.25">
      <c r="A46" s="148"/>
      <c r="B46" s="350">
        <v>31</v>
      </c>
      <c r="C46" s="646" t="s">
        <v>2691</v>
      </c>
      <c r="D46" s="631">
        <v>40002331</v>
      </c>
      <c r="E46" s="344" t="s">
        <v>2770</v>
      </c>
      <c r="F46" s="344" t="s">
        <v>45</v>
      </c>
      <c r="G46" s="17" t="s">
        <v>2693</v>
      </c>
      <c r="H46" s="317" t="s">
        <v>2771</v>
      </c>
      <c r="I46" s="346" t="s">
        <v>43</v>
      </c>
      <c r="J46" s="341" t="s">
        <v>2772</v>
      </c>
      <c r="K46" s="633">
        <v>0</v>
      </c>
      <c r="L46" s="633">
        <v>155051</v>
      </c>
      <c r="M46" s="633">
        <v>0</v>
      </c>
      <c r="N46" s="633">
        <v>0</v>
      </c>
      <c r="O46" s="633">
        <v>0</v>
      </c>
      <c r="P46" s="633">
        <v>0</v>
      </c>
      <c r="Q46" s="633">
        <v>0</v>
      </c>
      <c r="R46" s="633">
        <v>0</v>
      </c>
      <c r="S46" s="633"/>
      <c r="T46" s="633"/>
      <c r="U46" s="633"/>
      <c r="V46" s="633"/>
      <c r="W46" s="633"/>
      <c r="X46" s="633"/>
      <c r="Y46" s="633">
        <f t="shared" si="1"/>
        <v>0</v>
      </c>
      <c r="Z46" s="407">
        <v>1</v>
      </c>
      <c r="AA46" s="635" t="s">
        <v>2769</v>
      </c>
      <c r="AB46" s="23">
        <v>44232</v>
      </c>
      <c r="AC46" s="23">
        <v>44250</v>
      </c>
      <c r="AD46" s="637">
        <v>38763</v>
      </c>
      <c r="AE46" s="20">
        <v>9</v>
      </c>
      <c r="AF46" s="23">
        <v>44271</v>
      </c>
      <c r="AG46" s="23">
        <v>44284</v>
      </c>
      <c r="AH46" s="645">
        <v>36236</v>
      </c>
      <c r="AI46" s="647">
        <v>25</v>
      </c>
      <c r="AJ46" s="648">
        <v>44312</v>
      </c>
      <c r="AK46" s="649">
        <v>44328</v>
      </c>
      <c r="AL46" s="309"/>
      <c r="AM46" s="19"/>
      <c r="AN46" s="21"/>
      <c r="AO46" s="25"/>
      <c r="AP46" s="309"/>
      <c r="AQ46" s="19"/>
      <c r="AR46" s="21"/>
      <c r="AS46" s="25"/>
      <c r="AT46" s="638">
        <f t="shared" si="2"/>
        <v>75000</v>
      </c>
      <c r="AU46" s="311">
        <f t="shared" si="0"/>
        <v>75000</v>
      </c>
      <c r="AV46" s="148"/>
      <c r="AW46" s="148"/>
      <c r="AX46" s="148"/>
      <c r="AY46" s="148"/>
      <c r="AZ46" s="148"/>
      <c r="BA46" s="148"/>
      <c r="BB46" s="148"/>
      <c r="BC46" s="148"/>
      <c r="BD46" s="148"/>
      <c r="BE46" s="148"/>
      <c r="BF46" s="148"/>
      <c r="BG46" s="148"/>
      <c r="BH46" s="148"/>
      <c r="BI46" s="148"/>
      <c r="BJ46" s="148"/>
      <c r="BK46" s="148"/>
      <c r="BL46" s="148"/>
      <c r="BM46" s="148"/>
      <c r="BN46" s="148"/>
      <c r="BO46" s="148"/>
      <c r="BP46" s="148"/>
      <c r="BQ46" s="148"/>
      <c r="BR46" s="148"/>
      <c r="BS46" s="148"/>
      <c r="BT46" s="148"/>
      <c r="BU46" s="148"/>
      <c r="BV46" s="148"/>
      <c r="BW46" s="148"/>
      <c r="BX46" s="148"/>
      <c r="BY46" s="148"/>
      <c r="BZ46" s="148"/>
      <c r="CA46" s="148"/>
      <c r="CB46" s="148"/>
      <c r="CC46" s="148"/>
      <c r="CD46" s="148"/>
      <c r="CE46" s="148"/>
      <c r="CF46" s="148"/>
      <c r="CG46" s="148"/>
      <c r="CH46" s="148"/>
      <c r="CI46" s="148"/>
      <c r="CJ46" s="148"/>
      <c r="CK46" s="148"/>
      <c r="CL46" s="148"/>
      <c r="CM46" s="148"/>
      <c r="CN46" s="148"/>
      <c r="CO46" s="148"/>
      <c r="CP46" s="148"/>
      <c r="CQ46" s="148"/>
      <c r="CR46" s="148"/>
      <c r="CS46" s="148"/>
      <c r="CT46" s="148"/>
      <c r="CU46" s="148"/>
      <c r="CV46" s="148"/>
      <c r="CW46" s="148"/>
      <c r="CX46" s="148"/>
      <c r="CY46" s="148"/>
      <c r="CZ46" s="148"/>
      <c r="DA46" s="148"/>
      <c r="DB46" s="148"/>
      <c r="DC46" s="148"/>
      <c r="DD46" s="148"/>
      <c r="DE46" s="148"/>
      <c r="DF46" s="148"/>
      <c r="DG46" s="148"/>
      <c r="DH46" s="148"/>
      <c r="DI46" s="148"/>
      <c r="DJ46" s="148"/>
      <c r="DK46" s="148"/>
      <c r="DL46" s="148"/>
      <c r="DM46" s="148"/>
      <c r="DN46" s="148"/>
      <c r="DO46" s="148"/>
      <c r="DP46" s="148"/>
      <c r="DQ46" s="148"/>
      <c r="DR46" s="148"/>
      <c r="DS46" s="148"/>
      <c r="DT46" s="148"/>
      <c r="DU46" s="148"/>
      <c r="DV46" s="148"/>
      <c r="DW46" s="148"/>
      <c r="DX46" s="148"/>
      <c r="DY46" s="148"/>
      <c r="DZ46" s="148"/>
      <c r="EA46" s="148"/>
      <c r="EB46" s="148"/>
      <c r="EC46" s="148"/>
      <c r="ED46" s="148"/>
      <c r="EE46" s="148"/>
      <c r="EF46" s="148"/>
      <c r="EG46" s="148"/>
      <c r="EH46" s="148"/>
      <c r="EI46" s="148"/>
      <c r="EJ46" s="148"/>
      <c r="EK46" s="148"/>
      <c r="EL46" s="148"/>
      <c r="EM46" s="148"/>
      <c r="EN46" s="148"/>
      <c r="EO46" s="148"/>
      <c r="EP46" s="148"/>
      <c r="EQ46" s="148"/>
      <c r="ER46" s="148"/>
      <c r="ES46" s="148"/>
      <c r="ET46" s="148"/>
      <c r="EU46" s="148"/>
      <c r="EV46" s="148"/>
      <c r="EW46" s="148"/>
      <c r="EX46" s="148"/>
      <c r="EY46" s="148"/>
      <c r="EZ46" s="148"/>
      <c r="FA46" s="148"/>
      <c r="FB46" s="148"/>
      <c r="FC46" s="148"/>
      <c r="FD46" s="148"/>
      <c r="FE46" s="148"/>
      <c r="FF46" s="148"/>
      <c r="FG46" s="148"/>
      <c r="FH46" s="148"/>
      <c r="FI46" s="148"/>
      <c r="FJ46" s="148"/>
      <c r="FK46" s="148"/>
      <c r="FL46" s="148"/>
      <c r="FM46" s="148"/>
      <c r="FN46" s="148"/>
      <c r="FO46" s="148"/>
      <c r="FP46" s="148"/>
      <c r="FQ46" s="148"/>
      <c r="FR46" s="148"/>
      <c r="FS46" s="148"/>
      <c r="FT46" s="148"/>
      <c r="FU46" s="148"/>
      <c r="FV46" s="148"/>
      <c r="FW46" s="148"/>
      <c r="FX46" s="148"/>
      <c r="FY46" s="148"/>
      <c r="FZ46" s="148"/>
      <c r="GA46" s="148"/>
      <c r="GB46" s="148"/>
      <c r="GC46" s="148"/>
      <c r="GD46" s="148"/>
      <c r="GE46" s="148"/>
      <c r="GF46" s="148"/>
      <c r="GG46" s="148"/>
      <c r="GH46" s="148"/>
      <c r="GI46" s="148"/>
      <c r="GJ46" s="148"/>
      <c r="GK46" s="148"/>
      <c r="GL46" s="148"/>
      <c r="GM46" s="148"/>
      <c r="GN46" s="148"/>
      <c r="GO46" s="148"/>
      <c r="GP46" s="148"/>
      <c r="GQ46" s="148"/>
      <c r="GR46" s="148"/>
      <c r="GS46" s="148"/>
      <c r="GT46" s="148"/>
      <c r="GU46" s="148"/>
      <c r="GV46" s="148"/>
      <c r="GW46" s="148"/>
      <c r="GX46" s="148"/>
      <c r="GY46" s="148"/>
      <c r="GZ46" s="148"/>
      <c r="HA46" s="148"/>
      <c r="HB46" s="148"/>
      <c r="HC46" s="148"/>
      <c r="HD46" s="148"/>
      <c r="HE46" s="148"/>
      <c r="HF46" s="148"/>
      <c r="HG46" s="148"/>
      <c r="HH46" s="148"/>
      <c r="HI46" s="148"/>
      <c r="HJ46" s="148"/>
      <c r="HK46" s="148"/>
      <c r="HL46" s="148"/>
      <c r="HM46" s="148"/>
      <c r="HN46" s="148"/>
      <c r="HO46" s="148"/>
      <c r="HP46" s="148"/>
      <c r="HQ46" s="148"/>
      <c r="HR46" s="148"/>
      <c r="HS46" s="148"/>
      <c r="HT46" s="148"/>
      <c r="HU46" s="148"/>
      <c r="HV46" s="148"/>
      <c r="HW46" s="148"/>
      <c r="HX46" s="148"/>
      <c r="HY46" s="148"/>
      <c r="HZ46" s="148"/>
      <c r="IA46" s="148"/>
      <c r="IB46" s="148"/>
      <c r="IC46" s="148"/>
      <c r="ID46" s="148"/>
      <c r="IE46" s="148"/>
      <c r="IF46" s="148"/>
      <c r="IG46" s="148"/>
      <c r="IH46" s="148"/>
      <c r="II46" s="148"/>
      <c r="IJ46" s="148"/>
      <c r="IK46" s="148"/>
      <c r="IL46" s="148"/>
      <c r="IM46" s="148"/>
      <c r="IN46" s="148"/>
      <c r="IO46" s="148"/>
      <c r="IP46" s="148"/>
      <c r="IQ46" s="148"/>
      <c r="IR46" s="148"/>
      <c r="IS46" s="148"/>
      <c r="IT46" s="148"/>
      <c r="IU46" s="148"/>
      <c r="IV46" s="148"/>
      <c r="IW46" s="148"/>
      <c r="IX46" s="148"/>
      <c r="IY46" s="148"/>
      <c r="IZ46" s="148"/>
      <c r="JA46" s="148"/>
      <c r="JB46" s="148"/>
      <c r="JC46" s="148"/>
      <c r="JD46" s="148"/>
      <c r="JE46" s="148"/>
      <c r="JF46" s="148"/>
      <c r="JG46" s="148"/>
      <c r="JH46" s="148"/>
      <c r="JI46" s="148"/>
      <c r="JJ46" s="148"/>
      <c r="JK46" s="148"/>
      <c r="JL46" s="148"/>
      <c r="JM46" s="148"/>
      <c r="JN46" s="148"/>
      <c r="JO46" s="148"/>
      <c r="JP46" s="148"/>
      <c r="JQ46" s="148"/>
      <c r="JR46" s="148"/>
      <c r="JS46" s="148"/>
      <c r="JT46" s="148"/>
      <c r="JU46" s="148"/>
      <c r="JV46" s="148"/>
      <c r="JW46" s="148"/>
      <c r="JX46" s="148"/>
      <c r="JY46" s="148"/>
      <c r="JZ46" s="148"/>
      <c r="KA46" s="148"/>
      <c r="KB46" s="148"/>
      <c r="KC46" s="148"/>
      <c r="KD46" s="148"/>
      <c r="KE46" s="148"/>
      <c r="KF46" s="148"/>
      <c r="KG46" s="148"/>
      <c r="KH46" s="148"/>
      <c r="KI46" s="148"/>
      <c r="KJ46" s="148"/>
      <c r="KK46" s="148"/>
      <c r="KL46" s="148"/>
      <c r="KM46" s="148"/>
      <c r="KN46" s="148"/>
      <c r="KO46" s="148"/>
      <c r="KP46" s="148"/>
      <c r="KQ46" s="148"/>
      <c r="KR46" s="148"/>
      <c r="KS46" s="148"/>
      <c r="KT46" s="148"/>
      <c r="KU46" s="148"/>
      <c r="KV46" s="148"/>
      <c r="KW46" s="148"/>
      <c r="KX46" s="148"/>
      <c r="KY46" s="148"/>
      <c r="KZ46" s="148"/>
      <c r="LA46" s="148"/>
      <c r="LB46" s="148"/>
      <c r="LC46" s="148"/>
      <c r="LD46" s="148"/>
      <c r="LE46" s="148"/>
      <c r="LF46" s="148"/>
      <c r="LG46" s="148"/>
      <c r="LH46" s="148"/>
      <c r="LI46" s="148"/>
      <c r="LJ46" s="148"/>
      <c r="LK46" s="148"/>
      <c r="LL46" s="148"/>
      <c r="LM46" s="148"/>
      <c r="LN46" s="148"/>
      <c r="LO46" s="148"/>
      <c r="LP46" s="148"/>
      <c r="LQ46" s="148"/>
      <c r="LR46" s="148"/>
      <c r="LS46" s="148"/>
      <c r="LT46" s="148"/>
      <c r="LU46" s="148"/>
      <c r="LV46" s="148"/>
      <c r="LW46" s="148"/>
      <c r="LX46" s="148"/>
      <c r="LY46" s="148"/>
      <c r="LZ46" s="148"/>
      <c r="MA46" s="148"/>
      <c r="MB46" s="148"/>
      <c r="MC46" s="148"/>
      <c r="MD46" s="148"/>
      <c r="ME46" s="148"/>
      <c r="MF46" s="148"/>
      <c r="MG46" s="148"/>
      <c r="MH46" s="148"/>
      <c r="MI46" s="148"/>
      <c r="MJ46" s="148"/>
      <c r="MK46" s="148"/>
      <c r="ML46" s="148"/>
      <c r="MM46" s="148"/>
      <c r="MN46" s="148"/>
      <c r="MO46" s="148"/>
      <c r="MP46" s="148"/>
      <c r="MQ46" s="148"/>
      <c r="MR46" s="148"/>
      <c r="MS46" s="148"/>
      <c r="MT46" s="148"/>
      <c r="MU46" s="148"/>
      <c r="MV46" s="148"/>
      <c r="MW46" s="148"/>
      <c r="MX46" s="148"/>
      <c r="MY46" s="148"/>
      <c r="MZ46" s="148"/>
      <c r="NA46" s="148"/>
      <c r="NB46" s="148"/>
      <c r="NC46" s="148"/>
      <c r="ND46" s="148"/>
      <c r="NE46" s="148"/>
      <c r="NF46" s="148"/>
      <c r="NG46" s="148"/>
      <c r="NH46" s="148"/>
      <c r="NI46" s="148"/>
      <c r="NJ46" s="148"/>
      <c r="NK46" s="148"/>
      <c r="NL46" s="148"/>
      <c r="NM46" s="148"/>
      <c r="NN46" s="148"/>
      <c r="NO46" s="148"/>
      <c r="NP46" s="148"/>
      <c r="NQ46" s="148"/>
      <c r="NR46" s="148"/>
      <c r="NS46" s="148"/>
      <c r="NT46" s="148"/>
      <c r="NU46" s="148"/>
      <c r="NV46" s="148"/>
      <c r="NW46" s="148"/>
      <c r="NX46" s="148"/>
      <c r="NY46" s="148"/>
      <c r="NZ46" s="148"/>
      <c r="OA46" s="148"/>
      <c r="OB46" s="148"/>
      <c r="OC46" s="148"/>
      <c r="OD46" s="148"/>
      <c r="OE46" s="148"/>
      <c r="OF46" s="148"/>
      <c r="OG46" s="148"/>
      <c r="OH46" s="148"/>
      <c r="OI46" s="148"/>
      <c r="OJ46" s="148"/>
      <c r="OK46" s="148"/>
      <c r="OL46" s="148"/>
      <c r="OM46" s="148"/>
      <c r="ON46" s="148"/>
      <c r="OO46" s="148"/>
      <c r="OP46" s="148"/>
      <c r="OQ46" s="148"/>
      <c r="OR46" s="148"/>
      <c r="OS46" s="148"/>
      <c r="OT46" s="148"/>
      <c r="OU46" s="148"/>
      <c r="OV46" s="148"/>
      <c r="OW46" s="148"/>
      <c r="OX46" s="148"/>
      <c r="OY46" s="148"/>
      <c r="OZ46" s="148"/>
      <c r="PA46" s="148"/>
      <c r="PB46" s="148"/>
      <c r="PC46" s="148"/>
      <c r="PD46" s="148"/>
      <c r="PE46" s="148"/>
      <c r="PF46" s="148"/>
      <c r="PG46" s="148"/>
      <c r="PH46" s="148"/>
      <c r="PI46" s="148"/>
      <c r="PJ46" s="148"/>
      <c r="PK46" s="148"/>
      <c r="PL46" s="148"/>
      <c r="PM46" s="148"/>
      <c r="PN46" s="148"/>
      <c r="PO46" s="148"/>
      <c r="PP46" s="148"/>
      <c r="PQ46" s="148"/>
      <c r="PR46" s="148"/>
      <c r="PS46" s="148"/>
      <c r="PT46" s="148"/>
      <c r="PU46" s="148"/>
      <c r="PV46" s="148"/>
      <c r="PW46" s="148"/>
      <c r="PX46" s="148"/>
      <c r="PY46" s="148"/>
      <c r="PZ46" s="148"/>
      <c r="QA46" s="148"/>
      <c r="QB46" s="148"/>
      <c r="QC46" s="148"/>
      <c r="QD46" s="148"/>
      <c r="QE46" s="148"/>
      <c r="QF46" s="148"/>
      <c r="QG46" s="148"/>
      <c r="QH46" s="148"/>
      <c r="QI46" s="148"/>
      <c r="QJ46" s="148"/>
      <c r="QK46" s="148"/>
      <c r="QL46" s="148"/>
      <c r="QM46" s="148"/>
      <c r="QN46" s="148"/>
      <c r="QO46" s="148"/>
      <c r="QP46" s="148"/>
      <c r="QQ46" s="148"/>
      <c r="QR46" s="148"/>
      <c r="QS46" s="148"/>
      <c r="QT46" s="148"/>
      <c r="QU46" s="148"/>
      <c r="QV46" s="148"/>
      <c r="QW46" s="148"/>
      <c r="QX46" s="148"/>
      <c r="QY46" s="148"/>
      <c r="QZ46" s="148"/>
      <c r="RA46" s="148"/>
      <c r="RB46" s="148"/>
      <c r="RC46" s="148"/>
      <c r="RD46" s="148"/>
      <c r="RE46" s="148"/>
      <c r="RF46" s="148"/>
      <c r="RG46" s="148"/>
      <c r="RH46" s="148"/>
      <c r="RI46" s="148"/>
      <c r="RJ46" s="148"/>
      <c r="RK46" s="148"/>
      <c r="RL46" s="148"/>
      <c r="RM46" s="148"/>
      <c r="RN46" s="148"/>
      <c r="RO46" s="148"/>
      <c r="RP46" s="148"/>
      <c r="RQ46" s="148"/>
      <c r="RR46" s="148"/>
    </row>
    <row r="47" spans="1:486" s="15" customFormat="1" x14ac:dyDescent="0.25">
      <c r="A47" s="148"/>
      <c r="B47" s="350">
        <v>32</v>
      </c>
      <c r="C47" s="643" t="s">
        <v>2691</v>
      </c>
      <c r="D47" s="631">
        <v>40002737</v>
      </c>
      <c r="E47" s="344" t="s">
        <v>2773</v>
      </c>
      <c r="F47" s="344" t="s">
        <v>45</v>
      </c>
      <c r="G47" s="17" t="s">
        <v>2693</v>
      </c>
      <c r="H47" s="317" t="s">
        <v>2742</v>
      </c>
      <c r="I47" s="346" t="s">
        <v>43</v>
      </c>
      <c r="J47" s="341" t="s">
        <v>2774</v>
      </c>
      <c r="K47" s="633">
        <v>0</v>
      </c>
      <c r="L47" s="633">
        <v>36482</v>
      </c>
      <c r="M47" s="633">
        <v>0</v>
      </c>
      <c r="N47" s="633">
        <v>0</v>
      </c>
      <c r="O47" s="633">
        <v>0</v>
      </c>
      <c r="P47" s="633">
        <v>0</v>
      </c>
      <c r="Q47" s="633">
        <v>0</v>
      </c>
      <c r="R47" s="633">
        <v>0</v>
      </c>
      <c r="S47" s="633"/>
      <c r="T47" s="633"/>
      <c r="U47" s="633"/>
      <c r="V47" s="633"/>
      <c r="W47" s="633"/>
      <c r="X47" s="633"/>
      <c r="Y47" s="633">
        <f t="shared" si="1"/>
        <v>0</v>
      </c>
      <c r="Z47" s="407">
        <v>5000</v>
      </c>
      <c r="AA47" s="635" t="s">
        <v>2769</v>
      </c>
      <c r="AB47" s="23">
        <v>44232</v>
      </c>
      <c r="AC47" s="23">
        <v>44250</v>
      </c>
      <c r="AD47" s="637"/>
      <c r="AE47" s="20"/>
      <c r="AF47" s="21"/>
      <c r="AG47" s="23"/>
      <c r="AH47" s="637"/>
      <c r="AI47" s="19"/>
      <c r="AJ47" s="21"/>
      <c r="AK47" s="25"/>
      <c r="AL47" s="309"/>
      <c r="AM47" s="19"/>
      <c r="AN47" s="21"/>
      <c r="AO47" s="25"/>
      <c r="AP47" s="309"/>
      <c r="AQ47" s="19"/>
      <c r="AR47" s="21"/>
      <c r="AS47" s="25"/>
      <c r="AT47" s="638">
        <f t="shared" si="2"/>
        <v>5000</v>
      </c>
      <c r="AU47" s="311">
        <f t="shared" si="0"/>
        <v>5000</v>
      </c>
      <c r="AV47" s="148"/>
      <c r="AW47" s="148"/>
      <c r="AX47" s="148"/>
      <c r="AY47" s="148"/>
      <c r="AZ47" s="148"/>
      <c r="BA47" s="148"/>
      <c r="BB47" s="148"/>
      <c r="BC47" s="148"/>
      <c r="BD47" s="148"/>
      <c r="BE47" s="148"/>
      <c r="BF47" s="148"/>
      <c r="BG47" s="148"/>
      <c r="BH47" s="148"/>
      <c r="BI47" s="148"/>
      <c r="BJ47" s="148"/>
      <c r="BK47" s="148"/>
      <c r="BL47" s="148"/>
      <c r="BM47" s="148"/>
      <c r="BN47" s="148"/>
      <c r="BO47" s="148"/>
      <c r="BP47" s="148"/>
      <c r="BQ47" s="148"/>
      <c r="BR47" s="148"/>
      <c r="BS47" s="148"/>
      <c r="BT47" s="148"/>
      <c r="BU47" s="148"/>
      <c r="BV47" s="148"/>
      <c r="BW47" s="148"/>
      <c r="BX47" s="148"/>
      <c r="BY47" s="148"/>
      <c r="BZ47" s="148"/>
      <c r="CA47" s="148"/>
      <c r="CB47" s="148"/>
      <c r="CC47" s="148"/>
      <c r="CD47" s="148"/>
      <c r="CE47" s="148"/>
      <c r="CF47" s="148"/>
      <c r="CG47" s="148"/>
      <c r="CH47" s="148"/>
      <c r="CI47" s="148"/>
      <c r="CJ47" s="148"/>
      <c r="CK47" s="148"/>
      <c r="CL47" s="148"/>
      <c r="CM47" s="148"/>
      <c r="CN47" s="148"/>
      <c r="CO47" s="148"/>
      <c r="CP47" s="148"/>
      <c r="CQ47" s="148"/>
      <c r="CR47" s="148"/>
      <c r="CS47" s="148"/>
      <c r="CT47" s="148"/>
      <c r="CU47" s="148"/>
      <c r="CV47" s="148"/>
      <c r="CW47" s="148"/>
      <c r="CX47" s="148"/>
      <c r="CY47" s="148"/>
      <c r="CZ47" s="148"/>
      <c r="DA47" s="148"/>
      <c r="DB47" s="148"/>
      <c r="DC47" s="148"/>
      <c r="DD47" s="148"/>
      <c r="DE47" s="148"/>
      <c r="DF47" s="148"/>
      <c r="DG47" s="148"/>
      <c r="DH47" s="148"/>
      <c r="DI47" s="148"/>
      <c r="DJ47" s="148"/>
      <c r="DK47" s="148"/>
      <c r="DL47" s="148"/>
      <c r="DM47" s="148"/>
      <c r="DN47" s="148"/>
      <c r="DO47" s="148"/>
      <c r="DP47" s="148"/>
      <c r="DQ47" s="148"/>
      <c r="DR47" s="148"/>
      <c r="DS47" s="148"/>
      <c r="DT47" s="148"/>
      <c r="DU47" s="148"/>
      <c r="DV47" s="148"/>
      <c r="DW47" s="148"/>
      <c r="DX47" s="148"/>
      <c r="DY47" s="148"/>
      <c r="DZ47" s="148"/>
      <c r="EA47" s="148"/>
      <c r="EB47" s="148"/>
      <c r="EC47" s="148"/>
      <c r="ED47" s="148"/>
      <c r="EE47" s="148"/>
      <c r="EF47" s="148"/>
      <c r="EG47" s="148"/>
      <c r="EH47" s="148"/>
      <c r="EI47" s="148"/>
      <c r="EJ47" s="148"/>
      <c r="EK47" s="148"/>
      <c r="EL47" s="148"/>
      <c r="EM47" s="148"/>
      <c r="EN47" s="148"/>
      <c r="EO47" s="148"/>
      <c r="EP47" s="148"/>
      <c r="EQ47" s="148"/>
      <c r="ER47" s="148"/>
      <c r="ES47" s="148"/>
      <c r="ET47" s="148"/>
      <c r="EU47" s="148"/>
      <c r="EV47" s="148"/>
      <c r="EW47" s="148"/>
      <c r="EX47" s="148"/>
      <c r="EY47" s="148"/>
      <c r="EZ47" s="148"/>
      <c r="FA47" s="148"/>
      <c r="FB47" s="148"/>
      <c r="FC47" s="148"/>
      <c r="FD47" s="148"/>
      <c r="FE47" s="148"/>
      <c r="FF47" s="148"/>
      <c r="FG47" s="148"/>
      <c r="FH47" s="148"/>
      <c r="FI47" s="148"/>
      <c r="FJ47" s="148"/>
      <c r="FK47" s="148"/>
      <c r="FL47" s="148"/>
      <c r="FM47" s="148"/>
      <c r="FN47" s="148"/>
      <c r="FO47" s="148"/>
      <c r="FP47" s="148"/>
      <c r="FQ47" s="148"/>
      <c r="FR47" s="148"/>
      <c r="FS47" s="148"/>
      <c r="FT47" s="148"/>
      <c r="FU47" s="148"/>
      <c r="FV47" s="148"/>
      <c r="FW47" s="148"/>
      <c r="FX47" s="148"/>
      <c r="FY47" s="148"/>
      <c r="FZ47" s="148"/>
      <c r="GA47" s="148"/>
      <c r="GB47" s="148"/>
      <c r="GC47" s="148"/>
      <c r="GD47" s="148"/>
      <c r="GE47" s="148"/>
      <c r="GF47" s="148"/>
      <c r="GG47" s="148"/>
      <c r="GH47" s="148"/>
      <c r="GI47" s="148"/>
      <c r="GJ47" s="148"/>
      <c r="GK47" s="148"/>
      <c r="GL47" s="148"/>
      <c r="GM47" s="148"/>
      <c r="GN47" s="148"/>
      <c r="GO47" s="148"/>
      <c r="GP47" s="148"/>
      <c r="GQ47" s="148"/>
      <c r="GR47" s="148"/>
      <c r="GS47" s="148"/>
      <c r="GT47" s="148"/>
      <c r="GU47" s="148"/>
      <c r="GV47" s="148"/>
      <c r="GW47" s="148"/>
      <c r="GX47" s="148"/>
      <c r="GY47" s="148"/>
      <c r="GZ47" s="148"/>
      <c r="HA47" s="148"/>
      <c r="HB47" s="148"/>
      <c r="HC47" s="148"/>
      <c r="HD47" s="148"/>
      <c r="HE47" s="148"/>
      <c r="HF47" s="148"/>
      <c r="HG47" s="148"/>
      <c r="HH47" s="148"/>
      <c r="HI47" s="148"/>
      <c r="HJ47" s="148"/>
      <c r="HK47" s="148"/>
      <c r="HL47" s="148"/>
      <c r="HM47" s="148"/>
      <c r="HN47" s="148"/>
      <c r="HO47" s="148"/>
      <c r="HP47" s="148"/>
      <c r="HQ47" s="148"/>
      <c r="HR47" s="148"/>
      <c r="HS47" s="148"/>
      <c r="HT47" s="148"/>
      <c r="HU47" s="148"/>
      <c r="HV47" s="148"/>
      <c r="HW47" s="148"/>
      <c r="HX47" s="148"/>
      <c r="HY47" s="148"/>
      <c r="HZ47" s="148"/>
      <c r="IA47" s="148"/>
      <c r="IB47" s="148"/>
      <c r="IC47" s="148"/>
      <c r="ID47" s="148"/>
      <c r="IE47" s="148"/>
      <c r="IF47" s="148"/>
      <c r="IG47" s="148"/>
      <c r="IH47" s="148"/>
      <c r="II47" s="148"/>
      <c r="IJ47" s="148"/>
      <c r="IK47" s="148"/>
      <c r="IL47" s="148"/>
      <c r="IM47" s="148"/>
      <c r="IN47" s="148"/>
      <c r="IO47" s="148"/>
      <c r="IP47" s="148"/>
      <c r="IQ47" s="148"/>
      <c r="IR47" s="148"/>
      <c r="IS47" s="148"/>
      <c r="IT47" s="148"/>
      <c r="IU47" s="148"/>
      <c r="IV47" s="148"/>
      <c r="IW47" s="148"/>
      <c r="IX47" s="148"/>
      <c r="IY47" s="148"/>
      <c r="IZ47" s="148"/>
      <c r="JA47" s="148"/>
      <c r="JB47" s="148"/>
      <c r="JC47" s="148"/>
      <c r="JD47" s="148"/>
      <c r="JE47" s="148"/>
      <c r="JF47" s="148"/>
      <c r="JG47" s="148"/>
      <c r="JH47" s="148"/>
      <c r="JI47" s="148"/>
      <c r="JJ47" s="148"/>
      <c r="JK47" s="148"/>
      <c r="JL47" s="148"/>
      <c r="JM47" s="148"/>
      <c r="JN47" s="148"/>
      <c r="JO47" s="148"/>
      <c r="JP47" s="148"/>
      <c r="JQ47" s="148"/>
      <c r="JR47" s="148"/>
      <c r="JS47" s="148"/>
      <c r="JT47" s="148"/>
      <c r="JU47" s="148"/>
      <c r="JV47" s="148"/>
      <c r="JW47" s="148"/>
      <c r="JX47" s="148"/>
      <c r="JY47" s="148"/>
      <c r="JZ47" s="148"/>
      <c r="KA47" s="148"/>
      <c r="KB47" s="148"/>
      <c r="KC47" s="148"/>
      <c r="KD47" s="148"/>
      <c r="KE47" s="148"/>
      <c r="KF47" s="148"/>
      <c r="KG47" s="148"/>
      <c r="KH47" s="148"/>
      <c r="KI47" s="148"/>
      <c r="KJ47" s="148"/>
      <c r="KK47" s="148"/>
      <c r="KL47" s="148"/>
      <c r="KM47" s="148"/>
      <c r="KN47" s="148"/>
      <c r="KO47" s="148"/>
      <c r="KP47" s="148"/>
      <c r="KQ47" s="148"/>
      <c r="KR47" s="148"/>
      <c r="KS47" s="148"/>
      <c r="KT47" s="148"/>
      <c r="KU47" s="148"/>
      <c r="KV47" s="148"/>
      <c r="KW47" s="148"/>
      <c r="KX47" s="148"/>
      <c r="KY47" s="148"/>
      <c r="KZ47" s="148"/>
      <c r="LA47" s="148"/>
      <c r="LB47" s="148"/>
      <c r="LC47" s="148"/>
      <c r="LD47" s="148"/>
      <c r="LE47" s="148"/>
      <c r="LF47" s="148"/>
      <c r="LG47" s="148"/>
      <c r="LH47" s="148"/>
      <c r="LI47" s="148"/>
      <c r="LJ47" s="148"/>
      <c r="LK47" s="148"/>
      <c r="LL47" s="148"/>
      <c r="LM47" s="148"/>
      <c r="LN47" s="148"/>
      <c r="LO47" s="148"/>
      <c r="LP47" s="148"/>
      <c r="LQ47" s="148"/>
      <c r="LR47" s="148"/>
      <c r="LS47" s="148"/>
      <c r="LT47" s="148"/>
      <c r="LU47" s="148"/>
      <c r="LV47" s="148"/>
      <c r="LW47" s="148"/>
      <c r="LX47" s="148"/>
      <c r="LY47" s="148"/>
      <c r="LZ47" s="148"/>
      <c r="MA47" s="148"/>
      <c r="MB47" s="148"/>
      <c r="MC47" s="148"/>
      <c r="MD47" s="148"/>
      <c r="ME47" s="148"/>
      <c r="MF47" s="148"/>
      <c r="MG47" s="148"/>
      <c r="MH47" s="148"/>
      <c r="MI47" s="148"/>
      <c r="MJ47" s="148"/>
      <c r="MK47" s="148"/>
      <c r="ML47" s="148"/>
      <c r="MM47" s="148"/>
      <c r="MN47" s="148"/>
      <c r="MO47" s="148"/>
      <c r="MP47" s="148"/>
      <c r="MQ47" s="148"/>
      <c r="MR47" s="148"/>
      <c r="MS47" s="148"/>
      <c r="MT47" s="148"/>
      <c r="MU47" s="148"/>
      <c r="MV47" s="148"/>
      <c r="MW47" s="148"/>
      <c r="MX47" s="148"/>
      <c r="MY47" s="148"/>
      <c r="MZ47" s="148"/>
      <c r="NA47" s="148"/>
      <c r="NB47" s="148"/>
      <c r="NC47" s="148"/>
      <c r="ND47" s="148"/>
      <c r="NE47" s="148"/>
      <c r="NF47" s="148"/>
      <c r="NG47" s="148"/>
      <c r="NH47" s="148"/>
      <c r="NI47" s="148"/>
      <c r="NJ47" s="148"/>
      <c r="NK47" s="148"/>
      <c r="NL47" s="148"/>
      <c r="NM47" s="148"/>
      <c r="NN47" s="148"/>
      <c r="NO47" s="148"/>
      <c r="NP47" s="148"/>
      <c r="NQ47" s="148"/>
      <c r="NR47" s="148"/>
      <c r="NS47" s="148"/>
      <c r="NT47" s="148"/>
      <c r="NU47" s="148"/>
      <c r="NV47" s="148"/>
      <c r="NW47" s="148"/>
      <c r="NX47" s="148"/>
      <c r="NY47" s="148"/>
      <c r="NZ47" s="148"/>
      <c r="OA47" s="148"/>
      <c r="OB47" s="148"/>
      <c r="OC47" s="148"/>
      <c r="OD47" s="148"/>
      <c r="OE47" s="148"/>
      <c r="OF47" s="148"/>
      <c r="OG47" s="148"/>
      <c r="OH47" s="148"/>
      <c r="OI47" s="148"/>
      <c r="OJ47" s="148"/>
      <c r="OK47" s="148"/>
      <c r="OL47" s="148"/>
      <c r="OM47" s="148"/>
      <c r="ON47" s="148"/>
      <c r="OO47" s="148"/>
      <c r="OP47" s="148"/>
      <c r="OQ47" s="148"/>
      <c r="OR47" s="148"/>
      <c r="OS47" s="148"/>
      <c r="OT47" s="148"/>
      <c r="OU47" s="148"/>
      <c r="OV47" s="148"/>
      <c r="OW47" s="148"/>
      <c r="OX47" s="148"/>
      <c r="OY47" s="148"/>
      <c r="OZ47" s="148"/>
      <c r="PA47" s="148"/>
      <c r="PB47" s="148"/>
      <c r="PC47" s="148"/>
      <c r="PD47" s="148"/>
      <c r="PE47" s="148"/>
      <c r="PF47" s="148"/>
      <c r="PG47" s="148"/>
      <c r="PH47" s="148"/>
      <c r="PI47" s="148"/>
      <c r="PJ47" s="148"/>
      <c r="PK47" s="148"/>
      <c r="PL47" s="148"/>
      <c r="PM47" s="148"/>
      <c r="PN47" s="148"/>
      <c r="PO47" s="148"/>
      <c r="PP47" s="148"/>
      <c r="PQ47" s="148"/>
      <c r="PR47" s="148"/>
      <c r="PS47" s="148"/>
      <c r="PT47" s="148"/>
      <c r="PU47" s="148"/>
      <c r="PV47" s="148"/>
      <c r="PW47" s="148"/>
      <c r="PX47" s="148"/>
      <c r="PY47" s="148"/>
      <c r="PZ47" s="148"/>
      <c r="QA47" s="148"/>
      <c r="QB47" s="148"/>
      <c r="QC47" s="148"/>
      <c r="QD47" s="148"/>
      <c r="QE47" s="148"/>
      <c r="QF47" s="148"/>
      <c r="QG47" s="148"/>
      <c r="QH47" s="148"/>
      <c r="QI47" s="148"/>
      <c r="QJ47" s="148"/>
      <c r="QK47" s="148"/>
      <c r="QL47" s="148"/>
      <c r="QM47" s="148"/>
      <c r="QN47" s="148"/>
      <c r="QO47" s="148"/>
      <c r="QP47" s="148"/>
      <c r="QQ47" s="148"/>
      <c r="QR47" s="148"/>
      <c r="QS47" s="148"/>
      <c r="QT47" s="148"/>
      <c r="QU47" s="148"/>
      <c r="QV47" s="148"/>
      <c r="QW47" s="148"/>
      <c r="QX47" s="148"/>
      <c r="QY47" s="148"/>
      <c r="QZ47" s="148"/>
      <c r="RA47" s="148"/>
      <c r="RB47" s="148"/>
      <c r="RC47" s="148"/>
      <c r="RD47" s="148"/>
      <c r="RE47" s="148"/>
      <c r="RF47" s="148"/>
      <c r="RG47" s="148"/>
      <c r="RH47" s="148"/>
      <c r="RI47" s="148"/>
      <c r="RJ47" s="148"/>
      <c r="RK47" s="148"/>
      <c r="RL47" s="148"/>
      <c r="RM47" s="148"/>
      <c r="RN47" s="148"/>
      <c r="RO47" s="148"/>
      <c r="RP47" s="148"/>
      <c r="RQ47" s="148"/>
      <c r="RR47" s="148"/>
    </row>
    <row r="48" spans="1:486" s="15" customFormat="1" x14ac:dyDescent="0.25">
      <c r="A48" s="148"/>
      <c r="B48" s="350">
        <v>33</v>
      </c>
      <c r="C48" s="646" t="s">
        <v>2691</v>
      </c>
      <c r="D48" s="631">
        <v>40010023</v>
      </c>
      <c r="E48" s="344" t="s">
        <v>2775</v>
      </c>
      <c r="F48" s="344" t="s">
        <v>45</v>
      </c>
      <c r="G48" s="17" t="s">
        <v>2693</v>
      </c>
      <c r="H48" s="317" t="s">
        <v>2697</v>
      </c>
      <c r="I48" s="346" t="s">
        <v>43</v>
      </c>
      <c r="J48" s="341" t="s">
        <v>2776</v>
      </c>
      <c r="K48" s="633">
        <v>0</v>
      </c>
      <c r="L48" s="633">
        <v>0</v>
      </c>
      <c r="M48" s="633">
        <v>0</v>
      </c>
      <c r="N48" s="633">
        <v>0</v>
      </c>
      <c r="O48" s="633">
        <v>0</v>
      </c>
      <c r="P48" s="633">
        <v>0</v>
      </c>
      <c r="Q48" s="633">
        <v>0</v>
      </c>
      <c r="R48" s="633">
        <v>0</v>
      </c>
      <c r="S48" s="633"/>
      <c r="T48" s="633"/>
      <c r="U48" s="633"/>
      <c r="V48" s="633"/>
      <c r="W48" s="633"/>
      <c r="X48" s="633"/>
      <c r="Y48" s="633">
        <f t="shared" si="1"/>
        <v>0</v>
      </c>
      <c r="Z48" s="407">
        <v>5000</v>
      </c>
      <c r="AA48" s="635" t="s">
        <v>2769</v>
      </c>
      <c r="AB48" s="23">
        <v>44232</v>
      </c>
      <c r="AC48" s="23">
        <v>44250</v>
      </c>
      <c r="AD48" s="637"/>
      <c r="AE48" s="20"/>
      <c r="AF48" s="21"/>
      <c r="AG48" s="23"/>
      <c r="AH48" s="637"/>
      <c r="AI48" s="19"/>
      <c r="AJ48" s="21"/>
      <c r="AK48" s="25"/>
      <c r="AL48" s="309"/>
      <c r="AM48" s="19"/>
      <c r="AN48" s="21"/>
      <c r="AO48" s="25"/>
      <c r="AP48" s="309"/>
      <c r="AQ48" s="19"/>
      <c r="AR48" s="21"/>
      <c r="AS48" s="25"/>
      <c r="AT48" s="638">
        <f t="shared" si="2"/>
        <v>5000</v>
      </c>
      <c r="AU48" s="311">
        <f t="shared" si="0"/>
        <v>5000</v>
      </c>
      <c r="AV48" s="148"/>
      <c r="AW48" s="148"/>
      <c r="AX48" s="148"/>
      <c r="AY48" s="148"/>
      <c r="AZ48" s="148"/>
      <c r="BA48" s="148"/>
      <c r="BB48" s="148"/>
      <c r="BC48" s="148"/>
      <c r="BD48" s="148"/>
      <c r="BE48" s="148"/>
      <c r="BF48" s="148"/>
      <c r="BG48" s="148"/>
      <c r="BH48" s="148"/>
      <c r="BI48" s="148"/>
      <c r="BJ48" s="148"/>
      <c r="BK48" s="148"/>
      <c r="BL48" s="148"/>
      <c r="BM48" s="148"/>
      <c r="BN48" s="148"/>
      <c r="BO48" s="148"/>
      <c r="BP48" s="148"/>
      <c r="BQ48" s="148"/>
      <c r="BR48" s="148"/>
      <c r="BS48" s="148"/>
      <c r="BT48" s="148"/>
      <c r="BU48" s="148"/>
      <c r="BV48" s="148"/>
      <c r="BW48" s="148"/>
      <c r="BX48" s="148"/>
      <c r="BY48" s="148"/>
      <c r="BZ48" s="148"/>
      <c r="CA48" s="148"/>
      <c r="CB48" s="148"/>
      <c r="CC48" s="148"/>
      <c r="CD48" s="148"/>
      <c r="CE48" s="148"/>
      <c r="CF48" s="148"/>
      <c r="CG48" s="148"/>
      <c r="CH48" s="148"/>
      <c r="CI48" s="148"/>
      <c r="CJ48" s="148"/>
      <c r="CK48" s="148"/>
      <c r="CL48" s="148"/>
      <c r="CM48" s="148"/>
      <c r="CN48" s="148"/>
      <c r="CO48" s="148"/>
      <c r="CP48" s="148"/>
      <c r="CQ48" s="148"/>
      <c r="CR48" s="148"/>
      <c r="CS48" s="148"/>
      <c r="CT48" s="148"/>
      <c r="CU48" s="148"/>
      <c r="CV48" s="148"/>
      <c r="CW48" s="148"/>
      <c r="CX48" s="148"/>
      <c r="CY48" s="148"/>
      <c r="CZ48" s="148"/>
      <c r="DA48" s="148"/>
      <c r="DB48" s="148"/>
      <c r="DC48" s="148"/>
      <c r="DD48" s="148"/>
      <c r="DE48" s="148"/>
      <c r="DF48" s="148"/>
      <c r="DG48" s="148"/>
      <c r="DH48" s="148"/>
      <c r="DI48" s="148"/>
      <c r="DJ48" s="148"/>
      <c r="DK48" s="148"/>
      <c r="DL48" s="148"/>
      <c r="DM48" s="148"/>
      <c r="DN48" s="148"/>
      <c r="DO48" s="148"/>
      <c r="DP48" s="148"/>
      <c r="DQ48" s="148"/>
      <c r="DR48" s="148"/>
      <c r="DS48" s="148"/>
      <c r="DT48" s="148"/>
      <c r="DU48" s="148"/>
      <c r="DV48" s="148"/>
      <c r="DW48" s="148"/>
      <c r="DX48" s="148"/>
      <c r="DY48" s="148"/>
      <c r="DZ48" s="148"/>
      <c r="EA48" s="148"/>
      <c r="EB48" s="148"/>
      <c r="EC48" s="148"/>
      <c r="ED48" s="148"/>
      <c r="EE48" s="148"/>
      <c r="EF48" s="148"/>
      <c r="EG48" s="148"/>
      <c r="EH48" s="148"/>
      <c r="EI48" s="148"/>
      <c r="EJ48" s="148"/>
      <c r="EK48" s="148"/>
      <c r="EL48" s="148"/>
      <c r="EM48" s="148"/>
      <c r="EN48" s="148"/>
      <c r="EO48" s="148"/>
      <c r="EP48" s="148"/>
      <c r="EQ48" s="148"/>
      <c r="ER48" s="148"/>
      <c r="ES48" s="148"/>
      <c r="ET48" s="148"/>
      <c r="EU48" s="148"/>
      <c r="EV48" s="148"/>
      <c r="EW48" s="148"/>
      <c r="EX48" s="148"/>
      <c r="EY48" s="148"/>
      <c r="EZ48" s="148"/>
      <c r="FA48" s="148"/>
      <c r="FB48" s="148"/>
      <c r="FC48" s="148"/>
      <c r="FD48" s="148"/>
      <c r="FE48" s="148"/>
      <c r="FF48" s="148"/>
      <c r="FG48" s="148"/>
      <c r="FH48" s="148"/>
      <c r="FI48" s="148"/>
      <c r="FJ48" s="148"/>
      <c r="FK48" s="148"/>
      <c r="FL48" s="148"/>
      <c r="FM48" s="148"/>
      <c r="FN48" s="148"/>
      <c r="FO48" s="148"/>
      <c r="FP48" s="148"/>
      <c r="FQ48" s="148"/>
      <c r="FR48" s="148"/>
      <c r="FS48" s="148"/>
      <c r="FT48" s="148"/>
      <c r="FU48" s="148"/>
      <c r="FV48" s="148"/>
      <c r="FW48" s="148"/>
      <c r="FX48" s="148"/>
      <c r="FY48" s="148"/>
      <c r="FZ48" s="148"/>
      <c r="GA48" s="148"/>
      <c r="GB48" s="148"/>
      <c r="GC48" s="148"/>
      <c r="GD48" s="148"/>
      <c r="GE48" s="148"/>
      <c r="GF48" s="148"/>
      <c r="GG48" s="148"/>
      <c r="GH48" s="148"/>
      <c r="GI48" s="148"/>
      <c r="GJ48" s="148"/>
      <c r="GK48" s="148"/>
      <c r="GL48" s="148"/>
      <c r="GM48" s="148"/>
      <c r="GN48" s="148"/>
      <c r="GO48" s="148"/>
      <c r="GP48" s="148"/>
      <c r="GQ48" s="148"/>
      <c r="GR48" s="148"/>
      <c r="GS48" s="148"/>
      <c r="GT48" s="148"/>
      <c r="GU48" s="148"/>
      <c r="GV48" s="148"/>
      <c r="GW48" s="148"/>
      <c r="GX48" s="148"/>
      <c r="GY48" s="148"/>
      <c r="GZ48" s="148"/>
      <c r="HA48" s="148"/>
      <c r="HB48" s="148"/>
      <c r="HC48" s="148"/>
      <c r="HD48" s="148"/>
      <c r="HE48" s="148"/>
      <c r="HF48" s="148"/>
      <c r="HG48" s="148"/>
      <c r="HH48" s="148"/>
      <c r="HI48" s="148"/>
      <c r="HJ48" s="148"/>
      <c r="HK48" s="148"/>
      <c r="HL48" s="148"/>
      <c r="HM48" s="148"/>
      <c r="HN48" s="148"/>
      <c r="HO48" s="148"/>
      <c r="HP48" s="148"/>
      <c r="HQ48" s="148"/>
      <c r="HR48" s="148"/>
      <c r="HS48" s="148"/>
      <c r="HT48" s="148"/>
      <c r="HU48" s="148"/>
      <c r="HV48" s="148"/>
      <c r="HW48" s="148"/>
      <c r="HX48" s="148"/>
      <c r="HY48" s="148"/>
      <c r="HZ48" s="148"/>
      <c r="IA48" s="148"/>
      <c r="IB48" s="148"/>
      <c r="IC48" s="148"/>
      <c r="ID48" s="148"/>
      <c r="IE48" s="148"/>
      <c r="IF48" s="148"/>
      <c r="IG48" s="148"/>
      <c r="IH48" s="148"/>
      <c r="II48" s="148"/>
      <c r="IJ48" s="148"/>
      <c r="IK48" s="148"/>
      <c r="IL48" s="148"/>
      <c r="IM48" s="148"/>
      <c r="IN48" s="148"/>
      <c r="IO48" s="148"/>
      <c r="IP48" s="148"/>
      <c r="IQ48" s="148"/>
      <c r="IR48" s="148"/>
      <c r="IS48" s="148"/>
      <c r="IT48" s="148"/>
      <c r="IU48" s="148"/>
      <c r="IV48" s="148"/>
      <c r="IW48" s="148"/>
      <c r="IX48" s="148"/>
      <c r="IY48" s="148"/>
      <c r="IZ48" s="148"/>
      <c r="JA48" s="148"/>
      <c r="JB48" s="148"/>
      <c r="JC48" s="148"/>
      <c r="JD48" s="148"/>
      <c r="JE48" s="148"/>
      <c r="JF48" s="148"/>
      <c r="JG48" s="148"/>
      <c r="JH48" s="148"/>
      <c r="JI48" s="148"/>
      <c r="JJ48" s="148"/>
      <c r="JK48" s="148"/>
      <c r="JL48" s="148"/>
      <c r="JM48" s="148"/>
      <c r="JN48" s="148"/>
      <c r="JO48" s="148"/>
      <c r="JP48" s="148"/>
      <c r="JQ48" s="148"/>
      <c r="JR48" s="148"/>
      <c r="JS48" s="148"/>
      <c r="JT48" s="148"/>
      <c r="JU48" s="148"/>
      <c r="JV48" s="148"/>
      <c r="JW48" s="148"/>
      <c r="JX48" s="148"/>
      <c r="JY48" s="148"/>
      <c r="JZ48" s="148"/>
      <c r="KA48" s="148"/>
      <c r="KB48" s="148"/>
      <c r="KC48" s="148"/>
      <c r="KD48" s="148"/>
      <c r="KE48" s="148"/>
      <c r="KF48" s="148"/>
      <c r="KG48" s="148"/>
      <c r="KH48" s="148"/>
      <c r="KI48" s="148"/>
      <c r="KJ48" s="148"/>
      <c r="KK48" s="148"/>
      <c r="KL48" s="148"/>
      <c r="KM48" s="148"/>
      <c r="KN48" s="148"/>
      <c r="KO48" s="148"/>
      <c r="KP48" s="148"/>
      <c r="KQ48" s="148"/>
      <c r="KR48" s="148"/>
      <c r="KS48" s="148"/>
      <c r="KT48" s="148"/>
      <c r="KU48" s="148"/>
      <c r="KV48" s="148"/>
      <c r="KW48" s="148"/>
      <c r="KX48" s="148"/>
      <c r="KY48" s="148"/>
      <c r="KZ48" s="148"/>
      <c r="LA48" s="148"/>
      <c r="LB48" s="148"/>
      <c r="LC48" s="148"/>
      <c r="LD48" s="148"/>
      <c r="LE48" s="148"/>
      <c r="LF48" s="148"/>
      <c r="LG48" s="148"/>
      <c r="LH48" s="148"/>
      <c r="LI48" s="148"/>
      <c r="LJ48" s="148"/>
      <c r="LK48" s="148"/>
      <c r="LL48" s="148"/>
      <c r="LM48" s="148"/>
      <c r="LN48" s="148"/>
      <c r="LO48" s="148"/>
      <c r="LP48" s="148"/>
      <c r="LQ48" s="148"/>
      <c r="LR48" s="148"/>
      <c r="LS48" s="148"/>
      <c r="LT48" s="148"/>
      <c r="LU48" s="148"/>
      <c r="LV48" s="148"/>
      <c r="LW48" s="148"/>
      <c r="LX48" s="148"/>
      <c r="LY48" s="148"/>
      <c r="LZ48" s="148"/>
      <c r="MA48" s="148"/>
      <c r="MB48" s="148"/>
      <c r="MC48" s="148"/>
      <c r="MD48" s="148"/>
      <c r="ME48" s="148"/>
      <c r="MF48" s="148"/>
      <c r="MG48" s="148"/>
      <c r="MH48" s="148"/>
      <c r="MI48" s="148"/>
      <c r="MJ48" s="148"/>
      <c r="MK48" s="148"/>
      <c r="ML48" s="148"/>
      <c r="MM48" s="148"/>
      <c r="MN48" s="148"/>
      <c r="MO48" s="148"/>
      <c r="MP48" s="148"/>
      <c r="MQ48" s="148"/>
      <c r="MR48" s="148"/>
      <c r="MS48" s="148"/>
      <c r="MT48" s="148"/>
      <c r="MU48" s="148"/>
      <c r="MV48" s="148"/>
      <c r="MW48" s="148"/>
      <c r="MX48" s="148"/>
      <c r="MY48" s="148"/>
      <c r="MZ48" s="148"/>
      <c r="NA48" s="148"/>
      <c r="NB48" s="148"/>
      <c r="NC48" s="148"/>
      <c r="ND48" s="148"/>
      <c r="NE48" s="148"/>
      <c r="NF48" s="148"/>
      <c r="NG48" s="148"/>
      <c r="NH48" s="148"/>
      <c r="NI48" s="148"/>
      <c r="NJ48" s="148"/>
      <c r="NK48" s="148"/>
      <c r="NL48" s="148"/>
      <c r="NM48" s="148"/>
      <c r="NN48" s="148"/>
      <c r="NO48" s="148"/>
      <c r="NP48" s="148"/>
      <c r="NQ48" s="148"/>
      <c r="NR48" s="148"/>
      <c r="NS48" s="148"/>
      <c r="NT48" s="148"/>
      <c r="NU48" s="148"/>
      <c r="NV48" s="148"/>
      <c r="NW48" s="148"/>
      <c r="NX48" s="148"/>
      <c r="NY48" s="148"/>
      <c r="NZ48" s="148"/>
      <c r="OA48" s="148"/>
      <c r="OB48" s="148"/>
      <c r="OC48" s="148"/>
      <c r="OD48" s="148"/>
      <c r="OE48" s="148"/>
      <c r="OF48" s="148"/>
      <c r="OG48" s="148"/>
      <c r="OH48" s="148"/>
      <c r="OI48" s="148"/>
      <c r="OJ48" s="148"/>
      <c r="OK48" s="148"/>
      <c r="OL48" s="148"/>
      <c r="OM48" s="148"/>
      <c r="ON48" s="148"/>
      <c r="OO48" s="148"/>
      <c r="OP48" s="148"/>
      <c r="OQ48" s="148"/>
      <c r="OR48" s="148"/>
      <c r="OS48" s="148"/>
      <c r="OT48" s="148"/>
      <c r="OU48" s="148"/>
      <c r="OV48" s="148"/>
      <c r="OW48" s="148"/>
      <c r="OX48" s="148"/>
      <c r="OY48" s="148"/>
      <c r="OZ48" s="148"/>
      <c r="PA48" s="148"/>
      <c r="PB48" s="148"/>
      <c r="PC48" s="148"/>
      <c r="PD48" s="148"/>
      <c r="PE48" s="148"/>
      <c r="PF48" s="148"/>
      <c r="PG48" s="148"/>
      <c r="PH48" s="148"/>
      <c r="PI48" s="148"/>
      <c r="PJ48" s="148"/>
      <c r="PK48" s="148"/>
      <c r="PL48" s="148"/>
      <c r="PM48" s="148"/>
      <c r="PN48" s="148"/>
      <c r="PO48" s="148"/>
      <c r="PP48" s="148"/>
      <c r="PQ48" s="148"/>
      <c r="PR48" s="148"/>
      <c r="PS48" s="148"/>
      <c r="PT48" s="148"/>
      <c r="PU48" s="148"/>
      <c r="PV48" s="148"/>
      <c r="PW48" s="148"/>
      <c r="PX48" s="148"/>
      <c r="PY48" s="148"/>
      <c r="PZ48" s="148"/>
      <c r="QA48" s="148"/>
      <c r="QB48" s="148"/>
      <c r="QC48" s="148"/>
      <c r="QD48" s="148"/>
      <c r="QE48" s="148"/>
      <c r="QF48" s="148"/>
      <c r="QG48" s="148"/>
      <c r="QH48" s="148"/>
      <c r="QI48" s="148"/>
      <c r="QJ48" s="148"/>
      <c r="QK48" s="148"/>
      <c r="QL48" s="148"/>
      <c r="QM48" s="148"/>
      <c r="QN48" s="148"/>
      <c r="QO48" s="148"/>
      <c r="QP48" s="148"/>
      <c r="QQ48" s="148"/>
      <c r="QR48" s="148"/>
      <c r="QS48" s="148"/>
      <c r="QT48" s="148"/>
      <c r="QU48" s="148"/>
      <c r="QV48" s="148"/>
      <c r="QW48" s="148"/>
      <c r="QX48" s="148"/>
      <c r="QY48" s="148"/>
      <c r="QZ48" s="148"/>
      <c r="RA48" s="148"/>
      <c r="RB48" s="148"/>
      <c r="RC48" s="148"/>
      <c r="RD48" s="148"/>
      <c r="RE48" s="148"/>
      <c r="RF48" s="148"/>
      <c r="RG48" s="148"/>
      <c r="RH48" s="148"/>
      <c r="RI48" s="148"/>
      <c r="RJ48" s="148"/>
      <c r="RK48" s="148"/>
      <c r="RL48" s="148"/>
      <c r="RM48" s="148"/>
      <c r="RN48" s="148"/>
      <c r="RO48" s="148"/>
      <c r="RP48" s="148"/>
      <c r="RQ48" s="148"/>
      <c r="RR48" s="148"/>
    </row>
    <row r="49" spans="1:486" s="15" customFormat="1" x14ac:dyDescent="0.25">
      <c r="A49" s="148"/>
      <c r="B49" s="350">
        <v>34</v>
      </c>
      <c r="C49" s="643" t="s">
        <v>2691</v>
      </c>
      <c r="D49" s="631">
        <v>40011142</v>
      </c>
      <c r="E49" s="344" t="s">
        <v>2777</v>
      </c>
      <c r="F49" s="344" t="s">
        <v>45</v>
      </c>
      <c r="G49" s="17" t="s">
        <v>2693</v>
      </c>
      <c r="H49" s="317" t="s">
        <v>1562</v>
      </c>
      <c r="I49" s="346" t="s">
        <v>43</v>
      </c>
      <c r="J49" s="341" t="s">
        <v>2778</v>
      </c>
      <c r="K49" s="633">
        <v>0</v>
      </c>
      <c r="L49" s="633">
        <v>2066265</v>
      </c>
      <c r="M49" s="633">
        <v>0</v>
      </c>
      <c r="N49" s="633">
        <v>0</v>
      </c>
      <c r="O49" s="633">
        <v>0</v>
      </c>
      <c r="P49" s="633">
        <v>0</v>
      </c>
      <c r="Q49" s="633">
        <v>0</v>
      </c>
      <c r="R49" s="633">
        <v>0</v>
      </c>
      <c r="S49" s="633"/>
      <c r="T49" s="633"/>
      <c r="U49" s="633"/>
      <c r="V49" s="633"/>
      <c r="W49" s="633"/>
      <c r="X49" s="633"/>
      <c r="Y49" s="633">
        <f t="shared" si="1"/>
        <v>0</v>
      </c>
      <c r="Z49" s="407">
        <v>70000</v>
      </c>
      <c r="AA49" s="635" t="s">
        <v>2769</v>
      </c>
      <c r="AB49" s="23">
        <v>44232</v>
      </c>
      <c r="AC49" s="23">
        <v>44250</v>
      </c>
      <c r="AD49" s="637"/>
      <c r="AE49" s="20"/>
      <c r="AF49" s="21"/>
      <c r="AG49" s="23"/>
      <c r="AH49" s="637"/>
      <c r="AI49" s="19"/>
      <c r="AJ49" s="21"/>
      <c r="AK49" s="25"/>
      <c r="AL49" s="309"/>
      <c r="AM49" s="19"/>
      <c r="AN49" s="21"/>
      <c r="AO49" s="25"/>
      <c r="AP49" s="309"/>
      <c r="AQ49" s="19"/>
      <c r="AR49" s="21"/>
      <c r="AS49" s="25"/>
      <c r="AT49" s="638">
        <f t="shared" si="2"/>
        <v>70000</v>
      </c>
      <c r="AU49" s="311">
        <f t="shared" si="0"/>
        <v>70000</v>
      </c>
      <c r="AV49" s="148"/>
      <c r="AW49" s="148"/>
      <c r="AX49" s="148"/>
      <c r="AY49" s="148"/>
      <c r="AZ49" s="148"/>
      <c r="BA49" s="148"/>
      <c r="BB49" s="148"/>
      <c r="BC49" s="148"/>
      <c r="BD49" s="148"/>
      <c r="BE49" s="148"/>
      <c r="BF49" s="148"/>
      <c r="BG49" s="148"/>
      <c r="BH49" s="148"/>
      <c r="BI49" s="148"/>
      <c r="BJ49" s="148"/>
      <c r="BK49" s="148"/>
      <c r="BL49" s="148"/>
      <c r="BM49" s="148"/>
      <c r="BN49" s="148"/>
      <c r="BO49" s="148"/>
      <c r="BP49" s="148"/>
      <c r="BQ49" s="148"/>
      <c r="BR49" s="148"/>
      <c r="BS49" s="148"/>
      <c r="BT49" s="148"/>
      <c r="BU49" s="148"/>
      <c r="BV49" s="148"/>
      <c r="BW49" s="148"/>
      <c r="BX49" s="148"/>
      <c r="BY49" s="148"/>
      <c r="BZ49" s="148"/>
      <c r="CA49" s="148"/>
      <c r="CB49" s="148"/>
      <c r="CC49" s="148"/>
      <c r="CD49" s="148"/>
      <c r="CE49" s="148"/>
      <c r="CF49" s="148"/>
      <c r="CG49" s="148"/>
      <c r="CH49" s="148"/>
      <c r="CI49" s="148"/>
      <c r="CJ49" s="148"/>
      <c r="CK49" s="148"/>
      <c r="CL49" s="148"/>
      <c r="CM49" s="148"/>
      <c r="CN49" s="148"/>
      <c r="CO49" s="148"/>
      <c r="CP49" s="148"/>
      <c r="CQ49" s="148"/>
      <c r="CR49" s="148"/>
      <c r="CS49" s="148"/>
      <c r="CT49" s="148"/>
      <c r="CU49" s="148"/>
      <c r="CV49" s="148"/>
      <c r="CW49" s="148"/>
      <c r="CX49" s="148"/>
      <c r="CY49" s="148"/>
      <c r="CZ49" s="148"/>
      <c r="DA49" s="148"/>
      <c r="DB49" s="148"/>
      <c r="DC49" s="148"/>
      <c r="DD49" s="148"/>
      <c r="DE49" s="148"/>
      <c r="DF49" s="148"/>
      <c r="DG49" s="148"/>
      <c r="DH49" s="148"/>
      <c r="DI49" s="148"/>
      <c r="DJ49" s="148"/>
      <c r="DK49" s="148"/>
      <c r="DL49" s="148"/>
      <c r="DM49" s="148"/>
      <c r="DN49" s="148"/>
      <c r="DO49" s="148"/>
      <c r="DP49" s="148"/>
      <c r="DQ49" s="148"/>
      <c r="DR49" s="148"/>
      <c r="DS49" s="148"/>
      <c r="DT49" s="148"/>
      <c r="DU49" s="148"/>
      <c r="DV49" s="148"/>
      <c r="DW49" s="148"/>
      <c r="DX49" s="148"/>
      <c r="DY49" s="148"/>
      <c r="DZ49" s="148"/>
      <c r="EA49" s="148"/>
      <c r="EB49" s="148"/>
      <c r="EC49" s="148"/>
      <c r="ED49" s="148"/>
      <c r="EE49" s="148"/>
      <c r="EF49" s="148"/>
      <c r="EG49" s="148"/>
      <c r="EH49" s="148"/>
      <c r="EI49" s="148"/>
      <c r="EJ49" s="148"/>
      <c r="EK49" s="148"/>
      <c r="EL49" s="148"/>
      <c r="EM49" s="148"/>
      <c r="EN49" s="148"/>
      <c r="EO49" s="148"/>
      <c r="EP49" s="148"/>
      <c r="EQ49" s="148"/>
      <c r="ER49" s="148"/>
      <c r="ES49" s="148"/>
      <c r="ET49" s="148"/>
      <c r="EU49" s="148"/>
      <c r="EV49" s="148"/>
      <c r="EW49" s="148"/>
      <c r="EX49" s="148"/>
      <c r="EY49" s="148"/>
      <c r="EZ49" s="148"/>
      <c r="FA49" s="148"/>
      <c r="FB49" s="148"/>
      <c r="FC49" s="148"/>
      <c r="FD49" s="148"/>
      <c r="FE49" s="148"/>
      <c r="FF49" s="148"/>
      <c r="FG49" s="148"/>
      <c r="FH49" s="148"/>
      <c r="FI49" s="148"/>
      <c r="FJ49" s="148"/>
      <c r="FK49" s="148"/>
      <c r="FL49" s="148"/>
      <c r="FM49" s="148"/>
      <c r="FN49" s="148"/>
      <c r="FO49" s="148"/>
      <c r="FP49" s="148"/>
      <c r="FQ49" s="148"/>
      <c r="FR49" s="148"/>
      <c r="FS49" s="148"/>
      <c r="FT49" s="148"/>
      <c r="FU49" s="148"/>
      <c r="FV49" s="148"/>
      <c r="FW49" s="148"/>
      <c r="FX49" s="148"/>
      <c r="FY49" s="148"/>
      <c r="FZ49" s="148"/>
      <c r="GA49" s="148"/>
      <c r="GB49" s="148"/>
      <c r="GC49" s="148"/>
      <c r="GD49" s="148"/>
      <c r="GE49" s="148"/>
      <c r="GF49" s="148"/>
      <c r="GG49" s="148"/>
      <c r="GH49" s="148"/>
      <c r="GI49" s="148"/>
      <c r="GJ49" s="148"/>
      <c r="GK49" s="148"/>
      <c r="GL49" s="148"/>
      <c r="GM49" s="148"/>
      <c r="GN49" s="148"/>
      <c r="GO49" s="148"/>
      <c r="GP49" s="148"/>
      <c r="GQ49" s="148"/>
      <c r="GR49" s="148"/>
      <c r="GS49" s="148"/>
      <c r="GT49" s="148"/>
      <c r="GU49" s="148"/>
      <c r="GV49" s="148"/>
      <c r="GW49" s="148"/>
      <c r="GX49" s="148"/>
      <c r="GY49" s="148"/>
      <c r="GZ49" s="148"/>
      <c r="HA49" s="148"/>
      <c r="HB49" s="148"/>
      <c r="HC49" s="148"/>
      <c r="HD49" s="148"/>
      <c r="HE49" s="148"/>
      <c r="HF49" s="148"/>
      <c r="HG49" s="148"/>
      <c r="HH49" s="148"/>
      <c r="HI49" s="148"/>
      <c r="HJ49" s="148"/>
      <c r="HK49" s="148"/>
      <c r="HL49" s="148"/>
      <c r="HM49" s="148"/>
      <c r="HN49" s="148"/>
      <c r="HO49" s="148"/>
      <c r="HP49" s="148"/>
      <c r="HQ49" s="148"/>
      <c r="HR49" s="148"/>
      <c r="HS49" s="148"/>
      <c r="HT49" s="148"/>
      <c r="HU49" s="148"/>
      <c r="HV49" s="148"/>
      <c r="HW49" s="148"/>
      <c r="HX49" s="148"/>
      <c r="HY49" s="148"/>
      <c r="HZ49" s="148"/>
      <c r="IA49" s="148"/>
      <c r="IB49" s="148"/>
      <c r="IC49" s="148"/>
      <c r="ID49" s="148"/>
      <c r="IE49" s="148"/>
      <c r="IF49" s="148"/>
      <c r="IG49" s="148"/>
      <c r="IH49" s="148"/>
      <c r="II49" s="148"/>
      <c r="IJ49" s="148"/>
      <c r="IK49" s="148"/>
      <c r="IL49" s="148"/>
      <c r="IM49" s="148"/>
      <c r="IN49" s="148"/>
      <c r="IO49" s="148"/>
      <c r="IP49" s="148"/>
      <c r="IQ49" s="148"/>
      <c r="IR49" s="148"/>
      <c r="IS49" s="148"/>
      <c r="IT49" s="148"/>
      <c r="IU49" s="148"/>
      <c r="IV49" s="148"/>
      <c r="IW49" s="148"/>
      <c r="IX49" s="148"/>
      <c r="IY49" s="148"/>
      <c r="IZ49" s="148"/>
      <c r="JA49" s="148"/>
      <c r="JB49" s="148"/>
      <c r="JC49" s="148"/>
      <c r="JD49" s="148"/>
      <c r="JE49" s="148"/>
      <c r="JF49" s="148"/>
      <c r="JG49" s="148"/>
      <c r="JH49" s="148"/>
      <c r="JI49" s="148"/>
      <c r="JJ49" s="148"/>
      <c r="JK49" s="148"/>
      <c r="JL49" s="148"/>
      <c r="JM49" s="148"/>
      <c r="JN49" s="148"/>
      <c r="JO49" s="148"/>
      <c r="JP49" s="148"/>
      <c r="JQ49" s="148"/>
      <c r="JR49" s="148"/>
      <c r="JS49" s="148"/>
      <c r="JT49" s="148"/>
      <c r="JU49" s="148"/>
      <c r="JV49" s="148"/>
      <c r="JW49" s="148"/>
      <c r="JX49" s="148"/>
      <c r="JY49" s="148"/>
      <c r="JZ49" s="148"/>
      <c r="KA49" s="148"/>
      <c r="KB49" s="148"/>
      <c r="KC49" s="148"/>
      <c r="KD49" s="148"/>
      <c r="KE49" s="148"/>
      <c r="KF49" s="148"/>
      <c r="KG49" s="148"/>
      <c r="KH49" s="148"/>
      <c r="KI49" s="148"/>
      <c r="KJ49" s="148"/>
      <c r="KK49" s="148"/>
      <c r="KL49" s="148"/>
      <c r="KM49" s="148"/>
      <c r="KN49" s="148"/>
      <c r="KO49" s="148"/>
      <c r="KP49" s="148"/>
      <c r="KQ49" s="148"/>
      <c r="KR49" s="148"/>
      <c r="KS49" s="148"/>
      <c r="KT49" s="148"/>
      <c r="KU49" s="148"/>
      <c r="KV49" s="148"/>
      <c r="KW49" s="148"/>
      <c r="KX49" s="148"/>
      <c r="KY49" s="148"/>
      <c r="KZ49" s="148"/>
      <c r="LA49" s="148"/>
      <c r="LB49" s="148"/>
      <c r="LC49" s="148"/>
      <c r="LD49" s="148"/>
      <c r="LE49" s="148"/>
      <c r="LF49" s="148"/>
      <c r="LG49" s="148"/>
      <c r="LH49" s="148"/>
      <c r="LI49" s="148"/>
      <c r="LJ49" s="148"/>
      <c r="LK49" s="148"/>
      <c r="LL49" s="148"/>
      <c r="LM49" s="148"/>
      <c r="LN49" s="148"/>
      <c r="LO49" s="148"/>
      <c r="LP49" s="148"/>
      <c r="LQ49" s="148"/>
      <c r="LR49" s="148"/>
      <c r="LS49" s="148"/>
      <c r="LT49" s="148"/>
      <c r="LU49" s="148"/>
      <c r="LV49" s="148"/>
      <c r="LW49" s="148"/>
      <c r="LX49" s="148"/>
      <c r="LY49" s="148"/>
      <c r="LZ49" s="148"/>
      <c r="MA49" s="148"/>
      <c r="MB49" s="148"/>
      <c r="MC49" s="148"/>
      <c r="MD49" s="148"/>
      <c r="ME49" s="148"/>
      <c r="MF49" s="148"/>
      <c r="MG49" s="148"/>
      <c r="MH49" s="148"/>
      <c r="MI49" s="148"/>
      <c r="MJ49" s="148"/>
      <c r="MK49" s="148"/>
      <c r="ML49" s="148"/>
      <c r="MM49" s="148"/>
      <c r="MN49" s="148"/>
      <c r="MO49" s="148"/>
      <c r="MP49" s="148"/>
      <c r="MQ49" s="148"/>
      <c r="MR49" s="148"/>
      <c r="MS49" s="148"/>
      <c r="MT49" s="148"/>
      <c r="MU49" s="148"/>
      <c r="MV49" s="148"/>
      <c r="MW49" s="148"/>
      <c r="MX49" s="148"/>
      <c r="MY49" s="148"/>
      <c r="MZ49" s="148"/>
      <c r="NA49" s="148"/>
      <c r="NB49" s="148"/>
      <c r="NC49" s="148"/>
      <c r="ND49" s="148"/>
      <c r="NE49" s="148"/>
      <c r="NF49" s="148"/>
      <c r="NG49" s="148"/>
      <c r="NH49" s="148"/>
      <c r="NI49" s="148"/>
      <c r="NJ49" s="148"/>
      <c r="NK49" s="148"/>
      <c r="NL49" s="148"/>
      <c r="NM49" s="148"/>
      <c r="NN49" s="148"/>
      <c r="NO49" s="148"/>
      <c r="NP49" s="148"/>
      <c r="NQ49" s="148"/>
      <c r="NR49" s="148"/>
      <c r="NS49" s="148"/>
      <c r="NT49" s="148"/>
      <c r="NU49" s="148"/>
      <c r="NV49" s="148"/>
      <c r="NW49" s="148"/>
      <c r="NX49" s="148"/>
      <c r="NY49" s="148"/>
      <c r="NZ49" s="148"/>
      <c r="OA49" s="148"/>
      <c r="OB49" s="148"/>
      <c r="OC49" s="148"/>
      <c r="OD49" s="148"/>
      <c r="OE49" s="148"/>
      <c r="OF49" s="148"/>
      <c r="OG49" s="148"/>
      <c r="OH49" s="148"/>
      <c r="OI49" s="148"/>
      <c r="OJ49" s="148"/>
      <c r="OK49" s="148"/>
      <c r="OL49" s="148"/>
      <c r="OM49" s="148"/>
      <c r="ON49" s="148"/>
      <c r="OO49" s="148"/>
      <c r="OP49" s="148"/>
      <c r="OQ49" s="148"/>
      <c r="OR49" s="148"/>
      <c r="OS49" s="148"/>
      <c r="OT49" s="148"/>
      <c r="OU49" s="148"/>
      <c r="OV49" s="148"/>
      <c r="OW49" s="148"/>
      <c r="OX49" s="148"/>
      <c r="OY49" s="148"/>
      <c r="OZ49" s="148"/>
      <c r="PA49" s="148"/>
      <c r="PB49" s="148"/>
      <c r="PC49" s="148"/>
      <c r="PD49" s="148"/>
      <c r="PE49" s="148"/>
      <c r="PF49" s="148"/>
      <c r="PG49" s="148"/>
      <c r="PH49" s="148"/>
      <c r="PI49" s="148"/>
      <c r="PJ49" s="148"/>
      <c r="PK49" s="148"/>
      <c r="PL49" s="148"/>
      <c r="PM49" s="148"/>
      <c r="PN49" s="148"/>
      <c r="PO49" s="148"/>
      <c r="PP49" s="148"/>
      <c r="PQ49" s="148"/>
      <c r="PR49" s="148"/>
      <c r="PS49" s="148"/>
      <c r="PT49" s="148"/>
      <c r="PU49" s="148"/>
      <c r="PV49" s="148"/>
      <c r="PW49" s="148"/>
      <c r="PX49" s="148"/>
      <c r="PY49" s="148"/>
      <c r="PZ49" s="148"/>
      <c r="QA49" s="148"/>
      <c r="QB49" s="148"/>
      <c r="QC49" s="148"/>
      <c r="QD49" s="148"/>
      <c r="QE49" s="148"/>
      <c r="QF49" s="148"/>
      <c r="QG49" s="148"/>
      <c r="QH49" s="148"/>
      <c r="QI49" s="148"/>
      <c r="QJ49" s="148"/>
      <c r="QK49" s="148"/>
      <c r="QL49" s="148"/>
      <c r="QM49" s="148"/>
      <c r="QN49" s="148"/>
      <c r="QO49" s="148"/>
      <c r="QP49" s="148"/>
      <c r="QQ49" s="148"/>
      <c r="QR49" s="148"/>
      <c r="QS49" s="148"/>
      <c r="QT49" s="148"/>
      <c r="QU49" s="148"/>
      <c r="QV49" s="148"/>
      <c r="QW49" s="148"/>
      <c r="QX49" s="148"/>
      <c r="QY49" s="148"/>
      <c r="QZ49" s="148"/>
      <c r="RA49" s="148"/>
      <c r="RB49" s="148"/>
      <c r="RC49" s="148"/>
      <c r="RD49" s="148"/>
      <c r="RE49" s="148"/>
      <c r="RF49" s="148"/>
      <c r="RG49" s="148"/>
      <c r="RH49" s="148"/>
      <c r="RI49" s="148"/>
      <c r="RJ49" s="148"/>
      <c r="RK49" s="148"/>
      <c r="RL49" s="148"/>
      <c r="RM49" s="148"/>
      <c r="RN49" s="148"/>
      <c r="RO49" s="148"/>
      <c r="RP49" s="148"/>
      <c r="RQ49" s="148"/>
      <c r="RR49" s="148"/>
    </row>
    <row r="50" spans="1:486" s="15" customFormat="1" ht="25.5" customHeight="1" x14ac:dyDescent="0.25">
      <c r="A50" s="148"/>
      <c r="B50" s="350">
        <v>35</v>
      </c>
      <c r="C50" s="646" t="s">
        <v>2691</v>
      </c>
      <c r="D50" s="631">
        <v>40012960</v>
      </c>
      <c r="E50" s="344" t="s">
        <v>2779</v>
      </c>
      <c r="F50" s="344" t="s">
        <v>45</v>
      </c>
      <c r="G50" s="17" t="s">
        <v>2693</v>
      </c>
      <c r="H50" s="317" t="s">
        <v>2715</v>
      </c>
      <c r="I50" s="346" t="s">
        <v>43</v>
      </c>
      <c r="J50" s="341" t="s">
        <v>2780</v>
      </c>
      <c r="K50" s="633">
        <v>0</v>
      </c>
      <c r="L50" s="633">
        <v>107362</v>
      </c>
      <c r="M50" s="633">
        <v>0</v>
      </c>
      <c r="N50" s="633">
        <v>0</v>
      </c>
      <c r="O50" s="633">
        <v>0</v>
      </c>
      <c r="P50" s="633">
        <v>0</v>
      </c>
      <c r="Q50" s="633">
        <v>0</v>
      </c>
      <c r="R50" s="633">
        <v>0</v>
      </c>
      <c r="S50" s="633"/>
      <c r="T50" s="633"/>
      <c r="U50" s="633"/>
      <c r="V50" s="633"/>
      <c r="W50" s="633"/>
      <c r="X50" s="633"/>
      <c r="Y50" s="633">
        <f t="shared" si="1"/>
        <v>0</v>
      </c>
      <c r="Z50" s="407">
        <v>50000</v>
      </c>
      <c r="AA50" s="635" t="s">
        <v>2769</v>
      </c>
      <c r="AB50" s="23">
        <v>44232</v>
      </c>
      <c r="AC50" s="23">
        <v>44250</v>
      </c>
      <c r="AD50" s="637"/>
      <c r="AE50" s="20"/>
      <c r="AF50" s="21"/>
      <c r="AG50" s="23"/>
      <c r="AH50" s="637"/>
      <c r="AI50" s="19"/>
      <c r="AJ50" s="21"/>
      <c r="AK50" s="25"/>
      <c r="AL50" s="309"/>
      <c r="AM50" s="19"/>
      <c r="AN50" s="21"/>
      <c r="AO50" s="25"/>
      <c r="AP50" s="309"/>
      <c r="AQ50" s="19"/>
      <c r="AR50" s="21"/>
      <c r="AS50" s="25"/>
      <c r="AT50" s="638">
        <f t="shared" si="2"/>
        <v>50000</v>
      </c>
      <c r="AU50" s="311">
        <f t="shared" si="0"/>
        <v>50000</v>
      </c>
      <c r="AV50" s="148"/>
      <c r="AW50" s="148"/>
      <c r="AX50" s="148"/>
      <c r="AY50" s="148"/>
      <c r="AZ50" s="148"/>
      <c r="BA50" s="148"/>
      <c r="BB50" s="148"/>
      <c r="BC50" s="148"/>
      <c r="BD50" s="148"/>
      <c r="BE50" s="148"/>
      <c r="BF50" s="148"/>
      <c r="BG50" s="148"/>
      <c r="BH50" s="148"/>
      <c r="BI50" s="148"/>
      <c r="BJ50" s="148"/>
      <c r="BK50" s="148"/>
      <c r="BL50" s="148"/>
      <c r="BM50" s="148"/>
      <c r="BN50" s="148"/>
      <c r="BO50" s="148"/>
      <c r="BP50" s="148"/>
      <c r="BQ50" s="148"/>
      <c r="BR50" s="148"/>
      <c r="BS50" s="148"/>
      <c r="BT50" s="148"/>
      <c r="BU50" s="148"/>
      <c r="BV50" s="148"/>
      <c r="BW50" s="148"/>
      <c r="BX50" s="148"/>
      <c r="BY50" s="148"/>
      <c r="BZ50" s="148"/>
      <c r="CA50" s="148"/>
      <c r="CB50" s="148"/>
      <c r="CC50" s="148"/>
      <c r="CD50" s="148"/>
      <c r="CE50" s="148"/>
      <c r="CF50" s="148"/>
      <c r="CG50" s="148"/>
      <c r="CH50" s="148"/>
      <c r="CI50" s="148"/>
      <c r="CJ50" s="148"/>
      <c r="CK50" s="148"/>
      <c r="CL50" s="148"/>
      <c r="CM50" s="148"/>
      <c r="CN50" s="148"/>
      <c r="CO50" s="148"/>
      <c r="CP50" s="148"/>
      <c r="CQ50" s="148"/>
      <c r="CR50" s="148"/>
      <c r="CS50" s="148"/>
      <c r="CT50" s="148"/>
      <c r="CU50" s="148"/>
      <c r="CV50" s="148"/>
      <c r="CW50" s="148"/>
      <c r="CX50" s="148"/>
      <c r="CY50" s="148"/>
      <c r="CZ50" s="148"/>
      <c r="DA50" s="148"/>
      <c r="DB50" s="148"/>
      <c r="DC50" s="148"/>
      <c r="DD50" s="148"/>
      <c r="DE50" s="148"/>
      <c r="DF50" s="148"/>
      <c r="DG50" s="148"/>
      <c r="DH50" s="148"/>
      <c r="DI50" s="148"/>
      <c r="DJ50" s="148"/>
      <c r="DK50" s="148"/>
      <c r="DL50" s="148"/>
      <c r="DM50" s="148"/>
      <c r="DN50" s="148"/>
      <c r="DO50" s="148"/>
      <c r="DP50" s="148"/>
      <c r="DQ50" s="148"/>
      <c r="DR50" s="148"/>
      <c r="DS50" s="148"/>
      <c r="DT50" s="148"/>
      <c r="DU50" s="148"/>
      <c r="DV50" s="148"/>
      <c r="DW50" s="148"/>
      <c r="DX50" s="148"/>
      <c r="DY50" s="148"/>
      <c r="DZ50" s="148"/>
      <c r="EA50" s="148"/>
      <c r="EB50" s="148"/>
      <c r="EC50" s="148"/>
      <c r="ED50" s="148"/>
      <c r="EE50" s="148"/>
      <c r="EF50" s="148"/>
      <c r="EG50" s="148"/>
      <c r="EH50" s="148"/>
      <c r="EI50" s="148"/>
      <c r="EJ50" s="148"/>
      <c r="EK50" s="148"/>
      <c r="EL50" s="148"/>
      <c r="EM50" s="148"/>
      <c r="EN50" s="148"/>
      <c r="EO50" s="148"/>
      <c r="EP50" s="148"/>
      <c r="EQ50" s="148"/>
      <c r="ER50" s="148"/>
      <c r="ES50" s="148"/>
      <c r="ET50" s="148"/>
      <c r="EU50" s="148"/>
      <c r="EV50" s="148"/>
      <c r="EW50" s="148"/>
      <c r="EX50" s="148"/>
      <c r="EY50" s="148"/>
      <c r="EZ50" s="148"/>
      <c r="FA50" s="148"/>
      <c r="FB50" s="148"/>
      <c r="FC50" s="148"/>
      <c r="FD50" s="148"/>
      <c r="FE50" s="148"/>
      <c r="FF50" s="148"/>
      <c r="FG50" s="148"/>
      <c r="FH50" s="148"/>
      <c r="FI50" s="148"/>
      <c r="FJ50" s="148"/>
      <c r="FK50" s="148"/>
      <c r="FL50" s="148"/>
      <c r="FM50" s="148"/>
      <c r="FN50" s="148"/>
      <c r="FO50" s="148"/>
      <c r="FP50" s="148"/>
      <c r="FQ50" s="148"/>
      <c r="FR50" s="148"/>
      <c r="FS50" s="148"/>
      <c r="FT50" s="148"/>
      <c r="FU50" s="148"/>
      <c r="FV50" s="148"/>
      <c r="FW50" s="148"/>
      <c r="FX50" s="148"/>
      <c r="FY50" s="148"/>
      <c r="FZ50" s="148"/>
      <c r="GA50" s="148"/>
      <c r="GB50" s="148"/>
      <c r="GC50" s="148"/>
      <c r="GD50" s="148"/>
      <c r="GE50" s="148"/>
      <c r="GF50" s="148"/>
      <c r="GG50" s="148"/>
      <c r="GH50" s="148"/>
      <c r="GI50" s="148"/>
      <c r="GJ50" s="148"/>
      <c r="GK50" s="148"/>
      <c r="GL50" s="148"/>
      <c r="GM50" s="148"/>
      <c r="GN50" s="148"/>
      <c r="GO50" s="148"/>
      <c r="GP50" s="148"/>
      <c r="GQ50" s="148"/>
      <c r="GR50" s="148"/>
      <c r="GS50" s="148"/>
      <c r="GT50" s="148"/>
      <c r="GU50" s="148"/>
      <c r="GV50" s="148"/>
      <c r="GW50" s="148"/>
      <c r="GX50" s="148"/>
      <c r="GY50" s="148"/>
      <c r="GZ50" s="148"/>
      <c r="HA50" s="148"/>
      <c r="HB50" s="148"/>
      <c r="HC50" s="148"/>
      <c r="HD50" s="148"/>
      <c r="HE50" s="148"/>
      <c r="HF50" s="148"/>
      <c r="HG50" s="148"/>
      <c r="HH50" s="148"/>
      <c r="HI50" s="148"/>
      <c r="HJ50" s="148"/>
      <c r="HK50" s="148"/>
      <c r="HL50" s="148"/>
      <c r="HM50" s="148"/>
      <c r="HN50" s="148"/>
      <c r="HO50" s="148"/>
      <c r="HP50" s="148"/>
      <c r="HQ50" s="148"/>
      <c r="HR50" s="148"/>
      <c r="HS50" s="148"/>
      <c r="HT50" s="148"/>
      <c r="HU50" s="148"/>
      <c r="HV50" s="148"/>
      <c r="HW50" s="148"/>
      <c r="HX50" s="148"/>
      <c r="HY50" s="148"/>
      <c r="HZ50" s="148"/>
      <c r="IA50" s="148"/>
      <c r="IB50" s="148"/>
      <c r="IC50" s="148"/>
      <c r="ID50" s="148"/>
      <c r="IE50" s="148"/>
      <c r="IF50" s="148"/>
      <c r="IG50" s="148"/>
      <c r="IH50" s="148"/>
      <c r="II50" s="148"/>
      <c r="IJ50" s="148"/>
      <c r="IK50" s="148"/>
      <c r="IL50" s="148"/>
      <c r="IM50" s="148"/>
      <c r="IN50" s="148"/>
      <c r="IO50" s="148"/>
      <c r="IP50" s="148"/>
      <c r="IQ50" s="148"/>
      <c r="IR50" s="148"/>
      <c r="IS50" s="148"/>
      <c r="IT50" s="148"/>
      <c r="IU50" s="148"/>
      <c r="IV50" s="148"/>
      <c r="IW50" s="148"/>
      <c r="IX50" s="148"/>
      <c r="IY50" s="148"/>
      <c r="IZ50" s="148"/>
      <c r="JA50" s="148"/>
      <c r="JB50" s="148"/>
      <c r="JC50" s="148"/>
      <c r="JD50" s="148"/>
      <c r="JE50" s="148"/>
      <c r="JF50" s="148"/>
      <c r="JG50" s="148"/>
      <c r="JH50" s="148"/>
      <c r="JI50" s="148"/>
      <c r="JJ50" s="148"/>
      <c r="JK50" s="148"/>
      <c r="JL50" s="148"/>
      <c r="JM50" s="148"/>
      <c r="JN50" s="148"/>
      <c r="JO50" s="148"/>
      <c r="JP50" s="148"/>
      <c r="JQ50" s="148"/>
      <c r="JR50" s="148"/>
      <c r="JS50" s="148"/>
      <c r="JT50" s="148"/>
      <c r="JU50" s="148"/>
      <c r="JV50" s="148"/>
      <c r="JW50" s="148"/>
      <c r="JX50" s="148"/>
      <c r="JY50" s="148"/>
      <c r="JZ50" s="148"/>
      <c r="KA50" s="148"/>
      <c r="KB50" s="148"/>
      <c r="KC50" s="148"/>
      <c r="KD50" s="148"/>
      <c r="KE50" s="148"/>
      <c r="KF50" s="148"/>
      <c r="KG50" s="148"/>
      <c r="KH50" s="148"/>
      <c r="KI50" s="148"/>
      <c r="KJ50" s="148"/>
      <c r="KK50" s="148"/>
      <c r="KL50" s="148"/>
      <c r="KM50" s="148"/>
      <c r="KN50" s="148"/>
      <c r="KO50" s="148"/>
      <c r="KP50" s="148"/>
      <c r="KQ50" s="148"/>
      <c r="KR50" s="148"/>
      <c r="KS50" s="148"/>
      <c r="KT50" s="148"/>
      <c r="KU50" s="148"/>
      <c r="KV50" s="148"/>
      <c r="KW50" s="148"/>
      <c r="KX50" s="148"/>
      <c r="KY50" s="148"/>
      <c r="KZ50" s="148"/>
      <c r="LA50" s="148"/>
      <c r="LB50" s="148"/>
      <c r="LC50" s="148"/>
      <c r="LD50" s="148"/>
      <c r="LE50" s="148"/>
      <c r="LF50" s="148"/>
      <c r="LG50" s="148"/>
      <c r="LH50" s="148"/>
      <c r="LI50" s="148"/>
      <c r="LJ50" s="148"/>
      <c r="LK50" s="148"/>
      <c r="LL50" s="148"/>
      <c r="LM50" s="148"/>
      <c r="LN50" s="148"/>
      <c r="LO50" s="148"/>
      <c r="LP50" s="148"/>
      <c r="LQ50" s="148"/>
      <c r="LR50" s="148"/>
      <c r="LS50" s="148"/>
      <c r="LT50" s="148"/>
      <c r="LU50" s="148"/>
      <c r="LV50" s="148"/>
      <c r="LW50" s="148"/>
      <c r="LX50" s="148"/>
      <c r="LY50" s="148"/>
      <c r="LZ50" s="148"/>
      <c r="MA50" s="148"/>
      <c r="MB50" s="148"/>
      <c r="MC50" s="148"/>
      <c r="MD50" s="148"/>
      <c r="ME50" s="148"/>
      <c r="MF50" s="148"/>
      <c r="MG50" s="148"/>
      <c r="MH50" s="148"/>
      <c r="MI50" s="148"/>
      <c r="MJ50" s="148"/>
      <c r="MK50" s="148"/>
      <c r="ML50" s="148"/>
      <c r="MM50" s="148"/>
      <c r="MN50" s="148"/>
      <c r="MO50" s="148"/>
      <c r="MP50" s="148"/>
      <c r="MQ50" s="148"/>
      <c r="MR50" s="148"/>
      <c r="MS50" s="148"/>
      <c r="MT50" s="148"/>
      <c r="MU50" s="148"/>
      <c r="MV50" s="148"/>
      <c r="MW50" s="148"/>
      <c r="MX50" s="148"/>
      <c r="MY50" s="148"/>
      <c r="MZ50" s="148"/>
      <c r="NA50" s="148"/>
      <c r="NB50" s="148"/>
      <c r="NC50" s="148"/>
      <c r="ND50" s="148"/>
      <c r="NE50" s="148"/>
      <c r="NF50" s="148"/>
      <c r="NG50" s="148"/>
      <c r="NH50" s="148"/>
      <c r="NI50" s="148"/>
      <c r="NJ50" s="148"/>
      <c r="NK50" s="148"/>
      <c r="NL50" s="148"/>
      <c r="NM50" s="148"/>
      <c r="NN50" s="148"/>
      <c r="NO50" s="148"/>
      <c r="NP50" s="148"/>
      <c r="NQ50" s="148"/>
      <c r="NR50" s="148"/>
      <c r="NS50" s="148"/>
      <c r="NT50" s="148"/>
      <c r="NU50" s="148"/>
      <c r="NV50" s="148"/>
      <c r="NW50" s="148"/>
      <c r="NX50" s="148"/>
      <c r="NY50" s="148"/>
      <c r="NZ50" s="148"/>
      <c r="OA50" s="148"/>
      <c r="OB50" s="148"/>
      <c r="OC50" s="148"/>
      <c r="OD50" s="148"/>
      <c r="OE50" s="148"/>
      <c r="OF50" s="148"/>
      <c r="OG50" s="148"/>
      <c r="OH50" s="148"/>
      <c r="OI50" s="148"/>
      <c r="OJ50" s="148"/>
      <c r="OK50" s="148"/>
      <c r="OL50" s="148"/>
      <c r="OM50" s="148"/>
      <c r="ON50" s="148"/>
      <c r="OO50" s="148"/>
      <c r="OP50" s="148"/>
      <c r="OQ50" s="148"/>
      <c r="OR50" s="148"/>
      <c r="OS50" s="148"/>
      <c r="OT50" s="148"/>
      <c r="OU50" s="148"/>
      <c r="OV50" s="148"/>
      <c r="OW50" s="148"/>
      <c r="OX50" s="148"/>
      <c r="OY50" s="148"/>
      <c r="OZ50" s="148"/>
      <c r="PA50" s="148"/>
      <c r="PB50" s="148"/>
      <c r="PC50" s="148"/>
      <c r="PD50" s="148"/>
      <c r="PE50" s="148"/>
      <c r="PF50" s="148"/>
      <c r="PG50" s="148"/>
      <c r="PH50" s="148"/>
      <c r="PI50" s="148"/>
      <c r="PJ50" s="148"/>
      <c r="PK50" s="148"/>
      <c r="PL50" s="148"/>
      <c r="PM50" s="148"/>
      <c r="PN50" s="148"/>
      <c r="PO50" s="148"/>
      <c r="PP50" s="148"/>
      <c r="PQ50" s="148"/>
      <c r="PR50" s="148"/>
      <c r="PS50" s="148"/>
      <c r="PT50" s="148"/>
      <c r="PU50" s="148"/>
      <c r="PV50" s="148"/>
      <c r="PW50" s="148"/>
      <c r="PX50" s="148"/>
      <c r="PY50" s="148"/>
      <c r="PZ50" s="148"/>
      <c r="QA50" s="148"/>
      <c r="QB50" s="148"/>
      <c r="QC50" s="148"/>
      <c r="QD50" s="148"/>
      <c r="QE50" s="148"/>
      <c r="QF50" s="148"/>
      <c r="QG50" s="148"/>
      <c r="QH50" s="148"/>
      <c r="QI50" s="148"/>
      <c r="QJ50" s="148"/>
      <c r="QK50" s="148"/>
      <c r="QL50" s="148"/>
      <c r="QM50" s="148"/>
      <c r="QN50" s="148"/>
      <c r="QO50" s="148"/>
      <c r="QP50" s="148"/>
      <c r="QQ50" s="148"/>
      <c r="QR50" s="148"/>
      <c r="QS50" s="148"/>
      <c r="QT50" s="148"/>
      <c r="QU50" s="148"/>
      <c r="QV50" s="148"/>
      <c r="QW50" s="148"/>
      <c r="QX50" s="148"/>
      <c r="QY50" s="148"/>
      <c r="QZ50" s="148"/>
      <c r="RA50" s="148"/>
      <c r="RB50" s="148"/>
      <c r="RC50" s="148"/>
      <c r="RD50" s="148"/>
      <c r="RE50" s="148"/>
      <c r="RF50" s="148"/>
      <c r="RG50" s="148"/>
      <c r="RH50" s="148"/>
      <c r="RI50" s="148"/>
      <c r="RJ50" s="148"/>
      <c r="RK50" s="148"/>
      <c r="RL50" s="148"/>
      <c r="RM50" s="148"/>
      <c r="RN50" s="148"/>
      <c r="RO50" s="148"/>
      <c r="RP50" s="148"/>
      <c r="RQ50" s="148"/>
      <c r="RR50" s="148"/>
    </row>
    <row r="51" spans="1:486" s="15" customFormat="1" x14ac:dyDescent="0.25">
      <c r="A51" s="148"/>
      <c r="B51" s="350">
        <v>36</v>
      </c>
      <c r="C51" s="643" t="s">
        <v>2691</v>
      </c>
      <c r="D51" s="631">
        <v>40013162</v>
      </c>
      <c r="E51" s="344" t="s">
        <v>2781</v>
      </c>
      <c r="F51" s="344" t="s">
        <v>45</v>
      </c>
      <c r="G51" s="17" t="s">
        <v>2693</v>
      </c>
      <c r="H51" s="317" t="s">
        <v>2715</v>
      </c>
      <c r="I51" s="346" t="s">
        <v>43</v>
      </c>
      <c r="J51" s="341" t="s">
        <v>2782</v>
      </c>
      <c r="K51" s="633">
        <v>0</v>
      </c>
      <c r="L51" s="633">
        <v>0</v>
      </c>
      <c r="M51" s="633">
        <v>0</v>
      </c>
      <c r="N51" s="633">
        <v>0</v>
      </c>
      <c r="O51" s="633">
        <v>0</v>
      </c>
      <c r="P51" s="633">
        <v>0</v>
      </c>
      <c r="Q51" s="633">
        <v>0</v>
      </c>
      <c r="R51" s="633">
        <v>0</v>
      </c>
      <c r="S51" s="633"/>
      <c r="T51" s="633"/>
      <c r="U51" s="633"/>
      <c r="V51" s="633"/>
      <c r="W51" s="633"/>
      <c r="X51" s="633"/>
      <c r="Y51" s="633">
        <f t="shared" si="1"/>
        <v>0</v>
      </c>
      <c r="Z51" s="407">
        <v>1</v>
      </c>
      <c r="AA51" s="635" t="s">
        <v>2769</v>
      </c>
      <c r="AB51" s="23">
        <v>44232</v>
      </c>
      <c r="AC51" s="23">
        <v>44250</v>
      </c>
      <c r="AD51" s="637"/>
      <c r="AE51" s="20"/>
      <c r="AF51" s="21"/>
      <c r="AG51" s="23"/>
      <c r="AH51" s="637"/>
      <c r="AI51" s="19"/>
      <c r="AJ51" s="21"/>
      <c r="AK51" s="25"/>
      <c r="AL51" s="309"/>
      <c r="AM51" s="19"/>
      <c r="AN51" s="21"/>
      <c r="AO51" s="25"/>
      <c r="AP51" s="309"/>
      <c r="AQ51" s="19"/>
      <c r="AR51" s="21"/>
      <c r="AS51" s="25"/>
      <c r="AT51" s="638">
        <f t="shared" si="2"/>
        <v>1</v>
      </c>
      <c r="AU51" s="311">
        <f t="shared" si="0"/>
        <v>1</v>
      </c>
      <c r="AV51" s="148"/>
      <c r="AW51" s="148"/>
      <c r="AX51" s="148"/>
      <c r="AY51" s="148"/>
      <c r="AZ51" s="148"/>
      <c r="BA51" s="148"/>
      <c r="BB51" s="148"/>
      <c r="BC51" s="148"/>
      <c r="BD51" s="148"/>
      <c r="BE51" s="148"/>
      <c r="BF51" s="148"/>
      <c r="BG51" s="148"/>
      <c r="BH51" s="148"/>
      <c r="BI51" s="148"/>
      <c r="BJ51" s="148"/>
      <c r="BK51" s="148"/>
      <c r="BL51" s="148"/>
      <c r="BM51" s="148"/>
      <c r="BN51" s="148"/>
      <c r="BO51" s="148"/>
      <c r="BP51" s="148"/>
      <c r="BQ51" s="148"/>
      <c r="BR51" s="148"/>
      <c r="BS51" s="148"/>
      <c r="BT51" s="148"/>
      <c r="BU51" s="148"/>
      <c r="BV51" s="148"/>
      <c r="BW51" s="148"/>
      <c r="BX51" s="148"/>
      <c r="BY51" s="148"/>
      <c r="BZ51" s="148"/>
      <c r="CA51" s="148"/>
      <c r="CB51" s="148"/>
      <c r="CC51" s="148"/>
      <c r="CD51" s="148"/>
      <c r="CE51" s="148"/>
      <c r="CF51" s="148"/>
      <c r="CG51" s="148"/>
      <c r="CH51" s="148"/>
      <c r="CI51" s="148"/>
      <c r="CJ51" s="148"/>
      <c r="CK51" s="148"/>
      <c r="CL51" s="148"/>
      <c r="CM51" s="148"/>
      <c r="CN51" s="148"/>
      <c r="CO51" s="148"/>
      <c r="CP51" s="148"/>
      <c r="CQ51" s="148"/>
      <c r="CR51" s="148"/>
      <c r="CS51" s="148"/>
      <c r="CT51" s="148"/>
      <c r="CU51" s="148"/>
      <c r="CV51" s="148"/>
      <c r="CW51" s="148"/>
      <c r="CX51" s="148"/>
      <c r="CY51" s="148"/>
      <c r="CZ51" s="148"/>
      <c r="DA51" s="148"/>
      <c r="DB51" s="148"/>
      <c r="DC51" s="148"/>
      <c r="DD51" s="148"/>
      <c r="DE51" s="148"/>
      <c r="DF51" s="148"/>
      <c r="DG51" s="148"/>
      <c r="DH51" s="148"/>
      <c r="DI51" s="148"/>
      <c r="DJ51" s="148"/>
      <c r="DK51" s="148"/>
      <c r="DL51" s="148"/>
      <c r="DM51" s="148"/>
      <c r="DN51" s="148"/>
      <c r="DO51" s="148"/>
      <c r="DP51" s="148"/>
      <c r="DQ51" s="148"/>
      <c r="DR51" s="148"/>
      <c r="DS51" s="148"/>
      <c r="DT51" s="148"/>
      <c r="DU51" s="148"/>
      <c r="DV51" s="148"/>
      <c r="DW51" s="148"/>
      <c r="DX51" s="148"/>
      <c r="DY51" s="148"/>
      <c r="DZ51" s="148"/>
      <c r="EA51" s="148"/>
      <c r="EB51" s="148"/>
      <c r="EC51" s="148"/>
      <c r="ED51" s="148"/>
      <c r="EE51" s="148"/>
      <c r="EF51" s="148"/>
      <c r="EG51" s="148"/>
      <c r="EH51" s="148"/>
      <c r="EI51" s="148"/>
      <c r="EJ51" s="148"/>
      <c r="EK51" s="148"/>
      <c r="EL51" s="148"/>
      <c r="EM51" s="148"/>
      <c r="EN51" s="148"/>
      <c r="EO51" s="148"/>
      <c r="EP51" s="148"/>
      <c r="EQ51" s="148"/>
      <c r="ER51" s="148"/>
      <c r="ES51" s="148"/>
      <c r="ET51" s="148"/>
      <c r="EU51" s="148"/>
      <c r="EV51" s="148"/>
      <c r="EW51" s="148"/>
      <c r="EX51" s="148"/>
      <c r="EY51" s="148"/>
      <c r="EZ51" s="148"/>
      <c r="FA51" s="148"/>
      <c r="FB51" s="148"/>
      <c r="FC51" s="148"/>
      <c r="FD51" s="148"/>
      <c r="FE51" s="148"/>
      <c r="FF51" s="148"/>
      <c r="FG51" s="148"/>
      <c r="FH51" s="148"/>
      <c r="FI51" s="148"/>
      <c r="FJ51" s="148"/>
      <c r="FK51" s="148"/>
      <c r="FL51" s="148"/>
      <c r="FM51" s="148"/>
      <c r="FN51" s="148"/>
      <c r="FO51" s="148"/>
      <c r="FP51" s="148"/>
      <c r="FQ51" s="148"/>
      <c r="FR51" s="148"/>
      <c r="FS51" s="148"/>
      <c r="FT51" s="148"/>
      <c r="FU51" s="148"/>
      <c r="FV51" s="148"/>
      <c r="FW51" s="148"/>
      <c r="FX51" s="148"/>
      <c r="FY51" s="148"/>
      <c r="FZ51" s="148"/>
      <c r="GA51" s="148"/>
      <c r="GB51" s="148"/>
      <c r="GC51" s="148"/>
      <c r="GD51" s="148"/>
      <c r="GE51" s="148"/>
      <c r="GF51" s="148"/>
      <c r="GG51" s="148"/>
      <c r="GH51" s="148"/>
      <c r="GI51" s="148"/>
      <c r="GJ51" s="148"/>
      <c r="GK51" s="148"/>
      <c r="GL51" s="148"/>
      <c r="GM51" s="148"/>
      <c r="GN51" s="148"/>
      <c r="GO51" s="148"/>
      <c r="GP51" s="148"/>
      <c r="GQ51" s="148"/>
      <c r="GR51" s="148"/>
      <c r="GS51" s="148"/>
      <c r="GT51" s="148"/>
      <c r="GU51" s="148"/>
      <c r="GV51" s="148"/>
      <c r="GW51" s="148"/>
      <c r="GX51" s="148"/>
      <c r="GY51" s="148"/>
      <c r="GZ51" s="148"/>
      <c r="HA51" s="148"/>
      <c r="HB51" s="148"/>
      <c r="HC51" s="148"/>
      <c r="HD51" s="148"/>
      <c r="HE51" s="148"/>
      <c r="HF51" s="148"/>
      <c r="HG51" s="148"/>
      <c r="HH51" s="148"/>
      <c r="HI51" s="148"/>
      <c r="HJ51" s="148"/>
      <c r="HK51" s="148"/>
      <c r="HL51" s="148"/>
      <c r="HM51" s="148"/>
      <c r="HN51" s="148"/>
      <c r="HO51" s="148"/>
      <c r="HP51" s="148"/>
      <c r="HQ51" s="148"/>
      <c r="HR51" s="148"/>
      <c r="HS51" s="148"/>
      <c r="HT51" s="148"/>
      <c r="HU51" s="148"/>
      <c r="HV51" s="148"/>
      <c r="HW51" s="148"/>
      <c r="HX51" s="148"/>
      <c r="HY51" s="148"/>
      <c r="HZ51" s="148"/>
      <c r="IA51" s="148"/>
      <c r="IB51" s="148"/>
      <c r="IC51" s="148"/>
      <c r="ID51" s="148"/>
      <c r="IE51" s="148"/>
      <c r="IF51" s="148"/>
      <c r="IG51" s="148"/>
      <c r="IH51" s="148"/>
      <c r="II51" s="148"/>
      <c r="IJ51" s="148"/>
      <c r="IK51" s="148"/>
      <c r="IL51" s="148"/>
      <c r="IM51" s="148"/>
      <c r="IN51" s="148"/>
      <c r="IO51" s="148"/>
      <c r="IP51" s="148"/>
      <c r="IQ51" s="148"/>
      <c r="IR51" s="148"/>
      <c r="IS51" s="148"/>
      <c r="IT51" s="148"/>
      <c r="IU51" s="148"/>
      <c r="IV51" s="148"/>
      <c r="IW51" s="148"/>
      <c r="IX51" s="148"/>
      <c r="IY51" s="148"/>
      <c r="IZ51" s="148"/>
      <c r="JA51" s="148"/>
      <c r="JB51" s="148"/>
      <c r="JC51" s="148"/>
      <c r="JD51" s="148"/>
      <c r="JE51" s="148"/>
      <c r="JF51" s="148"/>
      <c r="JG51" s="148"/>
      <c r="JH51" s="148"/>
      <c r="JI51" s="148"/>
      <c r="JJ51" s="148"/>
      <c r="JK51" s="148"/>
      <c r="JL51" s="148"/>
      <c r="JM51" s="148"/>
      <c r="JN51" s="148"/>
      <c r="JO51" s="148"/>
      <c r="JP51" s="148"/>
      <c r="JQ51" s="148"/>
      <c r="JR51" s="148"/>
      <c r="JS51" s="148"/>
      <c r="JT51" s="148"/>
      <c r="JU51" s="148"/>
      <c r="JV51" s="148"/>
      <c r="JW51" s="148"/>
      <c r="JX51" s="148"/>
      <c r="JY51" s="148"/>
      <c r="JZ51" s="148"/>
      <c r="KA51" s="148"/>
      <c r="KB51" s="148"/>
      <c r="KC51" s="148"/>
      <c r="KD51" s="148"/>
      <c r="KE51" s="148"/>
      <c r="KF51" s="148"/>
      <c r="KG51" s="148"/>
      <c r="KH51" s="148"/>
      <c r="KI51" s="148"/>
      <c r="KJ51" s="148"/>
      <c r="KK51" s="148"/>
      <c r="KL51" s="148"/>
      <c r="KM51" s="148"/>
      <c r="KN51" s="148"/>
      <c r="KO51" s="148"/>
      <c r="KP51" s="148"/>
      <c r="KQ51" s="148"/>
      <c r="KR51" s="148"/>
      <c r="KS51" s="148"/>
      <c r="KT51" s="148"/>
      <c r="KU51" s="148"/>
      <c r="KV51" s="148"/>
      <c r="KW51" s="148"/>
      <c r="KX51" s="148"/>
      <c r="KY51" s="148"/>
      <c r="KZ51" s="148"/>
      <c r="LA51" s="148"/>
      <c r="LB51" s="148"/>
      <c r="LC51" s="148"/>
      <c r="LD51" s="148"/>
      <c r="LE51" s="148"/>
      <c r="LF51" s="148"/>
      <c r="LG51" s="148"/>
      <c r="LH51" s="148"/>
      <c r="LI51" s="148"/>
      <c r="LJ51" s="148"/>
      <c r="LK51" s="148"/>
      <c r="LL51" s="148"/>
      <c r="LM51" s="148"/>
      <c r="LN51" s="148"/>
      <c r="LO51" s="148"/>
      <c r="LP51" s="148"/>
      <c r="LQ51" s="148"/>
      <c r="LR51" s="148"/>
      <c r="LS51" s="148"/>
      <c r="LT51" s="148"/>
      <c r="LU51" s="148"/>
      <c r="LV51" s="148"/>
      <c r="LW51" s="148"/>
      <c r="LX51" s="148"/>
      <c r="LY51" s="148"/>
      <c r="LZ51" s="148"/>
      <c r="MA51" s="148"/>
      <c r="MB51" s="148"/>
      <c r="MC51" s="148"/>
      <c r="MD51" s="148"/>
      <c r="ME51" s="148"/>
      <c r="MF51" s="148"/>
      <c r="MG51" s="148"/>
      <c r="MH51" s="148"/>
      <c r="MI51" s="148"/>
      <c r="MJ51" s="148"/>
      <c r="MK51" s="148"/>
      <c r="ML51" s="148"/>
      <c r="MM51" s="148"/>
      <c r="MN51" s="148"/>
      <c r="MO51" s="148"/>
      <c r="MP51" s="148"/>
      <c r="MQ51" s="148"/>
      <c r="MR51" s="148"/>
      <c r="MS51" s="148"/>
      <c r="MT51" s="148"/>
      <c r="MU51" s="148"/>
      <c r="MV51" s="148"/>
      <c r="MW51" s="148"/>
      <c r="MX51" s="148"/>
      <c r="MY51" s="148"/>
      <c r="MZ51" s="148"/>
      <c r="NA51" s="148"/>
      <c r="NB51" s="148"/>
      <c r="NC51" s="148"/>
      <c r="ND51" s="148"/>
      <c r="NE51" s="148"/>
      <c r="NF51" s="148"/>
      <c r="NG51" s="148"/>
      <c r="NH51" s="148"/>
      <c r="NI51" s="148"/>
      <c r="NJ51" s="148"/>
      <c r="NK51" s="148"/>
      <c r="NL51" s="148"/>
      <c r="NM51" s="148"/>
      <c r="NN51" s="148"/>
      <c r="NO51" s="148"/>
      <c r="NP51" s="148"/>
      <c r="NQ51" s="148"/>
      <c r="NR51" s="148"/>
      <c r="NS51" s="148"/>
      <c r="NT51" s="148"/>
      <c r="NU51" s="148"/>
      <c r="NV51" s="148"/>
      <c r="NW51" s="148"/>
      <c r="NX51" s="148"/>
      <c r="NY51" s="148"/>
      <c r="NZ51" s="148"/>
      <c r="OA51" s="148"/>
      <c r="OB51" s="148"/>
      <c r="OC51" s="148"/>
      <c r="OD51" s="148"/>
      <c r="OE51" s="148"/>
      <c r="OF51" s="148"/>
      <c r="OG51" s="148"/>
      <c r="OH51" s="148"/>
      <c r="OI51" s="148"/>
      <c r="OJ51" s="148"/>
      <c r="OK51" s="148"/>
      <c r="OL51" s="148"/>
      <c r="OM51" s="148"/>
      <c r="ON51" s="148"/>
      <c r="OO51" s="148"/>
      <c r="OP51" s="148"/>
      <c r="OQ51" s="148"/>
      <c r="OR51" s="148"/>
      <c r="OS51" s="148"/>
      <c r="OT51" s="148"/>
      <c r="OU51" s="148"/>
      <c r="OV51" s="148"/>
      <c r="OW51" s="148"/>
      <c r="OX51" s="148"/>
      <c r="OY51" s="148"/>
      <c r="OZ51" s="148"/>
      <c r="PA51" s="148"/>
      <c r="PB51" s="148"/>
      <c r="PC51" s="148"/>
      <c r="PD51" s="148"/>
      <c r="PE51" s="148"/>
      <c r="PF51" s="148"/>
      <c r="PG51" s="148"/>
      <c r="PH51" s="148"/>
      <c r="PI51" s="148"/>
      <c r="PJ51" s="148"/>
      <c r="PK51" s="148"/>
      <c r="PL51" s="148"/>
      <c r="PM51" s="148"/>
      <c r="PN51" s="148"/>
      <c r="PO51" s="148"/>
      <c r="PP51" s="148"/>
      <c r="PQ51" s="148"/>
      <c r="PR51" s="148"/>
      <c r="PS51" s="148"/>
      <c r="PT51" s="148"/>
      <c r="PU51" s="148"/>
      <c r="PV51" s="148"/>
      <c r="PW51" s="148"/>
      <c r="PX51" s="148"/>
      <c r="PY51" s="148"/>
      <c r="PZ51" s="148"/>
      <c r="QA51" s="148"/>
      <c r="QB51" s="148"/>
      <c r="QC51" s="148"/>
      <c r="QD51" s="148"/>
      <c r="QE51" s="148"/>
      <c r="QF51" s="148"/>
      <c r="QG51" s="148"/>
      <c r="QH51" s="148"/>
      <c r="QI51" s="148"/>
      <c r="QJ51" s="148"/>
      <c r="QK51" s="148"/>
      <c r="QL51" s="148"/>
      <c r="QM51" s="148"/>
      <c r="QN51" s="148"/>
      <c r="QO51" s="148"/>
      <c r="QP51" s="148"/>
      <c r="QQ51" s="148"/>
      <c r="QR51" s="148"/>
      <c r="QS51" s="148"/>
      <c r="QT51" s="148"/>
      <c r="QU51" s="148"/>
      <c r="QV51" s="148"/>
      <c r="QW51" s="148"/>
      <c r="QX51" s="148"/>
      <c r="QY51" s="148"/>
      <c r="QZ51" s="148"/>
      <c r="RA51" s="148"/>
      <c r="RB51" s="148"/>
      <c r="RC51" s="148"/>
      <c r="RD51" s="148"/>
      <c r="RE51" s="148"/>
      <c r="RF51" s="148"/>
      <c r="RG51" s="148"/>
      <c r="RH51" s="148"/>
      <c r="RI51" s="148"/>
      <c r="RJ51" s="148"/>
      <c r="RK51" s="148"/>
      <c r="RL51" s="148"/>
      <c r="RM51" s="148"/>
      <c r="RN51" s="148"/>
      <c r="RO51" s="148"/>
      <c r="RP51" s="148"/>
      <c r="RQ51" s="148"/>
      <c r="RR51" s="148"/>
    </row>
    <row r="52" spans="1:486" s="15" customFormat="1" x14ac:dyDescent="0.25">
      <c r="A52" s="148"/>
      <c r="B52" s="350">
        <v>37</v>
      </c>
      <c r="C52" s="646" t="s">
        <v>2691</v>
      </c>
      <c r="D52" s="631">
        <v>40013267</v>
      </c>
      <c r="E52" s="344" t="s">
        <v>2783</v>
      </c>
      <c r="F52" s="344" t="s">
        <v>45</v>
      </c>
      <c r="G52" s="17" t="s">
        <v>2693</v>
      </c>
      <c r="H52" s="317" t="s">
        <v>1562</v>
      </c>
      <c r="I52" s="346" t="s">
        <v>43</v>
      </c>
      <c r="J52" s="341" t="s">
        <v>2784</v>
      </c>
      <c r="K52" s="633">
        <v>0</v>
      </c>
      <c r="L52" s="633">
        <v>46352</v>
      </c>
      <c r="M52" s="633">
        <v>0</v>
      </c>
      <c r="N52" s="633">
        <v>0</v>
      </c>
      <c r="O52" s="633">
        <v>0</v>
      </c>
      <c r="P52" s="633">
        <v>0</v>
      </c>
      <c r="Q52" s="633">
        <v>0</v>
      </c>
      <c r="R52" s="633">
        <v>0</v>
      </c>
      <c r="S52" s="633"/>
      <c r="T52" s="633"/>
      <c r="U52" s="633"/>
      <c r="V52" s="633"/>
      <c r="W52" s="633"/>
      <c r="X52" s="633"/>
      <c r="Y52" s="633">
        <f t="shared" si="1"/>
        <v>0</v>
      </c>
      <c r="Z52" s="407">
        <v>11000</v>
      </c>
      <c r="AA52" s="635" t="s">
        <v>2769</v>
      </c>
      <c r="AB52" s="23">
        <v>44232</v>
      </c>
      <c r="AC52" s="23">
        <v>44250</v>
      </c>
      <c r="AD52" s="637"/>
      <c r="AE52" s="20"/>
      <c r="AF52" s="21"/>
      <c r="AG52" s="23"/>
      <c r="AH52" s="637"/>
      <c r="AI52" s="19"/>
      <c r="AJ52" s="21"/>
      <c r="AK52" s="25"/>
      <c r="AL52" s="309"/>
      <c r="AM52" s="19"/>
      <c r="AN52" s="21"/>
      <c r="AO52" s="25"/>
      <c r="AP52" s="309"/>
      <c r="AQ52" s="19"/>
      <c r="AR52" s="21"/>
      <c r="AS52" s="25"/>
      <c r="AT52" s="638">
        <f t="shared" si="2"/>
        <v>11000</v>
      </c>
      <c r="AU52" s="311">
        <f t="shared" si="0"/>
        <v>11000</v>
      </c>
      <c r="AV52" s="148"/>
      <c r="AW52" s="148"/>
      <c r="AX52" s="148"/>
      <c r="AY52" s="148"/>
      <c r="AZ52" s="148"/>
      <c r="BA52" s="148"/>
      <c r="BB52" s="148"/>
      <c r="BC52" s="148"/>
      <c r="BD52" s="148"/>
      <c r="BE52" s="148"/>
      <c r="BF52" s="148"/>
      <c r="BG52" s="148"/>
      <c r="BH52" s="148"/>
      <c r="BI52" s="148"/>
      <c r="BJ52" s="148"/>
      <c r="BK52" s="148"/>
      <c r="BL52" s="148"/>
      <c r="BM52" s="148"/>
      <c r="BN52" s="148"/>
      <c r="BO52" s="148"/>
      <c r="BP52" s="148"/>
      <c r="BQ52" s="148"/>
      <c r="BR52" s="148"/>
      <c r="BS52" s="148"/>
      <c r="BT52" s="148"/>
      <c r="BU52" s="148"/>
      <c r="BV52" s="148"/>
      <c r="BW52" s="148"/>
      <c r="BX52" s="148"/>
      <c r="BY52" s="148"/>
      <c r="BZ52" s="148"/>
      <c r="CA52" s="148"/>
      <c r="CB52" s="148"/>
      <c r="CC52" s="148"/>
      <c r="CD52" s="148"/>
      <c r="CE52" s="148"/>
      <c r="CF52" s="148"/>
      <c r="CG52" s="148"/>
      <c r="CH52" s="148"/>
      <c r="CI52" s="148"/>
      <c r="CJ52" s="148"/>
      <c r="CK52" s="148"/>
      <c r="CL52" s="148"/>
      <c r="CM52" s="148"/>
      <c r="CN52" s="148"/>
      <c r="CO52" s="148"/>
      <c r="CP52" s="148"/>
      <c r="CQ52" s="148"/>
      <c r="CR52" s="148"/>
      <c r="CS52" s="148"/>
      <c r="CT52" s="148"/>
      <c r="CU52" s="148"/>
      <c r="CV52" s="148"/>
      <c r="CW52" s="148"/>
      <c r="CX52" s="148"/>
      <c r="CY52" s="148"/>
      <c r="CZ52" s="148"/>
      <c r="DA52" s="148"/>
      <c r="DB52" s="148"/>
      <c r="DC52" s="148"/>
      <c r="DD52" s="148"/>
      <c r="DE52" s="148"/>
      <c r="DF52" s="148"/>
      <c r="DG52" s="148"/>
      <c r="DH52" s="148"/>
      <c r="DI52" s="148"/>
      <c r="DJ52" s="148"/>
      <c r="DK52" s="148"/>
      <c r="DL52" s="148"/>
      <c r="DM52" s="148"/>
      <c r="DN52" s="148"/>
      <c r="DO52" s="148"/>
      <c r="DP52" s="148"/>
      <c r="DQ52" s="148"/>
      <c r="DR52" s="148"/>
      <c r="DS52" s="148"/>
      <c r="DT52" s="148"/>
      <c r="DU52" s="148"/>
      <c r="DV52" s="148"/>
      <c r="DW52" s="148"/>
      <c r="DX52" s="148"/>
      <c r="DY52" s="148"/>
      <c r="DZ52" s="148"/>
      <c r="EA52" s="148"/>
      <c r="EB52" s="148"/>
      <c r="EC52" s="148"/>
      <c r="ED52" s="148"/>
      <c r="EE52" s="148"/>
      <c r="EF52" s="148"/>
      <c r="EG52" s="148"/>
      <c r="EH52" s="148"/>
      <c r="EI52" s="148"/>
      <c r="EJ52" s="148"/>
      <c r="EK52" s="148"/>
      <c r="EL52" s="148"/>
      <c r="EM52" s="148"/>
      <c r="EN52" s="148"/>
      <c r="EO52" s="148"/>
      <c r="EP52" s="148"/>
      <c r="EQ52" s="148"/>
      <c r="ER52" s="148"/>
      <c r="ES52" s="148"/>
      <c r="ET52" s="148"/>
      <c r="EU52" s="148"/>
      <c r="EV52" s="148"/>
      <c r="EW52" s="148"/>
      <c r="EX52" s="148"/>
      <c r="EY52" s="148"/>
      <c r="EZ52" s="148"/>
      <c r="FA52" s="148"/>
      <c r="FB52" s="148"/>
      <c r="FC52" s="148"/>
      <c r="FD52" s="148"/>
      <c r="FE52" s="148"/>
      <c r="FF52" s="148"/>
      <c r="FG52" s="148"/>
      <c r="FH52" s="148"/>
      <c r="FI52" s="148"/>
      <c r="FJ52" s="148"/>
      <c r="FK52" s="148"/>
      <c r="FL52" s="148"/>
      <c r="FM52" s="148"/>
      <c r="FN52" s="148"/>
      <c r="FO52" s="148"/>
      <c r="FP52" s="148"/>
      <c r="FQ52" s="148"/>
      <c r="FR52" s="148"/>
      <c r="FS52" s="148"/>
      <c r="FT52" s="148"/>
      <c r="FU52" s="148"/>
      <c r="FV52" s="148"/>
      <c r="FW52" s="148"/>
      <c r="FX52" s="148"/>
      <c r="FY52" s="148"/>
      <c r="FZ52" s="148"/>
      <c r="GA52" s="148"/>
      <c r="GB52" s="148"/>
      <c r="GC52" s="148"/>
      <c r="GD52" s="148"/>
      <c r="GE52" s="148"/>
      <c r="GF52" s="148"/>
      <c r="GG52" s="148"/>
      <c r="GH52" s="148"/>
      <c r="GI52" s="148"/>
      <c r="GJ52" s="148"/>
      <c r="GK52" s="148"/>
      <c r="GL52" s="148"/>
      <c r="GM52" s="148"/>
      <c r="GN52" s="148"/>
      <c r="GO52" s="148"/>
      <c r="GP52" s="148"/>
      <c r="GQ52" s="148"/>
      <c r="GR52" s="148"/>
      <c r="GS52" s="148"/>
      <c r="GT52" s="148"/>
      <c r="GU52" s="148"/>
      <c r="GV52" s="148"/>
      <c r="GW52" s="148"/>
      <c r="GX52" s="148"/>
      <c r="GY52" s="148"/>
      <c r="GZ52" s="148"/>
      <c r="HA52" s="148"/>
      <c r="HB52" s="148"/>
      <c r="HC52" s="148"/>
      <c r="HD52" s="148"/>
      <c r="HE52" s="148"/>
      <c r="HF52" s="148"/>
      <c r="HG52" s="148"/>
      <c r="HH52" s="148"/>
      <c r="HI52" s="148"/>
      <c r="HJ52" s="148"/>
      <c r="HK52" s="148"/>
      <c r="HL52" s="148"/>
      <c r="HM52" s="148"/>
      <c r="HN52" s="148"/>
      <c r="HO52" s="148"/>
      <c r="HP52" s="148"/>
      <c r="HQ52" s="148"/>
      <c r="HR52" s="148"/>
      <c r="HS52" s="148"/>
      <c r="HT52" s="148"/>
      <c r="HU52" s="148"/>
      <c r="HV52" s="148"/>
      <c r="HW52" s="148"/>
      <c r="HX52" s="148"/>
      <c r="HY52" s="148"/>
      <c r="HZ52" s="148"/>
      <c r="IA52" s="148"/>
      <c r="IB52" s="148"/>
      <c r="IC52" s="148"/>
      <c r="ID52" s="148"/>
      <c r="IE52" s="148"/>
      <c r="IF52" s="148"/>
      <c r="IG52" s="148"/>
      <c r="IH52" s="148"/>
      <c r="II52" s="148"/>
      <c r="IJ52" s="148"/>
      <c r="IK52" s="148"/>
      <c r="IL52" s="148"/>
      <c r="IM52" s="148"/>
      <c r="IN52" s="148"/>
      <c r="IO52" s="148"/>
      <c r="IP52" s="148"/>
      <c r="IQ52" s="148"/>
      <c r="IR52" s="148"/>
      <c r="IS52" s="148"/>
      <c r="IT52" s="148"/>
      <c r="IU52" s="148"/>
      <c r="IV52" s="148"/>
      <c r="IW52" s="148"/>
      <c r="IX52" s="148"/>
      <c r="IY52" s="148"/>
      <c r="IZ52" s="148"/>
      <c r="JA52" s="148"/>
      <c r="JB52" s="148"/>
      <c r="JC52" s="148"/>
      <c r="JD52" s="148"/>
      <c r="JE52" s="148"/>
      <c r="JF52" s="148"/>
      <c r="JG52" s="148"/>
      <c r="JH52" s="148"/>
      <c r="JI52" s="148"/>
      <c r="JJ52" s="148"/>
      <c r="JK52" s="148"/>
      <c r="JL52" s="148"/>
      <c r="JM52" s="148"/>
      <c r="JN52" s="148"/>
      <c r="JO52" s="148"/>
      <c r="JP52" s="148"/>
      <c r="JQ52" s="148"/>
      <c r="JR52" s="148"/>
      <c r="JS52" s="148"/>
      <c r="JT52" s="148"/>
      <c r="JU52" s="148"/>
      <c r="JV52" s="148"/>
      <c r="JW52" s="148"/>
      <c r="JX52" s="148"/>
      <c r="JY52" s="148"/>
      <c r="JZ52" s="148"/>
      <c r="KA52" s="148"/>
      <c r="KB52" s="148"/>
      <c r="KC52" s="148"/>
      <c r="KD52" s="148"/>
      <c r="KE52" s="148"/>
      <c r="KF52" s="148"/>
      <c r="KG52" s="148"/>
      <c r="KH52" s="148"/>
      <c r="KI52" s="148"/>
      <c r="KJ52" s="148"/>
      <c r="KK52" s="148"/>
      <c r="KL52" s="148"/>
      <c r="KM52" s="148"/>
      <c r="KN52" s="148"/>
      <c r="KO52" s="148"/>
      <c r="KP52" s="148"/>
      <c r="KQ52" s="148"/>
      <c r="KR52" s="148"/>
      <c r="KS52" s="148"/>
      <c r="KT52" s="148"/>
      <c r="KU52" s="148"/>
      <c r="KV52" s="148"/>
      <c r="KW52" s="148"/>
      <c r="KX52" s="148"/>
      <c r="KY52" s="148"/>
      <c r="KZ52" s="148"/>
      <c r="LA52" s="148"/>
      <c r="LB52" s="148"/>
      <c r="LC52" s="148"/>
      <c r="LD52" s="148"/>
      <c r="LE52" s="148"/>
      <c r="LF52" s="148"/>
      <c r="LG52" s="148"/>
      <c r="LH52" s="148"/>
      <c r="LI52" s="148"/>
      <c r="LJ52" s="148"/>
      <c r="LK52" s="148"/>
      <c r="LL52" s="148"/>
      <c r="LM52" s="148"/>
      <c r="LN52" s="148"/>
      <c r="LO52" s="148"/>
      <c r="LP52" s="148"/>
      <c r="LQ52" s="148"/>
      <c r="LR52" s="148"/>
      <c r="LS52" s="148"/>
      <c r="LT52" s="148"/>
      <c r="LU52" s="148"/>
      <c r="LV52" s="148"/>
      <c r="LW52" s="148"/>
      <c r="LX52" s="148"/>
      <c r="LY52" s="148"/>
      <c r="LZ52" s="148"/>
      <c r="MA52" s="148"/>
      <c r="MB52" s="148"/>
      <c r="MC52" s="148"/>
      <c r="MD52" s="148"/>
      <c r="ME52" s="148"/>
      <c r="MF52" s="148"/>
      <c r="MG52" s="148"/>
      <c r="MH52" s="148"/>
      <c r="MI52" s="148"/>
      <c r="MJ52" s="148"/>
      <c r="MK52" s="148"/>
      <c r="ML52" s="148"/>
      <c r="MM52" s="148"/>
      <c r="MN52" s="148"/>
      <c r="MO52" s="148"/>
      <c r="MP52" s="148"/>
      <c r="MQ52" s="148"/>
      <c r="MR52" s="148"/>
      <c r="MS52" s="148"/>
      <c r="MT52" s="148"/>
      <c r="MU52" s="148"/>
      <c r="MV52" s="148"/>
      <c r="MW52" s="148"/>
      <c r="MX52" s="148"/>
      <c r="MY52" s="148"/>
      <c r="MZ52" s="148"/>
      <c r="NA52" s="148"/>
      <c r="NB52" s="148"/>
      <c r="NC52" s="148"/>
      <c r="ND52" s="148"/>
      <c r="NE52" s="148"/>
      <c r="NF52" s="148"/>
      <c r="NG52" s="148"/>
      <c r="NH52" s="148"/>
      <c r="NI52" s="148"/>
      <c r="NJ52" s="148"/>
      <c r="NK52" s="148"/>
      <c r="NL52" s="148"/>
      <c r="NM52" s="148"/>
      <c r="NN52" s="148"/>
      <c r="NO52" s="148"/>
      <c r="NP52" s="148"/>
      <c r="NQ52" s="148"/>
      <c r="NR52" s="148"/>
      <c r="NS52" s="148"/>
      <c r="NT52" s="148"/>
      <c r="NU52" s="148"/>
      <c r="NV52" s="148"/>
      <c r="NW52" s="148"/>
      <c r="NX52" s="148"/>
      <c r="NY52" s="148"/>
      <c r="NZ52" s="148"/>
      <c r="OA52" s="148"/>
      <c r="OB52" s="148"/>
      <c r="OC52" s="148"/>
      <c r="OD52" s="148"/>
      <c r="OE52" s="148"/>
      <c r="OF52" s="148"/>
      <c r="OG52" s="148"/>
      <c r="OH52" s="148"/>
      <c r="OI52" s="148"/>
      <c r="OJ52" s="148"/>
      <c r="OK52" s="148"/>
      <c r="OL52" s="148"/>
      <c r="OM52" s="148"/>
      <c r="ON52" s="148"/>
      <c r="OO52" s="148"/>
      <c r="OP52" s="148"/>
      <c r="OQ52" s="148"/>
      <c r="OR52" s="148"/>
      <c r="OS52" s="148"/>
      <c r="OT52" s="148"/>
      <c r="OU52" s="148"/>
      <c r="OV52" s="148"/>
      <c r="OW52" s="148"/>
      <c r="OX52" s="148"/>
      <c r="OY52" s="148"/>
      <c r="OZ52" s="148"/>
      <c r="PA52" s="148"/>
      <c r="PB52" s="148"/>
      <c r="PC52" s="148"/>
      <c r="PD52" s="148"/>
      <c r="PE52" s="148"/>
      <c r="PF52" s="148"/>
      <c r="PG52" s="148"/>
      <c r="PH52" s="148"/>
      <c r="PI52" s="148"/>
      <c r="PJ52" s="148"/>
      <c r="PK52" s="148"/>
      <c r="PL52" s="148"/>
      <c r="PM52" s="148"/>
      <c r="PN52" s="148"/>
      <c r="PO52" s="148"/>
      <c r="PP52" s="148"/>
      <c r="PQ52" s="148"/>
      <c r="PR52" s="148"/>
      <c r="PS52" s="148"/>
      <c r="PT52" s="148"/>
      <c r="PU52" s="148"/>
      <c r="PV52" s="148"/>
      <c r="PW52" s="148"/>
      <c r="PX52" s="148"/>
      <c r="PY52" s="148"/>
      <c r="PZ52" s="148"/>
      <c r="QA52" s="148"/>
      <c r="QB52" s="148"/>
      <c r="QC52" s="148"/>
      <c r="QD52" s="148"/>
      <c r="QE52" s="148"/>
      <c r="QF52" s="148"/>
      <c r="QG52" s="148"/>
      <c r="QH52" s="148"/>
      <c r="QI52" s="148"/>
      <c r="QJ52" s="148"/>
      <c r="QK52" s="148"/>
      <c r="QL52" s="148"/>
      <c r="QM52" s="148"/>
      <c r="QN52" s="148"/>
      <c r="QO52" s="148"/>
      <c r="QP52" s="148"/>
      <c r="QQ52" s="148"/>
      <c r="QR52" s="148"/>
      <c r="QS52" s="148"/>
      <c r="QT52" s="148"/>
      <c r="QU52" s="148"/>
      <c r="QV52" s="148"/>
      <c r="QW52" s="148"/>
      <c r="QX52" s="148"/>
      <c r="QY52" s="148"/>
      <c r="QZ52" s="148"/>
      <c r="RA52" s="148"/>
      <c r="RB52" s="148"/>
      <c r="RC52" s="148"/>
      <c r="RD52" s="148"/>
      <c r="RE52" s="148"/>
      <c r="RF52" s="148"/>
      <c r="RG52" s="148"/>
      <c r="RH52" s="148"/>
      <c r="RI52" s="148"/>
      <c r="RJ52" s="148"/>
      <c r="RK52" s="148"/>
      <c r="RL52" s="148"/>
      <c r="RM52" s="148"/>
      <c r="RN52" s="148"/>
      <c r="RO52" s="148"/>
      <c r="RP52" s="148"/>
      <c r="RQ52" s="148"/>
      <c r="RR52" s="148"/>
    </row>
    <row r="53" spans="1:486" s="15" customFormat="1" x14ac:dyDescent="0.25">
      <c r="A53" s="148"/>
      <c r="B53" s="350">
        <v>38</v>
      </c>
      <c r="C53" s="650" t="s">
        <v>894</v>
      </c>
      <c r="D53" s="631">
        <v>30119286</v>
      </c>
      <c r="E53" s="344" t="s">
        <v>2785</v>
      </c>
      <c r="F53" s="344" t="s">
        <v>45</v>
      </c>
      <c r="G53" s="17" t="s">
        <v>2693</v>
      </c>
      <c r="H53" s="317" t="s">
        <v>2786</v>
      </c>
      <c r="I53" s="346" t="s">
        <v>43</v>
      </c>
      <c r="J53" s="341" t="s">
        <v>2787</v>
      </c>
      <c r="K53" s="633">
        <v>0</v>
      </c>
      <c r="L53" s="633">
        <v>0</v>
      </c>
      <c r="M53" s="633">
        <v>0</v>
      </c>
      <c r="N53" s="633">
        <v>0</v>
      </c>
      <c r="O53" s="633">
        <v>0</v>
      </c>
      <c r="P53" s="633">
        <v>0</v>
      </c>
      <c r="Q53" s="633">
        <v>0</v>
      </c>
      <c r="R53" s="639">
        <v>14800</v>
      </c>
      <c r="S53" s="633"/>
      <c r="T53" s="633"/>
      <c r="U53" s="633"/>
      <c r="V53" s="633"/>
      <c r="W53" s="633"/>
      <c r="X53" s="633"/>
      <c r="Y53" s="633">
        <f t="shared" si="1"/>
        <v>14800</v>
      </c>
      <c r="Z53" s="407">
        <v>16000</v>
      </c>
      <c r="AA53" s="635" t="s">
        <v>2769</v>
      </c>
      <c r="AB53" s="23">
        <v>44232</v>
      </c>
      <c r="AC53" s="23">
        <v>44250</v>
      </c>
      <c r="AD53" s="637"/>
      <c r="AE53" s="20"/>
      <c r="AF53" s="21"/>
      <c r="AG53" s="23"/>
      <c r="AH53" s="637"/>
      <c r="AI53" s="19"/>
      <c r="AJ53" s="21"/>
      <c r="AK53" s="25"/>
      <c r="AL53" s="309"/>
      <c r="AM53" s="19"/>
      <c r="AN53" s="21"/>
      <c r="AO53" s="25"/>
      <c r="AP53" s="309"/>
      <c r="AQ53" s="19"/>
      <c r="AR53" s="21"/>
      <c r="AS53" s="25"/>
      <c r="AT53" s="638">
        <f t="shared" si="2"/>
        <v>16000</v>
      </c>
      <c r="AU53" s="311">
        <f t="shared" si="0"/>
        <v>1200</v>
      </c>
      <c r="AV53" s="148"/>
      <c r="AW53" s="148"/>
      <c r="AX53" s="148"/>
      <c r="AY53" s="148"/>
      <c r="AZ53" s="148"/>
      <c r="BA53" s="148"/>
      <c r="BB53" s="148"/>
      <c r="BC53" s="148"/>
      <c r="BD53" s="148"/>
      <c r="BE53" s="148"/>
      <c r="BF53" s="148"/>
      <c r="BG53" s="148"/>
      <c r="BH53" s="148"/>
      <c r="BI53" s="148"/>
      <c r="BJ53" s="148"/>
      <c r="BK53" s="148"/>
      <c r="BL53" s="148"/>
      <c r="BM53" s="148"/>
      <c r="BN53" s="148"/>
      <c r="BO53" s="148"/>
      <c r="BP53" s="148"/>
      <c r="BQ53" s="148"/>
      <c r="BR53" s="148"/>
      <c r="BS53" s="148"/>
      <c r="BT53" s="148"/>
      <c r="BU53" s="148"/>
      <c r="BV53" s="148"/>
      <c r="BW53" s="148"/>
      <c r="BX53" s="148"/>
      <c r="BY53" s="148"/>
      <c r="BZ53" s="148"/>
      <c r="CA53" s="148"/>
      <c r="CB53" s="148"/>
      <c r="CC53" s="148"/>
      <c r="CD53" s="148"/>
      <c r="CE53" s="148"/>
      <c r="CF53" s="148"/>
      <c r="CG53" s="148"/>
      <c r="CH53" s="148"/>
      <c r="CI53" s="148"/>
      <c r="CJ53" s="148"/>
      <c r="CK53" s="148"/>
      <c r="CL53" s="148"/>
      <c r="CM53" s="148"/>
      <c r="CN53" s="148"/>
      <c r="CO53" s="148"/>
      <c r="CP53" s="148"/>
      <c r="CQ53" s="148"/>
      <c r="CR53" s="148"/>
      <c r="CS53" s="148"/>
      <c r="CT53" s="148"/>
      <c r="CU53" s="148"/>
      <c r="CV53" s="148"/>
      <c r="CW53" s="148"/>
      <c r="CX53" s="148"/>
      <c r="CY53" s="148"/>
      <c r="CZ53" s="148"/>
      <c r="DA53" s="148"/>
      <c r="DB53" s="148"/>
      <c r="DC53" s="148"/>
      <c r="DD53" s="148"/>
      <c r="DE53" s="148"/>
      <c r="DF53" s="148"/>
      <c r="DG53" s="148"/>
      <c r="DH53" s="148"/>
      <c r="DI53" s="148"/>
      <c r="DJ53" s="148"/>
      <c r="DK53" s="148"/>
      <c r="DL53" s="148"/>
      <c r="DM53" s="148"/>
      <c r="DN53" s="148"/>
      <c r="DO53" s="148"/>
      <c r="DP53" s="148"/>
      <c r="DQ53" s="148"/>
      <c r="DR53" s="148"/>
      <c r="DS53" s="148"/>
      <c r="DT53" s="148"/>
      <c r="DU53" s="148"/>
      <c r="DV53" s="148"/>
      <c r="DW53" s="148"/>
      <c r="DX53" s="148"/>
      <c r="DY53" s="148"/>
      <c r="DZ53" s="148"/>
      <c r="EA53" s="148"/>
      <c r="EB53" s="148"/>
      <c r="EC53" s="148"/>
      <c r="ED53" s="148"/>
      <c r="EE53" s="148"/>
      <c r="EF53" s="148"/>
      <c r="EG53" s="148"/>
      <c r="EH53" s="148"/>
      <c r="EI53" s="148"/>
      <c r="EJ53" s="148"/>
      <c r="EK53" s="148"/>
      <c r="EL53" s="148"/>
      <c r="EM53" s="148"/>
      <c r="EN53" s="148"/>
      <c r="EO53" s="148"/>
      <c r="EP53" s="148"/>
      <c r="EQ53" s="148"/>
      <c r="ER53" s="148"/>
      <c r="ES53" s="148"/>
      <c r="ET53" s="148"/>
      <c r="EU53" s="148"/>
      <c r="EV53" s="148"/>
      <c r="EW53" s="148"/>
      <c r="EX53" s="148"/>
      <c r="EY53" s="148"/>
      <c r="EZ53" s="148"/>
      <c r="FA53" s="148"/>
      <c r="FB53" s="148"/>
      <c r="FC53" s="148"/>
      <c r="FD53" s="148"/>
      <c r="FE53" s="148"/>
      <c r="FF53" s="148"/>
      <c r="FG53" s="148"/>
      <c r="FH53" s="148"/>
      <c r="FI53" s="148"/>
      <c r="FJ53" s="148"/>
      <c r="FK53" s="148"/>
      <c r="FL53" s="148"/>
      <c r="FM53" s="148"/>
      <c r="FN53" s="148"/>
      <c r="FO53" s="148"/>
      <c r="FP53" s="148"/>
      <c r="FQ53" s="148"/>
      <c r="FR53" s="148"/>
      <c r="FS53" s="148"/>
      <c r="FT53" s="148"/>
      <c r="FU53" s="148"/>
      <c r="FV53" s="148"/>
      <c r="FW53" s="148"/>
      <c r="FX53" s="148"/>
      <c r="FY53" s="148"/>
      <c r="FZ53" s="148"/>
      <c r="GA53" s="148"/>
      <c r="GB53" s="148"/>
      <c r="GC53" s="148"/>
      <c r="GD53" s="148"/>
      <c r="GE53" s="148"/>
      <c r="GF53" s="148"/>
      <c r="GG53" s="148"/>
      <c r="GH53" s="148"/>
      <c r="GI53" s="148"/>
      <c r="GJ53" s="148"/>
      <c r="GK53" s="148"/>
      <c r="GL53" s="148"/>
      <c r="GM53" s="148"/>
      <c r="GN53" s="148"/>
      <c r="GO53" s="148"/>
      <c r="GP53" s="148"/>
      <c r="GQ53" s="148"/>
      <c r="GR53" s="148"/>
      <c r="GS53" s="148"/>
      <c r="GT53" s="148"/>
      <c r="GU53" s="148"/>
      <c r="GV53" s="148"/>
      <c r="GW53" s="148"/>
      <c r="GX53" s="148"/>
      <c r="GY53" s="148"/>
      <c r="GZ53" s="148"/>
      <c r="HA53" s="148"/>
      <c r="HB53" s="148"/>
      <c r="HC53" s="148"/>
      <c r="HD53" s="148"/>
      <c r="HE53" s="148"/>
      <c r="HF53" s="148"/>
      <c r="HG53" s="148"/>
      <c r="HH53" s="148"/>
      <c r="HI53" s="148"/>
      <c r="HJ53" s="148"/>
      <c r="HK53" s="148"/>
      <c r="HL53" s="148"/>
      <c r="HM53" s="148"/>
      <c r="HN53" s="148"/>
      <c r="HO53" s="148"/>
      <c r="HP53" s="148"/>
      <c r="HQ53" s="148"/>
      <c r="HR53" s="148"/>
      <c r="HS53" s="148"/>
      <c r="HT53" s="148"/>
      <c r="HU53" s="148"/>
      <c r="HV53" s="148"/>
      <c r="HW53" s="148"/>
      <c r="HX53" s="148"/>
      <c r="HY53" s="148"/>
      <c r="HZ53" s="148"/>
      <c r="IA53" s="148"/>
      <c r="IB53" s="148"/>
      <c r="IC53" s="148"/>
      <c r="ID53" s="148"/>
      <c r="IE53" s="148"/>
      <c r="IF53" s="148"/>
      <c r="IG53" s="148"/>
      <c r="IH53" s="148"/>
      <c r="II53" s="148"/>
      <c r="IJ53" s="148"/>
      <c r="IK53" s="148"/>
      <c r="IL53" s="148"/>
      <c r="IM53" s="148"/>
      <c r="IN53" s="148"/>
      <c r="IO53" s="148"/>
      <c r="IP53" s="148"/>
      <c r="IQ53" s="148"/>
      <c r="IR53" s="148"/>
      <c r="IS53" s="148"/>
      <c r="IT53" s="148"/>
      <c r="IU53" s="148"/>
      <c r="IV53" s="148"/>
      <c r="IW53" s="148"/>
      <c r="IX53" s="148"/>
      <c r="IY53" s="148"/>
      <c r="IZ53" s="148"/>
      <c r="JA53" s="148"/>
      <c r="JB53" s="148"/>
      <c r="JC53" s="148"/>
      <c r="JD53" s="148"/>
      <c r="JE53" s="148"/>
      <c r="JF53" s="148"/>
      <c r="JG53" s="148"/>
      <c r="JH53" s="148"/>
      <c r="JI53" s="148"/>
      <c r="JJ53" s="148"/>
      <c r="JK53" s="148"/>
      <c r="JL53" s="148"/>
      <c r="JM53" s="148"/>
      <c r="JN53" s="148"/>
      <c r="JO53" s="148"/>
      <c r="JP53" s="148"/>
      <c r="JQ53" s="148"/>
      <c r="JR53" s="148"/>
      <c r="JS53" s="148"/>
      <c r="JT53" s="148"/>
      <c r="JU53" s="148"/>
      <c r="JV53" s="148"/>
      <c r="JW53" s="148"/>
      <c r="JX53" s="148"/>
      <c r="JY53" s="148"/>
      <c r="JZ53" s="148"/>
      <c r="KA53" s="148"/>
      <c r="KB53" s="148"/>
      <c r="KC53" s="148"/>
      <c r="KD53" s="148"/>
      <c r="KE53" s="148"/>
      <c r="KF53" s="148"/>
      <c r="KG53" s="148"/>
      <c r="KH53" s="148"/>
      <c r="KI53" s="148"/>
      <c r="KJ53" s="148"/>
      <c r="KK53" s="148"/>
      <c r="KL53" s="148"/>
      <c r="KM53" s="148"/>
      <c r="KN53" s="148"/>
      <c r="KO53" s="148"/>
      <c r="KP53" s="148"/>
      <c r="KQ53" s="148"/>
      <c r="KR53" s="148"/>
      <c r="KS53" s="148"/>
      <c r="KT53" s="148"/>
      <c r="KU53" s="148"/>
      <c r="KV53" s="148"/>
      <c r="KW53" s="148"/>
      <c r="KX53" s="148"/>
      <c r="KY53" s="148"/>
      <c r="KZ53" s="148"/>
      <c r="LA53" s="148"/>
      <c r="LB53" s="148"/>
      <c r="LC53" s="148"/>
      <c r="LD53" s="148"/>
      <c r="LE53" s="148"/>
      <c r="LF53" s="148"/>
      <c r="LG53" s="148"/>
      <c r="LH53" s="148"/>
      <c r="LI53" s="148"/>
      <c r="LJ53" s="148"/>
      <c r="LK53" s="148"/>
      <c r="LL53" s="148"/>
      <c r="LM53" s="148"/>
      <c r="LN53" s="148"/>
      <c r="LO53" s="148"/>
      <c r="LP53" s="148"/>
      <c r="LQ53" s="148"/>
      <c r="LR53" s="148"/>
      <c r="LS53" s="148"/>
      <c r="LT53" s="148"/>
      <c r="LU53" s="148"/>
      <c r="LV53" s="148"/>
      <c r="LW53" s="148"/>
      <c r="LX53" s="148"/>
      <c r="LY53" s="148"/>
      <c r="LZ53" s="148"/>
      <c r="MA53" s="148"/>
      <c r="MB53" s="148"/>
      <c r="MC53" s="148"/>
      <c r="MD53" s="148"/>
      <c r="ME53" s="148"/>
      <c r="MF53" s="148"/>
      <c r="MG53" s="148"/>
      <c r="MH53" s="148"/>
      <c r="MI53" s="148"/>
      <c r="MJ53" s="148"/>
      <c r="MK53" s="148"/>
      <c r="ML53" s="148"/>
      <c r="MM53" s="148"/>
      <c r="MN53" s="148"/>
      <c r="MO53" s="148"/>
      <c r="MP53" s="148"/>
      <c r="MQ53" s="148"/>
      <c r="MR53" s="148"/>
      <c r="MS53" s="148"/>
      <c r="MT53" s="148"/>
      <c r="MU53" s="148"/>
      <c r="MV53" s="148"/>
      <c r="MW53" s="148"/>
      <c r="MX53" s="148"/>
      <c r="MY53" s="148"/>
      <c r="MZ53" s="148"/>
      <c r="NA53" s="148"/>
      <c r="NB53" s="148"/>
      <c r="NC53" s="148"/>
      <c r="ND53" s="148"/>
      <c r="NE53" s="148"/>
      <c r="NF53" s="148"/>
      <c r="NG53" s="148"/>
      <c r="NH53" s="148"/>
      <c r="NI53" s="148"/>
      <c r="NJ53" s="148"/>
      <c r="NK53" s="148"/>
      <c r="NL53" s="148"/>
      <c r="NM53" s="148"/>
      <c r="NN53" s="148"/>
      <c r="NO53" s="148"/>
      <c r="NP53" s="148"/>
      <c r="NQ53" s="148"/>
      <c r="NR53" s="148"/>
      <c r="NS53" s="148"/>
      <c r="NT53" s="148"/>
      <c r="NU53" s="148"/>
      <c r="NV53" s="148"/>
      <c r="NW53" s="148"/>
      <c r="NX53" s="148"/>
      <c r="NY53" s="148"/>
      <c r="NZ53" s="148"/>
      <c r="OA53" s="148"/>
      <c r="OB53" s="148"/>
      <c r="OC53" s="148"/>
      <c r="OD53" s="148"/>
      <c r="OE53" s="148"/>
      <c r="OF53" s="148"/>
      <c r="OG53" s="148"/>
      <c r="OH53" s="148"/>
      <c r="OI53" s="148"/>
      <c r="OJ53" s="148"/>
      <c r="OK53" s="148"/>
      <c r="OL53" s="148"/>
      <c r="OM53" s="148"/>
      <c r="ON53" s="148"/>
      <c r="OO53" s="148"/>
      <c r="OP53" s="148"/>
      <c r="OQ53" s="148"/>
      <c r="OR53" s="148"/>
      <c r="OS53" s="148"/>
      <c r="OT53" s="148"/>
      <c r="OU53" s="148"/>
      <c r="OV53" s="148"/>
      <c r="OW53" s="148"/>
      <c r="OX53" s="148"/>
      <c r="OY53" s="148"/>
      <c r="OZ53" s="148"/>
      <c r="PA53" s="148"/>
      <c r="PB53" s="148"/>
      <c r="PC53" s="148"/>
      <c r="PD53" s="148"/>
      <c r="PE53" s="148"/>
      <c r="PF53" s="148"/>
      <c r="PG53" s="148"/>
      <c r="PH53" s="148"/>
      <c r="PI53" s="148"/>
      <c r="PJ53" s="148"/>
      <c r="PK53" s="148"/>
      <c r="PL53" s="148"/>
      <c r="PM53" s="148"/>
      <c r="PN53" s="148"/>
      <c r="PO53" s="148"/>
      <c r="PP53" s="148"/>
      <c r="PQ53" s="148"/>
      <c r="PR53" s="148"/>
      <c r="PS53" s="148"/>
      <c r="PT53" s="148"/>
      <c r="PU53" s="148"/>
      <c r="PV53" s="148"/>
      <c r="PW53" s="148"/>
      <c r="PX53" s="148"/>
      <c r="PY53" s="148"/>
      <c r="PZ53" s="148"/>
      <c r="QA53" s="148"/>
      <c r="QB53" s="148"/>
      <c r="QC53" s="148"/>
      <c r="QD53" s="148"/>
      <c r="QE53" s="148"/>
      <c r="QF53" s="148"/>
      <c r="QG53" s="148"/>
      <c r="QH53" s="148"/>
      <c r="QI53" s="148"/>
      <c r="QJ53" s="148"/>
      <c r="QK53" s="148"/>
      <c r="QL53" s="148"/>
      <c r="QM53" s="148"/>
      <c r="QN53" s="148"/>
      <c r="QO53" s="148"/>
      <c r="QP53" s="148"/>
      <c r="QQ53" s="148"/>
      <c r="QR53" s="148"/>
      <c r="QS53" s="148"/>
      <c r="QT53" s="148"/>
      <c r="QU53" s="148"/>
      <c r="QV53" s="148"/>
      <c r="QW53" s="148"/>
      <c r="QX53" s="148"/>
      <c r="QY53" s="148"/>
      <c r="QZ53" s="148"/>
      <c r="RA53" s="148"/>
      <c r="RB53" s="148"/>
      <c r="RC53" s="148"/>
      <c r="RD53" s="148"/>
      <c r="RE53" s="148"/>
      <c r="RF53" s="148"/>
      <c r="RG53" s="148"/>
      <c r="RH53" s="148"/>
      <c r="RI53" s="148"/>
      <c r="RJ53" s="148"/>
      <c r="RK53" s="148"/>
      <c r="RL53" s="148"/>
      <c r="RM53" s="148"/>
      <c r="RN53" s="148"/>
      <c r="RO53" s="148"/>
      <c r="RP53" s="148"/>
      <c r="RQ53" s="148"/>
      <c r="RR53" s="148"/>
    </row>
    <row r="54" spans="1:486" s="15" customFormat="1" x14ac:dyDescent="0.25">
      <c r="A54" s="148"/>
      <c r="B54" s="350">
        <v>39</v>
      </c>
      <c r="C54" s="650" t="s">
        <v>894</v>
      </c>
      <c r="D54" s="631">
        <v>30133087</v>
      </c>
      <c r="E54" s="344" t="s">
        <v>2788</v>
      </c>
      <c r="F54" s="344" t="s">
        <v>46</v>
      </c>
      <c r="G54" s="17" t="s">
        <v>2693</v>
      </c>
      <c r="H54" s="317" t="s">
        <v>2789</v>
      </c>
      <c r="I54" s="346" t="s">
        <v>43</v>
      </c>
      <c r="J54" s="341" t="s">
        <v>2790</v>
      </c>
      <c r="K54" s="633">
        <v>0</v>
      </c>
      <c r="L54" s="633">
        <v>0</v>
      </c>
      <c r="M54" s="633">
        <v>0</v>
      </c>
      <c r="N54" s="633">
        <v>0</v>
      </c>
      <c r="O54" s="633">
        <v>0</v>
      </c>
      <c r="P54" s="633">
        <v>0</v>
      </c>
      <c r="Q54" s="633">
        <v>0</v>
      </c>
      <c r="R54" s="633">
        <v>0</v>
      </c>
      <c r="S54" s="633"/>
      <c r="T54" s="633"/>
      <c r="U54" s="633"/>
      <c r="V54" s="633"/>
      <c r="W54" s="633"/>
      <c r="X54" s="633"/>
      <c r="Y54" s="633">
        <f t="shared" si="1"/>
        <v>0</v>
      </c>
      <c r="Z54" s="407">
        <v>5511</v>
      </c>
      <c r="AA54" s="635" t="s">
        <v>2769</v>
      </c>
      <c r="AB54" s="23">
        <v>44232</v>
      </c>
      <c r="AC54" s="23">
        <v>44250</v>
      </c>
      <c r="AD54" s="637"/>
      <c r="AE54" s="20"/>
      <c r="AF54" s="21"/>
      <c r="AG54" s="23"/>
      <c r="AH54" s="637"/>
      <c r="AI54" s="19"/>
      <c r="AJ54" s="21"/>
      <c r="AK54" s="25"/>
      <c r="AL54" s="309"/>
      <c r="AM54" s="19"/>
      <c r="AN54" s="21"/>
      <c r="AO54" s="25"/>
      <c r="AP54" s="309"/>
      <c r="AQ54" s="19"/>
      <c r="AR54" s="21"/>
      <c r="AS54" s="25"/>
      <c r="AT54" s="638">
        <f t="shared" si="2"/>
        <v>5511</v>
      </c>
      <c r="AU54" s="311">
        <f t="shared" si="0"/>
        <v>5511</v>
      </c>
      <c r="AV54" s="148"/>
      <c r="AW54" s="148"/>
      <c r="AX54" s="148"/>
      <c r="AY54" s="148"/>
      <c r="AZ54" s="148"/>
      <c r="BA54" s="148"/>
      <c r="BB54" s="148"/>
      <c r="BC54" s="148"/>
      <c r="BD54" s="148"/>
      <c r="BE54" s="148"/>
      <c r="BF54" s="148"/>
      <c r="BG54" s="148"/>
      <c r="BH54" s="148"/>
      <c r="BI54" s="148"/>
      <c r="BJ54" s="148"/>
      <c r="BK54" s="148"/>
      <c r="BL54" s="148"/>
      <c r="BM54" s="148"/>
      <c r="BN54" s="148"/>
      <c r="BO54" s="148"/>
      <c r="BP54" s="148"/>
      <c r="BQ54" s="148"/>
      <c r="BR54" s="148"/>
      <c r="BS54" s="148"/>
      <c r="BT54" s="148"/>
      <c r="BU54" s="148"/>
      <c r="BV54" s="148"/>
      <c r="BW54" s="148"/>
      <c r="BX54" s="148"/>
      <c r="BY54" s="148"/>
      <c r="BZ54" s="148"/>
      <c r="CA54" s="148"/>
      <c r="CB54" s="148"/>
      <c r="CC54" s="148"/>
      <c r="CD54" s="148"/>
      <c r="CE54" s="148"/>
      <c r="CF54" s="148"/>
      <c r="CG54" s="148"/>
      <c r="CH54" s="148"/>
      <c r="CI54" s="148"/>
      <c r="CJ54" s="148"/>
      <c r="CK54" s="148"/>
      <c r="CL54" s="148"/>
      <c r="CM54" s="148"/>
      <c r="CN54" s="148"/>
      <c r="CO54" s="148"/>
      <c r="CP54" s="148"/>
      <c r="CQ54" s="148"/>
      <c r="CR54" s="148"/>
      <c r="CS54" s="148"/>
      <c r="CT54" s="148"/>
      <c r="CU54" s="148"/>
      <c r="CV54" s="148"/>
      <c r="CW54" s="148"/>
      <c r="CX54" s="148"/>
      <c r="CY54" s="148"/>
      <c r="CZ54" s="148"/>
      <c r="DA54" s="148"/>
      <c r="DB54" s="148"/>
      <c r="DC54" s="148"/>
      <c r="DD54" s="148"/>
      <c r="DE54" s="148"/>
      <c r="DF54" s="148"/>
      <c r="DG54" s="148"/>
      <c r="DH54" s="148"/>
      <c r="DI54" s="148"/>
      <c r="DJ54" s="148"/>
      <c r="DK54" s="148"/>
      <c r="DL54" s="148"/>
      <c r="DM54" s="148"/>
      <c r="DN54" s="148"/>
      <c r="DO54" s="148"/>
      <c r="DP54" s="148"/>
      <c r="DQ54" s="148"/>
      <c r="DR54" s="148"/>
      <c r="DS54" s="148"/>
      <c r="DT54" s="148"/>
      <c r="DU54" s="148"/>
      <c r="DV54" s="148"/>
      <c r="DW54" s="148"/>
      <c r="DX54" s="148"/>
      <c r="DY54" s="148"/>
      <c r="DZ54" s="148"/>
      <c r="EA54" s="148"/>
      <c r="EB54" s="148"/>
      <c r="EC54" s="148"/>
      <c r="ED54" s="148"/>
      <c r="EE54" s="148"/>
      <c r="EF54" s="148"/>
      <c r="EG54" s="148"/>
      <c r="EH54" s="148"/>
      <c r="EI54" s="148"/>
      <c r="EJ54" s="148"/>
      <c r="EK54" s="148"/>
      <c r="EL54" s="148"/>
      <c r="EM54" s="148"/>
      <c r="EN54" s="148"/>
      <c r="EO54" s="148"/>
      <c r="EP54" s="148"/>
      <c r="EQ54" s="148"/>
      <c r="ER54" s="148"/>
      <c r="ES54" s="148"/>
      <c r="ET54" s="148"/>
      <c r="EU54" s="148"/>
      <c r="EV54" s="148"/>
      <c r="EW54" s="148"/>
      <c r="EX54" s="148"/>
      <c r="EY54" s="148"/>
      <c r="EZ54" s="148"/>
      <c r="FA54" s="148"/>
      <c r="FB54" s="148"/>
      <c r="FC54" s="148"/>
      <c r="FD54" s="148"/>
      <c r="FE54" s="148"/>
      <c r="FF54" s="148"/>
      <c r="FG54" s="148"/>
      <c r="FH54" s="148"/>
      <c r="FI54" s="148"/>
      <c r="FJ54" s="148"/>
      <c r="FK54" s="148"/>
      <c r="FL54" s="148"/>
      <c r="FM54" s="148"/>
      <c r="FN54" s="148"/>
      <c r="FO54" s="148"/>
      <c r="FP54" s="148"/>
      <c r="FQ54" s="148"/>
      <c r="FR54" s="148"/>
      <c r="FS54" s="148"/>
      <c r="FT54" s="148"/>
      <c r="FU54" s="148"/>
      <c r="FV54" s="148"/>
      <c r="FW54" s="148"/>
      <c r="FX54" s="148"/>
      <c r="FY54" s="148"/>
      <c r="FZ54" s="148"/>
      <c r="GA54" s="148"/>
      <c r="GB54" s="148"/>
      <c r="GC54" s="148"/>
      <c r="GD54" s="148"/>
      <c r="GE54" s="148"/>
      <c r="GF54" s="148"/>
      <c r="GG54" s="148"/>
      <c r="GH54" s="148"/>
      <c r="GI54" s="148"/>
      <c r="GJ54" s="148"/>
      <c r="GK54" s="148"/>
      <c r="GL54" s="148"/>
      <c r="GM54" s="148"/>
      <c r="GN54" s="148"/>
      <c r="GO54" s="148"/>
      <c r="GP54" s="148"/>
      <c r="GQ54" s="148"/>
      <c r="GR54" s="148"/>
      <c r="GS54" s="148"/>
      <c r="GT54" s="148"/>
      <c r="GU54" s="148"/>
      <c r="GV54" s="148"/>
      <c r="GW54" s="148"/>
      <c r="GX54" s="148"/>
      <c r="GY54" s="148"/>
      <c r="GZ54" s="148"/>
      <c r="HA54" s="148"/>
      <c r="HB54" s="148"/>
      <c r="HC54" s="148"/>
      <c r="HD54" s="148"/>
      <c r="HE54" s="148"/>
      <c r="HF54" s="148"/>
      <c r="HG54" s="148"/>
      <c r="HH54" s="148"/>
      <c r="HI54" s="148"/>
      <c r="HJ54" s="148"/>
      <c r="HK54" s="148"/>
      <c r="HL54" s="148"/>
      <c r="HM54" s="148"/>
      <c r="HN54" s="148"/>
      <c r="HO54" s="148"/>
      <c r="HP54" s="148"/>
      <c r="HQ54" s="148"/>
      <c r="HR54" s="148"/>
      <c r="HS54" s="148"/>
      <c r="HT54" s="148"/>
      <c r="HU54" s="148"/>
      <c r="HV54" s="148"/>
      <c r="HW54" s="148"/>
      <c r="HX54" s="148"/>
      <c r="HY54" s="148"/>
      <c r="HZ54" s="148"/>
      <c r="IA54" s="148"/>
      <c r="IB54" s="148"/>
      <c r="IC54" s="148"/>
      <c r="ID54" s="148"/>
      <c r="IE54" s="148"/>
      <c r="IF54" s="148"/>
      <c r="IG54" s="148"/>
      <c r="IH54" s="148"/>
      <c r="II54" s="148"/>
      <c r="IJ54" s="148"/>
      <c r="IK54" s="148"/>
      <c r="IL54" s="148"/>
      <c r="IM54" s="148"/>
      <c r="IN54" s="148"/>
      <c r="IO54" s="148"/>
      <c r="IP54" s="148"/>
      <c r="IQ54" s="148"/>
      <c r="IR54" s="148"/>
      <c r="IS54" s="148"/>
      <c r="IT54" s="148"/>
      <c r="IU54" s="148"/>
      <c r="IV54" s="148"/>
      <c r="IW54" s="148"/>
      <c r="IX54" s="148"/>
      <c r="IY54" s="148"/>
      <c r="IZ54" s="148"/>
      <c r="JA54" s="148"/>
      <c r="JB54" s="148"/>
      <c r="JC54" s="148"/>
      <c r="JD54" s="148"/>
      <c r="JE54" s="148"/>
      <c r="JF54" s="148"/>
      <c r="JG54" s="148"/>
      <c r="JH54" s="148"/>
      <c r="JI54" s="148"/>
      <c r="JJ54" s="148"/>
      <c r="JK54" s="148"/>
      <c r="JL54" s="148"/>
      <c r="JM54" s="148"/>
      <c r="JN54" s="148"/>
      <c r="JO54" s="148"/>
      <c r="JP54" s="148"/>
      <c r="JQ54" s="148"/>
      <c r="JR54" s="148"/>
      <c r="JS54" s="148"/>
      <c r="JT54" s="148"/>
      <c r="JU54" s="148"/>
      <c r="JV54" s="148"/>
      <c r="JW54" s="148"/>
      <c r="JX54" s="148"/>
      <c r="JY54" s="148"/>
      <c r="JZ54" s="148"/>
      <c r="KA54" s="148"/>
      <c r="KB54" s="148"/>
      <c r="KC54" s="148"/>
      <c r="KD54" s="148"/>
      <c r="KE54" s="148"/>
      <c r="KF54" s="148"/>
      <c r="KG54" s="148"/>
      <c r="KH54" s="148"/>
      <c r="KI54" s="148"/>
      <c r="KJ54" s="148"/>
      <c r="KK54" s="148"/>
      <c r="KL54" s="148"/>
      <c r="KM54" s="148"/>
      <c r="KN54" s="148"/>
      <c r="KO54" s="148"/>
      <c r="KP54" s="148"/>
      <c r="KQ54" s="148"/>
      <c r="KR54" s="148"/>
      <c r="KS54" s="148"/>
      <c r="KT54" s="148"/>
      <c r="KU54" s="148"/>
      <c r="KV54" s="148"/>
      <c r="KW54" s="148"/>
      <c r="KX54" s="148"/>
      <c r="KY54" s="148"/>
      <c r="KZ54" s="148"/>
      <c r="LA54" s="148"/>
      <c r="LB54" s="148"/>
      <c r="LC54" s="148"/>
      <c r="LD54" s="148"/>
      <c r="LE54" s="148"/>
      <c r="LF54" s="148"/>
      <c r="LG54" s="148"/>
      <c r="LH54" s="148"/>
      <c r="LI54" s="148"/>
      <c r="LJ54" s="148"/>
      <c r="LK54" s="148"/>
      <c r="LL54" s="148"/>
      <c r="LM54" s="148"/>
      <c r="LN54" s="148"/>
      <c r="LO54" s="148"/>
      <c r="LP54" s="148"/>
      <c r="LQ54" s="148"/>
      <c r="LR54" s="148"/>
      <c r="LS54" s="148"/>
      <c r="LT54" s="148"/>
      <c r="LU54" s="148"/>
      <c r="LV54" s="148"/>
      <c r="LW54" s="148"/>
      <c r="LX54" s="148"/>
      <c r="LY54" s="148"/>
      <c r="LZ54" s="148"/>
      <c r="MA54" s="148"/>
      <c r="MB54" s="148"/>
      <c r="MC54" s="148"/>
      <c r="MD54" s="148"/>
      <c r="ME54" s="148"/>
      <c r="MF54" s="148"/>
      <c r="MG54" s="148"/>
      <c r="MH54" s="148"/>
      <c r="MI54" s="148"/>
      <c r="MJ54" s="148"/>
      <c r="MK54" s="148"/>
      <c r="ML54" s="148"/>
      <c r="MM54" s="148"/>
      <c r="MN54" s="148"/>
      <c r="MO54" s="148"/>
      <c r="MP54" s="148"/>
      <c r="MQ54" s="148"/>
      <c r="MR54" s="148"/>
      <c r="MS54" s="148"/>
      <c r="MT54" s="148"/>
      <c r="MU54" s="148"/>
      <c r="MV54" s="148"/>
      <c r="MW54" s="148"/>
      <c r="MX54" s="148"/>
      <c r="MY54" s="148"/>
      <c r="MZ54" s="148"/>
      <c r="NA54" s="148"/>
      <c r="NB54" s="148"/>
      <c r="NC54" s="148"/>
      <c r="ND54" s="148"/>
      <c r="NE54" s="148"/>
      <c r="NF54" s="148"/>
      <c r="NG54" s="148"/>
      <c r="NH54" s="148"/>
      <c r="NI54" s="148"/>
      <c r="NJ54" s="148"/>
      <c r="NK54" s="148"/>
      <c r="NL54" s="148"/>
      <c r="NM54" s="148"/>
      <c r="NN54" s="148"/>
      <c r="NO54" s="148"/>
      <c r="NP54" s="148"/>
      <c r="NQ54" s="148"/>
      <c r="NR54" s="148"/>
      <c r="NS54" s="148"/>
      <c r="NT54" s="148"/>
      <c r="NU54" s="148"/>
      <c r="NV54" s="148"/>
      <c r="NW54" s="148"/>
      <c r="NX54" s="148"/>
      <c r="NY54" s="148"/>
      <c r="NZ54" s="148"/>
      <c r="OA54" s="148"/>
      <c r="OB54" s="148"/>
      <c r="OC54" s="148"/>
      <c r="OD54" s="148"/>
      <c r="OE54" s="148"/>
      <c r="OF54" s="148"/>
      <c r="OG54" s="148"/>
      <c r="OH54" s="148"/>
      <c r="OI54" s="148"/>
      <c r="OJ54" s="148"/>
      <c r="OK54" s="148"/>
      <c r="OL54" s="148"/>
      <c r="OM54" s="148"/>
      <c r="ON54" s="148"/>
      <c r="OO54" s="148"/>
      <c r="OP54" s="148"/>
      <c r="OQ54" s="148"/>
      <c r="OR54" s="148"/>
      <c r="OS54" s="148"/>
      <c r="OT54" s="148"/>
      <c r="OU54" s="148"/>
      <c r="OV54" s="148"/>
      <c r="OW54" s="148"/>
      <c r="OX54" s="148"/>
      <c r="OY54" s="148"/>
      <c r="OZ54" s="148"/>
      <c r="PA54" s="148"/>
      <c r="PB54" s="148"/>
      <c r="PC54" s="148"/>
      <c r="PD54" s="148"/>
      <c r="PE54" s="148"/>
      <c r="PF54" s="148"/>
      <c r="PG54" s="148"/>
      <c r="PH54" s="148"/>
      <c r="PI54" s="148"/>
      <c r="PJ54" s="148"/>
      <c r="PK54" s="148"/>
      <c r="PL54" s="148"/>
      <c r="PM54" s="148"/>
      <c r="PN54" s="148"/>
      <c r="PO54" s="148"/>
      <c r="PP54" s="148"/>
      <c r="PQ54" s="148"/>
      <c r="PR54" s="148"/>
      <c r="PS54" s="148"/>
      <c r="PT54" s="148"/>
      <c r="PU54" s="148"/>
      <c r="PV54" s="148"/>
      <c r="PW54" s="148"/>
      <c r="PX54" s="148"/>
      <c r="PY54" s="148"/>
      <c r="PZ54" s="148"/>
      <c r="QA54" s="148"/>
      <c r="QB54" s="148"/>
      <c r="QC54" s="148"/>
      <c r="QD54" s="148"/>
      <c r="QE54" s="148"/>
      <c r="QF54" s="148"/>
      <c r="QG54" s="148"/>
      <c r="QH54" s="148"/>
      <c r="QI54" s="148"/>
      <c r="QJ54" s="148"/>
      <c r="QK54" s="148"/>
      <c r="QL54" s="148"/>
      <c r="QM54" s="148"/>
      <c r="QN54" s="148"/>
      <c r="QO54" s="148"/>
      <c r="QP54" s="148"/>
      <c r="QQ54" s="148"/>
      <c r="QR54" s="148"/>
      <c r="QS54" s="148"/>
      <c r="QT54" s="148"/>
      <c r="QU54" s="148"/>
      <c r="QV54" s="148"/>
      <c r="QW54" s="148"/>
      <c r="QX54" s="148"/>
      <c r="QY54" s="148"/>
      <c r="QZ54" s="148"/>
      <c r="RA54" s="148"/>
      <c r="RB54" s="148"/>
      <c r="RC54" s="148"/>
      <c r="RD54" s="148"/>
      <c r="RE54" s="148"/>
      <c r="RF54" s="148"/>
      <c r="RG54" s="148"/>
      <c r="RH54" s="148"/>
      <c r="RI54" s="148"/>
      <c r="RJ54" s="148"/>
      <c r="RK54" s="148"/>
      <c r="RL54" s="148"/>
      <c r="RM54" s="148"/>
      <c r="RN54" s="148"/>
      <c r="RO54" s="148"/>
      <c r="RP54" s="148"/>
      <c r="RQ54" s="148"/>
      <c r="RR54" s="148"/>
    </row>
    <row r="55" spans="1:486" s="15" customFormat="1" ht="24.75" customHeight="1" x14ac:dyDescent="0.25">
      <c r="A55" s="148"/>
      <c r="B55" s="350">
        <v>40</v>
      </c>
      <c r="C55" s="650" t="s">
        <v>894</v>
      </c>
      <c r="D55" s="631">
        <v>30133425</v>
      </c>
      <c r="E55" s="344" t="s">
        <v>2791</v>
      </c>
      <c r="F55" s="344" t="s">
        <v>45</v>
      </c>
      <c r="G55" s="17" t="s">
        <v>2693</v>
      </c>
      <c r="H55" s="317" t="s">
        <v>2792</v>
      </c>
      <c r="I55" s="346" t="s">
        <v>43</v>
      </c>
      <c r="J55" s="341" t="s">
        <v>2793</v>
      </c>
      <c r="K55" s="633">
        <v>0</v>
      </c>
      <c r="L55" s="633">
        <v>0</v>
      </c>
      <c r="M55" s="633">
        <v>0</v>
      </c>
      <c r="N55" s="633">
        <v>0</v>
      </c>
      <c r="O55" s="633">
        <v>0</v>
      </c>
      <c r="P55" s="633">
        <v>403874</v>
      </c>
      <c r="Q55" s="633">
        <v>0</v>
      </c>
      <c r="R55" s="633">
        <v>1888</v>
      </c>
      <c r="S55" s="633"/>
      <c r="T55" s="633"/>
      <c r="U55" s="633"/>
      <c r="V55" s="633"/>
      <c r="W55" s="633"/>
      <c r="X55" s="633"/>
      <c r="Y55" s="633">
        <f t="shared" si="1"/>
        <v>405762</v>
      </c>
      <c r="Z55" s="407">
        <v>500000</v>
      </c>
      <c r="AA55" s="635" t="s">
        <v>2769</v>
      </c>
      <c r="AB55" s="23">
        <v>44232</v>
      </c>
      <c r="AC55" s="23">
        <v>44250</v>
      </c>
      <c r="AD55" s="637">
        <v>100000</v>
      </c>
      <c r="AE55" s="19">
        <v>25</v>
      </c>
      <c r="AF55" s="315">
        <v>44312</v>
      </c>
      <c r="AG55" s="315">
        <v>44328</v>
      </c>
      <c r="AH55" s="637"/>
      <c r="AI55" s="19"/>
      <c r="AJ55" s="21"/>
      <c r="AK55" s="25"/>
      <c r="AL55" s="309"/>
      <c r="AM55" s="19"/>
      <c r="AN55" s="21"/>
      <c r="AO55" s="25"/>
      <c r="AP55" s="309"/>
      <c r="AQ55" s="19"/>
      <c r="AR55" s="21"/>
      <c r="AS55" s="25"/>
      <c r="AT55" s="638">
        <f t="shared" si="2"/>
        <v>600000</v>
      </c>
      <c r="AU55" s="311">
        <f t="shared" si="0"/>
        <v>194238</v>
      </c>
      <c r="AV55" s="148"/>
      <c r="AW55" s="148"/>
      <c r="AX55" s="148"/>
      <c r="AY55" s="148"/>
      <c r="AZ55" s="148"/>
      <c r="BA55" s="148"/>
      <c r="BB55" s="148"/>
      <c r="BC55" s="148"/>
      <c r="BD55" s="148"/>
      <c r="BE55" s="148"/>
      <c r="BF55" s="148"/>
      <c r="BG55" s="148"/>
      <c r="BH55" s="148"/>
      <c r="BI55" s="148"/>
      <c r="BJ55" s="148"/>
      <c r="BK55" s="148"/>
      <c r="BL55" s="148"/>
      <c r="BM55" s="148"/>
      <c r="BN55" s="148"/>
      <c r="BO55" s="148"/>
      <c r="BP55" s="148"/>
      <c r="BQ55" s="148"/>
      <c r="BR55" s="148"/>
      <c r="BS55" s="148"/>
      <c r="BT55" s="148"/>
      <c r="BU55" s="148"/>
      <c r="BV55" s="148"/>
      <c r="BW55" s="148"/>
      <c r="BX55" s="148"/>
      <c r="BY55" s="148"/>
      <c r="BZ55" s="148"/>
      <c r="CA55" s="148"/>
      <c r="CB55" s="148"/>
      <c r="CC55" s="148"/>
      <c r="CD55" s="148"/>
      <c r="CE55" s="148"/>
      <c r="CF55" s="148"/>
      <c r="CG55" s="148"/>
      <c r="CH55" s="148"/>
      <c r="CI55" s="148"/>
      <c r="CJ55" s="148"/>
      <c r="CK55" s="148"/>
      <c r="CL55" s="148"/>
      <c r="CM55" s="148"/>
      <c r="CN55" s="148"/>
      <c r="CO55" s="148"/>
      <c r="CP55" s="148"/>
      <c r="CQ55" s="148"/>
      <c r="CR55" s="148"/>
      <c r="CS55" s="148"/>
      <c r="CT55" s="148"/>
      <c r="CU55" s="148"/>
      <c r="CV55" s="148"/>
      <c r="CW55" s="148"/>
      <c r="CX55" s="148"/>
      <c r="CY55" s="148"/>
      <c r="CZ55" s="148"/>
      <c r="DA55" s="148"/>
      <c r="DB55" s="148"/>
      <c r="DC55" s="148"/>
      <c r="DD55" s="148"/>
      <c r="DE55" s="148"/>
      <c r="DF55" s="148"/>
      <c r="DG55" s="148"/>
      <c r="DH55" s="148"/>
      <c r="DI55" s="148"/>
      <c r="DJ55" s="148"/>
      <c r="DK55" s="148"/>
      <c r="DL55" s="148"/>
      <c r="DM55" s="148"/>
      <c r="DN55" s="148"/>
      <c r="DO55" s="148"/>
      <c r="DP55" s="148"/>
      <c r="DQ55" s="148"/>
      <c r="DR55" s="148"/>
      <c r="DS55" s="148"/>
      <c r="DT55" s="148"/>
      <c r="DU55" s="148"/>
      <c r="DV55" s="148"/>
      <c r="DW55" s="148"/>
      <c r="DX55" s="148"/>
      <c r="DY55" s="148"/>
      <c r="DZ55" s="148"/>
      <c r="EA55" s="148"/>
      <c r="EB55" s="148"/>
      <c r="EC55" s="148"/>
      <c r="ED55" s="148"/>
      <c r="EE55" s="148"/>
      <c r="EF55" s="148"/>
      <c r="EG55" s="148"/>
      <c r="EH55" s="148"/>
      <c r="EI55" s="148"/>
      <c r="EJ55" s="148"/>
      <c r="EK55" s="148"/>
      <c r="EL55" s="148"/>
      <c r="EM55" s="148"/>
      <c r="EN55" s="148"/>
      <c r="EO55" s="148"/>
      <c r="EP55" s="148"/>
      <c r="EQ55" s="148"/>
      <c r="ER55" s="148"/>
      <c r="ES55" s="148"/>
      <c r="ET55" s="148"/>
      <c r="EU55" s="148"/>
      <c r="EV55" s="148"/>
      <c r="EW55" s="148"/>
      <c r="EX55" s="148"/>
      <c r="EY55" s="148"/>
      <c r="EZ55" s="148"/>
      <c r="FA55" s="148"/>
      <c r="FB55" s="148"/>
      <c r="FC55" s="148"/>
      <c r="FD55" s="148"/>
      <c r="FE55" s="148"/>
      <c r="FF55" s="148"/>
      <c r="FG55" s="148"/>
      <c r="FH55" s="148"/>
      <c r="FI55" s="148"/>
      <c r="FJ55" s="148"/>
      <c r="FK55" s="148"/>
      <c r="FL55" s="148"/>
      <c r="FM55" s="148"/>
      <c r="FN55" s="148"/>
      <c r="FO55" s="148"/>
      <c r="FP55" s="148"/>
      <c r="FQ55" s="148"/>
      <c r="FR55" s="148"/>
      <c r="FS55" s="148"/>
      <c r="FT55" s="148"/>
      <c r="FU55" s="148"/>
      <c r="FV55" s="148"/>
      <c r="FW55" s="148"/>
      <c r="FX55" s="148"/>
      <c r="FY55" s="148"/>
      <c r="FZ55" s="148"/>
      <c r="GA55" s="148"/>
      <c r="GB55" s="148"/>
      <c r="GC55" s="148"/>
      <c r="GD55" s="148"/>
      <c r="GE55" s="148"/>
      <c r="GF55" s="148"/>
      <c r="GG55" s="148"/>
      <c r="GH55" s="148"/>
      <c r="GI55" s="148"/>
      <c r="GJ55" s="148"/>
      <c r="GK55" s="148"/>
      <c r="GL55" s="148"/>
      <c r="GM55" s="148"/>
      <c r="GN55" s="148"/>
      <c r="GO55" s="148"/>
      <c r="GP55" s="148"/>
      <c r="GQ55" s="148"/>
      <c r="GR55" s="148"/>
      <c r="GS55" s="148"/>
      <c r="GT55" s="148"/>
      <c r="GU55" s="148"/>
      <c r="GV55" s="148"/>
      <c r="GW55" s="148"/>
      <c r="GX55" s="148"/>
      <c r="GY55" s="148"/>
      <c r="GZ55" s="148"/>
      <c r="HA55" s="148"/>
      <c r="HB55" s="148"/>
      <c r="HC55" s="148"/>
      <c r="HD55" s="148"/>
      <c r="HE55" s="148"/>
      <c r="HF55" s="148"/>
      <c r="HG55" s="148"/>
      <c r="HH55" s="148"/>
      <c r="HI55" s="148"/>
      <c r="HJ55" s="148"/>
      <c r="HK55" s="148"/>
      <c r="HL55" s="148"/>
      <c r="HM55" s="148"/>
      <c r="HN55" s="148"/>
      <c r="HO55" s="148"/>
      <c r="HP55" s="148"/>
      <c r="HQ55" s="148"/>
      <c r="HR55" s="148"/>
      <c r="HS55" s="148"/>
      <c r="HT55" s="148"/>
      <c r="HU55" s="148"/>
      <c r="HV55" s="148"/>
      <c r="HW55" s="148"/>
      <c r="HX55" s="148"/>
      <c r="HY55" s="148"/>
      <c r="HZ55" s="148"/>
      <c r="IA55" s="148"/>
      <c r="IB55" s="148"/>
      <c r="IC55" s="148"/>
      <c r="ID55" s="148"/>
      <c r="IE55" s="148"/>
      <c r="IF55" s="148"/>
      <c r="IG55" s="148"/>
      <c r="IH55" s="148"/>
      <c r="II55" s="148"/>
      <c r="IJ55" s="148"/>
      <c r="IK55" s="148"/>
      <c r="IL55" s="148"/>
      <c r="IM55" s="148"/>
      <c r="IN55" s="148"/>
      <c r="IO55" s="148"/>
      <c r="IP55" s="148"/>
      <c r="IQ55" s="148"/>
      <c r="IR55" s="148"/>
      <c r="IS55" s="148"/>
      <c r="IT55" s="148"/>
      <c r="IU55" s="148"/>
      <c r="IV55" s="148"/>
      <c r="IW55" s="148"/>
      <c r="IX55" s="148"/>
      <c r="IY55" s="148"/>
      <c r="IZ55" s="148"/>
      <c r="JA55" s="148"/>
      <c r="JB55" s="148"/>
      <c r="JC55" s="148"/>
      <c r="JD55" s="148"/>
      <c r="JE55" s="148"/>
      <c r="JF55" s="148"/>
      <c r="JG55" s="148"/>
      <c r="JH55" s="148"/>
      <c r="JI55" s="148"/>
      <c r="JJ55" s="148"/>
      <c r="JK55" s="148"/>
      <c r="JL55" s="148"/>
      <c r="JM55" s="148"/>
      <c r="JN55" s="148"/>
      <c r="JO55" s="148"/>
      <c r="JP55" s="148"/>
      <c r="JQ55" s="148"/>
      <c r="JR55" s="148"/>
      <c r="JS55" s="148"/>
      <c r="JT55" s="148"/>
      <c r="JU55" s="148"/>
      <c r="JV55" s="148"/>
      <c r="JW55" s="148"/>
      <c r="JX55" s="148"/>
      <c r="JY55" s="148"/>
      <c r="JZ55" s="148"/>
      <c r="KA55" s="148"/>
      <c r="KB55" s="148"/>
      <c r="KC55" s="148"/>
      <c r="KD55" s="148"/>
      <c r="KE55" s="148"/>
      <c r="KF55" s="148"/>
      <c r="KG55" s="148"/>
      <c r="KH55" s="148"/>
      <c r="KI55" s="148"/>
      <c r="KJ55" s="148"/>
      <c r="KK55" s="148"/>
      <c r="KL55" s="148"/>
      <c r="KM55" s="148"/>
      <c r="KN55" s="148"/>
      <c r="KO55" s="148"/>
      <c r="KP55" s="148"/>
      <c r="KQ55" s="148"/>
      <c r="KR55" s="148"/>
      <c r="KS55" s="148"/>
      <c r="KT55" s="148"/>
      <c r="KU55" s="148"/>
      <c r="KV55" s="148"/>
      <c r="KW55" s="148"/>
      <c r="KX55" s="148"/>
      <c r="KY55" s="148"/>
      <c r="KZ55" s="148"/>
      <c r="LA55" s="148"/>
      <c r="LB55" s="148"/>
      <c r="LC55" s="148"/>
      <c r="LD55" s="148"/>
      <c r="LE55" s="148"/>
      <c r="LF55" s="148"/>
      <c r="LG55" s="148"/>
      <c r="LH55" s="148"/>
      <c r="LI55" s="148"/>
      <c r="LJ55" s="148"/>
      <c r="LK55" s="148"/>
      <c r="LL55" s="148"/>
      <c r="LM55" s="148"/>
      <c r="LN55" s="148"/>
      <c r="LO55" s="148"/>
      <c r="LP55" s="148"/>
      <c r="LQ55" s="148"/>
      <c r="LR55" s="148"/>
      <c r="LS55" s="148"/>
      <c r="LT55" s="148"/>
      <c r="LU55" s="148"/>
      <c r="LV55" s="148"/>
      <c r="LW55" s="148"/>
      <c r="LX55" s="148"/>
      <c r="LY55" s="148"/>
      <c r="LZ55" s="148"/>
      <c r="MA55" s="148"/>
      <c r="MB55" s="148"/>
      <c r="MC55" s="148"/>
      <c r="MD55" s="148"/>
      <c r="ME55" s="148"/>
      <c r="MF55" s="148"/>
      <c r="MG55" s="148"/>
      <c r="MH55" s="148"/>
      <c r="MI55" s="148"/>
      <c r="MJ55" s="148"/>
      <c r="MK55" s="148"/>
      <c r="ML55" s="148"/>
      <c r="MM55" s="148"/>
      <c r="MN55" s="148"/>
      <c r="MO55" s="148"/>
      <c r="MP55" s="148"/>
      <c r="MQ55" s="148"/>
      <c r="MR55" s="148"/>
      <c r="MS55" s="148"/>
      <c r="MT55" s="148"/>
      <c r="MU55" s="148"/>
      <c r="MV55" s="148"/>
      <c r="MW55" s="148"/>
      <c r="MX55" s="148"/>
      <c r="MY55" s="148"/>
      <c r="MZ55" s="148"/>
      <c r="NA55" s="148"/>
      <c r="NB55" s="148"/>
      <c r="NC55" s="148"/>
      <c r="ND55" s="148"/>
      <c r="NE55" s="148"/>
      <c r="NF55" s="148"/>
      <c r="NG55" s="148"/>
      <c r="NH55" s="148"/>
      <c r="NI55" s="148"/>
      <c r="NJ55" s="148"/>
      <c r="NK55" s="148"/>
      <c r="NL55" s="148"/>
      <c r="NM55" s="148"/>
      <c r="NN55" s="148"/>
      <c r="NO55" s="148"/>
      <c r="NP55" s="148"/>
      <c r="NQ55" s="148"/>
      <c r="NR55" s="148"/>
      <c r="NS55" s="148"/>
      <c r="NT55" s="148"/>
      <c r="NU55" s="148"/>
      <c r="NV55" s="148"/>
      <c r="NW55" s="148"/>
      <c r="NX55" s="148"/>
      <c r="NY55" s="148"/>
      <c r="NZ55" s="148"/>
      <c r="OA55" s="148"/>
      <c r="OB55" s="148"/>
      <c r="OC55" s="148"/>
      <c r="OD55" s="148"/>
      <c r="OE55" s="148"/>
      <c r="OF55" s="148"/>
      <c r="OG55" s="148"/>
      <c r="OH55" s="148"/>
      <c r="OI55" s="148"/>
      <c r="OJ55" s="148"/>
      <c r="OK55" s="148"/>
      <c r="OL55" s="148"/>
      <c r="OM55" s="148"/>
      <c r="ON55" s="148"/>
      <c r="OO55" s="148"/>
      <c r="OP55" s="148"/>
      <c r="OQ55" s="148"/>
      <c r="OR55" s="148"/>
      <c r="OS55" s="148"/>
      <c r="OT55" s="148"/>
      <c r="OU55" s="148"/>
      <c r="OV55" s="148"/>
      <c r="OW55" s="148"/>
      <c r="OX55" s="148"/>
      <c r="OY55" s="148"/>
      <c r="OZ55" s="148"/>
      <c r="PA55" s="148"/>
      <c r="PB55" s="148"/>
      <c r="PC55" s="148"/>
      <c r="PD55" s="148"/>
      <c r="PE55" s="148"/>
      <c r="PF55" s="148"/>
      <c r="PG55" s="148"/>
      <c r="PH55" s="148"/>
      <c r="PI55" s="148"/>
      <c r="PJ55" s="148"/>
      <c r="PK55" s="148"/>
      <c r="PL55" s="148"/>
      <c r="PM55" s="148"/>
      <c r="PN55" s="148"/>
      <c r="PO55" s="148"/>
      <c r="PP55" s="148"/>
      <c r="PQ55" s="148"/>
      <c r="PR55" s="148"/>
      <c r="PS55" s="148"/>
      <c r="PT55" s="148"/>
      <c r="PU55" s="148"/>
      <c r="PV55" s="148"/>
      <c r="PW55" s="148"/>
      <c r="PX55" s="148"/>
      <c r="PY55" s="148"/>
      <c r="PZ55" s="148"/>
      <c r="QA55" s="148"/>
      <c r="QB55" s="148"/>
      <c r="QC55" s="148"/>
      <c r="QD55" s="148"/>
      <c r="QE55" s="148"/>
      <c r="QF55" s="148"/>
      <c r="QG55" s="148"/>
      <c r="QH55" s="148"/>
      <c r="QI55" s="148"/>
      <c r="QJ55" s="148"/>
      <c r="QK55" s="148"/>
      <c r="QL55" s="148"/>
      <c r="QM55" s="148"/>
      <c r="QN55" s="148"/>
      <c r="QO55" s="148"/>
      <c r="QP55" s="148"/>
      <c r="QQ55" s="148"/>
      <c r="QR55" s="148"/>
      <c r="QS55" s="148"/>
      <c r="QT55" s="148"/>
      <c r="QU55" s="148"/>
      <c r="QV55" s="148"/>
      <c r="QW55" s="148"/>
      <c r="QX55" s="148"/>
      <c r="QY55" s="148"/>
      <c r="QZ55" s="148"/>
      <c r="RA55" s="148"/>
      <c r="RB55" s="148"/>
      <c r="RC55" s="148"/>
      <c r="RD55" s="148"/>
      <c r="RE55" s="148"/>
      <c r="RF55" s="148"/>
      <c r="RG55" s="148"/>
      <c r="RH55" s="148"/>
      <c r="RI55" s="148"/>
      <c r="RJ55" s="148"/>
      <c r="RK55" s="148"/>
      <c r="RL55" s="148"/>
      <c r="RM55" s="148"/>
      <c r="RN55" s="148"/>
      <c r="RO55" s="148"/>
      <c r="RP55" s="148"/>
      <c r="RQ55" s="148"/>
      <c r="RR55" s="148"/>
    </row>
    <row r="56" spans="1:486" s="15" customFormat="1" x14ac:dyDescent="0.25">
      <c r="A56" s="148"/>
      <c r="B56" s="350">
        <v>41</v>
      </c>
      <c r="C56" s="650" t="s">
        <v>894</v>
      </c>
      <c r="D56" s="631" t="s">
        <v>2794</v>
      </c>
      <c r="E56" s="344" t="s">
        <v>2795</v>
      </c>
      <c r="F56" s="344" t="s">
        <v>45</v>
      </c>
      <c r="G56" s="17" t="s">
        <v>2693</v>
      </c>
      <c r="H56" s="317" t="s">
        <v>2723</v>
      </c>
      <c r="I56" s="346" t="s">
        <v>43</v>
      </c>
      <c r="J56" s="341" t="s">
        <v>2796</v>
      </c>
      <c r="K56" s="633">
        <v>0</v>
      </c>
      <c r="L56" s="633">
        <v>0</v>
      </c>
      <c r="M56" s="633">
        <v>0</v>
      </c>
      <c r="N56" s="633">
        <v>0</v>
      </c>
      <c r="O56" s="633">
        <v>0</v>
      </c>
      <c r="P56" s="633">
        <v>0</v>
      </c>
      <c r="Q56" s="639">
        <v>60887</v>
      </c>
      <c r="R56" s="633">
        <v>102692</v>
      </c>
      <c r="S56" s="633"/>
      <c r="T56" s="633"/>
      <c r="U56" s="633"/>
      <c r="V56" s="633"/>
      <c r="W56" s="633"/>
      <c r="X56" s="633"/>
      <c r="Y56" s="633">
        <f t="shared" si="1"/>
        <v>163579</v>
      </c>
      <c r="Z56" s="407">
        <v>15000</v>
      </c>
      <c r="AA56" s="635" t="s">
        <v>2769</v>
      </c>
      <c r="AB56" s="23">
        <v>44232</v>
      </c>
      <c r="AC56" s="23">
        <v>44250</v>
      </c>
      <c r="AD56" s="637">
        <v>585000</v>
      </c>
      <c r="AE56" s="19">
        <v>25</v>
      </c>
      <c r="AF56" s="315">
        <v>44312</v>
      </c>
      <c r="AG56" s="315">
        <v>44328</v>
      </c>
      <c r="AH56" s="637"/>
      <c r="AI56" s="19"/>
      <c r="AJ56" s="21"/>
      <c r="AK56" s="25"/>
      <c r="AL56" s="309"/>
      <c r="AM56" s="19"/>
      <c r="AN56" s="21"/>
      <c r="AO56" s="25"/>
      <c r="AP56" s="309"/>
      <c r="AQ56" s="19"/>
      <c r="AR56" s="21"/>
      <c r="AS56" s="25"/>
      <c r="AT56" s="638">
        <f t="shared" si="2"/>
        <v>600000</v>
      </c>
      <c r="AU56" s="311">
        <f t="shared" si="0"/>
        <v>436421</v>
      </c>
      <c r="AV56" s="148"/>
      <c r="AW56" s="148"/>
      <c r="AX56" s="148"/>
      <c r="AY56" s="148"/>
      <c r="AZ56" s="148"/>
      <c r="BA56" s="148"/>
      <c r="BB56" s="148"/>
      <c r="BC56" s="148"/>
      <c r="BD56" s="148"/>
      <c r="BE56" s="148"/>
      <c r="BF56" s="148"/>
      <c r="BG56" s="148"/>
      <c r="BH56" s="148"/>
      <c r="BI56" s="148"/>
      <c r="BJ56" s="148"/>
      <c r="BK56" s="148"/>
      <c r="BL56" s="148"/>
      <c r="BM56" s="148"/>
      <c r="BN56" s="148"/>
      <c r="BO56" s="148"/>
      <c r="BP56" s="148"/>
      <c r="BQ56" s="148"/>
      <c r="BR56" s="148"/>
      <c r="BS56" s="148"/>
      <c r="BT56" s="148"/>
      <c r="BU56" s="148"/>
      <c r="BV56" s="148"/>
      <c r="BW56" s="148"/>
      <c r="BX56" s="148"/>
      <c r="BY56" s="148"/>
      <c r="BZ56" s="148"/>
      <c r="CA56" s="148"/>
      <c r="CB56" s="148"/>
      <c r="CC56" s="148"/>
      <c r="CD56" s="148"/>
      <c r="CE56" s="148"/>
      <c r="CF56" s="148"/>
      <c r="CG56" s="148"/>
      <c r="CH56" s="148"/>
      <c r="CI56" s="148"/>
      <c r="CJ56" s="148"/>
      <c r="CK56" s="148"/>
      <c r="CL56" s="148"/>
      <c r="CM56" s="148"/>
      <c r="CN56" s="148"/>
      <c r="CO56" s="148"/>
      <c r="CP56" s="148"/>
      <c r="CQ56" s="148"/>
      <c r="CR56" s="148"/>
      <c r="CS56" s="148"/>
      <c r="CT56" s="148"/>
      <c r="CU56" s="148"/>
      <c r="CV56" s="148"/>
      <c r="CW56" s="148"/>
      <c r="CX56" s="148"/>
      <c r="CY56" s="148"/>
      <c r="CZ56" s="148"/>
      <c r="DA56" s="148"/>
      <c r="DB56" s="148"/>
      <c r="DC56" s="148"/>
      <c r="DD56" s="148"/>
      <c r="DE56" s="148"/>
      <c r="DF56" s="148"/>
      <c r="DG56" s="148"/>
      <c r="DH56" s="148"/>
      <c r="DI56" s="148"/>
      <c r="DJ56" s="148"/>
      <c r="DK56" s="148"/>
      <c r="DL56" s="148"/>
      <c r="DM56" s="148"/>
      <c r="DN56" s="148"/>
      <c r="DO56" s="148"/>
      <c r="DP56" s="148"/>
      <c r="DQ56" s="148"/>
      <c r="DR56" s="148"/>
      <c r="DS56" s="148"/>
      <c r="DT56" s="148"/>
      <c r="DU56" s="148"/>
      <c r="DV56" s="148"/>
      <c r="DW56" s="148"/>
      <c r="DX56" s="148"/>
      <c r="DY56" s="148"/>
      <c r="DZ56" s="148"/>
      <c r="EA56" s="148"/>
      <c r="EB56" s="148"/>
      <c r="EC56" s="148"/>
      <c r="ED56" s="148"/>
      <c r="EE56" s="148"/>
      <c r="EF56" s="148"/>
      <c r="EG56" s="148"/>
      <c r="EH56" s="148"/>
      <c r="EI56" s="148"/>
      <c r="EJ56" s="148"/>
      <c r="EK56" s="148"/>
      <c r="EL56" s="148"/>
      <c r="EM56" s="148"/>
      <c r="EN56" s="148"/>
      <c r="EO56" s="148"/>
      <c r="EP56" s="148"/>
      <c r="EQ56" s="148"/>
      <c r="ER56" s="148"/>
      <c r="ES56" s="148"/>
      <c r="ET56" s="148"/>
      <c r="EU56" s="148"/>
      <c r="EV56" s="148"/>
      <c r="EW56" s="148"/>
      <c r="EX56" s="148"/>
      <c r="EY56" s="148"/>
      <c r="EZ56" s="148"/>
      <c r="FA56" s="148"/>
      <c r="FB56" s="148"/>
      <c r="FC56" s="148"/>
      <c r="FD56" s="148"/>
      <c r="FE56" s="148"/>
      <c r="FF56" s="148"/>
      <c r="FG56" s="148"/>
      <c r="FH56" s="148"/>
      <c r="FI56" s="148"/>
      <c r="FJ56" s="148"/>
      <c r="FK56" s="148"/>
      <c r="FL56" s="148"/>
      <c r="FM56" s="148"/>
      <c r="FN56" s="148"/>
      <c r="FO56" s="148"/>
      <c r="FP56" s="148"/>
      <c r="FQ56" s="148"/>
      <c r="FR56" s="148"/>
      <c r="FS56" s="148"/>
      <c r="FT56" s="148"/>
      <c r="FU56" s="148"/>
      <c r="FV56" s="148"/>
      <c r="FW56" s="148"/>
      <c r="FX56" s="148"/>
      <c r="FY56" s="148"/>
      <c r="FZ56" s="148"/>
      <c r="GA56" s="148"/>
      <c r="GB56" s="148"/>
      <c r="GC56" s="148"/>
      <c r="GD56" s="148"/>
      <c r="GE56" s="148"/>
      <c r="GF56" s="148"/>
      <c r="GG56" s="148"/>
      <c r="GH56" s="148"/>
      <c r="GI56" s="148"/>
      <c r="GJ56" s="148"/>
      <c r="GK56" s="148"/>
      <c r="GL56" s="148"/>
      <c r="GM56" s="148"/>
      <c r="GN56" s="148"/>
      <c r="GO56" s="148"/>
      <c r="GP56" s="148"/>
      <c r="GQ56" s="148"/>
      <c r="GR56" s="148"/>
      <c r="GS56" s="148"/>
      <c r="GT56" s="148"/>
      <c r="GU56" s="148"/>
      <c r="GV56" s="148"/>
      <c r="GW56" s="148"/>
      <c r="GX56" s="148"/>
      <c r="GY56" s="148"/>
      <c r="GZ56" s="148"/>
      <c r="HA56" s="148"/>
      <c r="HB56" s="148"/>
      <c r="HC56" s="148"/>
      <c r="HD56" s="148"/>
      <c r="HE56" s="148"/>
      <c r="HF56" s="148"/>
      <c r="HG56" s="148"/>
      <c r="HH56" s="148"/>
      <c r="HI56" s="148"/>
      <c r="HJ56" s="148"/>
      <c r="HK56" s="148"/>
      <c r="HL56" s="148"/>
      <c r="HM56" s="148"/>
      <c r="HN56" s="148"/>
      <c r="HO56" s="148"/>
      <c r="HP56" s="148"/>
      <c r="HQ56" s="148"/>
      <c r="HR56" s="148"/>
      <c r="HS56" s="148"/>
      <c r="HT56" s="148"/>
      <c r="HU56" s="148"/>
      <c r="HV56" s="148"/>
      <c r="HW56" s="148"/>
      <c r="HX56" s="148"/>
      <c r="HY56" s="148"/>
      <c r="HZ56" s="148"/>
      <c r="IA56" s="148"/>
      <c r="IB56" s="148"/>
      <c r="IC56" s="148"/>
      <c r="ID56" s="148"/>
      <c r="IE56" s="148"/>
      <c r="IF56" s="148"/>
      <c r="IG56" s="148"/>
      <c r="IH56" s="148"/>
      <c r="II56" s="148"/>
      <c r="IJ56" s="148"/>
      <c r="IK56" s="148"/>
      <c r="IL56" s="148"/>
      <c r="IM56" s="148"/>
      <c r="IN56" s="148"/>
      <c r="IO56" s="148"/>
      <c r="IP56" s="148"/>
      <c r="IQ56" s="148"/>
      <c r="IR56" s="148"/>
      <c r="IS56" s="148"/>
      <c r="IT56" s="148"/>
      <c r="IU56" s="148"/>
      <c r="IV56" s="148"/>
      <c r="IW56" s="148"/>
      <c r="IX56" s="148"/>
      <c r="IY56" s="148"/>
      <c r="IZ56" s="148"/>
      <c r="JA56" s="148"/>
      <c r="JB56" s="148"/>
      <c r="JC56" s="148"/>
      <c r="JD56" s="148"/>
      <c r="JE56" s="148"/>
      <c r="JF56" s="148"/>
      <c r="JG56" s="148"/>
      <c r="JH56" s="148"/>
      <c r="JI56" s="148"/>
      <c r="JJ56" s="148"/>
      <c r="JK56" s="148"/>
      <c r="JL56" s="148"/>
      <c r="JM56" s="148"/>
      <c r="JN56" s="148"/>
      <c r="JO56" s="148"/>
      <c r="JP56" s="148"/>
      <c r="JQ56" s="148"/>
      <c r="JR56" s="148"/>
      <c r="JS56" s="148"/>
      <c r="JT56" s="148"/>
      <c r="JU56" s="148"/>
      <c r="JV56" s="148"/>
      <c r="JW56" s="148"/>
      <c r="JX56" s="148"/>
      <c r="JY56" s="148"/>
      <c r="JZ56" s="148"/>
      <c r="KA56" s="148"/>
      <c r="KB56" s="148"/>
      <c r="KC56" s="148"/>
      <c r="KD56" s="148"/>
      <c r="KE56" s="148"/>
      <c r="KF56" s="148"/>
      <c r="KG56" s="148"/>
      <c r="KH56" s="148"/>
      <c r="KI56" s="148"/>
      <c r="KJ56" s="148"/>
      <c r="KK56" s="148"/>
      <c r="KL56" s="148"/>
      <c r="KM56" s="148"/>
      <c r="KN56" s="148"/>
      <c r="KO56" s="148"/>
      <c r="KP56" s="148"/>
      <c r="KQ56" s="148"/>
      <c r="KR56" s="148"/>
      <c r="KS56" s="148"/>
      <c r="KT56" s="148"/>
      <c r="KU56" s="148"/>
      <c r="KV56" s="148"/>
      <c r="KW56" s="148"/>
      <c r="KX56" s="148"/>
      <c r="KY56" s="148"/>
      <c r="KZ56" s="148"/>
      <c r="LA56" s="148"/>
      <c r="LB56" s="148"/>
      <c r="LC56" s="148"/>
      <c r="LD56" s="148"/>
      <c r="LE56" s="148"/>
      <c r="LF56" s="148"/>
      <c r="LG56" s="148"/>
      <c r="LH56" s="148"/>
      <c r="LI56" s="148"/>
      <c r="LJ56" s="148"/>
      <c r="LK56" s="148"/>
      <c r="LL56" s="148"/>
      <c r="LM56" s="148"/>
      <c r="LN56" s="148"/>
      <c r="LO56" s="148"/>
      <c r="LP56" s="148"/>
      <c r="LQ56" s="148"/>
      <c r="LR56" s="148"/>
      <c r="LS56" s="148"/>
      <c r="LT56" s="148"/>
      <c r="LU56" s="148"/>
      <c r="LV56" s="148"/>
      <c r="LW56" s="148"/>
      <c r="LX56" s="148"/>
      <c r="LY56" s="148"/>
      <c r="LZ56" s="148"/>
      <c r="MA56" s="148"/>
      <c r="MB56" s="148"/>
      <c r="MC56" s="148"/>
      <c r="MD56" s="148"/>
      <c r="ME56" s="148"/>
      <c r="MF56" s="148"/>
      <c r="MG56" s="148"/>
      <c r="MH56" s="148"/>
      <c r="MI56" s="148"/>
      <c r="MJ56" s="148"/>
      <c r="MK56" s="148"/>
      <c r="ML56" s="148"/>
      <c r="MM56" s="148"/>
      <c r="MN56" s="148"/>
      <c r="MO56" s="148"/>
      <c r="MP56" s="148"/>
      <c r="MQ56" s="148"/>
      <c r="MR56" s="148"/>
      <c r="MS56" s="148"/>
      <c r="MT56" s="148"/>
      <c r="MU56" s="148"/>
      <c r="MV56" s="148"/>
      <c r="MW56" s="148"/>
      <c r="MX56" s="148"/>
      <c r="MY56" s="148"/>
      <c r="MZ56" s="148"/>
      <c r="NA56" s="148"/>
      <c r="NB56" s="148"/>
      <c r="NC56" s="148"/>
      <c r="ND56" s="148"/>
      <c r="NE56" s="148"/>
      <c r="NF56" s="148"/>
      <c r="NG56" s="148"/>
      <c r="NH56" s="148"/>
      <c r="NI56" s="148"/>
      <c r="NJ56" s="148"/>
      <c r="NK56" s="148"/>
      <c r="NL56" s="148"/>
      <c r="NM56" s="148"/>
      <c r="NN56" s="148"/>
      <c r="NO56" s="148"/>
      <c r="NP56" s="148"/>
      <c r="NQ56" s="148"/>
      <c r="NR56" s="148"/>
      <c r="NS56" s="148"/>
      <c r="NT56" s="148"/>
      <c r="NU56" s="148"/>
      <c r="NV56" s="148"/>
      <c r="NW56" s="148"/>
      <c r="NX56" s="148"/>
      <c r="NY56" s="148"/>
      <c r="NZ56" s="148"/>
      <c r="OA56" s="148"/>
      <c r="OB56" s="148"/>
      <c r="OC56" s="148"/>
      <c r="OD56" s="148"/>
      <c r="OE56" s="148"/>
      <c r="OF56" s="148"/>
      <c r="OG56" s="148"/>
      <c r="OH56" s="148"/>
      <c r="OI56" s="148"/>
      <c r="OJ56" s="148"/>
      <c r="OK56" s="148"/>
      <c r="OL56" s="148"/>
      <c r="OM56" s="148"/>
      <c r="ON56" s="148"/>
      <c r="OO56" s="148"/>
      <c r="OP56" s="148"/>
      <c r="OQ56" s="148"/>
      <c r="OR56" s="148"/>
      <c r="OS56" s="148"/>
      <c r="OT56" s="148"/>
      <c r="OU56" s="148"/>
      <c r="OV56" s="148"/>
      <c r="OW56" s="148"/>
      <c r="OX56" s="148"/>
      <c r="OY56" s="148"/>
      <c r="OZ56" s="148"/>
      <c r="PA56" s="148"/>
      <c r="PB56" s="148"/>
      <c r="PC56" s="148"/>
      <c r="PD56" s="148"/>
      <c r="PE56" s="148"/>
      <c r="PF56" s="148"/>
      <c r="PG56" s="148"/>
      <c r="PH56" s="148"/>
      <c r="PI56" s="148"/>
      <c r="PJ56" s="148"/>
      <c r="PK56" s="148"/>
      <c r="PL56" s="148"/>
      <c r="PM56" s="148"/>
      <c r="PN56" s="148"/>
      <c r="PO56" s="148"/>
      <c r="PP56" s="148"/>
      <c r="PQ56" s="148"/>
      <c r="PR56" s="148"/>
      <c r="PS56" s="148"/>
      <c r="PT56" s="148"/>
      <c r="PU56" s="148"/>
      <c r="PV56" s="148"/>
      <c r="PW56" s="148"/>
      <c r="PX56" s="148"/>
      <c r="PY56" s="148"/>
      <c r="PZ56" s="148"/>
      <c r="QA56" s="148"/>
      <c r="QB56" s="148"/>
      <c r="QC56" s="148"/>
      <c r="QD56" s="148"/>
      <c r="QE56" s="148"/>
      <c r="QF56" s="148"/>
      <c r="QG56" s="148"/>
      <c r="QH56" s="148"/>
      <c r="QI56" s="148"/>
      <c r="QJ56" s="148"/>
      <c r="QK56" s="148"/>
      <c r="QL56" s="148"/>
      <c r="QM56" s="148"/>
      <c r="QN56" s="148"/>
      <c r="QO56" s="148"/>
      <c r="QP56" s="148"/>
      <c r="QQ56" s="148"/>
      <c r="QR56" s="148"/>
      <c r="QS56" s="148"/>
      <c r="QT56" s="148"/>
      <c r="QU56" s="148"/>
      <c r="QV56" s="148"/>
      <c r="QW56" s="148"/>
      <c r="QX56" s="148"/>
      <c r="QY56" s="148"/>
      <c r="QZ56" s="148"/>
      <c r="RA56" s="148"/>
      <c r="RB56" s="148"/>
      <c r="RC56" s="148"/>
      <c r="RD56" s="148"/>
      <c r="RE56" s="148"/>
      <c r="RF56" s="148"/>
      <c r="RG56" s="148"/>
      <c r="RH56" s="148"/>
      <c r="RI56" s="148"/>
      <c r="RJ56" s="148"/>
      <c r="RK56" s="148"/>
      <c r="RL56" s="148"/>
      <c r="RM56" s="148"/>
      <c r="RN56" s="148"/>
      <c r="RO56" s="148"/>
      <c r="RP56" s="148"/>
      <c r="RQ56" s="148"/>
      <c r="RR56" s="148"/>
    </row>
    <row r="57" spans="1:486" s="15" customFormat="1" ht="20.25" customHeight="1" x14ac:dyDescent="0.25">
      <c r="A57" s="148"/>
      <c r="B57" s="350">
        <v>42</v>
      </c>
      <c r="C57" s="650" t="s">
        <v>894</v>
      </c>
      <c r="D57" s="631">
        <v>30386411</v>
      </c>
      <c r="E57" s="344" t="s">
        <v>2797</v>
      </c>
      <c r="F57" s="344" t="s">
        <v>46</v>
      </c>
      <c r="G57" s="17" t="s">
        <v>2693</v>
      </c>
      <c r="H57" s="317" t="s">
        <v>2798</v>
      </c>
      <c r="I57" s="346" t="s">
        <v>43</v>
      </c>
      <c r="J57" s="341" t="s">
        <v>2799</v>
      </c>
      <c r="K57" s="633">
        <v>0</v>
      </c>
      <c r="L57" s="633">
        <v>24395</v>
      </c>
      <c r="M57" s="633">
        <v>0</v>
      </c>
      <c r="N57" s="633">
        <v>0</v>
      </c>
      <c r="O57" s="633">
        <v>0</v>
      </c>
      <c r="P57" s="633">
        <v>0</v>
      </c>
      <c r="Q57" s="633">
        <v>33000</v>
      </c>
      <c r="R57" s="633">
        <v>0</v>
      </c>
      <c r="S57" s="633"/>
      <c r="T57" s="633"/>
      <c r="U57" s="633"/>
      <c r="V57" s="633"/>
      <c r="W57" s="633"/>
      <c r="X57" s="633"/>
      <c r="Y57" s="633">
        <f t="shared" si="1"/>
        <v>33000</v>
      </c>
      <c r="Z57" s="407">
        <v>5000</v>
      </c>
      <c r="AA57" s="635" t="s">
        <v>2769</v>
      </c>
      <c r="AB57" s="23">
        <v>44232</v>
      </c>
      <c r="AC57" s="23">
        <v>44250</v>
      </c>
      <c r="AD57" s="637">
        <v>70000</v>
      </c>
      <c r="AE57" s="20">
        <v>9</v>
      </c>
      <c r="AF57" s="23">
        <v>44455</v>
      </c>
      <c r="AG57" s="23">
        <v>44284</v>
      </c>
      <c r="AH57" s="637"/>
      <c r="AI57" s="19"/>
      <c r="AJ57" s="21"/>
      <c r="AK57" s="25"/>
      <c r="AL57" s="309"/>
      <c r="AM57" s="19"/>
      <c r="AN57" s="21"/>
      <c r="AO57" s="25"/>
      <c r="AP57" s="309"/>
      <c r="AQ57" s="19"/>
      <c r="AR57" s="21"/>
      <c r="AS57" s="25"/>
      <c r="AT57" s="638">
        <f t="shared" si="2"/>
        <v>75000</v>
      </c>
      <c r="AU57" s="311">
        <f t="shared" si="0"/>
        <v>42000</v>
      </c>
      <c r="AV57" s="148"/>
      <c r="AW57" s="148"/>
      <c r="AX57" s="148"/>
      <c r="AY57" s="148"/>
      <c r="AZ57" s="148"/>
      <c r="BA57" s="148"/>
      <c r="BB57" s="148"/>
      <c r="BC57" s="148"/>
      <c r="BD57" s="148"/>
      <c r="BE57" s="148"/>
      <c r="BF57" s="148"/>
      <c r="BG57" s="148"/>
      <c r="BH57" s="148"/>
      <c r="BI57" s="148"/>
      <c r="BJ57" s="148"/>
      <c r="BK57" s="148"/>
      <c r="BL57" s="148"/>
      <c r="BM57" s="148"/>
      <c r="BN57" s="148"/>
      <c r="BO57" s="148"/>
      <c r="BP57" s="148"/>
      <c r="BQ57" s="148"/>
      <c r="BR57" s="148"/>
      <c r="BS57" s="148"/>
      <c r="BT57" s="148"/>
      <c r="BU57" s="148"/>
      <c r="BV57" s="148"/>
      <c r="BW57" s="148"/>
      <c r="BX57" s="148"/>
      <c r="BY57" s="148"/>
      <c r="BZ57" s="148"/>
      <c r="CA57" s="148"/>
      <c r="CB57" s="148"/>
      <c r="CC57" s="148"/>
      <c r="CD57" s="148"/>
      <c r="CE57" s="148"/>
      <c r="CF57" s="148"/>
      <c r="CG57" s="148"/>
      <c r="CH57" s="148"/>
      <c r="CI57" s="148"/>
      <c r="CJ57" s="148"/>
      <c r="CK57" s="148"/>
      <c r="CL57" s="148"/>
      <c r="CM57" s="148"/>
      <c r="CN57" s="148"/>
      <c r="CO57" s="148"/>
      <c r="CP57" s="148"/>
      <c r="CQ57" s="148"/>
      <c r="CR57" s="148"/>
      <c r="CS57" s="148"/>
      <c r="CT57" s="148"/>
      <c r="CU57" s="148"/>
      <c r="CV57" s="148"/>
      <c r="CW57" s="148"/>
      <c r="CX57" s="148"/>
      <c r="CY57" s="148"/>
      <c r="CZ57" s="148"/>
      <c r="DA57" s="148"/>
      <c r="DB57" s="148"/>
      <c r="DC57" s="148"/>
      <c r="DD57" s="148"/>
      <c r="DE57" s="148"/>
      <c r="DF57" s="148"/>
      <c r="DG57" s="148"/>
      <c r="DH57" s="148"/>
      <c r="DI57" s="148"/>
      <c r="DJ57" s="148"/>
      <c r="DK57" s="148"/>
      <c r="DL57" s="148"/>
      <c r="DM57" s="148"/>
      <c r="DN57" s="148"/>
      <c r="DO57" s="148"/>
      <c r="DP57" s="148"/>
      <c r="DQ57" s="148"/>
      <c r="DR57" s="148"/>
      <c r="DS57" s="148"/>
      <c r="DT57" s="148"/>
      <c r="DU57" s="148"/>
      <c r="DV57" s="148"/>
      <c r="DW57" s="148"/>
      <c r="DX57" s="148"/>
      <c r="DY57" s="148"/>
      <c r="DZ57" s="148"/>
      <c r="EA57" s="148"/>
      <c r="EB57" s="148"/>
      <c r="EC57" s="148"/>
      <c r="ED57" s="148"/>
      <c r="EE57" s="148"/>
      <c r="EF57" s="148"/>
      <c r="EG57" s="148"/>
      <c r="EH57" s="148"/>
      <c r="EI57" s="148"/>
      <c r="EJ57" s="148"/>
      <c r="EK57" s="148"/>
      <c r="EL57" s="148"/>
      <c r="EM57" s="148"/>
      <c r="EN57" s="148"/>
      <c r="EO57" s="148"/>
      <c r="EP57" s="148"/>
      <c r="EQ57" s="148"/>
      <c r="ER57" s="148"/>
      <c r="ES57" s="148"/>
      <c r="ET57" s="148"/>
      <c r="EU57" s="148"/>
      <c r="EV57" s="148"/>
      <c r="EW57" s="148"/>
      <c r="EX57" s="148"/>
      <c r="EY57" s="148"/>
      <c r="EZ57" s="148"/>
      <c r="FA57" s="148"/>
      <c r="FB57" s="148"/>
      <c r="FC57" s="148"/>
      <c r="FD57" s="148"/>
      <c r="FE57" s="148"/>
      <c r="FF57" s="148"/>
      <c r="FG57" s="148"/>
      <c r="FH57" s="148"/>
      <c r="FI57" s="148"/>
      <c r="FJ57" s="148"/>
      <c r="FK57" s="148"/>
      <c r="FL57" s="148"/>
      <c r="FM57" s="148"/>
      <c r="FN57" s="148"/>
      <c r="FO57" s="148"/>
      <c r="FP57" s="148"/>
      <c r="FQ57" s="148"/>
      <c r="FR57" s="148"/>
      <c r="FS57" s="148"/>
      <c r="FT57" s="148"/>
      <c r="FU57" s="148"/>
      <c r="FV57" s="148"/>
      <c r="FW57" s="148"/>
      <c r="FX57" s="148"/>
      <c r="FY57" s="148"/>
      <c r="FZ57" s="148"/>
      <c r="GA57" s="148"/>
      <c r="GB57" s="148"/>
      <c r="GC57" s="148"/>
      <c r="GD57" s="148"/>
      <c r="GE57" s="148"/>
      <c r="GF57" s="148"/>
      <c r="GG57" s="148"/>
      <c r="GH57" s="148"/>
      <c r="GI57" s="148"/>
      <c r="GJ57" s="148"/>
      <c r="GK57" s="148"/>
      <c r="GL57" s="148"/>
      <c r="GM57" s="148"/>
      <c r="GN57" s="148"/>
      <c r="GO57" s="148"/>
      <c r="GP57" s="148"/>
      <c r="GQ57" s="148"/>
      <c r="GR57" s="148"/>
      <c r="GS57" s="148"/>
      <c r="GT57" s="148"/>
      <c r="GU57" s="148"/>
      <c r="GV57" s="148"/>
      <c r="GW57" s="148"/>
      <c r="GX57" s="148"/>
      <c r="GY57" s="148"/>
      <c r="GZ57" s="148"/>
      <c r="HA57" s="148"/>
      <c r="HB57" s="148"/>
      <c r="HC57" s="148"/>
      <c r="HD57" s="148"/>
      <c r="HE57" s="148"/>
      <c r="HF57" s="148"/>
      <c r="HG57" s="148"/>
      <c r="HH57" s="148"/>
      <c r="HI57" s="148"/>
      <c r="HJ57" s="148"/>
      <c r="HK57" s="148"/>
      <c r="HL57" s="148"/>
      <c r="HM57" s="148"/>
      <c r="HN57" s="148"/>
      <c r="HO57" s="148"/>
      <c r="HP57" s="148"/>
      <c r="HQ57" s="148"/>
      <c r="HR57" s="148"/>
      <c r="HS57" s="148"/>
      <c r="HT57" s="148"/>
      <c r="HU57" s="148"/>
      <c r="HV57" s="148"/>
      <c r="HW57" s="148"/>
      <c r="HX57" s="148"/>
      <c r="HY57" s="148"/>
      <c r="HZ57" s="148"/>
      <c r="IA57" s="148"/>
      <c r="IB57" s="148"/>
      <c r="IC57" s="148"/>
      <c r="ID57" s="148"/>
      <c r="IE57" s="148"/>
      <c r="IF57" s="148"/>
      <c r="IG57" s="148"/>
      <c r="IH57" s="148"/>
      <c r="II57" s="148"/>
      <c r="IJ57" s="148"/>
      <c r="IK57" s="148"/>
      <c r="IL57" s="148"/>
      <c r="IM57" s="148"/>
      <c r="IN57" s="148"/>
      <c r="IO57" s="148"/>
      <c r="IP57" s="148"/>
      <c r="IQ57" s="148"/>
      <c r="IR57" s="148"/>
      <c r="IS57" s="148"/>
      <c r="IT57" s="148"/>
      <c r="IU57" s="148"/>
      <c r="IV57" s="148"/>
      <c r="IW57" s="148"/>
      <c r="IX57" s="148"/>
      <c r="IY57" s="148"/>
      <c r="IZ57" s="148"/>
      <c r="JA57" s="148"/>
      <c r="JB57" s="148"/>
      <c r="JC57" s="148"/>
      <c r="JD57" s="148"/>
      <c r="JE57" s="148"/>
      <c r="JF57" s="148"/>
      <c r="JG57" s="148"/>
      <c r="JH57" s="148"/>
      <c r="JI57" s="148"/>
      <c r="JJ57" s="148"/>
      <c r="JK57" s="148"/>
      <c r="JL57" s="148"/>
      <c r="JM57" s="148"/>
      <c r="JN57" s="148"/>
      <c r="JO57" s="148"/>
      <c r="JP57" s="148"/>
      <c r="JQ57" s="148"/>
      <c r="JR57" s="148"/>
      <c r="JS57" s="148"/>
      <c r="JT57" s="148"/>
      <c r="JU57" s="148"/>
      <c r="JV57" s="148"/>
      <c r="JW57" s="148"/>
      <c r="JX57" s="148"/>
      <c r="JY57" s="148"/>
      <c r="JZ57" s="148"/>
      <c r="KA57" s="148"/>
      <c r="KB57" s="148"/>
      <c r="KC57" s="148"/>
      <c r="KD57" s="148"/>
      <c r="KE57" s="148"/>
      <c r="KF57" s="148"/>
      <c r="KG57" s="148"/>
      <c r="KH57" s="148"/>
      <c r="KI57" s="148"/>
      <c r="KJ57" s="148"/>
      <c r="KK57" s="148"/>
      <c r="KL57" s="148"/>
      <c r="KM57" s="148"/>
      <c r="KN57" s="148"/>
      <c r="KO57" s="148"/>
      <c r="KP57" s="148"/>
      <c r="KQ57" s="148"/>
      <c r="KR57" s="148"/>
      <c r="KS57" s="148"/>
      <c r="KT57" s="148"/>
      <c r="KU57" s="148"/>
      <c r="KV57" s="148"/>
      <c r="KW57" s="148"/>
      <c r="KX57" s="148"/>
      <c r="KY57" s="148"/>
      <c r="KZ57" s="148"/>
      <c r="LA57" s="148"/>
      <c r="LB57" s="148"/>
      <c r="LC57" s="148"/>
      <c r="LD57" s="148"/>
      <c r="LE57" s="148"/>
      <c r="LF57" s="148"/>
      <c r="LG57" s="148"/>
      <c r="LH57" s="148"/>
      <c r="LI57" s="148"/>
      <c r="LJ57" s="148"/>
      <c r="LK57" s="148"/>
      <c r="LL57" s="148"/>
      <c r="LM57" s="148"/>
      <c r="LN57" s="148"/>
      <c r="LO57" s="148"/>
      <c r="LP57" s="148"/>
      <c r="LQ57" s="148"/>
      <c r="LR57" s="148"/>
      <c r="LS57" s="148"/>
      <c r="LT57" s="148"/>
      <c r="LU57" s="148"/>
      <c r="LV57" s="148"/>
      <c r="LW57" s="148"/>
      <c r="LX57" s="148"/>
      <c r="LY57" s="148"/>
      <c r="LZ57" s="148"/>
      <c r="MA57" s="148"/>
      <c r="MB57" s="148"/>
      <c r="MC57" s="148"/>
      <c r="MD57" s="148"/>
      <c r="ME57" s="148"/>
      <c r="MF57" s="148"/>
      <c r="MG57" s="148"/>
      <c r="MH57" s="148"/>
      <c r="MI57" s="148"/>
      <c r="MJ57" s="148"/>
      <c r="MK57" s="148"/>
      <c r="ML57" s="148"/>
      <c r="MM57" s="148"/>
      <c r="MN57" s="148"/>
      <c r="MO57" s="148"/>
      <c r="MP57" s="148"/>
      <c r="MQ57" s="148"/>
      <c r="MR57" s="148"/>
      <c r="MS57" s="148"/>
      <c r="MT57" s="148"/>
      <c r="MU57" s="148"/>
      <c r="MV57" s="148"/>
      <c r="MW57" s="148"/>
      <c r="MX57" s="148"/>
      <c r="MY57" s="148"/>
      <c r="MZ57" s="148"/>
      <c r="NA57" s="148"/>
      <c r="NB57" s="148"/>
      <c r="NC57" s="148"/>
      <c r="ND57" s="148"/>
      <c r="NE57" s="148"/>
      <c r="NF57" s="148"/>
      <c r="NG57" s="148"/>
      <c r="NH57" s="148"/>
      <c r="NI57" s="148"/>
      <c r="NJ57" s="148"/>
      <c r="NK57" s="148"/>
      <c r="NL57" s="148"/>
      <c r="NM57" s="148"/>
      <c r="NN57" s="148"/>
      <c r="NO57" s="148"/>
      <c r="NP57" s="148"/>
      <c r="NQ57" s="148"/>
      <c r="NR57" s="148"/>
      <c r="NS57" s="148"/>
      <c r="NT57" s="148"/>
      <c r="NU57" s="148"/>
      <c r="NV57" s="148"/>
      <c r="NW57" s="148"/>
      <c r="NX57" s="148"/>
      <c r="NY57" s="148"/>
      <c r="NZ57" s="148"/>
      <c r="OA57" s="148"/>
      <c r="OB57" s="148"/>
      <c r="OC57" s="148"/>
      <c r="OD57" s="148"/>
      <c r="OE57" s="148"/>
      <c r="OF57" s="148"/>
      <c r="OG57" s="148"/>
      <c r="OH57" s="148"/>
      <c r="OI57" s="148"/>
      <c r="OJ57" s="148"/>
      <c r="OK57" s="148"/>
      <c r="OL57" s="148"/>
      <c r="OM57" s="148"/>
      <c r="ON57" s="148"/>
      <c r="OO57" s="148"/>
      <c r="OP57" s="148"/>
      <c r="OQ57" s="148"/>
      <c r="OR57" s="148"/>
      <c r="OS57" s="148"/>
      <c r="OT57" s="148"/>
      <c r="OU57" s="148"/>
      <c r="OV57" s="148"/>
      <c r="OW57" s="148"/>
      <c r="OX57" s="148"/>
      <c r="OY57" s="148"/>
      <c r="OZ57" s="148"/>
      <c r="PA57" s="148"/>
      <c r="PB57" s="148"/>
      <c r="PC57" s="148"/>
      <c r="PD57" s="148"/>
      <c r="PE57" s="148"/>
      <c r="PF57" s="148"/>
      <c r="PG57" s="148"/>
      <c r="PH57" s="148"/>
      <c r="PI57" s="148"/>
      <c r="PJ57" s="148"/>
      <c r="PK57" s="148"/>
      <c r="PL57" s="148"/>
      <c r="PM57" s="148"/>
      <c r="PN57" s="148"/>
      <c r="PO57" s="148"/>
      <c r="PP57" s="148"/>
      <c r="PQ57" s="148"/>
      <c r="PR57" s="148"/>
      <c r="PS57" s="148"/>
      <c r="PT57" s="148"/>
      <c r="PU57" s="148"/>
      <c r="PV57" s="148"/>
      <c r="PW57" s="148"/>
      <c r="PX57" s="148"/>
      <c r="PY57" s="148"/>
      <c r="PZ57" s="148"/>
      <c r="QA57" s="148"/>
      <c r="QB57" s="148"/>
      <c r="QC57" s="148"/>
      <c r="QD57" s="148"/>
      <c r="QE57" s="148"/>
      <c r="QF57" s="148"/>
      <c r="QG57" s="148"/>
      <c r="QH57" s="148"/>
      <c r="QI57" s="148"/>
      <c r="QJ57" s="148"/>
      <c r="QK57" s="148"/>
      <c r="QL57" s="148"/>
      <c r="QM57" s="148"/>
      <c r="QN57" s="148"/>
      <c r="QO57" s="148"/>
      <c r="QP57" s="148"/>
      <c r="QQ57" s="148"/>
      <c r="QR57" s="148"/>
      <c r="QS57" s="148"/>
      <c r="QT57" s="148"/>
      <c r="QU57" s="148"/>
      <c r="QV57" s="148"/>
      <c r="QW57" s="148"/>
      <c r="QX57" s="148"/>
      <c r="QY57" s="148"/>
      <c r="QZ57" s="148"/>
      <c r="RA57" s="148"/>
      <c r="RB57" s="148"/>
      <c r="RC57" s="148"/>
      <c r="RD57" s="148"/>
      <c r="RE57" s="148"/>
      <c r="RF57" s="148"/>
      <c r="RG57" s="148"/>
      <c r="RH57" s="148"/>
      <c r="RI57" s="148"/>
      <c r="RJ57" s="148"/>
      <c r="RK57" s="148"/>
      <c r="RL57" s="148"/>
      <c r="RM57" s="148"/>
      <c r="RN57" s="148"/>
      <c r="RO57" s="148"/>
      <c r="RP57" s="148"/>
      <c r="RQ57" s="148"/>
      <c r="RR57" s="148"/>
    </row>
    <row r="58" spans="1:486" s="15" customFormat="1" ht="21" customHeight="1" x14ac:dyDescent="0.25">
      <c r="A58" s="148"/>
      <c r="B58" s="350">
        <v>43</v>
      </c>
      <c r="C58" s="650" t="s">
        <v>894</v>
      </c>
      <c r="D58" s="631">
        <v>30479905</v>
      </c>
      <c r="E58" s="344" t="s">
        <v>2800</v>
      </c>
      <c r="F58" s="344" t="s">
        <v>46</v>
      </c>
      <c r="G58" s="17" t="s">
        <v>2693</v>
      </c>
      <c r="H58" s="317" t="s">
        <v>2715</v>
      </c>
      <c r="I58" s="346" t="s">
        <v>43</v>
      </c>
      <c r="J58" s="341" t="s">
        <v>2801</v>
      </c>
      <c r="K58" s="633">
        <v>0</v>
      </c>
      <c r="L58" s="633">
        <v>0</v>
      </c>
      <c r="M58" s="633">
        <v>0</v>
      </c>
      <c r="N58" s="633">
        <v>0</v>
      </c>
      <c r="O58" s="633">
        <v>0</v>
      </c>
      <c r="P58" s="633">
        <v>0</v>
      </c>
      <c r="Q58" s="633">
        <v>0</v>
      </c>
      <c r="R58" s="633">
        <v>0</v>
      </c>
      <c r="S58" s="633"/>
      <c r="T58" s="633"/>
      <c r="U58" s="633"/>
      <c r="V58" s="633"/>
      <c r="W58" s="633"/>
      <c r="X58" s="633"/>
      <c r="Y58" s="633">
        <f t="shared" si="1"/>
        <v>0</v>
      </c>
      <c r="Z58" s="407">
        <v>10000</v>
      </c>
      <c r="AA58" s="635" t="s">
        <v>2769</v>
      </c>
      <c r="AB58" s="23">
        <v>44232</v>
      </c>
      <c r="AC58" s="23">
        <v>44250</v>
      </c>
      <c r="AD58" s="637"/>
      <c r="AE58" s="20"/>
      <c r="AF58" s="21"/>
      <c r="AG58" s="23"/>
      <c r="AH58" s="637"/>
      <c r="AI58" s="19"/>
      <c r="AJ58" s="21"/>
      <c r="AK58" s="25"/>
      <c r="AL58" s="309"/>
      <c r="AM58" s="19"/>
      <c r="AN58" s="21"/>
      <c r="AO58" s="25"/>
      <c r="AP58" s="309"/>
      <c r="AQ58" s="19"/>
      <c r="AR58" s="21"/>
      <c r="AS58" s="25"/>
      <c r="AT58" s="638">
        <f t="shared" si="2"/>
        <v>10000</v>
      </c>
      <c r="AU58" s="311">
        <f t="shared" si="0"/>
        <v>10000</v>
      </c>
      <c r="AV58" s="148"/>
      <c r="AW58" s="148"/>
      <c r="AX58" s="148"/>
      <c r="AY58" s="148"/>
      <c r="AZ58" s="148"/>
      <c r="BA58" s="148"/>
      <c r="BB58" s="148"/>
      <c r="BC58" s="148"/>
      <c r="BD58" s="148"/>
      <c r="BE58" s="148"/>
      <c r="BF58" s="148"/>
      <c r="BG58" s="148"/>
      <c r="BH58" s="148"/>
      <c r="BI58" s="148"/>
      <c r="BJ58" s="148"/>
      <c r="BK58" s="148"/>
      <c r="BL58" s="148"/>
      <c r="BM58" s="148"/>
      <c r="BN58" s="148"/>
      <c r="BO58" s="148"/>
      <c r="BP58" s="148"/>
      <c r="BQ58" s="148"/>
      <c r="BR58" s="148"/>
      <c r="BS58" s="148"/>
      <c r="BT58" s="148"/>
      <c r="BU58" s="148"/>
      <c r="BV58" s="148"/>
      <c r="BW58" s="148"/>
      <c r="BX58" s="148"/>
      <c r="BY58" s="148"/>
      <c r="BZ58" s="148"/>
      <c r="CA58" s="148"/>
      <c r="CB58" s="148"/>
      <c r="CC58" s="148"/>
      <c r="CD58" s="148"/>
      <c r="CE58" s="148"/>
      <c r="CF58" s="148"/>
      <c r="CG58" s="148"/>
      <c r="CH58" s="148"/>
      <c r="CI58" s="148"/>
      <c r="CJ58" s="148"/>
      <c r="CK58" s="148"/>
      <c r="CL58" s="148"/>
      <c r="CM58" s="148"/>
      <c r="CN58" s="148"/>
      <c r="CO58" s="148"/>
      <c r="CP58" s="148"/>
      <c r="CQ58" s="148"/>
      <c r="CR58" s="148"/>
      <c r="CS58" s="148"/>
      <c r="CT58" s="148"/>
      <c r="CU58" s="148"/>
      <c r="CV58" s="148"/>
      <c r="CW58" s="148"/>
      <c r="CX58" s="148"/>
      <c r="CY58" s="148"/>
      <c r="CZ58" s="148"/>
      <c r="DA58" s="148"/>
      <c r="DB58" s="148"/>
      <c r="DC58" s="148"/>
      <c r="DD58" s="148"/>
      <c r="DE58" s="148"/>
      <c r="DF58" s="148"/>
      <c r="DG58" s="148"/>
      <c r="DH58" s="148"/>
      <c r="DI58" s="148"/>
      <c r="DJ58" s="148"/>
      <c r="DK58" s="148"/>
      <c r="DL58" s="148"/>
      <c r="DM58" s="148"/>
      <c r="DN58" s="148"/>
      <c r="DO58" s="148"/>
      <c r="DP58" s="148"/>
      <c r="DQ58" s="148"/>
      <c r="DR58" s="148"/>
      <c r="DS58" s="148"/>
      <c r="DT58" s="148"/>
      <c r="DU58" s="148"/>
      <c r="DV58" s="148"/>
      <c r="DW58" s="148"/>
      <c r="DX58" s="148"/>
      <c r="DY58" s="148"/>
      <c r="DZ58" s="148"/>
      <c r="EA58" s="148"/>
      <c r="EB58" s="148"/>
      <c r="EC58" s="148"/>
      <c r="ED58" s="148"/>
      <c r="EE58" s="148"/>
      <c r="EF58" s="148"/>
      <c r="EG58" s="148"/>
      <c r="EH58" s="148"/>
      <c r="EI58" s="148"/>
      <c r="EJ58" s="148"/>
      <c r="EK58" s="148"/>
      <c r="EL58" s="148"/>
      <c r="EM58" s="148"/>
      <c r="EN58" s="148"/>
      <c r="EO58" s="148"/>
      <c r="EP58" s="148"/>
      <c r="EQ58" s="148"/>
      <c r="ER58" s="148"/>
      <c r="ES58" s="148"/>
      <c r="ET58" s="148"/>
      <c r="EU58" s="148"/>
      <c r="EV58" s="148"/>
      <c r="EW58" s="148"/>
      <c r="EX58" s="148"/>
      <c r="EY58" s="148"/>
      <c r="EZ58" s="148"/>
      <c r="FA58" s="148"/>
      <c r="FB58" s="148"/>
      <c r="FC58" s="148"/>
      <c r="FD58" s="148"/>
      <c r="FE58" s="148"/>
      <c r="FF58" s="148"/>
      <c r="FG58" s="148"/>
      <c r="FH58" s="148"/>
      <c r="FI58" s="148"/>
      <c r="FJ58" s="148"/>
      <c r="FK58" s="148"/>
      <c r="FL58" s="148"/>
      <c r="FM58" s="148"/>
      <c r="FN58" s="148"/>
      <c r="FO58" s="148"/>
      <c r="FP58" s="148"/>
      <c r="FQ58" s="148"/>
      <c r="FR58" s="148"/>
      <c r="FS58" s="148"/>
      <c r="FT58" s="148"/>
      <c r="FU58" s="148"/>
      <c r="FV58" s="148"/>
      <c r="FW58" s="148"/>
      <c r="FX58" s="148"/>
      <c r="FY58" s="148"/>
      <c r="FZ58" s="148"/>
      <c r="GA58" s="148"/>
      <c r="GB58" s="148"/>
      <c r="GC58" s="148"/>
      <c r="GD58" s="148"/>
      <c r="GE58" s="148"/>
      <c r="GF58" s="148"/>
      <c r="GG58" s="148"/>
      <c r="GH58" s="148"/>
      <c r="GI58" s="148"/>
      <c r="GJ58" s="148"/>
      <c r="GK58" s="148"/>
      <c r="GL58" s="148"/>
      <c r="GM58" s="148"/>
      <c r="GN58" s="148"/>
      <c r="GO58" s="148"/>
      <c r="GP58" s="148"/>
      <c r="GQ58" s="148"/>
      <c r="GR58" s="148"/>
      <c r="GS58" s="148"/>
      <c r="GT58" s="148"/>
      <c r="GU58" s="148"/>
      <c r="GV58" s="148"/>
      <c r="GW58" s="148"/>
      <c r="GX58" s="148"/>
      <c r="GY58" s="148"/>
      <c r="GZ58" s="148"/>
      <c r="HA58" s="148"/>
      <c r="HB58" s="148"/>
      <c r="HC58" s="148"/>
      <c r="HD58" s="148"/>
      <c r="HE58" s="148"/>
      <c r="HF58" s="148"/>
      <c r="HG58" s="148"/>
      <c r="HH58" s="148"/>
      <c r="HI58" s="148"/>
      <c r="HJ58" s="148"/>
      <c r="HK58" s="148"/>
      <c r="HL58" s="148"/>
      <c r="HM58" s="148"/>
      <c r="HN58" s="148"/>
      <c r="HO58" s="148"/>
      <c r="HP58" s="148"/>
      <c r="HQ58" s="148"/>
      <c r="HR58" s="148"/>
      <c r="HS58" s="148"/>
      <c r="HT58" s="148"/>
      <c r="HU58" s="148"/>
      <c r="HV58" s="148"/>
      <c r="HW58" s="148"/>
      <c r="HX58" s="148"/>
      <c r="HY58" s="148"/>
      <c r="HZ58" s="148"/>
      <c r="IA58" s="148"/>
      <c r="IB58" s="148"/>
      <c r="IC58" s="148"/>
      <c r="ID58" s="148"/>
      <c r="IE58" s="148"/>
      <c r="IF58" s="148"/>
      <c r="IG58" s="148"/>
      <c r="IH58" s="148"/>
      <c r="II58" s="148"/>
      <c r="IJ58" s="148"/>
      <c r="IK58" s="148"/>
      <c r="IL58" s="148"/>
      <c r="IM58" s="148"/>
      <c r="IN58" s="148"/>
      <c r="IO58" s="148"/>
      <c r="IP58" s="148"/>
      <c r="IQ58" s="148"/>
      <c r="IR58" s="148"/>
      <c r="IS58" s="148"/>
      <c r="IT58" s="148"/>
      <c r="IU58" s="148"/>
      <c r="IV58" s="148"/>
      <c r="IW58" s="148"/>
      <c r="IX58" s="148"/>
      <c r="IY58" s="148"/>
      <c r="IZ58" s="148"/>
      <c r="JA58" s="148"/>
      <c r="JB58" s="148"/>
      <c r="JC58" s="148"/>
      <c r="JD58" s="148"/>
      <c r="JE58" s="148"/>
      <c r="JF58" s="148"/>
      <c r="JG58" s="148"/>
      <c r="JH58" s="148"/>
      <c r="JI58" s="148"/>
      <c r="JJ58" s="148"/>
      <c r="JK58" s="148"/>
      <c r="JL58" s="148"/>
      <c r="JM58" s="148"/>
      <c r="JN58" s="148"/>
      <c r="JO58" s="148"/>
      <c r="JP58" s="148"/>
      <c r="JQ58" s="148"/>
      <c r="JR58" s="148"/>
      <c r="JS58" s="148"/>
      <c r="JT58" s="148"/>
      <c r="JU58" s="148"/>
      <c r="JV58" s="148"/>
      <c r="JW58" s="148"/>
      <c r="JX58" s="148"/>
      <c r="JY58" s="148"/>
      <c r="JZ58" s="148"/>
      <c r="KA58" s="148"/>
      <c r="KB58" s="148"/>
      <c r="KC58" s="148"/>
      <c r="KD58" s="148"/>
      <c r="KE58" s="148"/>
      <c r="KF58" s="148"/>
      <c r="KG58" s="148"/>
      <c r="KH58" s="148"/>
      <c r="KI58" s="148"/>
      <c r="KJ58" s="148"/>
      <c r="KK58" s="148"/>
      <c r="KL58" s="148"/>
      <c r="KM58" s="148"/>
      <c r="KN58" s="148"/>
      <c r="KO58" s="148"/>
      <c r="KP58" s="148"/>
      <c r="KQ58" s="148"/>
      <c r="KR58" s="148"/>
      <c r="KS58" s="148"/>
      <c r="KT58" s="148"/>
      <c r="KU58" s="148"/>
      <c r="KV58" s="148"/>
      <c r="KW58" s="148"/>
      <c r="KX58" s="148"/>
      <c r="KY58" s="148"/>
      <c r="KZ58" s="148"/>
      <c r="LA58" s="148"/>
      <c r="LB58" s="148"/>
      <c r="LC58" s="148"/>
      <c r="LD58" s="148"/>
      <c r="LE58" s="148"/>
      <c r="LF58" s="148"/>
      <c r="LG58" s="148"/>
      <c r="LH58" s="148"/>
      <c r="LI58" s="148"/>
      <c r="LJ58" s="148"/>
      <c r="LK58" s="148"/>
      <c r="LL58" s="148"/>
      <c r="LM58" s="148"/>
      <c r="LN58" s="148"/>
      <c r="LO58" s="148"/>
      <c r="LP58" s="148"/>
      <c r="LQ58" s="148"/>
      <c r="LR58" s="148"/>
      <c r="LS58" s="148"/>
      <c r="LT58" s="148"/>
      <c r="LU58" s="148"/>
      <c r="LV58" s="148"/>
      <c r="LW58" s="148"/>
      <c r="LX58" s="148"/>
      <c r="LY58" s="148"/>
      <c r="LZ58" s="148"/>
      <c r="MA58" s="148"/>
      <c r="MB58" s="148"/>
      <c r="MC58" s="148"/>
      <c r="MD58" s="148"/>
      <c r="ME58" s="148"/>
      <c r="MF58" s="148"/>
      <c r="MG58" s="148"/>
      <c r="MH58" s="148"/>
      <c r="MI58" s="148"/>
      <c r="MJ58" s="148"/>
      <c r="MK58" s="148"/>
      <c r="ML58" s="148"/>
      <c r="MM58" s="148"/>
      <c r="MN58" s="148"/>
      <c r="MO58" s="148"/>
      <c r="MP58" s="148"/>
      <c r="MQ58" s="148"/>
      <c r="MR58" s="148"/>
      <c r="MS58" s="148"/>
      <c r="MT58" s="148"/>
      <c r="MU58" s="148"/>
      <c r="MV58" s="148"/>
      <c r="MW58" s="148"/>
      <c r="MX58" s="148"/>
      <c r="MY58" s="148"/>
      <c r="MZ58" s="148"/>
      <c r="NA58" s="148"/>
      <c r="NB58" s="148"/>
      <c r="NC58" s="148"/>
      <c r="ND58" s="148"/>
      <c r="NE58" s="148"/>
      <c r="NF58" s="148"/>
      <c r="NG58" s="148"/>
      <c r="NH58" s="148"/>
      <c r="NI58" s="148"/>
      <c r="NJ58" s="148"/>
      <c r="NK58" s="148"/>
      <c r="NL58" s="148"/>
      <c r="NM58" s="148"/>
      <c r="NN58" s="148"/>
      <c r="NO58" s="148"/>
      <c r="NP58" s="148"/>
      <c r="NQ58" s="148"/>
      <c r="NR58" s="148"/>
      <c r="NS58" s="148"/>
      <c r="NT58" s="148"/>
      <c r="NU58" s="148"/>
      <c r="NV58" s="148"/>
      <c r="NW58" s="148"/>
      <c r="NX58" s="148"/>
      <c r="NY58" s="148"/>
      <c r="NZ58" s="148"/>
      <c r="OA58" s="148"/>
      <c r="OB58" s="148"/>
      <c r="OC58" s="148"/>
      <c r="OD58" s="148"/>
      <c r="OE58" s="148"/>
      <c r="OF58" s="148"/>
      <c r="OG58" s="148"/>
      <c r="OH58" s="148"/>
      <c r="OI58" s="148"/>
      <c r="OJ58" s="148"/>
      <c r="OK58" s="148"/>
      <c r="OL58" s="148"/>
      <c r="OM58" s="148"/>
      <c r="ON58" s="148"/>
      <c r="OO58" s="148"/>
      <c r="OP58" s="148"/>
      <c r="OQ58" s="148"/>
      <c r="OR58" s="148"/>
      <c r="OS58" s="148"/>
      <c r="OT58" s="148"/>
      <c r="OU58" s="148"/>
      <c r="OV58" s="148"/>
      <c r="OW58" s="148"/>
      <c r="OX58" s="148"/>
      <c r="OY58" s="148"/>
      <c r="OZ58" s="148"/>
      <c r="PA58" s="148"/>
      <c r="PB58" s="148"/>
      <c r="PC58" s="148"/>
      <c r="PD58" s="148"/>
      <c r="PE58" s="148"/>
      <c r="PF58" s="148"/>
      <c r="PG58" s="148"/>
      <c r="PH58" s="148"/>
      <c r="PI58" s="148"/>
      <c r="PJ58" s="148"/>
      <c r="PK58" s="148"/>
      <c r="PL58" s="148"/>
      <c r="PM58" s="148"/>
      <c r="PN58" s="148"/>
      <c r="PO58" s="148"/>
      <c r="PP58" s="148"/>
      <c r="PQ58" s="148"/>
      <c r="PR58" s="148"/>
      <c r="PS58" s="148"/>
      <c r="PT58" s="148"/>
      <c r="PU58" s="148"/>
      <c r="PV58" s="148"/>
      <c r="PW58" s="148"/>
      <c r="PX58" s="148"/>
      <c r="PY58" s="148"/>
      <c r="PZ58" s="148"/>
      <c r="QA58" s="148"/>
      <c r="QB58" s="148"/>
      <c r="QC58" s="148"/>
      <c r="QD58" s="148"/>
      <c r="QE58" s="148"/>
      <c r="QF58" s="148"/>
      <c r="QG58" s="148"/>
      <c r="QH58" s="148"/>
      <c r="QI58" s="148"/>
      <c r="QJ58" s="148"/>
      <c r="QK58" s="148"/>
      <c r="QL58" s="148"/>
      <c r="QM58" s="148"/>
      <c r="QN58" s="148"/>
      <c r="QO58" s="148"/>
      <c r="QP58" s="148"/>
      <c r="QQ58" s="148"/>
      <c r="QR58" s="148"/>
      <c r="QS58" s="148"/>
      <c r="QT58" s="148"/>
      <c r="QU58" s="148"/>
      <c r="QV58" s="148"/>
      <c r="QW58" s="148"/>
      <c r="QX58" s="148"/>
      <c r="QY58" s="148"/>
      <c r="QZ58" s="148"/>
      <c r="RA58" s="148"/>
      <c r="RB58" s="148"/>
      <c r="RC58" s="148"/>
      <c r="RD58" s="148"/>
      <c r="RE58" s="148"/>
      <c r="RF58" s="148"/>
      <c r="RG58" s="148"/>
      <c r="RH58" s="148"/>
      <c r="RI58" s="148"/>
      <c r="RJ58" s="148"/>
      <c r="RK58" s="148"/>
      <c r="RL58" s="148"/>
      <c r="RM58" s="148"/>
      <c r="RN58" s="148"/>
      <c r="RO58" s="148"/>
      <c r="RP58" s="148"/>
      <c r="RQ58" s="148"/>
      <c r="RR58" s="148"/>
    </row>
    <row r="59" spans="1:486" s="15" customFormat="1" x14ac:dyDescent="0.25">
      <c r="A59" s="148"/>
      <c r="B59" s="350">
        <v>44</v>
      </c>
      <c r="C59" s="650" t="s">
        <v>894</v>
      </c>
      <c r="D59" s="631">
        <v>30480682</v>
      </c>
      <c r="E59" s="344" t="s">
        <v>2802</v>
      </c>
      <c r="F59" s="344" t="s">
        <v>45</v>
      </c>
      <c r="G59" s="17" t="s">
        <v>2693</v>
      </c>
      <c r="H59" s="317" t="s">
        <v>2792</v>
      </c>
      <c r="I59" s="346" t="s">
        <v>43</v>
      </c>
      <c r="J59" s="341" t="s">
        <v>2803</v>
      </c>
      <c r="K59" s="633">
        <v>0</v>
      </c>
      <c r="L59" s="633">
        <v>0</v>
      </c>
      <c r="M59" s="633">
        <v>0</v>
      </c>
      <c r="N59" s="633">
        <v>0</v>
      </c>
      <c r="O59" s="633">
        <v>0</v>
      </c>
      <c r="P59" s="633">
        <v>0</v>
      </c>
      <c r="Q59" s="633">
        <v>0</v>
      </c>
      <c r="R59" s="633">
        <v>0</v>
      </c>
      <c r="S59" s="633"/>
      <c r="T59" s="633"/>
      <c r="U59" s="633"/>
      <c r="V59" s="633"/>
      <c r="W59" s="633"/>
      <c r="X59" s="633"/>
      <c r="Y59" s="633">
        <f t="shared" si="1"/>
        <v>0</v>
      </c>
      <c r="Z59" s="407">
        <v>100000</v>
      </c>
      <c r="AA59" s="635" t="s">
        <v>2769</v>
      </c>
      <c r="AB59" s="23">
        <v>44232</v>
      </c>
      <c r="AC59" s="23">
        <v>44250</v>
      </c>
      <c r="AD59" s="637"/>
      <c r="AE59" s="20"/>
      <c r="AF59" s="21"/>
      <c r="AG59" s="23"/>
      <c r="AH59" s="637"/>
      <c r="AI59" s="19"/>
      <c r="AJ59" s="21"/>
      <c r="AK59" s="25"/>
      <c r="AL59" s="309"/>
      <c r="AM59" s="19"/>
      <c r="AN59" s="21"/>
      <c r="AO59" s="25"/>
      <c r="AP59" s="309"/>
      <c r="AQ59" s="19"/>
      <c r="AR59" s="21"/>
      <c r="AS59" s="25"/>
      <c r="AT59" s="638">
        <f t="shared" si="2"/>
        <v>100000</v>
      </c>
      <c r="AU59" s="311">
        <f t="shared" si="0"/>
        <v>100000</v>
      </c>
      <c r="AV59" s="148"/>
      <c r="AW59" s="148"/>
      <c r="AX59" s="148"/>
      <c r="AY59" s="148"/>
      <c r="AZ59" s="148"/>
      <c r="BA59" s="148"/>
      <c r="BB59" s="148"/>
      <c r="BC59" s="148"/>
      <c r="BD59" s="148"/>
      <c r="BE59" s="148"/>
      <c r="BF59" s="148"/>
      <c r="BG59" s="148"/>
      <c r="BH59" s="148"/>
      <c r="BI59" s="148"/>
      <c r="BJ59" s="148"/>
      <c r="BK59" s="148"/>
      <c r="BL59" s="148"/>
      <c r="BM59" s="148"/>
      <c r="BN59" s="148"/>
      <c r="BO59" s="148"/>
      <c r="BP59" s="148"/>
      <c r="BQ59" s="148"/>
      <c r="BR59" s="148"/>
      <c r="BS59" s="148"/>
      <c r="BT59" s="148"/>
      <c r="BU59" s="148"/>
      <c r="BV59" s="148"/>
      <c r="BW59" s="148"/>
      <c r="BX59" s="148"/>
      <c r="BY59" s="148"/>
      <c r="BZ59" s="148"/>
      <c r="CA59" s="148"/>
      <c r="CB59" s="148"/>
      <c r="CC59" s="148"/>
      <c r="CD59" s="148"/>
      <c r="CE59" s="148"/>
      <c r="CF59" s="148"/>
      <c r="CG59" s="148"/>
      <c r="CH59" s="148"/>
      <c r="CI59" s="148"/>
      <c r="CJ59" s="148"/>
      <c r="CK59" s="148"/>
      <c r="CL59" s="148"/>
      <c r="CM59" s="148"/>
      <c r="CN59" s="148"/>
      <c r="CO59" s="148"/>
      <c r="CP59" s="148"/>
      <c r="CQ59" s="148"/>
      <c r="CR59" s="148"/>
      <c r="CS59" s="148"/>
      <c r="CT59" s="148"/>
      <c r="CU59" s="148"/>
      <c r="CV59" s="148"/>
      <c r="CW59" s="148"/>
      <c r="CX59" s="148"/>
      <c r="CY59" s="148"/>
      <c r="CZ59" s="148"/>
      <c r="DA59" s="148"/>
      <c r="DB59" s="148"/>
      <c r="DC59" s="148"/>
      <c r="DD59" s="148"/>
      <c r="DE59" s="148"/>
      <c r="DF59" s="148"/>
      <c r="DG59" s="148"/>
      <c r="DH59" s="148"/>
      <c r="DI59" s="148"/>
      <c r="DJ59" s="148"/>
      <c r="DK59" s="148"/>
      <c r="DL59" s="148"/>
      <c r="DM59" s="148"/>
      <c r="DN59" s="148"/>
      <c r="DO59" s="148"/>
      <c r="DP59" s="148"/>
      <c r="DQ59" s="148"/>
      <c r="DR59" s="148"/>
      <c r="DS59" s="148"/>
      <c r="DT59" s="148"/>
      <c r="DU59" s="148"/>
      <c r="DV59" s="148"/>
      <c r="DW59" s="148"/>
      <c r="DX59" s="148"/>
      <c r="DY59" s="148"/>
      <c r="DZ59" s="148"/>
      <c r="EA59" s="148"/>
      <c r="EB59" s="148"/>
      <c r="EC59" s="148"/>
      <c r="ED59" s="148"/>
      <c r="EE59" s="148"/>
      <c r="EF59" s="148"/>
      <c r="EG59" s="148"/>
      <c r="EH59" s="148"/>
      <c r="EI59" s="148"/>
      <c r="EJ59" s="148"/>
      <c r="EK59" s="148"/>
      <c r="EL59" s="148"/>
      <c r="EM59" s="148"/>
      <c r="EN59" s="148"/>
      <c r="EO59" s="148"/>
      <c r="EP59" s="148"/>
      <c r="EQ59" s="148"/>
      <c r="ER59" s="148"/>
      <c r="ES59" s="148"/>
      <c r="ET59" s="148"/>
      <c r="EU59" s="148"/>
      <c r="EV59" s="148"/>
      <c r="EW59" s="148"/>
      <c r="EX59" s="148"/>
      <c r="EY59" s="148"/>
      <c r="EZ59" s="148"/>
      <c r="FA59" s="148"/>
      <c r="FB59" s="148"/>
      <c r="FC59" s="148"/>
      <c r="FD59" s="148"/>
      <c r="FE59" s="148"/>
      <c r="FF59" s="148"/>
      <c r="FG59" s="148"/>
      <c r="FH59" s="148"/>
      <c r="FI59" s="148"/>
      <c r="FJ59" s="148"/>
      <c r="FK59" s="148"/>
      <c r="FL59" s="148"/>
      <c r="FM59" s="148"/>
      <c r="FN59" s="148"/>
      <c r="FO59" s="148"/>
      <c r="FP59" s="148"/>
      <c r="FQ59" s="148"/>
      <c r="FR59" s="148"/>
      <c r="FS59" s="148"/>
      <c r="FT59" s="148"/>
      <c r="FU59" s="148"/>
      <c r="FV59" s="148"/>
      <c r="FW59" s="148"/>
      <c r="FX59" s="148"/>
      <c r="FY59" s="148"/>
      <c r="FZ59" s="148"/>
      <c r="GA59" s="148"/>
      <c r="GB59" s="148"/>
      <c r="GC59" s="148"/>
      <c r="GD59" s="148"/>
      <c r="GE59" s="148"/>
      <c r="GF59" s="148"/>
      <c r="GG59" s="148"/>
      <c r="GH59" s="148"/>
      <c r="GI59" s="148"/>
      <c r="GJ59" s="148"/>
      <c r="GK59" s="148"/>
      <c r="GL59" s="148"/>
      <c r="GM59" s="148"/>
      <c r="GN59" s="148"/>
      <c r="GO59" s="148"/>
      <c r="GP59" s="148"/>
      <c r="GQ59" s="148"/>
      <c r="GR59" s="148"/>
      <c r="GS59" s="148"/>
      <c r="GT59" s="148"/>
      <c r="GU59" s="148"/>
      <c r="GV59" s="148"/>
      <c r="GW59" s="148"/>
      <c r="GX59" s="148"/>
      <c r="GY59" s="148"/>
      <c r="GZ59" s="148"/>
      <c r="HA59" s="148"/>
      <c r="HB59" s="148"/>
      <c r="HC59" s="148"/>
      <c r="HD59" s="148"/>
      <c r="HE59" s="148"/>
      <c r="HF59" s="148"/>
      <c r="HG59" s="148"/>
      <c r="HH59" s="148"/>
      <c r="HI59" s="148"/>
      <c r="HJ59" s="148"/>
      <c r="HK59" s="148"/>
      <c r="HL59" s="148"/>
      <c r="HM59" s="148"/>
      <c r="HN59" s="148"/>
      <c r="HO59" s="148"/>
      <c r="HP59" s="148"/>
      <c r="HQ59" s="148"/>
      <c r="HR59" s="148"/>
      <c r="HS59" s="148"/>
      <c r="HT59" s="148"/>
      <c r="HU59" s="148"/>
      <c r="HV59" s="148"/>
      <c r="HW59" s="148"/>
      <c r="HX59" s="148"/>
      <c r="HY59" s="148"/>
      <c r="HZ59" s="148"/>
      <c r="IA59" s="148"/>
      <c r="IB59" s="148"/>
      <c r="IC59" s="148"/>
      <c r="ID59" s="148"/>
      <c r="IE59" s="148"/>
      <c r="IF59" s="148"/>
      <c r="IG59" s="148"/>
      <c r="IH59" s="148"/>
      <c r="II59" s="148"/>
      <c r="IJ59" s="148"/>
      <c r="IK59" s="148"/>
      <c r="IL59" s="148"/>
      <c r="IM59" s="148"/>
      <c r="IN59" s="148"/>
      <c r="IO59" s="148"/>
      <c r="IP59" s="148"/>
      <c r="IQ59" s="148"/>
      <c r="IR59" s="148"/>
      <c r="IS59" s="148"/>
      <c r="IT59" s="148"/>
      <c r="IU59" s="148"/>
      <c r="IV59" s="148"/>
      <c r="IW59" s="148"/>
      <c r="IX59" s="148"/>
      <c r="IY59" s="148"/>
      <c r="IZ59" s="148"/>
      <c r="JA59" s="148"/>
      <c r="JB59" s="148"/>
      <c r="JC59" s="148"/>
      <c r="JD59" s="148"/>
      <c r="JE59" s="148"/>
      <c r="JF59" s="148"/>
      <c r="JG59" s="148"/>
      <c r="JH59" s="148"/>
      <c r="JI59" s="148"/>
      <c r="JJ59" s="148"/>
      <c r="JK59" s="148"/>
      <c r="JL59" s="148"/>
      <c r="JM59" s="148"/>
      <c r="JN59" s="148"/>
      <c r="JO59" s="148"/>
      <c r="JP59" s="148"/>
      <c r="JQ59" s="148"/>
      <c r="JR59" s="148"/>
      <c r="JS59" s="148"/>
      <c r="JT59" s="148"/>
      <c r="JU59" s="148"/>
      <c r="JV59" s="148"/>
      <c r="JW59" s="148"/>
      <c r="JX59" s="148"/>
      <c r="JY59" s="148"/>
      <c r="JZ59" s="148"/>
      <c r="KA59" s="148"/>
      <c r="KB59" s="148"/>
      <c r="KC59" s="148"/>
      <c r="KD59" s="148"/>
      <c r="KE59" s="148"/>
      <c r="KF59" s="148"/>
      <c r="KG59" s="148"/>
      <c r="KH59" s="148"/>
      <c r="KI59" s="148"/>
      <c r="KJ59" s="148"/>
      <c r="KK59" s="148"/>
      <c r="KL59" s="148"/>
      <c r="KM59" s="148"/>
      <c r="KN59" s="148"/>
      <c r="KO59" s="148"/>
      <c r="KP59" s="148"/>
      <c r="KQ59" s="148"/>
      <c r="KR59" s="148"/>
      <c r="KS59" s="148"/>
      <c r="KT59" s="148"/>
      <c r="KU59" s="148"/>
      <c r="KV59" s="148"/>
      <c r="KW59" s="148"/>
      <c r="KX59" s="148"/>
      <c r="KY59" s="148"/>
      <c r="KZ59" s="148"/>
      <c r="LA59" s="148"/>
      <c r="LB59" s="148"/>
      <c r="LC59" s="148"/>
      <c r="LD59" s="148"/>
      <c r="LE59" s="148"/>
      <c r="LF59" s="148"/>
      <c r="LG59" s="148"/>
      <c r="LH59" s="148"/>
      <c r="LI59" s="148"/>
      <c r="LJ59" s="148"/>
      <c r="LK59" s="148"/>
      <c r="LL59" s="148"/>
      <c r="LM59" s="148"/>
      <c r="LN59" s="148"/>
      <c r="LO59" s="148"/>
      <c r="LP59" s="148"/>
      <c r="LQ59" s="148"/>
      <c r="LR59" s="148"/>
      <c r="LS59" s="148"/>
      <c r="LT59" s="148"/>
      <c r="LU59" s="148"/>
      <c r="LV59" s="148"/>
      <c r="LW59" s="148"/>
      <c r="LX59" s="148"/>
      <c r="LY59" s="148"/>
      <c r="LZ59" s="148"/>
      <c r="MA59" s="148"/>
      <c r="MB59" s="148"/>
      <c r="MC59" s="148"/>
      <c r="MD59" s="148"/>
      <c r="ME59" s="148"/>
      <c r="MF59" s="148"/>
      <c r="MG59" s="148"/>
      <c r="MH59" s="148"/>
      <c r="MI59" s="148"/>
      <c r="MJ59" s="148"/>
      <c r="MK59" s="148"/>
      <c r="ML59" s="148"/>
      <c r="MM59" s="148"/>
      <c r="MN59" s="148"/>
      <c r="MO59" s="148"/>
      <c r="MP59" s="148"/>
      <c r="MQ59" s="148"/>
      <c r="MR59" s="148"/>
      <c r="MS59" s="148"/>
      <c r="MT59" s="148"/>
      <c r="MU59" s="148"/>
      <c r="MV59" s="148"/>
      <c r="MW59" s="148"/>
      <c r="MX59" s="148"/>
      <c r="MY59" s="148"/>
      <c r="MZ59" s="148"/>
      <c r="NA59" s="148"/>
      <c r="NB59" s="148"/>
      <c r="NC59" s="148"/>
      <c r="ND59" s="148"/>
      <c r="NE59" s="148"/>
      <c r="NF59" s="148"/>
      <c r="NG59" s="148"/>
      <c r="NH59" s="148"/>
      <c r="NI59" s="148"/>
      <c r="NJ59" s="148"/>
      <c r="NK59" s="148"/>
      <c r="NL59" s="148"/>
      <c r="NM59" s="148"/>
      <c r="NN59" s="148"/>
      <c r="NO59" s="148"/>
      <c r="NP59" s="148"/>
      <c r="NQ59" s="148"/>
      <c r="NR59" s="148"/>
      <c r="NS59" s="148"/>
      <c r="NT59" s="148"/>
      <c r="NU59" s="148"/>
      <c r="NV59" s="148"/>
      <c r="NW59" s="148"/>
      <c r="NX59" s="148"/>
      <c r="NY59" s="148"/>
      <c r="NZ59" s="148"/>
      <c r="OA59" s="148"/>
      <c r="OB59" s="148"/>
      <c r="OC59" s="148"/>
      <c r="OD59" s="148"/>
      <c r="OE59" s="148"/>
      <c r="OF59" s="148"/>
      <c r="OG59" s="148"/>
      <c r="OH59" s="148"/>
      <c r="OI59" s="148"/>
      <c r="OJ59" s="148"/>
      <c r="OK59" s="148"/>
      <c r="OL59" s="148"/>
      <c r="OM59" s="148"/>
      <c r="ON59" s="148"/>
      <c r="OO59" s="148"/>
      <c r="OP59" s="148"/>
      <c r="OQ59" s="148"/>
      <c r="OR59" s="148"/>
      <c r="OS59" s="148"/>
      <c r="OT59" s="148"/>
      <c r="OU59" s="148"/>
      <c r="OV59" s="148"/>
      <c r="OW59" s="148"/>
      <c r="OX59" s="148"/>
      <c r="OY59" s="148"/>
      <c r="OZ59" s="148"/>
      <c r="PA59" s="148"/>
      <c r="PB59" s="148"/>
      <c r="PC59" s="148"/>
      <c r="PD59" s="148"/>
      <c r="PE59" s="148"/>
      <c r="PF59" s="148"/>
      <c r="PG59" s="148"/>
      <c r="PH59" s="148"/>
      <c r="PI59" s="148"/>
      <c r="PJ59" s="148"/>
      <c r="PK59" s="148"/>
      <c r="PL59" s="148"/>
      <c r="PM59" s="148"/>
      <c r="PN59" s="148"/>
      <c r="PO59" s="148"/>
      <c r="PP59" s="148"/>
      <c r="PQ59" s="148"/>
      <c r="PR59" s="148"/>
      <c r="PS59" s="148"/>
      <c r="PT59" s="148"/>
      <c r="PU59" s="148"/>
      <c r="PV59" s="148"/>
      <c r="PW59" s="148"/>
      <c r="PX59" s="148"/>
      <c r="PY59" s="148"/>
      <c r="PZ59" s="148"/>
      <c r="QA59" s="148"/>
      <c r="QB59" s="148"/>
      <c r="QC59" s="148"/>
      <c r="QD59" s="148"/>
      <c r="QE59" s="148"/>
      <c r="QF59" s="148"/>
      <c r="QG59" s="148"/>
      <c r="QH59" s="148"/>
      <c r="QI59" s="148"/>
      <c r="QJ59" s="148"/>
      <c r="QK59" s="148"/>
      <c r="QL59" s="148"/>
      <c r="QM59" s="148"/>
      <c r="QN59" s="148"/>
      <c r="QO59" s="148"/>
      <c r="QP59" s="148"/>
      <c r="QQ59" s="148"/>
      <c r="QR59" s="148"/>
      <c r="QS59" s="148"/>
      <c r="QT59" s="148"/>
      <c r="QU59" s="148"/>
      <c r="QV59" s="148"/>
      <c r="QW59" s="148"/>
      <c r="QX59" s="148"/>
      <c r="QY59" s="148"/>
      <c r="QZ59" s="148"/>
      <c r="RA59" s="148"/>
      <c r="RB59" s="148"/>
      <c r="RC59" s="148"/>
      <c r="RD59" s="148"/>
      <c r="RE59" s="148"/>
      <c r="RF59" s="148"/>
      <c r="RG59" s="148"/>
      <c r="RH59" s="148"/>
      <c r="RI59" s="148"/>
      <c r="RJ59" s="148"/>
      <c r="RK59" s="148"/>
      <c r="RL59" s="148"/>
      <c r="RM59" s="148"/>
      <c r="RN59" s="148"/>
      <c r="RO59" s="148"/>
      <c r="RP59" s="148"/>
      <c r="RQ59" s="148"/>
      <c r="RR59" s="148"/>
    </row>
    <row r="60" spans="1:486" s="15" customFormat="1" ht="20.25" customHeight="1" x14ac:dyDescent="0.25">
      <c r="A60" s="148"/>
      <c r="B60" s="350">
        <v>45</v>
      </c>
      <c r="C60" s="650" t="s">
        <v>894</v>
      </c>
      <c r="D60" s="631">
        <v>30480963</v>
      </c>
      <c r="E60" s="344" t="s">
        <v>2804</v>
      </c>
      <c r="F60" s="344" t="s">
        <v>46</v>
      </c>
      <c r="G60" s="17" t="s">
        <v>2693</v>
      </c>
      <c r="H60" s="317" t="s">
        <v>2739</v>
      </c>
      <c r="I60" s="346" t="s">
        <v>43</v>
      </c>
      <c r="J60" s="341" t="s">
        <v>2805</v>
      </c>
      <c r="K60" s="633">
        <v>0</v>
      </c>
      <c r="L60" s="633">
        <v>0</v>
      </c>
      <c r="M60" s="633">
        <v>0</v>
      </c>
      <c r="N60" s="633">
        <v>0</v>
      </c>
      <c r="O60" s="633">
        <v>0</v>
      </c>
      <c r="P60" s="633">
        <v>0</v>
      </c>
      <c r="Q60" s="633">
        <v>0</v>
      </c>
      <c r="R60" s="633">
        <v>0</v>
      </c>
      <c r="S60" s="633"/>
      <c r="T60" s="633"/>
      <c r="U60" s="633"/>
      <c r="V60" s="633"/>
      <c r="W60" s="633"/>
      <c r="X60" s="633"/>
      <c r="Y60" s="633">
        <f t="shared" si="1"/>
        <v>0</v>
      </c>
      <c r="Z60" s="407">
        <v>1</v>
      </c>
      <c r="AA60" s="635" t="s">
        <v>2769</v>
      </c>
      <c r="AB60" s="23">
        <v>44232</v>
      </c>
      <c r="AC60" s="23">
        <v>44250</v>
      </c>
      <c r="AD60" s="637"/>
      <c r="AE60" s="20"/>
      <c r="AF60" s="21"/>
      <c r="AG60" s="23"/>
      <c r="AH60" s="637"/>
      <c r="AI60" s="19"/>
      <c r="AJ60" s="21"/>
      <c r="AK60" s="25"/>
      <c r="AL60" s="309"/>
      <c r="AM60" s="19"/>
      <c r="AN60" s="21"/>
      <c r="AO60" s="25"/>
      <c r="AP60" s="309"/>
      <c r="AQ60" s="19"/>
      <c r="AR60" s="21"/>
      <c r="AS60" s="25"/>
      <c r="AT60" s="638">
        <f t="shared" si="2"/>
        <v>1</v>
      </c>
      <c r="AU60" s="311">
        <f t="shared" si="0"/>
        <v>1</v>
      </c>
      <c r="AV60" s="148"/>
      <c r="AW60" s="148"/>
      <c r="AX60" s="148"/>
      <c r="AY60" s="148"/>
      <c r="AZ60" s="148"/>
      <c r="BA60" s="148"/>
      <c r="BB60" s="148"/>
      <c r="BC60" s="148"/>
      <c r="BD60" s="148"/>
      <c r="BE60" s="148"/>
      <c r="BF60" s="148"/>
      <c r="BG60" s="148"/>
      <c r="BH60" s="148"/>
      <c r="BI60" s="148"/>
      <c r="BJ60" s="148"/>
      <c r="BK60" s="148"/>
      <c r="BL60" s="148"/>
      <c r="BM60" s="148"/>
      <c r="BN60" s="148"/>
      <c r="BO60" s="148"/>
      <c r="BP60" s="148"/>
      <c r="BQ60" s="148"/>
      <c r="BR60" s="148"/>
      <c r="BS60" s="148"/>
      <c r="BT60" s="148"/>
      <c r="BU60" s="148"/>
      <c r="BV60" s="148"/>
      <c r="BW60" s="148"/>
      <c r="BX60" s="148"/>
      <c r="BY60" s="148"/>
      <c r="BZ60" s="148"/>
      <c r="CA60" s="148"/>
      <c r="CB60" s="148"/>
      <c r="CC60" s="148"/>
      <c r="CD60" s="148"/>
      <c r="CE60" s="148"/>
      <c r="CF60" s="148"/>
      <c r="CG60" s="148"/>
      <c r="CH60" s="148"/>
      <c r="CI60" s="148"/>
      <c r="CJ60" s="148"/>
      <c r="CK60" s="148"/>
      <c r="CL60" s="148"/>
      <c r="CM60" s="148"/>
      <c r="CN60" s="148"/>
      <c r="CO60" s="148"/>
      <c r="CP60" s="148"/>
      <c r="CQ60" s="148"/>
      <c r="CR60" s="148"/>
      <c r="CS60" s="148"/>
      <c r="CT60" s="148"/>
      <c r="CU60" s="148"/>
      <c r="CV60" s="148"/>
      <c r="CW60" s="148"/>
      <c r="CX60" s="148"/>
      <c r="CY60" s="148"/>
      <c r="CZ60" s="148"/>
      <c r="DA60" s="148"/>
      <c r="DB60" s="148"/>
      <c r="DC60" s="148"/>
      <c r="DD60" s="148"/>
      <c r="DE60" s="148"/>
      <c r="DF60" s="148"/>
      <c r="DG60" s="148"/>
      <c r="DH60" s="148"/>
      <c r="DI60" s="148"/>
      <c r="DJ60" s="148"/>
      <c r="DK60" s="148"/>
      <c r="DL60" s="148"/>
      <c r="DM60" s="148"/>
      <c r="DN60" s="148"/>
      <c r="DO60" s="148"/>
      <c r="DP60" s="148"/>
      <c r="DQ60" s="148"/>
      <c r="DR60" s="148"/>
      <c r="DS60" s="148"/>
      <c r="DT60" s="148"/>
      <c r="DU60" s="148"/>
      <c r="DV60" s="148"/>
      <c r="DW60" s="148"/>
      <c r="DX60" s="148"/>
      <c r="DY60" s="148"/>
      <c r="DZ60" s="148"/>
      <c r="EA60" s="148"/>
      <c r="EB60" s="148"/>
      <c r="EC60" s="148"/>
      <c r="ED60" s="148"/>
      <c r="EE60" s="148"/>
      <c r="EF60" s="148"/>
      <c r="EG60" s="148"/>
      <c r="EH60" s="148"/>
      <c r="EI60" s="148"/>
      <c r="EJ60" s="148"/>
      <c r="EK60" s="148"/>
      <c r="EL60" s="148"/>
      <c r="EM60" s="148"/>
      <c r="EN60" s="148"/>
      <c r="EO60" s="148"/>
      <c r="EP60" s="148"/>
      <c r="EQ60" s="148"/>
      <c r="ER60" s="148"/>
      <c r="ES60" s="148"/>
      <c r="ET60" s="148"/>
      <c r="EU60" s="148"/>
      <c r="EV60" s="148"/>
      <c r="EW60" s="148"/>
      <c r="EX60" s="148"/>
      <c r="EY60" s="148"/>
      <c r="EZ60" s="148"/>
      <c r="FA60" s="148"/>
      <c r="FB60" s="148"/>
      <c r="FC60" s="148"/>
      <c r="FD60" s="148"/>
      <c r="FE60" s="148"/>
      <c r="FF60" s="148"/>
      <c r="FG60" s="148"/>
      <c r="FH60" s="148"/>
      <c r="FI60" s="148"/>
      <c r="FJ60" s="148"/>
      <c r="FK60" s="148"/>
      <c r="FL60" s="148"/>
      <c r="FM60" s="148"/>
      <c r="FN60" s="148"/>
      <c r="FO60" s="148"/>
      <c r="FP60" s="148"/>
      <c r="FQ60" s="148"/>
      <c r="FR60" s="148"/>
      <c r="FS60" s="148"/>
      <c r="FT60" s="148"/>
      <c r="FU60" s="148"/>
      <c r="FV60" s="148"/>
      <c r="FW60" s="148"/>
      <c r="FX60" s="148"/>
      <c r="FY60" s="148"/>
      <c r="FZ60" s="148"/>
      <c r="GA60" s="148"/>
      <c r="GB60" s="148"/>
      <c r="GC60" s="148"/>
      <c r="GD60" s="148"/>
      <c r="GE60" s="148"/>
      <c r="GF60" s="148"/>
      <c r="GG60" s="148"/>
      <c r="GH60" s="148"/>
      <c r="GI60" s="148"/>
      <c r="GJ60" s="148"/>
      <c r="GK60" s="148"/>
      <c r="GL60" s="148"/>
      <c r="GM60" s="148"/>
      <c r="GN60" s="148"/>
      <c r="GO60" s="148"/>
      <c r="GP60" s="148"/>
      <c r="GQ60" s="148"/>
      <c r="GR60" s="148"/>
      <c r="GS60" s="148"/>
      <c r="GT60" s="148"/>
      <c r="GU60" s="148"/>
      <c r="GV60" s="148"/>
      <c r="GW60" s="148"/>
      <c r="GX60" s="148"/>
      <c r="GY60" s="148"/>
      <c r="GZ60" s="148"/>
      <c r="HA60" s="148"/>
      <c r="HB60" s="148"/>
      <c r="HC60" s="148"/>
      <c r="HD60" s="148"/>
      <c r="HE60" s="148"/>
      <c r="HF60" s="148"/>
      <c r="HG60" s="148"/>
      <c r="HH60" s="148"/>
      <c r="HI60" s="148"/>
      <c r="HJ60" s="148"/>
      <c r="HK60" s="148"/>
      <c r="HL60" s="148"/>
      <c r="HM60" s="148"/>
      <c r="HN60" s="148"/>
      <c r="HO60" s="148"/>
      <c r="HP60" s="148"/>
      <c r="HQ60" s="148"/>
      <c r="HR60" s="148"/>
      <c r="HS60" s="148"/>
      <c r="HT60" s="148"/>
      <c r="HU60" s="148"/>
      <c r="HV60" s="148"/>
      <c r="HW60" s="148"/>
      <c r="HX60" s="148"/>
      <c r="HY60" s="148"/>
      <c r="HZ60" s="148"/>
      <c r="IA60" s="148"/>
      <c r="IB60" s="148"/>
      <c r="IC60" s="148"/>
      <c r="ID60" s="148"/>
      <c r="IE60" s="148"/>
      <c r="IF60" s="148"/>
      <c r="IG60" s="148"/>
      <c r="IH60" s="148"/>
      <c r="II60" s="148"/>
      <c r="IJ60" s="148"/>
      <c r="IK60" s="148"/>
      <c r="IL60" s="148"/>
      <c r="IM60" s="148"/>
      <c r="IN60" s="148"/>
      <c r="IO60" s="148"/>
      <c r="IP60" s="148"/>
      <c r="IQ60" s="148"/>
      <c r="IR60" s="148"/>
      <c r="IS60" s="148"/>
      <c r="IT60" s="148"/>
      <c r="IU60" s="148"/>
      <c r="IV60" s="148"/>
      <c r="IW60" s="148"/>
      <c r="IX60" s="148"/>
      <c r="IY60" s="148"/>
      <c r="IZ60" s="148"/>
      <c r="JA60" s="148"/>
      <c r="JB60" s="148"/>
      <c r="JC60" s="148"/>
      <c r="JD60" s="148"/>
      <c r="JE60" s="148"/>
      <c r="JF60" s="148"/>
      <c r="JG60" s="148"/>
      <c r="JH60" s="148"/>
      <c r="JI60" s="148"/>
      <c r="JJ60" s="148"/>
      <c r="JK60" s="148"/>
      <c r="JL60" s="148"/>
      <c r="JM60" s="148"/>
      <c r="JN60" s="148"/>
      <c r="JO60" s="148"/>
      <c r="JP60" s="148"/>
      <c r="JQ60" s="148"/>
      <c r="JR60" s="148"/>
      <c r="JS60" s="148"/>
      <c r="JT60" s="148"/>
      <c r="JU60" s="148"/>
      <c r="JV60" s="148"/>
      <c r="JW60" s="148"/>
      <c r="JX60" s="148"/>
      <c r="JY60" s="148"/>
      <c r="JZ60" s="148"/>
      <c r="KA60" s="148"/>
      <c r="KB60" s="148"/>
      <c r="KC60" s="148"/>
      <c r="KD60" s="148"/>
      <c r="KE60" s="148"/>
      <c r="KF60" s="148"/>
      <c r="KG60" s="148"/>
      <c r="KH60" s="148"/>
      <c r="KI60" s="148"/>
      <c r="KJ60" s="148"/>
      <c r="KK60" s="148"/>
      <c r="KL60" s="148"/>
      <c r="KM60" s="148"/>
      <c r="KN60" s="148"/>
      <c r="KO60" s="148"/>
      <c r="KP60" s="148"/>
      <c r="KQ60" s="148"/>
      <c r="KR60" s="148"/>
      <c r="KS60" s="148"/>
      <c r="KT60" s="148"/>
      <c r="KU60" s="148"/>
      <c r="KV60" s="148"/>
      <c r="KW60" s="148"/>
      <c r="KX60" s="148"/>
      <c r="KY60" s="148"/>
      <c r="KZ60" s="148"/>
      <c r="LA60" s="148"/>
      <c r="LB60" s="148"/>
      <c r="LC60" s="148"/>
      <c r="LD60" s="148"/>
      <c r="LE60" s="148"/>
      <c r="LF60" s="148"/>
      <c r="LG60" s="148"/>
      <c r="LH60" s="148"/>
      <c r="LI60" s="148"/>
      <c r="LJ60" s="148"/>
      <c r="LK60" s="148"/>
      <c r="LL60" s="148"/>
      <c r="LM60" s="148"/>
      <c r="LN60" s="148"/>
      <c r="LO60" s="148"/>
      <c r="LP60" s="148"/>
      <c r="LQ60" s="148"/>
      <c r="LR60" s="148"/>
      <c r="LS60" s="148"/>
      <c r="LT60" s="148"/>
      <c r="LU60" s="148"/>
      <c r="LV60" s="148"/>
      <c r="LW60" s="148"/>
      <c r="LX60" s="148"/>
      <c r="LY60" s="148"/>
      <c r="LZ60" s="148"/>
      <c r="MA60" s="148"/>
      <c r="MB60" s="148"/>
      <c r="MC60" s="148"/>
      <c r="MD60" s="148"/>
      <c r="ME60" s="148"/>
      <c r="MF60" s="148"/>
      <c r="MG60" s="148"/>
      <c r="MH60" s="148"/>
      <c r="MI60" s="148"/>
      <c r="MJ60" s="148"/>
      <c r="MK60" s="148"/>
      <c r="ML60" s="148"/>
      <c r="MM60" s="148"/>
      <c r="MN60" s="148"/>
      <c r="MO60" s="148"/>
      <c r="MP60" s="148"/>
      <c r="MQ60" s="148"/>
      <c r="MR60" s="148"/>
      <c r="MS60" s="148"/>
      <c r="MT60" s="148"/>
      <c r="MU60" s="148"/>
      <c r="MV60" s="148"/>
      <c r="MW60" s="148"/>
      <c r="MX60" s="148"/>
      <c r="MY60" s="148"/>
      <c r="MZ60" s="148"/>
      <c r="NA60" s="148"/>
      <c r="NB60" s="148"/>
      <c r="NC60" s="148"/>
      <c r="ND60" s="148"/>
      <c r="NE60" s="148"/>
      <c r="NF60" s="148"/>
      <c r="NG60" s="148"/>
      <c r="NH60" s="148"/>
      <c r="NI60" s="148"/>
      <c r="NJ60" s="148"/>
      <c r="NK60" s="148"/>
      <c r="NL60" s="148"/>
      <c r="NM60" s="148"/>
      <c r="NN60" s="148"/>
      <c r="NO60" s="148"/>
      <c r="NP60" s="148"/>
      <c r="NQ60" s="148"/>
      <c r="NR60" s="148"/>
      <c r="NS60" s="148"/>
      <c r="NT60" s="148"/>
      <c r="NU60" s="148"/>
      <c r="NV60" s="148"/>
      <c r="NW60" s="148"/>
      <c r="NX60" s="148"/>
      <c r="NY60" s="148"/>
      <c r="NZ60" s="148"/>
      <c r="OA60" s="148"/>
      <c r="OB60" s="148"/>
      <c r="OC60" s="148"/>
      <c r="OD60" s="148"/>
      <c r="OE60" s="148"/>
      <c r="OF60" s="148"/>
      <c r="OG60" s="148"/>
      <c r="OH60" s="148"/>
      <c r="OI60" s="148"/>
      <c r="OJ60" s="148"/>
      <c r="OK60" s="148"/>
      <c r="OL60" s="148"/>
      <c r="OM60" s="148"/>
      <c r="ON60" s="148"/>
      <c r="OO60" s="148"/>
      <c r="OP60" s="148"/>
      <c r="OQ60" s="148"/>
      <c r="OR60" s="148"/>
      <c r="OS60" s="148"/>
      <c r="OT60" s="148"/>
      <c r="OU60" s="148"/>
      <c r="OV60" s="148"/>
      <c r="OW60" s="148"/>
      <c r="OX60" s="148"/>
      <c r="OY60" s="148"/>
      <c r="OZ60" s="148"/>
      <c r="PA60" s="148"/>
      <c r="PB60" s="148"/>
      <c r="PC60" s="148"/>
      <c r="PD60" s="148"/>
      <c r="PE60" s="148"/>
      <c r="PF60" s="148"/>
      <c r="PG60" s="148"/>
      <c r="PH60" s="148"/>
      <c r="PI60" s="148"/>
      <c r="PJ60" s="148"/>
      <c r="PK60" s="148"/>
      <c r="PL60" s="148"/>
      <c r="PM60" s="148"/>
      <c r="PN60" s="148"/>
      <c r="PO60" s="148"/>
      <c r="PP60" s="148"/>
      <c r="PQ60" s="148"/>
      <c r="PR60" s="148"/>
      <c r="PS60" s="148"/>
      <c r="PT60" s="148"/>
      <c r="PU60" s="148"/>
      <c r="PV60" s="148"/>
      <c r="PW60" s="148"/>
      <c r="PX60" s="148"/>
      <c r="PY60" s="148"/>
      <c r="PZ60" s="148"/>
      <c r="QA60" s="148"/>
      <c r="QB60" s="148"/>
      <c r="QC60" s="148"/>
      <c r="QD60" s="148"/>
      <c r="QE60" s="148"/>
      <c r="QF60" s="148"/>
      <c r="QG60" s="148"/>
      <c r="QH60" s="148"/>
      <c r="QI60" s="148"/>
      <c r="QJ60" s="148"/>
      <c r="QK60" s="148"/>
      <c r="QL60" s="148"/>
      <c r="QM60" s="148"/>
      <c r="QN60" s="148"/>
      <c r="QO60" s="148"/>
      <c r="QP60" s="148"/>
      <c r="QQ60" s="148"/>
      <c r="QR60" s="148"/>
      <c r="QS60" s="148"/>
      <c r="QT60" s="148"/>
      <c r="QU60" s="148"/>
      <c r="QV60" s="148"/>
      <c r="QW60" s="148"/>
      <c r="QX60" s="148"/>
      <c r="QY60" s="148"/>
      <c r="QZ60" s="148"/>
      <c r="RA60" s="148"/>
      <c r="RB60" s="148"/>
      <c r="RC60" s="148"/>
      <c r="RD60" s="148"/>
      <c r="RE60" s="148"/>
      <c r="RF60" s="148"/>
      <c r="RG60" s="148"/>
      <c r="RH60" s="148"/>
      <c r="RI60" s="148"/>
      <c r="RJ60" s="148"/>
      <c r="RK60" s="148"/>
      <c r="RL60" s="148"/>
      <c r="RM60" s="148"/>
      <c r="RN60" s="148"/>
      <c r="RO60" s="148"/>
      <c r="RP60" s="148"/>
      <c r="RQ60" s="148"/>
      <c r="RR60" s="148"/>
    </row>
    <row r="61" spans="1:486" s="15" customFormat="1" ht="19.5" customHeight="1" x14ac:dyDescent="0.25">
      <c r="A61" s="148"/>
      <c r="B61" s="350">
        <v>46</v>
      </c>
      <c r="C61" s="650" t="s">
        <v>894</v>
      </c>
      <c r="D61" s="631">
        <v>30483692</v>
      </c>
      <c r="E61" s="344" t="s">
        <v>2806</v>
      </c>
      <c r="F61" s="344" t="s">
        <v>45</v>
      </c>
      <c r="G61" s="17" t="s">
        <v>2693</v>
      </c>
      <c r="H61" s="317" t="s">
        <v>2718</v>
      </c>
      <c r="I61" s="346" t="s">
        <v>43</v>
      </c>
      <c r="J61" s="341" t="s">
        <v>2807</v>
      </c>
      <c r="K61" s="633">
        <v>0</v>
      </c>
      <c r="L61" s="633">
        <v>0</v>
      </c>
      <c r="M61" s="633">
        <v>0</v>
      </c>
      <c r="N61" s="633">
        <v>0</v>
      </c>
      <c r="O61" s="633">
        <v>0</v>
      </c>
      <c r="P61" s="633">
        <v>0</v>
      </c>
      <c r="Q61" s="633">
        <v>0</v>
      </c>
      <c r="R61" s="633">
        <v>48495</v>
      </c>
      <c r="S61" s="633"/>
      <c r="T61" s="633"/>
      <c r="U61" s="633"/>
      <c r="V61" s="633"/>
      <c r="W61" s="633"/>
      <c r="X61" s="633"/>
      <c r="Y61" s="633">
        <f t="shared" si="1"/>
        <v>48495</v>
      </c>
      <c r="Z61" s="407">
        <v>40000</v>
      </c>
      <c r="AA61" s="635" t="s">
        <v>2769</v>
      </c>
      <c r="AB61" s="23">
        <v>44232</v>
      </c>
      <c r="AC61" s="23">
        <v>44250</v>
      </c>
      <c r="AD61" s="637">
        <v>8495</v>
      </c>
      <c r="AE61" s="338">
        <v>19</v>
      </c>
      <c r="AF61" s="315">
        <v>44271</v>
      </c>
      <c r="AG61" s="315">
        <v>44312</v>
      </c>
      <c r="AH61" s="637"/>
      <c r="AI61" s="19"/>
      <c r="AJ61" s="21"/>
      <c r="AK61" s="25"/>
      <c r="AL61" s="309"/>
      <c r="AM61" s="19"/>
      <c r="AN61" s="21"/>
      <c r="AO61" s="25"/>
      <c r="AP61" s="309"/>
      <c r="AQ61" s="19"/>
      <c r="AR61" s="21"/>
      <c r="AS61" s="25"/>
      <c r="AT61" s="638">
        <f t="shared" si="2"/>
        <v>48495</v>
      </c>
      <c r="AU61" s="311">
        <f t="shared" si="0"/>
        <v>0</v>
      </c>
      <c r="AV61" s="148"/>
      <c r="AW61" s="148"/>
      <c r="AX61" s="148"/>
      <c r="AY61" s="148"/>
      <c r="AZ61" s="148"/>
      <c r="BA61" s="148"/>
      <c r="BB61" s="148"/>
      <c r="BC61" s="148"/>
      <c r="BD61" s="148"/>
      <c r="BE61" s="148"/>
      <c r="BF61" s="148"/>
      <c r="BG61" s="148"/>
      <c r="BH61" s="148"/>
      <c r="BI61" s="148"/>
      <c r="BJ61" s="148"/>
      <c r="BK61" s="148"/>
      <c r="BL61" s="148"/>
      <c r="BM61" s="148"/>
      <c r="BN61" s="148"/>
      <c r="BO61" s="148"/>
      <c r="BP61" s="148"/>
      <c r="BQ61" s="148"/>
      <c r="BR61" s="148"/>
      <c r="BS61" s="148"/>
      <c r="BT61" s="148"/>
      <c r="BU61" s="148"/>
      <c r="BV61" s="148"/>
      <c r="BW61" s="148"/>
      <c r="BX61" s="148"/>
      <c r="BY61" s="148"/>
      <c r="BZ61" s="148"/>
      <c r="CA61" s="148"/>
      <c r="CB61" s="148"/>
      <c r="CC61" s="148"/>
      <c r="CD61" s="148"/>
      <c r="CE61" s="148"/>
      <c r="CF61" s="148"/>
      <c r="CG61" s="148"/>
      <c r="CH61" s="148"/>
      <c r="CI61" s="148"/>
      <c r="CJ61" s="148"/>
      <c r="CK61" s="148"/>
      <c r="CL61" s="148"/>
      <c r="CM61" s="148"/>
      <c r="CN61" s="148"/>
      <c r="CO61" s="148"/>
      <c r="CP61" s="148"/>
      <c r="CQ61" s="148"/>
      <c r="CR61" s="148"/>
      <c r="CS61" s="148"/>
      <c r="CT61" s="148"/>
      <c r="CU61" s="148"/>
      <c r="CV61" s="148"/>
      <c r="CW61" s="148"/>
      <c r="CX61" s="148"/>
      <c r="CY61" s="148"/>
      <c r="CZ61" s="148"/>
      <c r="DA61" s="148"/>
      <c r="DB61" s="148"/>
      <c r="DC61" s="148"/>
      <c r="DD61" s="148"/>
      <c r="DE61" s="148"/>
      <c r="DF61" s="148"/>
      <c r="DG61" s="148"/>
      <c r="DH61" s="148"/>
      <c r="DI61" s="148"/>
      <c r="DJ61" s="148"/>
      <c r="DK61" s="148"/>
      <c r="DL61" s="148"/>
      <c r="DM61" s="148"/>
      <c r="DN61" s="148"/>
      <c r="DO61" s="148"/>
      <c r="DP61" s="148"/>
      <c r="DQ61" s="148"/>
      <c r="DR61" s="148"/>
      <c r="DS61" s="148"/>
      <c r="DT61" s="148"/>
      <c r="DU61" s="148"/>
      <c r="DV61" s="148"/>
      <c r="DW61" s="148"/>
      <c r="DX61" s="148"/>
      <c r="DY61" s="148"/>
      <c r="DZ61" s="148"/>
      <c r="EA61" s="148"/>
      <c r="EB61" s="148"/>
      <c r="EC61" s="148"/>
      <c r="ED61" s="148"/>
      <c r="EE61" s="148"/>
      <c r="EF61" s="148"/>
      <c r="EG61" s="148"/>
      <c r="EH61" s="148"/>
      <c r="EI61" s="148"/>
      <c r="EJ61" s="148"/>
      <c r="EK61" s="148"/>
      <c r="EL61" s="148"/>
      <c r="EM61" s="148"/>
      <c r="EN61" s="148"/>
      <c r="EO61" s="148"/>
      <c r="EP61" s="148"/>
      <c r="EQ61" s="148"/>
      <c r="ER61" s="148"/>
      <c r="ES61" s="148"/>
      <c r="ET61" s="148"/>
      <c r="EU61" s="148"/>
      <c r="EV61" s="148"/>
      <c r="EW61" s="148"/>
      <c r="EX61" s="148"/>
      <c r="EY61" s="148"/>
      <c r="EZ61" s="148"/>
      <c r="FA61" s="148"/>
      <c r="FB61" s="148"/>
      <c r="FC61" s="148"/>
      <c r="FD61" s="148"/>
      <c r="FE61" s="148"/>
      <c r="FF61" s="148"/>
      <c r="FG61" s="148"/>
      <c r="FH61" s="148"/>
      <c r="FI61" s="148"/>
      <c r="FJ61" s="148"/>
      <c r="FK61" s="148"/>
      <c r="FL61" s="148"/>
      <c r="FM61" s="148"/>
      <c r="FN61" s="148"/>
      <c r="FO61" s="148"/>
      <c r="FP61" s="148"/>
      <c r="FQ61" s="148"/>
      <c r="FR61" s="148"/>
      <c r="FS61" s="148"/>
      <c r="FT61" s="148"/>
      <c r="FU61" s="148"/>
      <c r="FV61" s="148"/>
      <c r="FW61" s="148"/>
      <c r="FX61" s="148"/>
      <c r="FY61" s="148"/>
      <c r="FZ61" s="148"/>
      <c r="GA61" s="148"/>
      <c r="GB61" s="148"/>
      <c r="GC61" s="148"/>
      <c r="GD61" s="148"/>
      <c r="GE61" s="148"/>
      <c r="GF61" s="148"/>
      <c r="GG61" s="148"/>
      <c r="GH61" s="148"/>
      <c r="GI61" s="148"/>
      <c r="GJ61" s="148"/>
      <c r="GK61" s="148"/>
      <c r="GL61" s="148"/>
      <c r="GM61" s="148"/>
      <c r="GN61" s="148"/>
      <c r="GO61" s="148"/>
      <c r="GP61" s="148"/>
      <c r="GQ61" s="148"/>
      <c r="GR61" s="148"/>
      <c r="GS61" s="148"/>
      <c r="GT61" s="148"/>
      <c r="GU61" s="148"/>
      <c r="GV61" s="148"/>
      <c r="GW61" s="148"/>
      <c r="GX61" s="148"/>
      <c r="GY61" s="148"/>
      <c r="GZ61" s="148"/>
      <c r="HA61" s="148"/>
      <c r="HB61" s="148"/>
      <c r="HC61" s="148"/>
      <c r="HD61" s="148"/>
      <c r="HE61" s="148"/>
      <c r="HF61" s="148"/>
      <c r="HG61" s="148"/>
      <c r="HH61" s="148"/>
      <c r="HI61" s="148"/>
      <c r="HJ61" s="148"/>
      <c r="HK61" s="148"/>
      <c r="HL61" s="148"/>
      <c r="HM61" s="148"/>
      <c r="HN61" s="148"/>
      <c r="HO61" s="148"/>
      <c r="HP61" s="148"/>
      <c r="HQ61" s="148"/>
      <c r="HR61" s="148"/>
      <c r="HS61" s="148"/>
      <c r="HT61" s="148"/>
      <c r="HU61" s="148"/>
      <c r="HV61" s="148"/>
      <c r="HW61" s="148"/>
      <c r="HX61" s="148"/>
      <c r="HY61" s="148"/>
      <c r="HZ61" s="148"/>
      <c r="IA61" s="148"/>
      <c r="IB61" s="148"/>
      <c r="IC61" s="148"/>
      <c r="ID61" s="148"/>
      <c r="IE61" s="148"/>
      <c r="IF61" s="148"/>
      <c r="IG61" s="148"/>
      <c r="IH61" s="148"/>
      <c r="II61" s="148"/>
      <c r="IJ61" s="148"/>
      <c r="IK61" s="148"/>
      <c r="IL61" s="148"/>
      <c r="IM61" s="148"/>
      <c r="IN61" s="148"/>
      <c r="IO61" s="148"/>
      <c r="IP61" s="148"/>
      <c r="IQ61" s="148"/>
      <c r="IR61" s="148"/>
      <c r="IS61" s="148"/>
      <c r="IT61" s="148"/>
      <c r="IU61" s="148"/>
      <c r="IV61" s="148"/>
      <c r="IW61" s="148"/>
      <c r="IX61" s="148"/>
      <c r="IY61" s="148"/>
      <c r="IZ61" s="148"/>
      <c r="JA61" s="148"/>
      <c r="JB61" s="148"/>
      <c r="JC61" s="148"/>
      <c r="JD61" s="148"/>
      <c r="JE61" s="148"/>
      <c r="JF61" s="148"/>
      <c r="JG61" s="148"/>
      <c r="JH61" s="148"/>
      <c r="JI61" s="148"/>
      <c r="JJ61" s="148"/>
      <c r="JK61" s="148"/>
      <c r="JL61" s="148"/>
      <c r="JM61" s="148"/>
      <c r="JN61" s="148"/>
      <c r="JO61" s="148"/>
      <c r="JP61" s="148"/>
      <c r="JQ61" s="148"/>
      <c r="JR61" s="148"/>
      <c r="JS61" s="148"/>
      <c r="JT61" s="148"/>
      <c r="JU61" s="148"/>
      <c r="JV61" s="148"/>
      <c r="JW61" s="148"/>
      <c r="JX61" s="148"/>
      <c r="JY61" s="148"/>
      <c r="JZ61" s="148"/>
      <c r="KA61" s="148"/>
      <c r="KB61" s="148"/>
      <c r="KC61" s="148"/>
      <c r="KD61" s="148"/>
      <c r="KE61" s="148"/>
      <c r="KF61" s="148"/>
      <c r="KG61" s="148"/>
      <c r="KH61" s="148"/>
      <c r="KI61" s="148"/>
      <c r="KJ61" s="148"/>
      <c r="KK61" s="148"/>
      <c r="KL61" s="148"/>
      <c r="KM61" s="148"/>
      <c r="KN61" s="148"/>
      <c r="KO61" s="148"/>
      <c r="KP61" s="148"/>
      <c r="KQ61" s="148"/>
      <c r="KR61" s="148"/>
      <c r="KS61" s="148"/>
      <c r="KT61" s="148"/>
      <c r="KU61" s="148"/>
      <c r="KV61" s="148"/>
      <c r="KW61" s="148"/>
      <c r="KX61" s="148"/>
      <c r="KY61" s="148"/>
      <c r="KZ61" s="148"/>
      <c r="LA61" s="148"/>
      <c r="LB61" s="148"/>
      <c r="LC61" s="148"/>
      <c r="LD61" s="148"/>
      <c r="LE61" s="148"/>
      <c r="LF61" s="148"/>
      <c r="LG61" s="148"/>
      <c r="LH61" s="148"/>
      <c r="LI61" s="148"/>
      <c r="LJ61" s="148"/>
      <c r="LK61" s="148"/>
      <c r="LL61" s="148"/>
      <c r="LM61" s="148"/>
      <c r="LN61" s="148"/>
      <c r="LO61" s="148"/>
      <c r="LP61" s="148"/>
      <c r="LQ61" s="148"/>
      <c r="LR61" s="148"/>
      <c r="LS61" s="148"/>
      <c r="LT61" s="148"/>
      <c r="LU61" s="148"/>
      <c r="LV61" s="148"/>
      <c r="LW61" s="148"/>
      <c r="LX61" s="148"/>
      <c r="LY61" s="148"/>
      <c r="LZ61" s="148"/>
      <c r="MA61" s="148"/>
      <c r="MB61" s="148"/>
      <c r="MC61" s="148"/>
      <c r="MD61" s="148"/>
      <c r="ME61" s="148"/>
      <c r="MF61" s="148"/>
      <c r="MG61" s="148"/>
      <c r="MH61" s="148"/>
      <c r="MI61" s="148"/>
      <c r="MJ61" s="148"/>
      <c r="MK61" s="148"/>
      <c r="ML61" s="148"/>
      <c r="MM61" s="148"/>
      <c r="MN61" s="148"/>
      <c r="MO61" s="148"/>
      <c r="MP61" s="148"/>
      <c r="MQ61" s="148"/>
      <c r="MR61" s="148"/>
      <c r="MS61" s="148"/>
      <c r="MT61" s="148"/>
      <c r="MU61" s="148"/>
      <c r="MV61" s="148"/>
      <c r="MW61" s="148"/>
      <c r="MX61" s="148"/>
      <c r="MY61" s="148"/>
      <c r="MZ61" s="148"/>
      <c r="NA61" s="148"/>
      <c r="NB61" s="148"/>
      <c r="NC61" s="148"/>
      <c r="ND61" s="148"/>
      <c r="NE61" s="148"/>
      <c r="NF61" s="148"/>
      <c r="NG61" s="148"/>
      <c r="NH61" s="148"/>
      <c r="NI61" s="148"/>
      <c r="NJ61" s="148"/>
      <c r="NK61" s="148"/>
      <c r="NL61" s="148"/>
      <c r="NM61" s="148"/>
      <c r="NN61" s="148"/>
      <c r="NO61" s="148"/>
      <c r="NP61" s="148"/>
      <c r="NQ61" s="148"/>
      <c r="NR61" s="148"/>
      <c r="NS61" s="148"/>
      <c r="NT61" s="148"/>
      <c r="NU61" s="148"/>
      <c r="NV61" s="148"/>
      <c r="NW61" s="148"/>
      <c r="NX61" s="148"/>
      <c r="NY61" s="148"/>
      <c r="NZ61" s="148"/>
      <c r="OA61" s="148"/>
      <c r="OB61" s="148"/>
      <c r="OC61" s="148"/>
      <c r="OD61" s="148"/>
      <c r="OE61" s="148"/>
      <c r="OF61" s="148"/>
      <c r="OG61" s="148"/>
      <c r="OH61" s="148"/>
      <c r="OI61" s="148"/>
      <c r="OJ61" s="148"/>
      <c r="OK61" s="148"/>
      <c r="OL61" s="148"/>
      <c r="OM61" s="148"/>
      <c r="ON61" s="148"/>
      <c r="OO61" s="148"/>
      <c r="OP61" s="148"/>
      <c r="OQ61" s="148"/>
      <c r="OR61" s="148"/>
      <c r="OS61" s="148"/>
      <c r="OT61" s="148"/>
      <c r="OU61" s="148"/>
      <c r="OV61" s="148"/>
      <c r="OW61" s="148"/>
      <c r="OX61" s="148"/>
      <c r="OY61" s="148"/>
      <c r="OZ61" s="148"/>
      <c r="PA61" s="148"/>
      <c r="PB61" s="148"/>
      <c r="PC61" s="148"/>
      <c r="PD61" s="148"/>
      <c r="PE61" s="148"/>
      <c r="PF61" s="148"/>
      <c r="PG61" s="148"/>
      <c r="PH61" s="148"/>
      <c r="PI61" s="148"/>
      <c r="PJ61" s="148"/>
      <c r="PK61" s="148"/>
      <c r="PL61" s="148"/>
      <c r="PM61" s="148"/>
      <c r="PN61" s="148"/>
      <c r="PO61" s="148"/>
      <c r="PP61" s="148"/>
      <c r="PQ61" s="148"/>
      <c r="PR61" s="148"/>
      <c r="PS61" s="148"/>
      <c r="PT61" s="148"/>
      <c r="PU61" s="148"/>
      <c r="PV61" s="148"/>
      <c r="PW61" s="148"/>
      <c r="PX61" s="148"/>
      <c r="PY61" s="148"/>
      <c r="PZ61" s="148"/>
      <c r="QA61" s="148"/>
      <c r="QB61" s="148"/>
      <c r="QC61" s="148"/>
      <c r="QD61" s="148"/>
      <c r="QE61" s="148"/>
      <c r="QF61" s="148"/>
      <c r="QG61" s="148"/>
      <c r="QH61" s="148"/>
      <c r="QI61" s="148"/>
      <c r="QJ61" s="148"/>
      <c r="QK61" s="148"/>
      <c r="QL61" s="148"/>
      <c r="QM61" s="148"/>
      <c r="QN61" s="148"/>
      <c r="QO61" s="148"/>
      <c r="QP61" s="148"/>
      <c r="QQ61" s="148"/>
      <c r="QR61" s="148"/>
      <c r="QS61" s="148"/>
      <c r="QT61" s="148"/>
      <c r="QU61" s="148"/>
      <c r="QV61" s="148"/>
      <c r="QW61" s="148"/>
      <c r="QX61" s="148"/>
      <c r="QY61" s="148"/>
      <c r="QZ61" s="148"/>
      <c r="RA61" s="148"/>
      <c r="RB61" s="148"/>
      <c r="RC61" s="148"/>
      <c r="RD61" s="148"/>
      <c r="RE61" s="148"/>
      <c r="RF61" s="148"/>
      <c r="RG61" s="148"/>
      <c r="RH61" s="148"/>
      <c r="RI61" s="148"/>
      <c r="RJ61" s="148"/>
      <c r="RK61" s="148"/>
      <c r="RL61" s="148"/>
      <c r="RM61" s="148"/>
      <c r="RN61" s="148"/>
      <c r="RO61" s="148"/>
      <c r="RP61" s="148"/>
      <c r="RQ61" s="148"/>
      <c r="RR61" s="148"/>
    </row>
    <row r="62" spans="1:486" s="15" customFormat="1" x14ac:dyDescent="0.25">
      <c r="A62" s="148"/>
      <c r="B62" s="350">
        <v>47</v>
      </c>
      <c r="C62" s="650" t="s">
        <v>894</v>
      </c>
      <c r="D62" s="631">
        <v>30485780</v>
      </c>
      <c r="E62" s="344" t="s">
        <v>2808</v>
      </c>
      <c r="F62" s="344" t="s">
        <v>45</v>
      </c>
      <c r="G62" s="17" t="s">
        <v>2693</v>
      </c>
      <c r="H62" s="317" t="s">
        <v>2715</v>
      </c>
      <c r="I62" s="346" t="s">
        <v>43</v>
      </c>
      <c r="J62" s="341" t="s">
        <v>2809</v>
      </c>
      <c r="K62" s="633">
        <v>0</v>
      </c>
      <c r="L62" s="633">
        <v>0</v>
      </c>
      <c r="M62" s="633">
        <v>0</v>
      </c>
      <c r="N62" s="633">
        <v>0</v>
      </c>
      <c r="O62" s="633">
        <v>0</v>
      </c>
      <c r="P62" s="633">
        <v>0</v>
      </c>
      <c r="Q62" s="633">
        <v>0</v>
      </c>
      <c r="R62" s="633">
        <v>0</v>
      </c>
      <c r="S62" s="633"/>
      <c r="T62" s="633"/>
      <c r="U62" s="633"/>
      <c r="V62" s="633"/>
      <c r="W62" s="633"/>
      <c r="X62" s="633"/>
      <c r="Y62" s="633">
        <f t="shared" si="1"/>
        <v>0</v>
      </c>
      <c r="Z62" s="407">
        <v>1</v>
      </c>
      <c r="AA62" s="635" t="s">
        <v>2769</v>
      </c>
      <c r="AB62" s="23">
        <v>44232</v>
      </c>
      <c r="AC62" s="23">
        <v>44250</v>
      </c>
      <c r="AD62" s="637"/>
      <c r="AE62" s="20"/>
      <c r="AF62" s="21"/>
      <c r="AG62" s="23"/>
      <c r="AH62" s="637"/>
      <c r="AI62" s="19"/>
      <c r="AJ62" s="21"/>
      <c r="AK62" s="25"/>
      <c r="AL62" s="309"/>
      <c r="AM62" s="19"/>
      <c r="AN62" s="21"/>
      <c r="AO62" s="25"/>
      <c r="AP62" s="309"/>
      <c r="AQ62" s="19"/>
      <c r="AR62" s="21"/>
      <c r="AS62" s="25"/>
      <c r="AT62" s="638">
        <f t="shared" si="2"/>
        <v>1</v>
      </c>
      <c r="AU62" s="311">
        <f t="shared" si="0"/>
        <v>1</v>
      </c>
      <c r="AV62" s="148"/>
      <c r="AW62" s="148"/>
      <c r="AX62" s="148"/>
      <c r="AY62" s="148"/>
      <c r="AZ62" s="148"/>
      <c r="BA62" s="148"/>
      <c r="BB62" s="148"/>
      <c r="BC62" s="148"/>
      <c r="BD62" s="148"/>
      <c r="BE62" s="148"/>
      <c r="BF62" s="148"/>
      <c r="BG62" s="148"/>
      <c r="BH62" s="148"/>
      <c r="BI62" s="148"/>
      <c r="BJ62" s="148"/>
      <c r="BK62" s="148"/>
      <c r="BL62" s="148"/>
      <c r="BM62" s="148"/>
      <c r="BN62" s="148"/>
      <c r="BO62" s="148"/>
      <c r="BP62" s="148"/>
      <c r="BQ62" s="148"/>
      <c r="BR62" s="148"/>
      <c r="BS62" s="148"/>
      <c r="BT62" s="148"/>
      <c r="BU62" s="148"/>
      <c r="BV62" s="148"/>
      <c r="BW62" s="148"/>
      <c r="BX62" s="148"/>
      <c r="BY62" s="148"/>
      <c r="BZ62" s="148"/>
      <c r="CA62" s="148"/>
      <c r="CB62" s="148"/>
      <c r="CC62" s="148"/>
      <c r="CD62" s="148"/>
      <c r="CE62" s="148"/>
      <c r="CF62" s="148"/>
      <c r="CG62" s="148"/>
      <c r="CH62" s="148"/>
      <c r="CI62" s="148"/>
      <c r="CJ62" s="148"/>
      <c r="CK62" s="148"/>
      <c r="CL62" s="148"/>
      <c r="CM62" s="148"/>
      <c r="CN62" s="148"/>
      <c r="CO62" s="148"/>
      <c r="CP62" s="148"/>
      <c r="CQ62" s="148"/>
      <c r="CR62" s="148"/>
      <c r="CS62" s="148"/>
      <c r="CT62" s="148"/>
      <c r="CU62" s="148"/>
      <c r="CV62" s="148"/>
      <c r="CW62" s="148"/>
      <c r="CX62" s="148"/>
      <c r="CY62" s="148"/>
      <c r="CZ62" s="148"/>
      <c r="DA62" s="148"/>
      <c r="DB62" s="148"/>
      <c r="DC62" s="148"/>
      <c r="DD62" s="148"/>
      <c r="DE62" s="148"/>
      <c r="DF62" s="148"/>
      <c r="DG62" s="148"/>
      <c r="DH62" s="148"/>
      <c r="DI62" s="148"/>
      <c r="DJ62" s="148"/>
      <c r="DK62" s="148"/>
      <c r="DL62" s="148"/>
      <c r="DM62" s="148"/>
      <c r="DN62" s="148"/>
      <c r="DO62" s="148"/>
      <c r="DP62" s="148"/>
      <c r="DQ62" s="148"/>
      <c r="DR62" s="148"/>
      <c r="DS62" s="148"/>
      <c r="DT62" s="148"/>
      <c r="DU62" s="148"/>
      <c r="DV62" s="148"/>
      <c r="DW62" s="148"/>
      <c r="DX62" s="148"/>
      <c r="DY62" s="148"/>
      <c r="DZ62" s="148"/>
      <c r="EA62" s="148"/>
      <c r="EB62" s="148"/>
      <c r="EC62" s="148"/>
      <c r="ED62" s="148"/>
      <c r="EE62" s="148"/>
      <c r="EF62" s="148"/>
      <c r="EG62" s="148"/>
      <c r="EH62" s="148"/>
      <c r="EI62" s="148"/>
      <c r="EJ62" s="148"/>
      <c r="EK62" s="148"/>
      <c r="EL62" s="148"/>
      <c r="EM62" s="148"/>
      <c r="EN62" s="148"/>
      <c r="EO62" s="148"/>
      <c r="EP62" s="148"/>
      <c r="EQ62" s="148"/>
      <c r="ER62" s="148"/>
      <c r="ES62" s="148"/>
      <c r="ET62" s="148"/>
      <c r="EU62" s="148"/>
      <c r="EV62" s="148"/>
      <c r="EW62" s="148"/>
      <c r="EX62" s="148"/>
      <c r="EY62" s="148"/>
      <c r="EZ62" s="148"/>
      <c r="FA62" s="148"/>
      <c r="FB62" s="148"/>
      <c r="FC62" s="148"/>
      <c r="FD62" s="148"/>
      <c r="FE62" s="148"/>
      <c r="FF62" s="148"/>
      <c r="FG62" s="148"/>
      <c r="FH62" s="148"/>
      <c r="FI62" s="148"/>
      <c r="FJ62" s="148"/>
      <c r="FK62" s="148"/>
      <c r="FL62" s="148"/>
      <c r="FM62" s="148"/>
      <c r="FN62" s="148"/>
      <c r="FO62" s="148"/>
      <c r="FP62" s="148"/>
      <c r="FQ62" s="148"/>
      <c r="FR62" s="148"/>
      <c r="FS62" s="148"/>
      <c r="FT62" s="148"/>
      <c r="FU62" s="148"/>
      <c r="FV62" s="148"/>
      <c r="FW62" s="148"/>
      <c r="FX62" s="148"/>
      <c r="FY62" s="148"/>
      <c r="FZ62" s="148"/>
      <c r="GA62" s="148"/>
      <c r="GB62" s="148"/>
      <c r="GC62" s="148"/>
      <c r="GD62" s="148"/>
      <c r="GE62" s="148"/>
      <c r="GF62" s="148"/>
      <c r="GG62" s="148"/>
      <c r="GH62" s="148"/>
      <c r="GI62" s="148"/>
      <c r="GJ62" s="148"/>
      <c r="GK62" s="148"/>
      <c r="GL62" s="148"/>
      <c r="GM62" s="148"/>
      <c r="GN62" s="148"/>
      <c r="GO62" s="148"/>
      <c r="GP62" s="148"/>
      <c r="GQ62" s="148"/>
      <c r="GR62" s="148"/>
      <c r="GS62" s="148"/>
      <c r="GT62" s="148"/>
      <c r="GU62" s="148"/>
      <c r="GV62" s="148"/>
      <c r="GW62" s="148"/>
      <c r="GX62" s="148"/>
      <c r="GY62" s="148"/>
      <c r="GZ62" s="148"/>
      <c r="HA62" s="148"/>
      <c r="HB62" s="148"/>
      <c r="HC62" s="148"/>
      <c r="HD62" s="148"/>
      <c r="HE62" s="148"/>
      <c r="HF62" s="148"/>
      <c r="HG62" s="148"/>
      <c r="HH62" s="148"/>
      <c r="HI62" s="148"/>
      <c r="HJ62" s="148"/>
      <c r="HK62" s="148"/>
      <c r="HL62" s="148"/>
      <c r="HM62" s="148"/>
      <c r="HN62" s="148"/>
      <c r="HO62" s="148"/>
      <c r="HP62" s="148"/>
      <c r="HQ62" s="148"/>
      <c r="HR62" s="148"/>
      <c r="HS62" s="148"/>
      <c r="HT62" s="148"/>
      <c r="HU62" s="148"/>
      <c r="HV62" s="148"/>
      <c r="HW62" s="148"/>
      <c r="HX62" s="148"/>
      <c r="HY62" s="148"/>
      <c r="HZ62" s="148"/>
      <c r="IA62" s="148"/>
      <c r="IB62" s="148"/>
      <c r="IC62" s="148"/>
      <c r="ID62" s="148"/>
      <c r="IE62" s="148"/>
      <c r="IF62" s="148"/>
      <c r="IG62" s="148"/>
      <c r="IH62" s="148"/>
      <c r="II62" s="148"/>
      <c r="IJ62" s="148"/>
      <c r="IK62" s="148"/>
      <c r="IL62" s="148"/>
      <c r="IM62" s="148"/>
      <c r="IN62" s="148"/>
      <c r="IO62" s="148"/>
      <c r="IP62" s="148"/>
      <c r="IQ62" s="148"/>
      <c r="IR62" s="148"/>
      <c r="IS62" s="148"/>
      <c r="IT62" s="148"/>
      <c r="IU62" s="148"/>
      <c r="IV62" s="148"/>
      <c r="IW62" s="148"/>
      <c r="IX62" s="148"/>
      <c r="IY62" s="148"/>
      <c r="IZ62" s="148"/>
      <c r="JA62" s="148"/>
      <c r="JB62" s="148"/>
      <c r="JC62" s="148"/>
      <c r="JD62" s="148"/>
      <c r="JE62" s="148"/>
      <c r="JF62" s="148"/>
      <c r="JG62" s="148"/>
      <c r="JH62" s="148"/>
      <c r="JI62" s="148"/>
      <c r="JJ62" s="148"/>
      <c r="JK62" s="148"/>
      <c r="JL62" s="148"/>
      <c r="JM62" s="148"/>
      <c r="JN62" s="148"/>
      <c r="JO62" s="148"/>
      <c r="JP62" s="148"/>
      <c r="JQ62" s="148"/>
      <c r="JR62" s="148"/>
      <c r="JS62" s="148"/>
      <c r="JT62" s="148"/>
      <c r="JU62" s="148"/>
      <c r="JV62" s="148"/>
      <c r="JW62" s="148"/>
      <c r="JX62" s="148"/>
      <c r="JY62" s="148"/>
      <c r="JZ62" s="148"/>
      <c r="KA62" s="148"/>
      <c r="KB62" s="148"/>
      <c r="KC62" s="148"/>
      <c r="KD62" s="148"/>
      <c r="KE62" s="148"/>
      <c r="KF62" s="148"/>
      <c r="KG62" s="148"/>
      <c r="KH62" s="148"/>
      <c r="KI62" s="148"/>
      <c r="KJ62" s="148"/>
      <c r="KK62" s="148"/>
      <c r="KL62" s="148"/>
      <c r="KM62" s="148"/>
      <c r="KN62" s="148"/>
      <c r="KO62" s="148"/>
      <c r="KP62" s="148"/>
      <c r="KQ62" s="148"/>
      <c r="KR62" s="148"/>
      <c r="KS62" s="148"/>
      <c r="KT62" s="148"/>
      <c r="KU62" s="148"/>
      <c r="KV62" s="148"/>
      <c r="KW62" s="148"/>
      <c r="KX62" s="148"/>
      <c r="KY62" s="148"/>
      <c r="KZ62" s="148"/>
      <c r="LA62" s="148"/>
      <c r="LB62" s="148"/>
      <c r="LC62" s="148"/>
      <c r="LD62" s="148"/>
      <c r="LE62" s="148"/>
      <c r="LF62" s="148"/>
      <c r="LG62" s="148"/>
      <c r="LH62" s="148"/>
      <c r="LI62" s="148"/>
      <c r="LJ62" s="148"/>
      <c r="LK62" s="148"/>
      <c r="LL62" s="148"/>
      <c r="LM62" s="148"/>
      <c r="LN62" s="148"/>
      <c r="LO62" s="148"/>
      <c r="LP62" s="148"/>
      <c r="LQ62" s="148"/>
      <c r="LR62" s="148"/>
      <c r="LS62" s="148"/>
      <c r="LT62" s="148"/>
      <c r="LU62" s="148"/>
      <c r="LV62" s="148"/>
      <c r="LW62" s="148"/>
      <c r="LX62" s="148"/>
      <c r="LY62" s="148"/>
      <c r="LZ62" s="148"/>
      <c r="MA62" s="148"/>
      <c r="MB62" s="148"/>
      <c r="MC62" s="148"/>
      <c r="MD62" s="148"/>
      <c r="ME62" s="148"/>
      <c r="MF62" s="148"/>
      <c r="MG62" s="148"/>
      <c r="MH62" s="148"/>
      <c r="MI62" s="148"/>
      <c r="MJ62" s="148"/>
      <c r="MK62" s="148"/>
      <c r="ML62" s="148"/>
      <c r="MM62" s="148"/>
      <c r="MN62" s="148"/>
      <c r="MO62" s="148"/>
      <c r="MP62" s="148"/>
      <c r="MQ62" s="148"/>
      <c r="MR62" s="148"/>
      <c r="MS62" s="148"/>
      <c r="MT62" s="148"/>
      <c r="MU62" s="148"/>
      <c r="MV62" s="148"/>
      <c r="MW62" s="148"/>
      <c r="MX62" s="148"/>
      <c r="MY62" s="148"/>
      <c r="MZ62" s="148"/>
      <c r="NA62" s="148"/>
      <c r="NB62" s="148"/>
      <c r="NC62" s="148"/>
      <c r="ND62" s="148"/>
      <c r="NE62" s="148"/>
      <c r="NF62" s="148"/>
      <c r="NG62" s="148"/>
      <c r="NH62" s="148"/>
      <c r="NI62" s="148"/>
      <c r="NJ62" s="148"/>
      <c r="NK62" s="148"/>
      <c r="NL62" s="148"/>
      <c r="NM62" s="148"/>
      <c r="NN62" s="148"/>
      <c r="NO62" s="148"/>
      <c r="NP62" s="148"/>
      <c r="NQ62" s="148"/>
      <c r="NR62" s="148"/>
      <c r="NS62" s="148"/>
      <c r="NT62" s="148"/>
      <c r="NU62" s="148"/>
      <c r="NV62" s="148"/>
      <c r="NW62" s="148"/>
      <c r="NX62" s="148"/>
      <c r="NY62" s="148"/>
      <c r="NZ62" s="148"/>
      <c r="OA62" s="148"/>
      <c r="OB62" s="148"/>
      <c r="OC62" s="148"/>
      <c r="OD62" s="148"/>
      <c r="OE62" s="148"/>
      <c r="OF62" s="148"/>
      <c r="OG62" s="148"/>
      <c r="OH62" s="148"/>
      <c r="OI62" s="148"/>
      <c r="OJ62" s="148"/>
      <c r="OK62" s="148"/>
      <c r="OL62" s="148"/>
      <c r="OM62" s="148"/>
      <c r="ON62" s="148"/>
      <c r="OO62" s="148"/>
      <c r="OP62" s="148"/>
      <c r="OQ62" s="148"/>
      <c r="OR62" s="148"/>
      <c r="OS62" s="148"/>
      <c r="OT62" s="148"/>
      <c r="OU62" s="148"/>
      <c r="OV62" s="148"/>
      <c r="OW62" s="148"/>
      <c r="OX62" s="148"/>
      <c r="OY62" s="148"/>
      <c r="OZ62" s="148"/>
      <c r="PA62" s="148"/>
      <c r="PB62" s="148"/>
      <c r="PC62" s="148"/>
      <c r="PD62" s="148"/>
      <c r="PE62" s="148"/>
      <c r="PF62" s="148"/>
      <c r="PG62" s="148"/>
      <c r="PH62" s="148"/>
      <c r="PI62" s="148"/>
      <c r="PJ62" s="148"/>
      <c r="PK62" s="148"/>
      <c r="PL62" s="148"/>
      <c r="PM62" s="148"/>
      <c r="PN62" s="148"/>
      <c r="PO62" s="148"/>
      <c r="PP62" s="148"/>
      <c r="PQ62" s="148"/>
      <c r="PR62" s="148"/>
      <c r="PS62" s="148"/>
      <c r="PT62" s="148"/>
      <c r="PU62" s="148"/>
      <c r="PV62" s="148"/>
      <c r="PW62" s="148"/>
      <c r="PX62" s="148"/>
      <c r="PY62" s="148"/>
      <c r="PZ62" s="148"/>
      <c r="QA62" s="148"/>
      <c r="QB62" s="148"/>
      <c r="QC62" s="148"/>
      <c r="QD62" s="148"/>
      <c r="QE62" s="148"/>
      <c r="QF62" s="148"/>
      <c r="QG62" s="148"/>
      <c r="QH62" s="148"/>
      <c r="QI62" s="148"/>
      <c r="QJ62" s="148"/>
      <c r="QK62" s="148"/>
      <c r="QL62" s="148"/>
      <c r="QM62" s="148"/>
      <c r="QN62" s="148"/>
      <c r="QO62" s="148"/>
      <c r="QP62" s="148"/>
      <c r="QQ62" s="148"/>
      <c r="QR62" s="148"/>
      <c r="QS62" s="148"/>
      <c r="QT62" s="148"/>
      <c r="QU62" s="148"/>
      <c r="QV62" s="148"/>
      <c r="QW62" s="148"/>
      <c r="QX62" s="148"/>
      <c r="QY62" s="148"/>
      <c r="QZ62" s="148"/>
      <c r="RA62" s="148"/>
      <c r="RB62" s="148"/>
      <c r="RC62" s="148"/>
      <c r="RD62" s="148"/>
      <c r="RE62" s="148"/>
      <c r="RF62" s="148"/>
      <c r="RG62" s="148"/>
      <c r="RH62" s="148"/>
      <c r="RI62" s="148"/>
      <c r="RJ62" s="148"/>
      <c r="RK62" s="148"/>
      <c r="RL62" s="148"/>
      <c r="RM62" s="148"/>
      <c r="RN62" s="148"/>
      <c r="RO62" s="148"/>
      <c r="RP62" s="148"/>
      <c r="RQ62" s="148"/>
      <c r="RR62" s="148"/>
    </row>
    <row r="63" spans="1:486" s="15" customFormat="1" x14ac:dyDescent="0.25">
      <c r="A63" s="148"/>
      <c r="B63" s="350">
        <v>48</v>
      </c>
      <c r="C63" s="650" t="s">
        <v>894</v>
      </c>
      <c r="D63" s="631">
        <v>40010037</v>
      </c>
      <c r="E63" s="344" t="s">
        <v>2810</v>
      </c>
      <c r="F63" s="344" t="s">
        <v>45</v>
      </c>
      <c r="G63" s="17" t="s">
        <v>2693</v>
      </c>
      <c r="H63" s="317" t="s">
        <v>2811</v>
      </c>
      <c r="I63" s="346" t="s">
        <v>43</v>
      </c>
      <c r="J63" s="341" t="s">
        <v>2812</v>
      </c>
      <c r="K63" s="633">
        <v>0</v>
      </c>
      <c r="L63" s="633">
        <v>0</v>
      </c>
      <c r="M63" s="633">
        <v>0</v>
      </c>
      <c r="N63" s="633">
        <v>0</v>
      </c>
      <c r="O63" s="633">
        <v>0</v>
      </c>
      <c r="P63" s="633">
        <v>0</v>
      </c>
      <c r="Q63" s="633">
        <v>0</v>
      </c>
      <c r="R63" s="633">
        <v>0</v>
      </c>
      <c r="S63" s="633"/>
      <c r="T63" s="633"/>
      <c r="U63" s="633"/>
      <c r="V63" s="633"/>
      <c r="W63" s="633"/>
      <c r="X63" s="633"/>
      <c r="Y63" s="633">
        <f t="shared" si="1"/>
        <v>0</v>
      </c>
      <c r="Z63" s="407">
        <v>10000</v>
      </c>
      <c r="AA63" s="635" t="s">
        <v>2769</v>
      </c>
      <c r="AB63" s="23">
        <v>44232</v>
      </c>
      <c r="AC63" s="23">
        <v>44250</v>
      </c>
      <c r="AD63" s="637"/>
      <c r="AE63" s="20"/>
      <c r="AF63" s="21"/>
      <c r="AG63" s="23"/>
      <c r="AH63" s="637"/>
      <c r="AI63" s="19"/>
      <c r="AJ63" s="21"/>
      <c r="AK63" s="25"/>
      <c r="AL63" s="309"/>
      <c r="AM63" s="19"/>
      <c r="AN63" s="21"/>
      <c r="AO63" s="25"/>
      <c r="AP63" s="309"/>
      <c r="AQ63" s="19"/>
      <c r="AR63" s="21"/>
      <c r="AS63" s="25"/>
      <c r="AT63" s="638">
        <f t="shared" si="2"/>
        <v>10000</v>
      </c>
      <c r="AU63" s="311">
        <f t="shared" si="0"/>
        <v>10000</v>
      </c>
      <c r="AV63" s="148"/>
      <c r="AW63" s="148"/>
      <c r="AX63" s="148"/>
      <c r="AY63" s="148"/>
      <c r="AZ63" s="148"/>
      <c r="BA63" s="148"/>
      <c r="BB63" s="148"/>
      <c r="BC63" s="148"/>
      <c r="BD63" s="148"/>
      <c r="BE63" s="148"/>
      <c r="BF63" s="148"/>
      <c r="BG63" s="148"/>
      <c r="BH63" s="148"/>
      <c r="BI63" s="148"/>
      <c r="BJ63" s="148"/>
      <c r="BK63" s="148"/>
      <c r="BL63" s="148"/>
      <c r="BM63" s="148"/>
      <c r="BN63" s="148"/>
      <c r="BO63" s="148"/>
      <c r="BP63" s="148"/>
      <c r="BQ63" s="148"/>
      <c r="BR63" s="148"/>
      <c r="BS63" s="148"/>
      <c r="BT63" s="148"/>
      <c r="BU63" s="148"/>
      <c r="BV63" s="148"/>
      <c r="BW63" s="148"/>
      <c r="BX63" s="148"/>
      <c r="BY63" s="148"/>
      <c r="BZ63" s="148"/>
      <c r="CA63" s="148"/>
      <c r="CB63" s="148"/>
      <c r="CC63" s="148"/>
      <c r="CD63" s="148"/>
      <c r="CE63" s="148"/>
      <c r="CF63" s="148"/>
      <c r="CG63" s="148"/>
      <c r="CH63" s="148"/>
      <c r="CI63" s="148"/>
      <c r="CJ63" s="148"/>
      <c r="CK63" s="148"/>
      <c r="CL63" s="148"/>
      <c r="CM63" s="148"/>
      <c r="CN63" s="148"/>
      <c r="CO63" s="148"/>
      <c r="CP63" s="148"/>
      <c r="CQ63" s="148"/>
      <c r="CR63" s="148"/>
      <c r="CS63" s="148"/>
      <c r="CT63" s="148"/>
      <c r="CU63" s="148"/>
      <c r="CV63" s="148"/>
      <c r="CW63" s="148"/>
      <c r="CX63" s="148"/>
      <c r="CY63" s="148"/>
      <c r="CZ63" s="148"/>
      <c r="DA63" s="148"/>
      <c r="DB63" s="148"/>
      <c r="DC63" s="148"/>
      <c r="DD63" s="148"/>
      <c r="DE63" s="148"/>
      <c r="DF63" s="148"/>
      <c r="DG63" s="148"/>
      <c r="DH63" s="148"/>
      <c r="DI63" s="148"/>
      <c r="DJ63" s="148"/>
      <c r="DK63" s="148"/>
      <c r="DL63" s="148"/>
      <c r="DM63" s="148"/>
      <c r="DN63" s="148"/>
      <c r="DO63" s="148"/>
      <c r="DP63" s="148"/>
      <c r="DQ63" s="148"/>
      <c r="DR63" s="148"/>
      <c r="DS63" s="148"/>
      <c r="DT63" s="148"/>
      <c r="DU63" s="148"/>
      <c r="DV63" s="148"/>
      <c r="DW63" s="148"/>
      <c r="DX63" s="148"/>
      <c r="DY63" s="148"/>
      <c r="DZ63" s="148"/>
      <c r="EA63" s="148"/>
      <c r="EB63" s="148"/>
      <c r="EC63" s="148"/>
      <c r="ED63" s="148"/>
      <c r="EE63" s="148"/>
      <c r="EF63" s="148"/>
      <c r="EG63" s="148"/>
      <c r="EH63" s="148"/>
      <c r="EI63" s="148"/>
      <c r="EJ63" s="148"/>
      <c r="EK63" s="148"/>
      <c r="EL63" s="148"/>
      <c r="EM63" s="148"/>
      <c r="EN63" s="148"/>
      <c r="EO63" s="148"/>
      <c r="EP63" s="148"/>
      <c r="EQ63" s="148"/>
      <c r="ER63" s="148"/>
      <c r="ES63" s="148"/>
      <c r="ET63" s="148"/>
      <c r="EU63" s="148"/>
      <c r="EV63" s="148"/>
      <c r="EW63" s="148"/>
      <c r="EX63" s="148"/>
      <c r="EY63" s="148"/>
      <c r="EZ63" s="148"/>
      <c r="FA63" s="148"/>
      <c r="FB63" s="148"/>
      <c r="FC63" s="148"/>
      <c r="FD63" s="148"/>
      <c r="FE63" s="148"/>
      <c r="FF63" s="148"/>
      <c r="FG63" s="148"/>
      <c r="FH63" s="148"/>
      <c r="FI63" s="148"/>
      <c r="FJ63" s="148"/>
      <c r="FK63" s="148"/>
      <c r="FL63" s="148"/>
      <c r="FM63" s="148"/>
      <c r="FN63" s="148"/>
      <c r="FO63" s="148"/>
      <c r="FP63" s="148"/>
      <c r="FQ63" s="148"/>
      <c r="FR63" s="148"/>
      <c r="FS63" s="148"/>
      <c r="FT63" s="148"/>
      <c r="FU63" s="148"/>
      <c r="FV63" s="148"/>
      <c r="FW63" s="148"/>
      <c r="FX63" s="148"/>
      <c r="FY63" s="148"/>
      <c r="FZ63" s="148"/>
      <c r="GA63" s="148"/>
      <c r="GB63" s="148"/>
      <c r="GC63" s="148"/>
      <c r="GD63" s="148"/>
      <c r="GE63" s="148"/>
      <c r="GF63" s="148"/>
      <c r="GG63" s="148"/>
      <c r="GH63" s="148"/>
      <c r="GI63" s="148"/>
      <c r="GJ63" s="148"/>
      <c r="GK63" s="148"/>
      <c r="GL63" s="148"/>
      <c r="GM63" s="148"/>
      <c r="GN63" s="148"/>
      <c r="GO63" s="148"/>
      <c r="GP63" s="148"/>
      <c r="GQ63" s="148"/>
      <c r="GR63" s="148"/>
      <c r="GS63" s="148"/>
      <c r="GT63" s="148"/>
      <c r="GU63" s="148"/>
      <c r="GV63" s="148"/>
      <c r="GW63" s="148"/>
      <c r="GX63" s="148"/>
      <c r="GY63" s="148"/>
      <c r="GZ63" s="148"/>
      <c r="HA63" s="148"/>
      <c r="HB63" s="148"/>
      <c r="HC63" s="148"/>
      <c r="HD63" s="148"/>
      <c r="HE63" s="148"/>
      <c r="HF63" s="148"/>
      <c r="HG63" s="148"/>
      <c r="HH63" s="148"/>
      <c r="HI63" s="148"/>
      <c r="HJ63" s="148"/>
      <c r="HK63" s="148"/>
      <c r="HL63" s="148"/>
      <c r="HM63" s="148"/>
      <c r="HN63" s="148"/>
      <c r="HO63" s="148"/>
      <c r="HP63" s="148"/>
      <c r="HQ63" s="148"/>
      <c r="HR63" s="148"/>
      <c r="HS63" s="148"/>
      <c r="HT63" s="148"/>
      <c r="HU63" s="148"/>
      <c r="HV63" s="148"/>
      <c r="HW63" s="148"/>
      <c r="HX63" s="148"/>
      <c r="HY63" s="148"/>
      <c r="HZ63" s="148"/>
      <c r="IA63" s="148"/>
      <c r="IB63" s="148"/>
      <c r="IC63" s="148"/>
      <c r="ID63" s="148"/>
      <c r="IE63" s="148"/>
      <c r="IF63" s="148"/>
      <c r="IG63" s="148"/>
      <c r="IH63" s="148"/>
      <c r="II63" s="148"/>
      <c r="IJ63" s="148"/>
      <c r="IK63" s="148"/>
      <c r="IL63" s="148"/>
      <c r="IM63" s="148"/>
      <c r="IN63" s="148"/>
      <c r="IO63" s="148"/>
      <c r="IP63" s="148"/>
      <c r="IQ63" s="148"/>
      <c r="IR63" s="148"/>
      <c r="IS63" s="148"/>
      <c r="IT63" s="148"/>
      <c r="IU63" s="148"/>
      <c r="IV63" s="148"/>
      <c r="IW63" s="148"/>
      <c r="IX63" s="148"/>
      <c r="IY63" s="148"/>
      <c r="IZ63" s="148"/>
      <c r="JA63" s="148"/>
      <c r="JB63" s="148"/>
      <c r="JC63" s="148"/>
      <c r="JD63" s="148"/>
      <c r="JE63" s="148"/>
      <c r="JF63" s="148"/>
      <c r="JG63" s="148"/>
      <c r="JH63" s="148"/>
      <c r="JI63" s="148"/>
      <c r="JJ63" s="148"/>
      <c r="JK63" s="148"/>
      <c r="JL63" s="148"/>
      <c r="JM63" s="148"/>
      <c r="JN63" s="148"/>
      <c r="JO63" s="148"/>
      <c r="JP63" s="148"/>
      <c r="JQ63" s="148"/>
      <c r="JR63" s="148"/>
      <c r="JS63" s="148"/>
      <c r="JT63" s="148"/>
      <c r="JU63" s="148"/>
      <c r="JV63" s="148"/>
      <c r="JW63" s="148"/>
      <c r="JX63" s="148"/>
      <c r="JY63" s="148"/>
      <c r="JZ63" s="148"/>
      <c r="KA63" s="148"/>
      <c r="KB63" s="148"/>
      <c r="KC63" s="148"/>
      <c r="KD63" s="148"/>
      <c r="KE63" s="148"/>
      <c r="KF63" s="148"/>
      <c r="KG63" s="148"/>
      <c r="KH63" s="148"/>
      <c r="KI63" s="148"/>
      <c r="KJ63" s="148"/>
      <c r="KK63" s="148"/>
      <c r="KL63" s="148"/>
      <c r="KM63" s="148"/>
      <c r="KN63" s="148"/>
      <c r="KO63" s="148"/>
      <c r="KP63" s="148"/>
      <c r="KQ63" s="148"/>
      <c r="KR63" s="148"/>
      <c r="KS63" s="148"/>
      <c r="KT63" s="148"/>
      <c r="KU63" s="148"/>
      <c r="KV63" s="148"/>
      <c r="KW63" s="148"/>
      <c r="KX63" s="148"/>
      <c r="KY63" s="148"/>
      <c r="KZ63" s="148"/>
      <c r="LA63" s="148"/>
      <c r="LB63" s="148"/>
      <c r="LC63" s="148"/>
      <c r="LD63" s="148"/>
      <c r="LE63" s="148"/>
      <c r="LF63" s="148"/>
      <c r="LG63" s="148"/>
      <c r="LH63" s="148"/>
      <c r="LI63" s="148"/>
      <c r="LJ63" s="148"/>
      <c r="LK63" s="148"/>
      <c r="LL63" s="148"/>
      <c r="LM63" s="148"/>
      <c r="LN63" s="148"/>
      <c r="LO63" s="148"/>
      <c r="LP63" s="148"/>
      <c r="LQ63" s="148"/>
      <c r="LR63" s="148"/>
      <c r="LS63" s="148"/>
      <c r="LT63" s="148"/>
      <c r="LU63" s="148"/>
      <c r="LV63" s="148"/>
      <c r="LW63" s="148"/>
      <c r="LX63" s="148"/>
      <c r="LY63" s="148"/>
      <c r="LZ63" s="148"/>
      <c r="MA63" s="148"/>
      <c r="MB63" s="148"/>
      <c r="MC63" s="148"/>
      <c r="MD63" s="148"/>
      <c r="ME63" s="148"/>
      <c r="MF63" s="148"/>
      <c r="MG63" s="148"/>
      <c r="MH63" s="148"/>
      <c r="MI63" s="148"/>
      <c r="MJ63" s="148"/>
      <c r="MK63" s="148"/>
      <c r="ML63" s="148"/>
      <c r="MM63" s="148"/>
      <c r="MN63" s="148"/>
      <c r="MO63" s="148"/>
      <c r="MP63" s="148"/>
      <c r="MQ63" s="148"/>
      <c r="MR63" s="148"/>
      <c r="MS63" s="148"/>
      <c r="MT63" s="148"/>
      <c r="MU63" s="148"/>
      <c r="MV63" s="148"/>
      <c r="MW63" s="148"/>
      <c r="MX63" s="148"/>
      <c r="MY63" s="148"/>
      <c r="MZ63" s="148"/>
      <c r="NA63" s="148"/>
      <c r="NB63" s="148"/>
      <c r="NC63" s="148"/>
      <c r="ND63" s="148"/>
      <c r="NE63" s="148"/>
      <c r="NF63" s="148"/>
      <c r="NG63" s="148"/>
      <c r="NH63" s="148"/>
      <c r="NI63" s="148"/>
      <c r="NJ63" s="148"/>
      <c r="NK63" s="148"/>
      <c r="NL63" s="148"/>
      <c r="NM63" s="148"/>
      <c r="NN63" s="148"/>
      <c r="NO63" s="148"/>
      <c r="NP63" s="148"/>
      <c r="NQ63" s="148"/>
      <c r="NR63" s="148"/>
      <c r="NS63" s="148"/>
      <c r="NT63" s="148"/>
      <c r="NU63" s="148"/>
      <c r="NV63" s="148"/>
      <c r="NW63" s="148"/>
      <c r="NX63" s="148"/>
      <c r="NY63" s="148"/>
      <c r="NZ63" s="148"/>
      <c r="OA63" s="148"/>
      <c r="OB63" s="148"/>
      <c r="OC63" s="148"/>
      <c r="OD63" s="148"/>
      <c r="OE63" s="148"/>
      <c r="OF63" s="148"/>
      <c r="OG63" s="148"/>
      <c r="OH63" s="148"/>
      <c r="OI63" s="148"/>
      <c r="OJ63" s="148"/>
      <c r="OK63" s="148"/>
      <c r="OL63" s="148"/>
      <c r="OM63" s="148"/>
      <c r="ON63" s="148"/>
      <c r="OO63" s="148"/>
      <c r="OP63" s="148"/>
      <c r="OQ63" s="148"/>
      <c r="OR63" s="148"/>
      <c r="OS63" s="148"/>
      <c r="OT63" s="148"/>
      <c r="OU63" s="148"/>
      <c r="OV63" s="148"/>
      <c r="OW63" s="148"/>
      <c r="OX63" s="148"/>
      <c r="OY63" s="148"/>
      <c r="OZ63" s="148"/>
      <c r="PA63" s="148"/>
      <c r="PB63" s="148"/>
      <c r="PC63" s="148"/>
      <c r="PD63" s="148"/>
      <c r="PE63" s="148"/>
      <c r="PF63" s="148"/>
      <c r="PG63" s="148"/>
      <c r="PH63" s="148"/>
      <c r="PI63" s="148"/>
      <c r="PJ63" s="148"/>
      <c r="PK63" s="148"/>
      <c r="PL63" s="148"/>
      <c r="PM63" s="148"/>
      <c r="PN63" s="148"/>
      <c r="PO63" s="148"/>
      <c r="PP63" s="148"/>
      <c r="PQ63" s="148"/>
      <c r="PR63" s="148"/>
      <c r="PS63" s="148"/>
      <c r="PT63" s="148"/>
      <c r="PU63" s="148"/>
      <c r="PV63" s="148"/>
      <c r="PW63" s="148"/>
      <c r="PX63" s="148"/>
      <c r="PY63" s="148"/>
      <c r="PZ63" s="148"/>
      <c r="QA63" s="148"/>
      <c r="QB63" s="148"/>
      <c r="QC63" s="148"/>
      <c r="QD63" s="148"/>
      <c r="QE63" s="148"/>
      <c r="QF63" s="148"/>
      <c r="QG63" s="148"/>
      <c r="QH63" s="148"/>
      <c r="QI63" s="148"/>
      <c r="QJ63" s="148"/>
      <c r="QK63" s="148"/>
      <c r="QL63" s="148"/>
      <c r="QM63" s="148"/>
      <c r="QN63" s="148"/>
      <c r="QO63" s="148"/>
      <c r="QP63" s="148"/>
      <c r="QQ63" s="148"/>
      <c r="QR63" s="148"/>
      <c r="QS63" s="148"/>
      <c r="QT63" s="148"/>
      <c r="QU63" s="148"/>
      <c r="QV63" s="148"/>
      <c r="QW63" s="148"/>
      <c r="QX63" s="148"/>
      <c r="QY63" s="148"/>
      <c r="QZ63" s="148"/>
      <c r="RA63" s="148"/>
      <c r="RB63" s="148"/>
      <c r="RC63" s="148"/>
      <c r="RD63" s="148"/>
      <c r="RE63" s="148"/>
      <c r="RF63" s="148"/>
      <c r="RG63" s="148"/>
      <c r="RH63" s="148"/>
      <c r="RI63" s="148"/>
      <c r="RJ63" s="148"/>
      <c r="RK63" s="148"/>
      <c r="RL63" s="148"/>
      <c r="RM63" s="148"/>
      <c r="RN63" s="148"/>
      <c r="RO63" s="148"/>
      <c r="RP63" s="148"/>
      <c r="RQ63" s="148"/>
      <c r="RR63" s="148"/>
    </row>
    <row r="64" spans="1:486" s="15" customFormat="1" x14ac:dyDescent="0.25">
      <c r="A64" s="148"/>
      <c r="B64" s="350">
        <v>49</v>
      </c>
      <c r="C64" s="650" t="s">
        <v>894</v>
      </c>
      <c r="D64" s="631">
        <v>40010398</v>
      </c>
      <c r="E64" s="344" t="s">
        <v>2813</v>
      </c>
      <c r="F64" s="344" t="s">
        <v>46</v>
      </c>
      <c r="G64" s="17" t="s">
        <v>2693</v>
      </c>
      <c r="H64" s="317" t="s">
        <v>1562</v>
      </c>
      <c r="I64" s="346" t="s">
        <v>43</v>
      </c>
      <c r="J64" s="341" t="s">
        <v>2814</v>
      </c>
      <c r="K64" s="633">
        <v>0</v>
      </c>
      <c r="L64" s="633">
        <v>921</v>
      </c>
      <c r="M64" s="633">
        <v>0</v>
      </c>
      <c r="N64" s="633">
        <v>0</v>
      </c>
      <c r="O64" s="633">
        <v>0</v>
      </c>
      <c r="P64" s="633">
        <v>1174</v>
      </c>
      <c r="Q64" s="633">
        <v>0</v>
      </c>
      <c r="R64" s="633">
        <v>0</v>
      </c>
      <c r="S64" s="633"/>
      <c r="T64" s="633"/>
      <c r="U64" s="633"/>
      <c r="V64" s="633"/>
      <c r="W64" s="633"/>
      <c r="X64" s="633"/>
      <c r="Y64" s="633">
        <f t="shared" si="1"/>
        <v>1174</v>
      </c>
      <c r="Z64" s="407">
        <v>11200</v>
      </c>
      <c r="AA64" s="635" t="s">
        <v>2769</v>
      </c>
      <c r="AB64" s="23">
        <v>44232</v>
      </c>
      <c r="AC64" s="23">
        <v>44250</v>
      </c>
      <c r="AD64" s="637"/>
      <c r="AE64" s="20"/>
      <c r="AF64" s="21"/>
      <c r="AG64" s="23"/>
      <c r="AH64" s="637"/>
      <c r="AI64" s="19"/>
      <c r="AJ64" s="21"/>
      <c r="AK64" s="25"/>
      <c r="AL64" s="309"/>
      <c r="AM64" s="19"/>
      <c r="AN64" s="21"/>
      <c r="AO64" s="25"/>
      <c r="AP64" s="309"/>
      <c r="AQ64" s="19"/>
      <c r="AR64" s="21"/>
      <c r="AS64" s="25"/>
      <c r="AT64" s="638">
        <f t="shared" si="2"/>
        <v>11200</v>
      </c>
      <c r="AU64" s="311">
        <f t="shared" si="0"/>
        <v>10026</v>
      </c>
      <c r="AV64" s="148"/>
      <c r="AW64" s="148"/>
      <c r="AX64" s="148"/>
      <c r="AY64" s="148"/>
      <c r="AZ64" s="148"/>
      <c r="BA64" s="148"/>
      <c r="BB64" s="148"/>
      <c r="BC64" s="148"/>
      <c r="BD64" s="148"/>
      <c r="BE64" s="148"/>
      <c r="BF64" s="148"/>
      <c r="BG64" s="148"/>
      <c r="BH64" s="148"/>
      <c r="BI64" s="148"/>
      <c r="BJ64" s="148"/>
      <c r="BK64" s="148"/>
      <c r="BL64" s="148"/>
      <c r="BM64" s="148"/>
      <c r="BN64" s="148"/>
      <c r="BO64" s="148"/>
      <c r="BP64" s="148"/>
      <c r="BQ64" s="148"/>
      <c r="BR64" s="148"/>
      <c r="BS64" s="148"/>
      <c r="BT64" s="148"/>
      <c r="BU64" s="148"/>
      <c r="BV64" s="148"/>
      <c r="BW64" s="148"/>
      <c r="BX64" s="148"/>
      <c r="BY64" s="148"/>
      <c r="BZ64" s="148"/>
      <c r="CA64" s="148"/>
      <c r="CB64" s="148"/>
      <c r="CC64" s="148"/>
      <c r="CD64" s="148"/>
      <c r="CE64" s="148"/>
      <c r="CF64" s="148"/>
      <c r="CG64" s="148"/>
      <c r="CH64" s="148"/>
      <c r="CI64" s="148"/>
      <c r="CJ64" s="148"/>
      <c r="CK64" s="148"/>
      <c r="CL64" s="148"/>
      <c r="CM64" s="148"/>
      <c r="CN64" s="148"/>
      <c r="CO64" s="148"/>
      <c r="CP64" s="148"/>
      <c r="CQ64" s="148"/>
      <c r="CR64" s="148"/>
      <c r="CS64" s="148"/>
      <c r="CT64" s="148"/>
      <c r="CU64" s="148"/>
      <c r="CV64" s="148"/>
      <c r="CW64" s="148"/>
      <c r="CX64" s="148"/>
      <c r="CY64" s="148"/>
      <c r="CZ64" s="148"/>
      <c r="DA64" s="148"/>
      <c r="DB64" s="148"/>
      <c r="DC64" s="148"/>
      <c r="DD64" s="148"/>
      <c r="DE64" s="148"/>
      <c r="DF64" s="148"/>
      <c r="DG64" s="148"/>
      <c r="DH64" s="148"/>
      <c r="DI64" s="148"/>
      <c r="DJ64" s="148"/>
      <c r="DK64" s="148"/>
      <c r="DL64" s="148"/>
      <c r="DM64" s="148"/>
      <c r="DN64" s="148"/>
      <c r="DO64" s="148"/>
      <c r="DP64" s="148"/>
      <c r="DQ64" s="148"/>
      <c r="DR64" s="148"/>
      <c r="DS64" s="148"/>
      <c r="DT64" s="148"/>
      <c r="DU64" s="148"/>
      <c r="DV64" s="148"/>
      <c r="DW64" s="148"/>
      <c r="DX64" s="148"/>
      <c r="DY64" s="148"/>
      <c r="DZ64" s="148"/>
      <c r="EA64" s="148"/>
      <c r="EB64" s="148"/>
      <c r="EC64" s="148"/>
      <c r="ED64" s="148"/>
      <c r="EE64" s="148"/>
      <c r="EF64" s="148"/>
      <c r="EG64" s="148"/>
      <c r="EH64" s="148"/>
      <c r="EI64" s="148"/>
      <c r="EJ64" s="148"/>
      <c r="EK64" s="148"/>
      <c r="EL64" s="148"/>
      <c r="EM64" s="148"/>
      <c r="EN64" s="148"/>
      <c r="EO64" s="148"/>
      <c r="EP64" s="148"/>
      <c r="EQ64" s="148"/>
      <c r="ER64" s="148"/>
      <c r="ES64" s="148"/>
      <c r="ET64" s="148"/>
      <c r="EU64" s="148"/>
      <c r="EV64" s="148"/>
      <c r="EW64" s="148"/>
      <c r="EX64" s="148"/>
      <c r="EY64" s="148"/>
      <c r="EZ64" s="148"/>
      <c r="FA64" s="148"/>
      <c r="FB64" s="148"/>
      <c r="FC64" s="148"/>
      <c r="FD64" s="148"/>
      <c r="FE64" s="148"/>
      <c r="FF64" s="148"/>
      <c r="FG64" s="148"/>
      <c r="FH64" s="148"/>
      <c r="FI64" s="148"/>
      <c r="FJ64" s="148"/>
      <c r="FK64" s="148"/>
      <c r="FL64" s="148"/>
      <c r="FM64" s="148"/>
      <c r="FN64" s="148"/>
      <c r="FO64" s="148"/>
      <c r="FP64" s="148"/>
      <c r="FQ64" s="148"/>
      <c r="FR64" s="148"/>
      <c r="FS64" s="148"/>
      <c r="FT64" s="148"/>
      <c r="FU64" s="148"/>
      <c r="FV64" s="148"/>
      <c r="FW64" s="148"/>
      <c r="FX64" s="148"/>
      <c r="FY64" s="148"/>
      <c r="FZ64" s="148"/>
      <c r="GA64" s="148"/>
      <c r="GB64" s="148"/>
      <c r="GC64" s="148"/>
      <c r="GD64" s="148"/>
      <c r="GE64" s="148"/>
      <c r="GF64" s="148"/>
      <c r="GG64" s="148"/>
      <c r="GH64" s="148"/>
      <c r="GI64" s="148"/>
      <c r="GJ64" s="148"/>
      <c r="GK64" s="148"/>
      <c r="GL64" s="148"/>
      <c r="GM64" s="148"/>
      <c r="GN64" s="148"/>
      <c r="GO64" s="148"/>
      <c r="GP64" s="148"/>
      <c r="GQ64" s="148"/>
      <c r="GR64" s="148"/>
      <c r="GS64" s="148"/>
      <c r="GT64" s="148"/>
      <c r="GU64" s="148"/>
      <c r="GV64" s="148"/>
      <c r="GW64" s="148"/>
      <c r="GX64" s="148"/>
      <c r="GY64" s="148"/>
      <c r="GZ64" s="148"/>
      <c r="HA64" s="148"/>
      <c r="HB64" s="148"/>
      <c r="HC64" s="148"/>
      <c r="HD64" s="148"/>
      <c r="HE64" s="148"/>
      <c r="HF64" s="148"/>
      <c r="HG64" s="148"/>
      <c r="HH64" s="148"/>
      <c r="HI64" s="148"/>
      <c r="HJ64" s="148"/>
      <c r="HK64" s="148"/>
      <c r="HL64" s="148"/>
      <c r="HM64" s="148"/>
      <c r="HN64" s="148"/>
      <c r="HO64" s="148"/>
      <c r="HP64" s="148"/>
      <c r="HQ64" s="148"/>
      <c r="HR64" s="148"/>
      <c r="HS64" s="148"/>
      <c r="HT64" s="148"/>
      <c r="HU64" s="148"/>
      <c r="HV64" s="148"/>
      <c r="HW64" s="148"/>
      <c r="HX64" s="148"/>
      <c r="HY64" s="148"/>
      <c r="HZ64" s="148"/>
      <c r="IA64" s="148"/>
      <c r="IB64" s="148"/>
      <c r="IC64" s="148"/>
      <c r="ID64" s="148"/>
      <c r="IE64" s="148"/>
      <c r="IF64" s="148"/>
      <c r="IG64" s="148"/>
      <c r="IH64" s="148"/>
      <c r="II64" s="148"/>
      <c r="IJ64" s="148"/>
      <c r="IK64" s="148"/>
      <c r="IL64" s="148"/>
      <c r="IM64" s="148"/>
      <c r="IN64" s="148"/>
      <c r="IO64" s="148"/>
      <c r="IP64" s="148"/>
      <c r="IQ64" s="148"/>
      <c r="IR64" s="148"/>
      <c r="IS64" s="148"/>
      <c r="IT64" s="148"/>
      <c r="IU64" s="148"/>
      <c r="IV64" s="148"/>
      <c r="IW64" s="148"/>
      <c r="IX64" s="148"/>
      <c r="IY64" s="148"/>
      <c r="IZ64" s="148"/>
      <c r="JA64" s="148"/>
      <c r="JB64" s="148"/>
      <c r="JC64" s="148"/>
      <c r="JD64" s="148"/>
      <c r="JE64" s="148"/>
      <c r="JF64" s="148"/>
      <c r="JG64" s="148"/>
      <c r="JH64" s="148"/>
      <c r="JI64" s="148"/>
      <c r="JJ64" s="148"/>
      <c r="JK64" s="148"/>
      <c r="JL64" s="148"/>
      <c r="JM64" s="148"/>
      <c r="JN64" s="148"/>
      <c r="JO64" s="148"/>
      <c r="JP64" s="148"/>
      <c r="JQ64" s="148"/>
      <c r="JR64" s="148"/>
      <c r="JS64" s="148"/>
      <c r="JT64" s="148"/>
      <c r="JU64" s="148"/>
      <c r="JV64" s="148"/>
      <c r="JW64" s="148"/>
      <c r="JX64" s="148"/>
      <c r="JY64" s="148"/>
      <c r="JZ64" s="148"/>
      <c r="KA64" s="148"/>
      <c r="KB64" s="148"/>
      <c r="KC64" s="148"/>
      <c r="KD64" s="148"/>
      <c r="KE64" s="148"/>
      <c r="KF64" s="148"/>
      <c r="KG64" s="148"/>
      <c r="KH64" s="148"/>
      <c r="KI64" s="148"/>
      <c r="KJ64" s="148"/>
      <c r="KK64" s="148"/>
      <c r="KL64" s="148"/>
      <c r="KM64" s="148"/>
      <c r="KN64" s="148"/>
      <c r="KO64" s="148"/>
      <c r="KP64" s="148"/>
      <c r="KQ64" s="148"/>
      <c r="KR64" s="148"/>
      <c r="KS64" s="148"/>
      <c r="KT64" s="148"/>
      <c r="KU64" s="148"/>
      <c r="KV64" s="148"/>
      <c r="KW64" s="148"/>
      <c r="KX64" s="148"/>
      <c r="KY64" s="148"/>
      <c r="KZ64" s="148"/>
      <c r="LA64" s="148"/>
      <c r="LB64" s="148"/>
      <c r="LC64" s="148"/>
      <c r="LD64" s="148"/>
      <c r="LE64" s="148"/>
      <c r="LF64" s="148"/>
      <c r="LG64" s="148"/>
      <c r="LH64" s="148"/>
      <c r="LI64" s="148"/>
      <c r="LJ64" s="148"/>
      <c r="LK64" s="148"/>
      <c r="LL64" s="148"/>
      <c r="LM64" s="148"/>
      <c r="LN64" s="148"/>
      <c r="LO64" s="148"/>
      <c r="LP64" s="148"/>
      <c r="LQ64" s="148"/>
      <c r="LR64" s="148"/>
      <c r="LS64" s="148"/>
      <c r="LT64" s="148"/>
      <c r="LU64" s="148"/>
      <c r="LV64" s="148"/>
      <c r="LW64" s="148"/>
      <c r="LX64" s="148"/>
      <c r="LY64" s="148"/>
      <c r="LZ64" s="148"/>
      <c r="MA64" s="148"/>
      <c r="MB64" s="148"/>
      <c r="MC64" s="148"/>
      <c r="MD64" s="148"/>
      <c r="ME64" s="148"/>
      <c r="MF64" s="148"/>
      <c r="MG64" s="148"/>
      <c r="MH64" s="148"/>
      <c r="MI64" s="148"/>
      <c r="MJ64" s="148"/>
      <c r="MK64" s="148"/>
      <c r="ML64" s="148"/>
      <c r="MM64" s="148"/>
      <c r="MN64" s="148"/>
      <c r="MO64" s="148"/>
      <c r="MP64" s="148"/>
      <c r="MQ64" s="148"/>
      <c r="MR64" s="148"/>
      <c r="MS64" s="148"/>
      <c r="MT64" s="148"/>
      <c r="MU64" s="148"/>
      <c r="MV64" s="148"/>
      <c r="MW64" s="148"/>
      <c r="MX64" s="148"/>
      <c r="MY64" s="148"/>
      <c r="MZ64" s="148"/>
      <c r="NA64" s="148"/>
      <c r="NB64" s="148"/>
      <c r="NC64" s="148"/>
      <c r="ND64" s="148"/>
      <c r="NE64" s="148"/>
      <c r="NF64" s="148"/>
      <c r="NG64" s="148"/>
      <c r="NH64" s="148"/>
      <c r="NI64" s="148"/>
      <c r="NJ64" s="148"/>
      <c r="NK64" s="148"/>
      <c r="NL64" s="148"/>
      <c r="NM64" s="148"/>
      <c r="NN64" s="148"/>
      <c r="NO64" s="148"/>
      <c r="NP64" s="148"/>
      <c r="NQ64" s="148"/>
      <c r="NR64" s="148"/>
      <c r="NS64" s="148"/>
      <c r="NT64" s="148"/>
      <c r="NU64" s="148"/>
      <c r="NV64" s="148"/>
      <c r="NW64" s="148"/>
      <c r="NX64" s="148"/>
      <c r="NY64" s="148"/>
      <c r="NZ64" s="148"/>
      <c r="OA64" s="148"/>
      <c r="OB64" s="148"/>
      <c r="OC64" s="148"/>
      <c r="OD64" s="148"/>
      <c r="OE64" s="148"/>
      <c r="OF64" s="148"/>
      <c r="OG64" s="148"/>
      <c r="OH64" s="148"/>
      <c r="OI64" s="148"/>
      <c r="OJ64" s="148"/>
      <c r="OK64" s="148"/>
      <c r="OL64" s="148"/>
      <c r="OM64" s="148"/>
      <c r="ON64" s="148"/>
      <c r="OO64" s="148"/>
      <c r="OP64" s="148"/>
      <c r="OQ64" s="148"/>
      <c r="OR64" s="148"/>
      <c r="OS64" s="148"/>
      <c r="OT64" s="148"/>
      <c r="OU64" s="148"/>
      <c r="OV64" s="148"/>
      <c r="OW64" s="148"/>
      <c r="OX64" s="148"/>
      <c r="OY64" s="148"/>
      <c r="OZ64" s="148"/>
      <c r="PA64" s="148"/>
      <c r="PB64" s="148"/>
      <c r="PC64" s="148"/>
      <c r="PD64" s="148"/>
      <c r="PE64" s="148"/>
      <c r="PF64" s="148"/>
      <c r="PG64" s="148"/>
      <c r="PH64" s="148"/>
      <c r="PI64" s="148"/>
      <c r="PJ64" s="148"/>
      <c r="PK64" s="148"/>
      <c r="PL64" s="148"/>
      <c r="PM64" s="148"/>
      <c r="PN64" s="148"/>
      <c r="PO64" s="148"/>
      <c r="PP64" s="148"/>
      <c r="PQ64" s="148"/>
      <c r="PR64" s="148"/>
      <c r="PS64" s="148"/>
      <c r="PT64" s="148"/>
      <c r="PU64" s="148"/>
      <c r="PV64" s="148"/>
      <c r="PW64" s="148"/>
      <c r="PX64" s="148"/>
      <c r="PY64" s="148"/>
      <c r="PZ64" s="148"/>
      <c r="QA64" s="148"/>
      <c r="QB64" s="148"/>
      <c r="QC64" s="148"/>
      <c r="QD64" s="148"/>
      <c r="QE64" s="148"/>
      <c r="QF64" s="148"/>
      <c r="QG64" s="148"/>
      <c r="QH64" s="148"/>
      <c r="QI64" s="148"/>
      <c r="QJ64" s="148"/>
      <c r="QK64" s="148"/>
      <c r="QL64" s="148"/>
      <c r="QM64" s="148"/>
      <c r="QN64" s="148"/>
      <c r="QO64" s="148"/>
      <c r="QP64" s="148"/>
      <c r="QQ64" s="148"/>
      <c r="QR64" s="148"/>
      <c r="QS64" s="148"/>
      <c r="QT64" s="148"/>
      <c r="QU64" s="148"/>
      <c r="QV64" s="148"/>
      <c r="QW64" s="148"/>
      <c r="QX64" s="148"/>
      <c r="QY64" s="148"/>
      <c r="QZ64" s="148"/>
      <c r="RA64" s="148"/>
      <c r="RB64" s="148"/>
      <c r="RC64" s="148"/>
      <c r="RD64" s="148"/>
      <c r="RE64" s="148"/>
      <c r="RF64" s="148"/>
      <c r="RG64" s="148"/>
      <c r="RH64" s="148"/>
      <c r="RI64" s="148"/>
      <c r="RJ64" s="148"/>
      <c r="RK64" s="148"/>
      <c r="RL64" s="148"/>
      <c r="RM64" s="148"/>
      <c r="RN64" s="148"/>
      <c r="RO64" s="148"/>
      <c r="RP64" s="148"/>
      <c r="RQ64" s="148"/>
      <c r="RR64" s="148"/>
    </row>
    <row r="65" spans="1:486" s="15" customFormat="1" x14ac:dyDescent="0.25">
      <c r="A65" s="148"/>
      <c r="B65" s="350">
        <v>50</v>
      </c>
      <c r="C65" s="650" t="s">
        <v>894</v>
      </c>
      <c r="D65" s="631">
        <v>40011235</v>
      </c>
      <c r="E65" s="344" t="s">
        <v>2815</v>
      </c>
      <c r="F65" s="344" t="s">
        <v>46</v>
      </c>
      <c r="G65" s="17" t="s">
        <v>2693</v>
      </c>
      <c r="H65" s="317" t="s">
        <v>2816</v>
      </c>
      <c r="I65" s="346" t="s">
        <v>43</v>
      </c>
      <c r="J65" s="341" t="s">
        <v>2817</v>
      </c>
      <c r="K65" s="633">
        <v>0</v>
      </c>
      <c r="L65" s="633">
        <v>0</v>
      </c>
      <c r="M65" s="633">
        <v>0</v>
      </c>
      <c r="N65" s="633">
        <v>0</v>
      </c>
      <c r="O65" s="633">
        <v>0</v>
      </c>
      <c r="P65" s="633">
        <v>0</v>
      </c>
      <c r="Q65" s="633">
        <v>0</v>
      </c>
      <c r="R65" s="633">
        <v>0</v>
      </c>
      <c r="S65" s="633"/>
      <c r="T65" s="633"/>
      <c r="U65" s="633"/>
      <c r="V65" s="633"/>
      <c r="W65" s="633"/>
      <c r="X65" s="633"/>
      <c r="Y65" s="633">
        <f t="shared" si="1"/>
        <v>0</v>
      </c>
      <c r="Z65" s="407">
        <v>5000</v>
      </c>
      <c r="AA65" s="635" t="s">
        <v>2769</v>
      </c>
      <c r="AB65" s="23">
        <v>44232</v>
      </c>
      <c r="AC65" s="23">
        <v>44250</v>
      </c>
      <c r="AD65" s="637"/>
      <c r="AE65" s="20"/>
      <c r="AF65" s="21"/>
      <c r="AG65" s="23"/>
      <c r="AH65" s="637"/>
      <c r="AI65" s="19"/>
      <c r="AJ65" s="21"/>
      <c r="AK65" s="25"/>
      <c r="AL65" s="309"/>
      <c r="AM65" s="19"/>
      <c r="AN65" s="21"/>
      <c r="AO65" s="25"/>
      <c r="AP65" s="309"/>
      <c r="AQ65" s="19"/>
      <c r="AR65" s="21"/>
      <c r="AS65" s="25"/>
      <c r="AT65" s="638">
        <f t="shared" si="2"/>
        <v>5000</v>
      </c>
      <c r="AU65" s="311">
        <f t="shared" si="0"/>
        <v>5000</v>
      </c>
      <c r="AV65" s="148"/>
      <c r="AW65" s="148"/>
      <c r="AX65" s="148"/>
      <c r="AY65" s="148"/>
      <c r="AZ65" s="148"/>
      <c r="BA65" s="148"/>
      <c r="BB65" s="148"/>
      <c r="BC65" s="148"/>
      <c r="BD65" s="148"/>
      <c r="BE65" s="148"/>
      <c r="BF65" s="148"/>
      <c r="BG65" s="148"/>
      <c r="BH65" s="148"/>
      <c r="BI65" s="148"/>
      <c r="BJ65" s="148"/>
      <c r="BK65" s="148"/>
      <c r="BL65" s="148"/>
      <c r="BM65" s="148"/>
      <c r="BN65" s="148"/>
      <c r="BO65" s="148"/>
      <c r="BP65" s="148"/>
      <c r="BQ65" s="148"/>
      <c r="BR65" s="148"/>
      <c r="BS65" s="148"/>
      <c r="BT65" s="148"/>
      <c r="BU65" s="148"/>
      <c r="BV65" s="148"/>
      <c r="BW65" s="148"/>
      <c r="BX65" s="148"/>
      <c r="BY65" s="148"/>
      <c r="BZ65" s="148"/>
      <c r="CA65" s="148"/>
      <c r="CB65" s="148"/>
      <c r="CC65" s="148"/>
      <c r="CD65" s="148"/>
      <c r="CE65" s="148"/>
      <c r="CF65" s="148"/>
      <c r="CG65" s="148"/>
      <c r="CH65" s="148"/>
      <c r="CI65" s="148"/>
      <c r="CJ65" s="148"/>
      <c r="CK65" s="148"/>
      <c r="CL65" s="148"/>
      <c r="CM65" s="148"/>
      <c r="CN65" s="148"/>
      <c r="CO65" s="148"/>
      <c r="CP65" s="148"/>
      <c r="CQ65" s="148"/>
      <c r="CR65" s="148"/>
      <c r="CS65" s="148"/>
      <c r="CT65" s="148"/>
      <c r="CU65" s="148"/>
      <c r="CV65" s="148"/>
      <c r="CW65" s="148"/>
      <c r="CX65" s="148"/>
      <c r="CY65" s="148"/>
      <c r="CZ65" s="148"/>
      <c r="DA65" s="148"/>
      <c r="DB65" s="148"/>
      <c r="DC65" s="148"/>
      <c r="DD65" s="148"/>
      <c r="DE65" s="148"/>
      <c r="DF65" s="148"/>
      <c r="DG65" s="148"/>
      <c r="DH65" s="148"/>
      <c r="DI65" s="148"/>
      <c r="DJ65" s="148"/>
      <c r="DK65" s="148"/>
      <c r="DL65" s="148"/>
      <c r="DM65" s="148"/>
      <c r="DN65" s="148"/>
      <c r="DO65" s="148"/>
      <c r="DP65" s="148"/>
      <c r="DQ65" s="148"/>
      <c r="DR65" s="148"/>
      <c r="DS65" s="148"/>
      <c r="DT65" s="148"/>
      <c r="DU65" s="148"/>
      <c r="DV65" s="148"/>
      <c r="DW65" s="148"/>
      <c r="DX65" s="148"/>
      <c r="DY65" s="148"/>
      <c r="DZ65" s="148"/>
      <c r="EA65" s="148"/>
      <c r="EB65" s="148"/>
      <c r="EC65" s="148"/>
      <c r="ED65" s="148"/>
      <c r="EE65" s="148"/>
      <c r="EF65" s="148"/>
      <c r="EG65" s="148"/>
      <c r="EH65" s="148"/>
      <c r="EI65" s="148"/>
      <c r="EJ65" s="148"/>
      <c r="EK65" s="148"/>
      <c r="EL65" s="148"/>
      <c r="EM65" s="148"/>
      <c r="EN65" s="148"/>
      <c r="EO65" s="148"/>
      <c r="EP65" s="148"/>
      <c r="EQ65" s="148"/>
      <c r="ER65" s="148"/>
      <c r="ES65" s="148"/>
      <c r="ET65" s="148"/>
      <c r="EU65" s="148"/>
      <c r="EV65" s="148"/>
      <c r="EW65" s="148"/>
      <c r="EX65" s="148"/>
      <c r="EY65" s="148"/>
      <c r="EZ65" s="148"/>
      <c r="FA65" s="148"/>
      <c r="FB65" s="148"/>
      <c r="FC65" s="148"/>
      <c r="FD65" s="148"/>
      <c r="FE65" s="148"/>
      <c r="FF65" s="148"/>
      <c r="FG65" s="148"/>
      <c r="FH65" s="148"/>
      <c r="FI65" s="148"/>
      <c r="FJ65" s="148"/>
      <c r="FK65" s="148"/>
      <c r="FL65" s="148"/>
      <c r="FM65" s="148"/>
      <c r="FN65" s="148"/>
      <c r="FO65" s="148"/>
      <c r="FP65" s="148"/>
      <c r="FQ65" s="148"/>
      <c r="FR65" s="148"/>
      <c r="FS65" s="148"/>
      <c r="FT65" s="148"/>
      <c r="FU65" s="148"/>
      <c r="FV65" s="148"/>
      <c r="FW65" s="148"/>
      <c r="FX65" s="148"/>
      <c r="FY65" s="148"/>
      <c r="FZ65" s="148"/>
      <c r="GA65" s="148"/>
      <c r="GB65" s="148"/>
      <c r="GC65" s="148"/>
      <c r="GD65" s="148"/>
      <c r="GE65" s="148"/>
      <c r="GF65" s="148"/>
      <c r="GG65" s="148"/>
      <c r="GH65" s="148"/>
      <c r="GI65" s="148"/>
      <c r="GJ65" s="148"/>
      <c r="GK65" s="148"/>
      <c r="GL65" s="148"/>
      <c r="GM65" s="148"/>
      <c r="GN65" s="148"/>
      <c r="GO65" s="148"/>
      <c r="GP65" s="148"/>
      <c r="GQ65" s="148"/>
      <c r="GR65" s="148"/>
      <c r="GS65" s="148"/>
      <c r="GT65" s="148"/>
      <c r="GU65" s="148"/>
      <c r="GV65" s="148"/>
      <c r="GW65" s="148"/>
      <c r="GX65" s="148"/>
      <c r="GY65" s="148"/>
      <c r="GZ65" s="148"/>
      <c r="HA65" s="148"/>
      <c r="HB65" s="148"/>
      <c r="HC65" s="148"/>
      <c r="HD65" s="148"/>
      <c r="HE65" s="148"/>
      <c r="HF65" s="148"/>
      <c r="HG65" s="148"/>
      <c r="HH65" s="148"/>
      <c r="HI65" s="148"/>
      <c r="HJ65" s="148"/>
      <c r="HK65" s="148"/>
      <c r="HL65" s="148"/>
      <c r="HM65" s="148"/>
      <c r="HN65" s="148"/>
      <c r="HO65" s="148"/>
      <c r="HP65" s="148"/>
      <c r="HQ65" s="148"/>
      <c r="HR65" s="148"/>
      <c r="HS65" s="148"/>
      <c r="HT65" s="148"/>
      <c r="HU65" s="148"/>
      <c r="HV65" s="148"/>
      <c r="HW65" s="148"/>
      <c r="HX65" s="148"/>
      <c r="HY65" s="148"/>
      <c r="HZ65" s="148"/>
      <c r="IA65" s="148"/>
      <c r="IB65" s="148"/>
      <c r="IC65" s="148"/>
      <c r="ID65" s="148"/>
      <c r="IE65" s="148"/>
      <c r="IF65" s="148"/>
      <c r="IG65" s="148"/>
      <c r="IH65" s="148"/>
      <c r="II65" s="148"/>
      <c r="IJ65" s="148"/>
      <c r="IK65" s="148"/>
      <c r="IL65" s="148"/>
      <c r="IM65" s="148"/>
      <c r="IN65" s="148"/>
      <c r="IO65" s="148"/>
      <c r="IP65" s="148"/>
      <c r="IQ65" s="148"/>
      <c r="IR65" s="148"/>
      <c r="IS65" s="148"/>
      <c r="IT65" s="148"/>
      <c r="IU65" s="148"/>
      <c r="IV65" s="148"/>
      <c r="IW65" s="148"/>
      <c r="IX65" s="148"/>
      <c r="IY65" s="148"/>
      <c r="IZ65" s="148"/>
      <c r="JA65" s="148"/>
      <c r="JB65" s="148"/>
      <c r="JC65" s="148"/>
      <c r="JD65" s="148"/>
      <c r="JE65" s="148"/>
      <c r="JF65" s="148"/>
      <c r="JG65" s="148"/>
      <c r="JH65" s="148"/>
      <c r="JI65" s="148"/>
      <c r="JJ65" s="148"/>
      <c r="JK65" s="148"/>
      <c r="JL65" s="148"/>
      <c r="JM65" s="148"/>
      <c r="JN65" s="148"/>
      <c r="JO65" s="148"/>
      <c r="JP65" s="148"/>
      <c r="JQ65" s="148"/>
      <c r="JR65" s="148"/>
      <c r="JS65" s="148"/>
      <c r="JT65" s="148"/>
      <c r="JU65" s="148"/>
      <c r="JV65" s="148"/>
      <c r="JW65" s="148"/>
      <c r="JX65" s="148"/>
      <c r="JY65" s="148"/>
      <c r="JZ65" s="148"/>
      <c r="KA65" s="148"/>
      <c r="KB65" s="148"/>
      <c r="KC65" s="148"/>
      <c r="KD65" s="148"/>
      <c r="KE65" s="148"/>
      <c r="KF65" s="148"/>
      <c r="KG65" s="148"/>
      <c r="KH65" s="148"/>
      <c r="KI65" s="148"/>
      <c r="KJ65" s="148"/>
      <c r="KK65" s="148"/>
      <c r="KL65" s="148"/>
      <c r="KM65" s="148"/>
      <c r="KN65" s="148"/>
      <c r="KO65" s="148"/>
      <c r="KP65" s="148"/>
      <c r="KQ65" s="148"/>
      <c r="KR65" s="148"/>
      <c r="KS65" s="148"/>
      <c r="KT65" s="148"/>
      <c r="KU65" s="148"/>
      <c r="KV65" s="148"/>
      <c r="KW65" s="148"/>
      <c r="KX65" s="148"/>
      <c r="KY65" s="148"/>
      <c r="KZ65" s="148"/>
      <c r="LA65" s="148"/>
      <c r="LB65" s="148"/>
      <c r="LC65" s="148"/>
      <c r="LD65" s="148"/>
      <c r="LE65" s="148"/>
      <c r="LF65" s="148"/>
      <c r="LG65" s="148"/>
      <c r="LH65" s="148"/>
      <c r="LI65" s="148"/>
      <c r="LJ65" s="148"/>
      <c r="LK65" s="148"/>
      <c r="LL65" s="148"/>
      <c r="LM65" s="148"/>
      <c r="LN65" s="148"/>
      <c r="LO65" s="148"/>
      <c r="LP65" s="148"/>
      <c r="LQ65" s="148"/>
      <c r="LR65" s="148"/>
      <c r="LS65" s="148"/>
      <c r="LT65" s="148"/>
      <c r="LU65" s="148"/>
      <c r="LV65" s="148"/>
      <c r="LW65" s="148"/>
      <c r="LX65" s="148"/>
      <c r="LY65" s="148"/>
      <c r="LZ65" s="148"/>
      <c r="MA65" s="148"/>
      <c r="MB65" s="148"/>
      <c r="MC65" s="148"/>
      <c r="MD65" s="148"/>
      <c r="ME65" s="148"/>
      <c r="MF65" s="148"/>
      <c r="MG65" s="148"/>
      <c r="MH65" s="148"/>
      <c r="MI65" s="148"/>
      <c r="MJ65" s="148"/>
      <c r="MK65" s="148"/>
      <c r="ML65" s="148"/>
      <c r="MM65" s="148"/>
      <c r="MN65" s="148"/>
      <c r="MO65" s="148"/>
      <c r="MP65" s="148"/>
      <c r="MQ65" s="148"/>
      <c r="MR65" s="148"/>
      <c r="MS65" s="148"/>
      <c r="MT65" s="148"/>
      <c r="MU65" s="148"/>
      <c r="MV65" s="148"/>
      <c r="MW65" s="148"/>
      <c r="MX65" s="148"/>
      <c r="MY65" s="148"/>
      <c r="MZ65" s="148"/>
      <c r="NA65" s="148"/>
      <c r="NB65" s="148"/>
      <c r="NC65" s="148"/>
      <c r="ND65" s="148"/>
      <c r="NE65" s="148"/>
      <c r="NF65" s="148"/>
      <c r="NG65" s="148"/>
      <c r="NH65" s="148"/>
      <c r="NI65" s="148"/>
      <c r="NJ65" s="148"/>
      <c r="NK65" s="148"/>
      <c r="NL65" s="148"/>
      <c r="NM65" s="148"/>
      <c r="NN65" s="148"/>
      <c r="NO65" s="148"/>
      <c r="NP65" s="148"/>
      <c r="NQ65" s="148"/>
      <c r="NR65" s="148"/>
      <c r="NS65" s="148"/>
      <c r="NT65" s="148"/>
      <c r="NU65" s="148"/>
      <c r="NV65" s="148"/>
      <c r="NW65" s="148"/>
      <c r="NX65" s="148"/>
      <c r="NY65" s="148"/>
      <c r="NZ65" s="148"/>
      <c r="OA65" s="148"/>
      <c r="OB65" s="148"/>
      <c r="OC65" s="148"/>
      <c r="OD65" s="148"/>
      <c r="OE65" s="148"/>
      <c r="OF65" s="148"/>
      <c r="OG65" s="148"/>
      <c r="OH65" s="148"/>
      <c r="OI65" s="148"/>
      <c r="OJ65" s="148"/>
      <c r="OK65" s="148"/>
      <c r="OL65" s="148"/>
      <c r="OM65" s="148"/>
      <c r="ON65" s="148"/>
      <c r="OO65" s="148"/>
      <c r="OP65" s="148"/>
      <c r="OQ65" s="148"/>
      <c r="OR65" s="148"/>
      <c r="OS65" s="148"/>
      <c r="OT65" s="148"/>
      <c r="OU65" s="148"/>
      <c r="OV65" s="148"/>
      <c r="OW65" s="148"/>
      <c r="OX65" s="148"/>
      <c r="OY65" s="148"/>
      <c r="OZ65" s="148"/>
      <c r="PA65" s="148"/>
      <c r="PB65" s="148"/>
      <c r="PC65" s="148"/>
      <c r="PD65" s="148"/>
      <c r="PE65" s="148"/>
      <c r="PF65" s="148"/>
      <c r="PG65" s="148"/>
      <c r="PH65" s="148"/>
      <c r="PI65" s="148"/>
      <c r="PJ65" s="148"/>
      <c r="PK65" s="148"/>
      <c r="PL65" s="148"/>
      <c r="PM65" s="148"/>
      <c r="PN65" s="148"/>
      <c r="PO65" s="148"/>
      <c r="PP65" s="148"/>
      <c r="PQ65" s="148"/>
      <c r="PR65" s="148"/>
      <c r="PS65" s="148"/>
      <c r="PT65" s="148"/>
      <c r="PU65" s="148"/>
      <c r="PV65" s="148"/>
      <c r="PW65" s="148"/>
      <c r="PX65" s="148"/>
      <c r="PY65" s="148"/>
      <c r="PZ65" s="148"/>
      <c r="QA65" s="148"/>
      <c r="QB65" s="148"/>
      <c r="QC65" s="148"/>
      <c r="QD65" s="148"/>
      <c r="QE65" s="148"/>
      <c r="QF65" s="148"/>
      <c r="QG65" s="148"/>
      <c r="QH65" s="148"/>
      <c r="QI65" s="148"/>
      <c r="QJ65" s="148"/>
      <c r="QK65" s="148"/>
      <c r="QL65" s="148"/>
      <c r="QM65" s="148"/>
      <c r="QN65" s="148"/>
      <c r="QO65" s="148"/>
      <c r="QP65" s="148"/>
      <c r="QQ65" s="148"/>
      <c r="QR65" s="148"/>
      <c r="QS65" s="148"/>
      <c r="QT65" s="148"/>
      <c r="QU65" s="148"/>
      <c r="QV65" s="148"/>
      <c r="QW65" s="148"/>
      <c r="QX65" s="148"/>
      <c r="QY65" s="148"/>
      <c r="QZ65" s="148"/>
      <c r="RA65" s="148"/>
      <c r="RB65" s="148"/>
      <c r="RC65" s="148"/>
      <c r="RD65" s="148"/>
      <c r="RE65" s="148"/>
      <c r="RF65" s="148"/>
      <c r="RG65" s="148"/>
      <c r="RH65" s="148"/>
      <c r="RI65" s="148"/>
      <c r="RJ65" s="148"/>
      <c r="RK65" s="148"/>
      <c r="RL65" s="148"/>
      <c r="RM65" s="148"/>
      <c r="RN65" s="148"/>
      <c r="RO65" s="148"/>
      <c r="RP65" s="148"/>
      <c r="RQ65" s="148"/>
      <c r="RR65" s="148"/>
    </row>
    <row r="66" spans="1:486" s="15" customFormat="1" ht="22.5" x14ac:dyDescent="0.25">
      <c r="A66" s="148"/>
      <c r="B66" s="350">
        <v>51</v>
      </c>
      <c r="C66" s="650" t="s">
        <v>894</v>
      </c>
      <c r="D66" s="631">
        <v>40011424</v>
      </c>
      <c r="E66" s="344" t="s">
        <v>2818</v>
      </c>
      <c r="F66" s="344" t="s">
        <v>45</v>
      </c>
      <c r="G66" s="17" t="s">
        <v>2693</v>
      </c>
      <c r="H66" s="317" t="s">
        <v>1562</v>
      </c>
      <c r="I66" s="346" t="s">
        <v>43</v>
      </c>
      <c r="J66" s="341" t="s">
        <v>2819</v>
      </c>
      <c r="K66" s="633">
        <v>0</v>
      </c>
      <c r="L66" s="633">
        <v>0</v>
      </c>
      <c r="M66" s="633">
        <v>0</v>
      </c>
      <c r="N66" s="633">
        <v>0</v>
      </c>
      <c r="O66" s="633">
        <v>0</v>
      </c>
      <c r="P66" s="633">
        <v>0</v>
      </c>
      <c r="Q66" s="633">
        <v>2000</v>
      </c>
      <c r="R66" s="633">
        <v>0</v>
      </c>
      <c r="S66" s="633"/>
      <c r="T66" s="633"/>
      <c r="U66" s="633"/>
      <c r="V66" s="633"/>
      <c r="W66" s="633"/>
      <c r="X66" s="633"/>
      <c r="Y66" s="633">
        <f t="shared" si="1"/>
        <v>2000</v>
      </c>
      <c r="Z66" s="407">
        <v>602097</v>
      </c>
      <c r="AA66" s="635" t="s">
        <v>2769</v>
      </c>
      <c r="AB66" s="23">
        <v>44232</v>
      </c>
      <c r="AC66" s="23">
        <v>44250</v>
      </c>
      <c r="AD66" s="637"/>
      <c r="AE66" s="20"/>
      <c r="AF66" s="21"/>
      <c r="AG66" s="23"/>
      <c r="AH66" s="637"/>
      <c r="AI66" s="19"/>
      <c r="AJ66" s="21"/>
      <c r="AK66" s="25"/>
      <c r="AL66" s="309"/>
      <c r="AM66" s="19"/>
      <c r="AN66" s="21"/>
      <c r="AO66" s="25"/>
      <c r="AP66" s="309"/>
      <c r="AQ66" s="19"/>
      <c r="AR66" s="21"/>
      <c r="AS66" s="25"/>
      <c r="AT66" s="638">
        <f t="shared" si="2"/>
        <v>602097</v>
      </c>
      <c r="AU66" s="311">
        <f t="shared" si="0"/>
        <v>600097</v>
      </c>
      <c r="AV66" s="148"/>
      <c r="AW66" s="148"/>
      <c r="AX66" s="148"/>
      <c r="AY66" s="148"/>
      <c r="AZ66" s="148"/>
      <c r="BA66" s="148"/>
      <c r="BB66" s="148"/>
      <c r="BC66" s="148"/>
      <c r="BD66" s="148"/>
      <c r="BE66" s="148"/>
      <c r="BF66" s="148"/>
      <c r="BG66" s="148"/>
      <c r="BH66" s="148"/>
      <c r="BI66" s="148"/>
      <c r="BJ66" s="148"/>
      <c r="BK66" s="148"/>
      <c r="BL66" s="148"/>
      <c r="BM66" s="148"/>
      <c r="BN66" s="148"/>
      <c r="BO66" s="148"/>
      <c r="BP66" s="148"/>
      <c r="BQ66" s="148"/>
      <c r="BR66" s="148"/>
      <c r="BS66" s="148"/>
      <c r="BT66" s="148"/>
      <c r="BU66" s="148"/>
      <c r="BV66" s="148"/>
      <c r="BW66" s="148"/>
      <c r="BX66" s="148"/>
      <c r="BY66" s="148"/>
      <c r="BZ66" s="148"/>
      <c r="CA66" s="148"/>
      <c r="CB66" s="148"/>
      <c r="CC66" s="148"/>
      <c r="CD66" s="148"/>
      <c r="CE66" s="148"/>
      <c r="CF66" s="148"/>
      <c r="CG66" s="148"/>
      <c r="CH66" s="148"/>
      <c r="CI66" s="148"/>
      <c r="CJ66" s="148"/>
      <c r="CK66" s="148"/>
      <c r="CL66" s="148"/>
      <c r="CM66" s="148"/>
      <c r="CN66" s="148"/>
      <c r="CO66" s="148"/>
      <c r="CP66" s="148"/>
      <c r="CQ66" s="148"/>
      <c r="CR66" s="148"/>
      <c r="CS66" s="148"/>
      <c r="CT66" s="148"/>
      <c r="CU66" s="148"/>
      <c r="CV66" s="148"/>
      <c r="CW66" s="148"/>
      <c r="CX66" s="148"/>
      <c r="CY66" s="148"/>
      <c r="CZ66" s="148"/>
      <c r="DA66" s="148"/>
      <c r="DB66" s="148"/>
      <c r="DC66" s="148"/>
      <c r="DD66" s="148"/>
      <c r="DE66" s="148"/>
      <c r="DF66" s="148"/>
      <c r="DG66" s="148"/>
      <c r="DH66" s="148"/>
      <c r="DI66" s="148"/>
      <c r="DJ66" s="148"/>
      <c r="DK66" s="148"/>
      <c r="DL66" s="148"/>
      <c r="DM66" s="148"/>
      <c r="DN66" s="148"/>
      <c r="DO66" s="148"/>
      <c r="DP66" s="148"/>
      <c r="DQ66" s="148"/>
      <c r="DR66" s="148"/>
      <c r="DS66" s="148"/>
      <c r="DT66" s="148"/>
      <c r="DU66" s="148"/>
      <c r="DV66" s="148"/>
      <c r="DW66" s="148"/>
      <c r="DX66" s="148"/>
      <c r="DY66" s="148"/>
      <c r="DZ66" s="148"/>
      <c r="EA66" s="148"/>
      <c r="EB66" s="148"/>
      <c r="EC66" s="148"/>
      <c r="ED66" s="148"/>
      <c r="EE66" s="148"/>
      <c r="EF66" s="148"/>
      <c r="EG66" s="148"/>
      <c r="EH66" s="148"/>
      <c r="EI66" s="148"/>
      <c r="EJ66" s="148"/>
      <c r="EK66" s="148"/>
      <c r="EL66" s="148"/>
      <c r="EM66" s="148"/>
      <c r="EN66" s="148"/>
      <c r="EO66" s="148"/>
      <c r="EP66" s="148"/>
      <c r="EQ66" s="148"/>
      <c r="ER66" s="148"/>
      <c r="ES66" s="148"/>
      <c r="ET66" s="148"/>
      <c r="EU66" s="148"/>
      <c r="EV66" s="148"/>
      <c r="EW66" s="148"/>
      <c r="EX66" s="148"/>
      <c r="EY66" s="148"/>
      <c r="EZ66" s="148"/>
      <c r="FA66" s="148"/>
      <c r="FB66" s="148"/>
      <c r="FC66" s="148"/>
      <c r="FD66" s="148"/>
      <c r="FE66" s="148"/>
      <c r="FF66" s="148"/>
      <c r="FG66" s="148"/>
      <c r="FH66" s="148"/>
      <c r="FI66" s="148"/>
      <c r="FJ66" s="148"/>
      <c r="FK66" s="148"/>
      <c r="FL66" s="148"/>
      <c r="FM66" s="148"/>
      <c r="FN66" s="148"/>
      <c r="FO66" s="148"/>
      <c r="FP66" s="148"/>
      <c r="FQ66" s="148"/>
      <c r="FR66" s="148"/>
      <c r="FS66" s="148"/>
      <c r="FT66" s="148"/>
      <c r="FU66" s="148"/>
      <c r="FV66" s="148"/>
      <c r="FW66" s="148"/>
      <c r="FX66" s="148"/>
      <c r="FY66" s="148"/>
      <c r="FZ66" s="148"/>
      <c r="GA66" s="148"/>
      <c r="GB66" s="148"/>
      <c r="GC66" s="148"/>
      <c r="GD66" s="148"/>
      <c r="GE66" s="148"/>
      <c r="GF66" s="148"/>
      <c r="GG66" s="148"/>
      <c r="GH66" s="148"/>
      <c r="GI66" s="148"/>
      <c r="GJ66" s="148"/>
      <c r="GK66" s="148"/>
      <c r="GL66" s="148"/>
      <c r="GM66" s="148"/>
      <c r="GN66" s="148"/>
      <c r="GO66" s="148"/>
      <c r="GP66" s="148"/>
      <c r="GQ66" s="148"/>
      <c r="GR66" s="148"/>
      <c r="GS66" s="148"/>
      <c r="GT66" s="148"/>
      <c r="GU66" s="148"/>
      <c r="GV66" s="148"/>
      <c r="GW66" s="148"/>
      <c r="GX66" s="148"/>
      <c r="GY66" s="148"/>
      <c r="GZ66" s="148"/>
      <c r="HA66" s="148"/>
      <c r="HB66" s="148"/>
      <c r="HC66" s="148"/>
      <c r="HD66" s="148"/>
      <c r="HE66" s="148"/>
      <c r="HF66" s="148"/>
      <c r="HG66" s="148"/>
      <c r="HH66" s="148"/>
      <c r="HI66" s="148"/>
      <c r="HJ66" s="148"/>
      <c r="HK66" s="148"/>
      <c r="HL66" s="148"/>
      <c r="HM66" s="148"/>
      <c r="HN66" s="148"/>
      <c r="HO66" s="148"/>
      <c r="HP66" s="148"/>
      <c r="HQ66" s="148"/>
      <c r="HR66" s="148"/>
      <c r="HS66" s="148"/>
      <c r="HT66" s="148"/>
      <c r="HU66" s="148"/>
      <c r="HV66" s="148"/>
      <c r="HW66" s="148"/>
      <c r="HX66" s="148"/>
      <c r="HY66" s="148"/>
      <c r="HZ66" s="148"/>
      <c r="IA66" s="148"/>
      <c r="IB66" s="148"/>
      <c r="IC66" s="148"/>
      <c r="ID66" s="148"/>
      <c r="IE66" s="148"/>
      <c r="IF66" s="148"/>
      <c r="IG66" s="148"/>
      <c r="IH66" s="148"/>
      <c r="II66" s="148"/>
      <c r="IJ66" s="148"/>
      <c r="IK66" s="148"/>
      <c r="IL66" s="148"/>
      <c r="IM66" s="148"/>
      <c r="IN66" s="148"/>
      <c r="IO66" s="148"/>
      <c r="IP66" s="148"/>
      <c r="IQ66" s="148"/>
      <c r="IR66" s="148"/>
      <c r="IS66" s="148"/>
      <c r="IT66" s="148"/>
      <c r="IU66" s="148"/>
      <c r="IV66" s="148"/>
      <c r="IW66" s="148"/>
      <c r="IX66" s="148"/>
      <c r="IY66" s="148"/>
      <c r="IZ66" s="148"/>
      <c r="JA66" s="148"/>
      <c r="JB66" s="148"/>
      <c r="JC66" s="148"/>
      <c r="JD66" s="148"/>
      <c r="JE66" s="148"/>
      <c r="JF66" s="148"/>
      <c r="JG66" s="148"/>
      <c r="JH66" s="148"/>
      <c r="JI66" s="148"/>
      <c r="JJ66" s="148"/>
      <c r="JK66" s="148"/>
      <c r="JL66" s="148"/>
      <c r="JM66" s="148"/>
      <c r="JN66" s="148"/>
      <c r="JO66" s="148"/>
      <c r="JP66" s="148"/>
      <c r="JQ66" s="148"/>
      <c r="JR66" s="148"/>
      <c r="JS66" s="148"/>
      <c r="JT66" s="148"/>
      <c r="JU66" s="148"/>
      <c r="JV66" s="148"/>
      <c r="JW66" s="148"/>
      <c r="JX66" s="148"/>
      <c r="JY66" s="148"/>
      <c r="JZ66" s="148"/>
      <c r="KA66" s="148"/>
      <c r="KB66" s="148"/>
      <c r="KC66" s="148"/>
      <c r="KD66" s="148"/>
      <c r="KE66" s="148"/>
      <c r="KF66" s="148"/>
      <c r="KG66" s="148"/>
      <c r="KH66" s="148"/>
      <c r="KI66" s="148"/>
      <c r="KJ66" s="148"/>
      <c r="KK66" s="148"/>
      <c r="KL66" s="148"/>
      <c r="KM66" s="148"/>
      <c r="KN66" s="148"/>
      <c r="KO66" s="148"/>
      <c r="KP66" s="148"/>
      <c r="KQ66" s="148"/>
      <c r="KR66" s="148"/>
      <c r="KS66" s="148"/>
      <c r="KT66" s="148"/>
      <c r="KU66" s="148"/>
      <c r="KV66" s="148"/>
      <c r="KW66" s="148"/>
      <c r="KX66" s="148"/>
      <c r="KY66" s="148"/>
      <c r="KZ66" s="148"/>
      <c r="LA66" s="148"/>
      <c r="LB66" s="148"/>
      <c r="LC66" s="148"/>
      <c r="LD66" s="148"/>
      <c r="LE66" s="148"/>
      <c r="LF66" s="148"/>
      <c r="LG66" s="148"/>
      <c r="LH66" s="148"/>
      <c r="LI66" s="148"/>
      <c r="LJ66" s="148"/>
      <c r="LK66" s="148"/>
      <c r="LL66" s="148"/>
      <c r="LM66" s="148"/>
      <c r="LN66" s="148"/>
      <c r="LO66" s="148"/>
      <c r="LP66" s="148"/>
      <c r="LQ66" s="148"/>
      <c r="LR66" s="148"/>
      <c r="LS66" s="148"/>
      <c r="LT66" s="148"/>
      <c r="LU66" s="148"/>
      <c r="LV66" s="148"/>
      <c r="LW66" s="148"/>
      <c r="LX66" s="148"/>
      <c r="LY66" s="148"/>
      <c r="LZ66" s="148"/>
      <c r="MA66" s="148"/>
      <c r="MB66" s="148"/>
      <c r="MC66" s="148"/>
      <c r="MD66" s="148"/>
      <c r="ME66" s="148"/>
      <c r="MF66" s="148"/>
      <c r="MG66" s="148"/>
      <c r="MH66" s="148"/>
      <c r="MI66" s="148"/>
      <c r="MJ66" s="148"/>
      <c r="MK66" s="148"/>
      <c r="ML66" s="148"/>
      <c r="MM66" s="148"/>
      <c r="MN66" s="148"/>
      <c r="MO66" s="148"/>
      <c r="MP66" s="148"/>
      <c r="MQ66" s="148"/>
      <c r="MR66" s="148"/>
      <c r="MS66" s="148"/>
      <c r="MT66" s="148"/>
      <c r="MU66" s="148"/>
      <c r="MV66" s="148"/>
      <c r="MW66" s="148"/>
      <c r="MX66" s="148"/>
      <c r="MY66" s="148"/>
      <c r="MZ66" s="148"/>
      <c r="NA66" s="148"/>
      <c r="NB66" s="148"/>
      <c r="NC66" s="148"/>
      <c r="ND66" s="148"/>
      <c r="NE66" s="148"/>
      <c r="NF66" s="148"/>
      <c r="NG66" s="148"/>
      <c r="NH66" s="148"/>
      <c r="NI66" s="148"/>
      <c r="NJ66" s="148"/>
      <c r="NK66" s="148"/>
      <c r="NL66" s="148"/>
      <c r="NM66" s="148"/>
      <c r="NN66" s="148"/>
      <c r="NO66" s="148"/>
      <c r="NP66" s="148"/>
      <c r="NQ66" s="148"/>
      <c r="NR66" s="148"/>
      <c r="NS66" s="148"/>
      <c r="NT66" s="148"/>
      <c r="NU66" s="148"/>
      <c r="NV66" s="148"/>
      <c r="NW66" s="148"/>
      <c r="NX66" s="148"/>
      <c r="NY66" s="148"/>
      <c r="NZ66" s="148"/>
      <c r="OA66" s="148"/>
      <c r="OB66" s="148"/>
      <c r="OC66" s="148"/>
      <c r="OD66" s="148"/>
      <c r="OE66" s="148"/>
      <c r="OF66" s="148"/>
      <c r="OG66" s="148"/>
      <c r="OH66" s="148"/>
      <c r="OI66" s="148"/>
      <c r="OJ66" s="148"/>
      <c r="OK66" s="148"/>
      <c r="OL66" s="148"/>
      <c r="OM66" s="148"/>
      <c r="ON66" s="148"/>
      <c r="OO66" s="148"/>
      <c r="OP66" s="148"/>
      <c r="OQ66" s="148"/>
      <c r="OR66" s="148"/>
      <c r="OS66" s="148"/>
      <c r="OT66" s="148"/>
      <c r="OU66" s="148"/>
      <c r="OV66" s="148"/>
      <c r="OW66" s="148"/>
      <c r="OX66" s="148"/>
      <c r="OY66" s="148"/>
      <c r="OZ66" s="148"/>
      <c r="PA66" s="148"/>
      <c r="PB66" s="148"/>
      <c r="PC66" s="148"/>
      <c r="PD66" s="148"/>
      <c r="PE66" s="148"/>
      <c r="PF66" s="148"/>
      <c r="PG66" s="148"/>
      <c r="PH66" s="148"/>
      <c r="PI66" s="148"/>
      <c r="PJ66" s="148"/>
      <c r="PK66" s="148"/>
      <c r="PL66" s="148"/>
      <c r="PM66" s="148"/>
      <c r="PN66" s="148"/>
      <c r="PO66" s="148"/>
      <c r="PP66" s="148"/>
      <c r="PQ66" s="148"/>
      <c r="PR66" s="148"/>
      <c r="PS66" s="148"/>
      <c r="PT66" s="148"/>
      <c r="PU66" s="148"/>
      <c r="PV66" s="148"/>
      <c r="PW66" s="148"/>
      <c r="PX66" s="148"/>
      <c r="PY66" s="148"/>
      <c r="PZ66" s="148"/>
      <c r="QA66" s="148"/>
      <c r="QB66" s="148"/>
      <c r="QC66" s="148"/>
      <c r="QD66" s="148"/>
      <c r="QE66" s="148"/>
      <c r="QF66" s="148"/>
      <c r="QG66" s="148"/>
      <c r="QH66" s="148"/>
      <c r="QI66" s="148"/>
      <c r="QJ66" s="148"/>
      <c r="QK66" s="148"/>
      <c r="QL66" s="148"/>
      <c r="QM66" s="148"/>
      <c r="QN66" s="148"/>
      <c r="QO66" s="148"/>
      <c r="QP66" s="148"/>
      <c r="QQ66" s="148"/>
      <c r="QR66" s="148"/>
      <c r="QS66" s="148"/>
      <c r="QT66" s="148"/>
      <c r="QU66" s="148"/>
      <c r="QV66" s="148"/>
      <c r="QW66" s="148"/>
      <c r="QX66" s="148"/>
      <c r="QY66" s="148"/>
      <c r="QZ66" s="148"/>
      <c r="RA66" s="148"/>
      <c r="RB66" s="148"/>
      <c r="RC66" s="148"/>
      <c r="RD66" s="148"/>
      <c r="RE66" s="148"/>
      <c r="RF66" s="148"/>
      <c r="RG66" s="148"/>
      <c r="RH66" s="148"/>
      <c r="RI66" s="148"/>
      <c r="RJ66" s="148"/>
      <c r="RK66" s="148"/>
      <c r="RL66" s="148"/>
      <c r="RM66" s="148"/>
      <c r="RN66" s="148"/>
      <c r="RO66" s="148"/>
      <c r="RP66" s="148"/>
      <c r="RQ66" s="148"/>
      <c r="RR66" s="148"/>
    </row>
    <row r="67" spans="1:486" s="15" customFormat="1" ht="22.5" x14ac:dyDescent="0.25">
      <c r="A67" s="148"/>
      <c r="B67" s="350">
        <v>52</v>
      </c>
      <c r="C67" s="650" t="s">
        <v>894</v>
      </c>
      <c r="D67" s="631">
        <v>40011449</v>
      </c>
      <c r="E67" s="344" t="s">
        <v>2820</v>
      </c>
      <c r="F67" s="344" t="s">
        <v>45</v>
      </c>
      <c r="G67" s="17" t="s">
        <v>2693</v>
      </c>
      <c r="H67" s="317" t="s">
        <v>1562</v>
      </c>
      <c r="I67" s="346" t="s">
        <v>43</v>
      </c>
      <c r="J67" s="341" t="s">
        <v>2821</v>
      </c>
      <c r="K67" s="633">
        <v>0</v>
      </c>
      <c r="L67" s="633">
        <v>773969</v>
      </c>
      <c r="M67" s="633">
        <v>0</v>
      </c>
      <c r="N67" s="633">
        <v>0</v>
      </c>
      <c r="O67" s="633">
        <v>0</v>
      </c>
      <c r="P67" s="633">
        <v>0</v>
      </c>
      <c r="Q67" s="633">
        <v>0</v>
      </c>
      <c r="R67" s="633">
        <v>2000</v>
      </c>
      <c r="S67" s="633"/>
      <c r="T67" s="633"/>
      <c r="U67" s="633"/>
      <c r="V67" s="633"/>
      <c r="W67" s="633"/>
      <c r="X67" s="633"/>
      <c r="Y67" s="633">
        <f t="shared" si="1"/>
        <v>2000</v>
      </c>
      <c r="Z67" s="407">
        <v>400000</v>
      </c>
      <c r="AA67" s="635" t="s">
        <v>2769</v>
      </c>
      <c r="AB67" s="23">
        <v>44232</v>
      </c>
      <c r="AC67" s="23">
        <v>44250</v>
      </c>
      <c r="AD67" s="644">
        <v>-50000</v>
      </c>
      <c r="AE67" s="651">
        <v>33</v>
      </c>
      <c r="AF67" s="423">
        <v>44350</v>
      </c>
      <c r="AG67" s="423">
        <v>44369</v>
      </c>
      <c r="AH67" s="637"/>
      <c r="AI67" s="19"/>
      <c r="AJ67" s="21"/>
      <c r="AK67" s="25"/>
      <c r="AL67" s="309"/>
      <c r="AM67" s="19"/>
      <c r="AN67" s="21"/>
      <c r="AO67" s="25"/>
      <c r="AP67" s="309"/>
      <c r="AQ67" s="19"/>
      <c r="AR67" s="21"/>
      <c r="AS67" s="25"/>
      <c r="AT67" s="638">
        <f t="shared" si="2"/>
        <v>350000</v>
      </c>
      <c r="AU67" s="311">
        <f t="shared" si="0"/>
        <v>348000</v>
      </c>
      <c r="AV67" s="148"/>
      <c r="AW67" s="148"/>
      <c r="AX67" s="148"/>
      <c r="AY67" s="148"/>
      <c r="AZ67" s="148"/>
      <c r="BA67" s="148"/>
      <c r="BB67" s="148"/>
      <c r="BC67" s="148"/>
      <c r="BD67" s="148"/>
      <c r="BE67" s="148"/>
      <c r="BF67" s="148"/>
      <c r="BG67" s="148"/>
      <c r="BH67" s="148"/>
      <c r="BI67" s="148"/>
      <c r="BJ67" s="148"/>
      <c r="BK67" s="148"/>
      <c r="BL67" s="148"/>
      <c r="BM67" s="148"/>
      <c r="BN67" s="148"/>
      <c r="BO67" s="148"/>
      <c r="BP67" s="148"/>
      <c r="BQ67" s="148"/>
      <c r="BR67" s="148"/>
      <c r="BS67" s="148"/>
      <c r="BT67" s="148"/>
      <c r="BU67" s="148"/>
      <c r="BV67" s="148"/>
      <c r="BW67" s="148"/>
      <c r="BX67" s="148"/>
      <c r="BY67" s="148"/>
      <c r="BZ67" s="148"/>
      <c r="CA67" s="148"/>
      <c r="CB67" s="148"/>
      <c r="CC67" s="148"/>
      <c r="CD67" s="148"/>
      <c r="CE67" s="148"/>
      <c r="CF67" s="148"/>
      <c r="CG67" s="148"/>
      <c r="CH67" s="148"/>
      <c r="CI67" s="148"/>
      <c r="CJ67" s="148"/>
      <c r="CK67" s="148"/>
      <c r="CL67" s="148"/>
      <c r="CM67" s="148"/>
      <c r="CN67" s="148"/>
      <c r="CO67" s="148"/>
      <c r="CP67" s="148"/>
      <c r="CQ67" s="148"/>
      <c r="CR67" s="148"/>
      <c r="CS67" s="148"/>
      <c r="CT67" s="148"/>
      <c r="CU67" s="148"/>
      <c r="CV67" s="148"/>
      <c r="CW67" s="148"/>
      <c r="CX67" s="148"/>
      <c r="CY67" s="148"/>
      <c r="CZ67" s="148"/>
      <c r="DA67" s="148"/>
      <c r="DB67" s="148"/>
      <c r="DC67" s="148"/>
      <c r="DD67" s="148"/>
      <c r="DE67" s="148"/>
      <c r="DF67" s="148"/>
      <c r="DG67" s="148"/>
      <c r="DH67" s="148"/>
      <c r="DI67" s="148"/>
      <c r="DJ67" s="148"/>
      <c r="DK67" s="148"/>
      <c r="DL67" s="148"/>
      <c r="DM67" s="148"/>
      <c r="DN67" s="148"/>
      <c r="DO67" s="148"/>
      <c r="DP67" s="148"/>
      <c r="DQ67" s="148"/>
      <c r="DR67" s="148"/>
      <c r="DS67" s="148"/>
      <c r="DT67" s="148"/>
      <c r="DU67" s="148"/>
      <c r="DV67" s="148"/>
      <c r="DW67" s="148"/>
      <c r="DX67" s="148"/>
      <c r="DY67" s="148"/>
      <c r="DZ67" s="148"/>
      <c r="EA67" s="148"/>
      <c r="EB67" s="148"/>
      <c r="EC67" s="148"/>
      <c r="ED67" s="148"/>
      <c r="EE67" s="148"/>
      <c r="EF67" s="148"/>
      <c r="EG67" s="148"/>
      <c r="EH67" s="148"/>
      <c r="EI67" s="148"/>
      <c r="EJ67" s="148"/>
      <c r="EK67" s="148"/>
      <c r="EL67" s="148"/>
      <c r="EM67" s="148"/>
      <c r="EN67" s="148"/>
      <c r="EO67" s="148"/>
      <c r="EP67" s="148"/>
      <c r="EQ67" s="148"/>
      <c r="ER67" s="148"/>
      <c r="ES67" s="148"/>
      <c r="ET67" s="148"/>
      <c r="EU67" s="148"/>
      <c r="EV67" s="148"/>
      <c r="EW67" s="148"/>
      <c r="EX67" s="148"/>
      <c r="EY67" s="148"/>
      <c r="EZ67" s="148"/>
      <c r="FA67" s="148"/>
      <c r="FB67" s="148"/>
      <c r="FC67" s="148"/>
      <c r="FD67" s="148"/>
      <c r="FE67" s="148"/>
      <c r="FF67" s="148"/>
      <c r="FG67" s="148"/>
      <c r="FH67" s="148"/>
      <c r="FI67" s="148"/>
      <c r="FJ67" s="148"/>
      <c r="FK67" s="148"/>
      <c r="FL67" s="148"/>
      <c r="FM67" s="148"/>
      <c r="FN67" s="148"/>
      <c r="FO67" s="148"/>
      <c r="FP67" s="148"/>
      <c r="FQ67" s="148"/>
      <c r="FR67" s="148"/>
      <c r="FS67" s="148"/>
      <c r="FT67" s="148"/>
      <c r="FU67" s="148"/>
      <c r="FV67" s="148"/>
      <c r="FW67" s="148"/>
      <c r="FX67" s="148"/>
      <c r="FY67" s="148"/>
      <c r="FZ67" s="148"/>
      <c r="GA67" s="148"/>
      <c r="GB67" s="148"/>
      <c r="GC67" s="148"/>
      <c r="GD67" s="148"/>
      <c r="GE67" s="148"/>
      <c r="GF67" s="148"/>
      <c r="GG67" s="148"/>
      <c r="GH67" s="148"/>
      <c r="GI67" s="148"/>
      <c r="GJ67" s="148"/>
      <c r="GK67" s="148"/>
      <c r="GL67" s="148"/>
      <c r="GM67" s="148"/>
      <c r="GN67" s="148"/>
      <c r="GO67" s="148"/>
      <c r="GP67" s="148"/>
      <c r="GQ67" s="148"/>
      <c r="GR67" s="148"/>
      <c r="GS67" s="148"/>
      <c r="GT67" s="148"/>
      <c r="GU67" s="148"/>
      <c r="GV67" s="148"/>
      <c r="GW67" s="148"/>
      <c r="GX67" s="148"/>
      <c r="GY67" s="148"/>
      <c r="GZ67" s="148"/>
      <c r="HA67" s="148"/>
      <c r="HB67" s="148"/>
      <c r="HC67" s="148"/>
      <c r="HD67" s="148"/>
      <c r="HE67" s="148"/>
      <c r="HF67" s="148"/>
      <c r="HG67" s="148"/>
      <c r="HH67" s="148"/>
      <c r="HI67" s="148"/>
      <c r="HJ67" s="148"/>
      <c r="HK67" s="148"/>
      <c r="HL67" s="148"/>
      <c r="HM67" s="148"/>
      <c r="HN67" s="148"/>
      <c r="HO67" s="148"/>
      <c r="HP67" s="148"/>
      <c r="HQ67" s="148"/>
      <c r="HR67" s="148"/>
      <c r="HS67" s="148"/>
      <c r="HT67" s="148"/>
      <c r="HU67" s="148"/>
      <c r="HV67" s="148"/>
      <c r="HW67" s="148"/>
      <c r="HX67" s="148"/>
      <c r="HY67" s="148"/>
      <c r="HZ67" s="148"/>
      <c r="IA67" s="148"/>
      <c r="IB67" s="148"/>
      <c r="IC67" s="148"/>
      <c r="ID67" s="148"/>
      <c r="IE67" s="148"/>
      <c r="IF67" s="148"/>
      <c r="IG67" s="148"/>
      <c r="IH67" s="148"/>
      <c r="II67" s="148"/>
      <c r="IJ67" s="148"/>
      <c r="IK67" s="148"/>
      <c r="IL67" s="148"/>
      <c r="IM67" s="148"/>
      <c r="IN67" s="148"/>
      <c r="IO67" s="148"/>
      <c r="IP67" s="148"/>
      <c r="IQ67" s="148"/>
      <c r="IR67" s="148"/>
      <c r="IS67" s="148"/>
      <c r="IT67" s="148"/>
      <c r="IU67" s="148"/>
      <c r="IV67" s="148"/>
      <c r="IW67" s="148"/>
      <c r="IX67" s="148"/>
      <c r="IY67" s="148"/>
      <c r="IZ67" s="148"/>
      <c r="JA67" s="148"/>
      <c r="JB67" s="148"/>
      <c r="JC67" s="148"/>
      <c r="JD67" s="148"/>
      <c r="JE67" s="148"/>
      <c r="JF67" s="148"/>
      <c r="JG67" s="148"/>
      <c r="JH67" s="148"/>
      <c r="JI67" s="148"/>
      <c r="JJ67" s="148"/>
      <c r="JK67" s="148"/>
      <c r="JL67" s="148"/>
      <c r="JM67" s="148"/>
      <c r="JN67" s="148"/>
      <c r="JO67" s="148"/>
      <c r="JP67" s="148"/>
      <c r="JQ67" s="148"/>
      <c r="JR67" s="148"/>
      <c r="JS67" s="148"/>
      <c r="JT67" s="148"/>
      <c r="JU67" s="148"/>
      <c r="JV67" s="148"/>
      <c r="JW67" s="148"/>
      <c r="JX67" s="148"/>
      <c r="JY67" s="148"/>
      <c r="JZ67" s="148"/>
      <c r="KA67" s="148"/>
      <c r="KB67" s="148"/>
      <c r="KC67" s="148"/>
      <c r="KD67" s="148"/>
      <c r="KE67" s="148"/>
      <c r="KF67" s="148"/>
      <c r="KG67" s="148"/>
      <c r="KH67" s="148"/>
      <c r="KI67" s="148"/>
      <c r="KJ67" s="148"/>
      <c r="KK67" s="148"/>
      <c r="KL67" s="148"/>
      <c r="KM67" s="148"/>
      <c r="KN67" s="148"/>
      <c r="KO67" s="148"/>
      <c r="KP67" s="148"/>
      <c r="KQ67" s="148"/>
      <c r="KR67" s="148"/>
      <c r="KS67" s="148"/>
      <c r="KT67" s="148"/>
      <c r="KU67" s="148"/>
      <c r="KV67" s="148"/>
      <c r="KW67" s="148"/>
      <c r="KX67" s="148"/>
      <c r="KY67" s="148"/>
      <c r="KZ67" s="148"/>
      <c r="LA67" s="148"/>
      <c r="LB67" s="148"/>
      <c r="LC67" s="148"/>
      <c r="LD67" s="148"/>
      <c r="LE67" s="148"/>
      <c r="LF67" s="148"/>
      <c r="LG67" s="148"/>
      <c r="LH67" s="148"/>
      <c r="LI67" s="148"/>
      <c r="LJ67" s="148"/>
      <c r="LK67" s="148"/>
      <c r="LL67" s="148"/>
      <c r="LM67" s="148"/>
      <c r="LN67" s="148"/>
      <c r="LO67" s="148"/>
      <c r="LP67" s="148"/>
      <c r="LQ67" s="148"/>
      <c r="LR67" s="148"/>
      <c r="LS67" s="148"/>
      <c r="LT67" s="148"/>
      <c r="LU67" s="148"/>
      <c r="LV67" s="148"/>
      <c r="LW67" s="148"/>
      <c r="LX67" s="148"/>
      <c r="LY67" s="148"/>
      <c r="LZ67" s="148"/>
      <c r="MA67" s="148"/>
      <c r="MB67" s="148"/>
      <c r="MC67" s="148"/>
      <c r="MD67" s="148"/>
      <c r="ME67" s="148"/>
      <c r="MF67" s="148"/>
      <c r="MG67" s="148"/>
      <c r="MH67" s="148"/>
      <c r="MI67" s="148"/>
      <c r="MJ67" s="148"/>
      <c r="MK67" s="148"/>
      <c r="ML67" s="148"/>
      <c r="MM67" s="148"/>
      <c r="MN67" s="148"/>
      <c r="MO67" s="148"/>
      <c r="MP67" s="148"/>
      <c r="MQ67" s="148"/>
      <c r="MR67" s="148"/>
      <c r="MS67" s="148"/>
      <c r="MT67" s="148"/>
      <c r="MU67" s="148"/>
      <c r="MV67" s="148"/>
      <c r="MW67" s="148"/>
      <c r="MX67" s="148"/>
      <c r="MY67" s="148"/>
      <c r="MZ67" s="148"/>
      <c r="NA67" s="148"/>
      <c r="NB67" s="148"/>
      <c r="NC67" s="148"/>
      <c r="ND67" s="148"/>
      <c r="NE67" s="148"/>
      <c r="NF67" s="148"/>
      <c r="NG67" s="148"/>
      <c r="NH67" s="148"/>
      <c r="NI67" s="148"/>
      <c r="NJ67" s="148"/>
      <c r="NK67" s="148"/>
      <c r="NL67" s="148"/>
      <c r="NM67" s="148"/>
      <c r="NN67" s="148"/>
      <c r="NO67" s="148"/>
      <c r="NP67" s="148"/>
      <c r="NQ67" s="148"/>
      <c r="NR67" s="148"/>
      <c r="NS67" s="148"/>
      <c r="NT67" s="148"/>
      <c r="NU67" s="148"/>
      <c r="NV67" s="148"/>
      <c r="NW67" s="148"/>
      <c r="NX67" s="148"/>
      <c r="NY67" s="148"/>
      <c r="NZ67" s="148"/>
      <c r="OA67" s="148"/>
      <c r="OB67" s="148"/>
      <c r="OC67" s="148"/>
      <c r="OD67" s="148"/>
      <c r="OE67" s="148"/>
      <c r="OF67" s="148"/>
      <c r="OG67" s="148"/>
      <c r="OH67" s="148"/>
      <c r="OI67" s="148"/>
      <c r="OJ67" s="148"/>
      <c r="OK67" s="148"/>
      <c r="OL67" s="148"/>
      <c r="OM67" s="148"/>
      <c r="ON67" s="148"/>
      <c r="OO67" s="148"/>
      <c r="OP67" s="148"/>
      <c r="OQ67" s="148"/>
      <c r="OR67" s="148"/>
      <c r="OS67" s="148"/>
      <c r="OT67" s="148"/>
      <c r="OU67" s="148"/>
      <c r="OV67" s="148"/>
      <c r="OW67" s="148"/>
      <c r="OX67" s="148"/>
      <c r="OY67" s="148"/>
      <c r="OZ67" s="148"/>
      <c r="PA67" s="148"/>
      <c r="PB67" s="148"/>
      <c r="PC67" s="148"/>
      <c r="PD67" s="148"/>
      <c r="PE67" s="148"/>
      <c r="PF67" s="148"/>
      <c r="PG67" s="148"/>
      <c r="PH67" s="148"/>
      <c r="PI67" s="148"/>
      <c r="PJ67" s="148"/>
      <c r="PK67" s="148"/>
      <c r="PL67" s="148"/>
      <c r="PM67" s="148"/>
      <c r="PN67" s="148"/>
      <c r="PO67" s="148"/>
      <c r="PP67" s="148"/>
      <c r="PQ67" s="148"/>
      <c r="PR67" s="148"/>
      <c r="PS67" s="148"/>
      <c r="PT67" s="148"/>
      <c r="PU67" s="148"/>
      <c r="PV67" s="148"/>
      <c r="PW67" s="148"/>
      <c r="PX67" s="148"/>
      <c r="PY67" s="148"/>
      <c r="PZ67" s="148"/>
      <c r="QA67" s="148"/>
      <c r="QB67" s="148"/>
      <c r="QC67" s="148"/>
      <c r="QD67" s="148"/>
      <c r="QE67" s="148"/>
      <c r="QF67" s="148"/>
      <c r="QG67" s="148"/>
      <c r="QH67" s="148"/>
      <c r="QI67" s="148"/>
      <c r="QJ67" s="148"/>
      <c r="QK67" s="148"/>
      <c r="QL67" s="148"/>
      <c r="QM67" s="148"/>
      <c r="QN67" s="148"/>
      <c r="QO67" s="148"/>
      <c r="QP67" s="148"/>
      <c r="QQ67" s="148"/>
      <c r="QR67" s="148"/>
      <c r="QS67" s="148"/>
      <c r="QT67" s="148"/>
      <c r="QU67" s="148"/>
      <c r="QV67" s="148"/>
      <c r="QW67" s="148"/>
      <c r="QX67" s="148"/>
      <c r="QY67" s="148"/>
      <c r="QZ67" s="148"/>
      <c r="RA67" s="148"/>
      <c r="RB67" s="148"/>
      <c r="RC67" s="148"/>
      <c r="RD67" s="148"/>
      <c r="RE67" s="148"/>
      <c r="RF67" s="148"/>
      <c r="RG67" s="148"/>
      <c r="RH67" s="148"/>
      <c r="RI67" s="148"/>
      <c r="RJ67" s="148"/>
      <c r="RK67" s="148"/>
      <c r="RL67" s="148"/>
      <c r="RM67" s="148"/>
      <c r="RN67" s="148"/>
      <c r="RO67" s="148"/>
      <c r="RP67" s="148"/>
      <c r="RQ67" s="148"/>
      <c r="RR67" s="148"/>
    </row>
    <row r="68" spans="1:486" s="15" customFormat="1" x14ac:dyDescent="0.25">
      <c r="A68" s="148"/>
      <c r="B68" s="350">
        <v>53</v>
      </c>
      <c r="C68" s="650" t="s">
        <v>894</v>
      </c>
      <c r="D68" s="631">
        <v>40014384</v>
      </c>
      <c r="E68" s="344" t="s">
        <v>2822</v>
      </c>
      <c r="F68" s="344" t="s">
        <v>46</v>
      </c>
      <c r="G68" s="17" t="s">
        <v>2693</v>
      </c>
      <c r="H68" s="317" t="s">
        <v>2715</v>
      </c>
      <c r="I68" s="346" t="s">
        <v>43</v>
      </c>
      <c r="J68" s="341" t="s">
        <v>2823</v>
      </c>
      <c r="K68" s="633">
        <v>0</v>
      </c>
      <c r="L68" s="633">
        <v>2612127</v>
      </c>
      <c r="M68" s="633">
        <v>0</v>
      </c>
      <c r="N68" s="633">
        <v>0</v>
      </c>
      <c r="O68" s="633">
        <v>0</v>
      </c>
      <c r="P68" s="633">
        <v>0</v>
      </c>
      <c r="Q68" s="633">
        <v>0</v>
      </c>
      <c r="R68" s="633">
        <v>0</v>
      </c>
      <c r="S68" s="633"/>
      <c r="T68" s="633"/>
      <c r="U68" s="633"/>
      <c r="V68" s="633"/>
      <c r="W68" s="633"/>
      <c r="X68" s="633"/>
      <c r="Y68" s="633">
        <f t="shared" si="1"/>
        <v>0</v>
      </c>
      <c r="Z68" s="407">
        <v>527000</v>
      </c>
      <c r="AA68" s="635" t="s">
        <v>2769</v>
      </c>
      <c r="AB68" s="23">
        <v>44232</v>
      </c>
      <c r="AC68" s="23">
        <v>44250</v>
      </c>
      <c r="AD68" s="636"/>
      <c r="AE68" s="20"/>
      <c r="AF68" s="21"/>
      <c r="AG68" s="23"/>
      <c r="AH68" s="637"/>
      <c r="AI68" s="19"/>
      <c r="AJ68" s="21"/>
      <c r="AK68" s="25"/>
      <c r="AL68" s="309"/>
      <c r="AM68" s="19"/>
      <c r="AN68" s="21"/>
      <c r="AO68" s="25"/>
      <c r="AP68" s="309"/>
      <c r="AQ68" s="19"/>
      <c r="AR68" s="21"/>
      <c r="AS68" s="25"/>
      <c r="AT68" s="638">
        <f t="shared" si="2"/>
        <v>527000</v>
      </c>
      <c r="AU68" s="311">
        <f t="shared" si="0"/>
        <v>527000</v>
      </c>
      <c r="AV68" s="148"/>
      <c r="AW68" s="148"/>
      <c r="AX68" s="148"/>
      <c r="AY68" s="148"/>
      <c r="AZ68" s="148"/>
      <c r="BA68" s="148"/>
      <c r="BB68" s="148"/>
      <c r="BC68" s="148"/>
      <c r="BD68" s="148"/>
      <c r="BE68" s="148"/>
      <c r="BF68" s="148"/>
      <c r="BG68" s="148"/>
      <c r="BH68" s="148"/>
      <c r="BI68" s="148"/>
      <c r="BJ68" s="148"/>
      <c r="BK68" s="148"/>
      <c r="BL68" s="148"/>
      <c r="BM68" s="148"/>
      <c r="BN68" s="148"/>
      <c r="BO68" s="148"/>
      <c r="BP68" s="148"/>
      <c r="BQ68" s="148"/>
      <c r="BR68" s="148"/>
      <c r="BS68" s="148"/>
      <c r="BT68" s="148"/>
      <c r="BU68" s="148"/>
      <c r="BV68" s="148"/>
      <c r="BW68" s="148"/>
      <c r="BX68" s="148"/>
      <c r="BY68" s="148"/>
      <c r="BZ68" s="148"/>
      <c r="CA68" s="148"/>
      <c r="CB68" s="148"/>
      <c r="CC68" s="148"/>
      <c r="CD68" s="148"/>
      <c r="CE68" s="148"/>
      <c r="CF68" s="148"/>
      <c r="CG68" s="148"/>
      <c r="CH68" s="148"/>
      <c r="CI68" s="148"/>
      <c r="CJ68" s="148"/>
      <c r="CK68" s="148"/>
      <c r="CL68" s="148"/>
      <c r="CM68" s="148"/>
      <c r="CN68" s="148"/>
      <c r="CO68" s="148"/>
      <c r="CP68" s="148"/>
      <c r="CQ68" s="148"/>
      <c r="CR68" s="148"/>
      <c r="CS68" s="148"/>
      <c r="CT68" s="148"/>
      <c r="CU68" s="148"/>
      <c r="CV68" s="148"/>
      <c r="CW68" s="148"/>
      <c r="CX68" s="148"/>
      <c r="CY68" s="148"/>
      <c r="CZ68" s="148"/>
      <c r="DA68" s="148"/>
      <c r="DB68" s="148"/>
      <c r="DC68" s="148"/>
      <c r="DD68" s="148"/>
      <c r="DE68" s="148"/>
      <c r="DF68" s="148"/>
      <c r="DG68" s="148"/>
      <c r="DH68" s="148"/>
      <c r="DI68" s="148"/>
      <c r="DJ68" s="148"/>
      <c r="DK68" s="148"/>
      <c r="DL68" s="148"/>
      <c r="DM68" s="148"/>
      <c r="DN68" s="148"/>
      <c r="DO68" s="148"/>
      <c r="DP68" s="148"/>
      <c r="DQ68" s="148"/>
      <c r="DR68" s="148"/>
      <c r="DS68" s="148"/>
      <c r="DT68" s="148"/>
      <c r="DU68" s="148"/>
      <c r="DV68" s="148"/>
      <c r="DW68" s="148"/>
      <c r="DX68" s="148"/>
      <c r="DY68" s="148"/>
      <c r="DZ68" s="148"/>
      <c r="EA68" s="148"/>
      <c r="EB68" s="148"/>
      <c r="EC68" s="148"/>
      <c r="ED68" s="148"/>
      <c r="EE68" s="148"/>
      <c r="EF68" s="148"/>
      <c r="EG68" s="148"/>
      <c r="EH68" s="148"/>
      <c r="EI68" s="148"/>
      <c r="EJ68" s="148"/>
      <c r="EK68" s="148"/>
      <c r="EL68" s="148"/>
      <c r="EM68" s="148"/>
      <c r="EN68" s="148"/>
      <c r="EO68" s="148"/>
      <c r="EP68" s="148"/>
      <c r="EQ68" s="148"/>
      <c r="ER68" s="148"/>
      <c r="ES68" s="148"/>
      <c r="ET68" s="148"/>
      <c r="EU68" s="148"/>
      <c r="EV68" s="148"/>
      <c r="EW68" s="148"/>
      <c r="EX68" s="148"/>
      <c r="EY68" s="148"/>
      <c r="EZ68" s="148"/>
      <c r="FA68" s="148"/>
      <c r="FB68" s="148"/>
      <c r="FC68" s="148"/>
      <c r="FD68" s="148"/>
      <c r="FE68" s="148"/>
      <c r="FF68" s="148"/>
      <c r="FG68" s="148"/>
      <c r="FH68" s="148"/>
      <c r="FI68" s="148"/>
      <c r="FJ68" s="148"/>
      <c r="FK68" s="148"/>
      <c r="FL68" s="148"/>
      <c r="FM68" s="148"/>
      <c r="FN68" s="148"/>
      <c r="FO68" s="148"/>
      <c r="FP68" s="148"/>
      <c r="FQ68" s="148"/>
      <c r="FR68" s="148"/>
      <c r="FS68" s="148"/>
      <c r="FT68" s="148"/>
      <c r="FU68" s="148"/>
      <c r="FV68" s="148"/>
      <c r="FW68" s="148"/>
      <c r="FX68" s="148"/>
      <c r="FY68" s="148"/>
      <c r="FZ68" s="148"/>
      <c r="GA68" s="148"/>
      <c r="GB68" s="148"/>
      <c r="GC68" s="148"/>
      <c r="GD68" s="148"/>
      <c r="GE68" s="148"/>
      <c r="GF68" s="148"/>
      <c r="GG68" s="148"/>
      <c r="GH68" s="148"/>
      <c r="GI68" s="148"/>
      <c r="GJ68" s="148"/>
      <c r="GK68" s="148"/>
      <c r="GL68" s="148"/>
      <c r="GM68" s="148"/>
      <c r="GN68" s="148"/>
      <c r="GO68" s="148"/>
      <c r="GP68" s="148"/>
      <c r="GQ68" s="148"/>
      <c r="GR68" s="148"/>
      <c r="GS68" s="148"/>
      <c r="GT68" s="148"/>
      <c r="GU68" s="148"/>
      <c r="GV68" s="148"/>
      <c r="GW68" s="148"/>
      <c r="GX68" s="148"/>
      <c r="GY68" s="148"/>
      <c r="GZ68" s="148"/>
      <c r="HA68" s="148"/>
      <c r="HB68" s="148"/>
      <c r="HC68" s="148"/>
      <c r="HD68" s="148"/>
      <c r="HE68" s="148"/>
      <c r="HF68" s="148"/>
      <c r="HG68" s="148"/>
      <c r="HH68" s="148"/>
      <c r="HI68" s="148"/>
      <c r="HJ68" s="148"/>
      <c r="HK68" s="148"/>
      <c r="HL68" s="148"/>
      <c r="HM68" s="148"/>
      <c r="HN68" s="148"/>
      <c r="HO68" s="148"/>
      <c r="HP68" s="148"/>
      <c r="HQ68" s="148"/>
      <c r="HR68" s="148"/>
      <c r="HS68" s="148"/>
      <c r="HT68" s="148"/>
      <c r="HU68" s="148"/>
      <c r="HV68" s="148"/>
      <c r="HW68" s="148"/>
      <c r="HX68" s="148"/>
      <c r="HY68" s="148"/>
      <c r="HZ68" s="148"/>
      <c r="IA68" s="148"/>
      <c r="IB68" s="148"/>
      <c r="IC68" s="148"/>
      <c r="ID68" s="148"/>
      <c r="IE68" s="148"/>
      <c r="IF68" s="148"/>
      <c r="IG68" s="148"/>
      <c r="IH68" s="148"/>
      <c r="II68" s="148"/>
      <c r="IJ68" s="148"/>
      <c r="IK68" s="148"/>
      <c r="IL68" s="148"/>
      <c r="IM68" s="148"/>
      <c r="IN68" s="148"/>
      <c r="IO68" s="148"/>
      <c r="IP68" s="148"/>
      <c r="IQ68" s="148"/>
      <c r="IR68" s="148"/>
      <c r="IS68" s="148"/>
      <c r="IT68" s="148"/>
      <c r="IU68" s="148"/>
      <c r="IV68" s="148"/>
      <c r="IW68" s="148"/>
      <c r="IX68" s="148"/>
      <c r="IY68" s="148"/>
      <c r="IZ68" s="148"/>
      <c r="JA68" s="148"/>
      <c r="JB68" s="148"/>
      <c r="JC68" s="148"/>
      <c r="JD68" s="148"/>
      <c r="JE68" s="148"/>
      <c r="JF68" s="148"/>
      <c r="JG68" s="148"/>
      <c r="JH68" s="148"/>
      <c r="JI68" s="148"/>
      <c r="JJ68" s="148"/>
      <c r="JK68" s="148"/>
      <c r="JL68" s="148"/>
      <c r="JM68" s="148"/>
      <c r="JN68" s="148"/>
      <c r="JO68" s="148"/>
      <c r="JP68" s="148"/>
      <c r="JQ68" s="148"/>
      <c r="JR68" s="148"/>
      <c r="JS68" s="148"/>
      <c r="JT68" s="148"/>
      <c r="JU68" s="148"/>
      <c r="JV68" s="148"/>
      <c r="JW68" s="148"/>
      <c r="JX68" s="148"/>
      <c r="JY68" s="148"/>
      <c r="JZ68" s="148"/>
      <c r="KA68" s="148"/>
      <c r="KB68" s="148"/>
      <c r="KC68" s="148"/>
      <c r="KD68" s="148"/>
      <c r="KE68" s="148"/>
      <c r="KF68" s="148"/>
      <c r="KG68" s="148"/>
      <c r="KH68" s="148"/>
      <c r="KI68" s="148"/>
      <c r="KJ68" s="148"/>
      <c r="KK68" s="148"/>
      <c r="KL68" s="148"/>
      <c r="KM68" s="148"/>
      <c r="KN68" s="148"/>
      <c r="KO68" s="148"/>
      <c r="KP68" s="148"/>
      <c r="KQ68" s="148"/>
      <c r="KR68" s="148"/>
      <c r="KS68" s="148"/>
      <c r="KT68" s="148"/>
      <c r="KU68" s="148"/>
      <c r="KV68" s="148"/>
      <c r="KW68" s="148"/>
      <c r="KX68" s="148"/>
      <c r="KY68" s="148"/>
      <c r="KZ68" s="148"/>
      <c r="LA68" s="148"/>
      <c r="LB68" s="148"/>
      <c r="LC68" s="148"/>
      <c r="LD68" s="148"/>
      <c r="LE68" s="148"/>
      <c r="LF68" s="148"/>
      <c r="LG68" s="148"/>
      <c r="LH68" s="148"/>
      <c r="LI68" s="148"/>
      <c r="LJ68" s="148"/>
      <c r="LK68" s="148"/>
      <c r="LL68" s="148"/>
      <c r="LM68" s="148"/>
      <c r="LN68" s="148"/>
      <c r="LO68" s="148"/>
      <c r="LP68" s="148"/>
      <c r="LQ68" s="148"/>
      <c r="LR68" s="148"/>
      <c r="LS68" s="148"/>
      <c r="LT68" s="148"/>
      <c r="LU68" s="148"/>
      <c r="LV68" s="148"/>
      <c r="LW68" s="148"/>
      <c r="LX68" s="148"/>
      <c r="LY68" s="148"/>
      <c r="LZ68" s="148"/>
      <c r="MA68" s="148"/>
      <c r="MB68" s="148"/>
      <c r="MC68" s="148"/>
      <c r="MD68" s="148"/>
      <c r="ME68" s="148"/>
      <c r="MF68" s="148"/>
      <c r="MG68" s="148"/>
      <c r="MH68" s="148"/>
      <c r="MI68" s="148"/>
      <c r="MJ68" s="148"/>
      <c r="MK68" s="148"/>
      <c r="ML68" s="148"/>
      <c r="MM68" s="148"/>
      <c r="MN68" s="148"/>
      <c r="MO68" s="148"/>
      <c r="MP68" s="148"/>
      <c r="MQ68" s="148"/>
      <c r="MR68" s="148"/>
      <c r="MS68" s="148"/>
      <c r="MT68" s="148"/>
      <c r="MU68" s="148"/>
      <c r="MV68" s="148"/>
      <c r="MW68" s="148"/>
      <c r="MX68" s="148"/>
      <c r="MY68" s="148"/>
      <c r="MZ68" s="148"/>
      <c r="NA68" s="148"/>
      <c r="NB68" s="148"/>
      <c r="NC68" s="148"/>
      <c r="ND68" s="148"/>
      <c r="NE68" s="148"/>
      <c r="NF68" s="148"/>
      <c r="NG68" s="148"/>
      <c r="NH68" s="148"/>
      <c r="NI68" s="148"/>
      <c r="NJ68" s="148"/>
      <c r="NK68" s="148"/>
      <c r="NL68" s="148"/>
      <c r="NM68" s="148"/>
      <c r="NN68" s="148"/>
      <c r="NO68" s="148"/>
      <c r="NP68" s="148"/>
      <c r="NQ68" s="148"/>
      <c r="NR68" s="148"/>
      <c r="NS68" s="148"/>
      <c r="NT68" s="148"/>
      <c r="NU68" s="148"/>
      <c r="NV68" s="148"/>
      <c r="NW68" s="148"/>
      <c r="NX68" s="148"/>
      <c r="NY68" s="148"/>
      <c r="NZ68" s="148"/>
      <c r="OA68" s="148"/>
      <c r="OB68" s="148"/>
      <c r="OC68" s="148"/>
      <c r="OD68" s="148"/>
      <c r="OE68" s="148"/>
      <c r="OF68" s="148"/>
      <c r="OG68" s="148"/>
      <c r="OH68" s="148"/>
      <c r="OI68" s="148"/>
      <c r="OJ68" s="148"/>
      <c r="OK68" s="148"/>
      <c r="OL68" s="148"/>
      <c r="OM68" s="148"/>
      <c r="ON68" s="148"/>
      <c r="OO68" s="148"/>
      <c r="OP68" s="148"/>
      <c r="OQ68" s="148"/>
      <c r="OR68" s="148"/>
      <c r="OS68" s="148"/>
      <c r="OT68" s="148"/>
      <c r="OU68" s="148"/>
      <c r="OV68" s="148"/>
      <c r="OW68" s="148"/>
      <c r="OX68" s="148"/>
      <c r="OY68" s="148"/>
      <c r="OZ68" s="148"/>
      <c r="PA68" s="148"/>
      <c r="PB68" s="148"/>
      <c r="PC68" s="148"/>
      <c r="PD68" s="148"/>
      <c r="PE68" s="148"/>
      <c r="PF68" s="148"/>
      <c r="PG68" s="148"/>
      <c r="PH68" s="148"/>
      <c r="PI68" s="148"/>
      <c r="PJ68" s="148"/>
      <c r="PK68" s="148"/>
      <c r="PL68" s="148"/>
      <c r="PM68" s="148"/>
      <c r="PN68" s="148"/>
      <c r="PO68" s="148"/>
      <c r="PP68" s="148"/>
      <c r="PQ68" s="148"/>
      <c r="PR68" s="148"/>
      <c r="PS68" s="148"/>
      <c r="PT68" s="148"/>
      <c r="PU68" s="148"/>
      <c r="PV68" s="148"/>
      <c r="PW68" s="148"/>
      <c r="PX68" s="148"/>
      <c r="PY68" s="148"/>
      <c r="PZ68" s="148"/>
      <c r="QA68" s="148"/>
      <c r="QB68" s="148"/>
      <c r="QC68" s="148"/>
      <c r="QD68" s="148"/>
      <c r="QE68" s="148"/>
      <c r="QF68" s="148"/>
      <c r="QG68" s="148"/>
      <c r="QH68" s="148"/>
      <c r="QI68" s="148"/>
      <c r="QJ68" s="148"/>
      <c r="QK68" s="148"/>
      <c r="QL68" s="148"/>
      <c r="QM68" s="148"/>
      <c r="QN68" s="148"/>
      <c r="QO68" s="148"/>
      <c r="QP68" s="148"/>
      <c r="QQ68" s="148"/>
      <c r="QR68" s="148"/>
      <c r="QS68" s="148"/>
      <c r="QT68" s="148"/>
      <c r="QU68" s="148"/>
      <c r="QV68" s="148"/>
      <c r="QW68" s="148"/>
      <c r="QX68" s="148"/>
      <c r="QY68" s="148"/>
      <c r="QZ68" s="148"/>
      <c r="RA68" s="148"/>
      <c r="RB68" s="148"/>
      <c r="RC68" s="148"/>
      <c r="RD68" s="148"/>
      <c r="RE68" s="148"/>
      <c r="RF68" s="148"/>
      <c r="RG68" s="148"/>
      <c r="RH68" s="148"/>
      <c r="RI68" s="148"/>
      <c r="RJ68" s="148"/>
      <c r="RK68" s="148"/>
      <c r="RL68" s="148"/>
      <c r="RM68" s="148"/>
      <c r="RN68" s="148"/>
      <c r="RO68" s="148"/>
      <c r="RP68" s="148"/>
      <c r="RQ68" s="148"/>
      <c r="RR68" s="148"/>
    </row>
    <row r="69" spans="1:486" s="15" customFormat="1" x14ac:dyDescent="0.25">
      <c r="A69" s="148"/>
      <c r="B69" s="350">
        <v>54</v>
      </c>
      <c r="C69" s="650" t="s">
        <v>894</v>
      </c>
      <c r="D69" s="631">
        <v>40015132</v>
      </c>
      <c r="E69" s="344" t="s">
        <v>2824</v>
      </c>
      <c r="F69" s="344" t="s">
        <v>46</v>
      </c>
      <c r="G69" s="17" t="s">
        <v>2693</v>
      </c>
      <c r="H69" s="317" t="s">
        <v>2703</v>
      </c>
      <c r="I69" s="346" t="s">
        <v>43</v>
      </c>
      <c r="J69" s="341" t="s">
        <v>2825</v>
      </c>
      <c r="K69" s="633">
        <v>0</v>
      </c>
      <c r="L69" s="633">
        <v>0</v>
      </c>
      <c r="M69" s="633">
        <v>0</v>
      </c>
      <c r="N69" s="633">
        <v>0</v>
      </c>
      <c r="O69" s="633">
        <v>0</v>
      </c>
      <c r="P69" s="633">
        <v>0</v>
      </c>
      <c r="Q69" s="633">
        <v>0</v>
      </c>
      <c r="R69" s="633">
        <v>0</v>
      </c>
      <c r="S69" s="633"/>
      <c r="T69" s="633"/>
      <c r="U69" s="633"/>
      <c r="V69" s="633"/>
      <c r="W69" s="633"/>
      <c r="X69" s="633"/>
      <c r="Y69" s="633">
        <f t="shared" si="1"/>
        <v>0</v>
      </c>
      <c r="Z69" s="407">
        <v>1000</v>
      </c>
      <c r="AA69" s="635" t="s">
        <v>2769</v>
      </c>
      <c r="AB69" s="23">
        <v>44232</v>
      </c>
      <c r="AC69" s="23">
        <v>44250</v>
      </c>
      <c r="AD69" s="636"/>
      <c r="AE69" s="20"/>
      <c r="AF69" s="21"/>
      <c r="AG69" s="23"/>
      <c r="AH69" s="637"/>
      <c r="AI69" s="19"/>
      <c r="AJ69" s="21"/>
      <c r="AK69" s="25"/>
      <c r="AL69" s="309"/>
      <c r="AM69" s="19"/>
      <c r="AN69" s="21"/>
      <c r="AO69" s="25"/>
      <c r="AP69" s="309"/>
      <c r="AQ69" s="19"/>
      <c r="AR69" s="21"/>
      <c r="AS69" s="25"/>
      <c r="AT69" s="638">
        <f t="shared" si="2"/>
        <v>1000</v>
      </c>
      <c r="AU69" s="311">
        <f t="shared" si="0"/>
        <v>1000</v>
      </c>
      <c r="AV69" s="148"/>
      <c r="AW69" s="148"/>
      <c r="AX69" s="148"/>
      <c r="AY69" s="148"/>
      <c r="AZ69" s="148"/>
      <c r="BA69" s="148"/>
      <c r="BB69" s="148"/>
      <c r="BC69" s="148"/>
      <c r="BD69" s="148"/>
      <c r="BE69" s="148"/>
      <c r="BF69" s="148"/>
      <c r="BG69" s="148"/>
      <c r="BH69" s="148"/>
      <c r="BI69" s="148"/>
      <c r="BJ69" s="148"/>
      <c r="BK69" s="148"/>
      <c r="BL69" s="148"/>
      <c r="BM69" s="148"/>
      <c r="BN69" s="148"/>
      <c r="BO69" s="148"/>
      <c r="BP69" s="148"/>
      <c r="BQ69" s="148"/>
      <c r="BR69" s="148"/>
      <c r="BS69" s="148"/>
      <c r="BT69" s="148"/>
      <c r="BU69" s="148"/>
      <c r="BV69" s="148"/>
      <c r="BW69" s="148"/>
      <c r="BX69" s="148"/>
      <c r="BY69" s="148"/>
      <c r="BZ69" s="148"/>
      <c r="CA69" s="148"/>
      <c r="CB69" s="148"/>
      <c r="CC69" s="148"/>
      <c r="CD69" s="148"/>
      <c r="CE69" s="148"/>
      <c r="CF69" s="148"/>
      <c r="CG69" s="148"/>
      <c r="CH69" s="148"/>
      <c r="CI69" s="148"/>
      <c r="CJ69" s="148"/>
      <c r="CK69" s="148"/>
      <c r="CL69" s="148"/>
      <c r="CM69" s="148"/>
      <c r="CN69" s="148"/>
      <c r="CO69" s="148"/>
      <c r="CP69" s="148"/>
      <c r="CQ69" s="148"/>
      <c r="CR69" s="148"/>
      <c r="CS69" s="148"/>
      <c r="CT69" s="148"/>
      <c r="CU69" s="148"/>
      <c r="CV69" s="148"/>
      <c r="CW69" s="148"/>
      <c r="CX69" s="148"/>
      <c r="CY69" s="148"/>
      <c r="CZ69" s="148"/>
      <c r="DA69" s="148"/>
      <c r="DB69" s="148"/>
      <c r="DC69" s="148"/>
      <c r="DD69" s="148"/>
      <c r="DE69" s="148"/>
      <c r="DF69" s="148"/>
      <c r="DG69" s="148"/>
      <c r="DH69" s="148"/>
      <c r="DI69" s="148"/>
      <c r="DJ69" s="148"/>
      <c r="DK69" s="148"/>
      <c r="DL69" s="148"/>
      <c r="DM69" s="148"/>
      <c r="DN69" s="148"/>
      <c r="DO69" s="148"/>
      <c r="DP69" s="148"/>
      <c r="DQ69" s="148"/>
      <c r="DR69" s="148"/>
      <c r="DS69" s="148"/>
      <c r="DT69" s="148"/>
      <c r="DU69" s="148"/>
      <c r="DV69" s="148"/>
      <c r="DW69" s="148"/>
      <c r="DX69" s="148"/>
      <c r="DY69" s="148"/>
      <c r="DZ69" s="148"/>
      <c r="EA69" s="148"/>
      <c r="EB69" s="148"/>
      <c r="EC69" s="148"/>
      <c r="ED69" s="148"/>
      <c r="EE69" s="148"/>
      <c r="EF69" s="148"/>
      <c r="EG69" s="148"/>
      <c r="EH69" s="148"/>
      <c r="EI69" s="148"/>
      <c r="EJ69" s="148"/>
      <c r="EK69" s="148"/>
      <c r="EL69" s="148"/>
      <c r="EM69" s="148"/>
      <c r="EN69" s="148"/>
      <c r="EO69" s="148"/>
      <c r="EP69" s="148"/>
      <c r="EQ69" s="148"/>
      <c r="ER69" s="148"/>
      <c r="ES69" s="148"/>
      <c r="ET69" s="148"/>
      <c r="EU69" s="148"/>
      <c r="EV69" s="148"/>
      <c r="EW69" s="148"/>
      <c r="EX69" s="148"/>
      <c r="EY69" s="148"/>
      <c r="EZ69" s="148"/>
      <c r="FA69" s="148"/>
      <c r="FB69" s="148"/>
      <c r="FC69" s="148"/>
      <c r="FD69" s="148"/>
      <c r="FE69" s="148"/>
      <c r="FF69" s="148"/>
      <c r="FG69" s="148"/>
      <c r="FH69" s="148"/>
      <c r="FI69" s="148"/>
      <c r="FJ69" s="148"/>
      <c r="FK69" s="148"/>
      <c r="FL69" s="148"/>
      <c r="FM69" s="148"/>
      <c r="FN69" s="148"/>
      <c r="FO69" s="148"/>
      <c r="FP69" s="148"/>
      <c r="FQ69" s="148"/>
      <c r="FR69" s="148"/>
      <c r="FS69" s="148"/>
      <c r="FT69" s="148"/>
      <c r="FU69" s="148"/>
      <c r="FV69" s="148"/>
      <c r="FW69" s="148"/>
      <c r="FX69" s="148"/>
      <c r="FY69" s="148"/>
      <c r="FZ69" s="148"/>
      <c r="GA69" s="148"/>
      <c r="GB69" s="148"/>
      <c r="GC69" s="148"/>
      <c r="GD69" s="148"/>
      <c r="GE69" s="148"/>
      <c r="GF69" s="148"/>
      <c r="GG69" s="148"/>
      <c r="GH69" s="148"/>
      <c r="GI69" s="148"/>
      <c r="GJ69" s="148"/>
      <c r="GK69" s="148"/>
      <c r="GL69" s="148"/>
      <c r="GM69" s="148"/>
      <c r="GN69" s="148"/>
      <c r="GO69" s="148"/>
      <c r="GP69" s="148"/>
      <c r="GQ69" s="148"/>
      <c r="GR69" s="148"/>
      <c r="GS69" s="148"/>
      <c r="GT69" s="148"/>
      <c r="GU69" s="148"/>
      <c r="GV69" s="148"/>
      <c r="GW69" s="148"/>
      <c r="GX69" s="148"/>
      <c r="GY69" s="148"/>
      <c r="GZ69" s="148"/>
      <c r="HA69" s="148"/>
      <c r="HB69" s="148"/>
      <c r="HC69" s="148"/>
      <c r="HD69" s="148"/>
      <c r="HE69" s="148"/>
      <c r="HF69" s="148"/>
      <c r="HG69" s="148"/>
      <c r="HH69" s="148"/>
      <c r="HI69" s="148"/>
      <c r="HJ69" s="148"/>
      <c r="HK69" s="148"/>
      <c r="HL69" s="148"/>
      <c r="HM69" s="148"/>
      <c r="HN69" s="148"/>
      <c r="HO69" s="148"/>
      <c r="HP69" s="148"/>
      <c r="HQ69" s="148"/>
      <c r="HR69" s="148"/>
      <c r="HS69" s="148"/>
      <c r="HT69" s="148"/>
      <c r="HU69" s="148"/>
      <c r="HV69" s="148"/>
      <c r="HW69" s="148"/>
      <c r="HX69" s="148"/>
      <c r="HY69" s="148"/>
      <c r="HZ69" s="148"/>
      <c r="IA69" s="148"/>
      <c r="IB69" s="148"/>
      <c r="IC69" s="148"/>
      <c r="ID69" s="148"/>
      <c r="IE69" s="148"/>
      <c r="IF69" s="148"/>
      <c r="IG69" s="148"/>
      <c r="IH69" s="148"/>
      <c r="II69" s="148"/>
      <c r="IJ69" s="148"/>
      <c r="IK69" s="148"/>
      <c r="IL69" s="148"/>
      <c r="IM69" s="148"/>
      <c r="IN69" s="148"/>
      <c r="IO69" s="148"/>
      <c r="IP69" s="148"/>
      <c r="IQ69" s="148"/>
      <c r="IR69" s="148"/>
      <c r="IS69" s="148"/>
      <c r="IT69" s="148"/>
      <c r="IU69" s="148"/>
      <c r="IV69" s="148"/>
      <c r="IW69" s="148"/>
      <c r="IX69" s="148"/>
      <c r="IY69" s="148"/>
      <c r="IZ69" s="148"/>
      <c r="JA69" s="148"/>
      <c r="JB69" s="148"/>
      <c r="JC69" s="148"/>
      <c r="JD69" s="148"/>
      <c r="JE69" s="148"/>
      <c r="JF69" s="148"/>
      <c r="JG69" s="148"/>
      <c r="JH69" s="148"/>
      <c r="JI69" s="148"/>
      <c r="JJ69" s="148"/>
      <c r="JK69" s="148"/>
      <c r="JL69" s="148"/>
      <c r="JM69" s="148"/>
      <c r="JN69" s="148"/>
      <c r="JO69" s="148"/>
      <c r="JP69" s="148"/>
      <c r="JQ69" s="148"/>
      <c r="JR69" s="148"/>
      <c r="JS69" s="148"/>
      <c r="JT69" s="148"/>
      <c r="JU69" s="148"/>
      <c r="JV69" s="148"/>
      <c r="JW69" s="148"/>
      <c r="JX69" s="148"/>
      <c r="JY69" s="148"/>
      <c r="JZ69" s="148"/>
      <c r="KA69" s="148"/>
      <c r="KB69" s="148"/>
      <c r="KC69" s="148"/>
      <c r="KD69" s="148"/>
      <c r="KE69" s="148"/>
      <c r="KF69" s="148"/>
      <c r="KG69" s="148"/>
      <c r="KH69" s="148"/>
      <c r="KI69" s="148"/>
      <c r="KJ69" s="148"/>
      <c r="KK69" s="148"/>
      <c r="KL69" s="148"/>
      <c r="KM69" s="148"/>
      <c r="KN69" s="148"/>
      <c r="KO69" s="148"/>
      <c r="KP69" s="148"/>
      <c r="KQ69" s="148"/>
      <c r="KR69" s="148"/>
      <c r="KS69" s="148"/>
      <c r="KT69" s="148"/>
      <c r="KU69" s="148"/>
      <c r="KV69" s="148"/>
      <c r="KW69" s="148"/>
      <c r="KX69" s="148"/>
      <c r="KY69" s="148"/>
      <c r="KZ69" s="148"/>
      <c r="LA69" s="148"/>
      <c r="LB69" s="148"/>
      <c r="LC69" s="148"/>
      <c r="LD69" s="148"/>
      <c r="LE69" s="148"/>
      <c r="LF69" s="148"/>
      <c r="LG69" s="148"/>
      <c r="LH69" s="148"/>
      <c r="LI69" s="148"/>
      <c r="LJ69" s="148"/>
      <c r="LK69" s="148"/>
      <c r="LL69" s="148"/>
      <c r="LM69" s="148"/>
      <c r="LN69" s="148"/>
      <c r="LO69" s="148"/>
      <c r="LP69" s="148"/>
      <c r="LQ69" s="148"/>
      <c r="LR69" s="148"/>
      <c r="LS69" s="148"/>
      <c r="LT69" s="148"/>
      <c r="LU69" s="148"/>
      <c r="LV69" s="148"/>
      <c r="LW69" s="148"/>
      <c r="LX69" s="148"/>
      <c r="LY69" s="148"/>
      <c r="LZ69" s="148"/>
      <c r="MA69" s="148"/>
      <c r="MB69" s="148"/>
      <c r="MC69" s="148"/>
      <c r="MD69" s="148"/>
      <c r="ME69" s="148"/>
      <c r="MF69" s="148"/>
      <c r="MG69" s="148"/>
      <c r="MH69" s="148"/>
      <c r="MI69" s="148"/>
      <c r="MJ69" s="148"/>
      <c r="MK69" s="148"/>
      <c r="ML69" s="148"/>
      <c r="MM69" s="148"/>
      <c r="MN69" s="148"/>
      <c r="MO69" s="148"/>
      <c r="MP69" s="148"/>
      <c r="MQ69" s="148"/>
      <c r="MR69" s="148"/>
      <c r="MS69" s="148"/>
      <c r="MT69" s="148"/>
      <c r="MU69" s="148"/>
      <c r="MV69" s="148"/>
      <c r="MW69" s="148"/>
      <c r="MX69" s="148"/>
      <c r="MY69" s="148"/>
      <c r="MZ69" s="148"/>
      <c r="NA69" s="148"/>
      <c r="NB69" s="148"/>
      <c r="NC69" s="148"/>
      <c r="ND69" s="148"/>
      <c r="NE69" s="148"/>
      <c r="NF69" s="148"/>
      <c r="NG69" s="148"/>
      <c r="NH69" s="148"/>
      <c r="NI69" s="148"/>
      <c r="NJ69" s="148"/>
      <c r="NK69" s="148"/>
      <c r="NL69" s="148"/>
      <c r="NM69" s="148"/>
      <c r="NN69" s="148"/>
      <c r="NO69" s="148"/>
      <c r="NP69" s="148"/>
      <c r="NQ69" s="148"/>
      <c r="NR69" s="148"/>
      <c r="NS69" s="148"/>
      <c r="NT69" s="148"/>
      <c r="NU69" s="148"/>
      <c r="NV69" s="148"/>
      <c r="NW69" s="148"/>
      <c r="NX69" s="148"/>
      <c r="NY69" s="148"/>
      <c r="NZ69" s="148"/>
      <c r="OA69" s="148"/>
      <c r="OB69" s="148"/>
      <c r="OC69" s="148"/>
      <c r="OD69" s="148"/>
      <c r="OE69" s="148"/>
      <c r="OF69" s="148"/>
      <c r="OG69" s="148"/>
      <c r="OH69" s="148"/>
      <c r="OI69" s="148"/>
      <c r="OJ69" s="148"/>
      <c r="OK69" s="148"/>
      <c r="OL69" s="148"/>
      <c r="OM69" s="148"/>
      <c r="ON69" s="148"/>
      <c r="OO69" s="148"/>
      <c r="OP69" s="148"/>
      <c r="OQ69" s="148"/>
      <c r="OR69" s="148"/>
      <c r="OS69" s="148"/>
      <c r="OT69" s="148"/>
      <c r="OU69" s="148"/>
      <c r="OV69" s="148"/>
      <c r="OW69" s="148"/>
      <c r="OX69" s="148"/>
      <c r="OY69" s="148"/>
      <c r="OZ69" s="148"/>
      <c r="PA69" s="148"/>
      <c r="PB69" s="148"/>
      <c r="PC69" s="148"/>
      <c r="PD69" s="148"/>
      <c r="PE69" s="148"/>
      <c r="PF69" s="148"/>
      <c r="PG69" s="148"/>
      <c r="PH69" s="148"/>
      <c r="PI69" s="148"/>
      <c r="PJ69" s="148"/>
      <c r="PK69" s="148"/>
      <c r="PL69" s="148"/>
      <c r="PM69" s="148"/>
      <c r="PN69" s="148"/>
      <c r="PO69" s="148"/>
      <c r="PP69" s="148"/>
      <c r="PQ69" s="148"/>
      <c r="PR69" s="148"/>
      <c r="PS69" s="148"/>
      <c r="PT69" s="148"/>
      <c r="PU69" s="148"/>
      <c r="PV69" s="148"/>
      <c r="PW69" s="148"/>
      <c r="PX69" s="148"/>
      <c r="PY69" s="148"/>
      <c r="PZ69" s="148"/>
      <c r="QA69" s="148"/>
      <c r="QB69" s="148"/>
      <c r="QC69" s="148"/>
      <c r="QD69" s="148"/>
      <c r="QE69" s="148"/>
      <c r="QF69" s="148"/>
      <c r="QG69" s="148"/>
      <c r="QH69" s="148"/>
      <c r="QI69" s="148"/>
      <c r="QJ69" s="148"/>
      <c r="QK69" s="148"/>
      <c r="QL69" s="148"/>
      <c r="QM69" s="148"/>
      <c r="QN69" s="148"/>
      <c r="QO69" s="148"/>
      <c r="QP69" s="148"/>
      <c r="QQ69" s="148"/>
      <c r="QR69" s="148"/>
      <c r="QS69" s="148"/>
      <c r="QT69" s="148"/>
      <c r="QU69" s="148"/>
      <c r="QV69" s="148"/>
      <c r="QW69" s="148"/>
      <c r="QX69" s="148"/>
      <c r="QY69" s="148"/>
      <c r="QZ69" s="148"/>
      <c r="RA69" s="148"/>
      <c r="RB69" s="148"/>
      <c r="RC69" s="148"/>
      <c r="RD69" s="148"/>
      <c r="RE69" s="148"/>
      <c r="RF69" s="148"/>
      <c r="RG69" s="148"/>
      <c r="RH69" s="148"/>
      <c r="RI69" s="148"/>
      <c r="RJ69" s="148"/>
      <c r="RK69" s="148"/>
      <c r="RL69" s="148"/>
      <c r="RM69" s="148"/>
      <c r="RN69" s="148"/>
      <c r="RO69" s="148"/>
      <c r="RP69" s="148"/>
      <c r="RQ69" s="148"/>
      <c r="RR69" s="148"/>
    </row>
    <row r="70" spans="1:486" s="15" customFormat="1" x14ac:dyDescent="0.25">
      <c r="A70" s="148"/>
      <c r="B70" s="350">
        <v>55</v>
      </c>
      <c r="C70" s="650" t="s">
        <v>894</v>
      </c>
      <c r="D70" s="631">
        <v>40016548</v>
      </c>
      <c r="E70" s="344" t="s">
        <v>2826</v>
      </c>
      <c r="F70" s="344" t="s">
        <v>46</v>
      </c>
      <c r="G70" s="17" t="s">
        <v>2693</v>
      </c>
      <c r="H70" s="317" t="s">
        <v>2715</v>
      </c>
      <c r="I70" s="346" t="s">
        <v>43</v>
      </c>
      <c r="J70" s="341" t="s">
        <v>2827</v>
      </c>
      <c r="K70" s="633">
        <v>0</v>
      </c>
      <c r="L70" s="633">
        <v>0</v>
      </c>
      <c r="M70" s="633">
        <v>0</v>
      </c>
      <c r="N70" s="633">
        <v>0</v>
      </c>
      <c r="O70" s="633">
        <v>0</v>
      </c>
      <c r="P70" s="633">
        <v>0</v>
      </c>
      <c r="Q70" s="633">
        <v>0</v>
      </c>
      <c r="R70" s="633">
        <v>0</v>
      </c>
      <c r="S70" s="633"/>
      <c r="T70" s="633"/>
      <c r="U70" s="633"/>
      <c r="V70" s="633"/>
      <c r="W70" s="633"/>
      <c r="X70" s="633"/>
      <c r="Y70" s="633">
        <f t="shared" si="1"/>
        <v>0</v>
      </c>
      <c r="Z70" s="407">
        <v>5000</v>
      </c>
      <c r="AA70" s="635" t="s">
        <v>2769</v>
      </c>
      <c r="AB70" s="23">
        <v>44232</v>
      </c>
      <c r="AC70" s="23">
        <v>44250</v>
      </c>
      <c r="AD70" s="636"/>
      <c r="AE70" s="20"/>
      <c r="AF70" s="21"/>
      <c r="AG70" s="23"/>
      <c r="AH70" s="637"/>
      <c r="AI70" s="19"/>
      <c r="AJ70" s="21"/>
      <c r="AK70" s="25"/>
      <c r="AL70" s="309"/>
      <c r="AM70" s="19"/>
      <c r="AN70" s="21"/>
      <c r="AO70" s="25"/>
      <c r="AP70" s="309"/>
      <c r="AQ70" s="19"/>
      <c r="AR70" s="21"/>
      <c r="AS70" s="25"/>
      <c r="AT70" s="638">
        <f t="shared" si="2"/>
        <v>5000</v>
      </c>
      <c r="AU70" s="311">
        <f t="shared" si="0"/>
        <v>5000</v>
      </c>
      <c r="AV70" s="148"/>
      <c r="AW70" s="148"/>
      <c r="AX70" s="148"/>
      <c r="AY70" s="148"/>
      <c r="AZ70" s="148"/>
      <c r="BA70" s="148"/>
      <c r="BB70" s="148"/>
      <c r="BC70" s="148"/>
      <c r="BD70" s="148"/>
      <c r="BE70" s="148"/>
      <c r="BF70" s="148"/>
      <c r="BG70" s="148"/>
      <c r="BH70" s="148"/>
      <c r="BI70" s="148"/>
      <c r="BJ70" s="148"/>
      <c r="BK70" s="148"/>
      <c r="BL70" s="148"/>
      <c r="BM70" s="148"/>
      <c r="BN70" s="148"/>
      <c r="BO70" s="148"/>
      <c r="BP70" s="148"/>
      <c r="BQ70" s="148"/>
      <c r="BR70" s="148"/>
      <c r="BS70" s="148"/>
      <c r="BT70" s="148"/>
      <c r="BU70" s="148"/>
      <c r="BV70" s="148"/>
      <c r="BW70" s="148"/>
      <c r="BX70" s="148"/>
      <c r="BY70" s="148"/>
      <c r="BZ70" s="148"/>
      <c r="CA70" s="148"/>
      <c r="CB70" s="148"/>
      <c r="CC70" s="148"/>
      <c r="CD70" s="148"/>
      <c r="CE70" s="148"/>
      <c r="CF70" s="148"/>
      <c r="CG70" s="148"/>
      <c r="CH70" s="148"/>
      <c r="CI70" s="148"/>
      <c r="CJ70" s="148"/>
      <c r="CK70" s="148"/>
      <c r="CL70" s="148"/>
      <c r="CM70" s="148"/>
      <c r="CN70" s="148"/>
      <c r="CO70" s="148"/>
      <c r="CP70" s="148"/>
      <c r="CQ70" s="148"/>
      <c r="CR70" s="148"/>
      <c r="CS70" s="148"/>
      <c r="CT70" s="148"/>
      <c r="CU70" s="148"/>
      <c r="CV70" s="148"/>
      <c r="CW70" s="148"/>
      <c r="CX70" s="148"/>
      <c r="CY70" s="148"/>
      <c r="CZ70" s="148"/>
      <c r="DA70" s="148"/>
      <c r="DB70" s="148"/>
      <c r="DC70" s="148"/>
      <c r="DD70" s="148"/>
      <c r="DE70" s="148"/>
      <c r="DF70" s="148"/>
      <c r="DG70" s="148"/>
      <c r="DH70" s="148"/>
      <c r="DI70" s="148"/>
      <c r="DJ70" s="148"/>
      <c r="DK70" s="148"/>
      <c r="DL70" s="148"/>
      <c r="DM70" s="148"/>
      <c r="DN70" s="148"/>
      <c r="DO70" s="148"/>
      <c r="DP70" s="148"/>
      <c r="DQ70" s="148"/>
      <c r="DR70" s="148"/>
      <c r="DS70" s="148"/>
      <c r="DT70" s="148"/>
      <c r="DU70" s="148"/>
      <c r="DV70" s="148"/>
      <c r="DW70" s="148"/>
      <c r="DX70" s="148"/>
      <c r="DY70" s="148"/>
      <c r="DZ70" s="148"/>
      <c r="EA70" s="148"/>
      <c r="EB70" s="148"/>
      <c r="EC70" s="148"/>
      <c r="ED70" s="148"/>
      <c r="EE70" s="148"/>
      <c r="EF70" s="148"/>
      <c r="EG70" s="148"/>
      <c r="EH70" s="148"/>
      <c r="EI70" s="148"/>
      <c r="EJ70" s="148"/>
      <c r="EK70" s="148"/>
      <c r="EL70" s="148"/>
      <c r="EM70" s="148"/>
      <c r="EN70" s="148"/>
      <c r="EO70" s="148"/>
      <c r="EP70" s="148"/>
      <c r="EQ70" s="148"/>
      <c r="ER70" s="148"/>
      <c r="ES70" s="148"/>
      <c r="ET70" s="148"/>
      <c r="EU70" s="148"/>
      <c r="EV70" s="148"/>
      <c r="EW70" s="148"/>
      <c r="EX70" s="148"/>
      <c r="EY70" s="148"/>
      <c r="EZ70" s="148"/>
      <c r="FA70" s="148"/>
      <c r="FB70" s="148"/>
      <c r="FC70" s="148"/>
      <c r="FD70" s="148"/>
      <c r="FE70" s="148"/>
      <c r="FF70" s="148"/>
      <c r="FG70" s="148"/>
      <c r="FH70" s="148"/>
      <c r="FI70" s="148"/>
      <c r="FJ70" s="148"/>
      <c r="FK70" s="148"/>
      <c r="FL70" s="148"/>
      <c r="FM70" s="148"/>
      <c r="FN70" s="148"/>
      <c r="FO70" s="148"/>
      <c r="FP70" s="148"/>
      <c r="FQ70" s="148"/>
      <c r="FR70" s="148"/>
      <c r="FS70" s="148"/>
      <c r="FT70" s="148"/>
      <c r="FU70" s="148"/>
      <c r="FV70" s="148"/>
      <c r="FW70" s="148"/>
      <c r="FX70" s="148"/>
      <c r="FY70" s="148"/>
      <c r="FZ70" s="148"/>
      <c r="GA70" s="148"/>
      <c r="GB70" s="148"/>
      <c r="GC70" s="148"/>
      <c r="GD70" s="148"/>
      <c r="GE70" s="148"/>
      <c r="GF70" s="148"/>
      <c r="GG70" s="148"/>
      <c r="GH70" s="148"/>
      <c r="GI70" s="148"/>
      <c r="GJ70" s="148"/>
      <c r="GK70" s="148"/>
      <c r="GL70" s="148"/>
      <c r="GM70" s="148"/>
      <c r="GN70" s="148"/>
      <c r="GO70" s="148"/>
      <c r="GP70" s="148"/>
      <c r="GQ70" s="148"/>
      <c r="GR70" s="148"/>
      <c r="GS70" s="148"/>
      <c r="GT70" s="148"/>
      <c r="GU70" s="148"/>
      <c r="GV70" s="148"/>
      <c r="GW70" s="148"/>
      <c r="GX70" s="148"/>
      <c r="GY70" s="148"/>
      <c r="GZ70" s="148"/>
      <c r="HA70" s="148"/>
      <c r="HB70" s="148"/>
      <c r="HC70" s="148"/>
      <c r="HD70" s="148"/>
      <c r="HE70" s="148"/>
      <c r="HF70" s="148"/>
      <c r="HG70" s="148"/>
      <c r="HH70" s="148"/>
      <c r="HI70" s="148"/>
      <c r="HJ70" s="148"/>
      <c r="HK70" s="148"/>
      <c r="HL70" s="148"/>
      <c r="HM70" s="148"/>
      <c r="HN70" s="148"/>
      <c r="HO70" s="148"/>
      <c r="HP70" s="148"/>
      <c r="HQ70" s="148"/>
      <c r="HR70" s="148"/>
      <c r="HS70" s="148"/>
      <c r="HT70" s="148"/>
      <c r="HU70" s="148"/>
      <c r="HV70" s="148"/>
      <c r="HW70" s="148"/>
      <c r="HX70" s="148"/>
      <c r="HY70" s="148"/>
      <c r="HZ70" s="148"/>
      <c r="IA70" s="148"/>
      <c r="IB70" s="148"/>
      <c r="IC70" s="148"/>
      <c r="ID70" s="148"/>
      <c r="IE70" s="148"/>
      <c r="IF70" s="148"/>
      <c r="IG70" s="148"/>
      <c r="IH70" s="148"/>
      <c r="II70" s="148"/>
      <c r="IJ70" s="148"/>
      <c r="IK70" s="148"/>
      <c r="IL70" s="148"/>
      <c r="IM70" s="148"/>
      <c r="IN70" s="148"/>
      <c r="IO70" s="148"/>
      <c r="IP70" s="148"/>
      <c r="IQ70" s="148"/>
      <c r="IR70" s="148"/>
      <c r="IS70" s="148"/>
      <c r="IT70" s="148"/>
      <c r="IU70" s="148"/>
      <c r="IV70" s="148"/>
      <c r="IW70" s="148"/>
      <c r="IX70" s="148"/>
      <c r="IY70" s="148"/>
      <c r="IZ70" s="148"/>
      <c r="JA70" s="148"/>
      <c r="JB70" s="148"/>
      <c r="JC70" s="148"/>
      <c r="JD70" s="148"/>
      <c r="JE70" s="148"/>
      <c r="JF70" s="148"/>
      <c r="JG70" s="148"/>
      <c r="JH70" s="148"/>
      <c r="JI70" s="148"/>
      <c r="JJ70" s="148"/>
      <c r="JK70" s="148"/>
      <c r="JL70" s="148"/>
      <c r="JM70" s="148"/>
      <c r="JN70" s="148"/>
      <c r="JO70" s="148"/>
      <c r="JP70" s="148"/>
      <c r="JQ70" s="148"/>
      <c r="JR70" s="148"/>
      <c r="JS70" s="148"/>
      <c r="JT70" s="148"/>
      <c r="JU70" s="148"/>
      <c r="JV70" s="148"/>
      <c r="JW70" s="148"/>
      <c r="JX70" s="148"/>
      <c r="JY70" s="148"/>
      <c r="JZ70" s="148"/>
      <c r="KA70" s="148"/>
      <c r="KB70" s="148"/>
      <c r="KC70" s="148"/>
      <c r="KD70" s="148"/>
      <c r="KE70" s="148"/>
      <c r="KF70" s="148"/>
      <c r="KG70" s="148"/>
      <c r="KH70" s="148"/>
      <c r="KI70" s="148"/>
      <c r="KJ70" s="148"/>
      <c r="KK70" s="148"/>
      <c r="KL70" s="148"/>
      <c r="KM70" s="148"/>
      <c r="KN70" s="148"/>
      <c r="KO70" s="148"/>
      <c r="KP70" s="148"/>
      <c r="KQ70" s="148"/>
      <c r="KR70" s="148"/>
      <c r="KS70" s="148"/>
      <c r="KT70" s="148"/>
      <c r="KU70" s="148"/>
      <c r="KV70" s="148"/>
      <c r="KW70" s="148"/>
      <c r="KX70" s="148"/>
      <c r="KY70" s="148"/>
      <c r="KZ70" s="148"/>
      <c r="LA70" s="148"/>
      <c r="LB70" s="148"/>
      <c r="LC70" s="148"/>
      <c r="LD70" s="148"/>
      <c r="LE70" s="148"/>
      <c r="LF70" s="148"/>
      <c r="LG70" s="148"/>
      <c r="LH70" s="148"/>
      <c r="LI70" s="148"/>
      <c r="LJ70" s="148"/>
      <c r="LK70" s="148"/>
      <c r="LL70" s="148"/>
      <c r="LM70" s="148"/>
      <c r="LN70" s="148"/>
      <c r="LO70" s="148"/>
      <c r="LP70" s="148"/>
      <c r="LQ70" s="148"/>
      <c r="LR70" s="148"/>
      <c r="LS70" s="148"/>
      <c r="LT70" s="148"/>
      <c r="LU70" s="148"/>
      <c r="LV70" s="148"/>
      <c r="LW70" s="148"/>
      <c r="LX70" s="148"/>
      <c r="LY70" s="148"/>
      <c r="LZ70" s="148"/>
      <c r="MA70" s="148"/>
      <c r="MB70" s="148"/>
      <c r="MC70" s="148"/>
      <c r="MD70" s="148"/>
      <c r="ME70" s="148"/>
      <c r="MF70" s="148"/>
      <c r="MG70" s="148"/>
      <c r="MH70" s="148"/>
      <c r="MI70" s="148"/>
      <c r="MJ70" s="148"/>
      <c r="MK70" s="148"/>
      <c r="ML70" s="148"/>
      <c r="MM70" s="148"/>
      <c r="MN70" s="148"/>
      <c r="MO70" s="148"/>
      <c r="MP70" s="148"/>
      <c r="MQ70" s="148"/>
      <c r="MR70" s="148"/>
      <c r="MS70" s="148"/>
      <c r="MT70" s="148"/>
      <c r="MU70" s="148"/>
      <c r="MV70" s="148"/>
      <c r="MW70" s="148"/>
      <c r="MX70" s="148"/>
      <c r="MY70" s="148"/>
      <c r="MZ70" s="148"/>
      <c r="NA70" s="148"/>
      <c r="NB70" s="148"/>
      <c r="NC70" s="148"/>
      <c r="ND70" s="148"/>
      <c r="NE70" s="148"/>
      <c r="NF70" s="148"/>
      <c r="NG70" s="148"/>
      <c r="NH70" s="148"/>
      <c r="NI70" s="148"/>
      <c r="NJ70" s="148"/>
      <c r="NK70" s="148"/>
      <c r="NL70" s="148"/>
      <c r="NM70" s="148"/>
      <c r="NN70" s="148"/>
      <c r="NO70" s="148"/>
      <c r="NP70" s="148"/>
      <c r="NQ70" s="148"/>
      <c r="NR70" s="148"/>
      <c r="NS70" s="148"/>
      <c r="NT70" s="148"/>
      <c r="NU70" s="148"/>
      <c r="NV70" s="148"/>
      <c r="NW70" s="148"/>
      <c r="NX70" s="148"/>
      <c r="NY70" s="148"/>
      <c r="NZ70" s="148"/>
      <c r="OA70" s="148"/>
      <c r="OB70" s="148"/>
      <c r="OC70" s="148"/>
      <c r="OD70" s="148"/>
      <c r="OE70" s="148"/>
      <c r="OF70" s="148"/>
      <c r="OG70" s="148"/>
      <c r="OH70" s="148"/>
      <c r="OI70" s="148"/>
      <c r="OJ70" s="148"/>
      <c r="OK70" s="148"/>
      <c r="OL70" s="148"/>
      <c r="OM70" s="148"/>
      <c r="ON70" s="148"/>
      <c r="OO70" s="148"/>
      <c r="OP70" s="148"/>
      <c r="OQ70" s="148"/>
      <c r="OR70" s="148"/>
      <c r="OS70" s="148"/>
      <c r="OT70" s="148"/>
      <c r="OU70" s="148"/>
      <c r="OV70" s="148"/>
      <c r="OW70" s="148"/>
      <c r="OX70" s="148"/>
      <c r="OY70" s="148"/>
      <c r="OZ70" s="148"/>
      <c r="PA70" s="148"/>
      <c r="PB70" s="148"/>
      <c r="PC70" s="148"/>
      <c r="PD70" s="148"/>
      <c r="PE70" s="148"/>
      <c r="PF70" s="148"/>
      <c r="PG70" s="148"/>
      <c r="PH70" s="148"/>
      <c r="PI70" s="148"/>
      <c r="PJ70" s="148"/>
      <c r="PK70" s="148"/>
      <c r="PL70" s="148"/>
      <c r="PM70" s="148"/>
      <c r="PN70" s="148"/>
      <c r="PO70" s="148"/>
      <c r="PP70" s="148"/>
      <c r="PQ70" s="148"/>
      <c r="PR70" s="148"/>
      <c r="PS70" s="148"/>
      <c r="PT70" s="148"/>
      <c r="PU70" s="148"/>
      <c r="PV70" s="148"/>
      <c r="PW70" s="148"/>
      <c r="PX70" s="148"/>
      <c r="PY70" s="148"/>
      <c r="PZ70" s="148"/>
      <c r="QA70" s="148"/>
      <c r="QB70" s="148"/>
      <c r="QC70" s="148"/>
      <c r="QD70" s="148"/>
      <c r="QE70" s="148"/>
      <c r="QF70" s="148"/>
      <c r="QG70" s="148"/>
      <c r="QH70" s="148"/>
      <c r="QI70" s="148"/>
      <c r="QJ70" s="148"/>
      <c r="QK70" s="148"/>
      <c r="QL70" s="148"/>
      <c r="QM70" s="148"/>
      <c r="QN70" s="148"/>
      <c r="QO70" s="148"/>
      <c r="QP70" s="148"/>
      <c r="QQ70" s="148"/>
      <c r="QR70" s="148"/>
      <c r="QS70" s="148"/>
      <c r="QT70" s="148"/>
      <c r="QU70" s="148"/>
      <c r="QV70" s="148"/>
      <c r="QW70" s="148"/>
      <c r="QX70" s="148"/>
      <c r="QY70" s="148"/>
      <c r="QZ70" s="148"/>
      <c r="RA70" s="148"/>
      <c r="RB70" s="148"/>
      <c r="RC70" s="148"/>
      <c r="RD70" s="148"/>
      <c r="RE70" s="148"/>
      <c r="RF70" s="148"/>
      <c r="RG70" s="148"/>
      <c r="RH70" s="148"/>
      <c r="RI70" s="148"/>
      <c r="RJ70" s="148"/>
      <c r="RK70" s="148"/>
      <c r="RL70" s="148"/>
      <c r="RM70" s="148"/>
      <c r="RN70" s="148"/>
      <c r="RO70" s="148"/>
      <c r="RP70" s="148"/>
      <c r="RQ70" s="148"/>
      <c r="RR70" s="148"/>
    </row>
    <row r="71" spans="1:486" s="15" customFormat="1" x14ac:dyDescent="0.25">
      <c r="A71" s="148"/>
      <c r="B71" s="350">
        <v>56</v>
      </c>
      <c r="C71" s="650" t="s">
        <v>894</v>
      </c>
      <c r="D71" s="631">
        <v>40016564</v>
      </c>
      <c r="E71" s="344" t="s">
        <v>2828</v>
      </c>
      <c r="F71" s="344" t="s">
        <v>45</v>
      </c>
      <c r="G71" s="17" t="s">
        <v>2693</v>
      </c>
      <c r="H71" s="317" t="s">
        <v>2789</v>
      </c>
      <c r="I71" s="346" t="s">
        <v>43</v>
      </c>
      <c r="J71" s="341" t="s">
        <v>2829</v>
      </c>
      <c r="K71" s="633">
        <v>1860</v>
      </c>
      <c r="L71" s="633">
        <v>0</v>
      </c>
      <c r="M71" s="633">
        <v>0</v>
      </c>
      <c r="N71" s="633">
        <v>0</v>
      </c>
      <c r="O71" s="633">
        <v>0</v>
      </c>
      <c r="P71" s="633">
        <v>0</v>
      </c>
      <c r="Q71" s="633">
        <v>0</v>
      </c>
      <c r="R71" s="633"/>
      <c r="S71" s="633"/>
      <c r="T71" s="633"/>
      <c r="U71" s="633"/>
      <c r="V71" s="633"/>
      <c r="W71" s="633"/>
      <c r="X71" s="633"/>
      <c r="Y71" s="633">
        <f t="shared" si="1"/>
        <v>0</v>
      </c>
      <c r="Z71" s="407">
        <v>10000</v>
      </c>
      <c r="AA71" s="635" t="s">
        <v>2769</v>
      </c>
      <c r="AB71" s="23">
        <v>44232</v>
      </c>
      <c r="AC71" s="23">
        <v>44250</v>
      </c>
      <c r="AD71" s="636"/>
      <c r="AE71" s="20"/>
      <c r="AF71" s="21"/>
      <c r="AG71" s="23"/>
      <c r="AH71" s="637"/>
      <c r="AI71" s="19"/>
      <c r="AJ71" s="21"/>
      <c r="AK71" s="25"/>
      <c r="AL71" s="309"/>
      <c r="AM71" s="19"/>
      <c r="AN71" s="21"/>
      <c r="AO71" s="25"/>
      <c r="AP71" s="309"/>
      <c r="AQ71" s="19"/>
      <c r="AR71" s="21"/>
      <c r="AS71" s="25"/>
      <c r="AT71" s="638">
        <f t="shared" si="2"/>
        <v>10000</v>
      </c>
      <c r="AU71" s="311">
        <f t="shared" si="0"/>
        <v>10000</v>
      </c>
      <c r="AV71" s="148"/>
      <c r="AW71" s="148"/>
      <c r="AX71" s="148"/>
      <c r="AY71" s="148"/>
      <c r="AZ71" s="148"/>
      <c r="BA71" s="148"/>
      <c r="BB71" s="148"/>
      <c r="BC71" s="148"/>
      <c r="BD71" s="148"/>
      <c r="BE71" s="148"/>
      <c r="BF71" s="148"/>
      <c r="BG71" s="148"/>
      <c r="BH71" s="148"/>
      <c r="BI71" s="148"/>
      <c r="BJ71" s="148"/>
      <c r="BK71" s="148"/>
      <c r="BL71" s="148"/>
      <c r="BM71" s="148"/>
      <c r="BN71" s="148"/>
      <c r="BO71" s="148"/>
      <c r="BP71" s="148"/>
      <c r="BQ71" s="148"/>
      <c r="BR71" s="148"/>
      <c r="BS71" s="148"/>
      <c r="BT71" s="148"/>
      <c r="BU71" s="148"/>
      <c r="BV71" s="148"/>
      <c r="BW71" s="148"/>
      <c r="BX71" s="148"/>
      <c r="BY71" s="148"/>
      <c r="BZ71" s="148"/>
      <c r="CA71" s="148"/>
      <c r="CB71" s="148"/>
      <c r="CC71" s="148"/>
      <c r="CD71" s="148"/>
      <c r="CE71" s="148"/>
      <c r="CF71" s="148"/>
      <c r="CG71" s="148"/>
      <c r="CH71" s="148"/>
      <c r="CI71" s="148"/>
      <c r="CJ71" s="148"/>
      <c r="CK71" s="148"/>
      <c r="CL71" s="148"/>
      <c r="CM71" s="148"/>
      <c r="CN71" s="148"/>
      <c r="CO71" s="148"/>
      <c r="CP71" s="148"/>
      <c r="CQ71" s="148"/>
      <c r="CR71" s="148"/>
      <c r="CS71" s="148"/>
      <c r="CT71" s="148"/>
      <c r="CU71" s="148"/>
      <c r="CV71" s="148"/>
      <c r="CW71" s="148"/>
      <c r="CX71" s="148"/>
      <c r="CY71" s="148"/>
      <c r="CZ71" s="148"/>
      <c r="DA71" s="148"/>
      <c r="DB71" s="148"/>
      <c r="DC71" s="148"/>
      <c r="DD71" s="148"/>
      <c r="DE71" s="148"/>
      <c r="DF71" s="148"/>
      <c r="DG71" s="148"/>
      <c r="DH71" s="148"/>
      <c r="DI71" s="148"/>
      <c r="DJ71" s="148"/>
      <c r="DK71" s="148"/>
      <c r="DL71" s="148"/>
      <c r="DM71" s="148"/>
      <c r="DN71" s="148"/>
      <c r="DO71" s="148"/>
      <c r="DP71" s="148"/>
      <c r="DQ71" s="148"/>
      <c r="DR71" s="148"/>
      <c r="DS71" s="148"/>
      <c r="DT71" s="148"/>
      <c r="DU71" s="148"/>
      <c r="DV71" s="148"/>
      <c r="DW71" s="148"/>
      <c r="DX71" s="148"/>
      <c r="DY71" s="148"/>
      <c r="DZ71" s="148"/>
      <c r="EA71" s="148"/>
      <c r="EB71" s="148"/>
      <c r="EC71" s="148"/>
      <c r="ED71" s="148"/>
      <c r="EE71" s="148"/>
      <c r="EF71" s="148"/>
      <c r="EG71" s="148"/>
      <c r="EH71" s="148"/>
      <c r="EI71" s="148"/>
      <c r="EJ71" s="148"/>
      <c r="EK71" s="148"/>
      <c r="EL71" s="148"/>
      <c r="EM71" s="148"/>
      <c r="EN71" s="148"/>
      <c r="EO71" s="148"/>
      <c r="EP71" s="148"/>
      <c r="EQ71" s="148"/>
      <c r="ER71" s="148"/>
      <c r="ES71" s="148"/>
      <c r="ET71" s="148"/>
      <c r="EU71" s="148"/>
      <c r="EV71" s="148"/>
      <c r="EW71" s="148"/>
      <c r="EX71" s="148"/>
      <c r="EY71" s="148"/>
      <c r="EZ71" s="148"/>
      <c r="FA71" s="148"/>
      <c r="FB71" s="148"/>
      <c r="FC71" s="148"/>
      <c r="FD71" s="148"/>
      <c r="FE71" s="148"/>
      <c r="FF71" s="148"/>
      <c r="FG71" s="148"/>
      <c r="FH71" s="148"/>
      <c r="FI71" s="148"/>
      <c r="FJ71" s="148"/>
      <c r="FK71" s="148"/>
      <c r="FL71" s="148"/>
      <c r="FM71" s="148"/>
      <c r="FN71" s="148"/>
      <c r="FO71" s="148"/>
      <c r="FP71" s="148"/>
      <c r="FQ71" s="148"/>
      <c r="FR71" s="148"/>
      <c r="FS71" s="148"/>
      <c r="FT71" s="148"/>
      <c r="FU71" s="148"/>
      <c r="FV71" s="148"/>
      <c r="FW71" s="148"/>
      <c r="FX71" s="148"/>
      <c r="FY71" s="148"/>
      <c r="FZ71" s="148"/>
      <c r="GA71" s="148"/>
      <c r="GB71" s="148"/>
      <c r="GC71" s="148"/>
      <c r="GD71" s="148"/>
      <c r="GE71" s="148"/>
      <c r="GF71" s="148"/>
      <c r="GG71" s="148"/>
      <c r="GH71" s="148"/>
      <c r="GI71" s="148"/>
      <c r="GJ71" s="148"/>
      <c r="GK71" s="148"/>
      <c r="GL71" s="148"/>
      <c r="GM71" s="148"/>
      <c r="GN71" s="148"/>
      <c r="GO71" s="148"/>
      <c r="GP71" s="148"/>
      <c r="GQ71" s="148"/>
      <c r="GR71" s="148"/>
      <c r="GS71" s="148"/>
      <c r="GT71" s="148"/>
      <c r="GU71" s="148"/>
      <c r="GV71" s="148"/>
      <c r="GW71" s="148"/>
      <c r="GX71" s="148"/>
      <c r="GY71" s="148"/>
      <c r="GZ71" s="148"/>
      <c r="HA71" s="148"/>
      <c r="HB71" s="148"/>
      <c r="HC71" s="148"/>
      <c r="HD71" s="148"/>
      <c r="HE71" s="148"/>
      <c r="HF71" s="148"/>
      <c r="HG71" s="148"/>
      <c r="HH71" s="148"/>
      <c r="HI71" s="148"/>
      <c r="HJ71" s="148"/>
      <c r="HK71" s="148"/>
      <c r="HL71" s="148"/>
      <c r="HM71" s="148"/>
      <c r="HN71" s="148"/>
      <c r="HO71" s="148"/>
      <c r="HP71" s="148"/>
      <c r="HQ71" s="148"/>
      <c r="HR71" s="148"/>
      <c r="HS71" s="148"/>
      <c r="HT71" s="148"/>
      <c r="HU71" s="148"/>
      <c r="HV71" s="148"/>
      <c r="HW71" s="148"/>
      <c r="HX71" s="148"/>
      <c r="HY71" s="148"/>
      <c r="HZ71" s="148"/>
      <c r="IA71" s="148"/>
      <c r="IB71" s="148"/>
      <c r="IC71" s="148"/>
      <c r="ID71" s="148"/>
      <c r="IE71" s="148"/>
      <c r="IF71" s="148"/>
      <c r="IG71" s="148"/>
      <c r="IH71" s="148"/>
      <c r="II71" s="148"/>
      <c r="IJ71" s="148"/>
      <c r="IK71" s="148"/>
      <c r="IL71" s="148"/>
      <c r="IM71" s="148"/>
      <c r="IN71" s="148"/>
      <c r="IO71" s="148"/>
      <c r="IP71" s="148"/>
      <c r="IQ71" s="148"/>
      <c r="IR71" s="148"/>
      <c r="IS71" s="148"/>
      <c r="IT71" s="148"/>
      <c r="IU71" s="148"/>
      <c r="IV71" s="148"/>
      <c r="IW71" s="148"/>
      <c r="IX71" s="148"/>
      <c r="IY71" s="148"/>
      <c r="IZ71" s="148"/>
      <c r="JA71" s="148"/>
      <c r="JB71" s="148"/>
      <c r="JC71" s="148"/>
      <c r="JD71" s="148"/>
      <c r="JE71" s="148"/>
      <c r="JF71" s="148"/>
      <c r="JG71" s="148"/>
      <c r="JH71" s="148"/>
      <c r="JI71" s="148"/>
      <c r="JJ71" s="148"/>
      <c r="JK71" s="148"/>
      <c r="JL71" s="148"/>
      <c r="JM71" s="148"/>
      <c r="JN71" s="148"/>
      <c r="JO71" s="148"/>
      <c r="JP71" s="148"/>
      <c r="JQ71" s="148"/>
      <c r="JR71" s="148"/>
      <c r="JS71" s="148"/>
      <c r="JT71" s="148"/>
      <c r="JU71" s="148"/>
      <c r="JV71" s="148"/>
      <c r="JW71" s="148"/>
      <c r="JX71" s="148"/>
      <c r="JY71" s="148"/>
      <c r="JZ71" s="148"/>
      <c r="KA71" s="148"/>
      <c r="KB71" s="148"/>
      <c r="KC71" s="148"/>
      <c r="KD71" s="148"/>
      <c r="KE71" s="148"/>
      <c r="KF71" s="148"/>
      <c r="KG71" s="148"/>
      <c r="KH71" s="148"/>
      <c r="KI71" s="148"/>
      <c r="KJ71" s="148"/>
      <c r="KK71" s="148"/>
      <c r="KL71" s="148"/>
      <c r="KM71" s="148"/>
      <c r="KN71" s="148"/>
      <c r="KO71" s="148"/>
      <c r="KP71" s="148"/>
      <c r="KQ71" s="148"/>
      <c r="KR71" s="148"/>
      <c r="KS71" s="148"/>
      <c r="KT71" s="148"/>
      <c r="KU71" s="148"/>
      <c r="KV71" s="148"/>
      <c r="KW71" s="148"/>
      <c r="KX71" s="148"/>
      <c r="KY71" s="148"/>
      <c r="KZ71" s="148"/>
      <c r="LA71" s="148"/>
      <c r="LB71" s="148"/>
      <c r="LC71" s="148"/>
      <c r="LD71" s="148"/>
      <c r="LE71" s="148"/>
      <c r="LF71" s="148"/>
      <c r="LG71" s="148"/>
      <c r="LH71" s="148"/>
      <c r="LI71" s="148"/>
      <c r="LJ71" s="148"/>
      <c r="LK71" s="148"/>
      <c r="LL71" s="148"/>
      <c r="LM71" s="148"/>
      <c r="LN71" s="148"/>
      <c r="LO71" s="148"/>
      <c r="LP71" s="148"/>
      <c r="LQ71" s="148"/>
      <c r="LR71" s="148"/>
      <c r="LS71" s="148"/>
      <c r="LT71" s="148"/>
      <c r="LU71" s="148"/>
      <c r="LV71" s="148"/>
      <c r="LW71" s="148"/>
      <c r="LX71" s="148"/>
      <c r="LY71" s="148"/>
      <c r="LZ71" s="148"/>
      <c r="MA71" s="148"/>
      <c r="MB71" s="148"/>
      <c r="MC71" s="148"/>
      <c r="MD71" s="148"/>
      <c r="ME71" s="148"/>
      <c r="MF71" s="148"/>
      <c r="MG71" s="148"/>
      <c r="MH71" s="148"/>
      <c r="MI71" s="148"/>
      <c r="MJ71" s="148"/>
      <c r="MK71" s="148"/>
      <c r="ML71" s="148"/>
      <c r="MM71" s="148"/>
      <c r="MN71" s="148"/>
      <c r="MO71" s="148"/>
      <c r="MP71" s="148"/>
      <c r="MQ71" s="148"/>
      <c r="MR71" s="148"/>
      <c r="MS71" s="148"/>
      <c r="MT71" s="148"/>
      <c r="MU71" s="148"/>
      <c r="MV71" s="148"/>
      <c r="MW71" s="148"/>
      <c r="MX71" s="148"/>
      <c r="MY71" s="148"/>
      <c r="MZ71" s="148"/>
      <c r="NA71" s="148"/>
      <c r="NB71" s="148"/>
      <c r="NC71" s="148"/>
      <c r="ND71" s="148"/>
      <c r="NE71" s="148"/>
      <c r="NF71" s="148"/>
      <c r="NG71" s="148"/>
      <c r="NH71" s="148"/>
      <c r="NI71" s="148"/>
      <c r="NJ71" s="148"/>
      <c r="NK71" s="148"/>
      <c r="NL71" s="148"/>
      <c r="NM71" s="148"/>
      <c r="NN71" s="148"/>
      <c r="NO71" s="148"/>
      <c r="NP71" s="148"/>
      <c r="NQ71" s="148"/>
      <c r="NR71" s="148"/>
      <c r="NS71" s="148"/>
      <c r="NT71" s="148"/>
      <c r="NU71" s="148"/>
      <c r="NV71" s="148"/>
      <c r="NW71" s="148"/>
      <c r="NX71" s="148"/>
      <c r="NY71" s="148"/>
      <c r="NZ71" s="148"/>
      <c r="OA71" s="148"/>
      <c r="OB71" s="148"/>
      <c r="OC71" s="148"/>
      <c r="OD71" s="148"/>
      <c r="OE71" s="148"/>
      <c r="OF71" s="148"/>
      <c r="OG71" s="148"/>
      <c r="OH71" s="148"/>
      <c r="OI71" s="148"/>
      <c r="OJ71" s="148"/>
      <c r="OK71" s="148"/>
      <c r="OL71" s="148"/>
      <c r="OM71" s="148"/>
      <c r="ON71" s="148"/>
      <c r="OO71" s="148"/>
      <c r="OP71" s="148"/>
      <c r="OQ71" s="148"/>
      <c r="OR71" s="148"/>
      <c r="OS71" s="148"/>
      <c r="OT71" s="148"/>
      <c r="OU71" s="148"/>
      <c r="OV71" s="148"/>
      <c r="OW71" s="148"/>
      <c r="OX71" s="148"/>
      <c r="OY71" s="148"/>
      <c r="OZ71" s="148"/>
      <c r="PA71" s="148"/>
      <c r="PB71" s="148"/>
      <c r="PC71" s="148"/>
      <c r="PD71" s="148"/>
      <c r="PE71" s="148"/>
      <c r="PF71" s="148"/>
      <c r="PG71" s="148"/>
      <c r="PH71" s="148"/>
      <c r="PI71" s="148"/>
      <c r="PJ71" s="148"/>
      <c r="PK71" s="148"/>
      <c r="PL71" s="148"/>
      <c r="PM71" s="148"/>
      <c r="PN71" s="148"/>
      <c r="PO71" s="148"/>
      <c r="PP71" s="148"/>
      <c r="PQ71" s="148"/>
      <c r="PR71" s="148"/>
      <c r="PS71" s="148"/>
      <c r="PT71" s="148"/>
      <c r="PU71" s="148"/>
      <c r="PV71" s="148"/>
      <c r="PW71" s="148"/>
      <c r="PX71" s="148"/>
      <c r="PY71" s="148"/>
      <c r="PZ71" s="148"/>
      <c r="QA71" s="148"/>
      <c r="QB71" s="148"/>
      <c r="QC71" s="148"/>
      <c r="QD71" s="148"/>
      <c r="QE71" s="148"/>
      <c r="QF71" s="148"/>
      <c r="QG71" s="148"/>
      <c r="QH71" s="148"/>
      <c r="QI71" s="148"/>
      <c r="QJ71" s="148"/>
      <c r="QK71" s="148"/>
      <c r="QL71" s="148"/>
      <c r="QM71" s="148"/>
      <c r="QN71" s="148"/>
      <c r="QO71" s="148"/>
      <c r="QP71" s="148"/>
      <c r="QQ71" s="148"/>
      <c r="QR71" s="148"/>
      <c r="QS71" s="148"/>
      <c r="QT71" s="148"/>
      <c r="QU71" s="148"/>
      <c r="QV71" s="148"/>
      <c r="QW71" s="148"/>
      <c r="QX71" s="148"/>
      <c r="QY71" s="148"/>
      <c r="QZ71" s="148"/>
      <c r="RA71" s="148"/>
      <c r="RB71" s="148"/>
      <c r="RC71" s="148"/>
      <c r="RD71" s="148"/>
      <c r="RE71" s="148"/>
      <c r="RF71" s="148"/>
      <c r="RG71" s="148"/>
      <c r="RH71" s="148"/>
      <c r="RI71" s="148"/>
      <c r="RJ71" s="148"/>
      <c r="RK71" s="148"/>
      <c r="RL71" s="148"/>
      <c r="RM71" s="148"/>
      <c r="RN71" s="148"/>
      <c r="RO71" s="148"/>
      <c r="RP71" s="148"/>
      <c r="RQ71" s="148"/>
      <c r="RR71" s="148"/>
    </row>
    <row r="72" spans="1:486" s="15" customFormat="1" ht="29.25" customHeight="1" x14ac:dyDescent="0.25">
      <c r="A72" s="148"/>
      <c r="B72" s="350">
        <v>57</v>
      </c>
      <c r="C72" s="650" t="s">
        <v>894</v>
      </c>
      <c r="D72" s="631">
        <v>40016701</v>
      </c>
      <c r="E72" s="344" t="s">
        <v>2830</v>
      </c>
      <c r="F72" s="344" t="s">
        <v>45</v>
      </c>
      <c r="G72" s="17" t="s">
        <v>2693</v>
      </c>
      <c r="H72" s="317" t="s">
        <v>1562</v>
      </c>
      <c r="I72" s="346" t="s">
        <v>43</v>
      </c>
      <c r="J72" s="341" t="s">
        <v>2831</v>
      </c>
      <c r="K72" s="633">
        <v>0</v>
      </c>
      <c r="L72" s="633">
        <v>0</v>
      </c>
      <c r="M72" s="633">
        <v>0</v>
      </c>
      <c r="N72" s="633">
        <v>0</v>
      </c>
      <c r="O72" s="633">
        <v>0</v>
      </c>
      <c r="P72" s="633">
        <v>0</v>
      </c>
      <c r="Q72" s="633">
        <v>0</v>
      </c>
      <c r="R72" s="633">
        <v>0</v>
      </c>
      <c r="S72" s="633"/>
      <c r="T72" s="633"/>
      <c r="U72" s="633"/>
      <c r="V72" s="633"/>
      <c r="W72" s="633"/>
      <c r="X72" s="633"/>
      <c r="Y72" s="633">
        <f t="shared" si="1"/>
        <v>0</v>
      </c>
      <c r="Z72" s="407">
        <v>10000</v>
      </c>
      <c r="AA72" s="635" t="s">
        <v>2769</v>
      </c>
      <c r="AB72" s="23">
        <v>44232</v>
      </c>
      <c r="AC72" s="23">
        <v>44250</v>
      </c>
      <c r="AD72" s="640">
        <v>190000</v>
      </c>
      <c r="AE72" s="19">
        <v>25</v>
      </c>
      <c r="AF72" s="315">
        <v>44312</v>
      </c>
      <c r="AG72" s="315">
        <v>44328</v>
      </c>
      <c r="AH72" s="637"/>
      <c r="AI72" s="19"/>
      <c r="AJ72" s="21"/>
      <c r="AK72" s="25"/>
      <c r="AL72" s="309"/>
      <c r="AM72" s="19"/>
      <c r="AN72" s="21"/>
      <c r="AO72" s="25"/>
      <c r="AP72" s="309"/>
      <c r="AQ72" s="19"/>
      <c r="AR72" s="21"/>
      <c r="AS72" s="25"/>
      <c r="AT72" s="638">
        <f t="shared" si="2"/>
        <v>200000</v>
      </c>
      <c r="AU72" s="311">
        <f t="shared" si="0"/>
        <v>200000</v>
      </c>
      <c r="AV72" s="148"/>
      <c r="AW72" s="148"/>
      <c r="AX72" s="148"/>
      <c r="AY72" s="148"/>
      <c r="AZ72" s="148"/>
      <c r="BA72" s="148"/>
      <c r="BB72" s="148"/>
      <c r="BC72" s="148"/>
      <c r="BD72" s="148"/>
      <c r="BE72" s="148"/>
      <c r="BF72" s="148"/>
      <c r="BG72" s="148"/>
      <c r="BH72" s="148"/>
      <c r="BI72" s="148"/>
      <c r="BJ72" s="148"/>
      <c r="BK72" s="148"/>
      <c r="BL72" s="148"/>
      <c r="BM72" s="148"/>
      <c r="BN72" s="148"/>
      <c r="BO72" s="148"/>
      <c r="BP72" s="148"/>
      <c r="BQ72" s="148"/>
      <c r="BR72" s="148"/>
      <c r="BS72" s="148"/>
      <c r="BT72" s="148"/>
      <c r="BU72" s="148"/>
      <c r="BV72" s="148"/>
      <c r="BW72" s="148"/>
      <c r="BX72" s="148"/>
      <c r="BY72" s="148"/>
      <c r="BZ72" s="148"/>
      <c r="CA72" s="148"/>
      <c r="CB72" s="148"/>
      <c r="CC72" s="148"/>
      <c r="CD72" s="148"/>
      <c r="CE72" s="148"/>
      <c r="CF72" s="148"/>
      <c r="CG72" s="148"/>
      <c r="CH72" s="148"/>
      <c r="CI72" s="148"/>
      <c r="CJ72" s="148"/>
      <c r="CK72" s="148"/>
      <c r="CL72" s="148"/>
      <c r="CM72" s="148"/>
      <c r="CN72" s="148"/>
      <c r="CO72" s="148"/>
      <c r="CP72" s="148"/>
      <c r="CQ72" s="148"/>
      <c r="CR72" s="148"/>
      <c r="CS72" s="148"/>
      <c r="CT72" s="148"/>
      <c r="CU72" s="148"/>
      <c r="CV72" s="148"/>
      <c r="CW72" s="148"/>
      <c r="CX72" s="148"/>
      <c r="CY72" s="148"/>
      <c r="CZ72" s="148"/>
      <c r="DA72" s="148"/>
      <c r="DB72" s="148"/>
      <c r="DC72" s="148"/>
      <c r="DD72" s="148"/>
      <c r="DE72" s="148"/>
      <c r="DF72" s="148"/>
      <c r="DG72" s="148"/>
      <c r="DH72" s="148"/>
      <c r="DI72" s="148"/>
      <c r="DJ72" s="148"/>
      <c r="DK72" s="148"/>
      <c r="DL72" s="148"/>
      <c r="DM72" s="148"/>
      <c r="DN72" s="148"/>
      <c r="DO72" s="148"/>
      <c r="DP72" s="148"/>
      <c r="DQ72" s="148"/>
      <c r="DR72" s="148"/>
      <c r="DS72" s="148"/>
      <c r="DT72" s="148"/>
      <c r="DU72" s="148"/>
      <c r="DV72" s="148"/>
      <c r="DW72" s="148"/>
      <c r="DX72" s="148"/>
      <c r="DY72" s="148"/>
      <c r="DZ72" s="148"/>
      <c r="EA72" s="148"/>
      <c r="EB72" s="148"/>
      <c r="EC72" s="148"/>
      <c r="ED72" s="148"/>
      <c r="EE72" s="148"/>
      <c r="EF72" s="148"/>
      <c r="EG72" s="148"/>
      <c r="EH72" s="148"/>
      <c r="EI72" s="148"/>
      <c r="EJ72" s="148"/>
      <c r="EK72" s="148"/>
      <c r="EL72" s="148"/>
      <c r="EM72" s="148"/>
      <c r="EN72" s="148"/>
      <c r="EO72" s="148"/>
      <c r="EP72" s="148"/>
      <c r="EQ72" s="148"/>
      <c r="ER72" s="148"/>
      <c r="ES72" s="148"/>
      <c r="ET72" s="148"/>
      <c r="EU72" s="148"/>
      <c r="EV72" s="148"/>
      <c r="EW72" s="148"/>
      <c r="EX72" s="148"/>
      <c r="EY72" s="148"/>
      <c r="EZ72" s="148"/>
      <c r="FA72" s="148"/>
      <c r="FB72" s="148"/>
      <c r="FC72" s="148"/>
      <c r="FD72" s="148"/>
      <c r="FE72" s="148"/>
      <c r="FF72" s="148"/>
      <c r="FG72" s="148"/>
      <c r="FH72" s="148"/>
      <c r="FI72" s="148"/>
      <c r="FJ72" s="148"/>
      <c r="FK72" s="148"/>
      <c r="FL72" s="148"/>
      <c r="FM72" s="148"/>
      <c r="FN72" s="148"/>
      <c r="FO72" s="148"/>
      <c r="FP72" s="148"/>
      <c r="FQ72" s="148"/>
      <c r="FR72" s="148"/>
      <c r="FS72" s="148"/>
      <c r="FT72" s="148"/>
      <c r="FU72" s="148"/>
      <c r="FV72" s="148"/>
      <c r="FW72" s="148"/>
      <c r="FX72" s="148"/>
      <c r="FY72" s="148"/>
      <c r="FZ72" s="148"/>
      <c r="GA72" s="148"/>
      <c r="GB72" s="148"/>
      <c r="GC72" s="148"/>
      <c r="GD72" s="148"/>
      <c r="GE72" s="148"/>
      <c r="GF72" s="148"/>
      <c r="GG72" s="148"/>
      <c r="GH72" s="148"/>
      <c r="GI72" s="148"/>
      <c r="GJ72" s="148"/>
      <c r="GK72" s="148"/>
      <c r="GL72" s="148"/>
      <c r="GM72" s="148"/>
      <c r="GN72" s="148"/>
      <c r="GO72" s="148"/>
      <c r="GP72" s="148"/>
      <c r="GQ72" s="148"/>
      <c r="GR72" s="148"/>
      <c r="GS72" s="148"/>
      <c r="GT72" s="148"/>
      <c r="GU72" s="148"/>
      <c r="GV72" s="148"/>
      <c r="GW72" s="148"/>
      <c r="GX72" s="148"/>
      <c r="GY72" s="148"/>
      <c r="GZ72" s="148"/>
      <c r="HA72" s="148"/>
      <c r="HB72" s="148"/>
      <c r="HC72" s="148"/>
      <c r="HD72" s="148"/>
      <c r="HE72" s="148"/>
      <c r="HF72" s="148"/>
      <c r="HG72" s="148"/>
      <c r="HH72" s="148"/>
      <c r="HI72" s="148"/>
      <c r="HJ72" s="148"/>
      <c r="HK72" s="148"/>
      <c r="HL72" s="148"/>
      <c r="HM72" s="148"/>
      <c r="HN72" s="148"/>
      <c r="HO72" s="148"/>
      <c r="HP72" s="148"/>
      <c r="HQ72" s="148"/>
      <c r="HR72" s="148"/>
      <c r="HS72" s="148"/>
      <c r="HT72" s="148"/>
      <c r="HU72" s="148"/>
      <c r="HV72" s="148"/>
      <c r="HW72" s="148"/>
      <c r="HX72" s="148"/>
      <c r="HY72" s="148"/>
      <c r="HZ72" s="148"/>
      <c r="IA72" s="148"/>
      <c r="IB72" s="148"/>
      <c r="IC72" s="148"/>
      <c r="ID72" s="148"/>
      <c r="IE72" s="148"/>
      <c r="IF72" s="148"/>
      <c r="IG72" s="148"/>
      <c r="IH72" s="148"/>
      <c r="II72" s="148"/>
      <c r="IJ72" s="148"/>
      <c r="IK72" s="148"/>
      <c r="IL72" s="148"/>
      <c r="IM72" s="148"/>
      <c r="IN72" s="148"/>
      <c r="IO72" s="148"/>
      <c r="IP72" s="148"/>
      <c r="IQ72" s="148"/>
      <c r="IR72" s="148"/>
      <c r="IS72" s="148"/>
      <c r="IT72" s="148"/>
      <c r="IU72" s="148"/>
      <c r="IV72" s="148"/>
      <c r="IW72" s="148"/>
      <c r="IX72" s="148"/>
      <c r="IY72" s="148"/>
      <c r="IZ72" s="148"/>
      <c r="JA72" s="148"/>
      <c r="JB72" s="148"/>
      <c r="JC72" s="148"/>
      <c r="JD72" s="148"/>
      <c r="JE72" s="148"/>
      <c r="JF72" s="148"/>
      <c r="JG72" s="148"/>
      <c r="JH72" s="148"/>
      <c r="JI72" s="148"/>
      <c r="JJ72" s="148"/>
      <c r="JK72" s="148"/>
      <c r="JL72" s="148"/>
      <c r="JM72" s="148"/>
      <c r="JN72" s="148"/>
      <c r="JO72" s="148"/>
      <c r="JP72" s="148"/>
      <c r="JQ72" s="148"/>
      <c r="JR72" s="148"/>
      <c r="JS72" s="148"/>
      <c r="JT72" s="148"/>
      <c r="JU72" s="148"/>
      <c r="JV72" s="148"/>
      <c r="JW72" s="148"/>
      <c r="JX72" s="148"/>
      <c r="JY72" s="148"/>
      <c r="JZ72" s="148"/>
      <c r="KA72" s="148"/>
      <c r="KB72" s="148"/>
      <c r="KC72" s="148"/>
      <c r="KD72" s="148"/>
      <c r="KE72" s="148"/>
      <c r="KF72" s="148"/>
      <c r="KG72" s="148"/>
      <c r="KH72" s="148"/>
      <c r="KI72" s="148"/>
      <c r="KJ72" s="148"/>
      <c r="KK72" s="148"/>
      <c r="KL72" s="148"/>
      <c r="KM72" s="148"/>
      <c r="KN72" s="148"/>
      <c r="KO72" s="148"/>
      <c r="KP72" s="148"/>
      <c r="KQ72" s="148"/>
      <c r="KR72" s="148"/>
      <c r="KS72" s="148"/>
      <c r="KT72" s="148"/>
      <c r="KU72" s="148"/>
      <c r="KV72" s="148"/>
      <c r="KW72" s="148"/>
      <c r="KX72" s="148"/>
      <c r="KY72" s="148"/>
      <c r="KZ72" s="148"/>
      <c r="LA72" s="148"/>
      <c r="LB72" s="148"/>
      <c r="LC72" s="148"/>
      <c r="LD72" s="148"/>
      <c r="LE72" s="148"/>
      <c r="LF72" s="148"/>
      <c r="LG72" s="148"/>
      <c r="LH72" s="148"/>
      <c r="LI72" s="148"/>
      <c r="LJ72" s="148"/>
      <c r="LK72" s="148"/>
      <c r="LL72" s="148"/>
      <c r="LM72" s="148"/>
      <c r="LN72" s="148"/>
      <c r="LO72" s="148"/>
      <c r="LP72" s="148"/>
      <c r="LQ72" s="148"/>
      <c r="LR72" s="148"/>
      <c r="LS72" s="148"/>
      <c r="LT72" s="148"/>
      <c r="LU72" s="148"/>
      <c r="LV72" s="148"/>
      <c r="LW72" s="148"/>
      <c r="LX72" s="148"/>
      <c r="LY72" s="148"/>
      <c r="LZ72" s="148"/>
      <c r="MA72" s="148"/>
      <c r="MB72" s="148"/>
      <c r="MC72" s="148"/>
      <c r="MD72" s="148"/>
      <c r="ME72" s="148"/>
      <c r="MF72" s="148"/>
      <c r="MG72" s="148"/>
      <c r="MH72" s="148"/>
      <c r="MI72" s="148"/>
      <c r="MJ72" s="148"/>
      <c r="MK72" s="148"/>
      <c r="ML72" s="148"/>
      <c r="MM72" s="148"/>
      <c r="MN72" s="148"/>
      <c r="MO72" s="148"/>
      <c r="MP72" s="148"/>
      <c r="MQ72" s="148"/>
      <c r="MR72" s="148"/>
      <c r="MS72" s="148"/>
      <c r="MT72" s="148"/>
      <c r="MU72" s="148"/>
      <c r="MV72" s="148"/>
      <c r="MW72" s="148"/>
      <c r="MX72" s="148"/>
      <c r="MY72" s="148"/>
      <c r="MZ72" s="148"/>
      <c r="NA72" s="148"/>
      <c r="NB72" s="148"/>
      <c r="NC72" s="148"/>
      <c r="ND72" s="148"/>
      <c r="NE72" s="148"/>
      <c r="NF72" s="148"/>
      <c r="NG72" s="148"/>
      <c r="NH72" s="148"/>
      <c r="NI72" s="148"/>
      <c r="NJ72" s="148"/>
      <c r="NK72" s="148"/>
      <c r="NL72" s="148"/>
      <c r="NM72" s="148"/>
      <c r="NN72" s="148"/>
      <c r="NO72" s="148"/>
      <c r="NP72" s="148"/>
      <c r="NQ72" s="148"/>
      <c r="NR72" s="148"/>
      <c r="NS72" s="148"/>
      <c r="NT72" s="148"/>
      <c r="NU72" s="148"/>
      <c r="NV72" s="148"/>
      <c r="NW72" s="148"/>
      <c r="NX72" s="148"/>
      <c r="NY72" s="148"/>
      <c r="NZ72" s="148"/>
      <c r="OA72" s="148"/>
      <c r="OB72" s="148"/>
      <c r="OC72" s="148"/>
      <c r="OD72" s="148"/>
      <c r="OE72" s="148"/>
      <c r="OF72" s="148"/>
      <c r="OG72" s="148"/>
      <c r="OH72" s="148"/>
      <c r="OI72" s="148"/>
      <c r="OJ72" s="148"/>
      <c r="OK72" s="148"/>
      <c r="OL72" s="148"/>
      <c r="OM72" s="148"/>
      <c r="ON72" s="148"/>
      <c r="OO72" s="148"/>
      <c r="OP72" s="148"/>
      <c r="OQ72" s="148"/>
      <c r="OR72" s="148"/>
      <c r="OS72" s="148"/>
      <c r="OT72" s="148"/>
      <c r="OU72" s="148"/>
      <c r="OV72" s="148"/>
      <c r="OW72" s="148"/>
      <c r="OX72" s="148"/>
      <c r="OY72" s="148"/>
      <c r="OZ72" s="148"/>
      <c r="PA72" s="148"/>
      <c r="PB72" s="148"/>
      <c r="PC72" s="148"/>
      <c r="PD72" s="148"/>
      <c r="PE72" s="148"/>
      <c r="PF72" s="148"/>
      <c r="PG72" s="148"/>
      <c r="PH72" s="148"/>
      <c r="PI72" s="148"/>
      <c r="PJ72" s="148"/>
      <c r="PK72" s="148"/>
      <c r="PL72" s="148"/>
      <c r="PM72" s="148"/>
      <c r="PN72" s="148"/>
      <c r="PO72" s="148"/>
      <c r="PP72" s="148"/>
      <c r="PQ72" s="148"/>
      <c r="PR72" s="148"/>
      <c r="PS72" s="148"/>
      <c r="PT72" s="148"/>
      <c r="PU72" s="148"/>
      <c r="PV72" s="148"/>
      <c r="PW72" s="148"/>
      <c r="PX72" s="148"/>
      <c r="PY72" s="148"/>
      <c r="PZ72" s="148"/>
      <c r="QA72" s="148"/>
      <c r="QB72" s="148"/>
      <c r="QC72" s="148"/>
      <c r="QD72" s="148"/>
      <c r="QE72" s="148"/>
      <c r="QF72" s="148"/>
      <c r="QG72" s="148"/>
      <c r="QH72" s="148"/>
      <c r="QI72" s="148"/>
      <c r="QJ72" s="148"/>
      <c r="QK72" s="148"/>
      <c r="QL72" s="148"/>
      <c r="QM72" s="148"/>
      <c r="QN72" s="148"/>
      <c r="QO72" s="148"/>
      <c r="QP72" s="148"/>
      <c r="QQ72" s="148"/>
      <c r="QR72" s="148"/>
      <c r="QS72" s="148"/>
      <c r="QT72" s="148"/>
      <c r="QU72" s="148"/>
      <c r="QV72" s="148"/>
      <c r="QW72" s="148"/>
      <c r="QX72" s="148"/>
      <c r="QY72" s="148"/>
      <c r="QZ72" s="148"/>
      <c r="RA72" s="148"/>
      <c r="RB72" s="148"/>
      <c r="RC72" s="148"/>
      <c r="RD72" s="148"/>
      <c r="RE72" s="148"/>
      <c r="RF72" s="148"/>
      <c r="RG72" s="148"/>
      <c r="RH72" s="148"/>
      <c r="RI72" s="148"/>
      <c r="RJ72" s="148"/>
      <c r="RK72" s="148"/>
      <c r="RL72" s="148"/>
      <c r="RM72" s="148"/>
      <c r="RN72" s="148"/>
      <c r="RO72" s="148"/>
      <c r="RP72" s="148"/>
      <c r="RQ72" s="148"/>
      <c r="RR72" s="148"/>
    </row>
    <row r="73" spans="1:486" s="15" customFormat="1" x14ac:dyDescent="0.25">
      <c r="A73" s="148"/>
      <c r="B73" s="350">
        <v>58</v>
      </c>
      <c r="C73" s="650" t="s">
        <v>894</v>
      </c>
      <c r="D73" s="631">
        <v>40019013</v>
      </c>
      <c r="E73" s="344" t="s">
        <v>2832</v>
      </c>
      <c r="F73" s="344" t="s">
        <v>45</v>
      </c>
      <c r="G73" s="17" t="s">
        <v>2693</v>
      </c>
      <c r="H73" s="317" t="s">
        <v>1562</v>
      </c>
      <c r="I73" s="346" t="s">
        <v>43</v>
      </c>
      <c r="J73" s="341" t="s">
        <v>2833</v>
      </c>
      <c r="K73" s="633">
        <v>0</v>
      </c>
      <c r="L73" s="633">
        <v>0</v>
      </c>
      <c r="M73" s="633">
        <v>0</v>
      </c>
      <c r="N73" s="633">
        <v>0</v>
      </c>
      <c r="O73" s="633">
        <v>0</v>
      </c>
      <c r="P73" s="633">
        <v>0</v>
      </c>
      <c r="Q73" s="633">
        <v>2500</v>
      </c>
      <c r="R73" s="633">
        <v>0</v>
      </c>
      <c r="S73" s="633"/>
      <c r="T73" s="633"/>
      <c r="U73" s="633"/>
      <c r="V73" s="633"/>
      <c r="W73" s="633"/>
      <c r="X73" s="633"/>
      <c r="Y73" s="633">
        <f t="shared" si="1"/>
        <v>2500</v>
      </c>
      <c r="Z73" s="407">
        <v>101000</v>
      </c>
      <c r="AA73" s="635" t="s">
        <v>2769</v>
      </c>
      <c r="AB73" s="23">
        <v>44232</v>
      </c>
      <c r="AC73" s="23">
        <v>44250</v>
      </c>
      <c r="AD73" s="636"/>
      <c r="AE73" s="20"/>
      <c r="AF73" s="21"/>
      <c r="AG73" s="23"/>
      <c r="AH73" s="637"/>
      <c r="AI73" s="19"/>
      <c r="AJ73" s="21"/>
      <c r="AK73" s="25"/>
      <c r="AL73" s="309"/>
      <c r="AM73" s="19"/>
      <c r="AN73" s="21"/>
      <c r="AO73" s="25"/>
      <c r="AP73" s="309"/>
      <c r="AQ73" s="19"/>
      <c r="AR73" s="21"/>
      <c r="AS73" s="25"/>
      <c r="AT73" s="638">
        <f t="shared" si="2"/>
        <v>101000</v>
      </c>
      <c r="AU73" s="311">
        <f t="shared" si="0"/>
        <v>98500</v>
      </c>
      <c r="AV73" s="148"/>
      <c r="AW73" s="148"/>
      <c r="AX73" s="148"/>
      <c r="AY73" s="148"/>
      <c r="AZ73" s="148"/>
      <c r="BA73" s="148"/>
      <c r="BB73" s="148"/>
      <c r="BC73" s="148"/>
      <c r="BD73" s="148"/>
      <c r="BE73" s="148"/>
      <c r="BF73" s="148"/>
      <c r="BG73" s="148"/>
      <c r="BH73" s="148"/>
      <c r="BI73" s="148"/>
      <c r="BJ73" s="148"/>
      <c r="BK73" s="148"/>
      <c r="BL73" s="148"/>
      <c r="BM73" s="148"/>
      <c r="BN73" s="148"/>
      <c r="BO73" s="148"/>
      <c r="BP73" s="148"/>
      <c r="BQ73" s="148"/>
      <c r="BR73" s="148"/>
      <c r="BS73" s="148"/>
      <c r="BT73" s="148"/>
      <c r="BU73" s="148"/>
      <c r="BV73" s="148"/>
      <c r="BW73" s="148"/>
      <c r="BX73" s="148"/>
      <c r="BY73" s="148"/>
      <c r="BZ73" s="148"/>
      <c r="CA73" s="148"/>
      <c r="CB73" s="148"/>
      <c r="CC73" s="148"/>
      <c r="CD73" s="148"/>
      <c r="CE73" s="148"/>
      <c r="CF73" s="148"/>
      <c r="CG73" s="148"/>
      <c r="CH73" s="148"/>
      <c r="CI73" s="148"/>
      <c r="CJ73" s="148"/>
      <c r="CK73" s="148"/>
      <c r="CL73" s="148"/>
      <c r="CM73" s="148"/>
      <c r="CN73" s="148"/>
      <c r="CO73" s="148"/>
      <c r="CP73" s="148"/>
      <c r="CQ73" s="148"/>
      <c r="CR73" s="148"/>
      <c r="CS73" s="148"/>
      <c r="CT73" s="148"/>
      <c r="CU73" s="148"/>
      <c r="CV73" s="148"/>
      <c r="CW73" s="148"/>
      <c r="CX73" s="148"/>
      <c r="CY73" s="148"/>
      <c r="CZ73" s="148"/>
      <c r="DA73" s="148"/>
      <c r="DB73" s="148"/>
      <c r="DC73" s="148"/>
      <c r="DD73" s="148"/>
      <c r="DE73" s="148"/>
      <c r="DF73" s="148"/>
      <c r="DG73" s="148"/>
      <c r="DH73" s="148"/>
      <c r="DI73" s="148"/>
      <c r="DJ73" s="148"/>
      <c r="DK73" s="148"/>
      <c r="DL73" s="148"/>
      <c r="DM73" s="148"/>
      <c r="DN73" s="148"/>
      <c r="DO73" s="148"/>
      <c r="DP73" s="148"/>
      <c r="DQ73" s="148"/>
      <c r="DR73" s="148"/>
      <c r="DS73" s="148"/>
      <c r="DT73" s="148"/>
      <c r="DU73" s="148"/>
      <c r="DV73" s="148"/>
      <c r="DW73" s="148"/>
      <c r="DX73" s="148"/>
      <c r="DY73" s="148"/>
      <c r="DZ73" s="148"/>
      <c r="EA73" s="148"/>
      <c r="EB73" s="148"/>
      <c r="EC73" s="148"/>
      <c r="ED73" s="148"/>
      <c r="EE73" s="148"/>
      <c r="EF73" s="148"/>
      <c r="EG73" s="148"/>
      <c r="EH73" s="148"/>
      <c r="EI73" s="148"/>
      <c r="EJ73" s="148"/>
      <c r="EK73" s="148"/>
      <c r="EL73" s="148"/>
      <c r="EM73" s="148"/>
      <c r="EN73" s="148"/>
      <c r="EO73" s="148"/>
      <c r="EP73" s="148"/>
      <c r="EQ73" s="148"/>
      <c r="ER73" s="148"/>
      <c r="ES73" s="148"/>
      <c r="ET73" s="148"/>
      <c r="EU73" s="148"/>
      <c r="EV73" s="148"/>
      <c r="EW73" s="148"/>
      <c r="EX73" s="148"/>
      <c r="EY73" s="148"/>
      <c r="EZ73" s="148"/>
      <c r="FA73" s="148"/>
      <c r="FB73" s="148"/>
      <c r="FC73" s="148"/>
      <c r="FD73" s="148"/>
      <c r="FE73" s="148"/>
      <c r="FF73" s="148"/>
      <c r="FG73" s="148"/>
      <c r="FH73" s="148"/>
      <c r="FI73" s="148"/>
      <c r="FJ73" s="148"/>
      <c r="FK73" s="148"/>
      <c r="FL73" s="148"/>
      <c r="FM73" s="148"/>
      <c r="FN73" s="148"/>
      <c r="FO73" s="148"/>
      <c r="FP73" s="148"/>
      <c r="FQ73" s="148"/>
      <c r="FR73" s="148"/>
      <c r="FS73" s="148"/>
      <c r="FT73" s="148"/>
      <c r="FU73" s="148"/>
      <c r="FV73" s="148"/>
      <c r="FW73" s="148"/>
      <c r="FX73" s="148"/>
      <c r="FY73" s="148"/>
      <c r="FZ73" s="148"/>
      <c r="GA73" s="148"/>
      <c r="GB73" s="148"/>
      <c r="GC73" s="148"/>
      <c r="GD73" s="148"/>
      <c r="GE73" s="148"/>
      <c r="GF73" s="148"/>
      <c r="GG73" s="148"/>
      <c r="GH73" s="148"/>
      <c r="GI73" s="148"/>
      <c r="GJ73" s="148"/>
      <c r="GK73" s="148"/>
      <c r="GL73" s="148"/>
      <c r="GM73" s="148"/>
      <c r="GN73" s="148"/>
      <c r="GO73" s="148"/>
      <c r="GP73" s="148"/>
      <c r="GQ73" s="148"/>
      <c r="GR73" s="148"/>
      <c r="GS73" s="148"/>
      <c r="GT73" s="148"/>
      <c r="GU73" s="148"/>
      <c r="GV73" s="148"/>
      <c r="GW73" s="148"/>
      <c r="GX73" s="148"/>
      <c r="GY73" s="148"/>
      <c r="GZ73" s="148"/>
      <c r="HA73" s="148"/>
      <c r="HB73" s="148"/>
      <c r="HC73" s="148"/>
      <c r="HD73" s="148"/>
      <c r="HE73" s="148"/>
      <c r="HF73" s="148"/>
      <c r="HG73" s="148"/>
      <c r="HH73" s="148"/>
      <c r="HI73" s="148"/>
      <c r="HJ73" s="148"/>
      <c r="HK73" s="148"/>
      <c r="HL73" s="148"/>
      <c r="HM73" s="148"/>
      <c r="HN73" s="148"/>
      <c r="HO73" s="148"/>
      <c r="HP73" s="148"/>
      <c r="HQ73" s="148"/>
      <c r="HR73" s="148"/>
      <c r="HS73" s="148"/>
      <c r="HT73" s="148"/>
      <c r="HU73" s="148"/>
      <c r="HV73" s="148"/>
      <c r="HW73" s="148"/>
      <c r="HX73" s="148"/>
      <c r="HY73" s="148"/>
      <c r="HZ73" s="148"/>
      <c r="IA73" s="148"/>
      <c r="IB73" s="148"/>
      <c r="IC73" s="148"/>
      <c r="ID73" s="148"/>
      <c r="IE73" s="148"/>
      <c r="IF73" s="148"/>
      <c r="IG73" s="148"/>
      <c r="IH73" s="148"/>
      <c r="II73" s="148"/>
      <c r="IJ73" s="148"/>
      <c r="IK73" s="148"/>
      <c r="IL73" s="148"/>
      <c r="IM73" s="148"/>
      <c r="IN73" s="148"/>
      <c r="IO73" s="148"/>
      <c r="IP73" s="148"/>
      <c r="IQ73" s="148"/>
      <c r="IR73" s="148"/>
      <c r="IS73" s="148"/>
      <c r="IT73" s="148"/>
      <c r="IU73" s="148"/>
      <c r="IV73" s="148"/>
      <c r="IW73" s="148"/>
      <c r="IX73" s="148"/>
      <c r="IY73" s="148"/>
      <c r="IZ73" s="148"/>
      <c r="JA73" s="148"/>
      <c r="JB73" s="148"/>
      <c r="JC73" s="148"/>
      <c r="JD73" s="148"/>
      <c r="JE73" s="148"/>
      <c r="JF73" s="148"/>
      <c r="JG73" s="148"/>
      <c r="JH73" s="148"/>
      <c r="JI73" s="148"/>
      <c r="JJ73" s="148"/>
      <c r="JK73" s="148"/>
      <c r="JL73" s="148"/>
      <c r="JM73" s="148"/>
      <c r="JN73" s="148"/>
      <c r="JO73" s="148"/>
      <c r="JP73" s="148"/>
      <c r="JQ73" s="148"/>
      <c r="JR73" s="148"/>
      <c r="JS73" s="148"/>
      <c r="JT73" s="148"/>
      <c r="JU73" s="148"/>
      <c r="JV73" s="148"/>
      <c r="JW73" s="148"/>
      <c r="JX73" s="148"/>
      <c r="JY73" s="148"/>
      <c r="JZ73" s="148"/>
      <c r="KA73" s="148"/>
      <c r="KB73" s="148"/>
      <c r="KC73" s="148"/>
      <c r="KD73" s="148"/>
      <c r="KE73" s="148"/>
      <c r="KF73" s="148"/>
      <c r="KG73" s="148"/>
      <c r="KH73" s="148"/>
      <c r="KI73" s="148"/>
      <c r="KJ73" s="148"/>
      <c r="KK73" s="148"/>
      <c r="KL73" s="148"/>
      <c r="KM73" s="148"/>
      <c r="KN73" s="148"/>
      <c r="KO73" s="148"/>
      <c r="KP73" s="148"/>
      <c r="KQ73" s="148"/>
      <c r="KR73" s="148"/>
      <c r="KS73" s="148"/>
      <c r="KT73" s="148"/>
      <c r="KU73" s="148"/>
      <c r="KV73" s="148"/>
      <c r="KW73" s="148"/>
      <c r="KX73" s="148"/>
      <c r="KY73" s="148"/>
      <c r="KZ73" s="148"/>
      <c r="LA73" s="148"/>
      <c r="LB73" s="148"/>
      <c r="LC73" s="148"/>
      <c r="LD73" s="148"/>
      <c r="LE73" s="148"/>
      <c r="LF73" s="148"/>
      <c r="LG73" s="148"/>
      <c r="LH73" s="148"/>
      <c r="LI73" s="148"/>
      <c r="LJ73" s="148"/>
      <c r="LK73" s="148"/>
      <c r="LL73" s="148"/>
      <c r="LM73" s="148"/>
      <c r="LN73" s="148"/>
      <c r="LO73" s="148"/>
      <c r="LP73" s="148"/>
      <c r="LQ73" s="148"/>
      <c r="LR73" s="148"/>
      <c r="LS73" s="148"/>
      <c r="LT73" s="148"/>
      <c r="LU73" s="148"/>
      <c r="LV73" s="148"/>
      <c r="LW73" s="148"/>
      <c r="LX73" s="148"/>
      <c r="LY73" s="148"/>
      <c r="LZ73" s="148"/>
      <c r="MA73" s="148"/>
      <c r="MB73" s="148"/>
      <c r="MC73" s="148"/>
      <c r="MD73" s="148"/>
      <c r="ME73" s="148"/>
      <c r="MF73" s="148"/>
      <c r="MG73" s="148"/>
      <c r="MH73" s="148"/>
      <c r="MI73" s="148"/>
      <c r="MJ73" s="148"/>
      <c r="MK73" s="148"/>
      <c r="ML73" s="148"/>
      <c r="MM73" s="148"/>
      <c r="MN73" s="148"/>
      <c r="MO73" s="148"/>
      <c r="MP73" s="148"/>
      <c r="MQ73" s="148"/>
      <c r="MR73" s="148"/>
      <c r="MS73" s="148"/>
      <c r="MT73" s="148"/>
      <c r="MU73" s="148"/>
      <c r="MV73" s="148"/>
      <c r="MW73" s="148"/>
      <c r="MX73" s="148"/>
      <c r="MY73" s="148"/>
      <c r="MZ73" s="148"/>
      <c r="NA73" s="148"/>
      <c r="NB73" s="148"/>
      <c r="NC73" s="148"/>
      <c r="ND73" s="148"/>
      <c r="NE73" s="148"/>
      <c r="NF73" s="148"/>
      <c r="NG73" s="148"/>
      <c r="NH73" s="148"/>
      <c r="NI73" s="148"/>
      <c r="NJ73" s="148"/>
      <c r="NK73" s="148"/>
      <c r="NL73" s="148"/>
      <c r="NM73" s="148"/>
      <c r="NN73" s="148"/>
      <c r="NO73" s="148"/>
      <c r="NP73" s="148"/>
      <c r="NQ73" s="148"/>
      <c r="NR73" s="148"/>
      <c r="NS73" s="148"/>
      <c r="NT73" s="148"/>
      <c r="NU73" s="148"/>
      <c r="NV73" s="148"/>
      <c r="NW73" s="148"/>
      <c r="NX73" s="148"/>
      <c r="NY73" s="148"/>
      <c r="NZ73" s="148"/>
      <c r="OA73" s="148"/>
      <c r="OB73" s="148"/>
      <c r="OC73" s="148"/>
      <c r="OD73" s="148"/>
      <c r="OE73" s="148"/>
      <c r="OF73" s="148"/>
      <c r="OG73" s="148"/>
      <c r="OH73" s="148"/>
      <c r="OI73" s="148"/>
      <c r="OJ73" s="148"/>
      <c r="OK73" s="148"/>
      <c r="OL73" s="148"/>
      <c r="OM73" s="148"/>
      <c r="ON73" s="148"/>
      <c r="OO73" s="148"/>
      <c r="OP73" s="148"/>
      <c r="OQ73" s="148"/>
      <c r="OR73" s="148"/>
      <c r="OS73" s="148"/>
      <c r="OT73" s="148"/>
      <c r="OU73" s="148"/>
      <c r="OV73" s="148"/>
      <c r="OW73" s="148"/>
      <c r="OX73" s="148"/>
      <c r="OY73" s="148"/>
      <c r="OZ73" s="148"/>
      <c r="PA73" s="148"/>
      <c r="PB73" s="148"/>
      <c r="PC73" s="148"/>
      <c r="PD73" s="148"/>
      <c r="PE73" s="148"/>
      <c r="PF73" s="148"/>
      <c r="PG73" s="148"/>
      <c r="PH73" s="148"/>
      <c r="PI73" s="148"/>
      <c r="PJ73" s="148"/>
      <c r="PK73" s="148"/>
      <c r="PL73" s="148"/>
      <c r="PM73" s="148"/>
      <c r="PN73" s="148"/>
      <c r="PO73" s="148"/>
      <c r="PP73" s="148"/>
      <c r="PQ73" s="148"/>
      <c r="PR73" s="148"/>
      <c r="PS73" s="148"/>
      <c r="PT73" s="148"/>
      <c r="PU73" s="148"/>
      <c r="PV73" s="148"/>
      <c r="PW73" s="148"/>
      <c r="PX73" s="148"/>
      <c r="PY73" s="148"/>
      <c r="PZ73" s="148"/>
      <c r="QA73" s="148"/>
      <c r="QB73" s="148"/>
      <c r="QC73" s="148"/>
      <c r="QD73" s="148"/>
      <c r="QE73" s="148"/>
      <c r="QF73" s="148"/>
      <c r="QG73" s="148"/>
      <c r="QH73" s="148"/>
      <c r="QI73" s="148"/>
      <c r="QJ73" s="148"/>
      <c r="QK73" s="148"/>
      <c r="QL73" s="148"/>
      <c r="QM73" s="148"/>
      <c r="QN73" s="148"/>
      <c r="QO73" s="148"/>
      <c r="QP73" s="148"/>
      <c r="QQ73" s="148"/>
      <c r="QR73" s="148"/>
      <c r="QS73" s="148"/>
      <c r="QT73" s="148"/>
      <c r="QU73" s="148"/>
      <c r="QV73" s="148"/>
      <c r="QW73" s="148"/>
      <c r="QX73" s="148"/>
      <c r="QY73" s="148"/>
      <c r="QZ73" s="148"/>
      <c r="RA73" s="148"/>
      <c r="RB73" s="148"/>
      <c r="RC73" s="148"/>
      <c r="RD73" s="148"/>
      <c r="RE73" s="148"/>
      <c r="RF73" s="148"/>
      <c r="RG73" s="148"/>
      <c r="RH73" s="148"/>
      <c r="RI73" s="148"/>
      <c r="RJ73" s="148"/>
      <c r="RK73" s="148"/>
      <c r="RL73" s="148"/>
      <c r="RM73" s="148"/>
      <c r="RN73" s="148"/>
      <c r="RO73" s="148"/>
      <c r="RP73" s="148"/>
      <c r="RQ73" s="148"/>
      <c r="RR73" s="148"/>
    </row>
    <row r="74" spans="1:486" s="15" customFormat="1" ht="22.5" x14ac:dyDescent="0.25">
      <c r="A74" s="148"/>
      <c r="B74" s="350">
        <v>59</v>
      </c>
      <c r="C74" s="650" t="s">
        <v>894</v>
      </c>
      <c r="D74" s="631">
        <v>40019625</v>
      </c>
      <c r="E74" s="344" t="s">
        <v>2834</v>
      </c>
      <c r="F74" s="344" t="s">
        <v>45</v>
      </c>
      <c r="G74" s="17" t="s">
        <v>2693</v>
      </c>
      <c r="H74" s="317" t="s">
        <v>1562</v>
      </c>
      <c r="I74" s="346" t="s">
        <v>43</v>
      </c>
      <c r="J74" s="341" t="s">
        <v>2835</v>
      </c>
      <c r="K74" s="633">
        <v>0</v>
      </c>
      <c r="L74" s="633">
        <v>0</v>
      </c>
      <c r="M74" s="633">
        <v>0</v>
      </c>
      <c r="N74" s="633">
        <v>0</v>
      </c>
      <c r="O74" s="633">
        <v>0</v>
      </c>
      <c r="P74" s="633">
        <v>0</v>
      </c>
      <c r="Q74" s="633">
        <v>0</v>
      </c>
      <c r="R74" s="633">
        <v>2500</v>
      </c>
      <c r="S74" s="633"/>
      <c r="T74" s="633"/>
      <c r="U74" s="633"/>
      <c r="V74" s="633"/>
      <c r="W74" s="633"/>
      <c r="X74" s="633"/>
      <c r="Y74" s="633">
        <f t="shared" si="1"/>
        <v>2500</v>
      </c>
      <c r="Z74" s="407">
        <v>101000</v>
      </c>
      <c r="AA74" s="635" t="s">
        <v>2769</v>
      </c>
      <c r="AB74" s="23">
        <v>44232</v>
      </c>
      <c r="AC74" s="23">
        <v>44250</v>
      </c>
      <c r="AD74" s="636"/>
      <c r="AE74" s="20"/>
      <c r="AF74" s="21"/>
      <c r="AG74" s="23"/>
      <c r="AH74" s="637"/>
      <c r="AI74" s="19"/>
      <c r="AJ74" s="21"/>
      <c r="AK74" s="25"/>
      <c r="AL74" s="309"/>
      <c r="AM74" s="19"/>
      <c r="AN74" s="21"/>
      <c r="AO74" s="25"/>
      <c r="AP74" s="309"/>
      <c r="AQ74" s="19"/>
      <c r="AR74" s="21"/>
      <c r="AS74" s="25"/>
      <c r="AT74" s="638">
        <f t="shared" si="2"/>
        <v>101000</v>
      </c>
      <c r="AU74" s="311">
        <f t="shared" si="0"/>
        <v>98500</v>
      </c>
      <c r="AV74" s="148"/>
      <c r="AW74" s="148"/>
      <c r="AX74" s="148"/>
      <c r="AY74" s="148"/>
      <c r="AZ74" s="148"/>
      <c r="BA74" s="148"/>
      <c r="BB74" s="148"/>
      <c r="BC74" s="148"/>
      <c r="BD74" s="148"/>
      <c r="BE74" s="148"/>
      <c r="BF74" s="148"/>
      <c r="BG74" s="148"/>
      <c r="BH74" s="148"/>
      <c r="BI74" s="148"/>
      <c r="BJ74" s="148"/>
      <c r="BK74" s="148"/>
      <c r="BL74" s="148"/>
      <c r="BM74" s="148"/>
      <c r="BN74" s="148"/>
      <c r="BO74" s="148"/>
      <c r="BP74" s="148"/>
      <c r="BQ74" s="148"/>
      <c r="BR74" s="148"/>
      <c r="BS74" s="148"/>
      <c r="BT74" s="148"/>
      <c r="BU74" s="148"/>
      <c r="BV74" s="148"/>
      <c r="BW74" s="148"/>
      <c r="BX74" s="148"/>
      <c r="BY74" s="148"/>
      <c r="BZ74" s="148"/>
      <c r="CA74" s="148"/>
      <c r="CB74" s="148"/>
      <c r="CC74" s="148"/>
      <c r="CD74" s="148"/>
      <c r="CE74" s="148"/>
      <c r="CF74" s="148"/>
      <c r="CG74" s="148"/>
      <c r="CH74" s="148"/>
      <c r="CI74" s="148"/>
      <c r="CJ74" s="148"/>
      <c r="CK74" s="148"/>
      <c r="CL74" s="148"/>
      <c r="CM74" s="148"/>
      <c r="CN74" s="148"/>
      <c r="CO74" s="148"/>
      <c r="CP74" s="148"/>
      <c r="CQ74" s="148"/>
      <c r="CR74" s="148"/>
      <c r="CS74" s="148"/>
      <c r="CT74" s="148"/>
      <c r="CU74" s="148"/>
      <c r="CV74" s="148"/>
      <c r="CW74" s="148"/>
      <c r="CX74" s="148"/>
      <c r="CY74" s="148"/>
      <c r="CZ74" s="148"/>
      <c r="DA74" s="148"/>
      <c r="DB74" s="148"/>
      <c r="DC74" s="148"/>
      <c r="DD74" s="148"/>
      <c r="DE74" s="148"/>
      <c r="DF74" s="148"/>
      <c r="DG74" s="148"/>
      <c r="DH74" s="148"/>
      <c r="DI74" s="148"/>
      <c r="DJ74" s="148"/>
      <c r="DK74" s="148"/>
      <c r="DL74" s="148"/>
      <c r="DM74" s="148"/>
      <c r="DN74" s="148"/>
      <c r="DO74" s="148"/>
      <c r="DP74" s="148"/>
      <c r="DQ74" s="148"/>
      <c r="DR74" s="148"/>
      <c r="DS74" s="148"/>
      <c r="DT74" s="148"/>
      <c r="DU74" s="148"/>
      <c r="DV74" s="148"/>
      <c r="DW74" s="148"/>
      <c r="DX74" s="148"/>
      <c r="DY74" s="148"/>
      <c r="DZ74" s="148"/>
      <c r="EA74" s="148"/>
      <c r="EB74" s="148"/>
      <c r="EC74" s="148"/>
      <c r="ED74" s="148"/>
      <c r="EE74" s="148"/>
      <c r="EF74" s="148"/>
      <c r="EG74" s="148"/>
      <c r="EH74" s="148"/>
      <c r="EI74" s="148"/>
      <c r="EJ74" s="148"/>
      <c r="EK74" s="148"/>
      <c r="EL74" s="148"/>
      <c r="EM74" s="148"/>
      <c r="EN74" s="148"/>
      <c r="EO74" s="148"/>
      <c r="EP74" s="148"/>
      <c r="EQ74" s="148"/>
      <c r="ER74" s="148"/>
      <c r="ES74" s="148"/>
      <c r="ET74" s="148"/>
      <c r="EU74" s="148"/>
      <c r="EV74" s="148"/>
      <c r="EW74" s="148"/>
      <c r="EX74" s="148"/>
      <c r="EY74" s="148"/>
      <c r="EZ74" s="148"/>
      <c r="FA74" s="148"/>
      <c r="FB74" s="148"/>
      <c r="FC74" s="148"/>
      <c r="FD74" s="148"/>
      <c r="FE74" s="148"/>
      <c r="FF74" s="148"/>
      <c r="FG74" s="148"/>
      <c r="FH74" s="148"/>
      <c r="FI74" s="148"/>
      <c r="FJ74" s="148"/>
      <c r="FK74" s="148"/>
      <c r="FL74" s="148"/>
      <c r="FM74" s="148"/>
      <c r="FN74" s="148"/>
      <c r="FO74" s="148"/>
      <c r="FP74" s="148"/>
      <c r="FQ74" s="148"/>
      <c r="FR74" s="148"/>
      <c r="FS74" s="148"/>
      <c r="FT74" s="148"/>
      <c r="FU74" s="148"/>
      <c r="FV74" s="148"/>
      <c r="FW74" s="148"/>
      <c r="FX74" s="148"/>
      <c r="FY74" s="148"/>
      <c r="FZ74" s="148"/>
      <c r="GA74" s="148"/>
      <c r="GB74" s="148"/>
      <c r="GC74" s="148"/>
      <c r="GD74" s="148"/>
      <c r="GE74" s="148"/>
      <c r="GF74" s="148"/>
      <c r="GG74" s="148"/>
      <c r="GH74" s="148"/>
      <c r="GI74" s="148"/>
      <c r="GJ74" s="148"/>
      <c r="GK74" s="148"/>
      <c r="GL74" s="148"/>
      <c r="GM74" s="148"/>
      <c r="GN74" s="148"/>
      <c r="GO74" s="148"/>
      <c r="GP74" s="148"/>
      <c r="GQ74" s="148"/>
      <c r="GR74" s="148"/>
      <c r="GS74" s="148"/>
      <c r="GT74" s="148"/>
      <c r="GU74" s="148"/>
      <c r="GV74" s="148"/>
      <c r="GW74" s="148"/>
      <c r="GX74" s="148"/>
      <c r="GY74" s="148"/>
      <c r="GZ74" s="148"/>
      <c r="HA74" s="148"/>
      <c r="HB74" s="148"/>
      <c r="HC74" s="148"/>
      <c r="HD74" s="148"/>
      <c r="HE74" s="148"/>
      <c r="HF74" s="148"/>
      <c r="HG74" s="148"/>
      <c r="HH74" s="148"/>
      <c r="HI74" s="148"/>
      <c r="HJ74" s="148"/>
      <c r="HK74" s="148"/>
      <c r="HL74" s="148"/>
      <c r="HM74" s="148"/>
      <c r="HN74" s="148"/>
      <c r="HO74" s="148"/>
      <c r="HP74" s="148"/>
      <c r="HQ74" s="148"/>
      <c r="HR74" s="148"/>
      <c r="HS74" s="148"/>
      <c r="HT74" s="148"/>
      <c r="HU74" s="148"/>
      <c r="HV74" s="148"/>
      <c r="HW74" s="148"/>
      <c r="HX74" s="148"/>
      <c r="HY74" s="148"/>
      <c r="HZ74" s="148"/>
      <c r="IA74" s="148"/>
      <c r="IB74" s="148"/>
      <c r="IC74" s="148"/>
      <c r="ID74" s="148"/>
      <c r="IE74" s="148"/>
      <c r="IF74" s="148"/>
      <c r="IG74" s="148"/>
      <c r="IH74" s="148"/>
      <c r="II74" s="148"/>
      <c r="IJ74" s="148"/>
      <c r="IK74" s="148"/>
      <c r="IL74" s="148"/>
      <c r="IM74" s="148"/>
      <c r="IN74" s="148"/>
      <c r="IO74" s="148"/>
      <c r="IP74" s="148"/>
      <c r="IQ74" s="148"/>
      <c r="IR74" s="148"/>
      <c r="IS74" s="148"/>
      <c r="IT74" s="148"/>
      <c r="IU74" s="148"/>
      <c r="IV74" s="148"/>
      <c r="IW74" s="148"/>
      <c r="IX74" s="148"/>
      <c r="IY74" s="148"/>
      <c r="IZ74" s="148"/>
      <c r="JA74" s="148"/>
      <c r="JB74" s="148"/>
      <c r="JC74" s="148"/>
      <c r="JD74" s="148"/>
      <c r="JE74" s="148"/>
      <c r="JF74" s="148"/>
      <c r="JG74" s="148"/>
      <c r="JH74" s="148"/>
      <c r="JI74" s="148"/>
      <c r="JJ74" s="148"/>
      <c r="JK74" s="148"/>
      <c r="JL74" s="148"/>
      <c r="JM74" s="148"/>
      <c r="JN74" s="148"/>
      <c r="JO74" s="148"/>
      <c r="JP74" s="148"/>
      <c r="JQ74" s="148"/>
      <c r="JR74" s="148"/>
      <c r="JS74" s="148"/>
      <c r="JT74" s="148"/>
      <c r="JU74" s="148"/>
      <c r="JV74" s="148"/>
      <c r="JW74" s="148"/>
      <c r="JX74" s="148"/>
      <c r="JY74" s="148"/>
      <c r="JZ74" s="148"/>
      <c r="KA74" s="148"/>
      <c r="KB74" s="148"/>
      <c r="KC74" s="148"/>
      <c r="KD74" s="148"/>
      <c r="KE74" s="148"/>
      <c r="KF74" s="148"/>
      <c r="KG74" s="148"/>
      <c r="KH74" s="148"/>
      <c r="KI74" s="148"/>
      <c r="KJ74" s="148"/>
      <c r="KK74" s="148"/>
      <c r="KL74" s="148"/>
      <c r="KM74" s="148"/>
      <c r="KN74" s="148"/>
      <c r="KO74" s="148"/>
      <c r="KP74" s="148"/>
      <c r="KQ74" s="148"/>
      <c r="KR74" s="148"/>
      <c r="KS74" s="148"/>
      <c r="KT74" s="148"/>
      <c r="KU74" s="148"/>
      <c r="KV74" s="148"/>
      <c r="KW74" s="148"/>
      <c r="KX74" s="148"/>
      <c r="KY74" s="148"/>
      <c r="KZ74" s="148"/>
      <c r="LA74" s="148"/>
      <c r="LB74" s="148"/>
      <c r="LC74" s="148"/>
      <c r="LD74" s="148"/>
      <c r="LE74" s="148"/>
      <c r="LF74" s="148"/>
      <c r="LG74" s="148"/>
      <c r="LH74" s="148"/>
      <c r="LI74" s="148"/>
      <c r="LJ74" s="148"/>
      <c r="LK74" s="148"/>
      <c r="LL74" s="148"/>
      <c r="LM74" s="148"/>
      <c r="LN74" s="148"/>
      <c r="LO74" s="148"/>
      <c r="LP74" s="148"/>
      <c r="LQ74" s="148"/>
      <c r="LR74" s="148"/>
      <c r="LS74" s="148"/>
      <c r="LT74" s="148"/>
      <c r="LU74" s="148"/>
      <c r="LV74" s="148"/>
      <c r="LW74" s="148"/>
      <c r="LX74" s="148"/>
      <c r="LY74" s="148"/>
      <c r="LZ74" s="148"/>
      <c r="MA74" s="148"/>
      <c r="MB74" s="148"/>
      <c r="MC74" s="148"/>
      <c r="MD74" s="148"/>
      <c r="ME74" s="148"/>
      <c r="MF74" s="148"/>
      <c r="MG74" s="148"/>
      <c r="MH74" s="148"/>
      <c r="MI74" s="148"/>
      <c r="MJ74" s="148"/>
      <c r="MK74" s="148"/>
      <c r="ML74" s="148"/>
      <c r="MM74" s="148"/>
      <c r="MN74" s="148"/>
      <c r="MO74" s="148"/>
      <c r="MP74" s="148"/>
      <c r="MQ74" s="148"/>
      <c r="MR74" s="148"/>
      <c r="MS74" s="148"/>
      <c r="MT74" s="148"/>
      <c r="MU74" s="148"/>
      <c r="MV74" s="148"/>
      <c r="MW74" s="148"/>
      <c r="MX74" s="148"/>
      <c r="MY74" s="148"/>
      <c r="MZ74" s="148"/>
      <c r="NA74" s="148"/>
      <c r="NB74" s="148"/>
      <c r="NC74" s="148"/>
      <c r="ND74" s="148"/>
      <c r="NE74" s="148"/>
      <c r="NF74" s="148"/>
      <c r="NG74" s="148"/>
      <c r="NH74" s="148"/>
      <c r="NI74" s="148"/>
      <c r="NJ74" s="148"/>
      <c r="NK74" s="148"/>
      <c r="NL74" s="148"/>
      <c r="NM74" s="148"/>
      <c r="NN74" s="148"/>
      <c r="NO74" s="148"/>
      <c r="NP74" s="148"/>
      <c r="NQ74" s="148"/>
      <c r="NR74" s="148"/>
      <c r="NS74" s="148"/>
      <c r="NT74" s="148"/>
      <c r="NU74" s="148"/>
      <c r="NV74" s="148"/>
      <c r="NW74" s="148"/>
      <c r="NX74" s="148"/>
      <c r="NY74" s="148"/>
      <c r="NZ74" s="148"/>
      <c r="OA74" s="148"/>
      <c r="OB74" s="148"/>
      <c r="OC74" s="148"/>
      <c r="OD74" s="148"/>
      <c r="OE74" s="148"/>
      <c r="OF74" s="148"/>
      <c r="OG74" s="148"/>
      <c r="OH74" s="148"/>
      <c r="OI74" s="148"/>
      <c r="OJ74" s="148"/>
      <c r="OK74" s="148"/>
      <c r="OL74" s="148"/>
      <c r="OM74" s="148"/>
      <c r="ON74" s="148"/>
      <c r="OO74" s="148"/>
      <c r="OP74" s="148"/>
      <c r="OQ74" s="148"/>
      <c r="OR74" s="148"/>
      <c r="OS74" s="148"/>
      <c r="OT74" s="148"/>
      <c r="OU74" s="148"/>
      <c r="OV74" s="148"/>
      <c r="OW74" s="148"/>
      <c r="OX74" s="148"/>
      <c r="OY74" s="148"/>
      <c r="OZ74" s="148"/>
      <c r="PA74" s="148"/>
      <c r="PB74" s="148"/>
      <c r="PC74" s="148"/>
      <c r="PD74" s="148"/>
      <c r="PE74" s="148"/>
      <c r="PF74" s="148"/>
      <c r="PG74" s="148"/>
      <c r="PH74" s="148"/>
      <c r="PI74" s="148"/>
      <c r="PJ74" s="148"/>
      <c r="PK74" s="148"/>
      <c r="PL74" s="148"/>
      <c r="PM74" s="148"/>
      <c r="PN74" s="148"/>
      <c r="PO74" s="148"/>
      <c r="PP74" s="148"/>
      <c r="PQ74" s="148"/>
      <c r="PR74" s="148"/>
      <c r="PS74" s="148"/>
      <c r="PT74" s="148"/>
      <c r="PU74" s="148"/>
      <c r="PV74" s="148"/>
      <c r="PW74" s="148"/>
      <c r="PX74" s="148"/>
      <c r="PY74" s="148"/>
      <c r="PZ74" s="148"/>
      <c r="QA74" s="148"/>
      <c r="QB74" s="148"/>
      <c r="QC74" s="148"/>
      <c r="QD74" s="148"/>
      <c r="QE74" s="148"/>
      <c r="QF74" s="148"/>
      <c r="QG74" s="148"/>
      <c r="QH74" s="148"/>
      <c r="QI74" s="148"/>
      <c r="QJ74" s="148"/>
      <c r="QK74" s="148"/>
      <c r="QL74" s="148"/>
      <c r="QM74" s="148"/>
      <c r="QN74" s="148"/>
      <c r="QO74" s="148"/>
      <c r="QP74" s="148"/>
      <c r="QQ74" s="148"/>
      <c r="QR74" s="148"/>
      <c r="QS74" s="148"/>
      <c r="QT74" s="148"/>
      <c r="QU74" s="148"/>
      <c r="QV74" s="148"/>
      <c r="QW74" s="148"/>
      <c r="QX74" s="148"/>
      <c r="QY74" s="148"/>
      <c r="QZ74" s="148"/>
      <c r="RA74" s="148"/>
      <c r="RB74" s="148"/>
      <c r="RC74" s="148"/>
      <c r="RD74" s="148"/>
      <c r="RE74" s="148"/>
      <c r="RF74" s="148"/>
      <c r="RG74" s="148"/>
      <c r="RH74" s="148"/>
      <c r="RI74" s="148"/>
      <c r="RJ74" s="148"/>
      <c r="RK74" s="148"/>
      <c r="RL74" s="148"/>
      <c r="RM74" s="148"/>
      <c r="RN74" s="148"/>
      <c r="RO74" s="148"/>
      <c r="RP74" s="148"/>
      <c r="RQ74" s="148"/>
      <c r="RR74" s="148"/>
    </row>
    <row r="75" spans="1:486" s="15" customFormat="1" ht="22.5" x14ac:dyDescent="0.25">
      <c r="A75" s="148"/>
      <c r="B75" s="350">
        <v>60</v>
      </c>
      <c r="C75" s="650" t="s">
        <v>894</v>
      </c>
      <c r="D75" s="631">
        <v>40021626</v>
      </c>
      <c r="E75" s="344" t="s">
        <v>2836</v>
      </c>
      <c r="F75" s="344" t="s">
        <v>45</v>
      </c>
      <c r="G75" s="17" t="s">
        <v>2693</v>
      </c>
      <c r="H75" s="317" t="s">
        <v>1562</v>
      </c>
      <c r="I75" s="346" t="s">
        <v>43</v>
      </c>
      <c r="J75" s="341" t="s">
        <v>2837</v>
      </c>
      <c r="K75" s="633">
        <v>0</v>
      </c>
      <c r="L75" s="633">
        <v>0</v>
      </c>
      <c r="M75" s="633">
        <v>0</v>
      </c>
      <c r="N75" s="633">
        <v>0</v>
      </c>
      <c r="O75" s="633">
        <v>0</v>
      </c>
      <c r="P75" s="633">
        <v>0</v>
      </c>
      <c r="Q75" s="633">
        <v>0</v>
      </c>
      <c r="R75" s="633">
        <v>0</v>
      </c>
      <c r="S75" s="633"/>
      <c r="T75" s="633"/>
      <c r="U75" s="633"/>
      <c r="V75" s="633"/>
      <c r="W75" s="633"/>
      <c r="X75" s="633"/>
      <c r="Y75" s="633">
        <f t="shared" si="1"/>
        <v>0</v>
      </c>
      <c r="Z75" s="407">
        <v>201000</v>
      </c>
      <c r="AA75" s="635" t="s">
        <v>2769</v>
      </c>
      <c r="AB75" s="23">
        <v>44232</v>
      </c>
      <c r="AC75" s="23">
        <v>44250</v>
      </c>
      <c r="AD75" s="636"/>
      <c r="AE75" s="20"/>
      <c r="AF75" s="21"/>
      <c r="AG75" s="23"/>
      <c r="AH75" s="637"/>
      <c r="AI75" s="19"/>
      <c r="AJ75" s="21"/>
      <c r="AK75" s="25"/>
      <c r="AL75" s="309"/>
      <c r="AM75" s="19"/>
      <c r="AN75" s="21"/>
      <c r="AO75" s="25"/>
      <c r="AP75" s="309"/>
      <c r="AQ75" s="19"/>
      <c r="AR75" s="21"/>
      <c r="AS75" s="25"/>
      <c r="AT75" s="638">
        <f t="shared" si="2"/>
        <v>201000</v>
      </c>
      <c r="AU75" s="311">
        <f t="shared" si="0"/>
        <v>201000</v>
      </c>
      <c r="AV75" s="148"/>
      <c r="AW75" s="148"/>
      <c r="AX75" s="148"/>
      <c r="AY75" s="148"/>
      <c r="AZ75" s="148"/>
      <c r="BA75" s="148"/>
      <c r="BB75" s="148"/>
      <c r="BC75" s="148"/>
      <c r="BD75" s="148"/>
      <c r="BE75" s="148"/>
      <c r="BF75" s="148"/>
      <c r="BG75" s="148"/>
      <c r="BH75" s="148"/>
      <c r="BI75" s="148"/>
      <c r="BJ75" s="148"/>
      <c r="BK75" s="148"/>
      <c r="BL75" s="148"/>
      <c r="BM75" s="148"/>
      <c r="BN75" s="148"/>
      <c r="BO75" s="148"/>
      <c r="BP75" s="148"/>
      <c r="BQ75" s="148"/>
      <c r="BR75" s="148"/>
      <c r="BS75" s="148"/>
      <c r="BT75" s="148"/>
      <c r="BU75" s="148"/>
      <c r="BV75" s="148"/>
      <c r="BW75" s="148"/>
      <c r="BX75" s="148"/>
      <c r="BY75" s="148"/>
      <c r="BZ75" s="148"/>
      <c r="CA75" s="148"/>
      <c r="CB75" s="148"/>
      <c r="CC75" s="148"/>
      <c r="CD75" s="148"/>
      <c r="CE75" s="148"/>
      <c r="CF75" s="148"/>
      <c r="CG75" s="148"/>
      <c r="CH75" s="148"/>
      <c r="CI75" s="148"/>
      <c r="CJ75" s="148"/>
      <c r="CK75" s="148"/>
      <c r="CL75" s="148"/>
      <c r="CM75" s="148"/>
      <c r="CN75" s="148"/>
      <c r="CO75" s="148"/>
      <c r="CP75" s="148"/>
      <c r="CQ75" s="148"/>
      <c r="CR75" s="148"/>
      <c r="CS75" s="148"/>
      <c r="CT75" s="148"/>
      <c r="CU75" s="148"/>
      <c r="CV75" s="148"/>
      <c r="CW75" s="148"/>
      <c r="CX75" s="148"/>
      <c r="CY75" s="148"/>
      <c r="CZ75" s="148"/>
      <c r="DA75" s="148"/>
      <c r="DB75" s="148"/>
      <c r="DC75" s="148"/>
      <c r="DD75" s="148"/>
      <c r="DE75" s="148"/>
      <c r="DF75" s="148"/>
      <c r="DG75" s="148"/>
      <c r="DH75" s="148"/>
      <c r="DI75" s="148"/>
      <c r="DJ75" s="148"/>
      <c r="DK75" s="148"/>
      <c r="DL75" s="148"/>
      <c r="DM75" s="148"/>
      <c r="DN75" s="148"/>
      <c r="DO75" s="148"/>
      <c r="DP75" s="148"/>
      <c r="DQ75" s="148"/>
      <c r="DR75" s="148"/>
      <c r="DS75" s="148"/>
      <c r="DT75" s="148"/>
      <c r="DU75" s="148"/>
      <c r="DV75" s="148"/>
      <c r="DW75" s="148"/>
      <c r="DX75" s="148"/>
      <c r="DY75" s="148"/>
      <c r="DZ75" s="148"/>
      <c r="EA75" s="148"/>
      <c r="EB75" s="148"/>
      <c r="EC75" s="148"/>
      <c r="ED75" s="148"/>
      <c r="EE75" s="148"/>
      <c r="EF75" s="148"/>
      <c r="EG75" s="148"/>
      <c r="EH75" s="148"/>
      <c r="EI75" s="148"/>
      <c r="EJ75" s="148"/>
      <c r="EK75" s="148"/>
      <c r="EL75" s="148"/>
      <c r="EM75" s="148"/>
      <c r="EN75" s="148"/>
      <c r="EO75" s="148"/>
      <c r="EP75" s="148"/>
      <c r="EQ75" s="148"/>
      <c r="ER75" s="148"/>
      <c r="ES75" s="148"/>
      <c r="ET75" s="148"/>
      <c r="EU75" s="148"/>
      <c r="EV75" s="148"/>
      <c r="EW75" s="148"/>
      <c r="EX75" s="148"/>
      <c r="EY75" s="148"/>
      <c r="EZ75" s="148"/>
      <c r="FA75" s="148"/>
      <c r="FB75" s="148"/>
      <c r="FC75" s="148"/>
      <c r="FD75" s="148"/>
      <c r="FE75" s="148"/>
      <c r="FF75" s="148"/>
      <c r="FG75" s="148"/>
      <c r="FH75" s="148"/>
      <c r="FI75" s="148"/>
      <c r="FJ75" s="148"/>
      <c r="FK75" s="148"/>
      <c r="FL75" s="148"/>
      <c r="FM75" s="148"/>
      <c r="FN75" s="148"/>
      <c r="FO75" s="148"/>
      <c r="FP75" s="148"/>
      <c r="FQ75" s="148"/>
      <c r="FR75" s="148"/>
      <c r="FS75" s="148"/>
      <c r="FT75" s="148"/>
      <c r="FU75" s="148"/>
      <c r="FV75" s="148"/>
      <c r="FW75" s="148"/>
      <c r="FX75" s="148"/>
      <c r="FY75" s="148"/>
      <c r="FZ75" s="148"/>
      <c r="GA75" s="148"/>
      <c r="GB75" s="148"/>
      <c r="GC75" s="148"/>
      <c r="GD75" s="148"/>
      <c r="GE75" s="148"/>
      <c r="GF75" s="148"/>
      <c r="GG75" s="148"/>
      <c r="GH75" s="148"/>
      <c r="GI75" s="148"/>
      <c r="GJ75" s="148"/>
      <c r="GK75" s="148"/>
      <c r="GL75" s="148"/>
      <c r="GM75" s="148"/>
      <c r="GN75" s="148"/>
      <c r="GO75" s="148"/>
      <c r="GP75" s="148"/>
      <c r="GQ75" s="148"/>
      <c r="GR75" s="148"/>
      <c r="GS75" s="148"/>
      <c r="GT75" s="148"/>
      <c r="GU75" s="148"/>
      <c r="GV75" s="148"/>
      <c r="GW75" s="148"/>
      <c r="GX75" s="148"/>
      <c r="GY75" s="148"/>
      <c r="GZ75" s="148"/>
      <c r="HA75" s="148"/>
      <c r="HB75" s="148"/>
      <c r="HC75" s="148"/>
      <c r="HD75" s="148"/>
      <c r="HE75" s="148"/>
      <c r="HF75" s="148"/>
      <c r="HG75" s="148"/>
      <c r="HH75" s="148"/>
      <c r="HI75" s="148"/>
      <c r="HJ75" s="148"/>
      <c r="HK75" s="148"/>
      <c r="HL75" s="148"/>
      <c r="HM75" s="148"/>
      <c r="HN75" s="148"/>
      <c r="HO75" s="148"/>
      <c r="HP75" s="148"/>
      <c r="HQ75" s="148"/>
      <c r="HR75" s="148"/>
      <c r="HS75" s="148"/>
      <c r="HT75" s="148"/>
      <c r="HU75" s="148"/>
      <c r="HV75" s="148"/>
      <c r="HW75" s="148"/>
      <c r="HX75" s="148"/>
      <c r="HY75" s="148"/>
      <c r="HZ75" s="148"/>
      <c r="IA75" s="148"/>
      <c r="IB75" s="148"/>
      <c r="IC75" s="148"/>
      <c r="ID75" s="148"/>
      <c r="IE75" s="148"/>
      <c r="IF75" s="148"/>
      <c r="IG75" s="148"/>
      <c r="IH75" s="148"/>
      <c r="II75" s="148"/>
      <c r="IJ75" s="148"/>
      <c r="IK75" s="148"/>
      <c r="IL75" s="148"/>
      <c r="IM75" s="148"/>
      <c r="IN75" s="148"/>
      <c r="IO75" s="148"/>
      <c r="IP75" s="148"/>
      <c r="IQ75" s="148"/>
      <c r="IR75" s="148"/>
      <c r="IS75" s="148"/>
      <c r="IT75" s="148"/>
      <c r="IU75" s="148"/>
      <c r="IV75" s="148"/>
      <c r="IW75" s="148"/>
      <c r="IX75" s="148"/>
      <c r="IY75" s="148"/>
      <c r="IZ75" s="148"/>
      <c r="JA75" s="148"/>
      <c r="JB75" s="148"/>
      <c r="JC75" s="148"/>
      <c r="JD75" s="148"/>
      <c r="JE75" s="148"/>
      <c r="JF75" s="148"/>
      <c r="JG75" s="148"/>
      <c r="JH75" s="148"/>
      <c r="JI75" s="148"/>
      <c r="JJ75" s="148"/>
      <c r="JK75" s="148"/>
      <c r="JL75" s="148"/>
      <c r="JM75" s="148"/>
      <c r="JN75" s="148"/>
      <c r="JO75" s="148"/>
      <c r="JP75" s="148"/>
      <c r="JQ75" s="148"/>
      <c r="JR75" s="148"/>
      <c r="JS75" s="148"/>
      <c r="JT75" s="148"/>
      <c r="JU75" s="148"/>
      <c r="JV75" s="148"/>
      <c r="JW75" s="148"/>
      <c r="JX75" s="148"/>
      <c r="JY75" s="148"/>
      <c r="JZ75" s="148"/>
      <c r="KA75" s="148"/>
      <c r="KB75" s="148"/>
      <c r="KC75" s="148"/>
      <c r="KD75" s="148"/>
      <c r="KE75" s="148"/>
      <c r="KF75" s="148"/>
      <c r="KG75" s="148"/>
      <c r="KH75" s="148"/>
      <c r="KI75" s="148"/>
      <c r="KJ75" s="148"/>
      <c r="KK75" s="148"/>
      <c r="KL75" s="148"/>
      <c r="KM75" s="148"/>
      <c r="KN75" s="148"/>
      <c r="KO75" s="148"/>
      <c r="KP75" s="148"/>
      <c r="KQ75" s="148"/>
      <c r="KR75" s="148"/>
      <c r="KS75" s="148"/>
      <c r="KT75" s="148"/>
      <c r="KU75" s="148"/>
      <c r="KV75" s="148"/>
      <c r="KW75" s="148"/>
      <c r="KX75" s="148"/>
      <c r="KY75" s="148"/>
      <c r="KZ75" s="148"/>
      <c r="LA75" s="148"/>
      <c r="LB75" s="148"/>
      <c r="LC75" s="148"/>
      <c r="LD75" s="148"/>
      <c r="LE75" s="148"/>
      <c r="LF75" s="148"/>
      <c r="LG75" s="148"/>
      <c r="LH75" s="148"/>
      <c r="LI75" s="148"/>
      <c r="LJ75" s="148"/>
      <c r="LK75" s="148"/>
      <c r="LL75" s="148"/>
      <c r="LM75" s="148"/>
      <c r="LN75" s="148"/>
      <c r="LO75" s="148"/>
      <c r="LP75" s="148"/>
      <c r="LQ75" s="148"/>
      <c r="LR75" s="148"/>
      <c r="LS75" s="148"/>
      <c r="LT75" s="148"/>
      <c r="LU75" s="148"/>
      <c r="LV75" s="148"/>
      <c r="LW75" s="148"/>
      <c r="LX75" s="148"/>
      <c r="LY75" s="148"/>
      <c r="LZ75" s="148"/>
      <c r="MA75" s="148"/>
      <c r="MB75" s="148"/>
      <c r="MC75" s="148"/>
      <c r="MD75" s="148"/>
      <c r="ME75" s="148"/>
      <c r="MF75" s="148"/>
      <c r="MG75" s="148"/>
      <c r="MH75" s="148"/>
      <c r="MI75" s="148"/>
      <c r="MJ75" s="148"/>
      <c r="MK75" s="148"/>
      <c r="ML75" s="148"/>
      <c r="MM75" s="148"/>
      <c r="MN75" s="148"/>
      <c r="MO75" s="148"/>
      <c r="MP75" s="148"/>
      <c r="MQ75" s="148"/>
      <c r="MR75" s="148"/>
      <c r="MS75" s="148"/>
      <c r="MT75" s="148"/>
      <c r="MU75" s="148"/>
      <c r="MV75" s="148"/>
      <c r="MW75" s="148"/>
      <c r="MX75" s="148"/>
      <c r="MY75" s="148"/>
      <c r="MZ75" s="148"/>
      <c r="NA75" s="148"/>
      <c r="NB75" s="148"/>
      <c r="NC75" s="148"/>
      <c r="ND75" s="148"/>
      <c r="NE75" s="148"/>
      <c r="NF75" s="148"/>
      <c r="NG75" s="148"/>
      <c r="NH75" s="148"/>
      <c r="NI75" s="148"/>
      <c r="NJ75" s="148"/>
      <c r="NK75" s="148"/>
      <c r="NL75" s="148"/>
      <c r="NM75" s="148"/>
      <c r="NN75" s="148"/>
      <c r="NO75" s="148"/>
      <c r="NP75" s="148"/>
      <c r="NQ75" s="148"/>
      <c r="NR75" s="148"/>
      <c r="NS75" s="148"/>
      <c r="NT75" s="148"/>
      <c r="NU75" s="148"/>
      <c r="NV75" s="148"/>
      <c r="NW75" s="148"/>
      <c r="NX75" s="148"/>
      <c r="NY75" s="148"/>
      <c r="NZ75" s="148"/>
      <c r="OA75" s="148"/>
      <c r="OB75" s="148"/>
      <c r="OC75" s="148"/>
      <c r="OD75" s="148"/>
      <c r="OE75" s="148"/>
      <c r="OF75" s="148"/>
      <c r="OG75" s="148"/>
      <c r="OH75" s="148"/>
      <c r="OI75" s="148"/>
      <c r="OJ75" s="148"/>
      <c r="OK75" s="148"/>
      <c r="OL75" s="148"/>
      <c r="OM75" s="148"/>
      <c r="ON75" s="148"/>
      <c r="OO75" s="148"/>
      <c r="OP75" s="148"/>
      <c r="OQ75" s="148"/>
      <c r="OR75" s="148"/>
      <c r="OS75" s="148"/>
      <c r="OT75" s="148"/>
      <c r="OU75" s="148"/>
      <c r="OV75" s="148"/>
      <c r="OW75" s="148"/>
      <c r="OX75" s="148"/>
      <c r="OY75" s="148"/>
      <c r="OZ75" s="148"/>
      <c r="PA75" s="148"/>
      <c r="PB75" s="148"/>
      <c r="PC75" s="148"/>
      <c r="PD75" s="148"/>
      <c r="PE75" s="148"/>
      <c r="PF75" s="148"/>
      <c r="PG75" s="148"/>
      <c r="PH75" s="148"/>
      <c r="PI75" s="148"/>
      <c r="PJ75" s="148"/>
      <c r="PK75" s="148"/>
      <c r="PL75" s="148"/>
      <c r="PM75" s="148"/>
      <c r="PN75" s="148"/>
      <c r="PO75" s="148"/>
      <c r="PP75" s="148"/>
      <c r="PQ75" s="148"/>
      <c r="PR75" s="148"/>
      <c r="PS75" s="148"/>
      <c r="PT75" s="148"/>
      <c r="PU75" s="148"/>
      <c r="PV75" s="148"/>
      <c r="PW75" s="148"/>
      <c r="PX75" s="148"/>
      <c r="PY75" s="148"/>
      <c r="PZ75" s="148"/>
      <c r="QA75" s="148"/>
      <c r="QB75" s="148"/>
      <c r="QC75" s="148"/>
      <c r="QD75" s="148"/>
      <c r="QE75" s="148"/>
      <c r="QF75" s="148"/>
      <c r="QG75" s="148"/>
      <c r="QH75" s="148"/>
      <c r="QI75" s="148"/>
      <c r="QJ75" s="148"/>
      <c r="QK75" s="148"/>
      <c r="QL75" s="148"/>
      <c r="QM75" s="148"/>
      <c r="QN75" s="148"/>
      <c r="QO75" s="148"/>
      <c r="QP75" s="148"/>
      <c r="QQ75" s="148"/>
      <c r="QR75" s="148"/>
      <c r="QS75" s="148"/>
      <c r="QT75" s="148"/>
      <c r="QU75" s="148"/>
      <c r="QV75" s="148"/>
      <c r="QW75" s="148"/>
      <c r="QX75" s="148"/>
      <c r="QY75" s="148"/>
      <c r="QZ75" s="148"/>
      <c r="RA75" s="148"/>
      <c r="RB75" s="148"/>
      <c r="RC75" s="148"/>
      <c r="RD75" s="148"/>
      <c r="RE75" s="148"/>
      <c r="RF75" s="148"/>
      <c r="RG75" s="148"/>
      <c r="RH75" s="148"/>
      <c r="RI75" s="148"/>
      <c r="RJ75" s="148"/>
      <c r="RK75" s="148"/>
      <c r="RL75" s="148"/>
      <c r="RM75" s="148"/>
      <c r="RN75" s="148"/>
      <c r="RO75" s="148"/>
      <c r="RP75" s="148"/>
      <c r="RQ75" s="148"/>
      <c r="RR75" s="148"/>
    </row>
    <row r="76" spans="1:486" s="15" customFormat="1" x14ac:dyDescent="0.25">
      <c r="A76" s="148"/>
      <c r="B76" s="350">
        <v>61</v>
      </c>
      <c r="C76" s="650" t="s">
        <v>894</v>
      </c>
      <c r="D76" s="631" t="s">
        <v>2838</v>
      </c>
      <c r="E76" s="344" t="s">
        <v>2839</v>
      </c>
      <c r="F76" s="344" t="s">
        <v>46</v>
      </c>
      <c r="G76" s="17" t="s">
        <v>2693</v>
      </c>
      <c r="H76" s="317" t="s">
        <v>2703</v>
      </c>
      <c r="I76" s="346" t="s">
        <v>43</v>
      </c>
      <c r="J76" s="341" t="s">
        <v>2840</v>
      </c>
      <c r="K76" s="633">
        <v>0</v>
      </c>
      <c r="L76" s="633">
        <v>131765</v>
      </c>
      <c r="M76" s="633">
        <v>0</v>
      </c>
      <c r="N76" s="633">
        <v>0</v>
      </c>
      <c r="O76" s="633">
        <v>0</v>
      </c>
      <c r="P76" s="633">
        <v>0</v>
      </c>
      <c r="Q76" s="633">
        <v>0</v>
      </c>
      <c r="R76" s="633">
        <v>0</v>
      </c>
      <c r="S76" s="633"/>
      <c r="T76" s="633"/>
      <c r="U76" s="633"/>
      <c r="V76" s="633"/>
      <c r="W76" s="633"/>
      <c r="X76" s="633"/>
      <c r="Y76" s="633">
        <f t="shared" si="1"/>
        <v>0</v>
      </c>
      <c r="Z76" s="407">
        <v>50001</v>
      </c>
      <c r="AA76" s="635" t="s">
        <v>2769</v>
      </c>
      <c r="AB76" s="23">
        <v>44232</v>
      </c>
      <c r="AC76" s="23">
        <v>44250</v>
      </c>
      <c r="AD76" s="636"/>
      <c r="AE76" s="20"/>
      <c r="AF76" s="21"/>
      <c r="AG76" s="23"/>
      <c r="AH76" s="637"/>
      <c r="AI76" s="19"/>
      <c r="AJ76" s="21"/>
      <c r="AK76" s="25"/>
      <c r="AL76" s="309"/>
      <c r="AM76" s="19"/>
      <c r="AN76" s="21"/>
      <c r="AO76" s="25"/>
      <c r="AP76" s="309"/>
      <c r="AQ76" s="19"/>
      <c r="AR76" s="21"/>
      <c r="AS76" s="25"/>
      <c r="AT76" s="638">
        <f t="shared" si="2"/>
        <v>50001</v>
      </c>
      <c r="AU76" s="311">
        <f t="shared" si="0"/>
        <v>50001</v>
      </c>
      <c r="AV76" s="148"/>
      <c r="AW76" s="148"/>
      <c r="AX76" s="148"/>
      <c r="AY76" s="148"/>
      <c r="AZ76" s="148"/>
      <c r="BA76" s="148"/>
      <c r="BB76" s="148"/>
      <c r="BC76" s="148"/>
      <c r="BD76" s="148"/>
      <c r="BE76" s="148"/>
      <c r="BF76" s="148"/>
      <c r="BG76" s="148"/>
      <c r="BH76" s="148"/>
      <c r="BI76" s="148"/>
      <c r="BJ76" s="148"/>
      <c r="BK76" s="148"/>
      <c r="BL76" s="148"/>
      <c r="BM76" s="148"/>
      <c r="BN76" s="148"/>
      <c r="BO76" s="148"/>
      <c r="BP76" s="148"/>
      <c r="BQ76" s="148"/>
      <c r="BR76" s="148"/>
      <c r="BS76" s="148"/>
      <c r="BT76" s="148"/>
      <c r="BU76" s="148"/>
      <c r="BV76" s="148"/>
      <c r="BW76" s="148"/>
      <c r="BX76" s="148"/>
      <c r="BY76" s="148"/>
      <c r="BZ76" s="148"/>
      <c r="CA76" s="148"/>
      <c r="CB76" s="148"/>
      <c r="CC76" s="148"/>
      <c r="CD76" s="148"/>
      <c r="CE76" s="148"/>
      <c r="CF76" s="148"/>
      <c r="CG76" s="148"/>
      <c r="CH76" s="148"/>
      <c r="CI76" s="148"/>
      <c r="CJ76" s="148"/>
      <c r="CK76" s="148"/>
      <c r="CL76" s="148"/>
      <c r="CM76" s="148"/>
      <c r="CN76" s="148"/>
      <c r="CO76" s="148"/>
      <c r="CP76" s="148"/>
      <c r="CQ76" s="148"/>
      <c r="CR76" s="148"/>
      <c r="CS76" s="148"/>
      <c r="CT76" s="148"/>
      <c r="CU76" s="148"/>
      <c r="CV76" s="148"/>
      <c r="CW76" s="148"/>
      <c r="CX76" s="148"/>
      <c r="CY76" s="148"/>
      <c r="CZ76" s="148"/>
      <c r="DA76" s="148"/>
      <c r="DB76" s="148"/>
      <c r="DC76" s="148"/>
      <c r="DD76" s="148"/>
      <c r="DE76" s="148"/>
      <c r="DF76" s="148"/>
      <c r="DG76" s="148"/>
      <c r="DH76" s="148"/>
      <c r="DI76" s="148"/>
      <c r="DJ76" s="148"/>
      <c r="DK76" s="148"/>
      <c r="DL76" s="148"/>
      <c r="DM76" s="148"/>
      <c r="DN76" s="148"/>
      <c r="DO76" s="148"/>
      <c r="DP76" s="148"/>
      <c r="DQ76" s="148"/>
      <c r="DR76" s="148"/>
      <c r="DS76" s="148"/>
      <c r="DT76" s="148"/>
      <c r="DU76" s="148"/>
      <c r="DV76" s="148"/>
      <c r="DW76" s="148"/>
      <c r="DX76" s="148"/>
      <c r="DY76" s="148"/>
      <c r="DZ76" s="148"/>
      <c r="EA76" s="148"/>
      <c r="EB76" s="148"/>
      <c r="EC76" s="148"/>
      <c r="ED76" s="148"/>
      <c r="EE76" s="148"/>
      <c r="EF76" s="148"/>
      <c r="EG76" s="148"/>
      <c r="EH76" s="148"/>
      <c r="EI76" s="148"/>
      <c r="EJ76" s="148"/>
      <c r="EK76" s="148"/>
      <c r="EL76" s="148"/>
      <c r="EM76" s="148"/>
      <c r="EN76" s="148"/>
      <c r="EO76" s="148"/>
      <c r="EP76" s="148"/>
      <c r="EQ76" s="148"/>
      <c r="ER76" s="148"/>
      <c r="ES76" s="148"/>
      <c r="ET76" s="148"/>
      <c r="EU76" s="148"/>
      <c r="EV76" s="148"/>
      <c r="EW76" s="148"/>
      <c r="EX76" s="148"/>
      <c r="EY76" s="148"/>
      <c r="EZ76" s="148"/>
      <c r="FA76" s="148"/>
      <c r="FB76" s="148"/>
      <c r="FC76" s="148"/>
      <c r="FD76" s="148"/>
      <c r="FE76" s="148"/>
      <c r="FF76" s="148"/>
      <c r="FG76" s="148"/>
      <c r="FH76" s="148"/>
      <c r="FI76" s="148"/>
      <c r="FJ76" s="148"/>
      <c r="FK76" s="148"/>
      <c r="FL76" s="148"/>
      <c r="FM76" s="148"/>
      <c r="FN76" s="148"/>
      <c r="FO76" s="148"/>
      <c r="FP76" s="148"/>
      <c r="FQ76" s="148"/>
      <c r="FR76" s="148"/>
      <c r="FS76" s="148"/>
      <c r="FT76" s="148"/>
      <c r="FU76" s="148"/>
      <c r="FV76" s="148"/>
      <c r="FW76" s="148"/>
      <c r="FX76" s="148"/>
      <c r="FY76" s="148"/>
      <c r="FZ76" s="148"/>
      <c r="GA76" s="148"/>
      <c r="GB76" s="148"/>
      <c r="GC76" s="148"/>
      <c r="GD76" s="148"/>
      <c r="GE76" s="148"/>
      <c r="GF76" s="148"/>
      <c r="GG76" s="148"/>
      <c r="GH76" s="148"/>
      <c r="GI76" s="148"/>
      <c r="GJ76" s="148"/>
      <c r="GK76" s="148"/>
      <c r="GL76" s="148"/>
      <c r="GM76" s="148"/>
      <c r="GN76" s="148"/>
      <c r="GO76" s="148"/>
      <c r="GP76" s="148"/>
      <c r="GQ76" s="148"/>
      <c r="GR76" s="148"/>
      <c r="GS76" s="148"/>
      <c r="GT76" s="148"/>
      <c r="GU76" s="148"/>
      <c r="GV76" s="148"/>
      <c r="GW76" s="148"/>
      <c r="GX76" s="148"/>
      <c r="GY76" s="148"/>
      <c r="GZ76" s="148"/>
      <c r="HA76" s="148"/>
      <c r="HB76" s="148"/>
      <c r="HC76" s="148"/>
      <c r="HD76" s="148"/>
      <c r="HE76" s="148"/>
      <c r="HF76" s="148"/>
      <c r="HG76" s="148"/>
      <c r="HH76" s="148"/>
      <c r="HI76" s="148"/>
      <c r="HJ76" s="148"/>
      <c r="HK76" s="148"/>
      <c r="HL76" s="148"/>
      <c r="HM76" s="148"/>
      <c r="HN76" s="148"/>
      <c r="HO76" s="148"/>
      <c r="HP76" s="148"/>
      <c r="HQ76" s="148"/>
      <c r="HR76" s="148"/>
      <c r="HS76" s="148"/>
      <c r="HT76" s="148"/>
      <c r="HU76" s="148"/>
      <c r="HV76" s="148"/>
      <c r="HW76" s="148"/>
      <c r="HX76" s="148"/>
      <c r="HY76" s="148"/>
      <c r="HZ76" s="148"/>
      <c r="IA76" s="148"/>
      <c r="IB76" s="148"/>
      <c r="IC76" s="148"/>
      <c r="ID76" s="148"/>
      <c r="IE76" s="148"/>
      <c r="IF76" s="148"/>
      <c r="IG76" s="148"/>
      <c r="IH76" s="148"/>
      <c r="II76" s="148"/>
      <c r="IJ76" s="148"/>
      <c r="IK76" s="148"/>
      <c r="IL76" s="148"/>
      <c r="IM76" s="148"/>
      <c r="IN76" s="148"/>
      <c r="IO76" s="148"/>
      <c r="IP76" s="148"/>
      <c r="IQ76" s="148"/>
      <c r="IR76" s="148"/>
      <c r="IS76" s="148"/>
      <c r="IT76" s="148"/>
      <c r="IU76" s="148"/>
      <c r="IV76" s="148"/>
      <c r="IW76" s="148"/>
      <c r="IX76" s="148"/>
      <c r="IY76" s="148"/>
      <c r="IZ76" s="148"/>
      <c r="JA76" s="148"/>
      <c r="JB76" s="148"/>
      <c r="JC76" s="148"/>
      <c r="JD76" s="148"/>
      <c r="JE76" s="148"/>
      <c r="JF76" s="148"/>
      <c r="JG76" s="148"/>
      <c r="JH76" s="148"/>
      <c r="JI76" s="148"/>
      <c r="JJ76" s="148"/>
      <c r="JK76" s="148"/>
      <c r="JL76" s="148"/>
      <c r="JM76" s="148"/>
      <c r="JN76" s="148"/>
      <c r="JO76" s="148"/>
      <c r="JP76" s="148"/>
      <c r="JQ76" s="148"/>
      <c r="JR76" s="148"/>
      <c r="JS76" s="148"/>
      <c r="JT76" s="148"/>
      <c r="JU76" s="148"/>
      <c r="JV76" s="148"/>
      <c r="JW76" s="148"/>
      <c r="JX76" s="148"/>
      <c r="JY76" s="148"/>
      <c r="JZ76" s="148"/>
      <c r="KA76" s="148"/>
      <c r="KB76" s="148"/>
      <c r="KC76" s="148"/>
      <c r="KD76" s="148"/>
      <c r="KE76" s="148"/>
      <c r="KF76" s="148"/>
      <c r="KG76" s="148"/>
      <c r="KH76" s="148"/>
      <c r="KI76" s="148"/>
      <c r="KJ76" s="148"/>
      <c r="KK76" s="148"/>
      <c r="KL76" s="148"/>
      <c r="KM76" s="148"/>
      <c r="KN76" s="148"/>
      <c r="KO76" s="148"/>
      <c r="KP76" s="148"/>
      <c r="KQ76" s="148"/>
      <c r="KR76" s="148"/>
      <c r="KS76" s="148"/>
      <c r="KT76" s="148"/>
      <c r="KU76" s="148"/>
      <c r="KV76" s="148"/>
      <c r="KW76" s="148"/>
      <c r="KX76" s="148"/>
      <c r="KY76" s="148"/>
      <c r="KZ76" s="148"/>
      <c r="LA76" s="148"/>
      <c r="LB76" s="148"/>
      <c r="LC76" s="148"/>
      <c r="LD76" s="148"/>
      <c r="LE76" s="148"/>
      <c r="LF76" s="148"/>
      <c r="LG76" s="148"/>
      <c r="LH76" s="148"/>
      <c r="LI76" s="148"/>
      <c r="LJ76" s="148"/>
      <c r="LK76" s="148"/>
      <c r="LL76" s="148"/>
      <c r="LM76" s="148"/>
      <c r="LN76" s="148"/>
      <c r="LO76" s="148"/>
      <c r="LP76" s="148"/>
      <c r="LQ76" s="148"/>
      <c r="LR76" s="148"/>
      <c r="LS76" s="148"/>
      <c r="LT76" s="148"/>
      <c r="LU76" s="148"/>
      <c r="LV76" s="148"/>
      <c r="LW76" s="148"/>
      <c r="LX76" s="148"/>
      <c r="LY76" s="148"/>
      <c r="LZ76" s="148"/>
      <c r="MA76" s="148"/>
      <c r="MB76" s="148"/>
      <c r="MC76" s="148"/>
      <c r="MD76" s="148"/>
      <c r="ME76" s="148"/>
      <c r="MF76" s="148"/>
      <c r="MG76" s="148"/>
      <c r="MH76" s="148"/>
      <c r="MI76" s="148"/>
      <c r="MJ76" s="148"/>
      <c r="MK76" s="148"/>
      <c r="ML76" s="148"/>
      <c r="MM76" s="148"/>
      <c r="MN76" s="148"/>
      <c r="MO76" s="148"/>
      <c r="MP76" s="148"/>
      <c r="MQ76" s="148"/>
      <c r="MR76" s="148"/>
      <c r="MS76" s="148"/>
      <c r="MT76" s="148"/>
      <c r="MU76" s="148"/>
      <c r="MV76" s="148"/>
      <c r="MW76" s="148"/>
      <c r="MX76" s="148"/>
      <c r="MY76" s="148"/>
      <c r="MZ76" s="148"/>
      <c r="NA76" s="148"/>
      <c r="NB76" s="148"/>
      <c r="NC76" s="148"/>
      <c r="ND76" s="148"/>
      <c r="NE76" s="148"/>
      <c r="NF76" s="148"/>
      <c r="NG76" s="148"/>
      <c r="NH76" s="148"/>
      <c r="NI76" s="148"/>
      <c r="NJ76" s="148"/>
      <c r="NK76" s="148"/>
      <c r="NL76" s="148"/>
      <c r="NM76" s="148"/>
      <c r="NN76" s="148"/>
      <c r="NO76" s="148"/>
      <c r="NP76" s="148"/>
      <c r="NQ76" s="148"/>
      <c r="NR76" s="148"/>
      <c r="NS76" s="148"/>
      <c r="NT76" s="148"/>
      <c r="NU76" s="148"/>
      <c r="NV76" s="148"/>
      <c r="NW76" s="148"/>
      <c r="NX76" s="148"/>
      <c r="NY76" s="148"/>
      <c r="NZ76" s="148"/>
      <c r="OA76" s="148"/>
      <c r="OB76" s="148"/>
      <c r="OC76" s="148"/>
      <c r="OD76" s="148"/>
      <c r="OE76" s="148"/>
      <c r="OF76" s="148"/>
      <c r="OG76" s="148"/>
      <c r="OH76" s="148"/>
      <c r="OI76" s="148"/>
      <c r="OJ76" s="148"/>
      <c r="OK76" s="148"/>
      <c r="OL76" s="148"/>
      <c r="OM76" s="148"/>
      <c r="ON76" s="148"/>
      <c r="OO76" s="148"/>
      <c r="OP76" s="148"/>
      <c r="OQ76" s="148"/>
      <c r="OR76" s="148"/>
      <c r="OS76" s="148"/>
      <c r="OT76" s="148"/>
      <c r="OU76" s="148"/>
      <c r="OV76" s="148"/>
      <c r="OW76" s="148"/>
      <c r="OX76" s="148"/>
      <c r="OY76" s="148"/>
      <c r="OZ76" s="148"/>
      <c r="PA76" s="148"/>
      <c r="PB76" s="148"/>
      <c r="PC76" s="148"/>
      <c r="PD76" s="148"/>
      <c r="PE76" s="148"/>
      <c r="PF76" s="148"/>
      <c r="PG76" s="148"/>
      <c r="PH76" s="148"/>
      <c r="PI76" s="148"/>
      <c r="PJ76" s="148"/>
      <c r="PK76" s="148"/>
      <c r="PL76" s="148"/>
      <c r="PM76" s="148"/>
      <c r="PN76" s="148"/>
      <c r="PO76" s="148"/>
      <c r="PP76" s="148"/>
      <c r="PQ76" s="148"/>
      <c r="PR76" s="148"/>
      <c r="PS76" s="148"/>
      <c r="PT76" s="148"/>
      <c r="PU76" s="148"/>
      <c r="PV76" s="148"/>
      <c r="PW76" s="148"/>
      <c r="PX76" s="148"/>
      <c r="PY76" s="148"/>
      <c r="PZ76" s="148"/>
      <c r="QA76" s="148"/>
      <c r="QB76" s="148"/>
      <c r="QC76" s="148"/>
      <c r="QD76" s="148"/>
      <c r="QE76" s="148"/>
      <c r="QF76" s="148"/>
      <c r="QG76" s="148"/>
      <c r="QH76" s="148"/>
      <c r="QI76" s="148"/>
      <c r="QJ76" s="148"/>
      <c r="QK76" s="148"/>
      <c r="QL76" s="148"/>
      <c r="QM76" s="148"/>
      <c r="QN76" s="148"/>
      <c r="QO76" s="148"/>
      <c r="QP76" s="148"/>
      <c r="QQ76" s="148"/>
      <c r="QR76" s="148"/>
      <c r="QS76" s="148"/>
      <c r="QT76" s="148"/>
      <c r="QU76" s="148"/>
      <c r="QV76" s="148"/>
      <c r="QW76" s="148"/>
      <c r="QX76" s="148"/>
      <c r="QY76" s="148"/>
      <c r="QZ76" s="148"/>
      <c r="RA76" s="148"/>
      <c r="RB76" s="148"/>
      <c r="RC76" s="148"/>
      <c r="RD76" s="148"/>
      <c r="RE76" s="148"/>
      <c r="RF76" s="148"/>
      <c r="RG76" s="148"/>
      <c r="RH76" s="148"/>
      <c r="RI76" s="148"/>
      <c r="RJ76" s="148"/>
      <c r="RK76" s="148"/>
      <c r="RL76" s="148"/>
      <c r="RM76" s="148"/>
      <c r="RN76" s="148"/>
      <c r="RO76" s="148"/>
      <c r="RP76" s="148"/>
      <c r="RQ76" s="148"/>
      <c r="RR76" s="148"/>
    </row>
    <row r="77" spans="1:486" s="15" customFormat="1" ht="22.5" x14ac:dyDescent="0.25">
      <c r="A77" s="148"/>
      <c r="B77" s="350">
        <v>62</v>
      </c>
      <c r="C77" s="643" t="s">
        <v>894</v>
      </c>
      <c r="D77" s="631" t="s">
        <v>2841</v>
      </c>
      <c r="E77" s="344" t="s">
        <v>2842</v>
      </c>
      <c r="F77" s="344" t="s">
        <v>46</v>
      </c>
      <c r="G77" s="17" t="s">
        <v>2693</v>
      </c>
      <c r="H77" s="317" t="s">
        <v>2715</v>
      </c>
      <c r="I77" s="346" t="s">
        <v>43</v>
      </c>
      <c r="J77" s="341">
        <v>395150</v>
      </c>
      <c r="K77" s="633">
        <v>0</v>
      </c>
      <c r="L77" s="633">
        <v>393048</v>
      </c>
      <c r="M77" s="633">
        <v>0</v>
      </c>
      <c r="N77" s="633">
        <v>0</v>
      </c>
      <c r="O77" s="633">
        <v>0</v>
      </c>
      <c r="P77" s="633">
        <v>0</v>
      </c>
      <c r="Q77" s="633">
        <v>0</v>
      </c>
      <c r="R77" s="633">
        <v>102</v>
      </c>
      <c r="S77" s="633"/>
      <c r="T77" s="633"/>
      <c r="U77" s="633"/>
      <c r="V77" s="633"/>
      <c r="W77" s="633"/>
      <c r="X77" s="633"/>
      <c r="Y77" s="633">
        <f t="shared" si="1"/>
        <v>102</v>
      </c>
      <c r="Z77" s="637">
        <v>2102</v>
      </c>
      <c r="AA77" s="19">
        <v>9</v>
      </c>
      <c r="AB77" s="23">
        <v>44271</v>
      </c>
      <c r="AC77" s="23">
        <v>44284</v>
      </c>
      <c r="AD77" s="652"/>
      <c r="AE77" s="20"/>
      <c r="AF77" s="21"/>
      <c r="AG77" s="23"/>
      <c r="AH77" s="637"/>
      <c r="AI77" s="19"/>
      <c r="AJ77" s="21"/>
      <c r="AK77" s="25"/>
      <c r="AL77" s="309"/>
      <c r="AM77" s="19"/>
      <c r="AN77" s="21"/>
      <c r="AO77" s="25"/>
      <c r="AP77" s="309"/>
      <c r="AQ77" s="19"/>
      <c r="AR77" s="21"/>
      <c r="AS77" s="25"/>
      <c r="AT77" s="638">
        <f t="shared" si="2"/>
        <v>2102</v>
      </c>
      <c r="AU77" s="311">
        <f t="shared" si="0"/>
        <v>2000</v>
      </c>
      <c r="AV77" s="148"/>
      <c r="AW77" s="148"/>
      <c r="AX77" s="148"/>
      <c r="AY77" s="148"/>
      <c r="AZ77" s="148"/>
      <c r="BA77" s="148"/>
      <c r="BB77" s="148"/>
      <c r="BC77" s="148"/>
      <c r="BD77" s="148"/>
      <c r="BE77" s="148"/>
      <c r="BF77" s="148"/>
      <c r="BG77" s="148"/>
      <c r="BH77" s="148"/>
      <c r="BI77" s="148"/>
      <c r="BJ77" s="148"/>
      <c r="BK77" s="148"/>
      <c r="BL77" s="148"/>
      <c r="BM77" s="148"/>
      <c r="BN77" s="148"/>
      <c r="BO77" s="148"/>
      <c r="BP77" s="148"/>
      <c r="BQ77" s="148"/>
      <c r="BR77" s="148"/>
      <c r="BS77" s="148"/>
      <c r="BT77" s="148"/>
      <c r="BU77" s="148"/>
      <c r="BV77" s="148"/>
      <c r="BW77" s="148"/>
      <c r="BX77" s="148"/>
      <c r="BY77" s="148"/>
      <c r="BZ77" s="148"/>
      <c r="CA77" s="148"/>
      <c r="CB77" s="148"/>
      <c r="CC77" s="148"/>
      <c r="CD77" s="148"/>
      <c r="CE77" s="148"/>
      <c r="CF77" s="148"/>
      <c r="CG77" s="148"/>
      <c r="CH77" s="148"/>
      <c r="CI77" s="148"/>
      <c r="CJ77" s="148"/>
      <c r="CK77" s="148"/>
      <c r="CL77" s="148"/>
      <c r="CM77" s="148"/>
      <c r="CN77" s="148"/>
      <c r="CO77" s="148"/>
      <c r="CP77" s="148"/>
      <c r="CQ77" s="148"/>
      <c r="CR77" s="148"/>
      <c r="CS77" s="148"/>
      <c r="CT77" s="148"/>
      <c r="CU77" s="148"/>
      <c r="CV77" s="148"/>
      <c r="CW77" s="148"/>
      <c r="CX77" s="148"/>
      <c r="CY77" s="148"/>
      <c r="CZ77" s="148"/>
      <c r="DA77" s="148"/>
      <c r="DB77" s="148"/>
      <c r="DC77" s="148"/>
      <c r="DD77" s="148"/>
      <c r="DE77" s="148"/>
      <c r="DF77" s="148"/>
      <c r="DG77" s="148"/>
      <c r="DH77" s="148"/>
      <c r="DI77" s="148"/>
      <c r="DJ77" s="148"/>
      <c r="DK77" s="148"/>
      <c r="DL77" s="148"/>
      <c r="DM77" s="148"/>
      <c r="DN77" s="148"/>
      <c r="DO77" s="148"/>
      <c r="DP77" s="148"/>
      <c r="DQ77" s="148"/>
      <c r="DR77" s="148"/>
      <c r="DS77" s="148"/>
      <c r="DT77" s="148"/>
      <c r="DU77" s="148"/>
      <c r="DV77" s="148"/>
      <c r="DW77" s="148"/>
      <c r="DX77" s="148"/>
      <c r="DY77" s="148"/>
      <c r="DZ77" s="148"/>
      <c r="EA77" s="148"/>
      <c r="EB77" s="148"/>
      <c r="EC77" s="148"/>
      <c r="ED77" s="148"/>
      <c r="EE77" s="148"/>
      <c r="EF77" s="148"/>
      <c r="EG77" s="148"/>
      <c r="EH77" s="148"/>
      <c r="EI77" s="148"/>
      <c r="EJ77" s="148"/>
      <c r="EK77" s="148"/>
      <c r="EL77" s="148"/>
      <c r="EM77" s="148"/>
      <c r="EN77" s="148"/>
      <c r="EO77" s="148"/>
      <c r="EP77" s="148"/>
      <c r="EQ77" s="148"/>
      <c r="ER77" s="148"/>
      <c r="ES77" s="148"/>
      <c r="ET77" s="148"/>
      <c r="EU77" s="148"/>
      <c r="EV77" s="148"/>
      <c r="EW77" s="148"/>
      <c r="EX77" s="148"/>
      <c r="EY77" s="148"/>
      <c r="EZ77" s="148"/>
      <c r="FA77" s="148"/>
      <c r="FB77" s="148"/>
      <c r="FC77" s="148"/>
      <c r="FD77" s="148"/>
      <c r="FE77" s="148"/>
      <c r="FF77" s="148"/>
      <c r="FG77" s="148"/>
      <c r="FH77" s="148"/>
      <c r="FI77" s="148"/>
      <c r="FJ77" s="148"/>
      <c r="FK77" s="148"/>
      <c r="FL77" s="148"/>
      <c r="FM77" s="148"/>
      <c r="FN77" s="148"/>
      <c r="FO77" s="148"/>
      <c r="FP77" s="148"/>
      <c r="FQ77" s="148"/>
      <c r="FR77" s="148"/>
      <c r="FS77" s="148"/>
      <c r="FT77" s="148"/>
      <c r="FU77" s="148"/>
      <c r="FV77" s="148"/>
      <c r="FW77" s="148"/>
      <c r="FX77" s="148"/>
      <c r="FY77" s="148"/>
      <c r="FZ77" s="148"/>
      <c r="GA77" s="148"/>
      <c r="GB77" s="148"/>
      <c r="GC77" s="148"/>
      <c r="GD77" s="148"/>
      <c r="GE77" s="148"/>
      <c r="GF77" s="148"/>
      <c r="GG77" s="148"/>
      <c r="GH77" s="148"/>
      <c r="GI77" s="148"/>
      <c r="GJ77" s="148"/>
      <c r="GK77" s="148"/>
      <c r="GL77" s="148"/>
      <c r="GM77" s="148"/>
      <c r="GN77" s="148"/>
      <c r="GO77" s="148"/>
      <c r="GP77" s="148"/>
      <c r="GQ77" s="148"/>
      <c r="GR77" s="148"/>
      <c r="GS77" s="148"/>
      <c r="GT77" s="148"/>
      <c r="GU77" s="148"/>
      <c r="GV77" s="148"/>
      <c r="GW77" s="148"/>
      <c r="GX77" s="148"/>
      <c r="GY77" s="148"/>
      <c r="GZ77" s="148"/>
      <c r="HA77" s="148"/>
      <c r="HB77" s="148"/>
      <c r="HC77" s="148"/>
      <c r="HD77" s="148"/>
      <c r="HE77" s="148"/>
      <c r="HF77" s="148"/>
      <c r="HG77" s="148"/>
      <c r="HH77" s="148"/>
      <c r="HI77" s="148"/>
      <c r="HJ77" s="148"/>
      <c r="HK77" s="148"/>
      <c r="HL77" s="148"/>
      <c r="HM77" s="148"/>
      <c r="HN77" s="148"/>
      <c r="HO77" s="148"/>
      <c r="HP77" s="148"/>
      <c r="HQ77" s="148"/>
      <c r="HR77" s="148"/>
      <c r="HS77" s="148"/>
      <c r="HT77" s="148"/>
      <c r="HU77" s="148"/>
      <c r="HV77" s="148"/>
      <c r="HW77" s="148"/>
      <c r="HX77" s="148"/>
      <c r="HY77" s="148"/>
      <c r="HZ77" s="148"/>
      <c r="IA77" s="148"/>
      <c r="IB77" s="148"/>
      <c r="IC77" s="148"/>
      <c r="ID77" s="148"/>
      <c r="IE77" s="148"/>
      <c r="IF77" s="148"/>
      <c r="IG77" s="148"/>
      <c r="IH77" s="148"/>
      <c r="II77" s="148"/>
      <c r="IJ77" s="148"/>
      <c r="IK77" s="148"/>
      <c r="IL77" s="148"/>
      <c r="IM77" s="148"/>
      <c r="IN77" s="148"/>
      <c r="IO77" s="148"/>
      <c r="IP77" s="148"/>
      <c r="IQ77" s="148"/>
      <c r="IR77" s="148"/>
      <c r="IS77" s="148"/>
      <c r="IT77" s="148"/>
      <c r="IU77" s="148"/>
      <c r="IV77" s="148"/>
      <c r="IW77" s="148"/>
      <c r="IX77" s="148"/>
      <c r="IY77" s="148"/>
      <c r="IZ77" s="148"/>
      <c r="JA77" s="148"/>
      <c r="JB77" s="148"/>
      <c r="JC77" s="148"/>
      <c r="JD77" s="148"/>
      <c r="JE77" s="148"/>
      <c r="JF77" s="148"/>
      <c r="JG77" s="148"/>
      <c r="JH77" s="148"/>
      <c r="JI77" s="148"/>
      <c r="JJ77" s="148"/>
      <c r="JK77" s="148"/>
      <c r="JL77" s="148"/>
      <c r="JM77" s="148"/>
      <c r="JN77" s="148"/>
      <c r="JO77" s="148"/>
      <c r="JP77" s="148"/>
      <c r="JQ77" s="148"/>
      <c r="JR77" s="148"/>
      <c r="JS77" s="148"/>
      <c r="JT77" s="148"/>
      <c r="JU77" s="148"/>
      <c r="JV77" s="148"/>
      <c r="JW77" s="148"/>
      <c r="JX77" s="148"/>
      <c r="JY77" s="148"/>
      <c r="JZ77" s="148"/>
      <c r="KA77" s="148"/>
      <c r="KB77" s="148"/>
      <c r="KC77" s="148"/>
      <c r="KD77" s="148"/>
      <c r="KE77" s="148"/>
      <c r="KF77" s="148"/>
      <c r="KG77" s="148"/>
      <c r="KH77" s="148"/>
      <c r="KI77" s="148"/>
      <c r="KJ77" s="148"/>
      <c r="KK77" s="148"/>
      <c r="KL77" s="148"/>
      <c r="KM77" s="148"/>
      <c r="KN77" s="148"/>
      <c r="KO77" s="148"/>
      <c r="KP77" s="148"/>
      <c r="KQ77" s="148"/>
      <c r="KR77" s="148"/>
      <c r="KS77" s="148"/>
      <c r="KT77" s="148"/>
      <c r="KU77" s="148"/>
      <c r="KV77" s="148"/>
      <c r="KW77" s="148"/>
      <c r="KX77" s="148"/>
      <c r="KY77" s="148"/>
      <c r="KZ77" s="148"/>
      <c r="LA77" s="148"/>
      <c r="LB77" s="148"/>
      <c r="LC77" s="148"/>
      <c r="LD77" s="148"/>
      <c r="LE77" s="148"/>
      <c r="LF77" s="148"/>
      <c r="LG77" s="148"/>
      <c r="LH77" s="148"/>
      <c r="LI77" s="148"/>
      <c r="LJ77" s="148"/>
      <c r="LK77" s="148"/>
      <c r="LL77" s="148"/>
      <c r="LM77" s="148"/>
      <c r="LN77" s="148"/>
      <c r="LO77" s="148"/>
      <c r="LP77" s="148"/>
      <c r="LQ77" s="148"/>
      <c r="LR77" s="148"/>
      <c r="LS77" s="148"/>
      <c r="LT77" s="148"/>
      <c r="LU77" s="148"/>
      <c r="LV77" s="148"/>
      <c r="LW77" s="148"/>
      <c r="LX77" s="148"/>
      <c r="LY77" s="148"/>
      <c r="LZ77" s="148"/>
      <c r="MA77" s="148"/>
      <c r="MB77" s="148"/>
      <c r="MC77" s="148"/>
      <c r="MD77" s="148"/>
      <c r="ME77" s="148"/>
      <c r="MF77" s="148"/>
      <c r="MG77" s="148"/>
      <c r="MH77" s="148"/>
      <c r="MI77" s="148"/>
      <c r="MJ77" s="148"/>
      <c r="MK77" s="148"/>
      <c r="ML77" s="148"/>
      <c r="MM77" s="148"/>
      <c r="MN77" s="148"/>
      <c r="MO77" s="148"/>
      <c r="MP77" s="148"/>
      <c r="MQ77" s="148"/>
      <c r="MR77" s="148"/>
      <c r="MS77" s="148"/>
      <c r="MT77" s="148"/>
      <c r="MU77" s="148"/>
      <c r="MV77" s="148"/>
      <c r="MW77" s="148"/>
      <c r="MX77" s="148"/>
      <c r="MY77" s="148"/>
      <c r="MZ77" s="148"/>
      <c r="NA77" s="148"/>
      <c r="NB77" s="148"/>
      <c r="NC77" s="148"/>
      <c r="ND77" s="148"/>
      <c r="NE77" s="148"/>
      <c r="NF77" s="148"/>
      <c r="NG77" s="148"/>
      <c r="NH77" s="148"/>
      <c r="NI77" s="148"/>
      <c r="NJ77" s="148"/>
      <c r="NK77" s="148"/>
      <c r="NL77" s="148"/>
      <c r="NM77" s="148"/>
      <c r="NN77" s="148"/>
      <c r="NO77" s="148"/>
      <c r="NP77" s="148"/>
      <c r="NQ77" s="148"/>
      <c r="NR77" s="148"/>
      <c r="NS77" s="148"/>
      <c r="NT77" s="148"/>
      <c r="NU77" s="148"/>
      <c r="NV77" s="148"/>
      <c r="NW77" s="148"/>
      <c r="NX77" s="148"/>
      <c r="NY77" s="148"/>
      <c r="NZ77" s="148"/>
      <c r="OA77" s="148"/>
      <c r="OB77" s="148"/>
      <c r="OC77" s="148"/>
      <c r="OD77" s="148"/>
      <c r="OE77" s="148"/>
      <c r="OF77" s="148"/>
      <c r="OG77" s="148"/>
      <c r="OH77" s="148"/>
      <c r="OI77" s="148"/>
      <c r="OJ77" s="148"/>
      <c r="OK77" s="148"/>
      <c r="OL77" s="148"/>
      <c r="OM77" s="148"/>
      <c r="ON77" s="148"/>
      <c r="OO77" s="148"/>
      <c r="OP77" s="148"/>
      <c r="OQ77" s="148"/>
      <c r="OR77" s="148"/>
      <c r="OS77" s="148"/>
      <c r="OT77" s="148"/>
      <c r="OU77" s="148"/>
      <c r="OV77" s="148"/>
      <c r="OW77" s="148"/>
      <c r="OX77" s="148"/>
      <c r="OY77" s="148"/>
      <c r="OZ77" s="148"/>
      <c r="PA77" s="148"/>
      <c r="PB77" s="148"/>
      <c r="PC77" s="148"/>
      <c r="PD77" s="148"/>
      <c r="PE77" s="148"/>
      <c r="PF77" s="148"/>
      <c r="PG77" s="148"/>
      <c r="PH77" s="148"/>
      <c r="PI77" s="148"/>
      <c r="PJ77" s="148"/>
      <c r="PK77" s="148"/>
      <c r="PL77" s="148"/>
      <c r="PM77" s="148"/>
      <c r="PN77" s="148"/>
      <c r="PO77" s="148"/>
      <c r="PP77" s="148"/>
      <c r="PQ77" s="148"/>
      <c r="PR77" s="148"/>
      <c r="PS77" s="148"/>
      <c r="PT77" s="148"/>
      <c r="PU77" s="148"/>
      <c r="PV77" s="148"/>
      <c r="PW77" s="148"/>
      <c r="PX77" s="148"/>
      <c r="PY77" s="148"/>
      <c r="PZ77" s="148"/>
      <c r="QA77" s="148"/>
      <c r="QB77" s="148"/>
      <c r="QC77" s="148"/>
      <c r="QD77" s="148"/>
      <c r="QE77" s="148"/>
      <c r="QF77" s="148"/>
      <c r="QG77" s="148"/>
      <c r="QH77" s="148"/>
      <c r="QI77" s="148"/>
      <c r="QJ77" s="148"/>
      <c r="QK77" s="148"/>
      <c r="QL77" s="148"/>
      <c r="QM77" s="148"/>
      <c r="QN77" s="148"/>
      <c r="QO77" s="148"/>
      <c r="QP77" s="148"/>
      <c r="QQ77" s="148"/>
      <c r="QR77" s="148"/>
      <c r="QS77" s="148"/>
      <c r="QT77" s="148"/>
      <c r="QU77" s="148"/>
      <c r="QV77" s="148"/>
      <c r="QW77" s="148"/>
      <c r="QX77" s="148"/>
      <c r="QY77" s="148"/>
      <c r="QZ77" s="148"/>
      <c r="RA77" s="148"/>
      <c r="RB77" s="148"/>
      <c r="RC77" s="148"/>
      <c r="RD77" s="148"/>
      <c r="RE77" s="148"/>
      <c r="RF77" s="148"/>
      <c r="RG77" s="148"/>
      <c r="RH77" s="148"/>
      <c r="RI77" s="148"/>
      <c r="RJ77" s="148"/>
      <c r="RK77" s="148"/>
      <c r="RL77" s="148"/>
      <c r="RM77" s="148"/>
      <c r="RN77" s="148"/>
      <c r="RO77" s="148"/>
      <c r="RP77" s="148"/>
      <c r="RQ77" s="148"/>
      <c r="RR77" s="148"/>
    </row>
    <row r="78" spans="1:486" s="15" customFormat="1" x14ac:dyDescent="0.25">
      <c r="A78" s="148"/>
      <c r="B78" s="350">
        <v>63</v>
      </c>
      <c r="C78" s="643" t="s">
        <v>894</v>
      </c>
      <c r="D78" s="653">
        <v>30480963</v>
      </c>
      <c r="E78" s="344" t="s">
        <v>2804</v>
      </c>
      <c r="F78" s="653" t="s">
        <v>204</v>
      </c>
      <c r="G78" s="17" t="s">
        <v>2693</v>
      </c>
      <c r="H78" s="317" t="s">
        <v>2739</v>
      </c>
      <c r="I78" s="653" t="s">
        <v>43</v>
      </c>
      <c r="J78" s="341">
        <v>246041</v>
      </c>
      <c r="K78" s="633">
        <v>0</v>
      </c>
      <c r="L78" s="633">
        <v>0</v>
      </c>
      <c r="M78" s="633">
        <v>0</v>
      </c>
      <c r="N78" s="633">
        <v>0</v>
      </c>
      <c r="O78" s="633">
        <v>0</v>
      </c>
      <c r="P78" s="633">
        <v>0</v>
      </c>
      <c r="Q78" s="633">
        <v>0</v>
      </c>
      <c r="R78" s="633">
        <v>0</v>
      </c>
      <c r="S78" s="633"/>
      <c r="T78" s="633"/>
      <c r="U78" s="633"/>
      <c r="V78" s="633"/>
      <c r="W78" s="633"/>
      <c r="X78" s="633"/>
      <c r="Y78" s="633">
        <f t="shared" si="1"/>
        <v>0</v>
      </c>
      <c r="Z78" s="637">
        <v>191527</v>
      </c>
      <c r="AA78" s="19">
        <v>19</v>
      </c>
      <c r="AB78" s="315">
        <v>44271</v>
      </c>
      <c r="AC78" s="315">
        <v>44312</v>
      </c>
      <c r="AD78" s="652"/>
      <c r="AE78" s="20"/>
      <c r="AF78" s="21"/>
      <c r="AG78" s="23"/>
      <c r="AH78" s="637"/>
      <c r="AI78" s="19"/>
      <c r="AJ78" s="21"/>
      <c r="AK78" s="25"/>
      <c r="AL78" s="309"/>
      <c r="AM78" s="19"/>
      <c r="AN78" s="21"/>
      <c r="AO78" s="25"/>
      <c r="AP78" s="309"/>
      <c r="AQ78" s="19"/>
      <c r="AR78" s="21"/>
      <c r="AS78" s="25"/>
      <c r="AT78" s="638">
        <f t="shared" si="2"/>
        <v>191527</v>
      </c>
      <c r="AU78" s="311">
        <f t="shared" si="0"/>
        <v>191527</v>
      </c>
      <c r="AV78" s="148"/>
      <c r="AW78" s="148"/>
      <c r="AX78" s="148"/>
      <c r="AY78" s="148"/>
      <c r="AZ78" s="148"/>
      <c r="BA78" s="148"/>
      <c r="BB78" s="148"/>
      <c r="BC78" s="148"/>
      <c r="BD78" s="148"/>
      <c r="BE78" s="148"/>
      <c r="BF78" s="148"/>
      <c r="BG78" s="148"/>
      <c r="BH78" s="148"/>
      <c r="BI78" s="148"/>
      <c r="BJ78" s="148"/>
      <c r="BK78" s="148"/>
      <c r="BL78" s="148"/>
      <c r="BM78" s="148"/>
      <c r="BN78" s="148"/>
      <c r="BO78" s="148"/>
      <c r="BP78" s="148"/>
      <c r="BQ78" s="148"/>
      <c r="BR78" s="148"/>
      <c r="BS78" s="148"/>
      <c r="BT78" s="148"/>
      <c r="BU78" s="148"/>
      <c r="BV78" s="148"/>
      <c r="BW78" s="148"/>
      <c r="BX78" s="148"/>
      <c r="BY78" s="148"/>
      <c r="BZ78" s="148"/>
      <c r="CA78" s="148"/>
      <c r="CB78" s="148"/>
      <c r="CC78" s="148"/>
      <c r="CD78" s="148"/>
      <c r="CE78" s="148"/>
      <c r="CF78" s="148"/>
      <c r="CG78" s="148"/>
      <c r="CH78" s="148"/>
      <c r="CI78" s="148"/>
      <c r="CJ78" s="148"/>
      <c r="CK78" s="148"/>
      <c r="CL78" s="148"/>
      <c r="CM78" s="148"/>
      <c r="CN78" s="148"/>
      <c r="CO78" s="148"/>
      <c r="CP78" s="148"/>
      <c r="CQ78" s="148"/>
      <c r="CR78" s="148"/>
      <c r="CS78" s="148"/>
      <c r="CT78" s="148"/>
      <c r="CU78" s="148"/>
      <c r="CV78" s="148"/>
      <c r="CW78" s="148"/>
      <c r="CX78" s="148"/>
      <c r="CY78" s="148"/>
      <c r="CZ78" s="148"/>
      <c r="DA78" s="148"/>
      <c r="DB78" s="148"/>
      <c r="DC78" s="148"/>
      <c r="DD78" s="148"/>
      <c r="DE78" s="148"/>
      <c r="DF78" s="148"/>
      <c r="DG78" s="148"/>
      <c r="DH78" s="148"/>
      <c r="DI78" s="148"/>
      <c r="DJ78" s="148"/>
      <c r="DK78" s="148"/>
      <c r="DL78" s="148"/>
      <c r="DM78" s="148"/>
      <c r="DN78" s="148"/>
      <c r="DO78" s="148"/>
      <c r="DP78" s="148"/>
      <c r="DQ78" s="148"/>
      <c r="DR78" s="148"/>
      <c r="DS78" s="148"/>
      <c r="DT78" s="148"/>
      <c r="DU78" s="148"/>
      <c r="DV78" s="148"/>
      <c r="DW78" s="148"/>
      <c r="DX78" s="148"/>
      <c r="DY78" s="148"/>
      <c r="DZ78" s="148"/>
      <c r="EA78" s="148"/>
      <c r="EB78" s="148"/>
      <c r="EC78" s="148"/>
      <c r="ED78" s="148"/>
      <c r="EE78" s="148"/>
      <c r="EF78" s="148"/>
      <c r="EG78" s="148"/>
      <c r="EH78" s="148"/>
      <c r="EI78" s="148"/>
      <c r="EJ78" s="148"/>
      <c r="EK78" s="148"/>
      <c r="EL78" s="148"/>
      <c r="EM78" s="148"/>
      <c r="EN78" s="148"/>
      <c r="EO78" s="148"/>
      <c r="EP78" s="148"/>
      <c r="EQ78" s="148"/>
      <c r="ER78" s="148"/>
      <c r="ES78" s="148"/>
      <c r="ET78" s="148"/>
      <c r="EU78" s="148"/>
      <c r="EV78" s="148"/>
      <c r="EW78" s="148"/>
      <c r="EX78" s="148"/>
      <c r="EY78" s="148"/>
      <c r="EZ78" s="148"/>
      <c r="FA78" s="148"/>
      <c r="FB78" s="148"/>
      <c r="FC78" s="148"/>
      <c r="FD78" s="148"/>
      <c r="FE78" s="148"/>
      <c r="FF78" s="148"/>
      <c r="FG78" s="148"/>
      <c r="FH78" s="148"/>
      <c r="FI78" s="148"/>
      <c r="FJ78" s="148"/>
      <c r="FK78" s="148"/>
      <c r="FL78" s="148"/>
      <c r="FM78" s="148"/>
      <c r="FN78" s="148"/>
      <c r="FO78" s="148"/>
      <c r="FP78" s="148"/>
      <c r="FQ78" s="148"/>
      <c r="FR78" s="148"/>
      <c r="FS78" s="148"/>
      <c r="FT78" s="148"/>
      <c r="FU78" s="148"/>
      <c r="FV78" s="148"/>
      <c r="FW78" s="148"/>
      <c r="FX78" s="148"/>
      <c r="FY78" s="148"/>
      <c r="FZ78" s="148"/>
      <c r="GA78" s="148"/>
      <c r="GB78" s="148"/>
      <c r="GC78" s="148"/>
      <c r="GD78" s="148"/>
      <c r="GE78" s="148"/>
      <c r="GF78" s="148"/>
      <c r="GG78" s="148"/>
      <c r="GH78" s="148"/>
      <c r="GI78" s="148"/>
      <c r="GJ78" s="148"/>
      <c r="GK78" s="148"/>
      <c r="GL78" s="148"/>
      <c r="GM78" s="148"/>
      <c r="GN78" s="148"/>
      <c r="GO78" s="148"/>
      <c r="GP78" s="148"/>
      <c r="GQ78" s="148"/>
      <c r="GR78" s="148"/>
      <c r="GS78" s="148"/>
      <c r="GT78" s="148"/>
      <c r="GU78" s="148"/>
      <c r="GV78" s="148"/>
      <c r="GW78" s="148"/>
      <c r="GX78" s="148"/>
      <c r="GY78" s="148"/>
      <c r="GZ78" s="148"/>
      <c r="HA78" s="148"/>
      <c r="HB78" s="148"/>
      <c r="HC78" s="148"/>
      <c r="HD78" s="148"/>
      <c r="HE78" s="148"/>
      <c r="HF78" s="148"/>
      <c r="HG78" s="148"/>
      <c r="HH78" s="148"/>
      <c r="HI78" s="148"/>
      <c r="HJ78" s="148"/>
      <c r="HK78" s="148"/>
      <c r="HL78" s="148"/>
      <c r="HM78" s="148"/>
      <c r="HN78" s="148"/>
      <c r="HO78" s="148"/>
      <c r="HP78" s="148"/>
      <c r="HQ78" s="148"/>
      <c r="HR78" s="148"/>
      <c r="HS78" s="148"/>
      <c r="HT78" s="148"/>
      <c r="HU78" s="148"/>
      <c r="HV78" s="148"/>
      <c r="HW78" s="148"/>
      <c r="HX78" s="148"/>
      <c r="HY78" s="148"/>
      <c r="HZ78" s="148"/>
      <c r="IA78" s="148"/>
      <c r="IB78" s="148"/>
      <c r="IC78" s="148"/>
      <c r="ID78" s="148"/>
      <c r="IE78" s="148"/>
      <c r="IF78" s="148"/>
      <c r="IG78" s="148"/>
      <c r="IH78" s="148"/>
      <c r="II78" s="148"/>
      <c r="IJ78" s="148"/>
      <c r="IK78" s="148"/>
      <c r="IL78" s="148"/>
      <c r="IM78" s="148"/>
      <c r="IN78" s="148"/>
      <c r="IO78" s="148"/>
      <c r="IP78" s="148"/>
      <c r="IQ78" s="148"/>
      <c r="IR78" s="148"/>
      <c r="IS78" s="148"/>
      <c r="IT78" s="148"/>
      <c r="IU78" s="148"/>
      <c r="IV78" s="148"/>
      <c r="IW78" s="148"/>
      <c r="IX78" s="148"/>
      <c r="IY78" s="148"/>
      <c r="IZ78" s="148"/>
      <c r="JA78" s="148"/>
      <c r="JB78" s="148"/>
      <c r="JC78" s="148"/>
      <c r="JD78" s="148"/>
      <c r="JE78" s="148"/>
      <c r="JF78" s="148"/>
      <c r="JG78" s="148"/>
      <c r="JH78" s="148"/>
      <c r="JI78" s="148"/>
      <c r="JJ78" s="148"/>
      <c r="JK78" s="148"/>
      <c r="JL78" s="148"/>
      <c r="JM78" s="148"/>
      <c r="JN78" s="148"/>
      <c r="JO78" s="148"/>
      <c r="JP78" s="148"/>
      <c r="JQ78" s="148"/>
      <c r="JR78" s="148"/>
      <c r="JS78" s="148"/>
      <c r="JT78" s="148"/>
      <c r="JU78" s="148"/>
      <c r="JV78" s="148"/>
      <c r="JW78" s="148"/>
      <c r="JX78" s="148"/>
      <c r="JY78" s="148"/>
      <c r="JZ78" s="148"/>
      <c r="KA78" s="148"/>
      <c r="KB78" s="148"/>
      <c r="KC78" s="148"/>
      <c r="KD78" s="148"/>
      <c r="KE78" s="148"/>
      <c r="KF78" s="148"/>
      <c r="KG78" s="148"/>
      <c r="KH78" s="148"/>
      <c r="KI78" s="148"/>
      <c r="KJ78" s="148"/>
      <c r="KK78" s="148"/>
      <c r="KL78" s="148"/>
      <c r="KM78" s="148"/>
      <c r="KN78" s="148"/>
      <c r="KO78" s="148"/>
      <c r="KP78" s="148"/>
      <c r="KQ78" s="148"/>
      <c r="KR78" s="148"/>
      <c r="KS78" s="148"/>
      <c r="KT78" s="148"/>
      <c r="KU78" s="148"/>
      <c r="KV78" s="148"/>
      <c r="KW78" s="148"/>
      <c r="KX78" s="148"/>
      <c r="KY78" s="148"/>
      <c r="KZ78" s="148"/>
      <c r="LA78" s="148"/>
      <c r="LB78" s="148"/>
      <c r="LC78" s="148"/>
      <c r="LD78" s="148"/>
      <c r="LE78" s="148"/>
      <c r="LF78" s="148"/>
      <c r="LG78" s="148"/>
      <c r="LH78" s="148"/>
      <c r="LI78" s="148"/>
      <c r="LJ78" s="148"/>
      <c r="LK78" s="148"/>
      <c r="LL78" s="148"/>
      <c r="LM78" s="148"/>
      <c r="LN78" s="148"/>
      <c r="LO78" s="148"/>
      <c r="LP78" s="148"/>
      <c r="LQ78" s="148"/>
      <c r="LR78" s="148"/>
      <c r="LS78" s="148"/>
      <c r="LT78" s="148"/>
      <c r="LU78" s="148"/>
      <c r="LV78" s="148"/>
      <c r="LW78" s="148"/>
      <c r="LX78" s="148"/>
      <c r="LY78" s="148"/>
      <c r="LZ78" s="148"/>
      <c r="MA78" s="148"/>
      <c r="MB78" s="148"/>
      <c r="MC78" s="148"/>
      <c r="MD78" s="148"/>
      <c r="ME78" s="148"/>
      <c r="MF78" s="148"/>
      <c r="MG78" s="148"/>
      <c r="MH78" s="148"/>
      <c r="MI78" s="148"/>
      <c r="MJ78" s="148"/>
      <c r="MK78" s="148"/>
      <c r="ML78" s="148"/>
      <c r="MM78" s="148"/>
      <c r="MN78" s="148"/>
      <c r="MO78" s="148"/>
      <c r="MP78" s="148"/>
      <c r="MQ78" s="148"/>
      <c r="MR78" s="148"/>
      <c r="MS78" s="148"/>
      <c r="MT78" s="148"/>
      <c r="MU78" s="148"/>
      <c r="MV78" s="148"/>
      <c r="MW78" s="148"/>
      <c r="MX78" s="148"/>
      <c r="MY78" s="148"/>
      <c r="MZ78" s="148"/>
      <c r="NA78" s="148"/>
      <c r="NB78" s="148"/>
      <c r="NC78" s="148"/>
      <c r="ND78" s="148"/>
      <c r="NE78" s="148"/>
      <c r="NF78" s="148"/>
      <c r="NG78" s="148"/>
      <c r="NH78" s="148"/>
      <c r="NI78" s="148"/>
      <c r="NJ78" s="148"/>
      <c r="NK78" s="148"/>
      <c r="NL78" s="148"/>
      <c r="NM78" s="148"/>
      <c r="NN78" s="148"/>
      <c r="NO78" s="148"/>
      <c r="NP78" s="148"/>
      <c r="NQ78" s="148"/>
      <c r="NR78" s="148"/>
      <c r="NS78" s="148"/>
      <c r="NT78" s="148"/>
      <c r="NU78" s="148"/>
      <c r="NV78" s="148"/>
      <c r="NW78" s="148"/>
      <c r="NX78" s="148"/>
      <c r="NY78" s="148"/>
      <c r="NZ78" s="148"/>
      <c r="OA78" s="148"/>
      <c r="OB78" s="148"/>
      <c r="OC78" s="148"/>
      <c r="OD78" s="148"/>
      <c r="OE78" s="148"/>
      <c r="OF78" s="148"/>
      <c r="OG78" s="148"/>
      <c r="OH78" s="148"/>
      <c r="OI78" s="148"/>
      <c r="OJ78" s="148"/>
      <c r="OK78" s="148"/>
      <c r="OL78" s="148"/>
      <c r="OM78" s="148"/>
      <c r="ON78" s="148"/>
      <c r="OO78" s="148"/>
      <c r="OP78" s="148"/>
      <c r="OQ78" s="148"/>
      <c r="OR78" s="148"/>
      <c r="OS78" s="148"/>
      <c r="OT78" s="148"/>
      <c r="OU78" s="148"/>
      <c r="OV78" s="148"/>
      <c r="OW78" s="148"/>
      <c r="OX78" s="148"/>
      <c r="OY78" s="148"/>
      <c r="OZ78" s="148"/>
      <c r="PA78" s="148"/>
      <c r="PB78" s="148"/>
      <c r="PC78" s="148"/>
      <c r="PD78" s="148"/>
      <c r="PE78" s="148"/>
      <c r="PF78" s="148"/>
      <c r="PG78" s="148"/>
      <c r="PH78" s="148"/>
      <c r="PI78" s="148"/>
      <c r="PJ78" s="148"/>
      <c r="PK78" s="148"/>
      <c r="PL78" s="148"/>
      <c r="PM78" s="148"/>
      <c r="PN78" s="148"/>
      <c r="PO78" s="148"/>
      <c r="PP78" s="148"/>
      <c r="PQ78" s="148"/>
      <c r="PR78" s="148"/>
      <c r="PS78" s="148"/>
      <c r="PT78" s="148"/>
      <c r="PU78" s="148"/>
      <c r="PV78" s="148"/>
      <c r="PW78" s="148"/>
      <c r="PX78" s="148"/>
      <c r="PY78" s="148"/>
      <c r="PZ78" s="148"/>
      <c r="QA78" s="148"/>
      <c r="QB78" s="148"/>
      <c r="QC78" s="148"/>
      <c r="QD78" s="148"/>
      <c r="QE78" s="148"/>
      <c r="QF78" s="148"/>
      <c r="QG78" s="148"/>
      <c r="QH78" s="148"/>
      <c r="QI78" s="148"/>
      <c r="QJ78" s="148"/>
      <c r="QK78" s="148"/>
      <c r="QL78" s="148"/>
      <c r="QM78" s="148"/>
      <c r="QN78" s="148"/>
      <c r="QO78" s="148"/>
      <c r="QP78" s="148"/>
      <c r="QQ78" s="148"/>
      <c r="QR78" s="148"/>
      <c r="QS78" s="148"/>
      <c r="QT78" s="148"/>
      <c r="QU78" s="148"/>
      <c r="QV78" s="148"/>
      <c r="QW78" s="148"/>
      <c r="QX78" s="148"/>
      <c r="QY78" s="148"/>
      <c r="QZ78" s="148"/>
      <c r="RA78" s="148"/>
      <c r="RB78" s="148"/>
      <c r="RC78" s="148"/>
      <c r="RD78" s="148"/>
      <c r="RE78" s="148"/>
      <c r="RF78" s="148"/>
      <c r="RG78" s="148"/>
      <c r="RH78" s="148"/>
      <c r="RI78" s="148"/>
      <c r="RJ78" s="148"/>
      <c r="RK78" s="148"/>
      <c r="RL78" s="148"/>
      <c r="RM78" s="148"/>
      <c r="RN78" s="148"/>
      <c r="RO78" s="148"/>
      <c r="RP78" s="148"/>
      <c r="RQ78" s="148"/>
      <c r="RR78" s="148"/>
    </row>
    <row r="79" spans="1:486" s="15" customFormat="1" ht="22.5" x14ac:dyDescent="0.25">
      <c r="A79" s="148"/>
      <c r="B79" s="350">
        <v>65</v>
      </c>
      <c r="C79" s="650" t="s">
        <v>894</v>
      </c>
      <c r="D79" s="653">
        <v>40027004</v>
      </c>
      <c r="E79" s="344" t="s">
        <v>2843</v>
      </c>
      <c r="F79" s="653" t="s">
        <v>897</v>
      </c>
      <c r="G79" s="17" t="s">
        <v>2693</v>
      </c>
      <c r="H79" s="317" t="s">
        <v>2844</v>
      </c>
      <c r="I79" s="653" t="s">
        <v>43</v>
      </c>
      <c r="J79" s="341">
        <v>2577727</v>
      </c>
      <c r="K79" s="633">
        <v>0</v>
      </c>
      <c r="L79" s="633">
        <v>2573632</v>
      </c>
      <c r="M79" s="633">
        <v>0</v>
      </c>
      <c r="N79" s="633">
        <v>0</v>
      </c>
      <c r="O79" s="633">
        <v>0</v>
      </c>
      <c r="P79" s="633">
        <v>0</v>
      </c>
      <c r="Q79" s="633">
        <v>0</v>
      </c>
      <c r="R79" s="633"/>
      <c r="S79" s="633"/>
      <c r="T79" s="633"/>
      <c r="U79" s="633"/>
      <c r="V79" s="633"/>
      <c r="W79" s="633"/>
      <c r="X79" s="633"/>
      <c r="Y79" s="633">
        <f t="shared" si="1"/>
        <v>0</v>
      </c>
      <c r="Z79" s="637">
        <v>4095</v>
      </c>
      <c r="AA79" s="19">
        <v>19</v>
      </c>
      <c r="AB79" s="315">
        <v>44271</v>
      </c>
      <c r="AC79" s="315">
        <v>44312</v>
      </c>
      <c r="AD79" s="652"/>
      <c r="AE79" s="20"/>
      <c r="AF79" s="21"/>
      <c r="AG79" s="23"/>
      <c r="AH79" s="637"/>
      <c r="AI79" s="19"/>
      <c r="AJ79" s="21"/>
      <c r="AK79" s="25"/>
      <c r="AL79" s="309"/>
      <c r="AM79" s="19"/>
      <c r="AN79" s="21"/>
      <c r="AO79" s="25"/>
      <c r="AP79" s="309"/>
      <c r="AQ79" s="19"/>
      <c r="AR79" s="21"/>
      <c r="AS79" s="25"/>
      <c r="AT79" s="638">
        <f t="shared" si="2"/>
        <v>4095</v>
      </c>
      <c r="AU79" s="311">
        <f t="shared" si="0"/>
        <v>4095</v>
      </c>
      <c r="AV79" s="148"/>
      <c r="AW79" s="148"/>
      <c r="AX79" s="148"/>
      <c r="AY79" s="148"/>
      <c r="AZ79" s="148"/>
      <c r="BA79" s="148"/>
      <c r="BB79" s="148"/>
      <c r="BC79" s="148"/>
      <c r="BD79" s="148"/>
      <c r="BE79" s="148"/>
      <c r="BF79" s="148"/>
      <c r="BG79" s="148"/>
      <c r="BH79" s="148"/>
      <c r="BI79" s="148"/>
      <c r="BJ79" s="148"/>
      <c r="BK79" s="148"/>
      <c r="BL79" s="148"/>
      <c r="BM79" s="148"/>
      <c r="BN79" s="148"/>
      <c r="BO79" s="148"/>
      <c r="BP79" s="148"/>
      <c r="BQ79" s="148"/>
      <c r="BR79" s="148"/>
      <c r="BS79" s="148"/>
      <c r="BT79" s="148"/>
      <c r="BU79" s="148"/>
      <c r="BV79" s="148"/>
      <c r="BW79" s="148"/>
      <c r="BX79" s="148"/>
      <c r="BY79" s="148"/>
      <c r="BZ79" s="148"/>
      <c r="CA79" s="148"/>
      <c r="CB79" s="148"/>
      <c r="CC79" s="148"/>
      <c r="CD79" s="148"/>
      <c r="CE79" s="148"/>
      <c r="CF79" s="148"/>
      <c r="CG79" s="148"/>
      <c r="CH79" s="148"/>
      <c r="CI79" s="148"/>
      <c r="CJ79" s="148"/>
      <c r="CK79" s="148"/>
      <c r="CL79" s="148"/>
      <c r="CM79" s="148"/>
      <c r="CN79" s="148"/>
      <c r="CO79" s="148"/>
      <c r="CP79" s="148"/>
      <c r="CQ79" s="148"/>
      <c r="CR79" s="148"/>
      <c r="CS79" s="148"/>
      <c r="CT79" s="148"/>
      <c r="CU79" s="148"/>
      <c r="CV79" s="148"/>
      <c r="CW79" s="148"/>
      <c r="CX79" s="148"/>
      <c r="CY79" s="148"/>
      <c r="CZ79" s="148"/>
      <c r="DA79" s="148"/>
      <c r="DB79" s="148"/>
      <c r="DC79" s="148"/>
      <c r="DD79" s="148"/>
      <c r="DE79" s="148"/>
      <c r="DF79" s="148"/>
      <c r="DG79" s="148"/>
      <c r="DH79" s="148"/>
      <c r="DI79" s="148"/>
      <c r="DJ79" s="148"/>
      <c r="DK79" s="148"/>
      <c r="DL79" s="148"/>
      <c r="DM79" s="148"/>
      <c r="DN79" s="148"/>
      <c r="DO79" s="148"/>
      <c r="DP79" s="148"/>
      <c r="DQ79" s="148"/>
      <c r="DR79" s="148"/>
      <c r="DS79" s="148"/>
      <c r="DT79" s="148"/>
      <c r="DU79" s="148"/>
      <c r="DV79" s="148"/>
      <c r="DW79" s="148"/>
      <c r="DX79" s="148"/>
      <c r="DY79" s="148"/>
      <c r="DZ79" s="148"/>
      <c r="EA79" s="148"/>
      <c r="EB79" s="148"/>
      <c r="EC79" s="148"/>
      <c r="ED79" s="148"/>
      <c r="EE79" s="148"/>
      <c r="EF79" s="148"/>
      <c r="EG79" s="148"/>
      <c r="EH79" s="148"/>
      <c r="EI79" s="148"/>
      <c r="EJ79" s="148"/>
      <c r="EK79" s="148"/>
      <c r="EL79" s="148"/>
      <c r="EM79" s="148"/>
      <c r="EN79" s="148"/>
      <c r="EO79" s="148"/>
      <c r="EP79" s="148"/>
      <c r="EQ79" s="148"/>
      <c r="ER79" s="148"/>
      <c r="ES79" s="148"/>
      <c r="ET79" s="148"/>
      <c r="EU79" s="148"/>
      <c r="EV79" s="148"/>
      <c r="EW79" s="148"/>
      <c r="EX79" s="148"/>
      <c r="EY79" s="148"/>
      <c r="EZ79" s="148"/>
      <c r="FA79" s="148"/>
      <c r="FB79" s="148"/>
      <c r="FC79" s="148"/>
      <c r="FD79" s="148"/>
      <c r="FE79" s="148"/>
      <c r="FF79" s="148"/>
      <c r="FG79" s="148"/>
      <c r="FH79" s="148"/>
      <c r="FI79" s="148"/>
      <c r="FJ79" s="148"/>
      <c r="FK79" s="148"/>
      <c r="FL79" s="148"/>
      <c r="FM79" s="148"/>
      <c r="FN79" s="148"/>
      <c r="FO79" s="148"/>
      <c r="FP79" s="148"/>
      <c r="FQ79" s="148"/>
      <c r="FR79" s="148"/>
      <c r="FS79" s="148"/>
      <c r="FT79" s="148"/>
      <c r="FU79" s="148"/>
      <c r="FV79" s="148"/>
      <c r="FW79" s="148"/>
      <c r="FX79" s="148"/>
      <c r="FY79" s="148"/>
      <c r="FZ79" s="148"/>
      <c r="GA79" s="148"/>
      <c r="GB79" s="148"/>
      <c r="GC79" s="148"/>
      <c r="GD79" s="148"/>
      <c r="GE79" s="148"/>
      <c r="GF79" s="148"/>
      <c r="GG79" s="148"/>
      <c r="GH79" s="148"/>
      <c r="GI79" s="148"/>
      <c r="GJ79" s="148"/>
      <c r="GK79" s="148"/>
      <c r="GL79" s="148"/>
      <c r="GM79" s="148"/>
      <c r="GN79" s="148"/>
      <c r="GO79" s="148"/>
      <c r="GP79" s="148"/>
      <c r="GQ79" s="148"/>
      <c r="GR79" s="148"/>
      <c r="GS79" s="148"/>
      <c r="GT79" s="148"/>
      <c r="GU79" s="148"/>
      <c r="GV79" s="148"/>
      <c r="GW79" s="148"/>
      <c r="GX79" s="148"/>
      <c r="GY79" s="148"/>
      <c r="GZ79" s="148"/>
      <c r="HA79" s="148"/>
      <c r="HB79" s="148"/>
      <c r="HC79" s="148"/>
      <c r="HD79" s="148"/>
      <c r="HE79" s="148"/>
      <c r="HF79" s="148"/>
      <c r="HG79" s="148"/>
      <c r="HH79" s="148"/>
      <c r="HI79" s="148"/>
      <c r="HJ79" s="148"/>
      <c r="HK79" s="148"/>
      <c r="HL79" s="148"/>
      <c r="HM79" s="148"/>
      <c r="HN79" s="148"/>
      <c r="HO79" s="148"/>
      <c r="HP79" s="148"/>
      <c r="HQ79" s="148"/>
      <c r="HR79" s="148"/>
      <c r="HS79" s="148"/>
      <c r="HT79" s="148"/>
      <c r="HU79" s="148"/>
      <c r="HV79" s="148"/>
      <c r="HW79" s="148"/>
      <c r="HX79" s="148"/>
      <c r="HY79" s="148"/>
      <c r="HZ79" s="148"/>
      <c r="IA79" s="148"/>
      <c r="IB79" s="148"/>
      <c r="IC79" s="148"/>
      <c r="ID79" s="148"/>
      <c r="IE79" s="148"/>
      <c r="IF79" s="148"/>
      <c r="IG79" s="148"/>
      <c r="IH79" s="148"/>
      <c r="II79" s="148"/>
      <c r="IJ79" s="148"/>
      <c r="IK79" s="148"/>
      <c r="IL79" s="148"/>
      <c r="IM79" s="148"/>
      <c r="IN79" s="148"/>
      <c r="IO79" s="148"/>
      <c r="IP79" s="148"/>
      <c r="IQ79" s="148"/>
      <c r="IR79" s="148"/>
      <c r="IS79" s="148"/>
      <c r="IT79" s="148"/>
      <c r="IU79" s="148"/>
      <c r="IV79" s="148"/>
      <c r="IW79" s="148"/>
      <c r="IX79" s="148"/>
      <c r="IY79" s="148"/>
      <c r="IZ79" s="148"/>
      <c r="JA79" s="148"/>
      <c r="JB79" s="148"/>
      <c r="JC79" s="148"/>
      <c r="JD79" s="148"/>
      <c r="JE79" s="148"/>
      <c r="JF79" s="148"/>
      <c r="JG79" s="148"/>
      <c r="JH79" s="148"/>
      <c r="JI79" s="148"/>
      <c r="JJ79" s="148"/>
      <c r="JK79" s="148"/>
      <c r="JL79" s="148"/>
      <c r="JM79" s="148"/>
      <c r="JN79" s="148"/>
      <c r="JO79" s="148"/>
      <c r="JP79" s="148"/>
      <c r="JQ79" s="148"/>
      <c r="JR79" s="148"/>
      <c r="JS79" s="148"/>
      <c r="JT79" s="148"/>
      <c r="JU79" s="148"/>
      <c r="JV79" s="148"/>
      <c r="JW79" s="148"/>
      <c r="JX79" s="148"/>
      <c r="JY79" s="148"/>
      <c r="JZ79" s="148"/>
      <c r="KA79" s="148"/>
      <c r="KB79" s="148"/>
      <c r="KC79" s="148"/>
      <c r="KD79" s="148"/>
      <c r="KE79" s="148"/>
      <c r="KF79" s="148"/>
      <c r="KG79" s="148"/>
      <c r="KH79" s="148"/>
      <c r="KI79" s="148"/>
      <c r="KJ79" s="148"/>
      <c r="KK79" s="148"/>
      <c r="KL79" s="148"/>
      <c r="KM79" s="148"/>
      <c r="KN79" s="148"/>
      <c r="KO79" s="148"/>
      <c r="KP79" s="148"/>
      <c r="KQ79" s="148"/>
      <c r="KR79" s="148"/>
      <c r="KS79" s="148"/>
      <c r="KT79" s="148"/>
      <c r="KU79" s="148"/>
      <c r="KV79" s="148"/>
      <c r="KW79" s="148"/>
      <c r="KX79" s="148"/>
      <c r="KY79" s="148"/>
      <c r="KZ79" s="148"/>
      <c r="LA79" s="148"/>
      <c r="LB79" s="148"/>
      <c r="LC79" s="148"/>
      <c r="LD79" s="148"/>
      <c r="LE79" s="148"/>
      <c r="LF79" s="148"/>
      <c r="LG79" s="148"/>
      <c r="LH79" s="148"/>
      <c r="LI79" s="148"/>
      <c r="LJ79" s="148"/>
      <c r="LK79" s="148"/>
      <c r="LL79" s="148"/>
      <c r="LM79" s="148"/>
      <c r="LN79" s="148"/>
      <c r="LO79" s="148"/>
      <c r="LP79" s="148"/>
      <c r="LQ79" s="148"/>
      <c r="LR79" s="148"/>
      <c r="LS79" s="148"/>
      <c r="LT79" s="148"/>
      <c r="LU79" s="148"/>
      <c r="LV79" s="148"/>
      <c r="LW79" s="148"/>
      <c r="LX79" s="148"/>
      <c r="LY79" s="148"/>
      <c r="LZ79" s="148"/>
      <c r="MA79" s="148"/>
      <c r="MB79" s="148"/>
      <c r="MC79" s="148"/>
      <c r="MD79" s="148"/>
      <c r="ME79" s="148"/>
      <c r="MF79" s="148"/>
      <c r="MG79" s="148"/>
      <c r="MH79" s="148"/>
      <c r="MI79" s="148"/>
      <c r="MJ79" s="148"/>
      <c r="MK79" s="148"/>
      <c r="ML79" s="148"/>
      <c r="MM79" s="148"/>
      <c r="MN79" s="148"/>
      <c r="MO79" s="148"/>
      <c r="MP79" s="148"/>
      <c r="MQ79" s="148"/>
      <c r="MR79" s="148"/>
      <c r="MS79" s="148"/>
      <c r="MT79" s="148"/>
      <c r="MU79" s="148"/>
      <c r="MV79" s="148"/>
      <c r="MW79" s="148"/>
      <c r="MX79" s="148"/>
      <c r="MY79" s="148"/>
      <c r="MZ79" s="148"/>
      <c r="NA79" s="148"/>
      <c r="NB79" s="148"/>
      <c r="NC79" s="148"/>
      <c r="ND79" s="148"/>
      <c r="NE79" s="148"/>
      <c r="NF79" s="148"/>
      <c r="NG79" s="148"/>
      <c r="NH79" s="148"/>
      <c r="NI79" s="148"/>
      <c r="NJ79" s="148"/>
      <c r="NK79" s="148"/>
      <c r="NL79" s="148"/>
      <c r="NM79" s="148"/>
      <c r="NN79" s="148"/>
      <c r="NO79" s="148"/>
      <c r="NP79" s="148"/>
      <c r="NQ79" s="148"/>
      <c r="NR79" s="148"/>
      <c r="NS79" s="148"/>
      <c r="NT79" s="148"/>
      <c r="NU79" s="148"/>
      <c r="NV79" s="148"/>
      <c r="NW79" s="148"/>
      <c r="NX79" s="148"/>
      <c r="NY79" s="148"/>
      <c r="NZ79" s="148"/>
      <c r="OA79" s="148"/>
      <c r="OB79" s="148"/>
      <c r="OC79" s="148"/>
      <c r="OD79" s="148"/>
      <c r="OE79" s="148"/>
      <c r="OF79" s="148"/>
      <c r="OG79" s="148"/>
      <c r="OH79" s="148"/>
      <c r="OI79" s="148"/>
      <c r="OJ79" s="148"/>
      <c r="OK79" s="148"/>
      <c r="OL79" s="148"/>
      <c r="OM79" s="148"/>
      <c r="ON79" s="148"/>
      <c r="OO79" s="148"/>
      <c r="OP79" s="148"/>
      <c r="OQ79" s="148"/>
      <c r="OR79" s="148"/>
      <c r="OS79" s="148"/>
      <c r="OT79" s="148"/>
      <c r="OU79" s="148"/>
      <c r="OV79" s="148"/>
      <c r="OW79" s="148"/>
      <c r="OX79" s="148"/>
      <c r="OY79" s="148"/>
      <c r="OZ79" s="148"/>
      <c r="PA79" s="148"/>
      <c r="PB79" s="148"/>
      <c r="PC79" s="148"/>
      <c r="PD79" s="148"/>
      <c r="PE79" s="148"/>
      <c r="PF79" s="148"/>
      <c r="PG79" s="148"/>
      <c r="PH79" s="148"/>
      <c r="PI79" s="148"/>
      <c r="PJ79" s="148"/>
      <c r="PK79" s="148"/>
      <c r="PL79" s="148"/>
      <c r="PM79" s="148"/>
      <c r="PN79" s="148"/>
      <c r="PO79" s="148"/>
      <c r="PP79" s="148"/>
      <c r="PQ79" s="148"/>
      <c r="PR79" s="148"/>
      <c r="PS79" s="148"/>
      <c r="PT79" s="148"/>
      <c r="PU79" s="148"/>
      <c r="PV79" s="148"/>
      <c r="PW79" s="148"/>
      <c r="PX79" s="148"/>
      <c r="PY79" s="148"/>
      <c r="PZ79" s="148"/>
      <c r="QA79" s="148"/>
      <c r="QB79" s="148"/>
      <c r="QC79" s="148"/>
      <c r="QD79" s="148"/>
      <c r="QE79" s="148"/>
      <c r="QF79" s="148"/>
      <c r="QG79" s="148"/>
      <c r="QH79" s="148"/>
      <c r="QI79" s="148"/>
      <c r="QJ79" s="148"/>
      <c r="QK79" s="148"/>
      <c r="QL79" s="148"/>
      <c r="QM79" s="148"/>
      <c r="QN79" s="148"/>
      <c r="QO79" s="148"/>
      <c r="QP79" s="148"/>
      <c r="QQ79" s="148"/>
      <c r="QR79" s="148"/>
      <c r="QS79" s="148"/>
      <c r="QT79" s="148"/>
      <c r="QU79" s="148"/>
      <c r="QV79" s="148"/>
      <c r="QW79" s="148"/>
      <c r="QX79" s="148"/>
      <c r="QY79" s="148"/>
      <c r="QZ79" s="148"/>
      <c r="RA79" s="148"/>
      <c r="RB79" s="148"/>
      <c r="RC79" s="148"/>
      <c r="RD79" s="148"/>
      <c r="RE79" s="148"/>
      <c r="RF79" s="148"/>
      <c r="RG79" s="148"/>
      <c r="RH79" s="148"/>
      <c r="RI79" s="148"/>
      <c r="RJ79" s="148"/>
      <c r="RK79" s="148"/>
      <c r="RL79" s="148"/>
      <c r="RM79" s="148"/>
      <c r="RN79" s="148"/>
      <c r="RO79" s="148"/>
      <c r="RP79" s="148"/>
      <c r="RQ79" s="148"/>
      <c r="RR79" s="148"/>
    </row>
    <row r="80" spans="1:486" s="15" customFormat="1" x14ac:dyDescent="0.25">
      <c r="A80" s="148"/>
      <c r="B80" s="350">
        <v>68</v>
      </c>
      <c r="C80" s="643" t="s">
        <v>894</v>
      </c>
      <c r="D80" s="653">
        <v>30386411</v>
      </c>
      <c r="E80" s="344" t="s">
        <v>2797</v>
      </c>
      <c r="F80" s="653" t="s">
        <v>897</v>
      </c>
      <c r="G80" s="17" t="s">
        <v>2693</v>
      </c>
      <c r="H80" s="317" t="s">
        <v>2771</v>
      </c>
      <c r="I80" s="653" t="s">
        <v>43</v>
      </c>
      <c r="J80" s="341">
        <v>198744</v>
      </c>
      <c r="K80" s="633">
        <v>0</v>
      </c>
      <c r="L80" s="633">
        <v>24395</v>
      </c>
      <c r="M80" s="633">
        <v>0</v>
      </c>
      <c r="N80" s="633">
        <v>0</v>
      </c>
      <c r="O80" s="633">
        <v>0</v>
      </c>
      <c r="P80" s="633">
        <v>0</v>
      </c>
      <c r="Q80" s="633">
        <v>33000</v>
      </c>
      <c r="R80" s="633">
        <v>0</v>
      </c>
      <c r="S80" s="633"/>
      <c r="T80" s="633"/>
      <c r="U80" s="633"/>
      <c r="V80" s="633"/>
      <c r="W80" s="633"/>
      <c r="X80" s="633"/>
      <c r="Y80" s="633">
        <f t="shared" si="1"/>
        <v>33000</v>
      </c>
      <c r="Z80" s="637">
        <v>25000</v>
      </c>
      <c r="AA80" s="19">
        <v>25</v>
      </c>
      <c r="AB80" s="315">
        <v>44312</v>
      </c>
      <c r="AC80" s="315">
        <v>44328</v>
      </c>
      <c r="AD80" s="652"/>
      <c r="AE80" s="20"/>
      <c r="AF80" s="21"/>
      <c r="AG80" s="23"/>
      <c r="AH80" s="637"/>
      <c r="AI80" s="19"/>
      <c r="AJ80" s="21"/>
      <c r="AK80" s="25"/>
      <c r="AL80" s="309"/>
      <c r="AM80" s="19"/>
      <c r="AN80" s="21"/>
      <c r="AO80" s="25"/>
      <c r="AP80" s="309"/>
      <c r="AQ80" s="19"/>
      <c r="AR80" s="21"/>
      <c r="AS80" s="25"/>
      <c r="AT80" s="638">
        <f t="shared" si="2"/>
        <v>25000</v>
      </c>
      <c r="AU80" s="311">
        <f t="shared" si="0"/>
        <v>-8000</v>
      </c>
      <c r="AV80" s="148"/>
      <c r="AW80" s="148"/>
      <c r="AX80" s="148"/>
      <c r="AY80" s="148"/>
      <c r="AZ80" s="148"/>
      <c r="BA80" s="148"/>
      <c r="BB80" s="148"/>
      <c r="BC80" s="148"/>
      <c r="BD80" s="148"/>
      <c r="BE80" s="148"/>
      <c r="BF80" s="148"/>
      <c r="BG80" s="148"/>
      <c r="BH80" s="148"/>
      <c r="BI80" s="148"/>
      <c r="BJ80" s="148"/>
      <c r="BK80" s="148"/>
      <c r="BL80" s="148"/>
      <c r="BM80" s="148"/>
      <c r="BN80" s="148"/>
      <c r="BO80" s="148"/>
      <c r="BP80" s="148"/>
      <c r="BQ80" s="148"/>
      <c r="BR80" s="148"/>
      <c r="BS80" s="148"/>
      <c r="BT80" s="148"/>
      <c r="BU80" s="148"/>
      <c r="BV80" s="148"/>
      <c r="BW80" s="148"/>
      <c r="BX80" s="148"/>
      <c r="BY80" s="148"/>
      <c r="BZ80" s="148"/>
      <c r="CA80" s="148"/>
      <c r="CB80" s="148"/>
      <c r="CC80" s="148"/>
      <c r="CD80" s="148"/>
      <c r="CE80" s="148"/>
      <c r="CF80" s="148"/>
      <c r="CG80" s="148"/>
      <c r="CH80" s="148"/>
      <c r="CI80" s="148"/>
      <c r="CJ80" s="148"/>
      <c r="CK80" s="148"/>
      <c r="CL80" s="148"/>
      <c r="CM80" s="148"/>
      <c r="CN80" s="148"/>
      <c r="CO80" s="148"/>
      <c r="CP80" s="148"/>
      <c r="CQ80" s="148"/>
      <c r="CR80" s="148"/>
      <c r="CS80" s="148"/>
      <c r="CT80" s="148"/>
      <c r="CU80" s="148"/>
      <c r="CV80" s="148"/>
      <c r="CW80" s="148"/>
      <c r="CX80" s="148"/>
      <c r="CY80" s="148"/>
      <c r="CZ80" s="148"/>
      <c r="DA80" s="148"/>
      <c r="DB80" s="148"/>
      <c r="DC80" s="148"/>
      <c r="DD80" s="148"/>
      <c r="DE80" s="148"/>
      <c r="DF80" s="148"/>
      <c r="DG80" s="148"/>
      <c r="DH80" s="148"/>
      <c r="DI80" s="148"/>
      <c r="DJ80" s="148"/>
      <c r="DK80" s="148"/>
      <c r="DL80" s="148"/>
      <c r="DM80" s="148"/>
      <c r="DN80" s="148"/>
      <c r="DO80" s="148"/>
      <c r="DP80" s="148"/>
      <c r="DQ80" s="148"/>
      <c r="DR80" s="148"/>
      <c r="DS80" s="148"/>
      <c r="DT80" s="148"/>
      <c r="DU80" s="148"/>
      <c r="DV80" s="148"/>
      <c r="DW80" s="148"/>
      <c r="DX80" s="148"/>
      <c r="DY80" s="148"/>
      <c r="DZ80" s="148"/>
      <c r="EA80" s="148"/>
      <c r="EB80" s="148"/>
      <c r="EC80" s="148"/>
      <c r="ED80" s="148"/>
      <c r="EE80" s="148"/>
      <c r="EF80" s="148"/>
      <c r="EG80" s="148"/>
      <c r="EH80" s="148"/>
      <c r="EI80" s="148"/>
      <c r="EJ80" s="148"/>
      <c r="EK80" s="148"/>
      <c r="EL80" s="148"/>
      <c r="EM80" s="148"/>
      <c r="EN80" s="148"/>
      <c r="EO80" s="148"/>
      <c r="EP80" s="148"/>
      <c r="EQ80" s="148"/>
      <c r="ER80" s="148"/>
      <c r="ES80" s="148"/>
      <c r="ET80" s="148"/>
      <c r="EU80" s="148"/>
      <c r="EV80" s="148"/>
      <c r="EW80" s="148"/>
      <c r="EX80" s="148"/>
      <c r="EY80" s="148"/>
      <c r="EZ80" s="148"/>
      <c r="FA80" s="148"/>
      <c r="FB80" s="148"/>
      <c r="FC80" s="148"/>
      <c r="FD80" s="148"/>
      <c r="FE80" s="148"/>
      <c r="FF80" s="148"/>
      <c r="FG80" s="148"/>
      <c r="FH80" s="148"/>
      <c r="FI80" s="148"/>
      <c r="FJ80" s="148"/>
      <c r="FK80" s="148"/>
      <c r="FL80" s="148"/>
      <c r="FM80" s="148"/>
      <c r="FN80" s="148"/>
      <c r="FO80" s="148"/>
      <c r="FP80" s="148"/>
      <c r="FQ80" s="148"/>
      <c r="FR80" s="148"/>
      <c r="FS80" s="148"/>
      <c r="FT80" s="148"/>
      <c r="FU80" s="148"/>
      <c r="FV80" s="148"/>
      <c r="FW80" s="148"/>
      <c r="FX80" s="148"/>
      <c r="FY80" s="148"/>
      <c r="FZ80" s="148"/>
      <c r="GA80" s="148"/>
      <c r="GB80" s="148"/>
      <c r="GC80" s="148"/>
      <c r="GD80" s="148"/>
      <c r="GE80" s="148"/>
      <c r="GF80" s="148"/>
      <c r="GG80" s="148"/>
      <c r="GH80" s="148"/>
      <c r="GI80" s="148"/>
      <c r="GJ80" s="148"/>
      <c r="GK80" s="148"/>
      <c r="GL80" s="148"/>
      <c r="GM80" s="148"/>
      <c r="GN80" s="148"/>
      <c r="GO80" s="148"/>
      <c r="GP80" s="148"/>
      <c r="GQ80" s="148"/>
      <c r="GR80" s="148"/>
      <c r="GS80" s="148"/>
      <c r="GT80" s="148"/>
      <c r="GU80" s="148"/>
      <c r="GV80" s="148"/>
      <c r="GW80" s="148"/>
      <c r="GX80" s="148"/>
      <c r="GY80" s="148"/>
      <c r="GZ80" s="148"/>
      <c r="HA80" s="148"/>
      <c r="HB80" s="148"/>
      <c r="HC80" s="148"/>
      <c r="HD80" s="148"/>
      <c r="HE80" s="148"/>
      <c r="HF80" s="148"/>
      <c r="HG80" s="148"/>
      <c r="HH80" s="148"/>
      <c r="HI80" s="148"/>
      <c r="HJ80" s="148"/>
      <c r="HK80" s="148"/>
      <c r="HL80" s="148"/>
      <c r="HM80" s="148"/>
      <c r="HN80" s="148"/>
      <c r="HO80" s="148"/>
      <c r="HP80" s="148"/>
      <c r="HQ80" s="148"/>
      <c r="HR80" s="148"/>
      <c r="HS80" s="148"/>
      <c r="HT80" s="148"/>
      <c r="HU80" s="148"/>
      <c r="HV80" s="148"/>
      <c r="HW80" s="148"/>
      <c r="HX80" s="148"/>
      <c r="HY80" s="148"/>
      <c r="HZ80" s="148"/>
      <c r="IA80" s="148"/>
      <c r="IB80" s="148"/>
      <c r="IC80" s="148"/>
      <c r="ID80" s="148"/>
      <c r="IE80" s="148"/>
      <c r="IF80" s="148"/>
      <c r="IG80" s="148"/>
      <c r="IH80" s="148"/>
      <c r="II80" s="148"/>
      <c r="IJ80" s="148"/>
      <c r="IK80" s="148"/>
      <c r="IL80" s="148"/>
      <c r="IM80" s="148"/>
      <c r="IN80" s="148"/>
      <c r="IO80" s="148"/>
      <c r="IP80" s="148"/>
      <c r="IQ80" s="148"/>
      <c r="IR80" s="148"/>
      <c r="IS80" s="148"/>
      <c r="IT80" s="148"/>
      <c r="IU80" s="148"/>
      <c r="IV80" s="148"/>
      <c r="IW80" s="148"/>
      <c r="IX80" s="148"/>
      <c r="IY80" s="148"/>
      <c r="IZ80" s="148"/>
      <c r="JA80" s="148"/>
      <c r="JB80" s="148"/>
      <c r="JC80" s="148"/>
      <c r="JD80" s="148"/>
      <c r="JE80" s="148"/>
      <c r="JF80" s="148"/>
      <c r="JG80" s="148"/>
      <c r="JH80" s="148"/>
      <c r="JI80" s="148"/>
      <c r="JJ80" s="148"/>
      <c r="JK80" s="148"/>
      <c r="JL80" s="148"/>
      <c r="JM80" s="148"/>
      <c r="JN80" s="148"/>
      <c r="JO80" s="148"/>
      <c r="JP80" s="148"/>
      <c r="JQ80" s="148"/>
      <c r="JR80" s="148"/>
      <c r="JS80" s="148"/>
      <c r="JT80" s="148"/>
      <c r="JU80" s="148"/>
      <c r="JV80" s="148"/>
      <c r="JW80" s="148"/>
      <c r="JX80" s="148"/>
      <c r="JY80" s="148"/>
      <c r="JZ80" s="148"/>
      <c r="KA80" s="148"/>
      <c r="KB80" s="148"/>
      <c r="KC80" s="148"/>
      <c r="KD80" s="148"/>
      <c r="KE80" s="148"/>
      <c r="KF80" s="148"/>
      <c r="KG80" s="148"/>
      <c r="KH80" s="148"/>
      <c r="KI80" s="148"/>
      <c r="KJ80" s="148"/>
      <c r="KK80" s="148"/>
      <c r="KL80" s="148"/>
      <c r="KM80" s="148"/>
      <c r="KN80" s="148"/>
      <c r="KO80" s="148"/>
      <c r="KP80" s="148"/>
      <c r="KQ80" s="148"/>
      <c r="KR80" s="148"/>
      <c r="KS80" s="148"/>
      <c r="KT80" s="148"/>
      <c r="KU80" s="148"/>
      <c r="KV80" s="148"/>
      <c r="KW80" s="148"/>
      <c r="KX80" s="148"/>
      <c r="KY80" s="148"/>
      <c r="KZ80" s="148"/>
      <c r="LA80" s="148"/>
      <c r="LB80" s="148"/>
      <c r="LC80" s="148"/>
      <c r="LD80" s="148"/>
      <c r="LE80" s="148"/>
      <c r="LF80" s="148"/>
      <c r="LG80" s="148"/>
      <c r="LH80" s="148"/>
      <c r="LI80" s="148"/>
      <c r="LJ80" s="148"/>
      <c r="LK80" s="148"/>
      <c r="LL80" s="148"/>
      <c r="LM80" s="148"/>
      <c r="LN80" s="148"/>
      <c r="LO80" s="148"/>
      <c r="LP80" s="148"/>
      <c r="LQ80" s="148"/>
      <c r="LR80" s="148"/>
      <c r="LS80" s="148"/>
      <c r="LT80" s="148"/>
      <c r="LU80" s="148"/>
      <c r="LV80" s="148"/>
      <c r="LW80" s="148"/>
      <c r="LX80" s="148"/>
      <c r="LY80" s="148"/>
      <c r="LZ80" s="148"/>
      <c r="MA80" s="148"/>
      <c r="MB80" s="148"/>
      <c r="MC80" s="148"/>
      <c r="MD80" s="148"/>
      <c r="ME80" s="148"/>
      <c r="MF80" s="148"/>
      <c r="MG80" s="148"/>
      <c r="MH80" s="148"/>
      <c r="MI80" s="148"/>
      <c r="MJ80" s="148"/>
      <c r="MK80" s="148"/>
      <c r="ML80" s="148"/>
      <c r="MM80" s="148"/>
      <c r="MN80" s="148"/>
      <c r="MO80" s="148"/>
      <c r="MP80" s="148"/>
      <c r="MQ80" s="148"/>
      <c r="MR80" s="148"/>
      <c r="MS80" s="148"/>
      <c r="MT80" s="148"/>
      <c r="MU80" s="148"/>
      <c r="MV80" s="148"/>
      <c r="MW80" s="148"/>
      <c r="MX80" s="148"/>
      <c r="MY80" s="148"/>
      <c r="MZ80" s="148"/>
      <c r="NA80" s="148"/>
      <c r="NB80" s="148"/>
      <c r="NC80" s="148"/>
      <c r="ND80" s="148"/>
      <c r="NE80" s="148"/>
      <c r="NF80" s="148"/>
      <c r="NG80" s="148"/>
      <c r="NH80" s="148"/>
      <c r="NI80" s="148"/>
      <c r="NJ80" s="148"/>
      <c r="NK80" s="148"/>
      <c r="NL80" s="148"/>
      <c r="NM80" s="148"/>
      <c r="NN80" s="148"/>
      <c r="NO80" s="148"/>
      <c r="NP80" s="148"/>
      <c r="NQ80" s="148"/>
      <c r="NR80" s="148"/>
      <c r="NS80" s="148"/>
      <c r="NT80" s="148"/>
      <c r="NU80" s="148"/>
      <c r="NV80" s="148"/>
      <c r="NW80" s="148"/>
      <c r="NX80" s="148"/>
      <c r="NY80" s="148"/>
      <c r="NZ80" s="148"/>
      <c r="OA80" s="148"/>
      <c r="OB80" s="148"/>
      <c r="OC80" s="148"/>
      <c r="OD80" s="148"/>
      <c r="OE80" s="148"/>
      <c r="OF80" s="148"/>
      <c r="OG80" s="148"/>
      <c r="OH80" s="148"/>
      <c r="OI80" s="148"/>
      <c r="OJ80" s="148"/>
      <c r="OK80" s="148"/>
      <c r="OL80" s="148"/>
      <c r="OM80" s="148"/>
      <c r="ON80" s="148"/>
      <c r="OO80" s="148"/>
      <c r="OP80" s="148"/>
      <c r="OQ80" s="148"/>
      <c r="OR80" s="148"/>
      <c r="OS80" s="148"/>
      <c r="OT80" s="148"/>
      <c r="OU80" s="148"/>
      <c r="OV80" s="148"/>
      <c r="OW80" s="148"/>
      <c r="OX80" s="148"/>
      <c r="OY80" s="148"/>
      <c r="OZ80" s="148"/>
      <c r="PA80" s="148"/>
      <c r="PB80" s="148"/>
      <c r="PC80" s="148"/>
      <c r="PD80" s="148"/>
      <c r="PE80" s="148"/>
      <c r="PF80" s="148"/>
      <c r="PG80" s="148"/>
      <c r="PH80" s="148"/>
      <c r="PI80" s="148"/>
      <c r="PJ80" s="148"/>
      <c r="PK80" s="148"/>
      <c r="PL80" s="148"/>
      <c r="PM80" s="148"/>
      <c r="PN80" s="148"/>
      <c r="PO80" s="148"/>
      <c r="PP80" s="148"/>
      <c r="PQ80" s="148"/>
      <c r="PR80" s="148"/>
      <c r="PS80" s="148"/>
      <c r="PT80" s="148"/>
      <c r="PU80" s="148"/>
      <c r="PV80" s="148"/>
      <c r="PW80" s="148"/>
      <c r="PX80" s="148"/>
      <c r="PY80" s="148"/>
      <c r="PZ80" s="148"/>
      <c r="QA80" s="148"/>
      <c r="QB80" s="148"/>
      <c r="QC80" s="148"/>
      <c r="QD80" s="148"/>
      <c r="QE80" s="148"/>
      <c r="QF80" s="148"/>
      <c r="QG80" s="148"/>
      <c r="QH80" s="148"/>
      <c r="QI80" s="148"/>
      <c r="QJ80" s="148"/>
      <c r="QK80" s="148"/>
      <c r="QL80" s="148"/>
      <c r="QM80" s="148"/>
      <c r="QN80" s="148"/>
      <c r="QO80" s="148"/>
      <c r="QP80" s="148"/>
      <c r="QQ80" s="148"/>
      <c r="QR80" s="148"/>
      <c r="QS80" s="148"/>
      <c r="QT80" s="148"/>
      <c r="QU80" s="148"/>
      <c r="QV80" s="148"/>
      <c r="QW80" s="148"/>
      <c r="QX80" s="148"/>
      <c r="QY80" s="148"/>
      <c r="QZ80" s="148"/>
      <c r="RA80" s="148"/>
      <c r="RB80" s="148"/>
      <c r="RC80" s="148"/>
      <c r="RD80" s="148"/>
      <c r="RE80" s="148"/>
      <c r="RF80" s="148"/>
      <c r="RG80" s="148"/>
      <c r="RH80" s="148"/>
      <c r="RI80" s="148"/>
      <c r="RJ80" s="148"/>
      <c r="RK80" s="148"/>
      <c r="RL80" s="148"/>
      <c r="RM80" s="148"/>
      <c r="RN80" s="148"/>
      <c r="RO80" s="148"/>
      <c r="RP80" s="148"/>
      <c r="RQ80" s="148"/>
      <c r="RR80" s="148"/>
    </row>
    <row r="81" spans="1:486" s="15" customFormat="1" x14ac:dyDescent="0.25">
      <c r="A81" s="148"/>
      <c r="B81" s="350">
        <v>69</v>
      </c>
      <c r="C81" s="650" t="s">
        <v>894</v>
      </c>
      <c r="D81" s="653">
        <v>40010037</v>
      </c>
      <c r="E81" s="344" t="s">
        <v>2810</v>
      </c>
      <c r="F81" s="653" t="s">
        <v>897</v>
      </c>
      <c r="G81" s="17" t="s">
        <v>2693</v>
      </c>
      <c r="H81" s="317" t="s">
        <v>2811</v>
      </c>
      <c r="I81" s="653" t="s">
        <v>43</v>
      </c>
      <c r="J81" s="341">
        <v>394910</v>
      </c>
      <c r="K81" s="633">
        <v>0</v>
      </c>
      <c r="L81" s="633">
        <v>0</v>
      </c>
      <c r="M81" s="633">
        <v>0</v>
      </c>
      <c r="N81" s="633">
        <v>0</v>
      </c>
      <c r="O81" s="633">
        <v>0</v>
      </c>
      <c r="P81" s="633">
        <v>0</v>
      </c>
      <c r="Q81" s="633">
        <v>0</v>
      </c>
      <c r="R81" s="633">
        <v>0</v>
      </c>
      <c r="S81" s="633"/>
      <c r="T81" s="633"/>
      <c r="U81" s="633"/>
      <c r="V81" s="633"/>
      <c r="W81" s="633"/>
      <c r="X81" s="633"/>
      <c r="Y81" s="633">
        <f t="shared" ref="Y81:Y144" si="3">SUM(M81:X81)</f>
        <v>0</v>
      </c>
      <c r="Z81" s="637">
        <v>100000</v>
      </c>
      <c r="AA81" s="19">
        <v>25</v>
      </c>
      <c r="AB81" s="315">
        <v>44312</v>
      </c>
      <c r="AC81" s="315">
        <v>44328</v>
      </c>
      <c r="AD81" s="652"/>
      <c r="AE81" s="20"/>
      <c r="AF81" s="21"/>
      <c r="AG81" s="23"/>
      <c r="AH81" s="637"/>
      <c r="AI81" s="19"/>
      <c r="AJ81" s="21"/>
      <c r="AK81" s="25"/>
      <c r="AL81" s="309"/>
      <c r="AM81" s="19"/>
      <c r="AN81" s="21"/>
      <c r="AO81" s="25"/>
      <c r="AP81" s="309"/>
      <c r="AQ81" s="19"/>
      <c r="AR81" s="21"/>
      <c r="AS81" s="25"/>
      <c r="AT81" s="638">
        <f t="shared" ref="AT81:AT144" si="4">+Z81+AD81+AH81+AL81+AP81</f>
        <v>100000</v>
      </c>
      <c r="AU81" s="311">
        <f t="shared" si="0"/>
        <v>100000</v>
      </c>
      <c r="AV81" s="148"/>
      <c r="AW81" s="148"/>
      <c r="AX81" s="148"/>
      <c r="AY81" s="148"/>
      <c r="AZ81" s="148"/>
      <c r="BA81" s="148"/>
      <c r="BB81" s="148"/>
      <c r="BC81" s="148"/>
      <c r="BD81" s="148"/>
      <c r="BE81" s="148"/>
      <c r="BF81" s="148"/>
      <c r="BG81" s="148"/>
      <c r="BH81" s="148"/>
      <c r="BI81" s="148"/>
      <c r="BJ81" s="148"/>
      <c r="BK81" s="148"/>
      <c r="BL81" s="148"/>
      <c r="BM81" s="148"/>
      <c r="BN81" s="148"/>
      <c r="BO81" s="148"/>
      <c r="BP81" s="148"/>
      <c r="BQ81" s="148"/>
      <c r="BR81" s="148"/>
      <c r="BS81" s="148"/>
      <c r="BT81" s="148"/>
      <c r="BU81" s="148"/>
      <c r="BV81" s="148"/>
      <c r="BW81" s="148"/>
      <c r="BX81" s="148"/>
      <c r="BY81" s="148"/>
      <c r="BZ81" s="148"/>
      <c r="CA81" s="148"/>
      <c r="CB81" s="148"/>
      <c r="CC81" s="148"/>
      <c r="CD81" s="148"/>
      <c r="CE81" s="148"/>
      <c r="CF81" s="148"/>
      <c r="CG81" s="148"/>
      <c r="CH81" s="148"/>
      <c r="CI81" s="148"/>
      <c r="CJ81" s="148"/>
      <c r="CK81" s="148"/>
      <c r="CL81" s="148"/>
      <c r="CM81" s="148"/>
      <c r="CN81" s="148"/>
      <c r="CO81" s="148"/>
      <c r="CP81" s="148"/>
      <c r="CQ81" s="148"/>
      <c r="CR81" s="148"/>
      <c r="CS81" s="148"/>
      <c r="CT81" s="148"/>
      <c r="CU81" s="148"/>
      <c r="CV81" s="148"/>
      <c r="CW81" s="148"/>
      <c r="CX81" s="148"/>
      <c r="CY81" s="148"/>
      <c r="CZ81" s="148"/>
      <c r="DA81" s="148"/>
      <c r="DB81" s="148"/>
      <c r="DC81" s="148"/>
      <c r="DD81" s="148"/>
      <c r="DE81" s="148"/>
      <c r="DF81" s="148"/>
      <c r="DG81" s="148"/>
      <c r="DH81" s="148"/>
      <c r="DI81" s="148"/>
      <c r="DJ81" s="148"/>
      <c r="DK81" s="148"/>
      <c r="DL81" s="148"/>
      <c r="DM81" s="148"/>
      <c r="DN81" s="148"/>
      <c r="DO81" s="148"/>
      <c r="DP81" s="148"/>
      <c r="DQ81" s="148"/>
      <c r="DR81" s="148"/>
      <c r="DS81" s="148"/>
      <c r="DT81" s="148"/>
      <c r="DU81" s="148"/>
      <c r="DV81" s="148"/>
      <c r="DW81" s="148"/>
      <c r="DX81" s="148"/>
      <c r="DY81" s="148"/>
      <c r="DZ81" s="148"/>
      <c r="EA81" s="148"/>
      <c r="EB81" s="148"/>
      <c r="EC81" s="148"/>
      <c r="ED81" s="148"/>
      <c r="EE81" s="148"/>
      <c r="EF81" s="148"/>
      <c r="EG81" s="148"/>
      <c r="EH81" s="148"/>
      <c r="EI81" s="148"/>
      <c r="EJ81" s="148"/>
      <c r="EK81" s="148"/>
      <c r="EL81" s="148"/>
      <c r="EM81" s="148"/>
      <c r="EN81" s="148"/>
      <c r="EO81" s="148"/>
      <c r="EP81" s="148"/>
      <c r="EQ81" s="148"/>
      <c r="ER81" s="148"/>
      <c r="ES81" s="148"/>
      <c r="ET81" s="148"/>
      <c r="EU81" s="148"/>
      <c r="EV81" s="148"/>
      <c r="EW81" s="148"/>
      <c r="EX81" s="148"/>
      <c r="EY81" s="148"/>
      <c r="EZ81" s="148"/>
      <c r="FA81" s="148"/>
      <c r="FB81" s="148"/>
      <c r="FC81" s="148"/>
      <c r="FD81" s="148"/>
      <c r="FE81" s="148"/>
      <c r="FF81" s="148"/>
      <c r="FG81" s="148"/>
      <c r="FH81" s="148"/>
      <c r="FI81" s="148"/>
      <c r="FJ81" s="148"/>
      <c r="FK81" s="148"/>
      <c r="FL81" s="148"/>
      <c r="FM81" s="148"/>
      <c r="FN81" s="148"/>
      <c r="FO81" s="148"/>
      <c r="FP81" s="148"/>
      <c r="FQ81" s="148"/>
      <c r="FR81" s="148"/>
      <c r="FS81" s="148"/>
      <c r="FT81" s="148"/>
      <c r="FU81" s="148"/>
      <c r="FV81" s="148"/>
      <c r="FW81" s="148"/>
      <c r="FX81" s="148"/>
      <c r="FY81" s="148"/>
      <c r="FZ81" s="148"/>
      <c r="GA81" s="148"/>
      <c r="GB81" s="148"/>
      <c r="GC81" s="148"/>
      <c r="GD81" s="148"/>
      <c r="GE81" s="148"/>
      <c r="GF81" s="148"/>
      <c r="GG81" s="148"/>
      <c r="GH81" s="148"/>
      <c r="GI81" s="148"/>
      <c r="GJ81" s="148"/>
      <c r="GK81" s="148"/>
      <c r="GL81" s="148"/>
      <c r="GM81" s="148"/>
      <c r="GN81" s="148"/>
      <c r="GO81" s="148"/>
      <c r="GP81" s="148"/>
      <c r="GQ81" s="148"/>
      <c r="GR81" s="148"/>
      <c r="GS81" s="148"/>
      <c r="GT81" s="148"/>
      <c r="GU81" s="148"/>
      <c r="GV81" s="148"/>
      <c r="GW81" s="148"/>
      <c r="GX81" s="148"/>
      <c r="GY81" s="148"/>
      <c r="GZ81" s="148"/>
      <c r="HA81" s="148"/>
      <c r="HB81" s="148"/>
      <c r="HC81" s="148"/>
      <c r="HD81" s="148"/>
      <c r="HE81" s="148"/>
      <c r="HF81" s="148"/>
      <c r="HG81" s="148"/>
      <c r="HH81" s="148"/>
      <c r="HI81" s="148"/>
      <c r="HJ81" s="148"/>
      <c r="HK81" s="148"/>
      <c r="HL81" s="148"/>
      <c r="HM81" s="148"/>
      <c r="HN81" s="148"/>
      <c r="HO81" s="148"/>
      <c r="HP81" s="148"/>
      <c r="HQ81" s="148"/>
      <c r="HR81" s="148"/>
      <c r="HS81" s="148"/>
      <c r="HT81" s="148"/>
      <c r="HU81" s="148"/>
      <c r="HV81" s="148"/>
      <c r="HW81" s="148"/>
      <c r="HX81" s="148"/>
      <c r="HY81" s="148"/>
      <c r="HZ81" s="148"/>
      <c r="IA81" s="148"/>
      <c r="IB81" s="148"/>
      <c r="IC81" s="148"/>
      <c r="ID81" s="148"/>
      <c r="IE81" s="148"/>
      <c r="IF81" s="148"/>
      <c r="IG81" s="148"/>
      <c r="IH81" s="148"/>
      <c r="II81" s="148"/>
      <c r="IJ81" s="148"/>
      <c r="IK81" s="148"/>
      <c r="IL81" s="148"/>
      <c r="IM81" s="148"/>
      <c r="IN81" s="148"/>
      <c r="IO81" s="148"/>
      <c r="IP81" s="148"/>
      <c r="IQ81" s="148"/>
      <c r="IR81" s="148"/>
      <c r="IS81" s="148"/>
      <c r="IT81" s="148"/>
      <c r="IU81" s="148"/>
      <c r="IV81" s="148"/>
      <c r="IW81" s="148"/>
      <c r="IX81" s="148"/>
      <c r="IY81" s="148"/>
      <c r="IZ81" s="148"/>
      <c r="JA81" s="148"/>
      <c r="JB81" s="148"/>
      <c r="JC81" s="148"/>
      <c r="JD81" s="148"/>
      <c r="JE81" s="148"/>
      <c r="JF81" s="148"/>
      <c r="JG81" s="148"/>
      <c r="JH81" s="148"/>
      <c r="JI81" s="148"/>
      <c r="JJ81" s="148"/>
      <c r="JK81" s="148"/>
      <c r="JL81" s="148"/>
      <c r="JM81" s="148"/>
      <c r="JN81" s="148"/>
      <c r="JO81" s="148"/>
      <c r="JP81" s="148"/>
      <c r="JQ81" s="148"/>
      <c r="JR81" s="148"/>
      <c r="JS81" s="148"/>
      <c r="JT81" s="148"/>
      <c r="JU81" s="148"/>
      <c r="JV81" s="148"/>
      <c r="JW81" s="148"/>
      <c r="JX81" s="148"/>
      <c r="JY81" s="148"/>
      <c r="JZ81" s="148"/>
      <c r="KA81" s="148"/>
      <c r="KB81" s="148"/>
      <c r="KC81" s="148"/>
      <c r="KD81" s="148"/>
      <c r="KE81" s="148"/>
      <c r="KF81" s="148"/>
      <c r="KG81" s="148"/>
      <c r="KH81" s="148"/>
      <c r="KI81" s="148"/>
      <c r="KJ81" s="148"/>
      <c r="KK81" s="148"/>
      <c r="KL81" s="148"/>
      <c r="KM81" s="148"/>
      <c r="KN81" s="148"/>
      <c r="KO81" s="148"/>
      <c r="KP81" s="148"/>
      <c r="KQ81" s="148"/>
      <c r="KR81" s="148"/>
      <c r="KS81" s="148"/>
      <c r="KT81" s="148"/>
      <c r="KU81" s="148"/>
      <c r="KV81" s="148"/>
      <c r="KW81" s="148"/>
      <c r="KX81" s="148"/>
      <c r="KY81" s="148"/>
      <c r="KZ81" s="148"/>
      <c r="LA81" s="148"/>
      <c r="LB81" s="148"/>
      <c r="LC81" s="148"/>
      <c r="LD81" s="148"/>
      <c r="LE81" s="148"/>
      <c r="LF81" s="148"/>
      <c r="LG81" s="148"/>
      <c r="LH81" s="148"/>
      <c r="LI81" s="148"/>
      <c r="LJ81" s="148"/>
      <c r="LK81" s="148"/>
      <c r="LL81" s="148"/>
      <c r="LM81" s="148"/>
      <c r="LN81" s="148"/>
      <c r="LO81" s="148"/>
      <c r="LP81" s="148"/>
      <c r="LQ81" s="148"/>
      <c r="LR81" s="148"/>
      <c r="LS81" s="148"/>
      <c r="LT81" s="148"/>
      <c r="LU81" s="148"/>
      <c r="LV81" s="148"/>
      <c r="LW81" s="148"/>
      <c r="LX81" s="148"/>
      <c r="LY81" s="148"/>
      <c r="LZ81" s="148"/>
      <c r="MA81" s="148"/>
      <c r="MB81" s="148"/>
      <c r="MC81" s="148"/>
      <c r="MD81" s="148"/>
      <c r="ME81" s="148"/>
      <c r="MF81" s="148"/>
      <c r="MG81" s="148"/>
      <c r="MH81" s="148"/>
      <c r="MI81" s="148"/>
      <c r="MJ81" s="148"/>
      <c r="MK81" s="148"/>
      <c r="ML81" s="148"/>
      <c r="MM81" s="148"/>
      <c r="MN81" s="148"/>
      <c r="MO81" s="148"/>
      <c r="MP81" s="148"/>
      <c r="MQ81" s="148"/>
      <c r="MR81" s="148"/>
      <c r="MS81" s="148"/>
      <c r="MT81" s="148"/>
      <c r="MU81" s="148"/>
      <c r="MV81" s="148"/>
      <c r="MW81" s="148"/>
      <c r="MX81" s="148"/>
      <c r="MY81" s="148"/>
      <c r="MZ81" s="148"/>
      <c r="NA81" s="148"/>
      <c r="NB81" s="148"/>
      <c r="NC81" s="148"/>
      <c r="ND81" s="148"/>
      <c r="NE81" s="148"/>
      <c r="NF81" s="148"/>
      <c r="NG81" s="148"/>
      <c r="NH81" s="148"/>
      <c r="NI81" s="148"/>
      <c r="NJ81" s="148"/>
      <c r="NK81" s="148"/>
      <c r="NL81" s="148"/>
      <c r="NM81" s="148"/>
      <c r="NN81" s="148"/>
      <c r="NO81" s="148"/>
      <c r="NP81" s="148"/>
      <c r="NQ81" s="148"/>
      <c r="NR81" s="148"/>
      <c r="NS81" s="148"/>
      <c r="NT81" s="148"/>
      <c r="NU81" s="148"/>
      <c r="NV81" s="148"/>
      <c r="NW81" s="148"/>
      <c r="NX81" s="148"/>
      <c r="NY81" s="148"/>
      <c r="NZ81" s="148"/>
      <c r="OA81" s="148"/>
      <c r="OB81" s="148"/>
      <c r="OC81" s="148"/>
      <c r="OD81" s="148"/>
      <c r="OE81" s="148"/>
      <c r="OF81" s="148"/>
      <c r="OG81" s="148"/>
      <c r="OH81" s="148"/>
      <c r="OI81" s="148"/>
      <c r="OJ81" s="148"/>
      <c r="OK81" s="148"/>
      <c r="OL81" s="148"/>
      <c r="OM81" s="148"/>
      <c r="ON81" s="148"/>
      <c r="OO81" s="148"/>
      <c r="OP81" s="148"/>
      <c r="OQ81" s="148"/>
      <c r="OR81" s="148"/>
      <c r="OS81" s="148"/>
      <c r="OT81" s="148"/>
      <c r="OU81" s="148"/>
      <c r="OV81" s="148"/>
      <c r="OW81" s="148"/>
      <c r="OX81" s="148"/>
      <c r="OY81" s="148"/>
      <c r="OZ81" s="148"/>
      <c r="PA81" s="148"/>
      <c r="PB81" s="148"/>
      <c r="PC81" s="148"/>
      <c r="PD81" s="148"/>
      <c r="PE81" s="148"/>
      <c r="PF81" s="148"/>
      <c r="PG81" s="148"/>
      <c r="PH81" s="148"/>
      <c r="PI81" s="148"/>
      <c r="PJ81" s="148"/>
      <c r="PK81" s="148"/>
      <c r="PL81" s="148"/>
      <c r="PM81" s="148"/>
      <c r="PN81" s="148"/>
      <c r="PO81" s="148"/>
      <c r="PP81" s="148"/>
      <c r="PQ81" s="148"/>
      <c r="PR81" s="148"/>
      <c r="PS81" s="148"/>
      <c r="PT81" s="148"/>
      <c r="PU81" s="148"/>
      <c r="PV81" s="148"/>
      <c r="PW81" s="148"/>
      <c r="PX81" s="148"/>
      <c r="PY81" s="148"/>
      <c r="PZ81" s="148"/>
      <c r="QA81" s="148"/>
      <c r="QB81" s="148"/>
      <c r="QC81" s="148"/>
      <c r="QD81" s="148"/>
      <c r="QE81" s="148"/>
      <c r="QF81" s="148"/>
      <c r="QG81" s="148"/>
      <c r="QH81" s="148"/>
      <c r="QI81" s="148"/>
      <c r="QJ81" s="148"/>
      <c r="QK81" s="148"/>
      <c r="QL81" s="148"/>
      <c r="QM81" s="148"/>
      <c r="QN81" s="148"/>
      <c r="QO81" s="148"/>
      <c r="QP81" s="148"/>
      <c r="QQ81" s="148"/>
      <c r="QR81" s="148"/>
      <c r="QS81" s="148"/>
      <c r="QT81" s="148"/>
      <c r="QU81" s="148"/>
      <c r="QV81" s="148"/>
      <c r="QW81" s="148"/>
      <c r="QX81" s="148"/>
      <c r="QY81" s="148"/>
      <c r="QZ81" s="148"/>
      <c r="RA81" s="148"/>
      <c r="RB81" s="148"/>
      <c r="RC81" s="148"/>
      <c r="RD81" s="148"/>
      <c r="RE81" s="148"/>
      <c r="RF81" s="148"/>
      <c r="RG81" s="148"/>
      <c r="RH81" s="148"/>
      <c r="RI81" s="148"/>
      <c r="RJ81" s="148"/>
      <c r="RK81" s="148"/>
      <c r="RL81" s="148"/>
      <c r="RM81" s="148"/>
      <c r="RN81" s="148"/>
      <c r="RO81" s="148"/>
      <c r="RP81" s="148"/>
      <c r="RQ81" s="148"/>
      <c r="RR81" s="148"/>
    </row>
    <row r="82" spans="1:486" s="15" customFormat="1" x14ac:dyDescent="0.25">
      <c r="A82" s="148"/>
      <c r="B82" s="350">
        <v>70</v>
      </c>
      <c r="C82" s="643" t="s">
        <v>894</v>
      </c>
      <c r="D82" s="653">
        <v>40016564</v>
      </c>
      <c r="E82" s="344" t="s">
        <v>2828</v>
      </c>
      <c r="F82" s="653" t="s">
        <v>897</v>
      </c>
      <c r="G82" s="17" t="s">
        <v>2693</v>
      </c>
      <c r="H82" s="317" t="s">
        <v>2789</v>
      </c>
      <c r="I82" s="653" t="s">
        <v>43</v>
      </c>
      <c r="J82" s="341">
        <v>1440986</v>
      </c>
      <c r="K82" s="633">
        <v>1860</v>
      </c>
      <c r="L82" s="633">
        <v>0</v>
      </c>
      <c r="M82" s="633">
        <v>0</v>
      </c>
      <c r="N82" s="633">
        <v>0</v>
      </c>
      <c r="O82" s="633">
        <v>0</v>
      </c>
      <c r="P82" s="633">
        <v>0</v>
      </c>
      <c r="Q82" s="633">
        <v>0</v>
      </c>
      <c r="R82" s="633">
        <v>0</v>
      </c>
      <c r="S82" s="633"/>
      <c r="T82" s="633"/>
      <c r="U82" s="633"/>
      <c r="V82" s="633"/>
      <c r="W82" s="633"/>
      <c r="X82" s="633"/>
      <c r="Y82" s="633">
        <f t="shared" si="3"/>
        <v>0</v>
      </c>
      <c r="Z82" s="637">
        <v>590000</v>
      </c>
      <c r="AA82" s="19">
        <v>25</v>
      </c>
      <c r="AB82" s="315">
        <v>44312</v>
      </c>
      <c r="AC82" s="315">
        <v>44328</v>
      </c>
      <c r="AD82" s="652"/>
      <c r="AE82" s="20"/>
      <c r="AF82" s="21"/>
      <c r="AG82" s="23"/>
      <c r="AH82" s="637"/>
      <c r="AI82" s="19"/>
      <c r="AJ82" s="21"/>
      <c r="AK82" s="25"/>
      <c r="AL82" s="309"/>
      <c r="AM82" s="19"/>
      <c r="AN82" s="21"/>
      <c r="AO82" s="25"/>
      <c r="AP82" s="309"/>
      <c r="AQ82" s="19"/>
      <c r="AR82" s="21"/>
      <c r="AS82" s="25"/>
      <c r="AT82" s="638">
        <f t="shared" si="4"/>
        <v>590000</v>
      </c>
      <c r="AU82" s="311">
        <f t="shared" si="0"/>
        <v>590000</v>
      </c>
      <c r="AV82" s="148"/>
      <c r="AW82" s="148"/>
      <c r="AX82" s="148"/>
      <c r="AY82" s="148"/>
      <c r="AZ82" s="148"/>
      <c r="BA82" s="148"/>
      <c r="BB82" s="148"/>
      <c r="BC82" s="148"/>
      <c r="BD82" s="148"/>
      <c r="BE82" s="148"/>
      <c r="BF82" s="148"/>
      <c r="BG82" s="148"/>
      <c r="BH82" s="148"/>
      <c r="BI82" s="148"/>
      <c r="BJ82" s="148"/>
      <c r="BK82" s="148"/>
      <c r="BL82" s="148"/>
      <c r="BM82" s="148"/>
      <c r="BN82" s="148"/>
      <c r="BO82" s="148"/>
      <c r="BP82" s="148"/>
      <c r="BQ82" s="148"/>
      <c r="BR82" s="148"/>
      <c r="BS82" s="148"/>
      <c r="BT82" s="148"/>
      <c r="BU82" s="148"/>
      <c r="BV82" s="148"/>
      <c r="BW82" s="148"/>
      <c r="BX82" s="148"/>
      <c r="BY82" s="148"/>
      <c r="BZ82" s="148"/>
      <c r="CA82" s="148"/>
      <c r="CB82" s="148"/>
      <c r="CC82" s="148"/>
      <c r="CD82" s="148"/>
      <c r="CE82" s="148"/>
      <c r="CF82" s="148"/>
      <c r="CG82" s="148"/>
      <c r="CH82" s="148"/>
      <c r="CI82" s="148"/>
      <c r="CJ82" s="148"/>
      <c r="CK82" s="148"/>
      <c r="CL82" s="148"/>
      <c r="CM82" s="148"/>
      <c r="CN82" s="148"/>
      <c r="CO82" s="148"/>
      <c r="CP82" s="148"/>
      <c r="CQ82" s="148"/>
      <c r="CR82" s="148"/>
      <c r="CS82" s="148"/>
      <c r="CT82" s="148"/>
      <c r="CU82" s="148"/>
      <c r="CV82" s="148"/>
      <c r="CW82" s="148"/>
      <c r="CX82" s="148"/>
      <c r="CY82" s="148"/>
      <c r="CZ82" s="148"/>
      <c r="DA82" s="148"/>
      <c r="DB82" s="148"/>
      <c r="DC82" s="148"/>
      <c r="DD82" s="148"/>
      <c r="DE82" s="148"/>
      <c r="DF82" s="148"/>
      <c r="DG82" s="148"/>
      <c r="DH82" s="148"/>
      <c r="DI82" s="148"/>
      <c r="DJ82" s="148"/>
      <c r="DK82" s="148"/>
      <c r="DL82" s="148"/>
      <c r="DM82" s="148"/>
      <c r="DN82" s="148"/>
      <c r="DO82" s="148"/>
      <c r="DP82" s="148"/>
      <c r="DQ82" s="148"/>
      <c r="DR82" s="148"/>
      <c r="DS82" s="148"/>
      <c r="DT82" s="148"/>
      <c r="DU82" s="148"/>
      <c r="DV82" s="148"/>
      <c r="DW82" s="148"/>
      <c r="DX82" s="148"/>
      <c r="DY82" s="148"/>
      <c r="DZ82" s="148"/>
      <c r="EA82" s="148"/>
      <c r="EB82" s="148"/>
      <c r="EC82" s="148"/>
      <c r="ED82" s="148"/>
      <c r="EE82" s="148"/>
      <c r="EF82" s="148"/>
      <c r="EG82" s="148"/>
      <c r="EH82" s="148"/>
      <c r="EI82" s="148"/>
      <c r="EJ82" s="148"/>
      <c r="EK82" s="148"/>
      <c r="EL82" s="148"/>
      <c r="EM82" s="148"/>
      <c r="EN82" s="148"/>
      <c r="EO82" s="148"/>
      <c r="EP82" s="148"/>
      <c r="EQ82" s="148"/>
      <c r="ER82" s="148"/>
      <c r="ES82" s="148"/>
      <c r="ET82" s="148"/>
      <c r="EU82" s="148"/>
      <c r="EV82" s="148"/>
      <c r="EW82" s="148"/>
      <c r="EX82" s="148"/>
      <c r="EY82" s="148"/>
      <c r="EZ82" s="148"/>
      <c r="FA82" s="148"/>
      <c r="FB82" s="148"/>
      <c r="FC82" s="148"/>
      <c r="FD82" s="148"/>
      <c r="FE82" s="148"/>
      <c r="FF82" s="148"/>
      <c r="FG82" s="148"/>
      <c r="FH82" s="148"/>
      <c r="FI82" s="148"/>
      <c r="FJ82" s="148"/>
      <c r="FK82" s="148"/>
      <c r="FL82" s="148"/>
      <c r="FM82" s="148"/>
      <c r="FN82" s="148"/>
      <c r="FO82" s="148"/>
      <c r="FP82" s="148"/>
      <c r="FQ82" s="148"/>
      <c r="FR82" s="148"/>
      <c r="FS82" s="148"/>
      <c r="FT82" s="148"/>
      <c r="FU82" s="148"/>
      <c r="FV82" s="148"/>
      <c r="FW82" s="148"/>
      <c r="FX82" s="148"/>
      <c r="FY82" s="148"/>
      <c r="FZ82" s="148"/>
      <c r="GA82" s="148"/>
      <c r="GB82" s="148"/>
      <c r="GC82" s="148"/>
      <c r="GD82" s="148"/>
      <c r="GE82" s="148"/>
      <c r="GF82" s="148"/>
      <c r="GG82" s="148"/>
      <c r="GH82" s="148"/>
      <c r="GI82" s="148"/>
      <c r="GJ82" s="148"/>
      <c r="GK82" s="148"/>
      <c r="GL82" s="148"/>
      <c r="GM82" s="148"/>
      <c r="GN82" s="148"/>
      <c r="GO82" s="148"/>
      <c r="GP82" s="148"/>
      <c r="GQ82" s="148"/>
      <c r="GR82" s="148"/>
      <c r="GS82" s="148"/>
      <c r="GT82" s="148"/>
      <c r="GU82" s="148"/>
      <c r="GV82" s="148"/>
      <c r="GW82" s="148"/>
      <c r="GX82" s="148"/>
      <c r="GY82" s="148"/>
      <c r="GZ82" s="148"/>
      <c r="HA82" s="148"/>
      <c r="HB82" s="148"/>
      <c r="HC82" s="148"/>
      <c r="HD82" s="148"/>
      <c r="HE82" s="148"/>
      <c r="HF82" s="148"/>
      <c r="HG82" s="148"/>
      <c r="HH82" s="148"/>
      <c r="HI82" s="148"/>
      <c r="HJ82" s="148"/>
      <c r="HK82" s="148"/>
      <c r="HL82" s="148"/>
      <c r="HM82" s="148"/>
      <c r="HN82" s="148"/>
      <c r="HO82" s="148"/>
      <c r="HP82" s="148"/>
      <c r="HQ82" s="148"/>
      <c r="HR82" s="148"/>
      <c r="HS82" s="148"/>
      <c r="HT82" s="148"/>
      <c r="HU82" s="148"/>
      <c r="HV82" s="148"/>
      <c r="HW82" s="148"/>
      <c r="HX82" s="148"/>
      <c r="HY82" s="148"/>
      <c r="HZ82" s="148"/>
      <c r="IA82" s="148"/>
      <c r="IB82" s="148"/>
      <c r="IC82" s="148"/>
      <c r="ID82" s="148"/>
      <c r="IE82" s="148"/>
      <c r="IF82" s="148"/>
      <c r="IG82" s="148"/>
      <c r="IH82" s="148"/>
      <c r="II82" s="148"/>
      <c r="IJ82" s="148"/>
      <c r="IK82" s="148"/>
      <c r="IL82" s="148"/>
      <c r="IM82" s="148"/>
      <c r="IN82" s="148"/>
      <c r="IO82" s="148"/>
      <c r="IP82" s="148"/>
      <c r="IQ82" s="148"/>
      <c r="IR82" s="148"/>
      <c r="IS82" s="148"/>
      <c r="IT82" s="148"/>
      <c r="IU82" s="148"/>
      <c r="IV82" s="148"/>
      <c r="IW82" s="148"/>
      <c r="IX82" s="148"/>
      <c r="IY82" s="148"/>
      <c r="IZ82" s="148"/>
      <c r="JA82" s="148"/>
      <c r="JB82" s="148"/>
      <c r="JC82" s="148"/>
      <c r="JD82" s="148"/>
      <c r="JE82" s="148"/>
      <c r="JF82" s="148"/>
      <c r="JG82" s="148"/>
      <c r="JH82" s="148"/>
      <c r="JI82" s="148"/>
      <c r="JJ82" s="148"/>
      <c r="JK82" s="148"/>
      <c r="JL82" s="148"/>
      <c r="JM82" s="148"/>
      <c r="JN82" s="148"/>
      <c r="JO82" s="148"/>
      <c r="JP82" s="148"/>
      <c r="JQ82" s="148"/>
      <c r="JR82" s="148"/>
      <c r="JS82" s="148"/>
      <c r="JT82" s="148"/>
      <c r="JU82" s="148"/>
      <c r="JV82" s="148"/>
      <c r="JW82" s="148"/>
      <c r="JX82" s="148"/>
      <c r="JY82" s="148"/>
      <c r="JZ82" s="148"/>
      <c r="KA82" s="148"/>
      <c r="KB82" s="148"/>
      <c r="KC82" s="148"/>
      <c r="KD82" s="148"/>
      <c r="KE82" s="148"/>
      <c r="KF82" s="148"/>
      <c r="KG82" s="148"/>
      <c r="KH82" s="148"/>
      <c r="KI82" s="148"/>
      <c r="KJ82" s="148"/>
      <c r="KK82" s="148"/>
      <c r="KL82" s="148"/>
      <c r="KM82" s="148"/>
      <c r="KN82" s="148"/>
      <c r="KO82" s="148"/>
      <c r="KP82" s="148"/>
      <c r="KQ82" s="148"/>
      <c r="KR82" s="148"/>
      <c r="KS82" s="148"/>
      <c r="KT82" s="148"/>
      <c r="KU82" s="148"/>
      <c r="KV82" s="148"/>
      <c r="KW82" s="148"/>
      <c r="KX82" s="148"/>
      <c r="KY82" s="148"/>
      <c r="KZ82" s="148"/>
      <c r="LA82" s="148"/>
      <c r="LB82" s="148"/>
      <c r="LC82" s="148"/>
      <c r="LD82" s="148"/>
      <c r="LE82" s="148"/>
      <c r="LF82" s="148"/>
      <c r="LG82" s="148"/>
      <c r="LH82" s="148"/>
      <c r="LI82" s="148"/>
      <c r="LJ82" s="148"/>
      <c r="LK82" s="148"/>
      <c r="LL82" s="148"/>
      <c r="LM82" s="148"/>
      <c r="LN82" s="148"/>
      <c r="LO82" s="148"/>
      <c r="LP82" s="148"/>
      <c r="LQ82" s="148"/>
      <c r="LR82" s="148"/>
      <c r="LS82" s="148"/>
      <c r="LT82" s="148"/>
      <c r="LU82" s="148"/>
      <c r="LV82" s="148"/>
      <c r="LW82" s="148"/>
      <c r="LX82" s="148"/>
      <c r="LY82" s="148"/>
      <c r="LZ82" s="148"/>
      <c r="MA82" s="148"/>
      <c r="MB82" s="148"/>
      <c r="MC82" s="148"/>
      <c r="MD82" s="148"/>
      <c r="ME82" s="148"/>
      <c r="MF82" s="148"/>
      <c r="MG82" s="148"/>
      <c r="MH82" s="148"/>
      <c r="MI82" s="148"/>
      <c r="MJ82" s="148"/>
      <c r="MK82" s="148"/>
      <c r="ML82" s="148"/>
      <c r="MM82" s="148"/>
      <c r="MN82" s="148"/>
      <c r="MO82" s="148"/>
      <c r="MP82" s="148"/>
      <c r="MQ82" s="148"/>
      <c r="MR82" s="148"/>
      <c r="MS82" s="148"/>
      <c r="MT82" s="148"/>
      <c r="MU82" s="148"/>
      <c r="MV82" s="148"/>
      <c r="MW82" s="148"/>
      <c r="MX82" s="148"/>
      <c r="MY82" s="148"/>
      <c r="MZ82" s="148"/>
      <c r="NA82" s="148"/>
      <c r="NB82" s="148"/>
      <c r="NC82" s="148"/>
      <c r="ND82" s="148"/>
      <c r="NE82" s="148"/>
      <c r="NF82" s="148"/>
      <c r="NG82" s="148"/>
      <c r="NH82" s="148"/>
      <c r="NI82" s="148"/>
      <c r="NJ82" s="148"/>
      <c r="NK82" s="148"/>
      <c r="NL82" s="148"/>
      <c r="NM82" s="148"/>
      <c r="NN82" s="148"/>
      <c r="NO82" s="148"/>
      <c r="NP82" s="148"/>
      <c r="NQ82" s="148"/>
      <c r="NR82" s="148"/>
      <c r="NS82" s="148"/>
      <c r="NT82" s="148"/>
      <c r="NU82" s="148"/>
      <c r="NV82" s="148"/>
      <c r="NW82" s="148"/>
      <c r="NX82" s="148"/>
      <c r="NY82" s="148"/>
      <c r="NZ82" s="148"/>
      <c r="OA82" s="148"/>
      <c r="OB82" s="148"/>
      <c r="OC82" s="148"/>
      <c r="OD82" s="148"/>
      <c r="OE82" s="148"/>
      <c r="OF82" s="148"/>
      <c r="OG82" s="148"/>
      <c r="OH82" s="148"/>
      <c r="OI82" s="148"/>
      <c r="OJ82" s="148"/>
      <c r="OK82" s="148"/>
      <c r="OL82" s="148"/>
      <c r="OM82" s="148"/>
      <c r="ON82" s="148"/>
      <c r="OO82" s="148"/>
      <c r="OP82" s="148"/>
      <c r="OQ82" s="148"/>
      <c r="OR82" s="148"/>
      <c r="OS82" s="148"/>
      <c r="OT82" s="148"/>
      <c r="OU82" s="148"/>
      <c r="OV82" s="148"/>
      <c r="OW82" s="148"/>
      <c r="OX82" s="148"/>
      <c r="OY82" s="148"/>
      <c r="OZ82" s="148"/>
      <c r="PA82" s="148"/>
      <c r="PB82" s="148"/>
      <c r="PC82" s="148"/>
      <c r="PD82" s="148"/>
      <c r="PE82" s="148"/>
      <c r="PF82" s="148"/>
      <c r="PG82" s="148"/>
      <c r="PH82" s="148"/>
      <c r="PI82" s="148"/>
      <c r="PJ82" s="148"/>
      <c r="PK82" s="148"/>
      <c r="PL82" s="148"/>
      <c r="PM82" s="148"/>
      <c r="PN82" s="148"/>
      <c r="PO82" s="148"/>
      <c r="PP82" s="148"/>
      <c r="PQ82" s="148"/>
      <c r="PR82" s="148"/>
      <c r="PS82" s="148"/>
      <c r="PT82" s="148"/>
      <c r="PU82" s="148"/>
      <c r="PV82" s="148"/>
      <c r="PW82" s="148"/>
      <c r="PX82" s="148"/>
      <c r="PY82" s="148"/>
      <c r="PZ82" s="148"/>
      <c r="QA82" s="148"/>
      <c r="QB82" s="148"/>
      <c r="QC82" s="148"/>
      <c r="QD82" s="148"/>
      <c r="QE82" s="148"/>
      <c r="QF82" s="148"/>
      <c r="QG82" s="148"/>
      <c r="QH82" s="148"/>
      <c r="QI82" s="148"/>
      <c r="QJ82" s="148"/>
      <c r="QK82" s="148"/>
      <c r="QL82" s="148"/>
      <c r="QM82" s="148"/>
      <c r="QN82" s="148"/>
      <c r="QO82" s="148"/>
      <c r="QP82" s="148"/>
      <c r="QQ82" s="148"/>
      <c r="QR82" s="148"/>
      <c r="QS82" s="148"/>
      <c r="QT82" s="148"/>
      <c r="QU82" s="148"/>
      <c r="QV82" s="148"/>
      <c r="QW82" s="148"/>
      <c r="QX82" s="148"/>
      <c r="QY82" s="148"/>
      <c r="QZ82" s="148"/>
      <c r="RA82" s="148"/>
      <c r="RB82" s="148"/>
      <c r="RC82" s="148"/>
      <c r="RD82" s="148"/>
      <c r="RE82" s="148"/>
      <c r="RF82" s="148"/>
      <c r="RG82" s="148"/>
      <c r="RH82" s="148"/>
      <c r="RI82" s="148"/>
      <c r="RJ82" s="148"/>
      <c r="RK82" s="148"/>
      <c r="RL82" s="148"/>
      <c r="RM82" s="148"/>
      <c r="RN82" s="148"/>
      <c r="RO82" s="148"/>
      <c r="RP82" s="148"/>
      <c r="RQ82" s="148"/>
      <c r="RR82" s="148"/>
    </row>
    <row r="83" spans="1:486" s="15" customFormat="1" x14ac:dyDescent="0.25">
      <c r="A83" s="148"/>
      <c r="B83" s="350">
        <v>73</v>
      </c>
      <c r="C83" s="650" t="s">
        <v>894</v>
      </c>
      <c r="D83" s="653">
        <v>40013967</v>
      </c>
      <c r="E83" s="344" t="s">
        <v>2845</v>
      </c>
      <c r="F83" s="653" t="s">
        <v>204</v>
      </c>
      <c r="G83" s="17" t="s">
        <v>2693</v>
      </c>
      <c r="H83" s="317" t="s">
        <v>2846</v>
      </c>
      <c r="I83" s="653" t="s">
        <v>43</v>
      </c>
      <c r="J83" s="341">
        <v>28378</v>
      </c>
      <c r="K83" s="633">
        <v>0</v>
      </c>
      <c r="L83" s="633">
        <v>14181</v>
      </c>
      <c r="M83" s="633">
        <v>0</v>
      </c>
      <c r="N83" s="633">
        <v>0</v>
      </c>
      <c r="O83" s="633">
        <v>0</v>
      </c>
      <c r="P83" s="633">
        <v>0</v>
      </c>
      <c r="Q83" s="633">
        <v>0</v>
      </c>
      <c r="R83" s="633">
        <v>0</v>
      </c>
      <c r="S83" s="633"/>
      <c r="T83" s="633"/>
      <c r="U83" s="633"/>
      <c r="V83" s="633"/>
      <c r="W83" s="633"/>
      <c r="X83" s="633"/>
      <c r="Y83" s="633">
        <f t="shared" si="3"/>
        <v>0</v>
      </c>
      <c r="Z83" s="637">
        <v>5281</v>
      </c>
      <c r="AA83" s="19">
        <v>33</v>
      </c>
      <c r="AB83" s="315">
        <v>44350</v>
      </c>
      <c r="AC83" s="315">
        <v>44369</v>
      </c>
      <c r="AD83" s="652"/>
      <c r="AE83" s="20"/>
      <c r="AF83" s="21"/>
      <c r="AG83" s="23"/>
      <c r="AH83" s="637"/>
      <c r="AI83" s="19"/>
      <c r="AJ83" s="21"/>
      <c r="AK83" s="25"/>
      <c r="AL83" s="309"/>
      <c r="AM83" s="19"/>
      <c r="AN83" s="21"/>
      <c r="AO83" s="25"/>
      <c r="AP83" s="309"/>
      <c r="AQ83" s="19"/>
      <c r="AR83" s="21"/>
      <c r="AS83" s="25"/>
      <c r="AT83" s="638">
        <f t="shared" si="4"/>
        <v>5281</v>
      </c>
      <c r="AU83" s="311">
        <f t="shared" si="0"/>
        <v>5281</v>
      </c>
      <c r="AV83" s="148"/>
      <c r="AW83" s="148"/>
      <c r="AX83" s="148"/>
      <c r="AY83" s="148"/>
      <c r="AZ83" s="148"/>
      <c r="BA83" s="148"/>
      <c r="BB83" s="148"/>
      <c r="BC83" s="148"/>
      <c r="BD83" s="148"/>
      <c r="BE83" s="148"/>
      <c r="BF83" s="148"/>
      <c r="BG83" s="148"/>
      <c r="BH83" s="148"/>
      <c r="BI83" s="148"/>
      <c r="BJ83" s="148"/>
      <c r="BK83" s="148"/>
      <c r="BL83" s="148"/>
      <c r="BM83" s="148"/>
      <c r="BN83" s="148"/>
      <c r="BO83" s="148"/>
      <c r="BP83" s="148"/>
      <c r="BQ83" s="148"/>
      <c r="BR83" s="148"/>
      <c r="BS83" s="148"/>
      <c r="BT83" s="148"/>
      <c r="BU83" s="148"/>
      <c r="BV83" s="148"/>
      <c r="BW83" s="148"/>
      <c r="BX83" s="148"/>
      <c r="BY83" s="148"/>
      <c r="BZ83" s="148"/>
      <c r="CA83" s="148"/>
      <c r="CB83" s="148"/>
      <c r="CC83" s="148"/>
      <c r="CD83" s="148"/>
      <c r="CE83" s="148"/>
      <c r="CF83" s="148"/>
      <c r="CG83" s="148"/>
      <c r="CH83" s="148"/>
      <c r="CI83" s="148"/>
      <c r="CJ83" s="148"/>
      <c r="CK83" s="148"/>
      <c r="CL83" s="148"/>
      <c r="CM83" s="148"/>
      <c r="CN83" s="148"/>
      <c r="CO83" s="148"/>
      <c r="CP83" s="148"/>
      <c r="CQ83" s="148"/>
      <c r="CR83" s="148"/>
      <c r="CS83" s="148"/>
      <c r="CT83" s="148"/>
      <c r="CU83" s="148"/>
      <c r="CV83" s="148"/>
      <c r="CW83" s="148"/>
      <c r="CX83" s="148"/>
      <c r="CY83" s="148"/>
      <c r="CZ83" s="148"/>
      <c r="DA83" s="148"/>
      <c r="DB83" s="148"/>
      <c r="DC83" s="148"/>
      <c r="DD83" s="148"/>
      <c r="DE83" s="148"/>
      <c r="DF83" s="148"/>
      <c r="DG83" s="148"/>
      <c r="DH83" s="148"/>
      <c r="DI83" s="148"/>
      <c r="DJ83" s="148"/>
      <c r="DK83" s="148"/>
      <c r="DL83" s="148"/>
      <c r="DM83" s="148"/>
      <c r="DN83" s="148"/>
      <c r="DO83" s="148"/>
      <c r="DP83" s="148"/>
      <c r="DQ83" s="148"/>
      <c r="DR83" s="148"/>
      <c r="DS83" s="148"/>
      <c r="DT83" s="148"/>
      <c r="DU83" s="148"/>
      <c r="DV83" s="148"/>
      <c r="DW83" s="148"/>
      <c r="DX83" s="148"/>
      <c r="DY83" s="148"/>
      <c r="DZ83" s="148"/>
      <c r="EA83" s="148"/>
      <c r="EB83" s="148"/>
      <c r="EC83" s="148"/>
      <c r="ED83" s="148"/>
      <c r="EE83" s="148"/>
      <c r="EF83" s="148"/>
      <c r="EG83" s="148"/>
      <c r="EH83" s="148"/>
      <c r="EI83" s="148"/>
      <c r="EJ83" s="148"/>
      <c r="EK83" s="148"/>
      <c r="EL83" s="148"/>
      <c r="EM83" s="148"/>
      <c r="EN83" s="148"/>
      <c r="EO83" s="148"/>
      <c r="EP83" s="148"/>
      <c r="EQ83" s="148"/>
      <c r="ER83" s="148"/>
      <c r="ES83" s="148"/>
      <c r="ET83" s="148"/>
      <c r="EU83" s="148"/>
      <c r="EV83" s="148"/>
      <c r="EW83" s="148"/>
      <c r="EX83" s="148"/>
      <c r="EY83" s="148"/>
      <c r="EZ83" s="148"/>
      <c r="FA83" s="148"/>
      <c r="FB83" s="148"/>
      <c r="FC83" s="148"/>
      <c r="FD83" s="148"/>
      <c r="FE83" s="148"/>
      <c r="FF83" s="148"/>
      <c r="FG83" s="148"/>
      <c r="FH83" s="148"/>
      <c r="FI83" s="148"/>
      <c r="FJ83" s="148"/>
      <c r="FK83" s="148"/>
      <c r="FL83" s="148"/>
      <c r="FM83" s="148"/>
      <c r="FN83" s="148"/>
      <c r="FO83" s="148"/>
      <c r="FP83" s="148"/>
      <c r="FQ83" s="148"/>
      <c r="FR83" s="148"/>
      <c r="FS83" s="148"/>
      <c r="FT83" s="148"/>
      <c r="FU83" s="148"/>
      <c r="FV83" s="148"/>
      <c r="FW83" s="148"/>
      <c r="FX83" s="148"/>
      <c r="FY83" s="148"/>
      <c r="FZ83" s="148"/>
      <c r="GA83" s="148"/>
      <c r="GB83" s="148"/>
      <c r="GC83" s="148"/>
      <c r="GD83" s="148"/>
      <c r="GE83" s="148"/>
      <c r="GF83" s="148"/>
      <c r="GG83" s="148"/>
      <c r="GH83" s="148"/>
      <c r="GI83" s="148"/>
      <c r="GJ83" s="148"/>
      <c r="GK83" s="148"/>
      <c r="GL83" s="148"/>
      <c r="GM83" s="148"/>
      <c r="GN83" s="148"/>
      <c r="GO83" s="148"/>
      <c r="GP83" s="148"/>
      <c r="GQ83" s="148"/>
      <c r="GR83" s="148"/>
      <c r="GS83" s="148"/>
      <c r="GT83" s="148"/>
      <c r="GU83" s="148"/>
      <c r="GV83" s="148"/>
      <c r="GW83" s="148"/>
      <c r="GX83" s="148"/>
      <c r="GY83" s="148"/>
      <c r="GZ83" s="148"/>
      <c r="HA83" s="148"/>
      <c r="HB83" s="148"/>
      <c r="HC83" s="148"/>
      <c r="HD83" s="148"/>
      <c r="HE83" s="148"/>
      <c r="HF83" s="148"/>
      <c r="HG83" s="148"/>
      <c r="HH83" s="148"/>
      <c r="HI83" s="148"/>
      <c r="HJ83" s="148"/>
      <c r="HK83" s="148"/>
      <c r="HL83" s="148"/>
      <c r="HM83" s="148"/>
      <c r="HN83" s="148"/>
      <c r="HO83" s="148"/>
      <c r="HP83" s="148"/>
      <c r="HQ83" s="148"/>
      <c r="HR83" s="148"/>
      <c r="HS83" s="148"/>
      <c r="HT83" s="148"/>
      <c r="HU83" s="148"/>
      <c r="HV83" s="148"/>
      <c r="HW83" s="148"/>
      <c r="HX83" s="148"/>
      <c r="HY83" s="148"/>
      <c r="HZ83" s="148"/>
      <c r="IA83" s="148"/>
      <c r="IB83" s="148"/>
      <c r="IC83" s="148"/>
      <c r="ID83" s="148"/>
      <c r="IE83" s="148"/>
      <c r="IF83" s="148"/>
      <c r="IG83" s="148"/>
      <c r="IH83" s="148"/>
      <c r="II83" s="148"/>
      <c r="IJ83" s="148"/>
      <c r="IK83" s="148"/>
      <c r="IL83" s="148"/>
      <c r="IM83" s="148"/>
      <c r="IN83" s="148"/>
      <c r="IO83" s="148"/>
      <c r="IP83" s="148"/>
      <c r="IQ83" s="148"/>
      <c r="IR83" s="148"/>
      <c r="IS83" s="148"/>
      <c r="IT83" s="148"/>
      <c r="IU83" s="148"/>
      <c r="IV83" s="148"/>
      <c r="IW83" s="148"/>
      <c r="IX83" s="148"/>
      <c r="IY83" s="148"/>
      <c r="IZ83" s="148"/>
      <c r="JA83" s="148"/>
      <c r="JB83" s="148"/>
      <c r="JC83" s="148"/>
      <c r="JD83" s="148"/>
      <c r="JE83" s="148"/>
      <c r="JF83" s="148"/>
      <c r="JG83" s="148"/>
      <c r="JH83" s="148"/>
      <c r="JI83" s="148"/>
      <c r="JJ83" s="148"/>
      <c r="JK83" s="148"/>
      <c r="JL83" s="148"/>
      <c r="JM83" s="148"/>
      <c r="JN83" s="148"/>
      <c r="JO83" s="148"/>
      <c r="JP83" s="148"/>
      <c r="JQ83" s="148"/>
      <c r="JR83" s="148"/>
      <c r="JS83" s="148"/>
      <c r="JT83" s="148"/>
      <c r="JU83" s="148"/>
      <c r="JV83" s="148"/>
      <c r="JW83" s="148"/>
      <c r="JX83" s="148"/>
      <c r="JY83" s="148"/>
      <c r="JZ83" s="148"/>
      <c r="KA83" s="148"/>
      <c r="KB83" s="148"/>
      <c r="KC83" s="148"/>
      <c r="KD83" s="148"/>
      <c r="KE83" s="148"/>
      <c r="KF83" s="148"/>
      <c r="KG83" s="148"/>
      <c r="KH83" s="148"/>
      <c r="KI83" s="148"/>
      <c r="KJ83" s="148"/>
      <c r="KK83" s="148"/>
      <c r="KL83" s="148"/>
      <c r="KM83" s="148"/>
      <c r="KN83" s="148"/>
      <c r="KO83" s="148"/>
      <c r="KP83" s="148"/>
      <c r="KQ83" s="148"/>
      <c r="KR83" s="148"/>
      <c r="KS83" s="148"/>
      <c r="KT83" s="148"/>
      <c r="KU83" s="148"/>
      <c r="KV83" s="148"/>
      <c r="KW83" s="148"/>
      <c r="KX83" s="148"/>
      <c r="KY83" s="148"/>
      <c r="KZ83" s="148"/>
      <c r="LA83" s="148"/>
      <c r="LB83" s="148"/>
      <c r="LC83" s="148"/>
      <c r="LD83" s="148"/>
      <c r="LE83" s="148"/>
      <c r="LF83" s="148"/>
      <c r="LG83" s="148"/>
      <c r="LH83" s="148"/>
      <c r="LI83" s="148"/>
      <c r="LJ83" s="148"/>
      <c r="LK83" s="148"/>
      <c r="LL83" s="148"/>
      <c r="LM83" s="148"/>
      <c r="LN83" s="148"/>
      <c r="LO83" s="148"/>
      <c r="LP83" s="148"/>
      <c r="LQ83" s="148"/>
      <c r="LR83" s="148"/>
      <c r="LS83" s="148"/>
      <c r="LT83" s="148"/>
      <c r="LU83" s="148"/>
      <c r="LV83" s="148"/>
      <c r="LW83" s="148"/>
      <c r="LX83" s="148"/>
      <c r="LY83" s="148"/>
      <c r="LZ83" s="148"/>
      <c r="MA83" s="148"/>
      <c r="MB83" s="148"/>
      <c r="MC83" s="148"/>
      <c r="MD83" s="148"/>
      <c r="ME83" s="148"/>
      <c r="MF83" s="148"/>
      <c r="MG83" s="148"/>
      <c r="MH83" s="148"/>
      <c r="MI83" s="148"/>
      <c r="MJ83" s="148"/>
      <c r="MK83" s="148"/>
      <c r="ML83" s="148"/>
      <c r="MM83" s="148"/>
      <c r="MN83" s="148"/>
      <c r="MO83" s="148"/>
      <c r="MP83" s="148"/>
      <c r="MQ83" s="148"/>
      <c r="MR83" s="148"/>
      <c r="MS83" s="148"/>
      <c r="MT83" s="148"/>
      <c r="MU83" s="148"/>
      <c r="MV83" s="148"/>
      <c r="MW83" s="148"/>
      <c r="MX83" s="148"/>
      <c r="MY83" s="148"/>
      <c r="MZ83" s="148"/>
      <c r="NA83" s="148"/>
      <c r="NB83" s="148"/>
      <c r="NC83" s="148"/>
      <c r="ND83" s="148"/>
      <c r="NE83" s="148"/>
      <c r="NF83" s="148"/>
      <c r="NG83" s="148"/>
      <c r="NH83" s="148"/>
      <c r="NI83" s="148"/>
      <c r="NJ83" s="148"/>
      <c r="NK83" s="148"/>
      <c r="NL83" s="148"/>
      <c r="NM83" s="148"/>
      <c r="NN83" s="148"/>
      <c r="NO83" s="148"/>
      <c r="NP83" s="148"/>
      <c r="NQ83" s="148"/>
      <c r="NR83" s="148"/>
      <c r="NS83" s="148"/>
      <c r="NT83" s="148"/>
      <c r="NU83" s="148"/>
      <c r="NV83" s="148"/>
      <c r="NW83" s="148"/>
      <c r="NX83" s="148"/>
      <c r="NY83" s="148"/>
      <c r="NZ83" s="148"/>
      <c r="OA83" s="148"/>
      <c r="OB83" s="148"/>
      <c r="OC83" s="148"/>
      <c r="OD83" s="148"/>
      <c r="OE83" s="148"/>
      <c r="OF83" s="148"/>
      <c r="OG83" s="148"/>
      <c r="OH83" s="148"/>
      <c r="OI83" s="148"/>
      <c r="OJ83" s="148"/>
      <c r="OK83" s="148"/>
      <c r="OL83" s="148"/>
      <c r="OM83" s="148"/>
      <c r="ON83" s="148"/>
      <c r="OO83" s="148"/>
      <c r="OP83" s="148"/>
      <c r="OQ83" s="148"/>
      <c r="OR83" s="148"/>
      <c r="OS83" s="148"/>
      <c r="OT83" s="148"/>
      <c r="OU83" s="148"/>
      <c r="OV83" s="148"/>
      <c r="OW83" s="148"/>
      <c r="OX83" s="148"/>
      <c r="OY83" s="148"/>
      <c r="OZ83" s="148"/>
      <c r="PA83" s="148"/>
      <c r="PB83" s="148"/>
      <c r="PC83" s="148"/>
      <c r="PD83" s="148"/>
      <c r="PE83" s="148"/>
      <c r="PF83" s="148"/>
      <c r="PG83" s="148"/>
      <c r="PH83" s="148"/>
      <c r="PI83" s="148"/>
      <c r="PJ83" s="148"/>
      <c r="PK83" s="148"/>
      <c r="PL83" s="148"/>
      <c r="PM83" s="148"/>
      <c r="PN83" s="148"/>
      <c r="PO83" s="148"/>
      <c r="PP83" s="148"/>
      <c r="PQ83" s="148"/>
      <c r="PR83" s="148"/>
      <c r="PS83" s="148"/>
      <c r="PT83" s="148"/>
      <c r="PU83" s="148"/>
      <c r="PV83" s="148"/>
      <c r="PW83" s="148"/>
      <c r="PX83" s="148"/>
      <c r="PY83" s="148"/>
      <c r="PZ83" s="148"/>
      <c r="QA83" s="148"/>
      <c r="QB83" s="148"/>
      <c r="QC83" s="148"/>
      <c r="QD83" s="148"/>
      <c r="QE83" s="148"/>
      <c r="QF83" s="148"/>
      <c r="QG83" s="148"/>
      <c r="QH83" s="148"/>
      <c r="QI83" s="148"/>
      <c r="QJ83" s="148"/>
      <c r="QK83" s="148"/>
      <c r="QL83" s="148"/>
      <c r="QM83" s="148"/>
      <c r="QN83" s="148"/>
      <c r="QO83" s="148"/>
      <c r="QP83" s="148"/>
      <c r="QQ83" s="148"/>
      <c r="QR83" s="148"/>
      <c r="QS83" s="148"/>
      <c r="QT83" s="148"/>
      <c r="QU83" s="148"/>
      <c r="QV83" s="148"/>
      <c r="QW83" s="148"/>
      <c r="QX83" s="148"/>
      <c r="QY83" s="148"/>
      <c r="QZ83" s="148"/>
      <c r="RA83" s="148"/>
      <c r="RB83" s="148"/>
      <c r="RC83" s="148"/>
      <c r="RD83" s="148"/>
      <c r="RE83" s="148"/>
      <c r="RF83" s="148"/>
      <c r="RG83" s="148"/>
      <c r="RH83" s="148"/>
      <c r="RI83" s="148"/>
      <c r="RJ83" s="148"/>
      <c r="RK83" s="148"/>
      <c r="RL83" s="148"/>
      <c r="RM83" s="148"/>
      <c r="RN83" s="148"/>
      <c r="RO83" s="148"/>
      <c r="RP83" s="148"/>
      <c r="RQ83" s="148"/>
      <c r="RR83" s="148"/>
    </row>
    <row r="84" spans="1:486" s="15" customFormat="1" x14ac:dyDescent="0.25">
      <c r="A84" s="148"/>
      <c r="B84" s="350">
        <v>74</v>
      </c>
      <c r="C84" s="650" t="s">
        <v>894</v>
      </c>
      <c r="D84" s="653">
        <v>40019013</v>
      </c>
      <c r="E84" s="344" t="s">
        <v>2832</v>
      </c>
      <c r="F84" s="653" t="s">
        <v>897</v>
      </c>
      <c r="G84" s="17" t="s">
        <v>2693</v>
      </c>
      <c r="H84" s="317" t="s">
        <v>1562</v>
      </c>
      <c r="I84" s="653" t="s">
        <v>43</v>
      </c>
      <c r="J84" s="341">
        <v>501799</v>
      </c>
      <c r="K84" s="633">
        <v>0</v>
      </c>
      <c r="L84" s="633">
        <v>0</v>
      </c>
      <c r="M84" s="633">
        <v>0</v>
      </c>
      <c r="N84" s="633">
        <v>0</v>
      </c>
      <c r="O84" s="633">
        <v>0</v>
      </c>
      <c r="P84" s="633">
        <v>0</v>
      </c>
      <c r="Q84" s="633">
        <v>0</v>
      </c>
      <c r="R84" s="633">
        <v>2500</v>
      </c>
      <c r="S84" s="633"/>
      <c r="T84" s="633"/>
      <c r="U84" s="633"/>
      <c r="V84" s="633"/>
      <c r="W84" s="633"/>
      <c r="X84" s="633"/>
      <c r="Y84" s="633">
        <f t="shared" si="3"/>
        <v>2500</v>
      </c>
      <c r="Z84" s="637">
        <v>1500</v>
      </c>
      <c r="AA84" s="19">
        <v>33</v>
      </c>
      <c r="AB84" s="315">
        <v>44350</v>
      </c>
      <c r="AC84" s="315">
        <v>44369</v>
      </c>
      <c r="AD84" s="652"/>
      <c r="AE84" s="20"/>
      <c r="AF84" s="21"/>
      <c r="AG84" s="23"/>
      <c r="AH84" s="637"/>
      <c r="AI84" s="19"/>
      <c r="AJ84" s="21"/>
      <c r="AK84" s="25"/>
      <c r="AL84" s="309"/>
      <c r="AM84" s="19"/>
      <c r="AN84" s="21"/>
      <c r="AO84" s="25"/>
      <c r="AP84" s="309"/>
      <c r="AQ84" s="19"/>
      <c r="AR84" s="21"/>
      <c r="AS84" s="25"/>
      <c r="AT84" s="638">
        <f t="shared" si="4"/>
        <v>1500</v>
      </c>
      <c r="AU84" s="311">
        <f t="shared" si="0"/>
        <v>-1000</v>
      </c>
      <c r="AV84" s="148"/>
      <c r="AW84" s="148"/>
      <c r="AX84" s="148"/>
      <c r="AY84" s="148"/>
      <c r="AZ84" s="148"/>
      <c r="BA84" s="148"/>
      <c r="BB84" s="148"/>
      <c r="BC84" s="148"/>
      <c r="BD84" s="148"/>
      <c r="BE84" s="148"/>
      <c r="BF84" s="148"/>
      <c r="BG84" s="148"/>
      <c r="BH84" s="148"/>
      <c r="BI84" s="148"/>
      <c r="BJ84" s="148"/>
      <c r="BK84" s="148"/>
      <c r="BL84" s="148"/>
      <c r="BM84" s="148"/>
      <c r="BN84" s="148"/>
      <c r="BO84" s="148"/>
      <c r="BP84" s="148"/>
      <c r="BQ84" s="148"/>
      <c r="BR84" s="148"/>
      <c r="BS84" s="148"/>
      <c r="BT84" s="148"/>
      <c r="BU84" s="148"/>
      <c r="BV84" s="148"/>
      <c r="BW84" s="148"/>
      <c r="BX84" s="148"/>
      <c r="BY84" s="148"/>
      <c r="BZ84" s="148"/>
      <c r="CA84" s="148"/>
      <c r="CB84" s="148"/>
      <c r="CC84" s="148"/>
      <c r="CD84" s="148"/>
      <c r="CE84" s="148"/>
      <c r="CF84" s="148"/>
      <c r="CG84" s="148"/>
      <c r="CH84" s="148"/>
      <c r="CI84" s="148"/>
      <c r="CJ84" s="148"/>
      <c r="CK84" s="148"/>
      <c r="CL84" s="148"/>
      <c r="CM84" s="148"/>
      <c r="CN84" s="148"/>
      <c r="CO84" s="148"/>
      <c r="CP84" s="148"/>
      <c r="CQ84" s="148"/>
      <c r="CR84" s="148"/>
      <c r="CS84" s="148"/>
      <c r="CT84" s="148"/>
      <c r="CU84" s="148"/>
      <c r="CV84" s="148"/>
      <c r="CW84" s="148"/>
      <c r="CX84" s="148"/>
      <c r="CY84" s="148"/>
      <c r="CZ84" s="148"/>
      <c r="DA84" s="148"/>
      <c r="DB84" s="148"/>
      <c r="DC84" s="148"/>
      <c r="DD84" s="148"/>
      <c r="DE84" s="148"/>
      <c r="DF84" s="148"/>
      <c r="DG84" s="148"/>
      <c r="DH84" s="148"/>
      <c r="DI84" s="148"/>
      <c r="DJ84" s="148"/>
      <c r="DK84" s="148"/>
      <c r="DL84" s="148"/>
      <c r="DM84" s="148"/>
      <c r="DN84" s="148"/>
      <c r="DO84" s="148"/>
      <c r="DP84" s="148"/>
      <c r="DQ84" s="148"/>
      <c r="DR84" s="148"/>
      <c r="DS84" s="148"/>
      <c r="DT84" s="148"/>
      <c r="DU84" s="148"/>
      <c r="DV84" s="148"/>
      <c r="DW84" s="148"/>
      <c r="DX84" s="148"/>
      <c r="DY84" s="148"/>
      <c r="DZ84" s="148"/>
      <c r="EA84" s="148"/>
      <c r="EB84" s="148"/>
      <c r="EC84" s="148"/>
      <c r="ED84" s="148"/>
      <c r="EE84" s="148"/>
      <c r="EF84" s="148"/>
      <c r="EG84" s="148"/>
      <c r="EH84" s="148"/>
      <c r="EI84" s="148"/>
      <c r="EJ84" s="148"/>
      <c r="EK84" s="148"/>
      <c r="EL84" s="148"/>
      <c r="EM84" s="148"/>
      <c r="EN84" s="148"/>
      <c r="EO84" s="148"/>
      <c r="EP84" s="148"/>
      <c r="EQ84" s="148"/>
      <c r="ER84" s="148"/>
      <c r="ES84" s="148"/>
      <c r="ET84" s="148"/>
      <c r="EU84" s="148"/>
      <c r="EV84" s="148"/>
      <c r="EW84" s="148"/>
      <c r="EX84" s="148"/>
      <c r="EY84" s="148"/>
      <c r="EZ84" s="148"/>
      <c r="FA84" s="148"/>
      <c r="FB84" s="148"/>
      <c r="FC84" s="148"/>
      <c r="FD84" s="148"/>
      <c r="FE84" s="148"/>
      <c r="FF84" s="148"/>
      <c r="FG84" s="148"/>
      <c r="FH84" s="148"/>
      <c r="FI84" s="148"/>
      <c r="FJ84" s="148"/>
      <c r="FK84" s="148"/>
      <c r="FL84" s="148"/>
      <c r="FM84" s="148"/>
      <c r="FN84" s="148"/>
      <c r="FO84" s="148"/>
      <c r="FP84" s="148"/>
      <c r="FQ84" s="148"/>
      <c r="FR84" s="148"/>
      <c r="FS84" s="148"/>
      <c r="FT84" s="148"/>
      <c r="FU84" s="148"/>
      <c r="FV84" s="148"/>
      <c r="FW84" s="148"/>
      <c r="FX84" s="148"/>
      <c r="FY84" s="148"/>
      <c r="FZ84" s="148"/>
      <c r="GA84" s="148"/>
      <c r="GB84" s="148"/>
      <c r="GC84" s="148"/>
      <c r="GD84" s="148"/>
      <c r="GE84" s="148"/>
      <c r="GF84" s="148"/>
      <c r="GG84" s="148"/>
      <c r="GH84" s="148"/>
      <c r="GI84" s="148"/>
      <c r="GJ84" s="148"/>
      <c r="GK84" s="148"/>
      <c r="GL84" s="148"/>
      <c r="GM84" s="148"/>
      <c r="GN84" s="148"/>
      <c r="GO84" s="148"/>
      <c r="GP84" s="148"/>
      <c r="GQ84" s="148"/>
      <c r="GR84" s="148"/>
      <c r="GS84" s="148"/>
      <c r="GT84" s="148"/>
      <c r="GU84" s="148"/>
      <c r="GV84" s="148"/>
      <c r="GW84" s="148"/>
      <c r="GX84" s="148"/>
      <c r="GY84" s="148"/>
      <c r="GZ84" s="148"/>
      <c r="HA84" s="148"/>
      <c r="HB84" s="148"/>
      <c r="HC84" s="148"/>
      <c r="HD84" s="148"/>
      <c r="HE84" s="148"/>
      <c r="HF84" s="148"/>
      <c r="HG84" s="148"/>
      <c r="HH84" s="148"/>
      <c r="HI84" s="148"/>
      <c r="HJ84" s="148"/>
      <c r="HK84" s="148"/>
      <c r="HL84" s="148"/>
      <c r="HM84" s="148"/>
      <c r="HN84" s="148"/>
      <c r="HO84" s="148"/>
      <c r="HP84" s="148"/>
      <c r="HQ84" s="148"/>
      <c r="HR84" s="148"/>
      <c r="HS84" s="148"/>
      <c r="HT84" s="148"/>
      <c r="HU84" s="148"/>
      <c r="HV84" s="148"/>
      <c r="HW84" s="148"/>
      <c r="HX84" s="148"/>
      <c r="HY84" s="148"/>
      <c r="HZ84" s="148"/>
      <c r="IA84" s="148"/>
      <c r="IB84" s="148"/>
      <c r="IC84" s="148"/>
      <c r="ID84" s="148"/>
      <c r="IE84" s="148"/>
      <c r="IF84" s="148"/>
      <c r="IG84" s="148"/>
      <c r="IH84" s="148"/>
      <c r="II84" s="148"/>
      <c r="IJ84" s="148"/>
      <c r="IK84" s="148"/>
      <c r="IL84" s="148"/>
      <c r="IM84" s="148"/>
      <c r="IN84" s="148"/>
      <c r="IO84" s="148"/>
      <c r="IP84" s="148"/>
      <c r="IQ84" s="148"/>
      <c r="IR84" s="148"/>
      <c r="IS84" s="148"/>
      <c r="IT84" s="148"/>
      <c r="IU84" s="148"/>
      <c r="IV84" s="148"/>
      <c r="IW84" s="148"/>
      <c r="IX84" s="148"/>
      <c r="IY84" s="148"/>
      <c r="IZ84" s="148"/>
      <c r="JA84" s="148"/>
      <c r="JB84" s="148"/>
      <c r="JC84" s="148"/>
      <c r="JD84" s="148"/>
      <c r="JE84" s="148"/>
      <c r="JF84" s="148"/>
      <c r="JG84" s="148"/>
      <c r="JH84" s="148"/>
      <c r="JI84" s="148"/>
      <c r="JJ84" s="148"/>
      <c r="JK84" s="148"/>
      <c r="JL84" s="148"/>
      <c r="JM84" s="148"/>
      <c r="JN84" s="148"/>
      <c r="JO84" s="148"/>
      <c r="JP84" s="148"/>
      <c r="JQ84" s="148"/>
      <c r="JR84" s="148"/>
      <c r="JS84" s="148"/>
      <c r="JT84" s="148"/>
      <c r="JU84" s="148"/>
      <c r="JV84" s="148"/>
      <c r="JW84" s="148"/>
      <c r="JX84" s="148"/>
      <c r="JY84" s="148"/>
      <c r="JZ84" s="148"/>
      <c r="KA84" s="148"/>
      <c r="KB84" s="148"/>
      <c r="KC84" s="148"/>
      <c r="KD84" s="148"/>
      <c r="KE84" s="148"/>
      <c r="KF84" s="148"/>
      <c r="KG84" s="148"/>
      <c r="KH84" s="148"/>
      <c r="KI84" s="148"/>
      <c r="KJ84" s="148"/>
      <c r="KK84" s="148"/>
      <c r="KL84" s="148"/>
      <c r="KM84" s="148"/>
      <c r="KN84" s="148"/>
      <c r="KO84" s="148"/>
      <c r="KP84" s="148"/>
      <c r="KQ84" s="148"/>
      <c r="KR84" s="148"/>
      <c r="KS84" s="148"/>
      <c r="KT84" s="148"/>
      <c r="KU84" s="148"/>
      <c r="KV84" s="148"/>
      <c r="KW84" s="148"/>
      <c r="KX84" s="148"/>
      <c r="KY84" s="148"/>
      <c r="KZ84" s="148"/>
      <c r="LA84" s="148"/>
      <c r="LB84" s="148"/>
      <c r="LC84" s="148"/>
      <c r="LD84" s="148"/>
      <c r="LE84" s="148"/>
      <c r="LF84" s="148"/>
      <c r="LG84" s="148"/>
      <c r="LH84" s="148"/>
      <c r="LI84" s="148"/>
      <c r="LJ84" s="148"/>
      <c r="LK84" s="148"/>
      <c r="LL84" s="148"/>
      <c r="LM84" s="148"/>
      <c r="LN84" s="148"/>
      <c r="LO84" s="148"/>
      <c r="LP84" s="148"/>
      <c r="LQ84" s="148"/>
      <c r="LR84" s="148"/>
      <c r="LS84" s="148"/>
      <c r="LT84" s="148"/>
      <c r="LU84" s="148"/>
      <c r="LV84" s="148"/>
      <c r="LW84" s="148"/>
      <c r="LX84" s="148"/>
      <c r="LY84" s="148"/>
      <c r="LZ84" s="148"/>
      <c r="MA84" s="148"/>
      <c r="MB84" s="148"/>
      <c r="MC84" s="148"/>
      <c r="MD84" s="148"/>
      <c r="ME84" s="148"/>
      <c r="MF84" s="148"/>
      <c r="MG84" s="148"/>
      <c r="MH84" s="148"/>
      <c r="MI84" s="148"/>
      <c r="MJ84" s="148"/>
      <c r="MK84" s="148"/>
      <c r="ML84" s="148"/>
      <c r="MM84" s="148"/>
      <c r="MN84" s="148"/>
      <c r="MO84" s="148"/>
      <c r="MP84" s="148"/>
      <c r="MQ84" s="148"/>
      <c r="MR84" s="148"/>
      <c r="MS84" s="148"/>
      <c r="MT84" s="148"/>
      <c r="MU84" s="148"/>
      <c r="MV84" s="148"/>
      <c r="MW84" s="148"/>
      <c r="MX84" s="148"/>
      <c r="MY84" s="148"/>
      <c r="MZ84" s="148"/>
      <c r="NA84" s="148"/>
      <c r="NB84" s="148"/>
      <c r="NC84" s="148"/>
      <c r="ND84" s="148"/>
      <c r="NE84" s="148"/>
      <c r="NF84" s="148"/>
      <c r="NG84" s="148"/>
      <c r="NH84" s="148"/>
      <c r="NI84" s="148"/>
      <c r="NJ84" s="148"/>
      <c r="NK84" s="148"/>
      <c r="NL84" s="148"/>
      <c r="NM84" s="148"/>
      <c r="NN84" s="148"/>
      <c r="NO84" s="148"/>
      <c r="NP84" s="148"/>
      <c r="NQ84" s="148"/>
      <c r="NR84" s="148"/>
      <c r="NS84" s="148"/>
      <c r="NT84" s="148"/>
      <c r="NU84" s="148"/>
      <c r="NV84" s="148"/>
      <c r="NW84" s="148"/>
      <c r="NX84" s="148"/>
      <c r="NY84" s="148"/>
      <c r="NZ84" s="148"/>
      <c r="OA84" s="148"/>
      <c r="OB84" s="148"/>
      <c r="OC84" s="148"/>
      <c r="OD84" s="148"/>
      <c r="OE84" s="148"/>
      <c r="OF84" s="148"/>
      <c r="OG84" s="148"/>
      <c r="OH84" s="148"/>
      <c r="OI84" s="148"/>
      <c r="OJ84" s="148"/>
      <c r="OK84" s="148"/>
      <c r="OL84" s="148"/>
      <c r="OM84" s="148"/>
      <c r="ON84" s="148"/>
      <c r="OO84" s="148"/>
      <c r="OP84" s="148"/>
      <c r="OQ84" s="148"/>
      <c r="OR84" s="148"/>
      <c r="OS84" s="148"/>
      <c r="OT84" s="148"/>
      <c r="OU84" s="148"/>
      <c r="OV84" s="148"/>
      <c r="OW84" s="148"/>
      <c r="OX84" s="148"/>
      <c r="OY84" s="148"/>
      <c r="OZ84" s="148"/>
      <c r="PA84" s="148"/>
      <c r="PB84" s="148"/>
      <c r="PC84" s="148"/>
      <c r="PD84" s="148"/>
      <c r="PE84" s="148"/>
      <c r="PF84" s="148"/>
      <c r="PG84" s="148"/>
      <c r="PH84" s="148"/>
      <c r="PI84" s="148"/>
      <c r="PJ84" s="148"/>
      <c r="PK84" s="148"/>
      <c r="PL84" s="148"/>
      <c r="PM84" s="148"/>
      <c r="PN84" s="148"/>
      <c r="PO84" s="148"/>
      <c r="PP84" s="148"/>
      <c r="PQ84" s="148"/>
      <c r="PR84" s="148"/>
      <c r="PS84" s="148"/>
      <c r="PT84" s="148"/>
      <c r="PU84" s="148"/>
      <c r="PV84" s="148"/>
      <c r="PW84" s="148"/>
      <c r="PX84" s="148"/>
      <c r="PY84" s="148"/>
      <c r="PZ84" s="148"/>
      <c r="QA84" s="148"/>
      <c r="QB84" s="148"/>
      <c r="QC84" s="148"/>
      <c r="QD84" s="148"/>
      <c r="QE84" s="148"/>
      <c r="QF84" s="148"/>
      <c r="QG84" s="148"/>
      <c r="QH84" s="148"/>
      <c r="QI84" s="148"/>
      <c r="QJ84" s="148"/>
      <c r="QK84" s="148"/>
      <c r="QL84" s="148"/>
      <c r="QM84" s="148"/>
      <c r="QN84" s="148"/>
      <c r="QO84" s="148"/>
      <c r="QP84" s="148"/>
      <c r="QQ84" s="148"/>
      <c r="QR84" s="148"/>
      <c r="QS84" s="148"/>
      <c r="QT84" s="148"/>
      <c r="QU84" s="148"/>
      <c r="QV84" s="148"/>
      <c r="QW84" s="148"/>
      <c r="QX84" s="148"/>
      <c r="QY84" s="148"/>
      <c r="QZ84" s="148"/>
      <c r="RA84" s="148"/>
      <c r="RB84" s="148"/>
      <c r="RC84" s="148"/>
      <c r="RD84" s="148"/>
      <c r="RE84" s="148"/>
      <c r="RF84" s="148"/>
      <c r="RG84" s="148"/>
      <c r="RH84" s="148"/>
      <c r="RI84" s="148"/>
      <c r="RJ84" s="148"/>
      <c r="RK84" s="148"/>
      <c r="RL84" s="148"/>
      <c r="RM84" s="148"/>
      <c r="RN84" s="148"/>
      <c r="RO84" s="148"/>
      <c r="RP84" s="148"/>
      <c r="RQ84" s="148"/>
      <c r="RR84" s="148"/>
    </row>
    <row r="85" spans="1:486" s="15" customFormat="1" ht="22.5" x14ac:dyDescent="0.25">
      <c r="A85" s="148"/>
      <c r="B85" s="350">
        <v>75</v>
      </c>
      <c r="C85" s="650" t="s">
        <v>894</v>
      </c>
      <c r="D85" s="653">
        <v>40019625</v>
      </c>
      <c r="E85" s="344" t="s">
        <v>2834</v>
      </c>
      <c r="F85" s="653" t="s">
        <v>897</v>
      </c>
      <c r="G85" s="17" t="s">
        <v>2693</v>
      </c>
      <c r="H85" s="317" t="s">
        <v>1562</v>
      </c>
      <c r="I85" s="653" t="s">
        <v>43</v>
      </c>
      <c r="J85" s="341">
        <v>918023</v>
      </c>
      <c r="K85" s="633">
        <v>0</v>
      </c>
      <c r="L85" s="633">
        <v>0</v>
      </c>
      <c r="M85" s="633">
        <v>0</v>
      </c>
      <c r="N85" s="633">
        <v>0</v>
      </c>
      <c r="O85" s="633">
        <v>0</v>
      </c>
      <c r="P85" s="633">
        <v>0</v>
      </c>
      <c r="Q85" s="633">
        <v>0</v>
      </c>
      <c r="R85" s="633">
        <v>2500</v>
      </c>
      <c r="S85" s="633"/>
      <c r="T85" s="633"/>
      <c r="U85" s="633"/>
      <c r="V85" s="633"/>
      <c r="W85" s="633"/>
      <c r="X85" s="633"/>
      <c r="Y85" s="633">
        <f t="shared" si="3"/>
        <v>2500</v>
      </c>
      <c r="Z85" s="637">
        <v>1500</v>
      </c>
      <c r="AA85" s="19">
        <v>33</v>
      </c>
      <c r="AB85" s="315">
        <v>44350</v>
      </c>
      <c r="AC85" s="315">
        <v>44369</v>
      </c>
      <c r="AD85" s="652"/>
      <c r="AE85" s="20"/>
      <c r="AF85" s="21"/>
      <c r="AG85" s="23"/>
      <c r="AH85" s="637"/>
      <c r="AI85" s="19"/>
      <c r="AJ85" s="21"/>
      <c r="AK85" s="25"/>
      <c r="AL85" s="309"/>
      <c r="AM85" s="19"/>
      <c r="AN85" s="21"/>
      <c r="AO85" s="25"/>
      <c r="AP85" s="309"/>
      <c r="AQ85" s="19"/>
      <c r="AR85" s="21"/>
      <c r="AS85" s="25"/>
      <c r="AT85" s="638">
        <f t="shared" si="4"/>
        <v>1500</v>
      </c>
      <c r="AU85" s="311">
        <f t="shared" si="0"/>
        <v>-1000</v>
      </c>
      <c r="AV85" s="148"/>
      <c r="AW85" s="148"/>
      <c r="AX85" s="148"/>
      <c r="AY85" s="148"/>
      <c r="AZ85" s="148"/>
      <c r="BA85" s="148"/>
      <c r="BB85" s="148"/>
      <c r="BC85" s="148"/>
      <c r="BD85" s="148"/>
      <c r="BE85" s="148"/>
      <c r="BF85" s="148"/>
      <c r="BG85" s="148"/>
      <c r="BH85" s="148"/>
      <c r="BI85" s="148"/>
      <c r="BJ85" s="148"/>
      <c r="BK85" s="148"/>
      <c r="BL85" s="148"/>
      <c r="BM85" s="148"/>
      <c r="BN85" s="148"/>
      <c r="BO85" s="148"/>
      <c r="BP85" s="148"/>
      <c r="BQ85" s="148"/>
      <c r="BR85" s="148"/>
      <c r="BS85" s="148"/>
      <c r="BT85" s="148"/>
      <c r="BU85" s="148"/>
      <c r="BV85" s="148"/>
      <c r="BW85" s="148"/>
      <c r="BX85" s="148"/>
      <c r="BY85" s="148"/>
      <c r="BZ85" s="148"/>
      <c r="CA85" s="148"/>
      <c r="CB85" s="148"/>
      <c r="CC85" s="148"/>
      <c r="CD85" s="148"/>
      <c r="CE85" s="148"/>
      <c r="CF85" s="148"/>
      <c r="CG85" s="148"/>
      <c r="CH85" s="148"/>
      <c r="CI85" s="148"/>
      <c r="CJ85" s="148"/>
      <c r="CK85" s="148"/>
      <c r="CL85" s="148"/>
      <c r="CM85" s="148"/>
      <c r="CN85" s="148"/>
      <c r="CO85" s="148"/>
      <c r="CP85" s="148"/>
      <c r="CQ85" s="148"/>
      <c r="CR85" s="148"/>
      <c r="CS85" s="148"/>
      <c r="CT85" s="148"/>
      <c r="CU85" s="148"/>
      <c r="CV85" s="148"/>
      <c r="CW85" s="148"/>
      <c r="CX85" s="148"/>
      <c r="CY85" s="148"/>
      <c r="CZ85" s="148"/>
      <c r="DA85" s="148"/>
      <c r="DB85" s="148"/>
      <c r="DC85" s="148"/>
      <c r="DD85" s="148"/>
      <c r="DE85" s="148"/>
      <c r="DF85" s="148"/>
      <c r="DG85" s="148"/>
      <c r="DH85" s="148"/>
      <c r="DI85" s="148"/>
      <c r="DJ85" s="148"/>
      <c r="DK85" s="148"/>
      <c r="DL85" s="148"/>
      <c r="DM85" s="148"/>
      <c r="DN85" s="148"/>
      <c r="DO85" s="148"/>
      <c r="DP85" s="148"/>
      <c r="DQ85" s="148"/>
      <c r="DR85" s="148"/>
      <c r="DS85" s="148"/>
      <c r="DT85" s="148"/>
      <c r="DU85" s="148"/>
      <c r="DV85" s="148"/>
      <c r="DW85" s="148"/>
      <c r="DX85" s="148"/>
      <c r="DY85" s="148"/>
      <c r="DZ85" s="148"/>
      <c r="EA85" s="148"/>
      <c r="EB85" s="148"/>
      <c r="EC85" s="148"/>
      <c r="ED85" s="148"/>
      <c r="EE85" s="148"/>
      <c r="EF85" s="148"/>
      <c r="EG85" s="148"/>
      <c r="EH85" s="148"/>
      <c r="EI85" s="148"/>
      <c r="EJ85" s="148"/>
      <c r="EK85" s="148"/>
      <c r="EL85" s="148"/>
      <c r="EM85" s="148"/>
      <c r="EN85" s="148"/>
      <c r="EO85" s="148"/>
      <c r="EP85" s="148"/>
      <c r="EQ85" s="148"/>
      <c r="ER85" s="148"/>
      <c r="ES85" s="148"/>
      <c r="ET85" s="148"/>
      <c r="EU85" s="148"/>
      <c r="EV85" s="148"/>
      <c r="EW85" s="148"/>
      <c r="EX85" s="148"/>
      <c r="EY85" s="148"/>
      <c r="EZ85" s="148"/>
      <c r="FA85" s="148"/>
      <c r="FB85" s="148"/>
      <c r="FC85" s="148"/>
      <c r="FD85" s="148"/>
      <c r="FE85" s="148"/>
      <c r="FF85" s="148"/>
      <c r="FG85" s="148"/>
      <c r="FH85" s="148"/>
      <c r="FI85" s="148"/>
      <c r="FJ85" s="148"/>
      <c r="FK85" s="148"/>
      <c r="FL85" s="148"/>
      <c r="FM85" s="148"/>
      <c r="FN85" s="148"/>
      <c r="FO85" s="148"/>
      <c r="FP85" s="148"/>
      <c r="FQ85" s="148"/>
      <c r="FR85" s="148"/>
      <c r="FS85" s="148"/>
      <c r="FT85" s="148"/>
      <c r="FU85" s="148"/>
      <c r="FV85" s="148"/>
      <c r="FW85" s="148"/>
      <c r="FX85" s="148"/>
      <c r="FY85" s="148"/>
      <c r="FZ85" s="148"/>
      <c r="GA85" s="148"/>
      <c r="GB85" s="148"/>
      <c r="GC85" s="148"/>
      <c r="GD85" s="148"/>
      <c r="GE85" s="148"/>
      <c r="GF85" s="148"/>
      <c r="GG85" s="148"/>
      <c r="GH85" s="148"/>
      <c r="GI85" s="148"/>
      <c r="GJ85" s="148"/>
      <c r="GK85" s="148"/>
      <c r="GL85" s="148"/>
      <c r="GM85" s="148"/>
      <c r="GN85" s="148"/>
      <c r="GO85" s="148"/>
      <c r="GP85" s="148"/>
      <c r="GQ85" s="148"/>
      <c r="GR85" s="148"/>
      <c r="GS85" s="148"/>
      <c r="GT85" s="148"/>
      <c r="GU85" s="148"/>
      <c r="GV85" s="148"/>
      <c r="GW85" s="148"/>
      <c r="GX85" s="148"/>
      <c r="GY85" s="148"/>
      <c r="GZ85" s="148"/>
      <c r="HA85" s="148"/>
      <c r="HB85" s="148"/>
      <c r="HC85" s="148"/>
      <c r="HD85" s="148"/>
      <c r="HE85" s="148"/>
      <c r="HF85" s="148"/>
      <c r="HG85" s="148"/>
      <c r="HH85" s="148"/>
      <c r="HI85" s="148"/>
      <c r="HJ85" s="148"/>
      <c r="HK85" s="148"/>
      <c r="HL85" s="148"/>
      <c r="HM85" s="148"/>
      <c r="HN85" s="148"/>
      <c r="HO85" s="148"/>
      <c r="HP85" s="148"/>
      <c r="HQ85" s="148"/>
      <c r="HR85" s="148"/>
      <c r="HS85" s="148"/>
      <c r="HT85" s="148"/>
      <c r="HU85" s="148"/>
      <c r="HV85" s="148"/>
      <c r="HW85" s="148"/>
      <c r="HX85" s="148"/>
      <c r="HY85" s="148"/>
      <c r="HZ85" s="148"/>
      <c r="IA85" s="148"/>
      <c r="IB85" s="148"/>
      <c r="IC85" s="148"/>
      <c r="ID85" s="148"/>
      <c r="IE85" s="148"/>
      <c r="IF85" s="148"/>
      <c r="IG85" s="148"/>
      <c r="IH85" s="148"/>
      <c r="II85" s="148"/>
      <c r="IJ85" s="148"/>
      <c r="IK85" s="148"/>
      <c r="IL85" s="148"/>
      <c r="IM85" s="148"/>
      <c r="IN85" s="148"/>
      <c r="IO85" s="148"/>
      <c r="IP85" s="148"/>
      <c r="IQ85" s="148"/>
      <c r="IR85" s="148"/>
      <c r="IS85" s="148"/>
      <c r="IT85" s="148"/>
      <c r="IU85" s="148"/>
      <c r="IV85" s="148"/>
      <c r="IW85" s="148"/>
      <c r="IX85" s="148"/>
      <c r="IY85" s="148"/>
      <c r="IZ85" s="148"/>
      <c r="JA85" s="148"/>
      <c r="JB85" s="148"/>
      <c r="JC85" s="148"/>
      <c r="JD85" s="148"/>
      <c r="JE85" s="148"/>
      <c r="JF85" s="148"/>
      <c r="JG85" s="148"/>
      <c r="JH85" s="148"/>
      <c r="JI85" s="148"/>
      <c r="JJ85" s="148"/>
      <c r="JK85" s="148"/>
      <c r="JL85" s="148"/>
      <c r="JM85" s="148"/>
      <c r="JN85" s="148"/>
      <c r="JO85" s="148"/>
      <c r="JP85" s="148"/>
      <c r="JQ85" s="148"/>
      <c r="JR85" s="148"/>
      <c r="JS85" s="148"/>
      <c r="JT85" s="148"/>
      <c r="JU85" s="148"/>
      <c r="JV85" s="148"/>
      <c r="JW85" s="148"/>
      <c r="JX85" s="148"/>
      <c r="JY85" s="148"/>
      <c r="JZ85" s="148"/>
      <c r="KA85" s="148"/>
      <c r="KB85" s="148"/>
      <c r="KC85" s="148"/>
      <c r="KD85" s="148"/>
      <c r="KE85" s="148"/>
      <c r="KF85" s="148"/>
      <c r="KG85" s="148"/>
      <c r="KH85" s="148"/>
      <c r="KI85" s="148"/>
      <c r="KJ85" s="148"/>
      <c r="KK85" s="148"/>
      <c r="KL85" s="148"/>
      <c r="KM85" s="148"/>
      <c r="KN85" s="148"/>
      <c r="KO85" s="148"/>
      <c r="KP85" s="148"/>
      <c r="KQ85" s="148"/>
      <c r="KR85" s="148"/>
      <c r="KS85" s="148"/>
      <c r="KT85" s="148"/>
      <c r="KU85" s="148"/>
      <c r="KV85" s="148"/>
      <c r="KW85" s="148"/>
      <c r="KX85" s="148"/>
      <c r="KY85" s="148"/>
      <c r="KZ85" s="148"/>
      <c r="LA85" s="148"/>
      <c r="LB85" s="148"/>
      <c r="LC85" s="148"/>
      <c r="LD85" s="148"/>
      <c r="LE85" s="148"/>
      <c r="LF85" s="148"/>
      <c r="LG85" s="148"/>
      <c r="LH85" s="148"/>
      <c r="LI85" s="148"/>
      <c r="LJ85" s="148"/>
      <c r="LK85" s="148"/>
      <c r="LL85" s="148"/>
      <c r="LM85" s="148"/>
      <c r="LN85" s="148"/>
      <c r="LO85" s="148"/>
      <c r="LP85" s="148"/>
      <c r="LQ85" s="148"/>
      <c r="LR85" s="148"/>
      <c r="LS85" s="148"/>
      <c r="LT85" s="148"/>
      <c r="LU85" s="148"/>
      <c r="LV85" s="148"/>
      <c r="LW85" s="148"/>
      <c r="LX85" s="148"/>
      <c r="LY85" s="148"/>
      <c r="LZ85" s="148"/>
      <c r="MA85" s="148"/>
      <c r="MB85" s="148"/>
      <c r="MC85" s="148"/>
      <c r="MD85" s="148"/>
      <c r="ME85" s="148"/>
      <c r="MF85" s="148"/>
      <c r="MG85" s="148"/>
      <c r="MH85" s="148"/>
      <c r="MI85" s="148"/>
      <c r="MJ85" s="148"/>
      <c r="MK85" s="148"/>
      <c r="ML85" s="148"/>
      <c r="MM85" s="148"/>
      <c r="MN85" s="148"/>
      <c r="MO85" s="148"/>
      <c r="MP85" s="148"/>
      <c r="MQ85" s="148"/>
      <c r="MR85" s="148"/>
      <c r="MS85" s="148"/>
      <c r="MT85" s="148"/>
      <c r="MU85" s="148"/>
      <c r="MV85" s="148"/>
      <c r="MW85" s="148"/>
      <c r="MX85" s="148"/>
      <c r="MY85" s="148"/>
      <c r="MZ85" s="148"/>
      <c r="NA85" s="148"/>
      <c r="NB85" s="148"/>
      <c r="NC85" s="148"/>
      <c r="ND85" s="148"/>
      <c r="NE85" s="148"/>
      <c r="NF85" s="148"/>
      <c r="NG85" s="148"/>
      <c r="NH85" s="148"/>
      <c r="NI85" s="148"/>
      <c r="NJ85" s="148"/>
      <c r="NK85" s="148"/>
      <c r="NL85" s="148"/>
      <c r="NM85" s="148"/>
      <c r="NN85" s="148"/>
      <c r="NO85" s="148"/>
      <c r="NP85" s="148"/>
      <c r="NQ85" s="148"/>
      <c r="NR85" s="148"/>
      <c r="NS85" s="148"/>
      <c r="NT85" s="148"/>
      <c r="NU85" s="148"/>
      <c r="NV85" s="148"/>
      <c r="NW85" s="148"/>
      <c r="NX85" s="148"/>
      <c r="NY85" s="148"/>
      <c r="NZ85" s="148"/>
      <c r="OA85" s="148"/>
      <c r="OB85" s="148"/>
      <c r="OC85" s="148"/>
      <c r="OD85" s="148"/>
      <c r="OE85" s="148"/>
      <c r="OF85" s="148"/>
      <c r="OG85" s="148"/>
      <c r="OH85" s="148"/>
      <c r="OI85" s="148"/>
      <c r="OJ85" s="148"/>
      <c r="OK85" s="148"/>
      <c r="OL85" s="148"/>
      <c r="OM85" s="148"/>
      <c r="ON85" s="148"/>
      <c r="OO85" s="148"/>
      <c r="OP85" s="148"/>
      <c r="OQ85" s="148"/>
      <c r="OR85" s="148"/>
      <c r="OS85" s="148"/>
      <c r="OT85" s="148"/>
      <c r="OU85" s="148"/>
      <c r="OV85" s="148"/>
      <c r="OW85" s="148"/>
      <c r="OX85" s="148"/>
      <c r="OY85" s="148"/>
      <c r="OZ85" s="148"/>
      <c r="PA85" s="148"/>
      <c r="PB85" s="148"/>
      <c r="PC85" s="148"/>
      <c r="PD85" s="148"/>
      <c r="PE85" s="148"/>
      <c r="PF85" s="148"/>
      <c r="PG85" s="148"/>
      <c r="PH85" s="148"/>
      <c r="PI85" s="148"/>
      <c r="PJ85" s="148"/>
      <c r="PK85" s="148"/>
      <c r="PL85" s="148"/>
      <c r="PM85" s="148"/>
      <c r="PN85" s="148"/>
      <c r="PO85" s="148"/>
      <c r="PP85" s="148"/>
      <c r="PQ85" s="148"/>
      <c r="PR85" s="148"/>
      <c r="PS85" s="148"/>
      <c r="PT85" s="148"/>
      <c r="PU85" s="148"/>
      <c r="PV85" s="148"/>
      <c r="PW85" s="148"/>
      <c r="PX85" s="148"/>
      <c r="PY85" s="148"/>
      <c r="PZ85" s="148"/>
      <c r="QA85" s="148"/>
      <c r="QB85" s="148"/>
      <c r="QC85" s="148"/>
      <c r="QD85" s="148"/>
      <c r="QE85" s="148"/>
      <c r="QF85" s="148"/>
      <c r="QG85" s="148"/>
      <c r="QH85" s="148"/>
      <c r="QI85" s="148"/>
      <c r="QJ85" s="148"/>
      <c r="QK85" s="148"/>
      <c r="QL85" s="148"/>
      <c r="QM85" s="148"/>
      <c r="QN85" s="148"/>
      <c r="QO85" s="148"/>
      <c r="QP85" s="148"/>
      <c r="QQ85" s="148"/>
      <c r="QR85" s="148"/>
      <c r="QS85" s="148"/>
      <c r="QT85" s="148"/>
      <c r="QU85" s="148"/>
      <c r="QV85" s="148"/>
      <c r="QW85" s="148"/>
      <c r="QX85" s="148"/>
      <c r="QY85" s="148"/>
      <c r="QZ85" s="148"/>
      <c r="RA85" s="148"/>
      <c r="RB85" s="148"/>
      <c r="RC85" s="148"/>
      <c r="RD85" s="148"/>
      <c r="RE85" s="148"/>
      <c r="RF85" s="148"/>
      <c r="RG85" s="148"/>
      <c r="RH85" s="148"/>
      <c r="RI85" s="148"/>
      <c r="RJ85" s="148"/>
      <c r="RK85" s="148"/>
      <c r="RL85" s="148"/>
      <c r="RM85" s="148"/>
      <c r="RN85" s="148"/>
      <c r="RO85" s="148"/>
      <c r="RP85" s="148"/>
      <c r="RQ85" s="148"/>
      <c r="RR85" s="148"/>
    </row>
    <row r="86" spans="1:486" s="15" customFormat="1" ht="22.5" x14ac:dyDescent="0.25">
      <c r="A86" s="148"/>
      <c r="B86" s="350">
        <v>76</v>
      </c>
      <c r="C86" s="650" t="s">
        <v>894</v>
      </c>
      <c r="D86" s="653">
        <v>40021626</v>
      </c>
      <c r="E86" s="344" t="s">
        <v>2836</v>
      </c>
      <c r="F86" s="653" t="s">
        <v>897</v>
      </c>
      <c r="G86" s="17" t="s">
        <v>2693</v>
      </c>
      <c r="H86" s="317" t="s">
        <v>2718</v>
      </c>
      <c r="I86" s="653" t="s">
        <v>43</v>
      </c>
      <c r="J86" s="341">
        <v>1676113</v>
      </c>
      <c r="K86" s="633">
        <v>0</v>
      </c>
      <c r="L86" s="633">
        <v>0</v>
      </c>
      <c r="M86" s="633">
        <v>0</v>
      </c>
      <c r="N86" s="633">
        <v>0</v>
      </c>
      <c r="O86" s="633">
        <v>0</v>
      </c>
      <c r="P86" s="633">
        <v>0</v>
      </c>
      <c r="Q86" s="633">
        <v>0</v>
      </c>
      <c r="R86" s="633">
        <v>0</v>
      </c>
      <c r="S86" s="633"/>
      <c r="T86" s="633"/>
      <c r="U86" s="633"/>
      <c r="V86" s="633"/>
      <c r="W86" s="633"/>
      <c r="X86" s="633"/>
      <c r="Y86" s="633">
        <f t="shared" si="3"/>
        <v>0</v>
      </c>
      <c r="Z86" s="637">
        <v>1500</v>
      </c>
      <c r="AA86" s="19">
        <v>33</v>
      </c>
      <c r="AB86" s="315">
        <v>44350</v>
      </c>
      <c r="AC86" s="315">
        <v>44369</v>
      </c>
      <c r="AD86" s="652"/>
      <c r="AE86" s="20"/>
      <c r="AF86" s="21"/>
      <c r="AG86" s="23"/>
      <c r="AH86" s="637"/>
      <c r="AI86" s="19"/>
      <c r="AJ86" s="21"/>
      <c r="AK86" s="25"/>
      <c r="AL86" s="309"/>
      <c r="AM86" s="19"/>
      <c r="AN86" s="21"/>
      <c r="AO86" s="25"/>
      <c r="AP86" s="309"/>
      <c r="AQ86" s="19"/>
      <c r="AR86" s="21"/>
      <c r="AS86" s="25"/>
      <c r="AT86" s="638">
        <f t="shared" si="4"/>
        <v>1500</v>
      </c>
      <c r="AU86" s="311">
        <f t="shared" si="0"/>
        <v>1500</v>
      </c>
      <c r="AV86" s="148"/>
      <c r="AW86" s="148"/>
      <c r="AX86" s="148"/>
      <c r="AY86" s="148"/>
      <c r="AZ86" s="148"/>
      <c r="BA86" s="148"/>
      <c r="BB86" s="148"/>
      <c r="BC86" s="148"/>
      <c r="BD86" s="148"/>
      <c r="BE86" s="148"/>
      <c r="BF86" s="148"/>
      <c r="BG86" s="148"/>
      <c r="BH86" s="148"/>
      <c r="BI86" s="148"/>
      <c r="BJ86" s="148"/>
      <c r="BK86" s="148"/>
      <c r="BL86" s="148"/>
      <c r="BM86" s="148"/>
      <c r="BN86" s="148"/>
      <c r="BO86" s="148"/>
      <c r="BP86" s="148"/>
      <c r="BQ86" s="148"/>
      <c r="BR86" s="148"/>
      <c r="BS86" s="148"/>
      <c r="BT86" s="148"/>
      <c r="BU86" s="148"/>
      <c r="BV86" s="148"/>
      <c r="BW86" s="148"/>
      <c r="BX86" s="148"/>
      <c r="BY86" s="148"/>
      <c r="BZ86" s="148"/>
      <c r="CA86" s="148"/>
      <c r="CB86" s="148"/>
      <c r="CC86" s="148"/>
      <c r="CD86" s="148"/>
      <c r="CE86" s="148"/>
      <c r="CF86" s="148"/>
      <c r="CG86" s="148"/>
      <c r="CH86" s="148"/>
      <c r="CI86" s="148"/>
      <c r="CJ86" s="148"/>
      <c r="CK86" s="148"/>
      <c r="CL86" s="148"/>
      <c r="CM86" s="148"/>
      <c r="CN86" s="148"/>
      <c r="CO86" s="148"/>
      <c r="CP86" s="148"/>
      <c r="CQ86" s="148"/>
      <c r="CR86" s="148"/>
      <c r="CS86" s="148"/>
      <c r="CT86" s="148"/>
      <c r="CU86" s="148"/>
      <c r="CV86" s="148"/>
      <c r="CW86" s="148"/>
      <c r="CX86" s="148"/>
      <c r="CY86" s="148"/>
      <c r="CZ86" s="148"/>
      <c r="DA86" s="148"/>
      <c r="DB86" s="148"/>
      <c r="DC86" s="148"/>
      <c r="DD86" s="148"/>
      <c r="DE86" s="148"/>
      <c r="DF86" s="148"/>
      <c r="DG86" s="148"/>
      <c r="DH86" s="148"/>
      <c r="DI86" s="148"/>
      <c r="DJ86" s="148"/>
      <c r="DK86" s="148"/>
      <c r="DL86" s="148"/>
      <c r="DM86" s="148"/>
      <c r="DN86" s="148"/>
      <c r="DO86" s="148"/>
      <c r="DP86" s="148"/>
      <c r="DQ86" s="148"/>
      <c r="DR86" s="148"/>
      <c r="DS86" s="148"/>
      <c r="DT86" s="148"/>
      <c r="DU86" s="148"/>
      <c r="DV86" s="148"/>
      <c r="DW86" s="148"/>
      <c r="DX86" s="148"/>
      <c r="DY86" s="148"/>
      <c r="DZ86" s="148"/>
      <c r="EA86" s="148"/>
      <c r="EB86" s="148"/>
      <c r="EC86" s="148"/>
      <c r="ED86" s="148"/>
      <c r="EE86" s="148"/>
      <c r="EF86" s="148"/>
      <c r="EG86" s="148"/>
      <c r="EH86" s="148"/>
      <c r="EI86" s="148"/>
      <c r="EJ86" s="148"/>
      <c r="EK86" s="148"/>
      <c r="EL86" s="148"/>
      <c r="EM86" s="148"/>
      <c r="EN86" s="148"/>
      <c r="EO86" s="148"/>
      <c r="EP86" s="148"/>
      <c r="EQ86" s="148"/>
      <c r="ER86" s="148"/>
      <c r="ES86" s="148"/>
      <c r="ET86" s="148"/>
      <c r="EU86" s="148"/>
      <c r="EV86" s="148"/>
      <c r="EW86" s="148"/>
      <c r="EX86" s="148"/>
      <c r="EY86" s="148"/>
      <c r="EZ86" s="148"/>
      <c r="FA86" s="148"/>
      <c r="FB86" s="148"/>
      <c r="FC86" s="148"/>
      <c r="FD86" s="148"/>
      <c r="FE86" s="148"/>
      <c r="FF86" s="148"/>
      <c r="FG86" s="148"/>
      <c r="FH86" s="148"/>
      <c r="FI86" s="148"/>
      <c r="FJ86" s="148"/>
      <c r="FK86" s="148"/>
      <c r="FL86" s="148"/>
      <c r="FM86" s="148"/>
      <c r="FN86" s="148"/>
      <c r="FO86" s="148"/>
      <c r="FP86" s="148"/>
      <c r="FQ86" s="148"/>
      <c r="FR86" s="148"/>
      <c r="FS86" s="148"/>
      <c r="FT86" s="148"/>
      <c r="FU86" s="148"/>
      <c r="FV86" s="148"/>
      <c r="FW86" s="148"/>
      <c r="FX86" s="148"/>
      <c r="FY86" s="148"/>
      <c r="FZ86" s="148"/>
      <c r="GA86" s="148"/>
      <c r="GB86" s="148"/>
      <c r="GC86" s="148"/>
      <c r="GD86" s="148"/>
      <c r="GE86" s="148"/>
      <c r="GF86" s="148"/>
      <c r="GG86" s="148"/>
      <c r="GH86" s="148"/>
      <c r="GI86" s="148"/>
      <c r="GJ86" s="148"/>
      <c r="GK86" s="148"/>
      <c r="GL86" s="148"/>
      <c r="GM86" s="148"/>
      <c r="GN86" s="148"/>
      <c r="GO86" s="148"/>
      <c r="GP86" s="148"/>
      <c r="GQ86" s="148"/>
      <c r="GR86" s="148"/>
      <c r="GS86" s="148"/>
      <c r="GT86" s="148"/>
      <c r="GU86" s="148"/>
      <c r="GV86" s="148"/>
      <c r="GW86" s="148"/>
      <c r="GX86" s="148"/>
      <c r="GY86" s="148"/>
      <c r="GZ86" s="148"/>
      <c r="HA86" s="148"/>
      <c r="HB86" s="148"/>
      <c r="HC86" s="148"/>
      <c r="HD86" s="148"/>
      <c r="HE86" s="148"/>
      <c r="HF86" s="148"/>
      <c r="HG86" s="148"/>
      <c r="HH86" s="148"/>
      <c r="HI86" s="148"/>
      <c r="HJ86" s="148"/>
      <c r="HK86" s="148"/>
      <c r="HL86" s="148"/>
      <c r="HM86" s="148"/>
      <c r="HN86" s="148"/>
      <c r="HO86" s="148"/>
      <c r="HP86" s="148"/>
      <c r="HQ86" s="148"/>
      <c r="HR86" s="148"/>
      <c r="HS86" s="148"/>
      <c r="HT86" s="148"/>
      <c r="HU86" s="148"/>
      <c r="HV86" s="148"/>
      <c r="HW86" s="148"/>
      <c r="HX86" s="148"/>
      <c r="HY86" s="148"/>
      <c r="HZ86" s="148"/>
      <c r="IA86" s="148"/>
      <c r="IB86" s="148"/>
      <c r="IC86" s="148"/>
      <c r="ID86" s="148"/>
      <c r="IE86" s="148"/>
      <c r="IF86" s="148"/>
      <c r="IG86" s="148"/>
      <c r="IH86" s="148"/>
      <c r="II86" s="148"/>
      <c r="IJ86" s="148"/>
      <c r="IK86" s="148"/>
      <c r="IL86" s="148"/>
      <c r="IM86" s="148"/>
      <c r="IN86" s="148"/>
      <c r="IO86" s="148"/>
      <c r="IP86" s="148"/>
      <c r="IQ86" s="148"/>
      <c r="IR86" s="148"/>
      <c r="IS86" s="148"/>
      <c r="IT86" s="148"/>
      <c r="IU86" s="148"/>
      <c r="IV86" s="148"/>
      <c r="IW86" s="148"/>
      <c r="IX86" s="148"/>
      <c r="IY86" s="148"/>
      <c r="IZ86" s="148"/>
      <c r="JA86" s="148"/>
      <c r="JB86" s="148"/>
      <c r="JC86" s="148"/>
      <c r="JD86" s="148"/>
      <c r="JE86" s="148"/>
      <c r="JF86" s="148"/>
      <c r="JG86" s="148"/>
      <c r="JH86" s="148"/>
      <c r="JI86" s="148"/>
      <c r="JJ86" s="148"/>
      <c r="JK86" s="148"/>
      <c r="JL86" s="148"/>
      <c r="JM86" s="148"/>
      <c r="JN86" s="148"/>
      <c r="JO86" s="148"/>
      <c r="JP86" s="148"/>
      <c r="JQ86" s="148"/>
      <c r="JR86" s="148"/>
      <c r="JS86" s="148"/>
      <c r="JT86" s="148"/>
      <c r="JU86" s="148"/>
      <c r="JV86" s="148"/>
      <c r="JW86" s="148"/>
      <c r="JX86" s="148"/>
      <c r="JY86" s="148"/>
      <c r="JZ86" s="148"/>
      <c r="KA86" s="148"/>
      <c r="KB86" s="148"/>
      <c r="KC86" s="148"/>
      <c r="KD86" s="148"/>
      <c r="KE86" s="148"/>
      <c r="KF86" s="148"/>
      <c r="KG86" s="148"/>
      <c r="KH86" s="148"/>
      <c r="KI86" s="148"/>
      <c r="KJ86" s="148"/>
      <c r="KK86" s="148"/>
      <c r="KL86" s="148"/>
      <c r="KM86" s="148"/>
      <c r="KN86" s="148"/>
      <c r="KO86" s="148"/>
      <c r="KP86" s="148"/>
      <c r="KQ86" s="148"/>
      <c r="KR86" s="148"/>
      <c r="KS86" s="148"/>
      <c r="KT86" s="148"/>
      <c r="KU86" s="148"/>
      <c r="KV86" s="148"/>
      <c r="KW86" s="148"/>
      <c r="KX86" s="148"/>
      <c r="KY86" s="148"/>
      <c r="KZ86" s="148"/>
      <c r="LA86" s="148"/>
      <c r="LB86" s="148"/>
      <c r="LC86" s="148"/>
      <c r="LD86" s="148"/>
      <c r="LE86" s="148"/>
      <c r="LF86" s="148"/>
      <c r="LG86" s="148"/>
      <c r="LH86" s="148"/>
      <c r="LI86" s="148"/>
      <c r="LJ86" s="148"/>
      <c r="LK86" s="148"/>
      <c r="LL86" s="148"/>
      <c r="LM86" s="148"/>
      <c r="LN86" s="148"/>
      <c r="LO86" s="148"/>
      <c r="LP86" s="148"/>
      <c r="LQ86" s="148"/>
      <c r="LR86" s="148"/>
      <c r="LS86" s="148"/>
      <c r="LT86" s="148"/>
      <c r="LU86" s="148"/>
      <c r="LV86" s="148"/>
      <c r="LW86" s="148"/>
      <c r="LX86" s="148"/>
      <c r="LY86" s="148"/>
      <c r="LZ86" s="148"/>
      <c r="MA86" s="148"/>
      <c r="MB86" s="148"/>
      <c r="MC86" s="148"/>
      <c r="MD86" s="148"/>
      <c r="ME86" s="148"/>
      <c r="MF86" s="148"/>
      <c r="MG86" s="148"/>
      <c r="MH86" s="148"/>
      <c r="MI86" s="148"/>
      <c r="MJ86" s="148"/>
      <c r="MK86" s="148"/>
      <c r="ML86" s="148"/>
      <c r="MM86" s="148"/>
      <c r="MN86" s="148"/>
      <c r="MO86" s="148"/>
      <c r="MP86" s="148"/>
      <c r="MQ86" s="148"/>
      <c r="MR86" s="148"/>
      <c r="MS86" s="148"/>
      <c r="MT86" s="148"/>
      <c r="MU86" s="148"/>
      <c r="MV86" s="148"/>
      <c r="MW86" s="148"/>
      <c r="MX86" s="148"/>
      <c r="MY86" s="148"/>
      <c r="MZ86" s="148"/>
      <c r="NA86" s="148"/>
      <c r="NB86" s="148"/>
      <c r="NC86" s="148"/>
      <c r="ND86" s="148"/>
      <c r="NE86" s="148"/>
      <c r="NF86" s="148"/>
      <c r="NG86" s="148"/>
      <c r="NH86" s="148"/>
      <c r="NI86" s="148"/>
      <c r="NJ86" s="148"/>
      <c r="NK86" s="148"/>
      <c r="NL86" s="148"/>
      <c r="NM86" s="148"/>
      <c r="NN86" s="148"/>
      <c r="NO86" s="148"/>
      <c r="NP86" s="148"/>
      <c r="NQ86" s="148"/>
      <c r="NR86" s="148"/>
      <c r="NS86" s="148"/>
      <c r="NT86" s="148"/>
      <c r="NU86" s="148"/>
      <c r="NV86" s="148"/>
      <c r="NW86" s="148"/>
      <c r="NX86" s="148"/>
      <c r="NY86" s="148"/>
      <c r="NZ86" s="148"/>
      <c r="OA86" s="148"/>
      <c r="OB86" s="148"/>
      <c r="OC86" s="148"/>
      <c r="OD86" s="148"/>
      <c r="OE86" s="148"/>
      <c r="OF86" s="148"/>
      <c r="OG86" s="148"/>
      <c r="OH86" s="148"/>
      <c r="OI86" s="148"/>
      <c r="OJ86" s="148"/>
      <c r="OK86" s="148"/>
      <c r="OL86" s="148"/>
      <c r="OM86" s="148"/>
      <c r="ON86" s="148"/>
      <c r="OO86" s="148"/>
      <c r="OP86" s="148"/>
      <c r="OQ86" s="148"/>
      <c r="OR86" s="148"/>
      <c r="OS86" s="148"/>
      <c r="OT86" s="148"/>
      <c r="OU86" s="148"/>
      <c r="OV86" s="148"/>
      <c r="OW86" s="148"/>
      <c r="OX86" s="148"/>
      <c r="OY86" s="148"/>
      <c r="OZ86" s="148"/>
      <c r="PA86" s="148"/>
      <c r="PB86" s="148"/>
      <c r="PC86" s="148"/>
      <c r="PD86" s="148"/>
      <c r="PE86" s="148"/>
      <c r="PF86" s="148"/>
      <c r="PG86" s="148"/>
      <c r="PH86" s="148"/>
      <c r="PI86" s="148"/>
      <c r="PJ86" s="148"/>
      <c r="PK86" s="148"/>
      <c r="PL86" s="148"/>
      <c r="PM86" s="148"/>
      <c r="PN86" s="148"/>
      <c r="PO86" s="148"/>
      <c r="PP86" s="148"/>
      <c r="PQ86" s="148"/>
      <c r="PR86" s="148"/>
      <c r="PS86" s="148"/>
      <c r="PT86" s="148"/>
      <c r="PU86" s="148"/>
      <c r="PV86" s="148"/>
      <c r="PW86" s="148"/>
      <c r="PX86" s="148"/>
      <c r="PY86" s="148"/>
      <c r="PZ86" s="148"/>
      <c r="QA86" s="148"/>
      <c r="QB86" s="148"/>
      <c r="QC86" s="148"/>
      <c r="QD86" s="148"/>
      <c r="QE86" s="148"/>
      <c r="QF86" s="148"/>
      <c r="QG86" s="148"/>
      <c r="QH86" s="148"/>
      <c r="QI86" s="148"/>
      <c r="QJ86" s="148"/>
      <c r="QK86" s="148"/>
      <c r="QL86" s="148"/>
      <c r="QM86" s="148"/>
      <c r="QN86" s="148"/>
      <c r="QO86" s="148"/>
      <c r="QP86" s="148"/>
      <c r="QQ86" s="148"/>
      <c r="QR86" s="148"/>
      <c r="QS86" s="148"/>
      <c r="QT86" s="148"/>
      <c r="QU86" s="148"/>
      <c r="QV86" s="148"/>
      <c r="QW86" s="148"/>
      <c r="QX86" s="148"/>
      <c r="QY86" s="148"/>
      <c r="QZ86" s="148"/>
      <c r="RA86" s="148"/>
      <c r="RB86" s="148"/>
      <c r="RC86" s="148"/>
      <c r="RD86" s="148"/>
      <c r="RE86" s="148"/>
      <c r="RF86" s="148"/>
      <c r="RG86" s="148"/>
      <c r="RH86" s="148"/>
      <c r="RI86" s="148"/>
      <c r="RJ86" s="148"/>
      <c r="RK86" s="148"/>
      <c r="RL86" s="148"/>
      <c r="RM86" s="148"/>
      <c r="RN86" s="148"/>
      <c r="RO86" s="148"/>
      <c r="RP86" s="148"/>
      <c r="RQ86" s="148"/>
      <c r="RR86" s="148"/>
    </row>
    <row r="87" spans="1:486" s="15" customFormat="1" x14ac:dyDescent="0.25">
      <c r="A87" s="148"/>
      <c r="B87" s="350">
        <v>77</v>
      </c>
      <c r="C87" s="650" t="s">
        <v>894</v>
      </c>
      <c r="D87" s="653">
        <v>40024561</v>
      </c>
      <c r="E87" s="344" t="s">
        <v>2847</v>
      </c>
      <c r="F87" s="653" t="s">
        <v>204</v>
      </c>
      <c r="G87" s="17" t="s">
        <v>2693</v>
      </c>
      <c r="H87" s="317" t="s">
        <v>2706</v>
      </c>
      <c r="I87" s="653" t="s">
        <v>43</v>
      </c>
      <c r="J87" s="341">
        <v>33955</v>
      </c>
      <c r="K87" s="633">
        <v>0</v>
      </c>
      <c r="L87" s="633">
        <v>0</v>
      </c>
      <c r="M87" s="633">
        <v>0</v>
      </c>
      <c r="N87" s="633">
        <v>0</v>
      </c>
      <c r="O87" s="633">
        <v>0</v>
      </c>
      <c r="P87" s="633">
        <v>0</v>
      </c>
      <c r="Q87" s="633">
        <v>0</v>
      </c>
      <c r="R87" s="633">
        <v>0</v>
      </c>
      <c r="S87" s="633"/>
      <c r="T87" s="633"/>
      <c r="U87" s="633"/>
      <c r="V87" s="633"/>
      <c r="W87" s="633"/>
      <c r="X87" s="633"/>
      <c r="Y87" s="633">
        <f t="shared" si="3"/>
        <v>0</v>
      </c>
      <c r="Z87" s="637">
        <v>6093</v>
      </c>
      <c r="AA87" s="19">
        <v>33</v>
      </c>
      <c r="AB87" s="315">
        <v>44350</v>
      </c>
      <c r="AC87" s="315">
        <v>44369</v>
      </c>
      <c r="AD87" s="652"/>
      <c r="AE87" s="20"/>
      <c r="AF87" s="21"/>
      <c r="AG87" s="23"/>
      <c r="AH87" s="637"/>
      <c r="AI87" s="19"/>
      <c r="AJ87" s="21"/>
      <c r="AK87" s="25"/>
      <c r="AL87" s="309"/>
      <c r="AM87" s="19"/>
      <c r="AN87" s="21"/>
      <c r="AO87" s="25"/>
      <c r="AP87" s="309"/>
      <c r="AQ87" s="19"/>
      <c r="AR87" s="21"/>
      <c r="AS87" s="25"/>
      <c r="AT87" s="638">
        <f t="shared" si="4"/>
        <v>6093</v>
      </c>
      <c r="AU87" s="311">
        <f t="shared" si="0"/>
        <v>6093</v>
      </c>
      <c r="AV87" s="148"/>
      <c r="AW87" s="148"/>
      <c r="AX87" s="148"/>
      <c r="AY87" s="148"/>
      <c r="AZ87" s="148"/>
      <c r="BA87" s="148"/>
      <c r="BB87" s="148"/>
      <c r="BC87" s="148"/>
      <c r="BD87" s="148"/>
      <c r="BE87" s="148"/>
      <c r="BF87" s="148"/>
      <c r="BG87" s="148"/>
      <c r="BH87" s="148"/>
      <c r="BI87" s="148"/>
      <c r="BJ87" s="148"/>
      <c r="BK87" s="148"/>
      <c r="BL87" s="148"/>
      <c r="BM87" s="148"/>
      <c r="BN87" s="148"/>
      <c r="BO87" s="148"/>
      <c r="BP87" s="148"/>
      <c r="BQ87" s="148"/>
      <c r="BR87" s="148"/>
      <c r="BS87" s="148"/>
      <c r="BT87" s="148"/>
      <c r="BU87" s="148"/>
      <c r="BV87" s="148"/>
      <c r="BW87" s="148"/>
      <c r="BX87" s="148"/>
      <c r="BY87" s="148"/>
      <c r="BZ87" s="148"/>
      <c r="CA87" s="148"/>
      <c r="CB87" s="148"/>
      <c r="CC87" s="148"/>
      <c r="CD87" s="148"/>
      <c r="CE87" s="148"/>
      <c r="CF87" s="148"/>
      <c r="CG87" s="148"/>
      <c r="CH87" s="148"/>
      <c r="CI87" s="148"/>
      <c r="CJ87" s="148"/>
      <c r="CK87" s="148"/>
      <c r="CL87" s="148"/>
      <c r="CM87" s="148"/>
      <c r="CN87" s="148"/>
      <c r="CO87" s="148"/>
      <c r="CP87" s="148"/>
      <c r="CQ87" s="148"/>
      <c r="CR87" s="148"/>
      <c r="CS87" s="148"/>
      <c r="CT87" s="148"/>
      <c r="CU87" s="148"/>
      <c r="CV87" s="148"/>
      <c r="CW87" s="148"/>
      <c r="CX87" s="148"/>
      <c r="CY87" s="148"/>
      <c r="CZ87" s="148"/>
      <c r="DA87" s="148"/>
      <c r="DB87" s="148"/>
      <c r="DC87" s="148"/>
      <c r="DD87" s="148"/>
      <c r="DE87" s="148"/>
      <c r="DF87" s="148"/>
      <c r="DG87" s="148"/>
      <c r="DH87" s="148"/>
      <c r="DI87" s="148"/>
      <c r="DJ87" s="148"/>
      <c r="DK87" s="148"/>
      <c r="DL87" s="148"/>
      <c r="DM87" s="148"/>
      <c r="DN87" s="148"/>
      <c r="DO87" s="148"/>
      <c r="DP87" s="148"/>
      <c r="DQ87" s="148"/>
      <c r="DR87" s="148"/>
      <c r="DS87" s="148"/>
      <c r="DT87" s="148"/>
      <c r="DU87" s="148"/>
      <c r="DV87" s="148"/>
      <c r="DW87" s="148"/>
      <c r="DX87" s="148"/>
      <c r="DY87" s="148"/>
      <c r="DZ87" s="148"/>
      <c r="EA87" s="148"/>
      <c r="EB87" s="148"/>
      <c r="EC87" s="148"/>
      <c r="ED87" s="148"/>
      <c r="EE87" s="148"/>
      <c r="EF87" s="148"/>
      <c r="EG87" s="148"/>
      <c r="EH87" s="148"/>
      <c r="EI87" s="148"/>
      <c r="EJ87" s="148"/>
      <c r="EK87" s="148"/>
      <c r="EL87" s="148"/>
      <c r="EM87" s="148"/>
      <c r="EN87" s="148"/>
      <c r="EO87" s="148"/>
      <c r="EP87" s="148"/>
      <c r="EQ87" s="148"/>
      <c r="ER87" s="148"/>
      <c r="ES87" s="148"/>
      <c r="ET87" s="148"/>
      <c r="EU87" s="148"/>
      <c r="EV87" s="148"/>
      <c r="EW87" s="148"/>
      <c r="EX87" s="148"/>
      <c r="EY87" s="148"/>
      <c r="EZ87" s="148"/>
      <c r="FA87" s="148"/>
      <c r="FB87" s="148"/>
      <c r="FC87" s="148"/>
      <c r="FD87" s="148"/>
      <c r="FE87" s="148"/>
      <c r="FF87" s="148"/>
      <c r="FG87" s="148"/>
      <c r="FH87" s="148"/>
      <c r="FI87" s="148"/>
      <c r="FJ87" s="148"/>
      <c r="FK87" s="148"/>
      <c r="FL87" s="148"/>
      <c r="FM87" s="148"/>
      <c r="FN87" s="148"/>
      <c r="FO87" s="148"/>
      <c r="FP87" s="148"/>
      <c r="FQ87" s="148"/>
      <c r="FR87" s="148"/>
      <c r="FS87" s="148"/>
      <c r="FT87" s="148"/>
      <c r="FU87" s="148"/>
      <c r="FV87" s="148"/>
      <c r="FW87" s="148"/>
      <c r="FX87" s="148"/>
      <c r="FY87" s="148"/>
      <c r="FZ87" s="148"/>
      <c r="GA87" s="148"/>
      <c r="GB87" s="148"/>
      <c r="GC87" s="148"/>
      <c r="GD87" s="148"/>
      <c r="GE87" s="148"/>
      <c r="GF87" s="148"/>
      <c r="GG87" s="148"/>
      <c r="GH87" s="148"/>
      <c r="GI87" s="148"/>
      <c r="GJ87" s="148"/>
      <c r="GK87" s="148"/>
      <c r="GL87" s="148"/>
      <c r="GM87" s="148"/>
      <c r="GN87" s="148"/>
      <c r="GO87" s="148"/>
      <c r="GP87" s="148"/>
      <c r="GQ87" s="148"/>
      <c r="GR87" s="148"/>
      <c r="GS87" s="148"/>
      <c r="GT87" s="148"/>
      <c r="GU87" s="148"/>
      <c r="GV87" s="148"/>
      <c r="GW87" s="148"/>
      <c r="GX87" s="148"/>
      <c r="GY87" s="148"/>
      <c r="GZ87" s="148"/>
      <c r="HA87" s="148"/>
      <c r="HB87" s="148"/>
      <c r="HC87" s="148"/>
      <c r="HD87" s="148"/>
      <c r="HE87" s="148"/>
      <c r="HF87" s="148"/>
      <c r="HG87" s="148"/>
      <c r="HH87" s="148"/>
      <c r="HI87" s="148"/>
      <c r="HJ87" s="148"/>
      <c r="HK87" s="148"/>
      <c r="HL87" s="148"/>
      <c r="HM87" s="148"/>
      <c r="HN87" s="148"/>
      <c r="HO87" s="148"/>
      <c r="HP87" s="148"/>
      <c r="HQ87" s="148"/>
      <c r="HR87" s="148"/>
      <c r="HS87" s="148"/>
      <c r="HT87" s="148"/>
      <c r="HU87" s="148"/>
      <c r="HV87" s="148"/>
      <c r="HW87" s="148"/>
      <c r="HX87" s="148"/>
      <c r="HY87" s="148"/>
      <c r="HZ87" s="148"/>
      <c r="IA87" s="148"/>
      <c r="IB87" s="148"/>
      <c r="IC87" s="148"/>
      <c r="ID87" s="148"/>
      <c r="IE87" s="148"/>
      <c r="IF87" s="148"/>
      <c r="IG87" s="148"/>
      <c r="IH87" s="148"/>
      <c r="II87" s="148"/>
      <c r="IJ87" s="148"/>
      <c r="IK87" s="148"/>
      <c r="IL87" s="148"/>
      <c r="IM87" s="148"/>
      <c r="IN87" s="148"/>
      <c r="IO87" s="148"/>
      <c r="IP87" s="148"/>
      <c r="IQ87" s="148"/>
      <c r="IR87" s="148"/>
      <c r="IS87" s="148"/>
      <c r="IT87" s="148"/>
      <c r="IU87" s="148"/>
      <c r="IV87" s="148"/>
      <c r="IW87" s="148"/>
      <c r="IX87" s="148"/>
      <c r="IY87" s="148"/>
      <c r="IZ87" s="148"/>
      <c r="JA87" s="148"/>
      <c r="JB87" s="148"/>
      <c r="JC87" s="148"/>
      <c r="JD87" s="148"/>
      <c r="JE87" s="148"/>
      <c r="JF87" s="148"/>
      <c r="JG87" s="148"/>
      <c r="JH87" s="148"/>
      <c r="JI87" s="148"/>
      <c r="JJ87" s="148"/>
      <c r="JK87" s="148"/>
      <c r="JL87" s="148"/>
      <c r="JM87" s="148"/>
      <c r="JN87" s="148"/>
      <c r="JO87" s="148"/>
      <c r="JP87" s="148"/>
      <c r="JQ87" s="148"/>
      <c r="JR87" s="148"/>
      <c r="JS87" s="148"/>
      <c r="JT87" s="148"/>
      <c r="JU87" s="148"/>
      <c r="JV87" s="148"/>
      <c r="JW87" s="148"/>
      <c r="JX87" s="148"/>
      <c r="JY87" s="148"/>
      <c r="JZ87" s="148"/>
      <c r="KA87" s="148"/>
      <c r="KB87" s="148"/>
      <c r="KC87" s="148"/>
      <c r="KD87" s="148"/>
      <c r="KE87" s="148"/>
      <c r="KF87" s="148"/>
      <c r="KG87" s="148"/>
      <c r="KH87" s="148"/>
      <c r="KI87" s="148"/>
      <c r="KJ87" s="148"/>
      <c r="KK87" s="148"/>
      <c r="KL87" s="148"/>
      <c r="KM87" s="148"/>
      <c r="KN87" s="148"/>
      <c r="KO87" s="148"/>
      <c r="KP87" s="148"/>
      <c r="KQ87" s="148"/>
      <c r="KR87" s="148"/>
      <c r="KS87" s="148"/>
      <c r="KT87" s="148"/>
      <c r="KU87" s="148"/>
      <c r="KV87" s="148"/>
      <c r="KW87" s="148"/>
      <c r="KX87" s="148"/>
      <c r="KY87" s="148"/>
      <c r="KZ87" s="148"/>
      <c r="LA87" s="148"/>
      <c r="LB87" s="148"/>
      <c r="LC87" s="148"/>
      <c r="LD87" s="148"/>
      <c r="LE87" s="148"/>
      <c r="LF87" s="148"/>
      <c r="LG87" s="148"/>
      <c r="LH87" s="148"/>
      <c r="LI87" s="148"/>
      <c r="LJ87" s="148"/>
      <c r="LK87" s="148"/>
      <c r="LL87" s="148"/>
      <c r="LM87" s="148"/>
      <c r="LN87" s="148"/>
      <c r="LO87" s="148"/>
      <c r="LP87" s="148"/>
      <c r="LQ87" s="148"/>
      <c r="LR87" s="148"/>
      <c r="LS87" s="148"/>
      <c r="LT87" s="148"/>
      <c r="LU87" s="148"/>
      <c r="LV87" s="148"/>
      <c r="LW87" s="148"/>
      <c r="LX87" s="148"/>
      <c r="LY87" s="148"/>
      <c r="LZ87" s="148"/>
      <c r="MA87" s="148"/>
      <c r="MB87" s="148"/>
      <c r="MC87" s="148"/>
      <c r="MD87" s="148"/>
      <c r="ME87" s="148"/>
      <c r="MF87" s="148"/>
      <c r="MG87" s="148"/>
      <c r="MH87" s="148"/>
      <c r="MI87" s="148"/>
      <c r="MJ87" s="148"/>
      <c r="MK87" s="148"/>
      <c r="ML87" s="148"/>
      <c r="MM87" s="148"/>
      <c r="MN87" s="148"/>
      <c r="MO87" s="148"/>
      <c r="MP87" s="148"/>
      <c r="MQ87" s="148"/>
      <c r="MR87" s="148"/>
      <c r="MS87" s="148"/>
      <c r="MT87" s="148"/>
      <c r="MU87" s="148"/>
      <c r="MV87" s="148"/>
      <c r="MW87" s="148"/>
      <c r="MX87" s="148"/>
      <c r="MY87" s="148"/>
      <c r="MZ87" s="148"/>
      <c r="NA87" s="148"/>
      <c r="NB87" s="148"/>
      <c r="NC87" s="148"/>
      <c r="ND87" s="148"/>
      <c r="NE87" s="148"/>
      <c r="NF87" s="148"/>
      <c r="NG87" s="148"/>
      <c r="NH87" s="148"/>
      <c r="NI87" s="148"/>
      <c r="NJ87" s="148"/>
      <c r="NK87" s="148"/>
      <c r="NL87" s="148"/>
      <c r="NM87" s="148"/>
      <c r="NN87" s="148"/>
      <c r="NO87" s="148"/>
      <c r="NP87" s="148"/>
      <c r="NQ87" s="148"/>
      <c r="NR87" s="148"/>
      <c r="NS87" s="148"/>
      <c r="NT87" s="148"/>
      <c r="NU87" s="148"/>
      <c r="NV87" s="148"/>
      <c r="NW87" s="148"/>
      <c r="NX87" s="148"/>
      <c r="NY87" s="148"/>
      <c r="NZ87" s="148"/>
      <c r="OA87" s="148"/>
      <c r="OB87" s="148"/>
      <c r="OC87" s="148"/>
      <c r="OD87" s="148"/>
      <c r="OE87" s="148"/>
      <c r="OF87" s="148"/>
      <c r="OG87" s="148"/>
      <c r="OH87" s="148"/>
      <c r="OI87" s="148"/>
      <c r="OJ87" s="148"/>
      <c r="OK87" s="148"/>
      <c r="OL87" s="148"/>
      <c r="OM87" s="148"/>
      <c r="ON87" s="148"/>
      <c r="OO87" s="148"/>
      <c r="OP87" s="148"/>
      <c r="OQ87" s="148"/>
      <c r="OR87" s="148"/>
      <c r="OS87" s="148"/>
      <c r="OT87" s="148"/>
      <c r="OU87" s="148"/>
      <c r="OV87" s="148"/>
      <c r="OW87" s="148"/>
      <c r="OX87" s="148"/>
      <c r="OY87" s="148"/>
      <c r="OZ87" s="148"/>
      <c r="PA87" s="148"/>
      <c r="PB87" s="148"/>
      <c r="PC87" s="148"/>
      <c r="PD87" s="148"/>
      <c r="PE87" s="148"/>
      <c r="PF87" s="148"/>
      <c r="PG87" s="148"/>
      <c r="PH87" s="148"/>
      <c r="PI87" s="148"/>
      <c r="PJ87" s="148"/>
      <c r="PK87" s="148"/>
      <c r="PL87" s="148"/>
      <c r="PM87" s="148"/>
      <c r="PN87" s="148"/>
      <c r="PO87" s="148"/>
      <c r="PP87" s="148"/>
      <c r="PQ87" s="148"/>
      <c r="PR87" s="148"/>
      <c r="PS87" s="148"/>
      <c r="PT87" s="148"/>
      <c r="PU87" s="148"/>
      <c r="PV87" s="148"/>
      <c r="PW87" s="148"/>
      <c r="PX87" s="148"/>
      <c r="PY87" s="148"/>
      <c r="PZ87" s="148"/>
      <c r="QA87" s="148"/>
      <c r="QB87" s="148"/>
      <c r="QC87" s="148"/>
      <c r="QD87" s="148"/>
      <c r="QE87" s="148"/>
      <c r="QF87" s="148"/>
      <c r="QG87" s="148"/>
      <c r="QH87" s="148"/>
      <c r="QI87" s="148"/>
      <c r="QJ87" s="148"/>
      <c r="QK87" s="148"/>
      <c r="QL87" s="148"/>
      <c r="QM87" s="148"/>
      <c r="QN87" s="148"/>
      <c r="QO87" s="148"/>
      <c r="QP87" s="148"/>
      <c r="QQ87" s="148"/>
      <c r="QR87" s="148"/>
      <c r="QS87" s="148"/>
      <c r="QT87" s="148"/>
      <c r="QU87" s="148"/>
      <c r="QV87" s="148"/>
      <c r="QW87" s="148"/>
      <c r="QX87" s="148"/>
      <c r="QY87" s="148"/>
      <c r="QZ87" s="148"/>
      <c r="RA87" s="148"/>
      <c r="RB87" s="148"/>
      <c r="RC87" s="148"/>
      <c r="RD87" s="148"/>
      <c r="RE87" s="148"/>
      <c r="RF87" s="148"/>
      <c r="RG87" s="148"/>
      <c r="RH87" s="148"/>
      <c r="RI87" s="148"/>
      <c r="RJ87" s="148"/>
      <c r="RK87" s="148"/>
      <c r="RL87" s="148"/>
      <c r="RM87" s="148"/>
      <c r="RN87" s="148"/>
      <c r="RO87" s="148"/>
      <c r="RP87" s="148"/>
      <c r="RQ87" s="148"/>
      <c r="RR87" s="148"/>
    </row>
    <row r="88" spans="1:486" s="15" customFormat="1" hidden="1" x14ac:dyDescent="0.25">
      <c r="A88" s="148"/>
      <c r="B88" s="350">
        <v>78</v>
      </c>
      <c r="C88" s="650"/>
      <c r="D88" s="16"/>
      <c r="E88" s="344"/>
      <c r="F88" s="344"/>
      <c r="G88" s="17"/>
      <c r="H88" s="317"/>
      <c r="I88" s="346"/>
      <c r="J88" s="341"/>
      <c r="K88" s="633"/>
      <c r="L88" s="633"/>
      <c r="M88" s="633"/>
      <c r="N88" s="633"/>
      <c r="O88" s="633"/>
      <c r="P88" s="633"/>
      <c r="Q88" s="633"/>
      <c r="R88" s="633"/>
      <c r="S88" s="633"/>
      <c r="T88" s="633"/>
      <c r="U88" s="633"/>
      <c r="V88" s="633"/>
      <c r="W88" s="633"/>
      <c r="X88" s="633"/>
      <c r="Y88" s="633">
        <f t="shared" si="3"/>
        <v>0</v>
      </c>
      <c r="Z88" s="310"/>
      <c r="AA88" s="19"/>
      <c r="AB88" s="21"/>
      <c r="AC88" s="23"/>
      <c r="AD88" s="652"/>
      <c r="AE88" s="20"/>
      <c r="AF88" s="21"/>
      <c r="AG88" s="23"/>
      <c r="AH88" s="637"/>
      <c r="AI88" s="19"/>
      <c r="AJ88" s="21"/>
      <c r="AK88" s="25"/>
      <c r="AL88" s="309"/>
      <c r="AM88" s="19"/>
      <c r="AN88" s="21"/>
      <c r="AO88" s="25"/>
      <c r="AP88" s="309"/>
      <c r="AQ88" s="19"/>
      <c r="AR88" s="21"/>
      <c r="AS88" s="25"/>
      <c r="AT88" s="638">
        <f t="shared" si="4"/>
        <v>0</v>
      </c>
      <c r="AU88" s="311">
        <f t="shared" si="0"/>
        <v>0</v>
      </c>
      <c r="AV88" s="148"/>
      <c r="AW88" s="148"/>
      <c r="AX88" s="148"/>
      <c r="AY88" s="148"/>
      <c r="AZ88" s="148"/>
      <c r="BA88" s="148"/>
      <c r="BB88" s="148"/>
      <c r="BC88" s="148"/>
      <c r="BD88" s="148"/>
      <c r="BE88" s="148"/>
      <c r="BF88" s="148"/>
      <c r="BG88" s="148"/>
      <c r="BH88" s="148"/>
      <c r="BI88" s="148"/>
      <c r="BJ88" s="148"/>
      <c r="BK88" s="148"/>
      <c r="BL88" s="148"/>
      <c r="BM88" s="148"/>
      <c r="BN88" s="148"/>
      <c r="BO88" s="148"/>
      <c r="BP88" s="148"/>
      <c r="BQ88" s="148"/>
      <c r="BR88" s="148"/>
      <c r="BS88" s="148"/>
      <c r="BT88" s="148"/>
      <c r="BU88" s="148"/>
      <c r="BV88" s="148"/>
      <c r="BW88" s="148"/>
      <c r="BX88" s="148"/>
      <c r="BY88" s="148"/>
      <c r="BZ88" s="148"/>
      <c r="CA88" s="148"/>
      <c r="CB88" s="148"/>
      <c r="CC88" s="148"/>
      <c r="CD88" s="148"/>
      <c r="CE88" s="148"/>
      <c r="CF88" s="148"/>
      <c r="CG88" s="148"/>
      <c r="CH88" s="148"/>
      <c r="CI88" s="148"/>
      <c r="CJ88" s="148"/>
      <c r="CK88" s="148"/>
      <c r="CL88" s="148"/>
      <c r="CM88" s="148"/>
      <c r="CN88" s="148"/>
      <c r="CO88" s="148"/>
      <c r="CP88" s="148"/>
      <c r="CQ88" s="148"/>
      <c r="CR88" s="148"/>
      <c r="CS88" s="148"/>
      <c r="CT88" s="148"/>
      <c r="CU88" s="148"/>
      <c r="CV88" s="148"/>
      <c r="CW88" s="148"/>
      <c r="CX88" s="148"/>
      <c r="CY88" s="148"/>
      <c r="CZ88" s="148"/>
      <c r="DA88" s="148"/>
      <c r="DB88" s="148"/>
      <c r="DC88" s="148"/>
      <c r="DD88" s="148"/>
      <c r="DE88" s="148"/>
      <c r="DF88" s="148"/>
      <c r="DG88" s="148"/>
      <c r="DH88" s="148"/>
      <c r="DI88" s="148"/>
      <c r="DJ88" s="148"/>
      <c r="DK88" s="148"/>
      <c r="DL88" s="148"/>
      <c r="DM88" s="148"/>
      <c r="DN88" s="148"/>
      <c r="DO88" s="148"/>
      <c r="DP88" s="148"/>
      <c r="DQ88" s="148"/>
      <c r="DR88" s="148"/>
      <c r="DS88" s="148"/>
      <c r="DT88" s="148"/>
      <c r="DU88" s="148"/>
      <c r="DV88" s="148"/>
      <c r="DW88" s="148"/>
      <c r="DX88" s="148"/>
      <c r="DY88" s="148"/>
      <c r="DZ88" s="148"/>
      <c r="EA88" s="148"/>
      <c r="EB88" s="148"/>
      <c r="EC88" s="148"/>
      <c r="ED88" s="148"/>
      <c r="EE88" s="148"/>
      <c r="EF88" s="148"/>
      <c r="EG88" s="148"/>
      <c r="EH88" s="148"/>
      <c r="EI88" s="148"/>
      <c r="EJ88" s="148"/>
      <c r="EK88" s="148"/>
      <c r="EL88" s="148"/>
      <c r="EM88" s="148"/>
      <c r="EN88" s="148"/>
      <c r="EO88" s="148"/>
      <c r="EP88" s="148"/>
      <c r="EQ88" s="148"/>
      <c r="ER88" s="148"/>
      <c r="ES88" s="148"/>
      <c r="ET88" s="148"/>
      <c r="EU88" s="148"/>
      <c r="EV88" s="148"/>
      <c r="EW88" s="148"/>
      <c r="EX88" s="148"/>
      <c r="EY88" s="148"/>
      <c r="EZ88" s="148"/>
      <c r="FA88" s="148"/>
      <c r="FB88" s="148"/>
      <c r="FC88" s="148"/>
      <c r="FD88" s="148"/>
      <c r="FE88" s="148"/>
      <c r="FF88" s="148"/>
      <c r="FG88" s="148"/>
      <c r="FH88" s="148"/>
      <c r="FI88" s="148"/>
      <c r="FJ88" s="148"/>
      <c r="FK88" s="148"/>
      <c r="FL88" s="148"/>
      <c r="FM88" s="148"/>
      <c r="FN88" s="148"/>
      <c r="FO88" s="148"/>
      <c r="FP88" s="148"/>
      <c r="FQ88" s="148"/>
      <c r="FR88" s="148"/>
      <c r="FS88" s="148"/>
      <c r="FT88" s="148"/>
      <c r="FU88" s="148"/>
      <c r="FV88" s="148"/>
      <c r="FW88" s="148"/>
      <c r="FX88" s="148"/>
      <c r="FY88" s="148"/>
      <c r="FZ88" s="148"/>
      <c r="GA88" s="148"/>
      <c r="GB88" s="148"/>
      <c r="GC88" s="148"/>
      <c r="GD88" s="148"/>
      <c r="GE88" s="148"/>
      <c r="GF88" s="148"/>
      <c r="GG88" s="148"/>
      <c r="GH88" s="148"/>
      <c r="GI88" s="148"/>
      <c r="GJ88" s="148"/>
      <c r="GK88" s="148"/>
      <c r="GL88" s="148"/>
      <c r="GM88" s="148"/>
      <c r="GN88" s="148"/>
      <c r="GO88" s="148"/>
      <c r="GP88" s="148"/>
      <c r="GQ88" s="148"/>
      <c r="GR88" s="148"/>
      <c r="GS88" s="148"/>
      <c r="GT88" s="148"/>
      <c r="GU88" s="148"/>
      <c r="GV88" s="148"/>
      <c r="GW88" s="148"/>
      <c r="GX88" s="148"/>
      <c r="GY88" s="148"/>
      <c r="GZ88" s="148"/>
      <c r="HA88" s="148"/>
      <c r="HB88" s="148"/>
      <c r="HC88" s="148"/>
      <c r="HD88" s="148"/>
      <c r="HE88" s="148"/>
      <c r="HF88" s="148"/>
      <c r="HG88" s="148"/>
      <c r="HH88" s="148"/>
      <c r="HI88" s="148"/>
      <c r="HJ88" s="148"/>
      <c r="HK88" s="148"/>
      <c r="HL88" s="148"/>
      <c r="HM88" s="148"/>
      <c r="HN88" s="148"/>
      <c r="HO88" s="148"/>
      <c r="HP88" s="148"/>
      <c r="HQ88" s="148"/>
      <c r="HR88" s="148"/>
      <c r="HS88" s="148"/>
      <c r="HT88" s="148"/>
      <c r="HU88" s="148"/>
      <c r="HV88" s="148"/>
      <c r="HW88" s="148"/>
      <c r="HX88" s="148"/>
      <c r="HY88" s="148"/>
      <c r="HZ88" s="148"/>
      <c r="IA88" s="148"/>
      <c r="IB88" s="148"/>
      <c r="IC88" s="148"/>
      <c r="ID88" s="148"/>
      <c r="IE88" s="148"/>
      <c r="IF88" s="148"/>
      <c r="IG88" s="148"/>
      <c r="IH88" s="148"/>
      <c r="II88" s="148"/>
      <c r="IJ88" s="148"/>
      <c r="IK88" s="148"/>
      <c r="IL88" s="148"/>
      <c r="IM88" s="148"/>
      <c r="IN88" s="148"/>
      <c r="IO88" s="148"/>
      <c r="IP88" s="148"/>
      <c r="IQ88" s="148"/>
      <c r="IR88" s="148"/>
      <c r="IS88" s="148"/>
      <c r="IT88" s="148"/>
      <c r="IU88" s="148"/>
      <c r="IV88" s="148"/>
      <c r="IW88" s="148"/>
      <c r="IX88" s="148"/>
      <c r="IY88" s="148"/>
      <c r="IZ88" s="148"/>
      <c r="JA88" s="148"/>
      <c r="JB88" s="148"/>
      <c r="JC88" s="148"/>
      <c r="JD88" s="148"/>
      <c r="JE88" s="148"/>
      <c r="JF88" s="148"/>
      <c r="JG88" s="148"/>
      <c r="JH88" s="148"/>
      <c r="JI88" s="148"/>
      <c r="JJ88" s="148"/>
      <c r="JK88" s="148"/>
      <c r="JL88" s="148"/>
      <c r="JM88" s="148"/>
      <c r="JN88" s="148"/>
      <c r="JO88" s="148"/>
      <c r="JP88" s="148"/>
      <c r="JQ88" s="148"/>
      <c r="JR88" s="148"/>
      <c r="JS88" s="148"/>
      <c r="JT88" s="148"/>
      <c r="JU88" s="148"/>
      <c r="JV88" s="148"/>
      <c r="JW88" s="148"/>
      <c r="JX88" s="148"/>
      <c r="JY88" s="148"/>
      <c r="JZ88" s="148"/>
      <c r="KA88" s="148"/>
      <c r="KB88" s="148"/>
      <c r="KC88" s="148"/>
      <c r="KD88" s="148"/>
      <c r="KE88" s="148"/>
      <c r="KF88" s="148"/>
      <c r="KG88" s="148"/>
      <c r="KH88" s="148"/>
      <c r="KI88" s="148"/>
      <c r="KJ88" s="148"/>
      <c r="KK88" s="148"/>
      <c r="KL88" s="148"/>
      <c r="KM88" s="148"/>
      <c r="KN88" s="148"/>
      <c r="KO88" s="148"/>
      <c r="KP88" s="148"/>
      <c r="KQ88" s="148"/>
      <c r="KR88" s="148"/>
      <c r="KS88" s="148"/>
      <c r="KT88" s="148"/>
      <c r="KU88" s="148"/>
      <c r="KV88" s="148"/>
      <c r="KW88" s="148"/>
      <c r="KX88" s="148"/>
      <c r="KY88" s="148"/>
      <c r="KZ88" s="148"/>
      <c r="LA88" s="148"/>
      <c r="LB88" s="148"/>
      <c r="LC88" s="148"/>
      <c r="LD88" s="148"/>
      <c r="LE88" s="148"/>
      <c r="LF88" s="148"/>
      <c r="LG88" s="148"/>
      <c r="LH88" s="148"/>
      <c r="LI88" s="148"/>
      <c r="LJ88" s="148"/>
      <c r="LK88" s="148"/>
      <c r="LL88" s="148"/>
      <c r="LM88" s="148"/>
      <c r="LN88" s="148"/>
      <c r="LO88" s="148"/>
      <c r="LP88" s="148"/>
      <c r="LQ88" s="148"/>
      <c r="LR88" s="148"/>
      <c r="LS88" s="148"/>
      <c r="LT88" s="148"/>
      <c r="LU88" s="148"/>
      <c r="LV88" s="148"/>
      <c r="LW88" s="148"/>
      <c r="LX88" s="148"/>
      <c r="LY88" s="148"/>
      <c r="LZ88" s="148"/>
      <c r="MA88" s="148"/>
      <c r="MB88" s="148"/>
      <c r="MC88" s="148"/>
      <c r="MD88" s="148"/>
      <c r="ME88" s="148"/>
      <c r="MF88" s="148"/>
      <c r="MG88" s="148"/>
      <c r="MH88" s="148"/>
      <c r="MI88" s="148"/>
      <c r="MJ88" s="148"/>
      <c r="MK88" s="148"/>
      <c r="ML88" s="148"/>
      <c r="MM88" s="148"/>
      <c r="MN88" s="148"/>
      <c r="MO88" s="148"/>
      <c r="MP88" s="148"/>
      <c r="MQ88" s="148"/>
      <c r="MR88" s="148"/>
      <c r="MS88" s="148"/>
      <c r="MT88" s="148"/>
      <c r="MU88" s="148"/>
      <c r="MV88" s="148"/>
      <c r="MW88" s="148"/>
      <c r="MX88" s="148"/>
      <c r="MY88" s="148"/>
      <c r="MZ88" s="148"/>
      <c r="NA88" s="148"/>
      <c r="NB88" s="148"/>
      <c r="NC88" s="148"/>
      <c r="ND88" s="148"/>
      <c r="NE88" s="148"/>
      <c r="NF88" s="148"/>
      <c r="NG88" s="148"/>
      <c r="NH88" s="148"/>
      <c r="NI88" s="148"/>
      <c r="NJ88" s="148"/>
      <c r="NK88" s="148"/>
      <c r="NL88" s="148"/>
      <c r="NM88" s="148"/>
      <c r="NN88" s="148"/>
      <c r="NO88" s="148"/>
      <c r="NP88" s="148"/>
      <c r="NQ88" s="148"/>
      <c r="NR88" s="148"/>
      <c r="NS88" s="148"/>
      <c r="NT88" s="148"/>
      <c r="NU88" s="148"/>
      <c r="NV88" s="148"/>
      <c r="NW88" s="148"/>
      <c r="NX88" s="148"/>
      <c r="NY88" s="148"/>
      <c r="NZ88" s="148"/>
      <c r="OA88" s="148"/>
      <c r="OB88" s="148"/>
      <c r="OC88" s="148"/>
      <c r="OD88" s="148"/>
      <c r="OE88" s="148"/>
      <c r="OF88" s="148"/>
      <c r="OG88" s="148"/>
      <c r="OH88" s="148"/>
      <c r="OI88" s="148"/>
      <c r="OJ88" s="148"/>
      <c r="OK88" s="148"/>
      <c r="OL88" s="148"/>
      <c r="OM88" s="148"/>
      <c r="ON88" s="148"/>
      <c r="OO88" s="148"/>
      <c r="OP88" s="148"/>
      <c r="OQ88" s="148"/>
      <c r="OR88" s="148"/>
      <c r="OS88" s="148"/>
      <c r="OT88" s="148"/>
      <c r="OU88" s="148"/>
      <c r="OV88" s="148"/>
      <c r="OW88" s="148"/>
      <c r="OX88" s="148"/>
      <c r="OY88" s="148"/>
      <c r="OZ88" s="148"/>
      <c r="PA88" s="148"/>
      <c r="PB88" s="148"/>
      <c r="PC88" s="148"/>
      <c r="PD88" s="148"/>
      <c r="PE88" s="148"/>
      <c r="PF88" s="148"/>
      <c r="PG88" s="148"/>
      <c r="PH88" s="148"/>
      <c r="PI88" s="148"/>
      <c r="PJ88" s="148"/>
      <c r="PK88" s="148"/>
      <c r="PL88" s="148"/>
      <c r="PM88" s="148"/>
      <c r="PN88" s="148"/>
      <c r="PO88" s="148"/>
      <c r="PP88" s="148"/>
      <c r="PQ88" s="148"/>
      <c r="PR88" s="148"/>
      <c r="PS88" s="148"/>
      <c r="PT88" s="148"/>
      <c r="PU88" s="148"/>
      <c r="PV88" s="148"/>
      <c r="PW88" s="148"/>
      <c r="PX88" s="148"/>
      <c r="PY88" s="148"/>
      <c r="PZ88" s="148"/>
      <c r="QA88" s="148"/>
      <c r="QB88" s="148"/>
      <c r="QC88" s="148"/>
      <c r="QD88" s="148"/>
      <c r="QE88" s="148"/>
      <c r="QF88" s="148"/>
      <c r="QG88" s="148"/>
      <c r="QH88" s="148"/>
      <c r="QI88" s="148"/>
      <c r="QJ88" s="148"/>
      <c r="QK88" s="148"/>
      <c r="QL88" s="148"/>
      <c r="QM88" s="148"/>
      <c r="QN88" s="148"/>
      <c r="QO88" s="148"/>
      <c r="QP88" s="148"/>
      <c r="QQ88" s="148"/>
      <c r="QR88" s="148"/>
      <c r="QS88" s="148"/>
      <c r="QT88" s="148"/>
      <c r="QU88" s="148"/>
      <c r="QV88" s="148"/>
      <c r="QW88" s="148"/>
      <c r="QX88" s="148"/>
      <c r="QY88" s="148"/>
      <c r="QZ88" s="148"/>
      <c r="RA88" s="148"/>
      <c r="RB88" s="148"/>
      <c r="RC88" s="148"/>
      <c r="RD88" s="148"/>
      <c r="RE88" s="148"/>
      <c r="RF88" s="148"/>
      <c r="RG88" s="148"/>
      <c r="RH88" s="148"/>
      <c r="RI88" s="148"/>
      <c r="RJ88" s="148"/>
      <c r="RK88" s="148"/>
      <c r="RL88" s="148"/>
      <c r="RM88" s="148"/>
      <c r="RN88" s="148"/>
      <c r="RO88" s="148"/>
      <c r="RP88" s="148"/>
      <c r="RQ88" s="148"/>
      <c r="RR88" s="148"/>
    </row>
    <row r="89" spans="1:486" s="15" customFormat="1" hidden="1" x14ac:dyDescent="0.25">
      <c r="A89" s="148"/>
      <c r="B89" s="350">
        <v>79</v>
      </c>
      <c r="C89" s="650"/>
      <c r="D89" s="16"/>
      <c r="E89" s="344"/>
      <c r="F89" s="344"/>
      <c r="G89" s="17"/>
      <c r="H89" s="317"/>
      <c r="I89" s="346"/>
      <c r="J89" s="341"/>
      <c r="K89" s="633"/>
      <c r="L89" s="633"/>
      <c r="M89" s="633"/>
      <c r="N89" s="633"/>
      <c r="O89" s="633"/>
      <c r="P89" s="633"/>
      <c r="Q89" s="633"/>
      <c r="R89" s="633"/>
      <c r="S89" s="633"/>
      <c r="T89" s="633"/>
      <c r="U89" s="633"/>
      <c r="V89" s="633"/>
      <c r="W89" s="633"/>
      <c r="X89" s="633"/>
      <c r="Y89" s="633">
        <f t="shared" si="3"/>
        <v>0</v>
      </c>
      <c r="Z89" s="310"/>
      <c r="AA89" s="19"/>
      <c r="AB89" s="21"/>
      <c r="AC89" s="23"/>
      <c r="AD89" s="652"/>
      <c r="AE89" s="20"/>
      <c r="AF89" s="21"/>
      <c r="AG89" s="23"/>
      <c r="AH89" s="637"/>
      <c r="AI89" s="19"/>
      <c r="AJ89" s="21"/>
      <c r="AK89" s="25"/>
      <c r="AL89" s="309"/>
      <c r="AM89" s="19"/>
      <c r="AN89" s="21"/>
      <c r="AO89" s="25"/>
      <c r="AP89" s="309"/>
      <c r="AQ89" s="19"/>
      <c r="AR89" s="21"/>
      <c r="AS89" s="25"/>
      <c r="AT89" s="638">
        <f t="shared" si="4"/>
        <v>0</v>
      </c>
      <c r="AU89" s="311">
        <f t="shared" si="0"/>
        <v>0</v>
      </c>
      <c r="AV89" s="148"/>
      <c r="AW89" s="148"/>
      <c r="AX89" s="148"/>
      <c r="AY89" s="148"/>
      <c r="AZ89" s="148"/>
      <c r="BA89" s="148"/>
      <c r="BB89" s="148"/>
      <c r="BC89" s="148"/>
      <c r="BD89" s="148"/>
      <c r="BE89" s="148"/>
      <c r="BF89" s="148"/>
      <c r="BG89" s="148"/>
      <c r="BH89" s="148"/>
      <c r="BI89" s="148"/>
      <c r="BJ89" s="148"/>
      <c r="BK89" s="148"/>
      <c r="BL89" s="148"/>
      <c r="BM89" s="148"/>
      <c r="BN89" s="148"/>
      <c r="BO89" s="148"/>
      <c r="BP89" s="148"/>
      <c r="BQ89" s="148"/>
      <c r="BR89" s="148"/>
      <c r="BS89" s="148"/>
      <c r="BT89" s="148"/>
      <c r="BU89" s="148"/>
      <c r="BV89" s="148"/>
      <c r="BW89" s="148"/>
      <c r="BX89" s="148"/>
      <c r="BY89" s="148"/>
      <c r="BZ89" s="148"/>
      <c r="CA89" s="148"/>
      <c r="CB89" s="148"/>
      <c r="CC89" s="148"/>
      <c r="CD89" s="148"/>
      <c r="CE89" s="148"/>
      <c r="CF89" s="148"/>
      <c r="CG89" s="148"/>
      <c r="CH89" s="148"/>
      <c r="CI89" s="148"/>
      <c r="CJ89" s="148"/>
      <c r="CK89" s="148"/>
      <c r="CL89" s="148"/>
      <c r="CM89" s="148"/>
      <c r="CN89" s="148"/>
      <c r="CO89" s="148"/>
      <c r="CP89" s="148"/>
      <c r="CQ89" s="148"/>
      <c r="CR89" s="148"/>
      <c r="CS89" s="148"/>
      <c r="CT89" s="148"/>
      <c r="CU89" s="148"/>
      <c r="CV89" s="148"/>
      <c r="CW89" s="148"/>
      <c r="CX89" s="148"/>
      <c r="CY89" s="148"/>
      <c r="CZ89" s="148"/>
      <c r="DA89" s="148"/>
      <c r="DB89" s="148"/>
      <c r="DC89" s="148"/>
      <c r="DD89" s="148"/>
      <c r="DE89" s="148"/>
      <c r="DF89" s="148"/>
      <c r="DG89" s="148"/>
      <c r="DH89" s="148"/>
      <c r="DI89" s="148"/>
      <c r="DJ89" s="148"/>
      <c r="DK89" s="148"/>
      <c r="DL89" s="148"/>
      <c r="DM89" s="148"/>
      <c r="DN89" s="148"/>
      <c r="DO89" s="148"/>
      <c r="DP89" s="148"/>
      <c r="DQ89" s="148"/>
      <c r="DR89" s="148"/>
      <c r="DS89" s="148"/>
      <c r="DT89" s="148"/>
      <c r="DU89" s="148"/>
      <c r="DV89" s="148"/>
      <c r="DW89" s="148"/>
      <c r="DX89" s="148"/>
      <c r="DY89" s="148"/>
      <c r="DZ89" s="148"/>
      <c r="EA89" s="148"/>
      <c r="EB89" s="148"/>
      <c r="EC89" s="148"/>
      <c r="ED89" s="148"/>
      <c r="EE89" s="148"/>
      <c r="EF89" s="148"/>
      <c r="EG89" s="148"/>
      <c r="EH89" s="148"/>
      <c r="EI89" s="148"/>
      <c r="EJ89" s="148"/>
      <c r="EK89" s="148"/>
      <c r="EL89" s="148"/>
      <c r="EM89" s="148"/>
      <c r="EN89" s="148"/>
      <c r="EO89" s="148"/>
      <c r="EP89" s="148"/>
      <c r="EQ89" s="148"/>
      <c r="ER89" s="148"/>
      <c r="ES89" s="148"/>
      <c r="ET89" s="148"/>
      <c r="EU89" s="148"/>
      <c r="EV89" s="148"/>
      <c r="EW89" s="148"/>
      <c r="EX89" s="148"/>
      <c r="EY89" s="148"/>
      <c r="EZ89" s="148"/>
      <c r="FA89" s="148"/>
      <c r="FB89" s="148"/>
      <c r="FC89" s="148"/>
      <c r="FD89" s="148"/>
      <c r="FE89" s="148"/>
      <c r="FF89" s="148"/>
      <c r="FG89" s="148"/>
      <c r="FH89" s="148"/>
      <c r="FI89" s="148"/>
      <c r="FJ89" s="148"/>
      <c r="FK89" s="148"/>
      <c r="FL89" s="148"/>
      <c r="FM89" s="148"/>
      <c r="FN89" s="148"/>
      <c r="FO89" s="148"/>
      <c r="FP89" s="148"/>
      <c r="FQ89" s="148"/>
      <c r="FR89" s="148"/>
      <c r="FS89" s="148"/>
      <c r="FT89" s="148"/>
      <c r="FU89" s="148"/>
      <c r="FV89" s="148"/>
      <c r="FW89" s="148"/>
      <c r="FX89" s="148"/>
      <c r="FY89" s="148"/>
      <c r="FZ89" s="148"/>
      <c r="GA89" s="148"/>
      <c r="GB89" s="148"/>
      <c r="GC89" s="148"/>
      <c r="GD89" s="148"/>
      <c r="GE89" s="148"/>
      <c r="GF89" s="148"/>
      <c r="GG89" s="148"/>
      <c r="GH89" s="148"/>
      <c r="GI89" s="148"/>
      <c r="GJ89" s="148"/>
      <c r="GK89" s="148"/>
      <c r="GL89" s="148"/>
      <c r="GM89" s="148"/>
      <c r="GN89" s="148"/>
      <c r="GO89" s="148"/>
      <c r="GP89" s="148"/>
      <c r="GQ89" s="148"/>
      <c r="GR89" s="148"/>
      <c r="GS89" s="148"/>
      <c r="GT89" s="148"/>
      <c r="GU89" s="148"/>
      <c r="GV89" s="148"/>
      <c r="GW89" s="148"/>
      <c r="GX89" s="148"/>
      <c r="GY89" s="148"/>
      <c r="GZ89" s="148"/>
      <c r="HA89" s="148"/>
      <c r="HB89" s="148"/>
      <c r="HC89" s="148"/>
      <c r="HD89" s="148"/>
      <c r="HE89" s="148"/>
      <c r="HF89" s="148"/>
      <c r="HG89" s="148"/>
      <c r="HH89" s="148"/>
      <c r="HI89" s="148"/>
      <c r="HJ89" s="148"/>
      <c r="HK89" s="148"/>
      <c r="HL89" s="148"/>
      <c r="HM89" s="148"/>
      <c r="HN89" s="148"/>
      <c r="HO89" s="148"/>
      <c r="HP89" s="148"/>
      <c r="HQ89" s="148"/>
      <c r="HR89" s="148"/>
      <c r="HS89" s="148"/>
      <c r="HT89" s="148"/>
      <c r="HU89" s="148"/>
      <c r="HV89" s="148"/>
      <c r="HW89" s="148"/>
      <c r="HX89" s="148"/>
      <c r="HY89" s="148"/>
      <c r="HZ89" s="148"/>
      <c r="IA89" s="148"/>
      <c r="IB89" s="148"/>
      <c r="IC89" s="148"/>
      <c r="ID89" s="148"/>
      <c r="IE89" s="148"/>
      <c r="IF89" s="148"/>
      <c r="IG89" s="148"/>
      <c r="IH89" s="148"/>
      <c r="II89" s="148"/>
      <c r="IJ89" s="148"/>
      <c r="IK89" s="148"/>
      <c r="IL89" s="148"/>
      <c r="IM89" s="148"/>
      <c r="IN89" s="148"/>
      <c r="IO89" s="148"/>
      <c r="IP89" s="148"/>
      <c r="IQ89" s="148"/>
      <c r="IR89" s="148"/>
      <c r="IS89" s="148"/>
      <c r="IT89" s="148"/>
      <c r="IU89" s="148"/>
      <c r="IV89" s="148"/>
      <c r="IW89" s="148"/>
      <c r="IX89" s="148"/>
      <c r="IY89" s="148"/>
      <c r="IZ89" s="148"/>
      <c r="JA89" s="148"/>
      <c r="JB89" s="148"/>
      <c r="JC89" s="148"/>
      <c r="JD89" s="148"/>
      <c r="JE89" s="148"/>
      <c r="JF89" s="148"/>
      <c r="JG89" s="148"/>
      <c r="JH89" s="148"/>
      <c r="JI89" s="148"/>
      <c r="JJ89" s="148"/>
      <c r="JK89" s="148"/>
      <c r="JL89" s="148"/>
      <c r="JM89" s="148"/>
      <c r="JN89" s="148"/>
      <c r="JO89" s="148"/>
      <c r="JP89" s="148"/>
      <c r="JQ89" s="148"/>
      <c r="JR89" s="148"/>
      <c r="JS89" s="148"/>
      <c r="JT89" s="148"/>
      <c r="JU89" s="148"/>
      <c r="JV89" s="148"/>
      <c r="JW89" s="148"/>
      <c r="JX89" s="148"/>
      <c r="JY89" s="148"/>
      <c r="JZ89" s="148"/>
      <c r="KA89" s="148"/>
      <c r="KB89" s="148"/>
      <c r="KC89" s="148"/>
      <c r="KD89" s="148"/>
      <c r="KE89" s="148"/>
      <c r="KF89" s="148"/>
      <c r="KG89" s="148"/>
      <c r="KH89" s="148"/>
      <c r="KI89" s="148"/>
      <c r="KJ89" s="148"/>
      <c r="KK89" s="148"/>
      <c r="KL89" s="148"/>
      <c r="KM89" s="148"/>
      <c r="KN89" s="148"/>
      <c r="KO89" s="148"/>
      <c r="KP89" s="148"/>
      <c r="KQ89" s="148"/>
      <c r="KR89" s="148"/>
      <c r="KS89" s="148"/>
      <c r="KT89" s="148"/>
      <c r="KU89" s="148"/>
      <c r="KV89" s="148"/>
      <c r="KW89" s="148"/>
      <c r="KX89" s="148"/>
      <c r="KY89" s="148"/>
      <c r="KZ89" s="148"/>
      <c r="LA89" s="148"/>
      <c r="LB89" s="148"/>
      <c r="LC89" s="148"/>
      <c r="LD89" s="148"/>
      <c r="LE89" s="148"/>
      <c r="LF89" s="148"/>
      <c r="LG89" s="148"/>
      <c r="LH89" s="148"/>
      <c r="LI89" s="148"/>
      <c r="LJ89" s="148"/>
      <c r="LK89" s="148"/>
      <c r="LL89" s="148"/>
      <c r="LM89" s="148"/>
      <c r="LN89" s="148"/>
      <c r="LO89" s="148"/>
      <c r="LP89" s="148"/>
      <c r="LQ89" s="148"/>
      <c r="LR89" s="148"/>
      <c r="LS89" s="148"/>
      <c r="LT89" s="148"/>
      <c r="LU89" s="148"/>
      <c r="LV89" s="148"/>
      <c r="LW89" s="148"/>
      <c r="LX89" s="148"/>
      <c r="LY89" s="148"/>
      <c r="LZ89" s="148"/>
      <c r="MA89" s="148"/>
      <c r="MB89" s="148"/>
      <c r="MC89" s="148"/>
      <c r="MD89" s="148"/>
      <c r="ME89" s="148"/>
      <c r="MF89" s="148"/>
      <c r="MG89" s="148"/>
      <c r="MH89" s="148"/>
      <c r="MI89" s="148"/>
      <c r="MJ89" s="148"/>
      <c r="MK89" s="148"/>
      <c r="ML89" s="148"/>
      <c r="MM89" s="148"/>
      <c r="MN89" s="148"/>
      <c r="MO89" s="148"/>
      <c r="MP89" s="148"/>
      <c r="MQ89" s="148"/>
      <c r="MR89" s="148"/>
      <c r="MS89" s="148"/>
      <c r="MT89" s="148"/>
      <c r="MU89" s="148"/>
      <c r="MV89" s="148"/>
      <c r="MW89" s="148"/>
      <c r="MX89" s="148"/>
      <c r="MY89" s="148"/>
      <c r="MZ89" s="148"/>
      <c r="NA89" s="148"/>
      <c r="NB89" s="148"/>
      <c r="NC89" s="148"/>
      <c r="ND89" s="148"/>
      <c r="NE89" s="148"/>
      <c r="NF89" s="148"/>
      <c r="NG89" s="148"/>
      <c r="NH89" s="148"/>
      <c r="NI89" s="148"/>
      <c r="NJ89" s="148"/>
      <c r="NK89" s="148"/>
      <c r="NL89" s="148"/>
      <c r="NM89" s="148"/>
      <c r="NN89" s="148"/>
      <c r="NO89" s="148"/>
      <c r="NP89" s="148"/>
      <c r="NQ89" s="148"/>
      <c r="NR89" s="148"/>
      <c r="NS89" s="148"/>
      <c r="NT89" s="148"/>
      <c r="NU89" s="148"/>
      <c r="NV89" s="148"/>
      <c r="NW89" s="148"/>
      <c r="NX89" s="148"/>
      <c r="NY89" s="148"/>
      <c r="NZ89" s="148"/>
      <c r="OA89" s="148"/>
      <c r="OB89" s="148"/>
      <c r="OC89" s="148"/>
      <c r="OD89" s="148"/>
      <c r="OE89" s="148"/>
      <c r="OF89" s="148"/>
      <c r="OG89" s="148"/>
      <c r="OH89" s="148"/>
      <c r="OI89" s="148"/>
      <c r="OJ89" s="148"/>
      <c r="OK89" s="148"/>
      <c r="OL89" s="148"/>
      <c r="OM89" s="148"/>
      <c r="ON89" s="148"/>
      <c r="OO89" s="148"/>
      <c r="OP89" s="148"/>
      <c r="OQ89" s="148"/>
      <c r="OR89" s="148"/>
      <c r="OS89" s="148"/>
      <c r="OT89" s="148"/>
      <c r="OU89" s="148"/>
      <c r="OV89" s="148"/>
      <c r="OW89" s="148"/>
      <c r="OX89" s="148"/>
      <c r="OY89" s="148"/>
      <c r="OZ89" s="148"/>
      <c r="PA89" s="148"/>
      <c r="PB89" s="148"/>
      <c r="PC89" s="148"/>
      <c r="PD89" s="148"/>
      <c r="PE89" s="148"/>
      <c r="PF89" s="148"/>
      <c r="PG89" s="148"/>
      <c r="PH89" s="148"/>
      <c r="PI89" s="148"/>
      <c r="PJ89" s="148"/>
      <c r="PK89" s="148"/>
      <c r="PL89" s="148"/>
      <c r="PM89" s="148"/>
      <c r="PN89" s="148"/>
      <c r="PO89" s="148"/>
      <c r="PP89" s="148"/>
      <c r="PQ89" s="148"/>
      <c r="PR89" s="148"/>
      <c r="PS89" s="148"/>
      <c r="PT89" s="148"/>
      <c r="PU89" s="148"/>
      <c r="PV89" s="148"/>
      <c r="PW89" s="148"/>
      <c r="PX89" s="148"/>
      <c r="PY89" s="148"/>
      <c r="PZ89" s="148"/>
      <c r="QA89" s="148"/>
      <c r="QB89" s="148"/>
      <c r="QC89" s="148"/>
      <c r="QD89" s="148"/>
      <c r="QE89" s="148"/>
      <c r="QF89" s="148"/>
      <c r="QG89" s="148"/>
      <c r="QH89" s="148"/>
      <c r="QI89" s="148"/>
      <c r="QJ89" s="148"/>
      <c r="QK89" s="148"/>
      <c r="QL89" s="148"/>
      <c r="QM89" s="148"/>
      <c r="QN89" s="148"/>
      <c r="QO89" s="148"/>
      <c r="QP89" s="148"/>
      <c r="QQ89" s="148"/>
      <c r="QR89" s="148"/>
      <c r="QS89" s="148"/>
      <c r="QT89" s="148"/>
      <c r="QU89" s="148"/>
      <c r="QV89" s="148"/>
      <c r="QW89" s="148"/>
      <c r="QX89" s="148"/>
      <c r="QY89" s="148"/>
      <c r="QZ89" s="148"/>
      <c r="RA89" s="148"/>
      <c r="RB89" s="148"/>
      <c r="RC89" s="148"/>
      <c r="RD89" s="148"/>
      <c r="RE89" s="148"/>
      <c r="RF89" s="148"/>
      <c r="RG89" s="148"/>
      <c r="RH89" s="148"/>
      <c r="RI89" s="148"/>
      <c r="RJ89" s="148"/>
      <c r="RK89" s="148"/>
      <c r="RL89" s="148"/>
      <c r="RM89" s="148"/>
      <c r="RN89" s="148"/>
      <c r="RO89" s="148"/>
      <c r="RP89" s="148"/>
      <c r="RQ89" s="148"/>
      <c r="RR89" s="148"/>
    </row>
    <row r="90" spans="1:486" s="15" customFormat="1" hidden="1" x14ac:dyDescent="0.25">
      <c r="A90" s="148"/>
      <c r="B90" s="350">
        <v>80</v>
      </c>
      <c r="C90" s="650"/>
      <c r="D90" s="16"/>
      <c r="E90" s="344"/>
      <c r="F90" s="344"/>
      <c r="G90" s="17"/>
      <c r="H90" s="317"/>
      <c r="I90" s="346"/>
      <c r="J90" s="341"/>
      <c r="K90" s="633"/>
      <c r="L90" s="633"/>
      <c r="M90" s="633"/>
      <c r="N90" s="633"/>
      <c r="O90" s="633"/>
      <c r="P90" s="633"/>
      <c r="Q90" s="633"/>
      <c r="R90" s="633"/>
      <c r="S90" s="633"/>
      <c r="T90" s="633"/>
      <c r="U90" s="633"/>
      <c r="V90" s="633"/>
      <c r="W90" s="633"/>
      <c r="X90" s="633"/>
      <c r="Y90" s="633">
        <f t="shared" si="3"/>
        <v>0</v>
      </c>
      <c r="Z90" s="310"/>
      <c r="AA90" s="19"/>
      <c r="AB90" s="21"/>
      <c r="AC90" s="23"/>
      <c r="AD90" s="652"/>
      <c r="AE90" s="20"/>
      <c r="AF90" s="21"/>
      <c r="AG90" s="23"/>
      <c r="AH90" s="637"/>
      <c r="AI90" s="19"/>
      <c r="AJ90" s="21"/>
      <c r="AK90" s="25"/>
      <c r="AL90" s="309"/>
      <c r="AM90" s="19"/>
      <c r="AN90" s="21"/>
      <c r="AO90" s="25"/>
      <c r="AP90" s="309"/>
      <c r="AQ90" s="19"/>
      <c r="AR90" s="21"/>
      <c r="AS90" s="25"/>
      <c r="AT90" s="638">
        <f t="shared" si="4"/>
        <v>0</v>
      </c>
      <c r="AU90" s="311">
        <f t="shared" si="0"/>
        <v>0</v>
      </c>
      <c r="AV90" s="148"/>
      <c r="AW90" s="148"/>
      <c r="AX90" s="148"/>
      <c r="AY90" s="148"/>
      <c r="AZ90" s="148"/>
      <c r="BA90" s="148"/>
      <c r="BB90" s="148"/>
      <c r="BC90" s="148"/>
      <c r="BD90" s="148"/>
      <c r="BE90" s="148"/>
      <c r="BF90" s="148"/>
      <c r="BG90" s="148"/>
      <c r="BH90" s="148"/>
      <c r="BI90" s="148"/>
      <c r="BJ90" s="148"/>
      <c r="BK90" s="148"/>
      <c r="BL90" s="148"/>
      <c r="BM90" s="148"/>
      <c r="BN90" s="148"/>
      <c r="BO90" s="148"/>
      <c r="BP90" s="148"/>
      <c r="BQ90" s="148"/>
      <c r="BR90" s="148"/>
      <c r="BS90" s="148"/>
      <c r="BT90" s="148"/>
      <c r="BU90" s="148"/>
      <c r="BV90" s="148"/>
      <c r="BW90" s="148"/>
      <c r="BX90" s="148"/>
      <c r="BY90" s="148"/>
      <c r="BZ90" s="148"/>
      <c r="CA90" s="148"/>
      <c r="CB90" s="148"/>
      <c r="CC90" s="148"/>
      <c r="CD90" s="148"/>
      <c r="CE90" s="148"/>
      <c r="CF90" s="148"/>
      <c r="CG90" s="148"/>
      <c r="CH90" s="148"/>
      <c r="CI90" s="148"/>
      <c r="CJ90" s="148"/>
      <c r="CK90" s="148"/>
      <c r="CL90" s="148"/>
      <c r="CM90" s="148"/>
      <c r="CN90" s="148"/>
      <c r="CO90" s="148"/>
      <c r="CP90" s="148"/>
      <c r="CQ90" s="148"/>
      <c r="CR90" s="148"/>
      <c r="CS90" s="148"/>
      <c r="CT90" s="148"/>
      <c r="CU90" s="148"/>
      <c r="CV90" s="148"/>
      <c r="CW90" s="148"/>
      <c r="CX90" s="148"/>
      <c r="CY90" s="148"/>
      <c r="CZ90" s="148"/>
      <c r="DA90" s="148"/>
      <c r="DB90" s="148"/>
      <c r="DC90" s="148"/>
      <c r="DD90" s="148"/>
      <c r="DE90" s="148"/>
      <c r="DF90" s="148"/>
      <c r="DG90" s="148"/>
      <c r="DH90" s="148"/>
      <c r="DI90" s="148"/>
      <c r="DJ90" s="148"/>
      <c r="DK90" s="148"/>
      <c r="DL90" s="148"/>
      <c r="DM90" s="148"/>
      <c r="DN90" s="148"/>
      <c r="DO90" s="148"/>
      <c r="DP90" s="148"/>
      <c r="DQ90" s="148"/>
      <c r="DR90" s="148"/>
      <c r="DS90" s="148"/>
      <c r="DT90" s="148"/>
      <c r="DU90" s="148"/>
      <c r="DV90" s="148"/>
      <c r="DW90" s="148"/>
      <c r="DX90" s="148"/>
      <c r="DY90" s="148"/>
      <c r="DZ90" s="148"/>
      <c r="EA90" s="148"/>
      <c r="EB90" s="148"/>
      <c r="EC90" s="148"/>
      <c r="ED90" s="148"/>
      <c r="EE90" s="148"/>
      <c r="EF90" s="148"/>
      <c r="EG90" s="148"/>
      <c r="EH90" s="148"/>
      <c r="EI90" s="148"/>
      <c r="EJ90" s="148"/>
      <c r="EK90" s="148"/>
      <c r="EL90" s="148"/>
      <c r="EM90" s="148"/>
      <c r="EN90" s="148"/>
      <c r="EO90" s="148"/>
      <c r="EP90" s="148"/>
      <c r="EQ90" s="148"/>
      <c r="ER90" s="148"/>
      <c r="ES90" s="148"/>
      <c r="ET90" s="148"/>
      <c r="EU90" s="148"/>
      <c r="EV90" s="148"/>
      <c r="EW90" s="148"/>
      <c r="EX90" s="148"/>
      <c r="EY90" s="148"/>
      <c r="EZ90" s="148"/>
      <c r="FA90" s="148"/>
      <c r="FB90" s="148"/>
      <c r="FC90" s="148"/>
      <c r="FD90" s="148"/>
      <c r="FE90" s="148"/>
      <c r="FF90" s="148"/>
      <c r="FG90" s="148"/>
      <c r="FH90" s="148"/>
      <c r="FI90" s="148"/>
      <c r="FJ90" s="148"/>
      <c r="FK90" s="148"/>
      <c r="FL90" s="148"/>
      <c r="FM90" s="148"/>
      <c r="FN90" s="148"/>
      <c r="FO90" s="148"/>
      <c r="FP90" s="148"/>
      <c r="FQ90" s="148"/>
      <c r="FR90" s="148"/>
      <c r="FS90" s="148"/>
      <c r="FT90" s="148"/>
      <c r="FU90" s="148"/>
      <c r="FV90" s="148"/>
      <c r="FW90" s="148"/>
      <c r="FX90" s="148"/>
      <c r="FY90" s="148"/>
      <c r="FZ90" s="148"/>
      <c r="GA90" s="148"/>
      <c r="GB90" s="148"/>
      <c r="GC90" s="148"/>
      <c r="GD90" s="148"/>
      <c r="GE90" s="148"/>
      <c r="GF90" s="148"/>
      <c r="GG90" s="148"/>
      <c r="GH90" s="148"/>
      <c r="GI90" s="148"/>
      <c r="GJ90" s="148"/>
      <c r="GK90" s="148"/>
      <c r="GL90" s="148"/>
      <c r="GM90" s="148"/>
      <c r="GN90" s="148"/>
      <c r="GO90" s="148"/>
      <c r="GP90" s="148"/>
      <c r="GQ90" s="148"/>
      <c r="GR90" s="148"/>
      <c r="GS90" s="148"/>
      <c r="GT90" s="148"/>
      <c r="GU90" s="148"/>
      <c r="GV90" s="148"/>
      <c r="GW90" s="148"/>
      <c r="GX90" s="148"/>
      <c r="GY90" s="148"/>
      <c r="GZ90" s="148"/>
      <c r="HA90" s="148"/>
      <c r="HB90" s="148"/>
      <c r="HC90" s="148"/>
      <c r="HD90" s="148"/>
      <c r="HE90" s="148"/>
      <c r="HF90" s="148"/>
      <c r="HG90" s="148"/>
      <c r="HH90" s="148"/>
      <c r="HI90" s="148"/>
      <c r="HJ90" s="148"/>
      <c r="HK90" s="148"/>
      <c r="HL90" s="148"/>
      <c r="HM90" s="148"/>
      <c r="HN90" s="148"/>
      <c r="HO90" s="148"/>
      <c r="HP90" s="148"/>
      <c r="HQ90" s="148"/>
      <c r="HR90" s="148"/>
      <c r="HS90" s="148"/>
      <c r="HT90" s="148"/>
      <c r="HU90" s="148"/>
      <c r="HV90" s="148"/>
      <c r="HW90" s="148"/>
      <c r="HX90" s="148"/>
      <c r="HY90" s="148"/>
      <c r="HZ90" s="148"/>
      <c r="IA90" s="148"/>
      <c r="IB90" s="148"/>
      <c r="IC90" s="148"/>
      <c r="ID90" s="148"/>
      <c r="IE90" s="148"/>
      <c r="IF90" s="148"/>
      <c r="IG90" s="148"/>
      <c r="IH90" s="148"/>
      <c r="II90" s="148"/>
      <c r="IJ90" s="148"/>
      <c r="IK90" s="148"/>
      <c r="IL90" s="148"/>
      <c r="IM90" s="148"/>
      <c r="IN90" s="148"/>
      <c r="IO90" s="148"/>
      <c r="IP90" s="148"/>
      <c r="IQ90" s="148"/>
      <c r="IR90" s="148"/>
      <c r="IS90" s="148"/>
      <c r="IT90" s="148"/>
      <c r="IU90" s="148"/>
      <c r="IV90" s="148"/>
      <c r="IW90" s="148"/>
      <c r="IX90" s="148"/>
      <c r="IY90" s="148"/>
      <c r="IZ90" s="148"/>
      <c r="JA90" s="148"/>
      <c r="JB90" s="148"/>
      <c r="JC90" s="148"/>
      <c r="JD90" s="148"/>
      <c r="JE90" s="148"/>
      <c r="JF90" s="148"/>
      <c r="JG90" s="148"/>
      <c r="JH90" s="148"/>
      <c r="JI90" s="148"/>
      <c r="JJ90" s="148"/>
      <c r="JK90" s="148"/>
      <c r="JL90" s="148"/>
      <c r="JM90" s="148"/>
      <c r="JN90" s="148"/>
      <c r="JO90" s="148"/>
      <c r="JP90" s="148"/>
      <c r="JQ90" s="148"/>
      <c r="JR90" s="148"/>
      <c r="JS90" s="148"/>
      <c r="JT90" s="148"/>
      <c r="JU90" s="148"/>
      <c r="JV90" s="148"/>
      <c r="JW90" s="148"/>
      <c r="JX90" s="148"/>
      <c r="JY90" s="148"/>
      <c r="JZ90" s="148"/>
      <c r="KA90" s="148"/>
      <c r="KB90" s="148"/>
      <c r="KC90" s="148"/>
      <c r="KD90" s="148"/>
      <c r="KE90" s="148"/>
      <c r="KF90" s="148"/>
      <c r="KG90" s="148"/>
      <c r="KH90" s="148"/>
      <c r="KI90" s="148"/>
      <c r="KJ90" s="148"/>
      <c r="KK90" s="148"/>
      <c r="KL90" s="148"/>
      <c r="KM90" s="148"/>
      <c r="KN90" s="148"/>
      <c r="KO90" s="148"/>
      <c r="KP90" s="148"/>
      <c r="KQ90" s="148"/>
      <c r="KR90" s="148"/>
      <c r="KS90" s="148"/>
      <c r="KT90" s="148"/>
      <c r="KU90" s="148"/>
      <c r="KV90" s="148"/>
      <c r="KW90" s="148"/>
      <c r="KX90" s="148"/>
      <c r="KY90" s="148"/>
      <c r="KZ90" s="148"/>
      <c r="LA90" s="148"/>
      <c r="LB90" s="148"/>
      <c r="LC90" s="148"/>
      <c r="LD90" s="148"/>
      <c r="LE90" s="148"/>
      <c r="LF90" s="148"/>
      <c r="LG90" s="148"/>
      <c r="LH90" s="148"/>
      <c r="LI90" s="148"/>
      <c r="LJ90" s="148"/>
      <c r="LK90" s="148"/>
      <c r="LL90" s="148"/>
      <c r="LM90" s="148"/>
      <c r="LN90" s="148"/>
      <c r="LO90" s="148"/>
      <c r="LP90" s="148"/>
      <c r="LQ90" s="148"/>
      <c r="LR90" s="148"/>
      <c r="LS90" s="148"/>
      <c r="LT90" s="148"/>
      <c r="LU90" s="148"/>
      <c r="LV90" s="148"/>
      <c r="LW90" s="148"/>
      <c r="LX90" s="148"/>
      <c r="LY90" s="148"/>
      <c r="LZ90" s="148"/>
      <c r="MA90" s="148"/>
      <c r="MB90" s="148"/>
      <c r="MC90" s="148"/>
      <c r="MD90" s="148"/>
      <c r="ME90" s="148"/>
      <c r="MF90" s="148"/>
      <c r="MG90" s="148"/>
      <c r="MH90" s="148"/>
      <c r="MI90" s="148"/>
      <c r="MJ90" s="148"/>
      <c r="MK90" s="148"/>
      <c r="ML90" s="148"/>
      <c r="MM90" s="148"/>
      <c r="MN90" s="148"/>
      <c r="MO90" s="148"/>
      <c r="MP90" s="148"/>
      <c r="MQ90" s="148"/>
      <c r="MR90" s="148"/>
      <c r="MS90" s="148"/>
      <c r="MT90" s="148"/>
      <c r="MU90" s="148"/>
      <c r="MV90" s="148"/>
      <c r="MW90" s="148"/>
      <c r="MX90" s="148"/>
      <c r="MY90" s="148"/>
      <c r="MZ90" s="148"/>
      <c r="NA90" s="148"/>
      <c r="NB90" s="148"/>
      <c r="NC90" s="148"/>
      <c r="ND90" s="148"/>
      <c r="NE90" s="148"/>
      <c r="NF90" s="148"/>
      <c r="NG90" s="148"/>
      <c r="NH90" s="148"/>
      <c r="NI90" s="148"/>
      <c r="NJ90" s="148"/>
      <c r="NK90" s="148"/>
      <c r="NL90" s="148"/>
      <c r="NM90" s="148"/>
      <c r="NN90" s="148"/>
      <c r="NO90" s="148"/>
      <c r="NP90" s="148"/>
      <c r="NQ90" s="148"/>
      <c r="NR90" s="148"/>
      <c r="NS90" s="148"/>
      <c r="NT90" s="148"/>
      <c r="NU90" s="148"/>
      <c r="NV90" s="148"/>
      <c r="NW90" s="148"/>
      <c r="NX90" s="148"/>
      <c r="NY90" s="148"/>
      <c r="NZ90" s="148"/>
      <c r="OA90" s="148"/>
      <c r="OB90" s="148"/>
      <c r="OC90" s="148"/>
      <c r="OD90" s="148"/>
      <c r="OE90" s="148"/>
      <c r="OF90" s="148"/>
      <c r="OG90" s="148"/>
      <c r="OH90" s="148"/>
      <c r="OI90" s="148"/>
      <c r="OJ90" s="148"/>
      <c r="OK90" s="148"/>
      <c r="OL90" s="148"/>
      <c r="OM90" s="148"/>
      <c r="ON90" s="148"/>
      <c r="OO90" s="148"/>
      <c r="OP90" s="148"/>
      <c r="OQ90" s="148"/>
      <c r="OR90" s="148"/>
      <c r="OS90" s="148"/>
      <c r="OT90" s="148"/>
      <c r="OU90" s="148"/>
      <c r="OV90" s="148"/>
      <c r="OW90" s="148"/>
      <c r="OX90" s="148"/>
      <c r="OY90" s="148"/>
      <c r="OZ90" s="148"/>
      <c r="PA90" s="148"/>
      <c r="PB90" s="148"/>
      <c r="PC90" s="148"/>
      <c r="PD90" s="148"/>
      <c r="PE90" s="148"/>
      <c r="PF90" s="148"/>
      <c r="PG90" s="148"/>
      <c r="PH90" s="148"/>
      <c r="PI90" s="148"/>
      <c r="PJ90" s="148"/>
      <c r="PK90" s="148"/>
      <c r="PL90" s="148"/>
      <c r="PM90" s="148"/>
      <c r="PN90" s="148"/>
      <c r="PO90" s="148"/>
      <c r="PP90" s="148"/>
      <c r="PQ90" s="148"/>
      <c r="PR90" s="148"/>
      <c r="PS90" s="148"/>
      <c r="PT90" s="148"/>
      <c r="PU90" s="148"/>
      <c r="PV90" s="148"/>
      <c r="PW90" s="148"/>
      <c r="PX90" s="148"/>
      <c r="PY90" s="148"/>
      <c r="PZ90" s="148"/>
      <c r="QA90" s="148"/>
      <c r="QB90" s="148"/>
      <c r="QC90" s="148"/>
      <c r="QD90" s="148"/>
      <c r="QE90" s="148"/>
      <c r="QF90" s="148"/>
      <c r="QG90" s="148"/>
      <c r="QH90" s="148"/>
      <c r="QI90" s="148"/>
      <c r="QJ90" s="148"/>
      <c r="QK90" s="148"/>
      <c r="QL90" s="148"/>
      <c r="QM90" s="148"/>
      <c r="QN90" s="148"/>
      <c r="QO90" s="148"/>
      <c r="QP90" s="148"/>
      <c r="QQ90" s="148"/>
      <c r="QR90" s="148"/>
      <c r="QS90" s="148"/>
      <c r="QT90" s="148"/>
      <c r="QU90" s="148"/>
      <c r="QV90" s="148"/>
      <c r="QW90" s="148"/>
      <c r="QX90" s="148"/>
      <c r="QY90" s="148"/>
      <c r="QZ90" s="148"/>
      <c r="RA90" s="148"/>
      <c r="RB90" s="148"/>
      <c r="RC90" s="148"/>
      <c r="RD90" s="148"/>
      <c r="RE90" s="148"/>
      <c r="RF90" s="148"/>
      <c r="RG90" s="148"/>
      <c r="RH90" s="148"/>
      <c r="RI90" s="148"/>
      <c r="RJ90" s="148"/>
      <c r="RK90" s="148"/>
      <c r="RL90" s="148"/>
      <c r="RM90" s="148"/>
      <c r="RN90" s="148"/>
      <c r="RO90" s="148"/>
      <c r="RP90" s="148"/>
      <c r="RQ90" s="148"/>
      <c r="RR90" s="148"/>
    </row>
    <row r="91" spans="1:486" s="15" customFormat="1" hidden="1" x14ac:dyDescent="0.25">
      <c r="A91" s="148"/>
      <c r="B91" s="350">
        <v>81</v>
      </c>
      <c r="C91" s="650"/>
      <c r="D91" s="16"/>
      <c r="E91" s="344"/>
      <c r="F91" s="344"/>
      <c r="G91" s="17"/>
      <c r="H91" s="317"/>
      <c r="I91" s="346"/>
      <c r="J91" s="341"/>
      <c r="K91" s="633"/>
      <c r="L91" s="633"/>
      <c r="M91" s="633"/>
      <c r="N91" s="633"/>
      <c r="O91" s="633"/>
      <c r="P91" s="633"/>
      <c r="Q91" s="633"/>
      <c r="R91" s="633"/>
      <c r="S91" s="633"/>
      <c r="T91" s="633"/>
      <c r="U91" s="633"/>
      <c r="V91" s="633"/>
      <c r="W91" s="633"/>
      <c r="X91" s="633"/>
      <c r="Y91" s="633">
        <f t="shared" si="3"/>
        <v>0</v>
      </c>
      <c r="Z91" s="310"/>
      <c r="AA91" s="19"/>
      <c r="AB91" s="21"/>
      <c r="AC91" s="23"/>
      <c r="AD91" s="652"/>
      <c r="AE91" s="20"/>
      <c r="AF91" s="21"/>
      <c r="AG91" s="23"/>
      <c r="AH91" s="637"/>
      <c r="AI91" s="19"/>
      <c r="AJ91" s="21"/>
      <c r="AK91" s="25"/>
      <c r="AL91" s="309"/>
      <c r="AM91" s="19"/>
      <c r="AN91" s="21"/>
      <c r="AO91" s="25"/>
      <c r="AP91" s="309"/>
      <c r="AQ91" s="19"/>
      <c r="AR91" s="21"/>
      <c r="AS91" s="25"/>
      <c r="AT91" s="638">
        <f t="shared" si="4"/>
        <v>0</v>
      </c>
      <c r="AU91" s="311">
        <f t="shared" si="0"/>
        <v>0</v>
      </c>
      <c r="AV91" s="148"/>
      <c r="AW91" s="148"/>
      <c r="AX91" s="148"/>
      <c r="AY91" s="148"/>
      <c r="AZ91" s="148"/>
      <c r="BA91" s="148"/>
      <c r="BB91" s="148"/>
      <c r="BC91" s="148"/>
      <c r="BD91" s="148"/>
      <c r="BE91" s="148"/>
      <c r="BF91" s="148"/>
      <c r="BG91" s="148"/>
      <c r="BH91" s="148"/>
      <c r="BI91" s="148"/>
      <c r="BJ91" s="148"/>
      <c r="BK91" s="148"/>
      <c r="BL91" s="148"/>
      <c r="BM91" s="148"/>
      <c r="BN91" s="148"/>
      <c r="BO91" s="148"/>
      <c r="BP91" s="148"/>
      <c r="BQ91" s="148"/>
      <c r="BR91" s="148"/>
      <c r="BS91" s="148"/>
      <c r="BT91" s="148"/>
      <c r="BU91" s="148"/>
      <c r="BV91" s="148"/>
      <c r="BW91" s="148"/>
      <c r="BX91" s="148"/>
      <c r="BY91" s="148"/>
      <c r="BZ91" s="148"/>
      <c r="CA91" s="148"/>
      <c r="CB91" s="148"/>
      <c r="CC91" s="148"/>
      <c r="CD91" s="148"/>
      <c r="CE91" s="148"/>
      <c r="CF91" s="148"/>
      <c r="CG91" s="148"/>
      <c r="CH91" s="148"/>
      <c r="CI91" s="148"/>
      <c r="CJ91" s="148"/>
      <c r="CK91" s="148"/>
      <c r="CL91" s="148"/>
      <c r="CM91" s="148"/>
      <c r="CN91" s="148"/>
      <c r="CO91" s="148"/>
      <c r="CP91" s="148"/>
      <c r="CQ91" s="148"/>
      <c r="CR91" s="148"/>
      <c r="CS91" s="148"/>
      <c r="CT91" s="148"/>
      <c r="CU91" s="148"/>
      <c r="CV91" s="148"/>
      <c r="CW91" s="148"/>
      <c r="CX91" s="148"/>
      <c r="CY91" s="148"/>
      <c r="CZ91" s="148"/>
      <c r="DA91" s="148"/>
      <c r="DB91" s="148"/>
      <c r="DC91" s="148"/>
      <c r="DD91" s="148"/>
      <c r="DE91" s="148"/>
      <c r="DF91" s="148"/>
      <c r="DG91" s="148"/>
      <c r="DH91" s="148"/>
      <c r="DI91" s="148"/>
      <c r="DJ91" s="148"/>
      <c r="DK91" s="148"/>
      <c r="DL91" s="148"/>
      <c r="DM91" s="148"/>
      <c r="DN91" s="148"/>
      <c r="DO91" s="148"/>
      <c r="DP91" s="148"/>
      <c r="DQ91" s="148"/>
      <c r="DR91" s="148"/>
      <c r="DS91" s="148"/>
      <c r="DT91" s="148"/>
      <c r="DU91" s="148"/>
      <c r="DV91" s="148"/>
      <c r="DW91" s="148"/>
      <c r="DX91" s="148"/>
      <c r="DY91" s="148"/>
      <c r="DZ91" s="148"/>
      <c r="EA91" s="148"/>
      <c r="EB91" s="148"/>
      <c r="EC91" s="148"/>
      <c r="ED91" s="148"/>
      <c r="EE91" s="148"/>
      <c r="EF91" s="148"/>
      <c r="EG91" s="148"/>
      <c r="EH91" s="148"/>
      <c r="EI91" s="148"/>
      <c r="EJ91" s="148"/>
      <c r="EK91" s="148"/>
      <c r="EL91" s="148"/>
      <c r="EM91" s="148"/>
      <c r="EN91" s="148"/>
      <c r="EO91" s="148"/>
      <c r="EP91" s="148"/>
      <c r="EQ91" s="148"/>
      <c r="ER91" s="148"/>
      <c r="ES91" s="148"/>
      <c r="ET91" s="148"/>
      <c r="EU91" s="148"/>
      <c r="EV91" s="148"/>
      <c r="EW91" s="148"/>
      <c r="EX91" s="148"/>
      <c r="EY91" s="148"/>
      <c r="EZ91" s="148"/>
      <c r="FA91" s="148"/>
      <c r="FB91" s="148"/>
      <c r="FC91" s="148"/>
      <c r="FD91" s="148"/>
      <c r="FE91" s="148"/>
      <c r="FF91" s="148"/>
      <c r="FG91" s="148"/>
      <c r="FH91" s="148"/>
      <c r="FI91" s="148"/>
      <c r="FJ91" s="148"/>
      <c r="FK91" s="148"/>
      <c r="FL91" s="148"/>
      <c r="FM91" s="148"/>
      <c r="FN91" s="148"/>
      <c r="FO91" s="148"/>
      <c r="FP91" s="148"/>
      <c r="FQ91" s="148"/>
      <c r="FR91" s="148"/>
      <c r="FS91" s="148"/>
      <c r="FT91" s="148"/>
      <c r="FU91" s="148"/>
      <c r="FV91" s="148"/>
      <c r="FW91" s="148"/>
      <c r="FX91" s="148"/>
      <c r="FY91" s="148"/>
      <c r="FZ91" s="148"/>
      <c r="GA91" s="148"/>
      <c r="GB91" s="148"/>
      <c r="GC91" s="148"/>
      <c r="GD91" s="148"/>
      <c r="GE91" s="148"/>
      <c r="GF91" s="148"/>
      <c r="GG91" s="148"/>
      <c r="GH91" s="148"/>
      <c r="GI91" s="148"/>
      <c r="GJ91" s="148"/>
      <c r="GK91" s="148"/>
      <c r="GL91" s="148"/>
      <c r="GM91" s="148"/>
      <c r="GN91" s="148"/>
      <c r="GO91" s="148"/>
      <c r="GP91" s="148"/>
      <c r="GQ91" s="148"/>
      <c r="GR91" s="148"/>
      <c r="GS91" s="148"/>
      <c r="GT91" s="148"/>
      <c r="GU91" s="148"/>
      <c r="GV91" s="148"/>
      <c r="GW91" s="148"/>
      <c r="GX91" s="148"/>
      <c r="GY91" s="148"/>
      <c r="GZ91" s="148"/>
      <c r="HA91" s="148"/>
      <c r="HB91" s="148"/>
      <c r="HC91" s="148"/>
      <c r="HD91" s="148"/>
      <c r="HE91" s="148"/>
      <c r="HF91" s="148"/>
      <c r="HG91" s="148"/>
      <c r="HH91" s="148"/>
      <c r="HI91" s="148"/>
      <c r="HJ91" s="148"/>
      <c r="HK91" s="148"/>
      <c r="HL91" s="148"/>
      <c r="HM91" s="148"/>
      <c r="HN91" s="148"/>
      <c r="HO91" s="148"/>
      <c r="HP91" s="148"/>
      <c r="HQ91" s="148"/>
      <c r="HR91" s="148"/>
      <c r="HS91" s="148"/>
      <c r="HT91" s="148"/>
      <c r="HU91" s="148"/>
      <c r="HV91" s="148"/>
      <c r="HW91" s="148"/>
      <c r="HX91" s="148"/>
      <c r="HY91" s="148"/>
      <c r="HZ91" s="148"/>
      <c r="IA91" s="148"/>
      <c r="IB91" s="148"/>
      <c r="IC91" s="148"/>
      <c r="ID91" s="148"/>
      <c r="IE91" s="148"/>
      <c r="IF91" s="148"/>
      <c r="IG91" s="148"/>
      <c r="IH91" s="148"/>
      <c r="II91" s="148"/>
      <c r="IJ91" s="148"/>
      <c r="IK91" s="148"/>
      <c r="IL91" s="148"/>
      <c r="IM91" s="148"/>
      <c r="IN91" s="148"/>
      <c r="IO91" s="148"/>
      <c r="IP91" s="148"/>
      <c r="IQ91" s="148"/>
      <c r="IR91" s="148"/>
      <c r="IS91" s="148"/>
      <c r="IT91" s="148"/>
      <c r="IU91" s="148"/>
      <c r="IV91" s="148"/>
      <c r="IW91" s="148"/>
      <c r="IX91" s="148"/>
      <c r="IY91" s="148"/>
      <c r="IZ91" s="148"/>
      <c r="JA91" s="148"/>
      <c r="JB91" s="148"/>
      <c r="JC91" s="148"/>
      <c r="JD91" s="148"/>
      <c r="JE91" s="148"/>
      <c r="JF91" s="148"/>
      <c r="JG91" s="148"/>
      <c r="JH91" s="148"/>
      <c r="JI91" s="148"/>
      <c r="JJ91" s="148"/>
      <c r="JK91" s="148"/>
      <c r="JL91" s="148"/>
      <c r="JM91" s="148"/>
      <c r="JN91" s="148"/>
      <c r="JO91" s="148"/>
      <c r="JP91" s="148"/>
      <c r="JQ91" s="148"/>
      <c r="JR91" s="148"/>
      <c r="JS91" s="148"/>
      <c r="JT91" s="148"/>
      <c r="JU91" s="148"/>
      <c r="JV91" s="148"/>
      <c r="JW91" s="148"/>
      <c r="JX91" s="148"/>
      <c r="JY91" s="148"/>
      <c r="JZ91" s="148"/>
      <c r="KA91" s="148"/>
      <c r="KB91" s="148"/>
      <c r="KC91" s="148"/>
      <c r="KD91" s="148"/>
      <c r="KE91" s="148"/>
      <c r="KF91" s="148"/>
      <c r="KG91" s="148"/>
      <c r="KH91" s="148"/>
      <c r="KI91" s="148"/>
      <c r="KJ91" s="148"/>
      <c r="KK91" s="148"/>
      <c r="KL91" s="148"/>
      <c r="KM91" s="148"/>
      <c r="KN91" s="148"/>
      <c r="KO91" s="148"/>
      <c r="KP91" s="148"/>
      <c r="KQ91" s="148"/>
      <c r="KR91" s="148"/>
      <c r="KS91" s="148"/>
      <c r="KT91" s="148"/>
      <c r="KU91" s="148"/>
      <c r="KV91" s="148"/>
      <c r="KW91" s="148"/>
      <c r="KX91" s="148"/>
      <c r="KY91" s="148"/>
      <c r="KZ91" s="148"/>
      <c r="LA91" s="148"/>
      <c r="LB91" s="148"/>
      <c r="LC91" s="148"/>
      <c r="LD91" s="148"/>
      <c r="LE91" s="148"/>
      <c r="LF91" s="148"/>
      <c r="LG91" s="148"/>
      <c r="LH91" s="148"/>
      <c r="LI91" s="148"/>
      <c r="LJ91" s="148"/>
      <c r="LK91" s="148"/>
      <c r="LL91" s="148"/>
      <c r="LM91" s="148"/>
      <c r="LN91" s="148"/>
      <c r="LO91" s="148"/>
      <c r="LP91" s="148"/>
      <c r="LQ91" s="148"/>
      <c r="LR91" s="148"/>
      <c r="LS91" s="148"/>
      <c r="LT91" s="148"/>
      <c r="LU91" s="148"/>
      <c r="LV91" s="148"/>
      <c r="LW91" s="148"/>
      <c r="LX91" s="148"/>
      <c r="LY91" s="148"/>
      <c r="LZ91" s="148"/>
      <c r="MA91" s="148"/>
      <c r="MB91" s="148"/>
      <c r="MC91" s="148"/>
      <c r="MD91" s="148"/>
      <c r="ME91" s="148"/>
      <c r="MF91" s="148"/>
      <c r="MG91" s="148"/>
      <c r="MH91" s="148"/>
      <c r="MI91" s="148"/>
      <c r="MJ91" s="148"/>
      <c r="MK91" s="148"/>
      <c r="ML91" s="148"/>
      <c r="MM91" s="148"/>
      <c r="MN91" s="148"/>
      <c r="MO91" s="148"/>
      <c r="MP91" s="148"/>
      <c r="MQ91" s="148"/>
      <c r="MR91" s="148"/>
      <c r="MS91" s="148"/>
      <c r="MT91" s="148"/>
      <c r="MU91" s="148"/>
      <c r="MV91" s="148"/>
      <c r="MW91" s="148"/>
      <c r="MX91" s="148"/>
      <c r="MY91" s="148"/>
      <c r="MZ91" s="148"/>
      <c r="NA91" s="148"/>
      <c r="NB91" s="148"/>
      <c r="NC91" s="148"/>
      <c r="ND91" s="148"/>
      <c r="NE91" s="148"/>
      <c r="NF91" s="148"/>
      <c r="NG91" s="148"/>
      <c r="NH91" s="148"/>
      <c r="NI91" s="148"/>
      <c r="NJ91" s="148"/>
      <c r="NK91" s="148"/>
      <c r="NL91" s="148"/>
      <c r="NM91" s="148"/>
      <c r="NN91" s="148"/>
      <c r="NO91" s="148"/>
      <c r="NP91" s="148"/>
      <c r="NQ91" s="148"/>
      <c r="NR91" s="148"/>
      <c r="NS91" s="148"/>
      <c r="NT91" s="148"/>
      <c r="NU91" s="148"/>
      <c r="NV91" s="148"/>
      <c r="NW91" s="148"/>
      <c r="NX91" s="148"/>
      <c r="NY91" s="148"/>
      <c r="NZ91" s="148"/>
      <c r="OA91" s="148"/>
      <c r="OB91" s="148"/>
      <c r="OC91" s="148"/>
      <c r="OD91" s="148"/>
      <c r="OE91" s="148"/>
      <c r="OF91" s="148"/>
      <c r="OG91" s="148"/>
      <c r="OH91" s="148"/>
      <c r="OI91" s="148"/>
      <c r="OJ91" s="148"/>
      <c r="OK91" s="148"/>
      <c r="OL91" s="148"/>
      <c r="OM91" s="148"/>
      <c r="ON91" s="148"/>
      <c r="OO91" s="148"/>
      <c r="OP91" s="148"/>
      <c r="OQ91" s="148"/>
      <c r="OR91" s="148"/>
      <c r="OS91" s="148"/>
      <c r="OT91" s="148"/>
      <c r="OU91" s="148"/>
      <c r="OV91" s="148"/>
      <c r="OW91" s="148"/>
      <c r="OX91" s="148"/>
      <c r="OY91" s="148"/>
      <c r="OZ91" s="148"/>
      <c r="PA91" s="148"/>
      <c r="PB91" s="148"/>
      <c r="PC91" s="148"/>
      <c r="PD91" s="148"/>
      <c r="PE91" s="148"/>
      <c r="PF91" s="148"/>
      <c r="PG91" s="148"/>
      <c r="PH91" s="148"/>
      <c r="PI91" s="148"/>
      <c r="PJ91" s="148"/>
      <c r="PK91" s="148"/>
      <c r="PL91" s="148"/>
      <c r="PM91" s="148"/>
      <c r="PN91" s="148"/>
      <c r="PO91" s="148"/>
      <c r="PP91" s="148"/>
      <c r="PQ91" s="148"/>
      <c r="PR91" s="148"/>
      <c r="PS91" s="148"/>
      <c r="PT91" s="148"/>
      <c r="PU91" s="148"/>
      <c r="PV91" s="148"/>
      <c r="PW91" s="148"/>
      <c r="PX91" s="148"/>
      <c r="PY91" s="148"/>
      <c r="PZ91" s="148"/>
      <c r="QA91" s="148"/>
      <c r="QB91" s="148"/>
      <c r="QC91" s="148"/>
      <c r="QD91" s="148"/>
      <c r="QE91" s="148"/>
      <c r="QF91" s="148"/>
      <c r="QG91" s="148"/>
      <c r="QH91" s="148"/>
      <c r="QI91" s="148"/>
      <c r="QJ91" s="148"/>
      <c r="QK91" s="148"/>
      <c r="QL91" s="148"/>
      <c r="QM91" s="148"/>
      <c r="QN91" s="148"/>
      <c r="QO91" s="148"/>
      <c r="QP91" s="148"/>
      <c r="QQ91" s="148"/>
      <c r="QR91" s="148"/>
      <c r="QS91" s="148"/>
      <c r="QT91" s="148"/>
      <c r="QU91" s="148"/>
      <c r="QV91" s="148"/>
      <c r="QW91" s="148"/>
      <c r="QX91" s="148"/>
      <c r="QY91" s="148"/>
      <c r="QZ91" s="148"/>
      <c r="RA91" s="148"/>
      <c r="RB91" s="148"/>
      <c r="RC91" s="148"/>
      <c r="RD91" s="148"/>
      <c r="RE91" s="148"/>
      <c r="RF91" s="148"/>
      <c r="RG91" s="148"/>
      <c r="RH91" s="148"/>
      <c r="RI91" s="148"/>
      <c r="RJ91" s="148"/>
      <c r="RK91" s="148"/>
      <c r="RL91" s="148"/>
      <c r="RM91" s="148"/>
      <c r="RN91" s="148"/>
      <c r="RO91" s="148"/>
      <c r="RP91" s="148"/>
      <c r="RQ91" s="148"/>
      <c r="RR91" s="148"/>
    </row>
    <row r="92" spans="1:486" s="15" customFormat="1" hidden="1" x14ac:dyDescent="0.25">
      <c r="A92" s="148"/>
      <c r="B92" s="350">
        <v>82</v>
      </c>
      <c r="C92" s="650"/>
      <c r="D92" s="16"/>
      <c r="E92" s="344"/>
      <c r="F92" s="344"/>
      <c r="G92" s="17"/>
      <c r="H92" s="317"/>
      <c r="I92" s="346"/>
      <c r="J92" s="341"/>
      <c r="K92" s="633"/>
      <c r="L92" s="633"/>
      <c r="M92" s="633"/>
      <c r="N92" s="633"/>
      <c r="O92" s="633"/>
      <c r="P92" s="633"/>
      <c r="Q92" s="633"/>
      <c r="R92" s="633"/>
      <c r="S92" s="633"/>
      <c r="T92" s="633"/>
      <c r="U92" s="633"/>
      <c r="V92" s="633"/>
      <c r="W92" s="633"/>
      <c r="X92" s="633"/>
      <c r="Y92" s="633">
        <f t="shared" si="3"/>
        <v>0</v>
      </c>
      <c r="Z92" s="310"/>
      <c r="AA92" s="19"/>
      <c r="AB92" s="315"/>
      <c r="AC92" s="315"/>
      <c r="AD92" s="652"/>
      <c r="AE92" s="20"/>
      <c r="AF92" s="21"/>
      <c r="AG92" s="23"/>
      <c r="AH92" s="637"/>
      <c r="AI92" s="19"/>
      <c r="AJ92" s="21"/>
      <c r="AK92" s="25"/>
      <c r="AL92" s="309"/>
      <c r="AM92" s="19"/>
      <c r="AN92" s="21"/>
      <c r="AO92" s="25"/>
      <c r="AP92" s="309"/>
      <c r="AQ92" s="19"/>
      <c r="AR92" s="21"/>
      <c r="AS92" s="25"/>
      <c r="AT92" s="638">
        <f t="shared" si="4"/>
        <v>0</v>
      </c>
      <c r="AU92" s="311">
        <f t="shared" si="0"/>
        <v>0</v>
      </c>
      <c r="AV92" s="148"/>
      <c r="AW92" s="148"/>
      <c r="AX92" s="148"/>
      <c r="AY92" s="148"/>
      <c r="AZ92" s="148"/>
      <c r="BA92" s="148"/>
      <c r="BB92" s="148"/>
      <c r="BC92" s="148"/>
      <c r="BD92" s="148"/>
      <c r="BE92" s="148"/>
      <c r="BF92" s="148"/>
      <c r="BG92" s="148"/>
      <c r="BH92" s="148"/>
      <c r="BI92" s="148"/>
      <c r="BJ92" s="148"/>
      <c r="BK92" s="148"/>
      <c r="BL92" s="148"/>
      <c r="BM92" s="148"/>
      <c r="BN92" s="148"/>
      <c r="BO92" s="148"/>
      <c r="BP92" s="148"/>
      <c r="BQ92" s="148"/>
      <c r="BR92" s="148"/>
      <c r="BS92" s="148"/>
      <c r="BT92" s="148"/>
      <c r="BU92" s="148"/>
      <c r="BV92" s="148"/>
      <c r="BW92" s="148"/>
      <c r="BX92" s="148"/>
      <c r="BY92" s="148"/>
      <c r="BZ92" s="148"/>
      <c r="CA92" s="148"/>
      <c r="CB92" s="148"/>
      <c r="CC92" s="148"/>
      <c r="CD92" s="148"/>
      <c r="CE92" s="148"/>
      <c r="CF92" s="148"/>
      <c r="CG92" s="148"/>
      <c r="CH92" s="148"/>
      <c r="CI92" s="148"/>
      <c r="CJ92" s="148"/>
      <c r="CK92" s="148"/>
      <c r="CL92" s="148"/>
      <c r="CM92" s="148"/>
      <c r="CN92" s="148"/>
      <c r="CO92" s="148"/>
      <c r="CP92" s="148"/>
      <c r="CQ92" s="148"/>
      <c r="CR92" s="148"/>
      <c r="CS92" s="148"/>
      <c r="CT92" s="148"/>
      <c r="CU92" s="148"/>
      <c r="CV92" s="148"/>
      <c r="CW92" s="148"/>
      <c r="CX92" s="148"/>
      <c r="CY92" s="148"/>
      <c r="CZ92" s="148"/>
      <c r="DA92" s="148"/>
      <c r="DB92" s="148"/>
      <c r="DC92" s="148"/>
      <c r="DD92" s="148"/>
      <c r="DE92" s="148"/>
      <c r="DF92" s="148"/>
      <c r="DG92" s="148"/>
      <c r="DH92" s="148"/>
      <c r="DI92" s="148"/>
      <c r="DJ92" s="148"/>
      <c r="DK92" s="148"/>
      <c r="DL92" s="148"/>
      <c r="DM92" s="148"/>
      <c r="DN92" s="148"/>
      <c r="DO92" s="148"/>
      <c r="DP92" s="148"/>
      <c r="DQ92" s="148"/>
      <c r="DR92" s="148"/>
      <c r="DS92" s="148"/>
      <c r="DT92" s="148"/>
      <c r="DU92" s="148"/>
      <c r="DV92" s="148"/>
      <c r="DW92" s="148"/>
      <c r="DX92" s="148"/>
      <c r="DY92" s="148"/>
      <c r="DZ92" s="148"/>
      <c r="EA92" s="148"/>
      <c r="EB92" s="148"/>
      <c r="EC92" s="148"/>
      <c r="ED92" s="148"/>
      <c r="EE92" s="148"/>
      <c r="EF92" s="148"/>
      <c r="EG92" s="148"/>
      <c r="EH92" s="148"/>
      <c r="EI92" s="148"/>
      <c r="EJ92" s="148"/>
      <c r="EK92" s="148"/>
      <c r="EL92" s="148"/>
      <c r="EM92" s="148"/>
      <c r="EN92" s="148"/>
      <c r="EO92" s="148"/>
      <c r="EP92" s="148"/>
      <c r="EQ92" s="148"/>
      <c r="ER92" s="148"/>
      <c r="ES92" s="148"/>
      <c r="ET92" s="148"/>
      <c r="EU92" s="148"/>
      <c r="EV92" s="148"/>
      <c r="EW92" s="148"/>
      <c r="EX92" s="148"/>
      <c r="EY92" s="148"/>
      <c r="EZ92" s="148"/>
      <c r="FA92" s="148"/>
      <c r="FB92" s="148"/>
      <c r="FC92" s="148"/>
      <c r="FD92" s="148"/>
      <c r="FE92" s="148"/>
      <c r="FF92" s="148"/>
      <c r="FG92" s="148"/>
      <c r="FH92" s="148"/>
      <c r="FI92" s="148"/>
      <c r="FJ92" s="148"/>
      <c r="FK92" s="148"/>
      <c r="FL92" s="148"/>
      <c r="FM92" s="148"/>
      <c r="FN92" s="148"/>
      <c r="FO92" s="148"/>
      <c r="FP92" s="148"/>
      <c r="FQ92" s="148"/>
      <c r="FR92" s="148"/>
      <c r="FS92" s="148"/>
      <c r="FT92" s="148"/>
      <c r="FU92" s="148"/>
      <c r="FV92" s="148"/>
      <c r="FW92" s="148"/>
      <c r="FX92" s="148"/>
      <c r="FY92" s="148"/>
      <c r="FZ92" s="148"/>
      <c r="GA92" s="148"/>
      <c r="GB92" s="148"/>
      <c r="GC92" s="148"/>
      <c r="GD92" s="148"/>
      <c r="GE92" s="148"/>
      <c r="GF92" s="148"/>
      <c r="GG92" s="148"/>
      <c r="GH92" s="148"/>
      <c r="GI92" s="148"/>
      <c r="GJ92" s="148"/>
      <c r="GK92" s="148"/>
      <c r="GL92" s="148"/>
      <c r="GM92" s="148"/>
      <c r="GN92" s="148"/>
      <c r="GO92" s="148"/>
      <c r="GP92" s="148"/>
      <c r="GQ92" s="148"/>
      <c r="GR92" s="148"/>
      <c r="GS92" s="148"/>
      <c r="GT92" s="148"/>
      <c r="GU92" s="148"/>
      <c r="GV92" s="148"/>
      <c r="GW92" s="148"/>
      <c r="GX92" s="148"/>
      <c r="GY92" s="148"/>
      <c r="GZ92" s="148"/>
      <c r="HA92" s="148"/>
      <c r="HB92" s="148"/>
      <c r="HC92" s="148"/>
      <c r="HD92" s="148"/>
      <c r="HE92" s="148"/>
      <c r="HF92" s="148"/>
      <c r="HG92" s="148"/>
      <c r="HH92" s="148"/>
      <c r="HI92" s="148"/>
      <c r="HJ92" s="148"/>
      <c r="HK92" s="148"/>
      <c r="HL92" s="148"/>
      <c r="HM92" s="148"/>
      <c r="HN92" s="148"/>
      <c r="HO92" s="148"/>
      <c r="HP92" s="148"/>
      <c r="HQ92" s="148"/>
      <c r="HR92" s="148"/>
      <c r="HS92" s="148"/>
      <c r="HT92" s="148"/>
      <c r="HU92" s="148"/>
      <c r="HV92" s="148"/>
      <c r="HW92" s="148"/>
      <c r="HX92" s="148"/>
      <c r="HY92" s="148"/>
      <c r="HZ92" s="148"/>
      <c r="IA92" s="148"/>
      <c r="IB92" s="148"/>
      <c r="IC92" s="148"/>
      <c r="ID92" s="148"/>
      <c r="IE92" s="148"/>
      <c r="IF92" s="148"/>
      <c r="IG92" s="148"/>
      <c r="IH92" s="148"/>
      <c r="II92" s="148"/>
      <c r="IJ92" s="148"/>
      <c r="IK92" s="148"/>
      <c r="IL92" s="148"/>
      <c r="IM92" s="148"/>
      <c r="IN92" s="148"/>
      <c r="IO92" s="148"/>
      <c r="IP92" s="148"/>
      <c r="IQ92" s="148"/>
      <c r="IR92" s="148"/>
      <c r="IS92" s="148"/>
      <c r="IT92" s="148"/>
      <c r="IU92" s="148"/>
      <c r="IV92" s="148"/>
      <c r="IW92" s="148"/>
      <c r="IX92" s="148"/>
      <c r="IY92" s="148"/>
      <c r="IZ92" s="148"/>
      <c r="JA92" s="148"/>
      <c r="JB92" s="148"/>
      <c r="JC92" s="148"/>
      <c r="JD92" s="148"/>
      <c r="JE92" s="148"/>
      <c r="JF92" s="148"/>
      <c r="JG92" s="148"/>
      <c r="JH92" s="148"/>
      <c r="JI92" s="148"/>
      <c r="JJ92" s="148"/>
      <c r="JK92" s="148"/>
      <c r="JL92" s="148"/>
      <c r="JM92" s="148"/>
      <c r="JN92" s="148"/>
      <c r="JO92" s="148"/>
      <c r="JP92" s="148"/>
      <c r="JQ92" s="148"/>
      <c r="JR92" s="148"/>
      <c r="JS92" s="148"/>
      <c r="JT92" s="148"/>
      <c r="JU92" s="148"/>
      <c r="JV92" s="148"/>
      <c r="JW92" s="148"/>
      <c r="JX92" s="148"/>
      <c r="JY92" s="148"/>
      <c r="JZ92" s="148"/>
      <c r="KA92" s="148"/>
      <c r="KB92" s="148"/>
      <c r="KC92" s="148"/>
      <c r="KD92" s="148"/>
      <c r="KE92" s="148"/>
      <c r="KF92" s="148"/>
      <c r="KG92" s="148"/>
      <c r="KH92" s="148"/>
      <c r="KI92" s="148"/>
      <c r="KJ92" s="148"/>
      <c r="KK92" s="148"/>
      <c r="KL92" s="148"/>
      <c r="KM92" s="148"/>
      <c r="KN92" s="148"/>
      <c r="KO92" s="148"/>
      <c r="KP92" s="148"/>
      <c r="KQ92" s="148"/>
      <c r="KR92" s="148"/>
      <c r="KS92" s="148"/>
      <c r="KT92" s="148"/>
      <c r="KU92" s="148"/>
      <c r="KV92" s="148"/>
      <c r="KW92" s="148"/>
      <c r="KX92" s="148"/>
      <c r="KY92" s="148"/>
      <c r="KZ92" s="148"/>
      <c r="LA92" s="148"/>
      <c r="LB92" s="148"/>
      <c r="LC92" s="148"/>
      <c r="LD92" s="148"/>
      <c r="LE92" s="148"/>
      <c r="LF92" s="148"/>
      <c r="LG92" s="148"/>
      <c r="LH92" s="148"/>
      <c r="LI92" s="148"/>
      <c r="LJ92" s="148"/>
      <c r="LK92" s="148"/>
      <c r="LL92" s="148"/>
      <c r="LM92" s="148"/>
      <c r="LN92" s="148"/>
      <c r="LO92" s="148"/>
      <c r="LP92" s="148"/>
      <c r="LQ92" s="148"/>
      <c r="LR92" s="148"/>
      <c r="LS92" s="148"/>
      <c r="LT92" s="148"/>
      <c r="LU92" s="148"/>
      <c r="LV92" s="148"/>
      <c r="LW92" s="148"/>
      <c r="LX92" s="148"/>
      <c r="LY92" s="148"/>
      <c r="LZ92" s="148"/>
      <c r="MA92" s="148"/>
      <c r="MB92" s="148"/>
      <c r="MC92" s="148"/>
      <c r="MD92" s="148"/>
      <c r="ME92" s="148"/>
      <c r="MF92" s="148"/>
      <c r="MG92" s="148"/>
      <c r="MH92" s="148"/>
      <c r="MI92" s="148"/>
      <c r="MJ92" s="148"/>
      <c r="MK92" s="148"/>
      <c r="ML92" s="148"/>
      <c r="MM92" s="148"/>
      <c r="MN92" s="148"/>
      <c r="MO92" s="148"/>
      <c r="MP92" s="148"/>
      <c r="MQ92" s="148"/>
      <c r="MR92" s="148"/>
      <c r="MS92" s="148"/>
      <c r="MT92" s="148"/>
      <c r="MU92" s="148"/>
      <c r="MV92" s="148"/>
      <c r="MW92" s="148"/>
      <c r="MX92" s="148"/>
      <c r="MY92" s="148"/>
      <c r="MZ92" s="148"/>
      <c r="NA92" s="148"/>
      <c r="NB92" s="148"/>
      <c r="NC92" s="148"/>
      <c r="ND92" s="148"/>
      <c r="NE92" s="148"/>
      <c r="NF92" s="148"/>
      <c r="NG92" s="148"/>
      <c r="NH92" s="148"/>
      <c r="NI92" s="148"/>
      <c r="NJ92" s="148"/>
      <c r="NK92" s="148"/>
      <c r="NL92" s="148"/>
      <c r="NM92" s="148"/>
      <c r="NN92" s="148"/>
      <c r="NO92" s="148"/>
      <c r="NP92" s="148"/>
      <c r="NQ92" s="148"/>
      <c r="NR92" s="148"/>
      <c r="NS92" s="148"/>
      <c r="NT92" s="148"/>
      <c r="NU92" s="148"/>
      <c r="NV92" s="148"/>
      <c r="NW92" s="148"/>
      <c r="NX92" s="148"/>
      <c r="NY92" s="148"/>
      <c r="NZ92" s="148"/>
      <c r="OA92" s="148"/>
      <c r="OB92" s="148"/>
      <c r="OC92" s="148"/>
      <c r="OD92" s="148"/>
      <c r="OE92" s="148"/>
      <c r="OF92" s="148"/>
      <c r="OG92" s="148"/>
      <c r="OH92" s="148"/>
      <c r="OI92" s="148"/>
      <c r="OJ92" s="148"/>
      <c r="OK92" s="148"/>
      <c r="OL92" s="148"/>
      <c r="OM92" s="148"/>
      <c r="ON92" s="148"/>
      <c r="OO92" s="148"/>
      <c r="OP92" s="148"/>
      <c r="OQ92" s="148"/>
      <c r="OR92" s="148"/>
      <c r="OS92" s="148"/>
      <c r="OT92" s="148"/>
      <c r="OU92" s="148"/>
      <c r="OV92" s="148"/>
      <c r="OW92" s="148"/>
      <c r="OX92" s="148"/>
      <c r="OY92" s="148"/>
      <c r="OZ92" s="148"/>
      <c r="PA92" s="148"/>
      <c r="PB92" s="148"/>
      <c r="PC92" s="148"/>
      <c r="PD92" s="148"/>
      <c r="PE92" s="148"/>
      <c r="PF92" s="148"/>
      <c r="PG92" s="148"/>
      <c r="PH92" s="148"/>
      <c r="PI92" s="148"/>
      <c r="PJ92" s="148"/>
      <c r="PK92" s="148"/>
      <c r="PL92" s="148"/>
      <c r="PM92" s="148"/>
      <c r="PN92" s="148"/>
      <c r="PO92" s="148"/>
      <c r="PP92" s="148"/>
      <c r="PQ92" s="148"/>
      <c r="PR92" s="148"/>
      <c r="PS92" s="148"/>
      <c r="PT92" s="148"/>
      <c r="PU92" s="148"/>
      <c r="PV92" s="148"/>
      <c r="PW92" s="148"/>
      <c r="PX92" s="148"/>
      <c r="PY92" s="148"/>
      <c r="PZ92" s="148"/>
      <c r="QA92" s="148"/>
      <c r="QB92" s="148"/>
      <c r="QC92" s="148"/>
      <c r="QD92" s="148"/>
      <c r="QE92" s="148"/>
      <c r="QF92" s="148"/>
      <c r="QG92" s="148"/>
      <c r="QH92" s="148"/>
      <c r="QI92" s="148"/>
      <c r="QJ92" s="148"/>
      <c r="QK92" s="148"/>
      <c r="QL92" s="148"/>
      <c r="QM92" s="148"/>
      <c r="QN92" s="148"/>
      <c r="QO92" s="148"/>
      <c r="QP92" s="148"/>
      <c r="QQ92" s="148"/>
      <c r="QR92" s="148"/>
      <c r="QS92" s="148"/>
      <c r="QT92" s="148"/>
      <c r="QU92" s="148"/>
      <c r="QV92" s="148"/>
      <c r="QW92" s="148"/>
      <c r="QX92" s="148"/>
      <c r="QY92" s="148"/>
      <c r="QZ92" s="148"/>
      <c r="RA92" s="148"/>
      <c r="RB92" s="148"/>
      <c r="RC92" s="148"/>
      <c r="RD92" s="148"/>
      <c r="RE92" s="148"/>
      <c r="RF92" s="148"/>
      <c r="RG92" s="148"/>
      <c r="RH92" s="148"/>
      <c r="RI92" s="148"/>
      <c r="RJ92" s="148"/>
      <c r="RK92" s="148"/>
      <c r="RL92" s="148"/>
      <c r="RM92" s="148"/>
      <c r="RN92" s="148"/>
      <c r="RO92" s="148"/>
      <c r="RP92" s="148"/>
      <c r="RQ92" s="148"/>
      <c r="RR92" s="148"/>
    </row>
    <row r="93" spans="1:486" s="15" customFormat="1" hidden="1" x14ac:dyDescent="0.25">
      <c r="A93" s="148"/>
      <c r="B93" s="350">
        <v>83</v>
      </c>
      <c r="C93" s="650"/>
      <c r="D93" s="16"/>
      <c r="E93" s="344"/>
      <c r="F93" s="344"/>
      <c r="G93" s="17"/>
      <c r="H93" s="317"/>
      <c r="I93" s="346"/>
      <c r="J93" s="341"/>
      <c r="K93" s="633"/>
      <c r="L93" s="633"/>
      <c r="M93" s="633"/>
      <c r="N93" s="633"/>
      <c r="O93" s="633"/>
      <c r="P93" s="633"/>
      <c r="Q93" s="633"/>
      <c r="R93" s="633"/>
      <c r="S93" s="633"/>
      <c r="T93" s="633"/>
      <c r="U93" s="633"/>
      <c r="V93" s="633"/>
      <c r="W93" s="633"/>
      <c r="X93" s="633"/>
      <c r="Y93" s="633">
        <f t="shared" si="3"/>
        <v>0</v>
      </c>
      <c r="Z93" s="310"/>
      <c r="AA93" s="19"/>
      <c r="AB93" s="315"/>
      <c r="AC93" s="315"/>
      <c r="AD93" s="652"/>
      <c r="AE93" s="20"/>
      <c r="AF93" s="21"/>
      <c r="AG93" s="23"/>
      <c r="AH93" s="637"/>
      <c r="AI93" s="19"/>
      <c r="AJ93" s="21"/>
      <c r="AK93" s="25"/>
      <c r="AL93" s="309"/>
      <c r="AM93" s="19"/>
      <c r="AN93" s="21"/>
      <c r="AO93" s="25"/>
      <c r="AP93" s="309"/>
      <c r="AQ93" s="19"/>
      <c r="AR93" s="21"/>
      <c r="AS93" s="25"/>
      <c r="AT93" s="638">
        <f t="shared" si="4"/>
        <v>0</v>
      </c>
      <c r="AU93" s="311">
        <f t="shared" si="0"/>
        <v>0</v>
      </c>
      <c r="AV93" s="148"/>
      <c r="AW93" s="148"/>
      <c r="AX93" s="148"/>
      <c r="AY93" s="148"/>
      <c r="AZ93" s="148"/>
      <c r="BA93" s="148"/>
      <c r="BB93" s="148"/>
      <c r="BC93" s="148"/>
      <c r="BD93" s="148"/>
      <c r="BE93" s="148"/>
      <c r="BF93" s="148"/>
      <c r="BG93" s="148"/>
      <c r="BH93" s="148"/>
      <c r="BI93" s="148"/>
      <c r="BJ93" s="148"/>
      <c r="BK93" s="148"/>
      <c r="BL93" s="148"/>
      <c r="BM93" s="148"/>
      <c r="BN93" s="148"/>
      <c r="BO93" s="148"/>
      <c r="BP93" s="148"/>
      <c r="BQ93" s="148"/>
      <c r="BR93" s="148"/>
      <c r="BS93" s="148"/>
      <c r="BT93" s="148"/>
      <c r="BU93" s="148"/>
      <c r="BV93" s="148"/>
      <c r="BW93" s="148"/>
      <c r="BX93" s="148"/>
      <c r="BY93" s="148"/>
      <c r="BZ93" s="148"/>
      <c r="CA93" s="148"/>
      <c r="CB93" s="148"/>
      <c r="CC93" s="148"/>
      <c r="CD93" s="148"/>
      <c r="CE93" s="148"/>
      <c r="CF93" s="148"/>
      <c r="CG93" s="148"/>
      <c r="CH93" s="148"/>
      <c r="CI93" s="148"/>
      <c r="CJ93" s="148"/>
      <c r="CK93" s="148"/>
      <c r="CL93" s="148"/>
      <c r="CM93" s="148"/>
      <c r="CN93" s="148"/>
      <c r="CO93" s="148"/>
      <c r="CP93" s="148"/>
      <c r="CQ93" s="148"/>
      <c r="CR93" s="148"/>
      <c r="CS93" s="148"/>
      <c r="CT93" s="148"/>
      <c r="CU93" s="148"/>
      <c r="CV93" s="148"/>
      <c r="CW93" s="148"/>
      <c r="CX93" s="148"/>
      <c r="CY93" s="148"/>
      <c r="CZ93" s="148"/>
      <c r="DA93" s="148"/>
      <c r="DB93" s="148"/>
      <c r="DC93" s="148"/>
      <c r="DD93" s="148"/>
      <c r="DE93" s="148"/>
      <c r="DF93" s="148"/>
      <c r="DG93" s="148"/>
      <c r="DH93" s="148"/>
      <c r="DI93" s="148"/>
      <c r="DJ93" s="148"/>
      <c r="DK93" s="148"/>
      <c r="DL93" s="148"/>
      <c r="DM93" s="148"/>
      <c r="DN93" s="148"/>
      <c r="DO93" s="148"/>
      <c r="DP93" s="148"/>
      <c r="DQ93" s="148"/>
      <c r="DR93" s="148"/>
      <c r="DS93" s="148"/>
      <c r="DT93" s="148"/>
      <c r="DU93" s="148"/>
      <c r="DV93" s="148"/>
      <c r="DW93" s="148"/>
      <c r="DX93" s="148"/>
      <c r="DY93" s="148"/>
      <c r="DZ93" s="148"/>
      <c r="EA93" s="148"/>
      <c r="EB93" s="148"/>
      <c r="EC93" s="148"/>
      <c r="ED93" s="148"/>
      <c r="EE93" s="148"/>
      <c r="EF93" s="148"/>
      <c r="EG93" s="148"/>
      <c r="EH93" s="148"/>
      <c r="EI93" s="148"/>
      <c r="EJ93" s="148"/>
      <c r="EK93" s="148"/>
      <c r="EL93" s="148"/>
      <c r="EM93" s="148"/>
      <c r="EN93" s="148"/>
      <c r="EO93" s="148"/>
      <c r="EP93" s="148"/>
      <c r="EQ93" s="148"/>
      <c r="ER93" s="148"/>
      <c r="ES93" s="148"/>
      <c r="ET93" s="148"/>
      <c r="EU93" s="148"/>
      <c r="EV93" s="148"/>
      <c r="EW93" s="148"/>
      <c r="EX93" s="148"/>
      <c r="EY93" s="148"/>
      <c r="EZ93" s="148"/>
      <c r="FA93" s="148"/>
      <c r="FB93" s="148"/>
      <c r="FC93" s="148"/>
      <c r="FD93" s="148"/>
      <c r="FE93" s="148"/>
      <c r="FF93" s="148"/>
      <c r="FG93" s="148"/>
      <c r="FH93" s="148"/>
      <c r="FI93" s="148"/>
      <c r="FJ93" s="148"/>
      <c r="FK93" s="148"/>
      <c r="FL93" s="148"/>
      <c r="FM93" s="148"/>
      <c r="FN93" s="148"/>
      <c r="FO93" s="148"/>
      <c r="FP93" s="148"/>
      <c r="FQ93" s="148"/>
      <c r="FR93" s="148"/>
      <c r="FS93" s="148"/>
      <c r="FT93" s="148"/>
      <c r="FU93" s="148"/>
      <c r="FV93" s="148"/>
      <c r="FW93" s="148"/>
      <c r="FX93" s="148"/>
      <c r="FY93" s="148"/>
      <c r="FZ93" s="148"/>
      <c r="GA93" s="148"/>
      <c r="GB93" s="148"/>
      <c r="GC93" s="148"/>
      <c r="GD93" s="148"/>
      <c r="GE93" s="148"/>
      <c r="GF93" s="148"/>
      <c r="GG93" s="148"/>
      <c r="GH93" s="148"/>
      <c r="GI93" s="148"/>
      <c r="GJ93" s="148"/>
      <c r="GK93" s="148"/>
      <c r="GL93" s="148"/>
      <c r="GM93" s="148"/>
      <c r="GN93" s="148"/>
      <c r="GO93" s="148"/>
      <c r="GP93" s="148"/>
      <c r="GQ93" s="148"/>
      <c r="GR93" s="148"/>
      <c r="GS93" s="148"/>
      <c r="GT93" s="148"/>
      <c r="GU93" s="148"/>
      <c r="GV93" s="148"/>
      <c r="GW93" s="148"/>
      <c r="GX93" s="148"/>
      <c r="GY93" s="148"/>
      <c r="GZ93" s="148"/>
      <c r="HA93" s="148"/>
      <c r="HB93" s="148"/>
      <c r="HC93" s="148"/>
      <c r="HD93" s="148"/>
      <c r="HE93" s="148"/>
      <c r="HF93" s="148"/>
      <c r="HG93" s="148"/>
      <c r="HH93" s="148"/>
      <c r="HI93" s="148"/>
      <c r="HJ93" s="148"/>
      <c r="HK93" s="148"/>
      <c r="HL93" s="148"/>
      <c r="HM93" s="148"/>
      <c r="HN93" s="148"/>
      <c r="HO93" s="148"/>
      <c r="HP93" s="148"/>
      <c r="HQ93" s="148"/>
      <c r="HR93" s="148"/>
      <c r="HS93" s="148"/>
      <c r="HT93" s="148"/>
      <c r="HU93" s="148"/>
      <c r="HV93" s="148"/>
      <c r="HW93" s="148"/>
      <c r="HX93" s="148"/>
      <c r="HY93" s="148"/>
      <c r="HZ93" s="148"/>
      <c r="IA93" s="148"/>
      <c r="IB93" s="148"/>
      <c r="IC93" s="148"/>
      <c r="ID93" s="148"/>
      <c r="IE93" s="148"/>
      <c r="IF93" s="148"/>
      <c r="IG93" s="148"/>
      <c r="IH93" s="148"/>
      <c r="II93" s="148"/>
      <c r="IJ93" s="148"/>
      <c r="IK93" s="148"/>
      <c r="IL93" s="148"/>
      <c r="IM93" s="148"/>
      <c r="IN93" s="148"/>
      <c r="IO93" s="148"/>
      <c r="IP93" s="148"/>
      <c r="IQ93" s="148"/>
      <c r="IR93" s="148"/>
      <c r="IS93" s="148"/>
      <c r="IT93" s="148"/>
      <c r="IU93" s="148"/>
      <c r="IV93" s="148"/>
      <c r="IW93" s="148"/>
      <c r="IX93" s="148"/>
      <c r="IY93" s="148"/>
      <c r="IZ93" s="148"/>
      <c r="JA93" s="148"/>
      <c r="JB93" s="148"/>
      <c r="JC93" s="148"/>
      <c r="JD93" s="148"/>
      <c r="JE93" s="148"/>
      <c r="JF93" s="148"/>
      <c r="JG93" s="148"/>
      <c r="JH93" s="148"/>
      <c r="JI93" s="148"/>
      <c r="JJ93" s="148"/>
      <c r="JK93" s="148"/>
      <c r="JL93" s="148"/>
      <c r="JM93" s="148"/>
      <c r="JN93" s="148"/>
      <c r="JO93" s="148"/>
      <c r="JP93" s="148"/>
      <c r="JQ93" s="148"/>
      <c r="JR93" s="148"/>
      <c r="JS93" s="148"/>
      <c r="JT93" s="148"/>
      <c r="JU93" s="148"/>
      <c r="JV93" s="148"/>
      <c r="JW93" s="148"/>
      <c r="JX93" s="148"/>
      <c r="JY93" s="148"/>
      <c r="JZ93" s="148"/>
      <c r="KA93" s="148"/>
      <c r="KB93" s="148"/>
      <c r="KC93" s="148"/>
      <c r="KD93" s="148"/>
      <c r="KE93" s="148"/>
      <c r="KF93" s="148"/>
      <c r="KG93" s="148"/>
      <c r="KH93" s="148"/>
      <c r="KI93" s="148"/>
      <c r="KJ93" s="148"/>
      <c r="KK93" s="148"/>
      <c r="KL93" s="148"/>
      <c r="KM93" s="148"/>
      <c r="KN93" s="148"/>
      <c r="KO93" s="148"/>
      <c r="KP93" s="148"/>
      <c r="KQ93" s="148"/>
      <c r="KR93" s="148"/>
      <c r="KS93" s="148"/>
      <c r="KT93" s="148"/>
      <c r="KU93" s="148"/>
      <c r="KV93" s="148"/>
      <c r="KW93" s="148"/>
      <c r="KX93" s="148"/>
      <c r="KY93" s="148"/>
      <c r="KZ93" s="148"/>
      <c r="LA93" s="148"/>
      <c r="LB93" s="148"/>
      <c r="LC93" s="148"/>
      <c r="LD93" s="148"/>
      <c r="LE93" s="148"/>
      <c r="LF93" s="148"/>
      <c r="LG93" s="148"/>
      <c r="LH93" s="148"/>
      <c r="LI93" s="148"/>
      <c r="LJ93" s="148"/>
      <c r="LK93" s="148"/>
      <c r="LL93" s="148"/>
      <c r="LM93" s="148"/>
      <c r="LN93" s="148"/>
      <c r="LO93" s="148"/>
      <c r="LP93" s="148"/>
      <c r="LQ93" s="148"/>
      <c r="LR93" s="148"/>
      <c r="LS93" s="148"/>
      <c r="LT93" s="148"/>
      <c r="LU93" s="148"/>
      <c r="LV93" s="148"/>
      <c r="LW93" s="148"/>
      <c r="LX93" s="148"/>
      <c r="LY93" s="148"/>
      <c r="LZ93" s="148"/>
      <c r="MA93" s="148"/>
      <c r="MB93" s="148"/>
      <c r="MC93" s="148"/>
      <c r="MD93" s="148"/>
      <c r="ME93" s="148"/>
      <c r="MF93" s="148"/>
      <c r="MG93" s="148"/>
      <c r="MH93" s="148"/>
      <c r="MI93" s="148"/>
      <c r="MJ93" s="148"/>
      <c r="MK93" s="148"/>
      <c r="ML93" s="148"/>
      <c r="MM93" s="148"/>
      <c r="MN93" s="148"/>
      <c r="MO93" s="148"/>
      <c r="MP93" s="148"/>
      <c r="MQ93" s="148"/>
      <c r="MR93" s="148"/>
      <c r="MS93" s="148"/>
      <c r="MT93" s="148"/>
      <c r="MU93" s="148"/>
      <c r="MV93" s="148"/>
      <c r="MW93" s="148"/>
      <c r="MX93" s="148"/>
      <c r="MY93" s="148"/>
      <c r="MZ93" s="148"/>
      <c r="NA93" s="148"/>
      <c r="NB93" s="148"/>
      <c r="NC93" s="148"/>
      <c r="ND93" s="148"/>
      <c r="NE93" s="148"/>
      <c r="NF93" s="148"/>
      <c r="NG93" s="148"/>
      <c r="NH93" s="148"/>
      <c r="NI93" s="148"/>
      <c r="NJ93" s="148"/>
      <c r="NK93" s="148"/>
      <c r="NL93" s="148"/>
      <c r="NM93" s="148"/>
      <c r="NN93" s="148"/>
      <c r="NO93" s="148"/>
      <c r="NP93" s="148"/>
      <c r="NQ93" s="148"/>
      <c r="NR93" s="148"/>
      <c r="NS93" s="148"/>
      <c r="NT93" s="148"/>
      <c r="NU93" s="148"/>
      <c r="NV93" s="148"/>
      <c r="NW93" s="148"/>
      <c r="NX93" s="148"/>
      <c r="NY93" s="148"/>
      <c r="NZ93" s="148"/>
      <c r="OA93" s="148"/>
      <c r="OB93" s="148"/>
      <c r="OC93" s="148"/>
      <c r="OD93" s="148"/>
      <c r="OE93" s="148"/>
      <c r="OF93" s="148"/>
      <c r="OG93" s="148"/>
      <c r="OH93" s="148"/>
      <c r="OI93" s="148"/>
      <c r="OJ93" s="148"/>
      <c r="OK93" s="148"/>
      <c r="OL93" s="148"/>
      <c r="OM93" s="148"/>
      <c r="ON93" s="148"/>
      <c r="OO93" s="148"/>
      <c r="OP93" s="148"/>
      <c r="OQ93" s="148"/>
      <c r="OR93" s="148"/>
      <c r="OS93" s="148"/>
      <c r="OT93" s="148"/>
      <c r="OU93" s="148"/>
      <c r="OV93" s="148"/>
      <c r="OW93" s="148"/>
      <c r="OX93" s="148"/>
      <c r="OY93" s="148"/>
      <c r="OZ93" s="148"/>
      <c r="PA93" s="148"/>
      <c r="PB93" s="148"/>
      <c r="PC93" s="148"/>
      <c r="PD93" s="148"/>
      <c r="PE93" s="148"/>
      <c r="PF93" s="148"/>
      <c r="PG93" s="148"/>
      <c r="PH93" s="148"/>
      <c r="PI93" s="148"/>
      <c r="PJ93" s="148"/>
      <c r="PK93" s="148"/>
      <c r="PL93" s="148"/>
      <c r="PM93" s="148"/>
      <c r="PN93" s="148"/>
      <c r="PO93" s="148"/>
      <c r="PP93" s="148"/>
      <c r="PQ93" s="148"/>
      <c r="PR93" s="148"/>
      <c r="PS93" s="148"/>
      <c r="PT93" s="148"/>
      <c r="PU93" s="148"/>
      <c r="PV93" s="148"/>
      <c r="PW93" s="148"/>
      <c r="PX93" s="148"/>
      <c r="PY93" s="148"/>
      <c r="PZ93" s="148"/>
      <c r="QA93" s="148"/>
      <c r="QB93" s="148"/>
      <c r="QC93" s="148"/>
      <c r="QD93" s="148"/>
      <c r="QE93" s="148"/>
      <c r="QF93" s="148"/>
      <c r="QG93" s="148"/>
      <c r="QH93" s="148"/>
      <c r="QI93" s="148"/>
      <c r="QJ93" s="148"/>
      <c r="QK93" s="148"/>
      <c r="QL93" s="148"/>
      <c r="QM93" s="148"/>
      <c r="QN93" s="148"/>
      <c r="QO93" s="148"/>
      <c r="QP93" s="148"/>
      <c r="QQ93" s="148"/>
      <c r="QR93" s="148"/>
      <c r="QS93" s="148"/>
      <c r="QT93" s="148"/>
      <c r="QU93" s="148"/>
      <c r="QV93" s="148"/>
      <c r="QW93" s="148"/>
      <c r="QX93" s="148"/>
      <c r="QY93" s="148"/>
      <c r="QZ93" s="148"/>
      <c r="RA93" s="148"/>
      <c r="RB93" s="148"/>
      <c r="RC93" s="148"/>
      <c r="RD93" s="148"/>
      <c r="RE93" s="148"/>
      <c r="RF93" s="148"/>
      <c r="RG93" s="148"/>
      <c r="RH93" s="148"/>
      <c r="RI93" s="148"/>
      <c r="RJ93" s="148"/>
      <c r="RK93" s="148"/>
      <c r="RL93" s="148"/>
      <c r="RM93" s="148"/>
      <c r="RN93" s="148"/>
      <c r="RO93" s="148"/>
      <c r="RP93" s="148"/>
      <c r="RQ93" s="148"/>
      <c r="RR93" s="148"/>
    </row>
    <row r="94" spans="1:486" s="15" customFormat="1" hidden="1" x14ac:dyDescent="0.25">
      <c r="A94" s="148"/>
      <c r="B94" s="350">
        <v>84</v>
      </c>
      <c r="C94" s="650"/>
      <c r="D94" s="16"/>
      <c r="E94" s="344"/>
      <c r="F94" s="344"/>
      <c r="G94" s="17"/>
      <c r="H94" s="317"/>
      <c r="I94" s="346"/>
      <c r="J94" s="341"/>
      <c r="K94" s="633"/>
      <c r="L94" s="633"/>
      <c r="M94" s="633"/>
      <c r="N94" s="633"/>
      <c r="O94" s="633"/>
      <c r="P94" s="633"/>
      <c r="Q94" s="633"/>
      <c r="R94" s="633"/>
      <c r="S94" s="633"/>
      <c r="T94" s="633"/>
      <c r="U94" s="633"/>
      <c r="V94" s="633"/>
      <c r="W94" s="633"/>
      <c r="X94" s="633"/>
      <c r="Y94" s="633">
        <f t="shared" si="3"/>
        <v>0</v>
      </c>
      <c r="Z94" s="310"/>
      <c r="AA94" s="19"/>
      <c r="AB94" s="315"/>
      <c r="AC94" s="315"/>
      <c r="AD94" s="652"/>
      <c r="AE94" s="20"/>
      <c r="AF94" s="21"/>
      <c r="AG94" s="23"/>
      <c r="AH94" s="637"/>
      <c r="AI94" s="19"/>
      <c r="AJ94" s="21"/>
      <c r="AK94" s="25"/>
      <c r="AL94" s="309"/>
      <c r="AM94" s="19"/>
      <c r="AN94" s="21"/>
      <c r="AO94" s="25"/>
      <c r="AP94" s="309"/>
      <c r="AQ94" s="19"/>
      <c r="AR94" s="21"/>
      <c r="AS94" s="25"/>
      <c r="AT94" s="638">
        <f t="shared" si="4"/>
        <v>0</v>
      </c>
      <c r="AU94" s="311">
        <f t="shared" si="0"/>
        <v>0</v>
      </c>
      <c r="AV94" s="148"/>
      <c r="AW94" s="148"/>
      <c r="AX94" s="148"/>
      <c r="AY94" s="148"/>
      <c r="AZ94" s="148"/>
      <c r="BA94" s="148"/>
      <c r="BB94" s="148"/>
      <c r="BC94" s="148"/>
      <c r="BD94" s="148"/>
      <c r="BE94" s="148"/>
      <c r="BF94" s="148"/>
      <c r="BG94" s="148"/>
      <c r="BH94" s="148"/>
      <c r="BI94" s="148"/>
      <c r="BJ94" s="148"/>
      <c r="BK94" s="148"/>
      <c r="BL94" s="148"/>
      <c r="BM94" s="148"/>
      <c r="BN94" s="148"/>
      <c r="BO94" s="148"/>
      <c r="BP94" s="148"/>
      <c r="BQ94" s="148"/>
      <c r="BR94" s="148"/>
      <c r="BS94" s="148"/>
      <c r="BT94" s="148"/>
      <c r="BU94" s="148"/>
      <c r="BV94" s="148"/>
      <c r="BW94" s="148"/>
      <c r="BX94" s="148"/>
      <c r="BY94" s="148"/>
      <c r="BZ94" s="148"/>
      <c r="CA94" s="148"/>
      <c r="CB94" s="148"/>
      <c r="CC94" s="148"/>
      <c r="CD94" s="148"/>
      <c r="CE94" s="148"/>
      <c r="CF94" s="148"/>
      <c r="CG94" s="148"/>
      <c r="CH94" s="148"/>
      <c r="CI94" s="148"/>
      <c r="CJ94" s="148"/>
      <c r="CK94" s="148"/>
      <c r="CL94" s="148"/>
      <c r="CM94" s="148"/>
      <c r="CN94" s="148"/>
      <c r="CO94" s="148"/>
      <c r="CP94" s="148"/>
      <c r="CQ94" s="148"/>
      <c r="CR94" s="148"/>
      <c r="CS94" s="148"/>
      <c r="CT94" s="148"/>
      <c r="CU94" s="148"/>
      <c r="CV94" s="148"/>
      <c r="CW94" s="148"/>
      <c r="CX94" s="148"/>
      <c r="CY94" s="148"/>
      <c r="CZ94" s="148"/>
      <c r="DA94" s="148"/>
      <c r="DB94" s="148"/>
      <c r="DC94" s="148"/>
      <c r="DD94" s="148"/>
      <c r="DE94" s="148"/>
      <c r="DF94" s="148"/>
      <c r="DG94" s="148"/>
      <c r="DH94" s="148"/>
      <c r="DI94" s="148"/>
      <c r="DJ94" s="148"/>
      <c r="DK94" s="148"/>
      <c r="DL94" s="148"/>
      <c r="DM94" s="148"/>
      <c r="DN94" s="148"/>
      <c r="DO94" s="148"/>
      <c r="DP94" s="148"/>
      <c r="DQ94" s="148"/>
      <c r="DR94" s="148"/>
      <c r="DS94" s="148"/>
      <c r="DT94" s="148"/>
      <c r="DU94" s="148"/>
      <c r="DV94" s="148"/>
      <c r="DW94" s="148"/>
      <c r="DX94" s="148"/>
      <c r="DY94" s="148"/>
      <c r="DZ94" s="148"/>
      <c r="EA94" s="148"/>
      <c r="EB94" s="148"/>
      <c r="EC94" s="148"/>
      <c r="ED94" s="148"/>
      <c r="EE94" s="148"/>
      <c r="EF94" s="148"/>
      <c r="EG94" s="148"/>
      <c r="EH94" s="148"/>
      <c r="EI94" s="148"/>
      <c r="EJ94" s="148"/>
      <c r="EK94" s="148"/>
      <c r="EL94" s="148"/>
      <c r="EM94" s="148"/>
      <c r="EN94" s="148"/>
      <c r="EO94" s="148"/>
      <c r="EP94" s="148"/>
      <c r="EQ94" s="148"/>
      <c r="ER94" s="148"/>
      <c r="ES94" s="148"/>
      <c r="ET94" s="148"/>
      <c r="EU94" s="148"/>
      <c r="EV94" s="148"/>
      <c r="EW94" s="148"/>
      <c r="EX94" s="148"/>
      <c r="EY94" s="148"/>
      <c r="EZ94" s="148"/>
      <c r="FA94" s="148"/>
      <c r="FB94" s="148"/>
      <c r="FC94" s="148"/>
      <c r="FD94" s="148"/>
      <c r="FE94" s="148"/>
      <c r="FF94" s="148"/>
      <c r="FG94" s="148"/>
      <c r="FH94" s="148"/>
      <c r="FI94" s="148"/>
      <c r="FJ94" s="148"/>
      <c r="FK94" s="148"/>
      <c r="FL94" s="148"/>
      <c r="FM94" s="148"/>
      <c r="FN94" s="148"/>
      <c r="FO94" s="148"/>
      <c r="FP94" s="148"/>
      <c r="FQ94" s="148"/>
      <c r="FR94" s="148"/>
      <c r="FS94" s="148"/>
      <c r="FT94" s="148"/>
      <c r="FU94" s="148"/>
      <c r="FV94" s="148"/>
      <c r="FW94" s="148"/>
      <c r="FX94" s="148"/>
      <c r="FY94" s="148"/>
      <c r="FZ94" s="148"/>
      <c r="GA94" s="148"/>
      <c r="GB94" s="148"/>
      <c r="GC94" s="148"/>
      <c r="GD94" s="148"/>
      <c r="GE94" s="148"/>
      <c r="GF94" s="148"/>
      <c r="GG94" s="148"/>
      <c r="GH94" s="148"/>
      <c r="GI94" s="148"/>
      <c r="GJ94" s="148"/>
      <c r="GK94" s="148"/>
      <c r="GL94" s="148"/>
      <c r="GM94" s="148"/>
      <c r="GN94" s="148"/>
      <c r="GO94" s="148"/>
      <c r="GP94" s="148"/>
      <c r="GQ94" s="148"/>
      <c r="GR94" s="148"/>
      <c r="GS94" s="148"/>
      <c r="GT94" s="148"/>
      <c r="GU94" s="148"/>
      <c r="GV94" s="148"/>
      <c r="GW94" s="148"/>
      <c r="GX94" s="148"/>
      <c r="GY94" s="148"/>
      <c r="GZ94" s="148"/>
      <c r="HA94" s="148"/>
      <c r="HB94" s="148"/>
      <c r="HC94" s="148"/>
      <c r="HD94" s="148"/>
      <c r="HE94" s="148"/>
      <c r="HF94" s="148"/>
      <c r="HG94" s="148"/>
      <c r="HH94" s="148"/>
      <c r="HI94" s="148"/>
      <c r="HJ94" s="148"/>
      <c r="HK94" s="148"/>
      <c r="HL94" s="148"/>
      <c r="HM94" s="148"/>
      <c r="HN94" s="148"/>
      <c r="HO94" s="148"/>
      <c r="HP94" s="148"/>
      <c r="HQ94" s="148"/>
      <c r="HR94" s="148"/>
      <c r="HS94" s="148"/>
      <c r="HT94" s="148"/>
      <c r="HU94" s="148"/>
      <c r="HV94" s="148"/>
      <c r="HW94" s="148"/>
      <c r="HX94" s="148"/>
      <c r="HY94" s="148"/>
      <c r="HZ94" s="148"/>
      <c r="IA94" s="148"/>
      <c r="IB94" s="148"/>
      <c r="IC94" s="148"/>
      <c r="ID94" s="148"/>
      <c r="IE94" s="148"/>
      <c r="IF94" s="148"/>
      <c r="IG94" s="148"/>
      <c r="IH94" s="148"/>
      <c r="II94" s="148"/>
      <c r="IJ94" s="148"/>
      <c r="IK94" s="148"/>
      <c r="IL94" s="148"/>
      <c r="IM94" s="148"/>
      <c r="IN94" s="148"/>
      <c r="IO94" s="148"/>
      <c r="IP94" s="148"/>
      <c r="IQ94" s="148"/>
      <c r="IR94" s="148"/>
      <c r="IS94" s="148"/>
      <c r="IT94" s="148"/>
      <c r="IU94" s="148"/>
      <c r="IV94" s="148"/>
      <c r="IW94" s="148"/>
      <c r="IX94" s="148"/>
      <c r="IY94" s="148"/>
      <c r="IZ94" s="148"/>
      <c r="JA94" s="148"/>
      <c r="JB94" s="148"/>
      <c r="JC94" s="148"/>
      <c r="JD94" s="148"/>
      <c r="JE94" s="148"/>
      <c r="JF94" s="148"/>
      <c r="JG94" s="148"/>
      <c r="JH94" s="148"/>
      <c r="JI94" s="148"/>
      <c r="JJ94" s="148"/>
      <c r="JK94" s="148"/>
      <c r="JL94" s="148"/>
      <c r="JM94" s="148"/>
      <c r="JN94" s="148"/>
      <c r="JO94" s="148"/>
      <c r="JP94" s="148"/>
      <c r="JQ94" s="148"/>
      <c r="JR94" s="148"/>
      <c r="JS94" s="148"/>
      <c r="JT94" s="148"/>
      <c r="JU94" s="148"/>
      <c r="JV94" s="148"/>
      <c r="JW94" s="148"/>
      <c r="JX94" s="148"/>
      <c r="JY94" s="148"/>
      <c r="JZ94" s="148"/>
      <c r="KA94" s="148"/>
      <c r="KB94" s="148"/>
      <c r="KC94" s="148"/>
      <c r="KD94" s="148"/>
      <c r="KE94" s="148"/>
      <c r="KF94" s="148"/>
      <c r="KG94" s="148"/>
      <c r="KH94" s="148"/>
      <c r="KI94" s="148"/>
      <c r="KJ94" s="148"/>
      <c r="KK94" s="148"/>
      <c r="KL94" s="148"/>
      <c r="KM94" s="148"/>
      <c r="KN94" s="148"/>
      <c r="KO94" s="148"/>
      <c r="KP94" s="148"/>
      <c r="KQ94" s="148"/>
      <c r="KR94" s="148"/>
      <c r="KS94" s="148"/>
      <c r="KT94" s="148"/>
      <c r="KU94" s="148"/>
      <c r="KV94" s="148"/>
      <c r="KW94" s="148"/>
      <c r="KX94" s="148"/>
      <c r="KY94" s="148"/>
      <c r="KZ94" s="148"/>
      <c r="LA94" s="148"/>
      <c r="LB94" s="148"/>
      <c r="LC94" s="148"/>
      <c r="LD94" s="148"/>
      <c r="LE94" s="148"/>
      <c r="LF94" s="148"/>
      <c r="LG94" s="148"/>
      <c r="LH94" s="148"/>
      <c r="LI94" s="148"/>
      <c r="LJ94" s="148"/>
      <c r="LK94" s="148"/>
      <c r="LL94" s="148"/>
      <c r="LM94" s="148"/>
      <c r="LN94" s="148"/>
      <c r="LO94" s="148"/>
      <c r="LP94" s="148"/>
      <c r="LQ94" s="148"/>
      <c r="LR94" s="148"/>
      <c r="LS94" s="148"/>
      <c r="LT94" s="148"/>
      <c r="LU94" s="148"/>
      <c r="LV94" s="148"/>
      <c r="LW94" s="148"/>
      <c r="LX94" s="148"/>
      <c r="LY94" s="148"/>
      <c r="LZ94" s="148"/>
      <c r="MA94" s="148"/>
      <c r="MB94" s="148"/>
      <c r="MC94" s="148"/>
      <c r="MD94" s="148"/>
      <c r="ME94" s="148"/>
      <c r="MF94" s="148"/>
      <c r="MG94" s="148"/>
      <c r="MH94" s="148"/>
      <c r="MI94" s="148"/>
      <c r="MJ94" s="148"/>
      <c r="MK94" s="148"/>
      <c r="ML94" s="148"/>
      <c r="MM94" s="148"/>
      <c r="MN94" s="148"/>
      <c r="MO94" s="148"/>
      <c r="MP94" s="148"/>
      <c r="MQ94" s="148"/>
      <c r="MR94" s="148"/>
      <c r="MS94" s="148"/>
      <c r="MT94" s="148"/>
      <c r="MU94" s="148"/>
      <c r="MV94" s="148"/>
      <c r="MW94" s="148"/>
      <c r="MX94" s="148"/>
      <c r="MY94" s="148"/>
      <c r="MZ94" s="148"/>
      <c r="NA94" s="148"/>
      <c r="NB94" s="148"/>
      <c r="NC94" s="148"/>
      <c r="ND94" s="148"/>
      <c r="NE94" s="148"/>
      <c r="NF94" s="148"/>
      <c r="NG94" s="148"/>
      <c r="NH94" s="148"/>
      <c r="NI94" s="148"/>
      <c r="NJ94" s="148"/>
      <c r="NK94" s="148"/>
      <c r="NL94" s="148"/>
      <c r="NM94" s="148"/>
      <c r="NN94" s="148"/>
      <c r="NO94" s="148"/>
      <c r="NP94" s="148"/>
      <c r="NQ94" s="148"/>
      <c r="NR94" s="148"/>
      <c r="NS94" s="148"/>
      <c r="NT94" s="148"/>
      <c r="NU94" s="148"/>
      <c r="NV94" s="148"/>
      <c r="NW94" s="148"/>
      <c r="NX94" s="148"/>
      <c r="NY94" s="148"/>
      <c r="NZ94" s="148"/>
      <c r="OA94" s="148"/>
      <c r="OB94" s="148"/>
      <c r="OC94" s="148"/>
      <c r="OD94" s="148"/>
      <c r="OE94" s="148"/>
      <c r="OF94" s="148"/>
      <c r="OG94" s="148"/>
      <c r="OH94" s="148"/>
      <c r="OI94" s="148"/>
      <c r="OJ94" s="148"/>
      <c r="OK94" s="148"/>
      <c r="OL94" s="148"/>
      <c r="OM94" s="148"/>
      <c r="ON94" s="148"/>
      <c r="OO94" s="148"/>
      <c r="OP94" s="148"/>
      <c r="OQ94" s="148"/>
      <c r="OR94" s="148"/>
      <c r="OS94" s="148"/>
      <c r="OT94" s="148"/>
      <c r="OU94" s="148"/>
      <c r="OV94" s="148"/>
      <c r="OW94" s="148"/>
      <c r="OX94" s="148"/>
      <c r="OY94" s="148"/>
      <c r="OZ94" s="148"/>
      <c r="PA94" s="148"/>
      <c r="PB94" s="148"/>
      <c r="PC94" s="148"/>
      <c r="PD94" s="148"/>
      <c r="PE94" s="148"/>
      <c r="PF94" s="148"/>
      <c r="PG94" s="148"/>
      <c r="PH94" s="148"/>
      <c r="PI94" s="148"/>
      <c r="PJ94" s="148"/>
      <c r="PK94" s="148"/>
      <c r="PL94" s="148"/>
      <c r="PM94" s="148"/>
      <c r="PN94" s="148"/>
      <c r="PO94" s="148"/>
      <c r="PP94" s="148"/>
      <c r="PQ94" s="148"/>
      <c r="PR94" s="148"/>
      <c r="PS94" s="148"/>
      <c r="PT94" s="148"/>
      <c r="PU94" s="148"/>
      <c r="PV94" s="148"/>
      <c r="PW94" s="148"/>
      <c r="PX94" s="148"/>
      <c r="PY94" s="148"/>
      <c r="PZ94" s="148"/>
      <c r="QA94" s="148"/>
      <c r="QB94" s="148"/>
      <c r="QC94" s="148"/>
      <c r="QD94" s="148"/>
      <c r="QE94" s="148"/>
      <c r="QF94" s="148"/>
      <c r="QG94" s="148"/>
      <c r="QH94" s="148"/>
      <c r="QI94" s="148"/>
      <c r="QJ94" s="148"/>
      <c r="QK94" s="148"/>
      <c r="QL94" s="148"/>
      <c r="QM94" s="148"/>
      <c r="QN94" s="148"/>
      <c r="QO94" s="148"/>
      <c r="QP94" s="148"/>
      <c r="QQ94" s="148"/>
      <c r="QR94" s="148"/>
      <c r="QS94" s="148"/>
      <c r="QT94" s="148"/>
      <c r="QU94" s="148"/>
      <c r="QV94" s="148"/>
      <c r="QW94" s="148"/>
      <c r="QX94" s="148"/>
      <c r="QY94" s="148"/>
      <c r="QZ94" s="148"/>
      <c r="RA94" s="148"/>
      <c r="RB94" s="148"/>
      <c r="RC94" s="148"/>
      <c r="RD94" s="148"/>
      <c r="RE94" s="148"/>
      <c r="RF94" s="148"/>
      <c r="RG94" s="148"/>
      <c r="RH94" s="148"/>
      <c r="RI94" s="148"/>
      <c r="RJ94" s="148"/>
      <c r="RK94" s="148"/>
      <c r="RL94" s="148"/>
      <c r="RM94" s="148"/>
      <c r="RN94" s="148"/>
      <c r="RO94" s="148"/>
      <c r="RP94" s="148"/>
      <c r="RQ94" s="148"/>
      <c r="RR94" s="148"/>
    </row>
    <row r="95" spans="1:486" s="15" customFormat="1" hidden="1" x14ac:dyDescent="0.25">
      <c r="A95" s="148"/>
      <c r="B95" s="350">
        <v>85</v>
      </c>
      <c r="C95" s="650"/>
      <c r="D95" s="16"/>
      <c r="E95" s="344"/>
      <c r="F95" s="344"/>
      <c r="G95" s="17"/>
      <c r="H95" s="317"/>
      <c r="I95" s="346"/>
      <c r="J95" s="341"/>
      <c r="K95" s="633"/>
      <c r="L95" s="633"/>
      <c r="M95" s="633"/>
      <c r="N95" s="633"/>
      <c r="O95" s="633"/>
      <c r="P95" s="633"/>
      <c r="Q95" s="633"/>
      <c r="R95" s="633"/>
      <c r="S95" s="633"/>
      <c r="T95" s="633"/>
      <c r="U95" s="633"/>
      <c r="V95" s="633"/>
      <c r="W95" s="633"/>
      <c r="X95" s="633"/>
      <c r="Y95" s="633">
        <f t="shared" si="3"/>
        <v>0</v>
      </c>
      <c r="Z95" s="310"/>
      <c r="AA95" s="19"/>
      <c r="AB95" s="315"/>
      <c r="AC95" s="315"/>
      <c r="AD95" s="652"/>
      <c r="AE95" s="20"/>
      <c r="AF95" s="21"/>
      <c r="AG95" s="23"/>
      <c r="AH95" s="637"/>
      <c r="AI95" s="19"/>
      <c r="AJ95" s="21"/>
      <c r="AK95" s="25"/>
      <c r="AL95" s="309"/>
      <c r="AM95" s="19"/>
      <c r="AN95" s="21"/>
      <c r="AO95" s="25"/>
      <c r="AP95" s="309"/>
      <c r="AQ95" s="19"/>
      <c r="AR95" s="21"/>
      <c r="AS95" s="25"/>
      <c r="AT95" s="638">
        <f t="shared" si="4"/>
        <v>0</v>
      </c>
      <c r="AU95" s="311">
        <f t="shared" si="0"/>
        <v>0</v>
      </c>
      <c r="AV95" s="148"/>
      <c r="AW95" s="148"/>
      <c r="AX95" s="148"/>
      <c r="AY95" s="148"/>
      <c r="AZ95" s="148"/>
      <c r="BA95" s="148"/>
      <c r="BB95" s="148"/>
      <c r="BC95" s="148"/>
      <c r="BD95" s="148"/>
      <c r="BE95" s="148"/>
      <c r="BF95" s="148"/>
      <c r="BG95" s="148"/>
      <c r="BH95" s="148"/>
      <c r="BI95" s="148"/>
      <c r="BJ95" s="148"/>
      <c r="BK95" s="148"/>
      <c r="BL95" s="148"/>
      <c r="BM95" s="148"/>
      <c r="BN95" s="148"/>
      <c r="BO95" s="148"/>
      <c r="BP95" s="148"/>
      <c r="BQ95" s="148"/>
      <c r="BR95" s="148"/>
      <c r="BS95" s="148"/>
      <c r="BT95" s="148"/>
      <c r="BU95" s="148"/>
      <c r="BV95" s="148"/>
      <c r="BW95" s="148"/>
      <c r="BX95" s="148"/>
      <c r="BY95" s="148"/>
      <c r="BZ95" s="148"/>
      <c r="CA95" s="148"/>
      <c r="CB95" s="148"/>
      <c r="CC95" s="148"/>
      <c r="CD95" s="148"/>
      <c r="CE95" s="148"/>
      <c r="CF95" s="148"/>
      <c r="CG95" s="148"/>
      <c r="CH95" s="148"/>
      <c r="CI95" s="148"/>
      <c r="CJ95" s="148"/>
      <c r="CK95" s="148"/>
      <c r="CL95" s="148"/>
      <c r="CM95" s="148"/>
      <c r="CN95" s="148"/>
      <c r="CO95" s="148"/>
      <c r="CP95" s="148"/>
      <c r="CQ95" s="148"/>
      <c r="CR95" s="148"/>
      <c r="CS95" s="148"/>
      <c r="CT95" s="148"/>
      <c r="CU95" s="148"/>
      <c r="CV95" s="148"/>
      <c r="CW95" s="148"/>
      <c r="CX95" s="148"/>
      <c r="CY95" s="148"/>
      <c r="CZ95" s="148"/>
      <c r="DA95" s="148"/>
      <c r="DB95" s="148"/>
      <c r="DC95" s="148"/>
      <c r="DD95" s="148"/>
      <c r="DE95" s="148"/>
      <c r="DF95" s="148"/>
      <c r="DG95" s="148"/>
      <c r="DH95" s="148"/>
      <c r="DI95" s="148"/>
      <c r="DJ95" s="148"/>
      <c r="DK95" s="148"/>
      <c r="DL95" s="148"/>
      <c r="DM95" s="148"/>
      <c r="DN95" s="148"/>
      <c r="DO95" s="148"/>
      <c r="DP95" s="148"/>
      <c r="DQ95" s="148"/>
      <c r="DR95" s="148"/>
      <c r="DS95" s="148"/>
      <c r="DT95" s="148"/>
      <c r="DU95" s="148"/>
      <c r="DV95" s="148"/>
      <c r="DW95" s="148"/>
      <c r="DX95" s="148"/>
      <c r="DY95" s="148"/>
      <c r="DZ95" s="148"/>
      <c r="EA95" s="148"/>
      <c r="EB95" s="148"/>
      <c r="EC95" s="148"/>
      <c r="ED95" s="148"/>
      <c r="EE95" s="148"/>
      <c r="EF95" s="148"/>
      <c r="EG95" s="148"/>
      <c r="EH95" s="148"/>
      <c r="EI95" s="148"/>
      <c r="EJ95" s="148"/>
      <c r="EK95" s="148"/>
      <c r="EL95" s="148"/>
      <c r="EM95" s="148"/>
      <c r="EN95" s="148"/>
      <c r="EO95" s="148"/>
      <c r="EP95" s="148"/>
      <c r="EQ95" s="148"/>
      <c r="ER95" s="148"/>
      <c r="ES95" s="148"/>
      <c r="ET95" s="148"/>
      <c r="EU95" s="148"/>
      <c r="EV95" s="148"/>
      <c r="EW95" s="148"/>
      <c r="EX95" s="148"/>
      <c r="EY95" s="148"/>
      <c r="EZ95" s="148"/>
      <c r="FA95" s="148"/>
      <c r="FB95" s="148"/>
      <c r="FC95" s="148"/>
      <c r="FD95" s="148"/>
      <c r="FE95" s="148"/>
      <c r="FF95" s="148"/>
      <c r="FG95" s="148"/>
      <c r="FH95" s="148"/>
      <c r="FI95" s="148"/>
      <c r="FJ95" s="148"/>
      <c r="FK95" s="148"/>
      <c r="FL95" s="148"/>
      <c r="FM95" s="148"/>
      <c r="FN95" s="148"/>
      <c r="FO95" s="148"/>
      <c r="FP95" s="148"/>
      <c r="FQ95" s="148"/>
      <c r="FR95" s="148"/>
      <c r="FS95" s="148"/>
      <c r="FT95" s="148"/>
      <c r="FU95" s="148"/>
      <c r="FV95" s="148"/>
      <c r="FW95" s="148"/>
      <c r="FX95" s="148"/>
      <c r="FY95" s="148"/>
      <c r="FZ95" s="148"/>
      <c r="GA95" s="148"/>
      <c r="GB95" s="148"/>
      <c r="GC95" s="148"/>
      <c r="GD95" s="148"/>
      <c r="GE95" s="148"/>
      <c r="GF95" s="148"/>
      <c r="GG95" s="148"/>
      <c r="GH95" s="148"/>
      <c r="GI95" s="148"/>
      <c r="GJ95" s="148"/>
      <c r="GK95" s="148"/>
      <c r="GL95" s="148"/>
      <c r="GM95" s="148"/>
      <c r="GN95" s="148"/>
      <c r="GO95" s="148"/>
      <c r="GP95" s="148"/>
      <c r="GQ95" s="148"/>
      <c r="GR95" s="148"/>
      <c r="GS95" s="148"/>
      <c r="GT95" s="148"/>
      <c r="GU95" s="148"/>
      <c r="GV95" s="148"/>
      <c r="GW95" s="148"/>
      <c r="GX95" s="148"/>
      <c r="GY95" s="148"/>
      <c r="GZ95" s="148"/>
      <c r="HA95" s="148"/>
      <c r="HB95" s="148"/>
      <c r="HC95" s="148"/>
      <c r="HD95" s="148"/>
      <c r="HE95" s="148"/>
      <c r="HF95" s="148"/>
      <c r="HG95" s="148"/>
      <c r="HH95" s="148"/>
      <c r="HI95" s="148"/>
      <c r="HJ95" s="148"/>
      <c r="HK95" s="148"/>
      <c r="HL95" s="148"/>
      <c r="HM95" s="148"/>
      <c r="HN95" s="148"/>
      <c r="HO95" s="148"/>
      <c r="HP95" s="148"/>
      <c r="HQ95" s="148"/>
      <c r="HR95" s="148"/>
      <c r="HS95" s="148"/>
      <c r="HT95" s="148"/>
      <c r="HU95" s="148"/>
      <c r="HV95" s="148"/>
      <c r="HW95" s="148"/>
      <c r="HX95" s="148"/>
      <c r="HY95" s="148"/>
      <c r="HZ95" s="148"/>
      <c r="IA95" s="148"/>
      <c r="IB95" s="148"/>
      <c r="IC95" s="148"/>
      <c r="ID95" s="148"/>
      <c r="IE95" s="148"/>
      <c r="IF95" s="148"/>
      <c r="IG95" s="148"/>
      <c r="IH95" s="148"/>
      <c r="II95" s="148"/>
      <c r="IJ95" s="148"/>
      <c r="IK95" s="148"/>
      <c r="IL95" s="148"/>
      <c r="IM95" s="148"/>
      <c r="IN95" s="148"/>
      <c r="IO95" s="148"/>
      <c r="IP95" s="148"/>
      <c r="IQ95" s="148"/>
      <c r="IR95" s="148"/>
      <c r="IS95" s="148"/>
      <c r="IT95" s="148"/>
      <c r="IU95" s="148"/>
      <c r="IV95" s="148"/>
      <c r="IW95" s="148"/>
      <c r="IX95" s="148"/>
      <c r="IY95" s="148"/>
      <c r="IZ95" s="148"/>
      <c r="JA95" s="148"/>
      <c r="JB95" s="148"/>
      <c r="JC95" s="148"/>
      <c r="JD95" s="148"/>
      <c r="JE95" s="148"/>
      <c r="JF95" s="148"/>
      <c r="JG95" s="148"/>
      <c r="JH95" s="148"/>
      <c r="JI95" s="148"/>
      <c r="JJ95" s="148"/>
      <c r="JK95" s="148"/>
      <c r="JL95" s="148"/>
      <c r="JM95" s="148"/>
      <c r="JN95" s="148"/>
      <c r="JO95" s="148"/>
      <c r="JP95" s="148"/>
      <c r="JQ95" s="148"/>
      <c r="JR95" s="148"/>
      <c r="JS95" s="148"/>
      <c r="JT95" s="148"/>
      <c r="JU95" s="148"/>
      <c r="JV95" s="148"/>
      <c r="JW95" s="148"/>
      <c r="JX95" s="148"/>
      <c r="JY95" s="148"/>
      <c r="JZ95" s="148"/>
      <c r="KA95" s="148"/>
      <c r="KB95" s="148"/>
      <c r="KC95" s="148"/>
      <c r="KD95" s="148"/>
      <c r="KE95" s="148"/>
      <c r="KF95" s="148"/>
      <c r="KG95" s="148"/>
      <c r="KH95" s="148"/>
      <c r="KI95" s="148"/>
      <c r="KJ95" s="148"/>
      <c r="KK95" s="148"/>
      <c r="KL95" s="148"/>
      <c r="KM95" s="148"/>
      <c r="KN95" s="148"/>
      <c r="KO95" s="148"/>
      <c r="KP95" s="148"/>
      <c r="KQ95" s="148"/>
      <c r="KR95" s="148"/>
      <c r="KS95" s="148"/>
      <c r="KT95" s="148"/>
      <c r="KU95" s="148"/>
      <c r="KV95" s="148"/>
      <c r="KW95" s="148"/>
      <c r="KX95" s="148"/>
      <c r="KY95" s="148"/>
      <c r="KZ95" s="148"/>
      <c r="LA95" s="148"/>
      <c r="LB95" s="148"/>
      <c r="LC95" s="148"/>
      <c r="LD95" s="148"/>
      <c r="LE95" s="148"/>
      <c r="LF95" s="148"/>
      <c r="LG95" s="148"/>
      <c r="LH95" s="148"/>
      <c r="LI95" s="148"/>
      <c r="LJ95" s="148"/>
      <c r="LK95" s="148"/>
      <c r="LL95" s="148"/>
      <c r="LM95" s="148"/>
      <c r="LN95" s="148"/>
      <c r="LO95" s="148"/>
      <c r="LP95" s="148"/>
      <c r="LQ95" s="148"/>
      <c r="LR95" s="148"/>
      <c r="LS95" s="148"/>
      <c r="LT95" s="148"/>
      <c r="LU95" s="148"/>
      <c r="LV95" s="148"/>
      <c r="LW95" s="148"/>
      <c r="LX95" s="148"/>
      <c r="LY95" s="148"/>
      <c r="LZ95" s="148"/>
      <c r="MA95" s="148"/>
      <c r="MB95" s="148"/>
      <c r="MC95" s="148"/>
      <c r="MD95" s="148"/>
      <c r="ME95" s="148"/>
      <c r="MF95" s="148"/>
      <c r="MG95" s="148"/>
      <c r="MH95" s="148"/>
      <c r="MI95" s="148"/>
      <c r="MJ95" s="148"/>
      <c r="MK95" s="148"/>
      <c r="ML95" s="148"/>
      <c r="MM95" s="148"/>
      <c r="MN95" s="148"/>
      <c r="MO95" s="148"/>
      <c r="MP95" s="148"/>
      <c r="MQ95" s="148"/>
      <c r="MR95" s="148"/>
      <c r="MS95" s="148"/>
      <c r="MT95" s="148"/>
      <c r="MU95" s="148"/>
      <c r="MV95" s="148"/>
      <c r="MW95" s="148"/>
      <c r="MX95" s="148"/>
      <c r="MY95" s="148"/>
      <c r="MZ95" s="148"/>
      <c r="NA95" s="148"/>
      <c r="NB95" s="148"/>
      <c r="NC95" s="148"/>
      <c r="ND95" s="148"/>
      <c r="NE95" s="148"/>
      <c r="NF95" s="148"/>
      <c r="NG95" s="148"/>
      <c r="NH95" s="148"/>
      <c r="NI95" s="148"/>
      <c r="NJ95" s="148"/>
      <c r="NK95" s="148"/>
      <c r="NL95" s="148"/>
      <c r="NM95" s="148"/>
      <c r="NN95" s="148"/>
      <c r="NO95" s="148"/>
      <c r="NP95" s="148"/>
      <c r="NQ95" s="148"/>
      <c r="NR95" s="148"/>
      <c r="NS95" s="148"/>
      <c r="NT95" s="148"/>
      <c r="NU95" s="148"/>
      <c r="NV95" s="148"/>
      <c r="NW95" s="148"/>
      <c r="NX95" s="148"/>
      <c r="NY95" s="148"/>
      <c r="NZ95" s="148"/>
      <c r="OA95" s="148"/>
      <c r="OB95" s="148"/>
      <c r="OC95" s="148"/>
      <c r="OD95" s="148"/>
      <c r="OE95" s="148"/>
      <c r="OF95" s="148"/>
      <c r="OG95" s="148"/>
      <c r="OH95" s="148"/>
      <c r="OI95" s="148"/>
      <c r="OJ95" s="148"/>
      <c r="OK95" s="148"/>
      <c r="OL95" s="148"/>
      <c r="OM95" s="148"/>
      <c r="ON95" s="148"/>
      <c r="OO95" s="148"/>
      <c r="OP95" s="148"/>
      <c r="OQ95" s="148"/>
      <c r="OR95" s="148"/>
      <c r="OS95" s="148"/>
      <c r="OT95" s="148"/>
      <c r="OU95" s="148"/>
      <c r="OV95" s="148"/>
      <c r="OW95" s="148"/>
      <c r="OX95" s="148"/>
      <c r="OY95" s="148"/>
      <c r="OZ95" s="148"/>
      <c r="PA95" s="148"/>
      <c r="PB95" s="148"/>
      <c r="PC95" s="148"/>
      <c r="PD95" s="148"/>
      <c r="PE95" s="148"/>
      <c r="PF95" s="148"/>
      <c r="PG95" s="148"/>
      <c r="PH95" s="148"/>
      <c r="PI95" s="148"/>
      <c r="PJ95" s="148"/>
      <c r="PK95" s="148"/>
      <c r="PL95" s="148"/>
      <c r="PM95" s="148"/>
      <c r="PN95" s="148"/>
      <c r="PO95" s="148"/>
      <c r="PP95" s="148"/>
      <c r="PQ95" s="148"/>
      <c r="PR95" s="148"/>
      <c r="PS95" s="148"/>
      <c r="PT95" s="148"/>
      <c r="PU95" s="148"/>
      <c r="PV95" s="148"/>
      <c r="PW95" s="148"/>
      <c r="PX95" s="148"/>
      <c r="PY95" s="148"/>
      <c r="PZ95" s="148"/>
      <c r="QA95" s="148"/>
      <c r="QB95" s="148"/>
      <c r="QC95" s="148"/>
      <c r="QD95" s="148"/>
      <c r="QE95" s="148"/>
      <c r="QF95" s="148"/>
      <c r="QG95" s="148"/>
      <c r="QH95" s="148"/>
      <c r="QI95" s="148"/>
      <c r="QJ95" s="148"/>
      <c r="QK95" s="148"/>
      <c r="QL95" s="148"/>
      <c r="QM95" s="148"/>
      <c r="QN95" s="148"/>
      <c r="QO95" s="148"/>
      <c r="QP95" s="148"/>
      <c r="QQ95" s="148"/>
      <c r="QR95" s="148"/>
      <c r="QS95" s="148"/>
      <c r="QT95" s="148"/>
      <c r="QU95" s="148"/>
      <c r="QV95" s="148"/>
      <c r="QW95" s="148"/>
      <c r="QX95" s="148"/>
      <c r="QY95" s="148"/>
      <c r="QZ95" s="148"/>
      <c r="RA95" s="148"/>
      <c r="RB95" s="148"/>
      <c r="RC95" s="148"/>
      <c r="RD95" s="148"/>
      <c r="RE95" s="148"/>
      <c r="RF95" s="148"/>
      <c r="RG95" s="148"/>
      <c r="RH95" s="148"/>
      <c r="RI95" s="148"/>
      <c r="RJ95" s="148"/>
      <c r="RK95" s="148"/>
      <c r="RL95" s="148"/>
      <c r="RM95" s="148"/>
      <c r="RN95" s="148"/>
      <c r="RO95" s="148"/>
      <c r="RP95" s="148"/>
      <c r="RQ95" s="148"/>
      <c r="RR95" s="148"/>
    </row>
    <row r="96" spans="1:486" s="15" customFormat="1" hidden="1" x14ac:dyDescent="0.25">
      <c r="A96" s="148"/>
      <c r="B96" s="350">
        <v>86</v>
      </c>
      <c r="C96" s="650"/>
      <c r="D96" s="16"/>
      <c r="E96" s="344"/>
      <c r="F96" s="344"/>
      <c r="G96" s="17"/>
      <c r="H96" s="317"/>
      <c r="I96" s="346"/>
      <c r="J96" s="341"/>
      <c r="K96" s="633"/>
      <c r="L96" s="633"/>
      <c r="M96" s="633"/>
      <c r="N96" s="633"/>
      <c r="O96" s="633"/>
      <c r="P96" s="633"/>
      <c r="Q96" s="633"/>
      <c r="R96" s="633"/>
      <c r="S96" s="633"/>
      <c r="T96" s="633"/>
      <c r="U96" s="633"/>
      <c r="V96" s="633"/>
      <c r="W96" s="633"/>
      <c r="X96" s="633"/>
      <c r="Y96" s="633">
        <f t="shared" si="3"/>
        <v>0</v>
      </c>
      <c r="Z96" s="310"/>
      <c r="AA96" s="19"/>
      <c r="AB96" s="315"/>
      <c r="AC96" s="315"/>
      <c r="AD96" s="652"/>
      <c r="AE96" s="20"/>
      <c r="AF96" s="21"/>
      <c r="AG96" s="23"/>
      <c r="AH96" s="637"/>
      <c r="AI96" s="19"/>
      <c r="AJ96" s="21"/>
      <c r="AK96" s="25"/>
      <c r="AL96" s="309"/>
      <c r="AM96" s="19"/>
      <c r="AN96" s="21"/>
      <c r="AO96" s="25"/>
      <c r="AP96" s="309"/>
      <c r="AQ96" s="19"/>
      <c r="AR96" s="21"/>
      <c r="AS96" s="25"/>
      <c r="AT96" s="638">
        <f t="shared" si="4"/>
        <v>0</v>
      </c>
      <c r="AU96" s="311">
        <f t="shared" si="0"/>
        <v>0</v>
      </c>
      <c r="AV96" s="148"/>
      <c r="AW96" s="148"/>
      <c r="AX96" s="148"/>
      <c r="AY96" s="148"/>
      <c r="AZ96" s="148"/>
      <c r="BA96" s="148"/>
      <c r="BB96" s="148"/>
      <c r="BC96" s="148"/>
      <c r="BD96" s="148"/>
      <c r="BE96" s="148"/>
      <c r="BF96" s="148"/>
      <c r="BG96" s="148"/>
      <c r="BH96" s="148"/>
      <c r="BI96" s="148"/>
      <c r="BJ96" s="148"/>
      <c r="BK96" s="148"/>
      <c r="BL96" s="148"/>
      <c r="BM96" s="148"/>
      <c r="BN96" s="148"/>
      <c r="BO96" s="148"/>
      <c r="BP96" s="148"/>
      <c r="BQ96" s="148"/>
      <c r="BR96" s="148"/>
      <c r="BS96" s="148"/>
      <c r="BT96" s="148"/>
      <c r="BU96" s="148"/>
      <c r="BV96" s="148"/>
      <c r="BW96" s="148"/>
      <c r="BX96" s="148"/>
      <c r="BY96" s="148"/>
      <c r="BZ96" s="148"/>
      <c r="CA96" s="148"/>
      <c r="CB96" s="148"/>
      <c r="CC96" s="148"/>
      <c r="CD96" s="148"/>
      <c r="CE96" s="148"/>
      <c r="CF96" s="148"/>
      <c r="CG96" s="148"/>
      <c r="CH96" s="148"/>
      <c r="CI96" s="148"/>
      <c r="CJ96" s="148"/>
      <c r="CK96" s="148"/>
      <c r="CL96" s="148"/>
      <c r="CM96" s="148"/>
      <c r="CN96" s="148"/>
      <c r="CO96" s="148"/>
      <c r="CP96" s="148"/>
      <c r="CQ96" s="148"/>
      <c r="CR96" s="148"/>
      <c r="CS96" s="148"/>
      <c r="CT96" s="148"/>
      <c r="CU96" s="148"/>
      <c r="CV96" s="148"/>
      <c r="CW96" s="148"/>
      <c r="CX96" s="148"/>
      <c r="CY96" s="148"/>
      <c r="CZ96" s="148"/>
      <c r="DA96" s="148"/>
      <c r="DB96" s="148"/>
      <c r="DC96" s="148"/>
      <c r="DD96" s="148"/>
      <c r="DE96" s="148"/>
      <c r="DF96" s="148"/>
      <c r="DG96" s="148"/>
      <c r="DH96" s="148"/>
      <c r="DI96" s="148"/>
      <c r="DJ96" s="148"/>
      <c r="DK96" s="148"/>
      <c r="DL96" s="148"/>
      <c r="DM96" s="148"/>
      <c r="DN96" s="148"/>
      <c r="DO96" s="148"/>
      <c r="DP96" s="148"/>
      <c r="DQ96" s="148"/>
      <c r="DR96" s="148"/>
      <c r="DS96" s="148"/>
      <c r="DT96" s="148"/>
      <c r="DU96" s="148"/>
      <c r="DV96" s="148"/>
      <c r="DW96" s="148"/>
      <c r="DX96" s="148"/>
      <c r="DY96" s="148"/>
      <c r="DZ96" s="148"/>
      <c r="EA96" s="148"/>
      <c r="EB96" s="148"/>
      <c r="EC96" s="148"/>
      <c r="ED96" s="148"/>
      <c r="EE96" s="148"/>
      <c r="EF96" s="148"/>
      <c r="EG96" s="148"/>
      <c r="EH96" s="148"/>
      <c r="EI96" s="148"/>
      <c r="EJ96" s="148"/>
      <c r="EK96" s="148"/>
      <c r="EL96" s="148"/>
      <c r="EM96" s="148"/>
      <c r="EN96" s="148"/>
      <c r="EO96" s="148"/>
      <c r="EP96" s="148"/>
      <c r="EQ96" s="148"/>
      <c r="ER96" s="148"/>
      <c r="ES96" s="148"/>
      <c r="ET96" s="148"/>
      <c r="EU96" s="148"/>
      <c r="EV96" s="148"/>
      <c r="EW96" s="148"/>
      <c r="EX96" s="148"/>
      <c r="EY96" s="148"/>
      <c r="EZ96" s="148"/>
      <c r="FA96" s="148"/>
      <c r="FB96" s="148"/>
      <c r="FC96" s="148"/>
      <c r="FD96" s="148"/>
      <c r="FE96" s="148"/>
      <c r="FF96" s="148"/>
      <c r="FG96" s="148"/>
      <c r="FH96" s="148"/>
      <c r="FI96" s="148"/>
      <c r="FJ96" s="148"/>
      <c r="FK96" s="148"/>
      <c r="FL96" s="148"/>
      <c r="FM96" s="148"/>
      <c r="FN96" s="148"/>
      <c r="FO96" s="148"/>
      <c r="FP96" s="148"/>
      <c r="FQ96" s="148"/>
      <c r="FR96" s="148"/>
      <c r="FS96" s="148"/>
      <c r="FT96" s="148"/>
      <c r="FU96" s="148"/>
      <c r="FV96" s="148"/>
      <c r="FW96" s="148"/>
      <c r="FX96" s="148"/>
      <c r="FY96" s="148"/>
      <c r="FZ96" s="148"/>
      <c r="GA96" s="148"/>
      <c r="GB96" s="148"/>
      <c r="GC96" s="148"/>
      <c r="GD96" s="148"/>
      <c r="GE96" s="148"/>
      <c r="GF96" s="148"/>
      <c r="GG96" s="148"/>
      <c r="GH96" s="148"/>
      <c r="GI96" s="148"/>
      <c r="GJ96" s="148"/>
      <c r="GK96" s="148"/>
      <c r="GL96" s="148"/>
      <c r="GM96" s="148"/>
      <c r="GN96" s="148"/>
      <c r="GO96" s="148"/>
      <c r="GP96" s="148"/>
      <c r="GQ96" s="148"/>
      <c r="GR96" s="148"/>
      <c r="GS96" s="148"/>
      <c r="GT96" s="148"/>
      <c r="GU96" s="148"/>
      <c r="GV96" s="148"/>
      <c r="GW96" s="148"/>
      <c r="GX96" s="148"/>
      <c r="GY96" s="148"/>
      <c r="GZ96" s="148"/>
      <c r="HA96" s="148"/>
      <c r="HB96" s="148"/>
      <c r="HC96" s="148"/>
      <c r="HD96" s="148"/>
      <c r="HE96" s="148"/>
      <c r="HF96" s="148"/>
      <c r="HG96" s="148"/>
      <c r="HH96" s="148"/>
      <c r="HI96" s="148"/>
      <c r="HJ96" s="148"/>
      <c r="HK96" s="148"/>
      <c r="HL96" s="148"/>
      <c r="HM96" s="148"/>
      <c r="HN96" s="148"/>
      <c r="HO96" s="148"/>
      <c r="HP96" s="148"/>
      <c r="HQ96" s="148"/>
      <c r="HR96" s="148"/>
      <c r="HS96" s="148"/>
      <c r="HT96" s="148"/>
      <c r="HU96" s="148"/>
      <c r="HV96" s="148"/>
      <c r="HW96" s="148"/>
      <c r="HX96" s="148"/>
      <c r="HY96" s="148"/>
      <c r="HZ96" s="148"/>
      <c r="IA96" s="148"/>
      <c r="IB96" s="148"/>
      <c r="IC96" s="148"/>
      <c r="ID96" s="148"/>
      <c r="IE96" s="148"/>
      <c r="IF96" s="148"/>
      <c r="IG96" s="148"/>
      <c r="IH96" s="148"/>
      <c r="II96" s="148"/>
      <c r="IJ96" s="148"/>
      <c r="IK96" s="148"/>
      <c r="IL96" s="148"/>
      <c r="IM96" s="148"/>
      <c r="IN96" s="148"/>
      <c r="IO96" s="148"/>
      <c r="IP96" s="148"/>
      <c r="IQ96" s="148"/>
      <c r="IR96" s="148"/>
      <c r="IS96" s="148"/>
      <c r="IT96" s="148"/>
      <c r="IU96" s="148"/>
      <c r="IV96" s="148"/>
      <c r="IW96" s="148"/>
      <c r="IX96" s="148"/>
      <c r="IY96" s="148"/>
      <c r="IZ96" s="148"/>
      <c r="JA96" s="148"/>
      <c r="JB96" s="148"/>
      <c r="JC96" s="148"/>
      <c r="JD96" s="148"/>
      <c r="JE96" s="148"/>
      <c r="JF96" s="148"/>
      <c r="JG96" s="148"/>
      <c r="JH96" s="148"/>
      <c r="JI96" s="148"/>
      <c r="JJ96" s="148"/>
      <c r="JK96" s="148"/>
      <c r="JL96" s="148"/>
      <c r="JM96" s="148"/>
      <c r="JN96" s="148"/>
      <c r="JO96" s="148"/>
      <c r="JP96" s="148"/>
      <c r="JQ96" s="148"/>
      <c r="JR96" s="148"/>
      <c r="JS96" s="148"/>
      <c r="JT96" s="148"/>
      <c r="JU96" s="148"/>
      <c r="JV96" s="148"/>
      <c r="JW96" s="148"/>
      <c r="JX96" s="148"/>
      <c r="JY96" s="148"/>
      <c r="JZ96" s="148"/>
      <c r="KA96" s="148"/>
      <c r="KB96" s="148"/>
      <c r="KC96" s="148"/>
      <c r="KD96" s="148"/>
      <c r="KE96" s="148"/>
      <c r="KF96" s="148"/>
      <c r="KG96" s="148"/>
      <c r="KH96" s="148"/>
      <c r="KI96" s="148"/>
      <c r="KJ96" s="148"/>
      <c r="KK96" s="148"/>
      <c r="KL96" s="148"/>
      <c r="KM96" s="148"/>
      <c r="KN96" s="148"/>
      <c r="KO96" s="148"/>
      <c r="KP96" s="148"/>
      <c r="KQ96" s="148"/>
      <c r="KR96" s="148"/>
      <c r="KS96" s="148"/>
      <c r="KT96" s="148"/>
      <c r="KU96" s="148"/>
      <c r="KV96" s="148"/>
      <c r="KW96" s="148"/>
      <c r="KX96" s="148"/>
      <c r="KY96" s="148"/>
      <c r="KZ96" s="148"/>
      <c r="LA96" s="148"/>
      <c r="LB96" s="148"/>
      <c r="LC96" s="148"/>
      <c r="LD96" s="148"/>
      <c r="LE96" s="148"/>
      <c r="LF96" s="148"/>
      <c r="LG96" s="148"/>
      <c r="LH96" s="148"/>
      <c r="LI96" s="148"/>
      <c r="LJ96" s="148"/>
      <c r="LK96" s="148"/>
      <c r="LL96" s="148"/>
      <c r="LM96" s="148"/>
      <c r="LN96" s="148"/>
      <c r="LO96" s="148"/>
      <c r="LP96" s="148"/>
      <c r="LQ96" s="148"/>
      <c r="LR96" s="148"/>
      <c r="LS96" s="148"/>
      <c r="LT96" s="148"/>
      <c r="LU96" s="148"/>
      <c r="LV96" s="148"/>
      <c r="LW96" s="148"/>
      <c r="LX96" s="148"/>
      <c r="LY96" s="148"/>
      <c r="LZ96" s="148"/>
      <c r="MA96" s="148"/>
      <c r="MB96" s="148"/>
      <c r="MC96" s="148"/>
      <c r="MD96" s="148"/>
      <c r="ME96" s="148"/>
      <c r="MF96" s="148"/>
      <c r="MG96" s="148"/>
      <c r="MH96" s="148"/>
      <c r="MI96" s="148"/>
      <c r="MJ96" s="148"/>
      <c r="MK96" s="148"/>
      <c r="ML96" s="148"/>
      <c r="MM96" s="148"/>
      <c r="MN96" s="148"/>
      <c r="MO96" s="148"/>
      <c r="MP96" s="148"/>
      <c r="MQ96" s="148"/>
      <c r="MR96" s="148"/>
      <c r="MS96" s="148"/>
      <c r="MT96" s="148"/>
      <c r="MU96" s="148"/>
      <c r="MV96" s="148"/>
      <c r="MW96" s="148"/>
      <c r="MX96" s="148"/>
      <c r="MY96" s="148"/>
      <c r="MZ96" s="148"/>
      <c r="NA96" s="148"/>
      <c r="NB96" s="148"/>
      <c r="NC96" s="148"/>
      <c r="ND96" s="148"/>
      <c r="NE96" s="148"/>
      <c r="NF96" s="148"/>
      <c r="NG96" s="148"/>
      <c r="NH96" s="148"/>
      <c r="NI96" s="148"/>
      <c r="NJ96" s="148"/>
      <c r="NK96" s="148"/>
      <c r="NL96" s="148"/>
      <c r="NM96" s="148"/>
      <c r="NN96" s="148"/>
      <c r="NO96" s="148"/>
      <c r="NP96" s="148"/>
      <c r="NQ96" s="148"/>
      <c r="NR96" s="148"/>
      <c r="NS96" s="148"/>
      <c r="NT96" s="148"/>
      <c r="NU96" s="148"/>
      <c r="NV96" s="148"/>
      <c r="NW96" s="148"/>
      <c r="NX96" s="148"/>
      <c r="NY96" s="148"/>
      <c r="NZ96" s="148"/>
      <c r="OA96" s="148"/>
      <c r="OB96" s="148"/>
      <c r="OC96" s="148"/>
      <c r="OD96" s="148"/>
      <c r="OE96" s="148"/>
      <c r="OF96" s="148"/>
      <c r="OG96" s="148"/>
      <c r="OH96" s="148"/>
      <c r="OI96" s="148"/>
      <c r="OJ96" s="148"/>
      <c r="OK96" s="148"/>
      <c r="OL96" s="148"/>
      <c r="OM96" s="148"/>
      <c r="ON96" s="148"/>
      <c r="OO96" s="148"/>
      <c r="OP96" s="148"/>
      <c r="OQ96" s="148"/>
      <c r="OR96" s="148"/>
      <c r="OS96" s="148"/>
      <c r="OT96" s="148"/>
      <c r="OU96" s="148"/>
      <c r="OV96" s="148"/>
      <c r="OW96" s="148"/>
      <c r="OX96" s="148"/>
      <c r="OY96" s="148"/>
      <c r="OZ96" s="148"/>
      <c r="PA96" s="148"/>
      <c r="PB96" s="148"/>
      <c r="PC96" s="148"/>
      <c r="PD96" s="148"/>
      <c r="PE96" s="148"/>
      <c r="PF96" s="148"/>
      <c r="PG96" s="148"/>
      <c r="PH96" s="148"/>
      <c r="PI96" s="148"/>
      <c r="PJ96" s="148"/>
      <c r="PK96" s="148"/>
      <c r="PL96" s="148"/>
      <c r="PM96" s="148"/>
      <c r="PN96" s="148"/>
      <c r="PO96" s="148"/>
      <c r="PP96" s="148"/>
      <c r="PQ96" s="148"/>
      <c r="PR96" s="148"/>
      <c r="PS96" s="148"/>
      <c r="PT96" s="148"/>
      <c r="PU96" s="148"/>
      <c r="PV96" s="148"/>
      <c r="PW96" s="148"/>
      <c r="PX96" s="148"/>
      <c r="PY96" s="148"/>
      <c r="PZ96" s="148"/>
      <c r="QA96" s="148"/>
      <c r="QB96" s="148"/>
      <c r="QC96" s="148"/>
      <c r="QD96" s="148"/>
      <c r="QE96" s="148"/>
      <c r="QF96" s="148"/>
      <c r="QG96" s="148"/>
      <c r="QH96" s="148"/>
      <c r="QI96" s="148"/>
      <c r="QJ96" s="148"/>
      <c r="QK96" s="148"/>
      <c r="QL96" s="148"/>
      <c r="QM96" s="148"/>
      <c r="QN96" s="148"/>
      <c r="QO96" s="148"/>
      <c r="QP96" s="148"/>
      <c r="QQ96" s="148"/>
      <c r="QR96" s="148"/>
      <c r="QS96" s="148"/>
      <c r="QT96" s="148"/>
      <c r="QU96" s="148"/>
      <c r="QV96" s="148"/>
      <c r="QW96" s="148"/>
      <c r="QX96" s="148"/>
      <c r="QY96" s="148"/>
      <c r="QZ96" s="148"/>
      <c r="RA96" s="148"/>
      <c r="RB96" s="148"/>
      <c r="RC96" s="148"/>
      <c r="RD96" s="148"/>
      <c r="RE96" s="148"/>
      <c r="RF96" s="148"/>
      <c r="RG96" s="148"/>
      <c r="RH96" s="148"/>
      <c r="RI96" s="148"/>
      <c r="RJ96" s="148"/>
      <c r="RK96" s="148"/>
      <c r="RL96" s="148"/>
      <c r="RM96" s="148"/>
      <c r="RN96" s="148"/>
      <c r="RO96" s="148"/>
      <c r="RP96" s="148"/>
      <c r="RQ96" s="148"/>
      <c r="RR96" s="148"/>
    </row>
    <row r="97" spans="1:486" s="15" customFormat="1" hidden="1" x14ac:dyDescent="0.25">
      <c r="A97" s="148"/>
      <c r="B97" s="350">
        <v>87</v>
      </c>
      <c r="C97" s="650"/>
      <c r="D97" s="16"/>
      <c r="E97" s="344"/>
      <c r="F97" s="344"/>
      <c r="G97" s="17"/>
      <c r="H97" s="317"/>
      <c r="I97" s="346"/>
      <c r="J97" s="341"/>
      <c r="K97" s="633"/>
      <c r="L97" s="633"/>
      <c r="M97" s="633"/>
      <c r="N97" s="633"/>
      <c r="O97" s="633"/>
      <c r="P97" s="633"/>
      <c r="Q97" s="633"/>
      <c r="R97" s="633"/>
      <c r="S97" s="633"/>
      <c r="T97" s="633"/>
      <c r="U97" s="633"/>
      <c r="V97" s="633"/>
      <c r="W97" s="633"/>
      <c r="X97" s="633"/>
      <c r="Y97" s="633">
        <f t="shared" si="3"/>
        <v>0</v>
      </c>
      <c r="Z97" s="310"/>
      <c r="AA97" s="19"/>
      <c r="AB97" s="315"/>
      <c r="AC97" s="315"/>
      <c r="AD97" s="652"/>
      <c r="AE97" s="20"/>
      <c r="AF97" s="21"/>
      <c r="AG97" s="23"/>
      <c r="AH97" s="637"/>
      <c r="AI97" s="19"/>
      <c r="AJ97" s="21"/>
      <c r="AK97" s="25"/>
      <c r="AL97" s="309"/>
      <c r="AM97" s="19"/>
      <c r="AN97" s="21"/>
      <c r="AO97" s="25"/>
      <c r="AP97" s="309"/>
      <c r="AQ97" s="19"/>
      <c r="AR97" s="21"/>
      <c r="AS97" s="25"/>
      <c r="AT97" s="638">
        <f t="shared" si="4"/>
        <v>0</v>
      </c>
      <c r="AU97" s="311">
        <f t="shared" si="0"/>
        <v>0</v>
      </c>
      <c r="AV97" s="148"/>
      <c r="AW97" s="148"/>
      <c r="AX97" s="148"/>
      <c r="AY97" s="148"/>
      <c r="AZ97" s="148"/>
      <c r="BA97" s="148"/>
      <c r="BB97" s="148"/>
      <c r="BC97" s="148"/>
      <c r="BD97" s="148"/>
      <c r="BE97" s="148"/>
      <c r="BF97" s="148"/>
      <c r="BG97" s="148"/>
      <c r="BH97" s="148"/>
      <c r="BI97" s="148"/>
      <c r="BJ97" s="148"/>
      <c r="BK97" s="148"/>
      <c r="BL97" s="148"/>
      <c r="BM97" s="148"/>
      <c r="BN97" s="148"/>
      <c r="BO97" s="148"/>
      <c r="BP97" s="148"/>
      <c r="BQ97" s="148"/>
      <c r="BR97" s="148"/>
      <c r="BS97" s="148"/>
      <c r="BT97" s="148"/>
      <c r="BU97" s="148"/>
      <c r="BV97" s="148"/>
      <c r="BW97" s="148"/>
      <c r="BX97" s="148"/>
      <c r="BY97" s="148"/>
      <c r="BZ97" s="148"/>
      <c r="CA97" s="148"/>
      <c r="CB97" s="148"/>
      <c r="CC97" s="148"/>
      <c r="CD97" s="148"/>
      <c r="CE97" s="148"/>
      <c r="CF97" s="148"/>
      <c r="CG97" s="148"/>
      <c r="CH97" s="148"/>
      <c r="CI97" s="148"/>
      <c r="CJ97" s="148"/>
      <c r="CK97" s="148"/>
      <c r="CL97" s="148"/>
      <c r="CM97" s="148"/>
      <c r="CN97" s="148"/>
      <c r="CO97" s="148"/>
      <c r="CP97" s="148"/>
      <c r="CQ97" s="148"/>
      <c r="CR97" s="148"/>
      <c r="CS97" s="148"/>
      <c r="CT97" s="148"/>
      <c r="CU97" s="148"/>
      <c r="CV97" s="148"/>
      <c r="CW97" s="148"/>
      <c r="CX97" s="148"/>
      <c r="CY97" s="148"/>
      <c r="CZ97" s="148"/>
      <c r="DA97" s="148"/>
      <c r="DB97" s="148"/>
      <c r="DC97" s="148"/>
      <c r="DD97" s="148"/>
      <c r="DE97" s="148"/>
      <c r="DF97" s="148"/>
      <c r="DG97" s="148"/>
      <c r="DH97" s="148"/>
      <c r="DI97" s="148"/>
      <c r="DJ97" s="148"/>
      <c r="DK97" s="148"/>
      <c r="DL97" s="148"/>
      <c r="DM97" s="148"/>
      <c r="DN97" s="148"/>
      <c r="DO97" s="148"/>
      <c r="DP97" s="148"/>
      <c r="DQ97" s="148"/>
      <c r="DR97" s="148"/>
      <c r="DS97" s="148"/>
      <c r="DT97" s="148"/>
      <c r="DU97" s="148"/>
      <c r="DV97" s="148"/>
      <c r="DW97" s="148"/>
      <c r="DX97" s="148"/>
      <c r="DY97" s="148"/>
      <c r="DZ97" s="148"/>
      <c r="EA97" s="148"/>
      <c r="EB97" s="148"/>
      <c r="EC97" s="148"/>
      <c r="ED97" s="148"/>
      <c r="EE97" s="148"/>
      <c r="EF97" s="148"/>
      <c r="EG97" s="148"/>
      <c r="EH97" s="148"/>
      <c r="EI97" s="148"/>
      <c r="EJ97" s="148"/>
      <c r="EK97" s="148"/>
      <c r="EL97" s="148"/>
      <c r="EM97" s="148"/>
      <c r="EN97" s="148"/>
      <c r="EO97" s="148"/>
      <c r="EP97" s="148"/>
      <c r="EQ97" s="148"/>
      <c r="ER97" s="148"/>
      <c r="ES97" s="148"/>
      <c r="ET97" s="148"/>
      <c r="EU97" s="148"/>
      <c r="EV97" s="148"/>
      <c r="EW97" s="148"/>
      <c r="EX97" s="148"/>
      <c r="EY97" s="148"/>
      <c r="EZ97" s="148"/>
      <c r="FA97" s="148"/>
      <c r="FB97" s="148"/>
      <c r="FC97" s="148"/>
      <c r="FD97" s="148"/>
      <c r="FE97" s="148"/>
      <c r="FF97" s="148"/>
      <c r="FG97" s="148"/>
      <c r="FH97" s="148"/>
      <c r="FI97" s="148"/>
      <c r="FJ97" s="148"/>
      <c r="FK97" s="148"/>
      <c r="FL97" s="148"/>
      <c r="FM97" s="148"/>
      <c r="FN97" s="148"/>
      <c r="FO97" s="148"/>
      <c r="FP97" s="148"/>
      <c r="FQ97" s="148"/>
      <c r="FR97" s="148"/>
      <c r="FS97" s="148"/>
      <c r="FT97" s="148"/>
      <c r="FU97" s="148"/>
      <c r="FV97" s="148"/>
      <c r="FW97" s="148"/>
      <c r="FX97" s="148"/>
      <c r="FY97" s="148"/>
      <c r="FZ97" s="148"/>
      <c r="GA97" s="148"/>
      <c r="GB97" s="148"/>
      <c r="GC97" s="148"/>
      <c r="GD97" s="148"/>
      <c r="GE97" s="148"/>
      <c r="GF97" s="148"/>
      <c r="GG97" s="148"/>
      <c r="GH97" s="148"/>
      <c r="GI97" s="148"/>
      <c r="GJ97" s="148"/>
      <c r="GK97" s="148"/>
      <c r="GL97" s="148"/>
      <c r="GM97" s="148"/>
      <c r="GN97" s="148"/>
      <c r="GO97" s="148"/>
      <c r="GP97" s="148"/>
      <c r="GQ97" s="148"/>
      <c r="GR97" s="148"/>
      <c r="GS97" s="148"/>
      <c r="GT97" s="148"/>
      <c r="GU97" s="148"/>
      <c r="GV97" s="148"/>
      <c r="GW97" s="148"/>
      <c r="GX97" s="148"/>
      <c r="GY97" s="148"/>
      <c r="GZ97" s="148"/>
      <c r="HA97" s="148"/>
      <c r="HB97" s="148"/>
      <c r="HC97" s="148"/>
      <c r="HD97" s="148"/>
      <c r="HE97" s="148"/>
      <c r="HF97" s="148"/>
      <c r="HG97" s="148"/>
      <c r="HH97" s="148"/>
      <c r="HI97" s="148"/>
      <c r="HJ97" s="148"/>
      <c r="HK97" s="148"/>
      <c r="HL97" s="148"/>
      <c r="HM97" s="148"/>
      <c r="HN97" s="148"/>
      <c r="HO97" s="148"/>
      <c r="HP97" s="148"/>
      <c r="HQ97" s="148"/>
      <c r="HR97" s="148"/>
      <c r="HS97" s="148"/>
      <c r="HT97" s="148"/>
      <c r="HU97" s="148"/>
      <c r="HV97" s="148"/>
      <c r="HW97" s="148"/>
      <c r="HX97" s="148"/>
      <c r="HY97" s="148"/>
      <c r="HZ97" s="148"/>
      <c r="IA97" s="148"/>
      <c r="IB97" s="148"/>
      <c r="IC97" s="148"/>
      <c r="ID97" s="148"/>
      <c r="IE97" s="148"/>
      <c r="IF97" s="148"/>
      <c r="IG97" s="148"/>
      <c r="IH97" s="148"/>
      <c r="II97" s="148"/>
      <c r="IJ97" s="148"/>
      <c r="IK97" s="148"/>
      <c r="IL97" s="148"/>
      <c r="IM97" s="148"/>
      <c r="IN97" s="148"/>
      <c r="IO97" s="148"/>
      <c r="IP97" s="148"/>
      <c r="IQ97" s="148"/>
      <c r="IR97" s="148"/>
      <c r="IS97" s="148"/>
      <c r="IT97" s="148"/>
      <c r="IU97" s="148"/>
      <c r="IV97" s="148"/>
      <c r="IW97" s="148"/>
      <c r="IX97" s="148"/>
      <c r="IY97" s="148"/>
      <c r="IZ97" s="148"/>
      <c r="JA97" s="148"/>
      <c r="JB97" s="148"/>
      <c r="JC97" s="148"/>
      <c r="JD97" s="148"/>
      <c r="JE97" s="148"/>
      <c r="JF97" s="148"/>
      <c r="JG97" s="148"/>
      <c r="JH97" s="148"/>
      <c r="JI97" s="148"/>
      <c r="JJ97" s="148"/>
      <c r="JK97" s="148"/>
      <c r="JL97" s="148"/>
      <c r="JM97" s="148"/>
      <c r="JN97" s="148"/>
      <c r="JO97" s="148"/>
      <c r="JP97" s="148"/>
      <c r="JQ97" s="148"/>
      <c r="JR97" s="148"/>
      <c r="JS97" s="148"/>
      <c r="JT97" s="148"/>
      <c r="JU97" s="148"/>
      <c r="JV97" s="148"/>
      <c r="JW97" s="148"/>
      <c r="JX97" s="148"/>
      <c r="JY97" s="148"/>
      <c r="JZ97" s="148"/>
      <c r="KA97" s="148"/>
      <c r="KB97" s="148"/>
      <c r="KC97" s="148"/>
      <c r="KD97" s="148"/>
      <c r="KE97" s="148"/>
      <c r="KF97" s="148"/>
      <c r="KG97" s="148"/>
      <c r="KH97" s="148"/>
      <c r="KI97" s="148"/>
      <c r="KJ97" s="148"/>
      <c r="KK97" s="148"/>
      <c r="KL97" s="148"/>
      <c r="KM97" s="148"/>
      <c r="KN97" s="148"/>
      <c r="KO97" s="148"/>
      <c r="KP97" s="148"/>
      <c r="KQ97" s="148"/>
      <c r="KR97" s="148"/>
      <c r="KS97" s="148"/>
      <c r="KT97" s="148"/>
      <c r="KU97" s="148"/>
      <c r="KV97" s="148"/>
      <c r="KW97" s="148"/>
      <c r="KX97" s="148"/>
      <c r="KY97" s="148"/>
      <c r="KZ97" s="148"/>
      <c r="LA97" s="148"/>
      <c r="LB97" s="148"/>
      <c r="LC97" s="148"/>
      <c r="LD97" s="148"/>
      <c r="LE97" s="148"/>
      <c r="LF97" s="148"/>
      <c r="LG97" s="148"/>
      <c r="LH97" s="148"/>
      <c r="LI97" s="148"/>
      <c r="LJ97" s="148"/>
      <c r="LK97" s="148"/>
      <c r="LL97" s="148"/>
      <c r="LM97" s="148"/>
      <c r="LN97" s="148"/>
      <c r="LO97" s="148"/>
      <c r="LP97" s="148"/>
      <c r="LQ97" s="148"/>
      <c r="LR97" s="148"/>
      <c r="LS97" s="148"/>
      <c r="LT97" s="148"/>
      <c r="LU97" s="148"/>
      <c r="LV97" s="148"/>
      <c r="LW97" s="148"/>
      <c r="LX97" s="148"/>
      <c r="LY97" s="148"/>
      <c r="LZ97" s="148"/>
      <c r="MA97" s="148"/>
      <c r="MB97" s="148"/>
      <c r="MC97" s="148"/>
      <c r="MD97" s="148"/>
      <c r="ME97" s="148"/>
      <c r="MF97" s="148"/>
      <c r="MG97" s="148"/>
      <c r="MH97" s="148"/>
      <c r="MI97" s="148"/>
      <c r="MJ97" s="148"/>
      <c r="MK97" s="148"/>
      <c r="ML97" s="148"/>
      <c r="MM97" s="148"/>
      <c r="MN97" s="148"/>
      <c r="MO97" s="148"/>
      <c r="MP97" s="148"/>
      <c r="MQ97" s="148"/>
      <c r="MR97" s="148"/>
      <c r="MS97" s="148"/>
      <c r="MT97" s="148"/>
      <c r="MU97" s="148"/>
      <c r="MV97" s="148"/>
      <c r="MW97" s="148"/>
      <c r="MX97" s="148"/>
      <c r="MY97" s="148"/>
      <c r="MZ97" s="148"/>
      <c r="NA97" s="148"/>
      <c r="NB97" s="148"/>
      <c r="NC97" s="148"/>
      <c r="ND97" s="148"/>
      <c r="NE97" s="148"/>
      <c r="NF97" s="148"/>
      <c r="NG97" s="148"/>
      <c r="NH97" s="148"/>
      <c r="NI97" s="148"/>
      <c r="NJ97" s="148"/>
      <c r="NK97" s="148"/>
      <c r="NL97" s="148"/>
      <c r="NM97" s="148"/>
      <c r="NN97" s="148"/>
      <c r="NO97" s="148"/>
      <c r="NP97" s="148"/>
      <c r="NQ97" s="148"/>
      <c r="NR97" s="148"/>
      <c r="NS97" s="148"/>
      <c r="NT97" s="148"/>
      <c r="NU97" s="148"/>
      <c r="NV97" s="148"/>
      <c r="NW97" s="148"/>
      <c r="NX97" s="148"/>
      <c r="NY97" s="148"/>
      <c r="NZ97" s="148"/>
      <c r="OA97" s="148"/>
      <c r="OB97" s="148"/>
      <c r="OC97" s="148"/>
      <c r="OD97" s="148"/>
      <c r="OE97" s="148"/>
      <c r="OF97" s="148"/>
      <c r="OG97" s="148"/>
      <c r="OH97" s="148"/>
      <c r="OI97" s="148"/>
      <c r="OJ97" s="148"/>
      <c r="OK97" s="148"/>
      <c r="OL97" s="148"/>
      <c r="OM97" s="148"/>
      <c r="ON97" s="148"/>
      <c r="OO97" s="148"/>
      <c r="OP97" s="148"/>
      <c r="OQ97" s="148"/>
      <c r="OR97" s="148"/>
      <c r="OS97" s="148"/>
      <c r="OT97" s="148"/>
      <c r="OU97" s="148"/>
      <c r="OV97" s="148"/>
      <c r="OW97" s="148"/>
      <c r="OX97" s="148"/>
      <c r="OY97" s="148"/>
      <c r="OZ97" s="148"/>
      <c r="PA97" s="148"/>
      <c r="PB97" s="148"/>
      <c r="PC97" s="148"/>
      <c r="PD97" s="148"/>
      <c r="PE97" s="148"/>
      <c r="PF97" s="148"/>
      <c r="PG97" s="148"/>
      <c r="PH97" s="148"/>
      <c r="PI97" s="148"/>
      <c r="PJ97" s="148"/>
      <c r="PK97" s="148"/>
      <c r="PL97" s="148"/>
      <c r="PM97" s="148"/>
      <c r="PN97" s="148"/>
      <c r="PO97" s="148"/>
      <c r="PP97" s="148"/>
      <c r="PQ97" s="148"/>
      <c r="PR97" s="148"/>
      <c r="PS97" s="148"/>
      <c r="PT97" s="148"/>
      <c r="PU97" s="148"/>
      <c r="PV97" s="148"/>
      <c r="PW97" s="148"/>
      <c r="PX97" s="148"/>
      <c r="PY97" s="148"/>
      <c r="PZ97" s="148"/>
      <c r="QA97" s="148"/>
      <c r="QB97" s="148"/>
      <c r="QC97" s="148"/>
      <c r="QD97" s="148"/>
      <c r="QE97" s="148"/>
      <c r="QF97" s="148"/>
      <c r="QG97" s="148"/>
      <c r="QH97" s="148"/>
      <c r="QI97" s="148"/>
      <c r="QJ97" s="148"/>
      <c r="QK97" s="148"/>
      <c r="QL97" s="148"/>
      <c r="QM97" s="148"/>
      <c r="QN97" s="148"/>
      <c r="QO97" s="148"/>
      <c r="QP97" s="148"/>
      <c r="QQ97" s="148"/>
      <c r="QR97" s="148"/>
      <c r="QS97" s="148"/>
      <c r="QT97" s="148"/>
      <c r="QU97" s="148"/>
      <c r="QV97" s="148"/>
      <c r="QW97" s="148"/>
      <c r="QX97" s="148"/>
      <c r="QY97" s="148"/>
      <c r="QZ97" s="148"/>
      <c r="RA97" s="148"/>
      <c r="RB97" s="148"/>
      <c r="RC97" s="148"/>
      <c r="RD97" s="148"/>
      <c r="RE97" s="148"/>
      <c r="RF97" s="148"/>
      <c r="RG97" s="148"/>
      <c r="RH97" s="148"/>
      <c r="RI97" s="148"/>
      <c r="RJ97" s="148"/>
      <c r="RK97" s="148"/>
      <c r="RL97" s="148"/>
      <c r="RM97" s="148"/>
      <c r="RN97" s="148"/>
      <c r="RO97" s="148"/>
      <c r="RP97" s="148"/>
      <c r="RQ97" s="148"/>
      <c r="RR97" s="148"/>
    </row>
    <row r="98" spans="1:486" s="15" customFormat="1" hidden="1" x14ac:dyDescent="0.25">
      <c r="A98" s="148"/>
      <c r="B98" s="350">
        <v>88</v>
      </c>
      <c r="C98" s="650"/>
      <c r="D98" s="16"/>
      <c r="E98" s="344"/>
      <c r="F98" s="344"/>
      <c r="G98" s="17"/>
      <c r="H98" s="317"/>
      <c r="I98" s="346"/>
      <c r="J98" s="341"/>
      <c r="K98" s="633"/>
      <c r="L98" s="633"/>
      <c r="M98" s="633"/>
      <c r="N98" s="633"/>
      <c r="O98" s="633"/>
      <c r="P98" s="633"/>
      <c r="Q98" s="633"/>
      <c r="R98" s="633"/>
      <c r="S98" s="633"/>
      <c r="T98" s="633"/>
      <c r="U98" s="633"/>
      <c r="V98" s="633"/>
      <c r="W98" s="633"/>
      <c r="X98" s="633"/>
      <c r="Y98" s="633">
        <f t="shared" si="3"/>
        <v>0</v>
      </c>
      <c r="Z98" s="310"/>
      <c r="AA98" s="19"/>
      <c r="AB98" s="21"/>
      <c r="AC98" s="23"/>
      <c r="AD98" s="652"/>
      <c r="AE98" s="20"/>
      <c r="AF98" s="21"/>
      <c r="AG98" s="23"/>
      <c r="AH98" s="637"/>
      <c r="AI98" s="19"/>
      <c r="AJ98" s="21"/>
      <c r="AK98" s="25"/>
      <c r="AL98" s="309"/>
      <c r="AM98" s="19"/>
      <c r="AN98" s="21"/>
      <c r="AO98" s="25"/>
      <c r="AP98" s="309"/>
      <c r="AQ98" s="19"/>
      <c r="AR98" s="21"/>
      <c r="AS98" s="25"/>
      <c r="AT98" s="638">
        <f t="shared" si="4"/>
        <v>0</v>
      </c>
      <c r="AU98" s="311">
        <f t="shared" si="0"/>
        <v>0</v>
      </c>
      <c r="AV98" s="148"/>
      <c r="AW98" s="148"/>
      <c r="AX98" s="148"/>
      <c r="AY98" s="148"/>
      <c r="AZ98" s="148"/>
      <c r="BA98" s="148"/>
      <c r="BB98" s="148"/>
      <c r="BC98" s="148"/>
      <c r="BD98" s="148"/>
      <c r="BE98" s="148"/>
      <c r="BF98" s="148"/>
      <c r="BG98" s="148"/>
      <c r="BH98" s="148"/>
      <c r="BI98" s="148"/>
      <c r="BJ98" s="148"/>
      <c r="BK98" s="148"/>
      <c r="BL98" s="148"/>
      <c r="BM98" s="148"/>
      <c r="BN98" s="148"/>
      <c r="BO98" s="148"/>
      <c r="BP98" s="148"/>
      <c r="BQ98" s="148"/>
      <c r="BR98" s="148"/>
      <c r="BS98" s="148"/>
      <c r="BT98" s="148"/>
      <c r="BU98" s="148"/>
      <c r="BV98" s="148"/>
      <c r="BW98" s="148"/>
      <c r="BX98" s="148"/>
      <c r="BY98" s="148"/>
      <c r="BZ98" s="148"/>
      <c r="CA98" s="148"/>
      <c r="CB98" s="148"/>
      <c r="CC98" s="148"/>
      <c r="CD98" s="148"/>
      <c r="CE98" s="148"/>
      <c r="CF98" s="148"/>
      <c r="CG98" s="148"/>
      <c r="CH98" s="148"/>
      <c r="CI98" s="148"/>
      <c r="CJ98" s="148"/>
      <c r="CK98" s="148"/>
      <c r="CL98" s="148"/>
      <c r="CM98" s="148"/>
      <c r="CN98" s="148"/>
      <c r="CO98" s="148"/>
      <c r="CP98" s="148"/>
      <c r="CQ98" s="148"/>
      <c r="CR98" s="148"/>
      <c r="CS98" s="148"/>
      <c r="CT98" s="148"/>
      <c r="CU98" s="148"/>
      <c r="CV98" s="148"/>
      <c r="CW98" s="148"/>
      <c r="CX98" s="148"/>
      <c r="CY98" s="148"/>
      <c r="CZ98" s="148"/>
      <c r="DA98" s="148"/>
      <c r="DB98" s="148"/>
      <c r="DC98" s="148"/>
      <c r="DD98" s="148"/>
      <c r="DE98" s="148"/>
      <c r="DF98" s="148"/>
      <c r="DG98" s="148"/>
      <c r="DH98" s="148"/>
      <c r="DI98" s="148"/>
      <c r="DJ98" s="148"/>
      <c r="DK98" s="148"/>
      <c r="DL98" s="148"/>
      <c r="DM98" s="148"/>
      <c r="DN98" s="148"/>
      <c r="DO98" s="148"/>
      <c r="DP98" s="148"/>
      <c r="DQ98" s="148"/>
      <c r="DR98" s="148"/>
      <c r="DS98" s="148"/>
      <c r="DT98" s="148"/>
      <c r="DU98" s="148"/>
      <c r="DV98" s="148"/>
      <c r="DW98" s="148"/>
      <c r="DX98" s="148"/>
      <c r="DY98" s="148"/>
      <c r="DZ98" s="148"/>
      <c r="EA98" s="148"/>
      <c r="EB98" s="148"/>
      <c r="EC98" s="148"/>
      <c r="ED98" s="148"/>
      <c r="EE98" s="148"/>
      <c r="EF98" s="148"/>
      <c r="EG98" s="148"/>
      <c r="EH98" s="148"/>
      <c r="EI98" s="148"/>
      <c r="EJ98" s="148"/>
      <c r="EK98" s="148"/>
      <c r="EL98" s="148"/>
      <c r="EM98" s="148"/>
      <c r="EN98" s="148"/>
      <c r="EO98" s="148"/>
      <c r="EP98" s="148"/>
      <c r="EQ98" s="148"/>
      <c r="ER98" s="148"/>
      <c r="ES98" s="148"/>
      <c r="ET98" s="148"/>
      <c r="EU98" s="148"/>
      <c r="EV98" s="148"/>
      <c r="EW98" s="148"/>
      <c r="EX98" s="148"/>
      <c r="EY98" s="148"/>
      <c r="EZ98" s="148"/>
      <c r="FA98" s="148"/>
      <c r="FB98" s="148"/>
      <c r="FC98" s="148"/>
      <c r="FD98" s="148"/>
      <c r="FE98" s="148"/>
      <c r="FF98" s="148"/>
      <c r="FG98" s="148"/>
      <c r="FH98" s="148"/>
      <c r="FI98" s="148"/>
      <c r="FJ98" s="148"/>
      <c r="FK98" s="148"/>
      <c r="FL98" s="148"/>
      <c r="FM98" s="148"/>
      <c r="FN98" s="148"/>
      <c r="FO98" s="148"/>
      <c r="FP98" s="148"/>
      <c r="FQ98" s="148"/>
      <c r="FR98" s="148"/>
      <c r="FS98" s="148"/>
      <c r="FT98" s="148"/>
      <c r="FU98" s="148"/>
      <c r="FV98" s="148"/>
      <c r="FW98" s="148"/>
      <c r="FX98" s="148"/>
      <c r="FY98" s="148"/>
      <c r="FZ98" s="148"/>
      <c r="GA98" s="148"/>
      <c r="GB98" s="148"/>
      <c r="GC98" s="148"/>
      <c r="GD98" s="148"/>
      <c r="GE98" s="148"/>
      <c r="GF98" s="148"/>
      <c r="GG98" s="148"/>
      <c r="GH98" s="148"/>
      <c r="GI98" s="148"/>
      <c r="GJ98" s="148"/>
      <c r="GK98" s="148"/>
      <c r="GL98" s="148"/>
      <c r="GM98" s="148"/>
      <c r="GN98" s="148"/>
      <c r="GO98" s="148"/>
      <c r="GP98" s="148"/>
      <c r="GQ98" s="148"/>
      <c r="GR98" s="148"/>
      <c r="GS98" s="148"/>
      <c r="GT98" s="148"/>
      <c r="GU98" s="148"/>
      <c r="GV98" s="148"/>
      <c r="GW98" s="148"/>
      <c r="GX98" s="148"/>
      <c r="GY98" s="148"/>
      <c r="GZ98" s="148"/>
      <c r="HA98" s="148"/>
      <c r="HB98" s="148"/>
      <c r="HC98" s="148"/>
      <c r="HD98" s="148"/>
      <c r="HE98" s="148"/>
      <c r="HF98" s="148"/>
      <c r="HG98" s="148"/>
      <c r="HH98" s="148"/>
      <c r="HI98" s="148"/>
      <c r="HJ98" s="148"/>
      <c r="HK98" s="148"/>
      <c r="HL98" s="148"/>
      <c r="HM98" s="148"/>
      <c r="HN98" s="148"/>
      <c r="HO98" s="148"/>
      <c r="HP98" s="148"/>
      <c r="HQ98" s="148"/>
      <c r="HR98" s="148"/>
      <c r="HS98" s="148"/>
      <c r="HT98" s="148"/>
      <c r="HU98" s="148"/>
      <c r="HV98" s="148"/>
      <c r="HW98" s="148"/>
      <c r="HX98" s="148"/>
      <c r="HY98" s="148"/>
      <c r="HZ98" s="148"/>
      <c r="IA98" s="148"/>
      <c r="IB98" s="148"/>
      <c r="IC98" s="148"/>
      <c r="ID98" s="148"/>
      <c r="IE98" s="148"/>
      <c r="IF98" s="148"/>
      <c r="IG98" s="148"/>
      <c r="IH98" s="148"/>
      <c r="II98" s="148"/>
      <c r="IJ98" s="148"/>
      <c r="IK98" s="148"/>
      <c r="IL98" s="148"/>
      <c r="IM98" s="148"/>
      <c r="IN98" s="148"/>
      <c r="IO98" s="148"/>
      <c r="IP98" s="148"/>
      <c r="IQ98" s="148"/>
      <c r="IR98" s="148"/>
      <c r="IS98" s="148"/>
      <c r="IT98" s="148"/>
      <c r="IU98" s="148"/>
      <c r="IV98" s="148"/>
      <c r="IW98" s="148"/>
      <c r="IX98" s="148"/>
      <c r="IY98" s="148"/>
      <c r="IZ98" s="148"/>
      <c r="JA98" s="148"/>
      <c r="JB98" s="148"/>
      <c r="JC98" s="148"/>
      <c r="JD98" s="148"/>
      <c r="JE98" s="148"/>
      <c r="JF98" s="148"/>
      <c r="JG98" s="148"/>
      <c r="JH98" s="148"/>
      <c r="JI98" s="148"/>
      <c r="JJ98" s="148"/>
      <c r="JK98" s="148"/>
      <c r="JL98" s="148"/>
      <c r="JM98" s="148"/>
      <c r="JN98" s="148"/>
      <c r="JO98" s="148"/>
      <c r="JP98" s="148"/>
      <c r="JQ98" s="148"/>
      <c r="JR98" s="148"/>
      <c r="JS98" s="148"/>
      <c r="JT98" s="148"/>
      <c r="JU98" s="148"/>
      <c r="JV98" s="148"/>
      <c r="JW98" s="148"/>
      <c r="JX98" s="148"/>
      <c r="JY98" s="148"/>
      <c r="JZ98" s="148"/>
      <c r="KA98" s="148"/>
      <c r="KB98" s="148"/>
      <c r="KC98" s="148"/>
      <c r="KD98" s="148"/>
      <c r="KE98" s="148"/>
      <c r="KF98" s="148"/>
      <c r="KG98" s="148"/>
      <c r="KH98" s="148"/>
      <c r="KI98" s="148"/>
      <c r="KJ98" s="148"/>
      <c r="KK98" s="148"/>
      <c r="KL98" s="148"/>
      <c r="KM98" s="148"/>
      <c r="KN98" s="148"/>
      <c r="KO98" s="148"/>
      <c r="KP98" s="148"/>
      <c r="KQ98" s="148"/>
      <c r="KR98" s="148"/>
      <c r="KS98" s="148"/>
      <c r="KT98" s="148"/>
      <c r="KU98" s="148"/>
      <c r="KV98" s="148"/>
      <c r="KW98" s="148"/>
      <c r="KX98" s="148"/>
      <c r="KY98" s="148"/>
      <c r="KZ98" s="148"/>
      <c r="LA98" s="148"/>
      <c r="LB98" s="148"/>
      <c r="LC98" s="148"/>
      <c r="LD98" s="148"/>
      <c r="LE98" s="148"/>
      <c r="LF98" s="148"/>
      <c r="LG98" s="148"/>
      <c r="LH98" s="148"/>
      <c r="LI98" s="148"/>
      <c r="LJ98" s="148"/>
      <c r="LK98" s="148"/>
      <c r="LL98" s="148"/>
      <c r="LM98" s="148"/>
      <c r="LN98" s="148"/>
      <c r="LO98" s="148"/>
      <c r="LP98" s="148"/>
      <c r="LQ98" s="148"/>
      <c r="LR98" s="148"/>
      <c r="LS98" s="148"/>
      <c r="LT98" s="148"/>
      <c r="LU98" s="148"/>
      <c r="LV98" s="148"/>
      <c r="LW98" s="148"/>
      <c r="LX98" s="148"/>
      <c r="LY98" s="148"/>
      <c r="LZ98" s="148"/>
      <c r="MA98" s="148"/>
      <c r="MB98" s="148"/>
      <c r="MC98" s="148"/>
      <c r="MD98" s="148"/>
      <c r="ME98" s="148"/>
      <c r="MF98" s="148"/>
      <c r="MG98" s="148"/>
      <c r="MH98" s="148"/>
      <c r="MI98" s="148"/>
      <c r="MJ98" s="148"/>
      <c r="MK98" s="148"/>
      <c r="ML98" s="148"/>
      <c r="MM98" s="148"/>
      <c r="MN98" s="148"/>
      <c r="MO98" s="148"/>
      <c r="MP98" s="148"/>
      <c r="MQ98" s="148"/>
      <c r="MR98" s="148"/>
      <c r="MS98" s="148"/>
      <c r="MT98" s="148"/>
      <c r="MU98" s="148"/>
      <c r="MV98" s="148"/>
      <c r="MW98" s="148"/>
      <c r="MX98" s="148"/>
      <c r="MY98" s="148"/>
      <c r="MZ98" s="148"/>
      <c r="NA98" s="148"/>
      <c r="NB98" s="148"/>
      <c r="NC98" s="148"/>
      <c r="ND98" s="148"/>
      <c r="NE98" s="148"/>
      <c r="NF98" s="148"/>
      <c r="NG98" s="148"/>
      <c r="NH98" s="148"/>
      <c r="NI98" s="148"/>
      <c r="NJ98" s="148"/>
      <c r="NK98" s="148"/>
      <c r="NL98" s="148"/>
      <c r="NM98" s="148"/>
      <c r="NN98" s="148"/>
      <c r="NO98" s="148"/>
      <c r="NP98" s="148"/>
      <c r="NQ98" s="148"/>
      <c r="NR98" s="148"/>
      <c r="NS98" s="148"/>
      <c r="NT98" s="148"/>
      <c r="NU98" s="148"/>
      <c r="NV98" s="148"/>
      <c r="NW98" s="148"/>
      <c r="NX98" s="148"/>
      <c r="NY98" s="148"/>
      <c r="NZ98" s="148"/>
      <c r="OA98" s="148"/>
      <c r="OB98" s="148"/>
      <c r="OC98" s="148"/>
      <c r="OD98" s="148"/>
      <c r="OE98" s="148"/>
      <c r="OF98" s="148"/>
      <c r="OG98" s="148"/>
      <c r="OH98" s="148"/>
      <c r="OI98" s="148"/>
      <c r="OJ98" s="148"/>
      <c r="OK98" s="148"/>
      <c r="OL98" s="148"/>
      <c r="OM98" s="148"/>
      <c r="ON98" s="148"/>
      <c r="OO98" s="148"/>
      <c r="OP98" s="148"/>
      <c r="OQ98" s="148"/>
      <c r="OR98" s="148"/>
      <c r="OS98" s="148"/>
      <c r="OT98" s="148"/>
      <c r="OU98" s="148"/>
      <c r="OV98" s="148"/>
      <c r="OW98" s="148"/>
      <c r="OX98" s="148"/>
      <c r="OY98" s="148"/>
      <c r="OZ98" s="148"/>
      <c r="PA98" s="148"/>
      <c r="PB98" s="148"/>
      <c r="PC98" s="148"/>
      <c r="PD98" s="148"/>
      <c r="PE98" s="148"/>
      <c r="PF98" s="148"/>
      <c r="PG98" s="148"/>
      <c r="PH98" s="148"/>
      <c r="PI98" s="148"/>
      <c r="PJ98" s="148"/>
      <c r="PK98" s="148"/>
      <c r="PL98" s="148"/>
      <c r="PM98" s="148"/>
      <c r="PN98" s="148"/>
      <c r="PO98" s="148"/>
      <c r="PP98" s="148"/>
      <c r="PQ98" s="148"/>
      <c r="PR98" s="148"/>
      <c r="PS98" s="148"/>
      <c r="PT98" s="148"/>
      <c r="PU98" s="148"/>
      <c r="PV98" s="148"/>
      <c r="PW98" s="148"/>
      <c r="PX98" s="148"/>
      <c r="PY98" s="148"/>
      <c r="PZ98" s="148"/>
      <c r="QA98" s="148"/>
      <c r="QB98" s="148"/>
      <c r="QC98" s="148"/>
      <c r="QD98" s="148"/>
      <c r="QE98" s="148"/>
      <c r="QF98" s="148"/>
      <c r="QG98" s="148"/>
      <c r="QH98" s="148"/>
      <c r="QI98" s="148"/>
      <c r="QJ98" s="148"/>
      <c r="QK98" s="148"/>
      <c r="QL98" s="148"/>
      <c r="QM98" s="148"/>
      <c r="QN98" s="148"/>
      <c r="QO98" s="148"/>
      <c r="QP98" s="148"/>
      <c r="QQ98" s="148"/>
      <c r="QR98" s="148"/>
      <c r="QS98" s="148"/>
      <c r="QT98" s="148"/>
      <c r="QU98" s="148"/>
      <c r="QV98" s="148"/>
      <c r="QW98" s="148"/>
      <c r="QX98" s="148"/>
      <c r="QY98" s="148"/>
      <c r="QZ98" s="148"/>
      <c r="RA98" s="148"/>
      <c r="RB98" s="148"/>
      <c r="RC98" s="148"/>
      <c r="RD98" s="148"/>
      <c r="RE98" s="148"/>
      <c r="RF98" s="148"/>
      <c r="RG98" s="148"/>
      <c r="RH98" s="148"/>
      <c r="RI98" s="148"/>
      <c r="RJ98" s="148"/>
      <c r="RK98" s="148"/>
      <c r="RL98" s="148"/>
      <c r="RM98" s="148"/>
      <c r="RN98" s="148"/>
      <c r="RO98" s="148"/>
      <c r="RP98" s="148"/>
      <c r="RQ98" s="148"/>
      <c r="RR98" s="148"/>
    </row>
    <row r="99" spans="1:486" s="15" customFormat="1" hidden="1" x14ac:dyDescent="0.25">
      <c r="A99" s="148"/>
      <c r="B99" s="350">
        <v>89</v>
      </c>
      <c r="C99" s="650"/>
      <c r="D99" s="16"/>
      <c r="E99" s="344"/>
      <c r="F99" s="344"/>
      <c r="G99" s="17"/>
      <c r="H99" s="317"/>
      <c r="I99" s="346"/>
      <c r="J99" s="341"/>
      <c r="K99" s="633"/>
      <c r="L99" s="633"/>
      <c r="M99" s="633"/>
      <c r="N99" s="633"/>
      <c r="O99" s="633"/>
      <c r="P99" s="633"/>
      <c r="Q99" s="633"/>
      <c r="R99" s="633"/>
      <c r="S99" s="633"/>
      <c r="T99" s="633"/>
      <c r="U99" s="633"/>
      <c r="V99" s="633"/>
      <c r="W99" s="633"/>
      <c r="X99" s="633"/>
      <c r="Y99" s="633">
        <f t="shared" si="3"/>
        <v>0</v>
      </c>
      <c r="Z99" s="310"/>
      <c r="AA99" s="19"/>
      <c r="AB99" s="21"/>
      <c r="AC99" s="23"/>
      <c r="AD99" s="652"/>
      <c r="AE99" s="20"/>
      <c r="AF99" s="21"/>
      <c r="AG99" s="23"/>
      <c r="AH99" s="637"/>
      <c r="AI99" s="19"/>
      <c r="AJ99" s="21"/>
      <c r="AK99" s="25"/>
      <c r="AL99" s="309"/>
      <c r="AM99" s="19"/>
      <c r="AN99" s="21"/>
      <c r="AO99" s="25"/>
      <c r="AP99" s="309"/>
      <c r="AQ99" s="19"/>
      <c r="AR99" s="21"/>
      <c r="AS99" s="25"/>
      <c r="AT99" s="638">
        <f t="shared" si="4"/>
        <v>0</v>
      </c>
      <c r="AU99" s="311">
        <f t="shared" si="0"/>
        <v>0</v>
      </c>
      <c r="AV99" s="148"/>
      <c r="AW99" s="148"/>
      <c r="AX99" s="148"/>
      <c r="AY99" s="148"/>
      <c r="AZ99" s="148"/>
      <c r="BA99" s="148"/>
      <c r="BB99" s="148"/>
      <c r="BC99" s="148"/>
      <c r="BD99" s="148"/>
      <c r="BE99" s="148"/>
      <c r="BF99" s="148"/>
      <c r="BG99" s="148"/>
      <c r="BH99" s="148"/>
      <c r="BI99" s="148"/>
      <c r="BJ99" s="148"/>
      <c r="BK99" s="148"/>
      <c r="BL99" s="148"/>
      <c r="BM99" s="148"/>
      <c r="BN99" s="148"/>
      <c r="BO99" s="148"/>
      <c r="BP99" s="148"/>
      <c r="BQ99" s="148"/>
      <c r="BR99" s="148"/>
      <c r="BS99" s="148"/>
      <c r="BT99" s="148"/>
      <c r="BU99" s="148"/>
      <c r="BV99" s="148"/>
      <c r="BW99" s="148"/>
      <c r="BX99" s="148"/>
      <c r="BY99" s="148"/>
      <c r="BZ99" s="148"/>
      <c r="CA99" s="148"/>
      <c r="CB99" s="148"/>
      <c r="CC99" s="148"/>
      <c r="CD99" s="148"/>
      <c r="CE99" s="148"/>
      <c r="CF99" s="148"/>
      <c r="CG99" s="148"/>
      <c r="CH99" s="148"/>
      <c r="CI99" s="148"/>
      <c r="CJ99" s="148"/>
      <c r="CK99" s="148"/>
      <c r="CL99" s="148"/>
      <c r="CM99" s="148"/>
      <c r="CN99" s="148"/>
      <c r="CO99" s="148"/>
      <c r="CP99" s="148"/>
      <c r="CQ99" s="148"/>
      <c r="CR99" s="148"/>
      <c r="CS99" s="148"/>
      <c r="CT99" s="148"/>
      <c r="CU99" s="148"/>
      <c r="CV99" s="148"/>
      <c r="CW99" s="148"/>
      <c r="CX99" s="148"/>
      <c r="CY99" s="148"/>
      <c r="CZ99" s="148"/>
      <c r="DA99" s="148"/>
      <c r="DB99" s="148"/>
      <c r="DC99" s="148"/>
      <c r="DD99" s="148"/>
      <c r="DE99" s="148"/>
      <c r="DF99" s="148"/>
      <c r="DG99" s="148"/>
      <c r="DH99" s="148"/>
      <c r="DI99" s="148"/>
      <c r="DJ99" s="148"/>
      <c r="DK99" s="148"/>
      <c r="DL99" s="148"/>
      <c r="DM99" s="148"/>
      <c r="DN99" s="148"/>
      <c r="DO99" s="148"/>
      <c r="DP99" s="148"/>
      <c r="DQ99" s="148"/>
      <c r="DR99" s="148"/>
      <c r="DS99" s="148"/>
      <c r="DT99" s="148"/>
      <c r="DU99" s="148"/>
      <c r="DV99" s="148"/>
      <c r="DW99" s="148"/>
      <c r="DX99" s="148"/>
      <c r="DY99" s="148"/>
      <c r="DZ99" s="148"/>
      <c r="EA99" s="148"/>
      <c r="EB99" s="148"/>
      <c r="EC99" s="148"/>
      <c r="ED99" s="148"/>
      <c r="EE99" s="148"/>
      <c r="EF99" s="148"/>
      <c r="EG99" s="148"/>
      <c r="EH99" s="148"/>
      <c r="EI99" s="148"/>
      <c r="EJ99" s="148"/>
      <c r="EK99" s="148"/>
      <c r="EL99" s="148"/>
      <c r="EM99" s="148"/>
      <c r="EN99" s="148"/>
      <c r="EO99" s="148"/>
      <c r="EP99" s="148"/>
      <c r="EQ99" s="148"/>
      <c r="ER99" s="148"/>
      <c r="ES99" s="148"/>
      <c r="ET99" s="148"/>
      <c r="EU99" s="148"/>
      <c r="EV99" s="148"/>
      <c r="EW99" s="148"/>
      <c r="EX99" s="148"/>
      <c r="EY99" s="148"/>
      <c r="EZ99" s="148"/>
      <c r="FA99" s="148"/>
      <c r="FB99" s="148"/>
      <c r="FC99" s="148"/>
      <c r="FD99" s="148"/>
      <c r="FE99" s="148"/>
      <c r="FF99" s="148"/>
      <c r="FG99" s="148"/>
      <c r="FH99" s="148"/>
      <c r="FI99" s="148"/>
      <c r="FJ99" s="148"/>
      <c r="FK99" s="148"/>
      <c r="FL99" s="148"/>
      <c r="FM99" s="148"/>
      <c r="FN99" s="148"/>
      <c r="FO99" s="148"/>
      <c r="FP99" s="148"/>
      <c r="FQ99" s="148"/>
      <c r="FR99" s="148"/>
      <c r="FS99" s="148"/>
      <c r="FT99" s="148"/>
      <c r="FU99" s="148"/>
      <c r="FV99" s="148"/>
      <c r="FW99" s="148"/>
      <c r="FX99" s="148"/>
      <c r="FY99" s="148"/>
      <c r="FZ99" s="148"/>
      <c r="GA99" s="148"/>
      <c r="GB99" s="148"/>
      <c r="GC99" s="148"/>
      <c r="GD99" s="148"/>
      <c r="GE99" s="148"/>
      <c r="GF99" s="148"/>
      <c r="GG99" s="148"/>
      <c r="GH99" s="148"/>
      <c r="GI99" s="148"/>
      <c r="GJ99" s="148"/>
      <c r="GK99" s="148"/>
      <c r="GL99" s="148"/>
      <c r="GM99" s="148"/>
      <c r="GN99" s="148"/>
      <c r="GO99" s="148"/>
      <c r="GP99" s="148"/>
      <c r="GQ99" s="148"/>
      <c r="GR99" s="148"/>
      <c r="GS99" s="148"/>
      <c r="GT99" s="148"/>
      <c r="GU99" s="148"/>
      <c r="GV99" s="148"/>
      <c r="GW99" s="148"/>
      <c r="GX99" s="148"/>
      <c r="GY99" s="148"/>
      <c r="GZ99" s="148"/>
      <c r="HA99" s="148"/>
      <c r="HB99" s="148"/>
      <c r="HC99" s="148"/>
      <c r="HD99" s="148"/>
      <c r="HE99" s="148"/>
      <c r="HF99" s="148"/>
      <c r="HG99" s="148"/>
      <c r="HH99" s="148"/>
      <c r="HI99" s="148"/>
      <c r="HJ99" s="148"/>
      <c r="HK99" s="148"/>
      <c r="HL99" s="148"/>
      <c r="HM99" s="148"/>
      <c r="HN99" s="148"/>
      <c r="HO99" s="148"/>
      <c r="HP99" s="148"/>
      <c r="HQ99" s="148"/>
      <c r="HR99" s="148"/>
      <c r="HS99" s="148"/>
      <c r="HT99" s="148"/>
      <c r="HU99" s="148"/>
      <c r="HV99" s="148"/>
      <c r="HW99" s="148"/>
      <c r="HX99" s="148"/>
      <c r="HY99" s="148"/>
      <c r="HZ99" s="148"/>
      <c r="IA99" s="148"/>
      <c r="IB99" s="148"/>
      <c r="IC99" s="148"/>
      <c r="ID99" s="148"/>
      <c r="IE99" s="148"/>
      <c r="IF99" s="148"/>
      <c r="IG99" s="148"/>
      <c r="IH99" s="148"/>
      <c r="II99" s="148"/>
      <c r="IJ99" s="148"/>
      <c r="IK99" s="148"/>
      <c r="IL99" s="148"/>
      <c r="IM99" s="148"/>
      <c r="IN99" s="148"/>
      <c r="IO99" s="148"/>
      <c r="IP99" s="148"/>
      <c r="IQ99" s="148"/>
      <c r="IR99" s="148"/>
      <c r="IS99" s="148"/>
      <c r="IT99" s="148"/>
      <c r="IU99" s="148"/>
      <c r="IV99" s="148"/>
      <c r="IW99" s="148"/>
      <c r="IX99" s="148"/>
      <c r="IY99" s="148"/>
      <c r="IZ99" s="148"/>
      <c r="JA99" s="148"/>
      <c r="JB99" s="148"/>
      <c r="JC99" s="148"/>
      <c r="JD99" s="148"/>
      <c r="JE99" s="148"/>
      <c r="JF99" s="148"/>
      <c r="JG99" s="148"/>
      <c r="JH99" s="148"/>
      <c r="JI99" s="148"/>
      <c r="JJ99" s="148"/>
      <c r="JK99" s="148"/>
      <c r="JL99" s="148"/>
      <c r="JM99" s="148"/>
      <c r="JN99" s="148"/>
      <c r="JO99" s="148"/>
      <c r="JP99" s="148"/>
      <c r="JQ99" s="148"/>
      <c r="JR99" s="148"/>
      <c r="JS99" s="148"/>
      <c r="JT99" s="148"/>
      <c r="JU99" s="148"/>
      <c r="JV99" s="148"/>
      <c r="JW99" s="148"/>
      <c r="JX99" s="148"/>
      <c r="JY99" s="148"/>
      <c r="JZ99" s="148"/>
      <c r="KA99" s="148"/>
      <c r="KB99" s="148"/>
      <c r="KC99" s="148"/>
      <c r="KD99" s="148"/>
      <c r="KE99" s="148"/>
      <c r="KF99" s="148"/>
      <c r="KG99" s="148"/>
      <c r="KH99" s="148"/>
      <c r="KI99" s="148"/>
      <c r="KJ99" s="148"/>
      <c r="KK99" s="148"/>
      <c r="KL99" s="148"/>
      <c r="KM99" s="148"/>
      <c r="KN99" s="148"/>
      <c r="KO99" s="148"/>
      <c r="KP99" s="148"/>
      <c r="KQ99" s="148"/>
      <c r="KR99" s="148"/>
      <c r="KS99" s="148"/>
      <c r="KT99" s="148"/>
      <c r="KU99" s="148"/>
      <c r="KV99" s="148"/>
      <c r="KW99" s="148"/>
      <c r="KX99" s="148"/>
      <c r="KY99" s="148"/>
      <c r="KZ99" s="148"/>
      <c r="LA99" s="148"/>
      <c r="LB99" s="148"/>
      <c r="LC99" s="148"/>
      <c r="LD99" s="148"/>
      <c r="LE99" s="148"/>
      <c r="LF99" s="148"/>
      <c r="LG99" s="148"/>
      <c r="LH99" s="148"/>
      <c r="LI99" s="148"/>
      <c r="LJ99" s="148"/>
      <c r="LK99" s="148"/>
      <c r="LL99" s="148"/>
      <c r="LM99" s="148"/>
      <c r="LN99" s="148"/>
      <c r="LO99" s="148"/>
      <c r="LP99" s="148"/>
      <c r="LQ99" s="148"/>
      <c r="LR99" s="148"/>
      <c r="LS99" s="148"/>
      <c r="LT99" s="148"/>
      <c r="LU99" s="148"/>
      <c r="LV99" s="148"/>
      <c r="LW99" s="148"/>
      <c r="LX99" s="148"/>
      <c r="LY99" s="148"/>
      <c r="LZ99" s="148"/>
      <c r="MA99" s="148"/>
      <c r="MB99" s="148"/>
      <c r="MC99" s="148"/>
      <c r="MD99" s="148"/>
      <c r="ME99" s="148"/>
      <c r="MF99" s="148"/>
      <c r="MG99" s="148"/>
      <c r="MH99" s="148"/>
      <c r="MI99" s="148"/>
      <c r="MJ99" s="148"/>
      <c r="MK99" s="148"/>
      <c r="ML99" s="148"/>
      <c r="MM99" s="148"/>
      <c r="MN99" s="148"/>
      <c r="MO99" s="148"/>
      <c r="MP99" s="148"/>
      <c r="MQ99" s="148"/>
      <c r="MR99" s="148"/>
      <c r="MS99" s="148"/>
      <c r="MT99" s="148"/>
      <c r="MU99" s="148"/>
      <c r="MV99" s="148"/>
      <c r="MW99" s="148"/>
      <c r="MX99" s="148"/>
      <c r="MY99" s="148"/>
      <c r="MZ99" s="148"/>
      <c r="NA99" s="148"/>
      <c r="NB99" s="148"/>
      <c r="NC99" s="148"/>
      <c r="ND99" s="148"/>
      <c r="NE99" s="148"/>
      <c r="NF99" s="148"/>
      <c r="NG99" s="148"/>
      <c r="NH99" s="148"/>
      <c r="NI99" s="148"/>
      <c r="NJ99" s="148"/>
      <c r="NK99" s="148"/>
      <c r="NL99" s="148"/>
      <c r="NM99" s="148"/>
      <c r="NN99" s="148"/>
      <c r="NO99" s="148"/>
      <c r="NP99" s="148"/>
      <c r="NQ99" s="148"/>
      <c r="NR99" s="148"/>
      <c r="NS99" s="148"/>
      <c r="NT99" s="148"/>
      <c r="NU99" s="148"/>
      <c r="NV99" s="148"/>
      <c r="NW99" s="148"/>
      <c r="NX99" s="148"/>
      <c r="NY99" s="148"/>
      <c r="NZ99" s="148"/>
      <c r="OA99" s="148"/>
      <c r="OB99" s="148"/>
      <c r="OC99" s="148"/>
      <c r="OD99" s="148"/>
      <c r="OE99" s="148"/>
      <c r="OF99" s="148"/>
      <c r="OG99" s="148"/>
      <c r="OH99" s="148"/>
      <c r="OI99" s="148"/>
      <c r="OJ99" s="148"/>
      <c r="OK99" s="148"/>
      <c r="OL99" s="148"/>
      <c r="OM99" s="148"/>
      <c r="ON99" s="148"/>
      <c r="OO99" s="148"/>
      <c r="OP99" s="148"/>
      <c r="OQ99" s="148"/>
      <c r="OR99" s="148"/>
      <c r="OS99" s="148"/>
      <c r="OT99" s="148"/>
      <c r="OU99" s="148"/>
      <c r="OV99" s="148"/>
      <c r="OW99" s="148"/>
      <c r="OX99" s="148"/>
      <c r="OY99" s="148"/>
      <c r="OZ99" s="148"/>
      <c r="PA99" s="148"/>
      <c r="PB99" s="148"/>
      <c r="PC99" s="148"/>
      <c r="PD99" s="148"/>
      <c r="PE99" s="148"/>
      <c r="PF99" s="148"/>
      <c r="PG99" s="148"/>
      <c r="PH99" s="148"/>
      <c r="PI99" s="148"/>
      <c r="PJ99" s="148"/>
      <c r="PK99" s="148"/>
      <c r="PL99" s="148"/>
      <c r="PM99" s="148"/>
      <c r="PN99" s="148"/>
      <c r="PO99" s="148"/>
      <c r="PP99" s="148"/>
      <c r="PQ99" s="148"/>
      <c r="PR99" s="148"/>
      <c r="PS99" s="148"/>
      <c r="PT99" s="148"/>
      <c r="PU99" s="148"/>
      <c r="PV99" s="148"/>
      <c r="PW99" s="148"/>
      <c r="PX99" s="148"/>
      <c r="PY99" s="148"/>
      <c r="PZ99" s="148"/>
      <c r="QA99" s="148"/>
      <c r="QB99" s="148"/>
      <c r="QC99" s="148"/>
      <c r="QD99" s="148"/>
      <c r="QE99" s="148"/>
      <c r="QF99" s="148"/>
      <c r="QG99" s="148"/>
      <c r="QH99" s="148"/>
      <c r="QI99" s="148"/>
      <c r="QJ99" s="148"/>
      <c r="QK99" s="148"/>
      <c r="QL99" s="148"/>
      <c r="QM99" s="148"/>
      <c r="QN99" s="148"/>
      <c r="QO99" s="148"/>
      <c r="QP99" s="148"/>
      <c r="QQ99" s="148"/>
      <c r="QR99" s="148"/>
      <c r="QS99" s="148"/>
      <c r="QT99" s="148"/>
      <c r="QU99" s="148"/>
      <c r="QV99" s="148"/>
      <c r="QW99" s="148"/>
      <c r="QX99" s="148"/>
      <c r="QY99" s="148"/>
      <c r="QZ99" s="148"/>
      <c r="RA99" s="148"/>
      <c r="RB99" s="148"/>
      <c r="RC99" s="148"/>
      <c r="RD99" s="148"/>
      <c r="RE99" s="148"/>
      <c r="RF99" s="148"/>
      <c r="RG99" s="148"/>
      <c r="RH99" s="148"/>
      <c r="RI99" s="148"/>
      <c r="RJ99" s="148"/>
      <c r="RK99" s="148"/>
      <c r="RL99" s="148"/>
      <c r="RM99" s="148"/>
      <c r="RN99" s="148"/>
      <c r="RO99" s="148"/>
      <c r="RP99" s="148"/>
      <c r="RQ99" s="148"/>
      <c r="RR99" s="148"/>
    </row>
    <row r="100" spans="1:486" s="15" customFormat="1" hidden="1" x14ac:dyDescent="0.25">
      <c r="A100" s="148"/>
      <c r="B100" s="350">
        <v>90</v>
      </c>
      <c r="C100" s="650"/>
      <c r="D100" s="16"/>
      <c r="E100" s="344"/>
      <c r="F100" s="344"/>
      <c r="G100" s="17"/>
      <c r="H100" s="317"/>
      <c r="I100" s="346"/>
      <c r="J100" s="341"/>
      <c r="K100" s="633"/>
      <c r="L100" s="633"/>
      <c r="M100" s="633"/>
      <c r="N100" s="633"/>
      <c r="O100" s="633"/>
      <c r="P100" s="633"/>
      <c r="Q100" s="633"/>
      <c r="R100" s="633"/>
      <c r="S100" s="633"/>
      <c r="T100" s="633"/>
      <c r="U100" s="633"/>
      <c r="V100" s="633"/>
      <c r="W100" s="633"/>
      <c r="X100" s="633"/>
      <c r="Y100" s="633">
        <f t="shared" si="3"/>
        <v>0</v>
      </c>
      <c r="Z100" s="637"/>
      <c r="AA100" s="19"/>
      <c r="AB100" s="315"/>
      <c r="AC100" s="315"/>
      <c r="AD100" s="652"/>
      <c r="AE100" s="20"/>
      <c r="AF100" s="21"/>
      <c r="AG100" s="23"/>
      <c r="AH100" s="637"/>
      <c r="AI100" s="19"/>
      <c r="AJ100" s="21"/>
      <c r="AK100" s="25"/>
      <c r="AL100" s="309"/>
      <c r="AM100" s="19"/>
      <c r="AN100" s="21"/>
      <c r="AO100" s="25"/>
      <c r="AP100" s="309"/>
      <c r="AQ100" s="19"/>
      <c r="AR100" s="21"/>
      <c r="AS100" s="25"/>
      <c r="AT100" s="638">
        <f t="shared" si="4"/>
        <v>0</v>
      </c>
      <c r="AU100" s="311">
        <f t="shared" si="0"/>
        <v>0</v>
      </c>
      <c r="AV100" s="148"/>
      <c r="AW100" s="148"/>
      <c r="AX100" s="148"/>
      <c r="AY100" s="148"/>
      <c r="AZ100" s="148"/>
      <c r="BA100" s="148"/>
      <c r="BB100" s="148"/>
      <c r="BC100" s="148"/>
      <c r="BD100" s="148"/>
      <c r="BE100" s="148"/>
      <c r="BF100" s="148"/>
      <c r="BG100" s="148"/>
      <c r="BH100" s="148"/>
      <c r="BI100" s="148"/>
      <c r="BJ100" s="148"/>
      <c r="BK100" s="148"/>
      <c r="BL100" s="148"/>
      <c r="BM100" s="148"/>
      <c r="BN100" s="148"/>
      <c r="BO100" s="148"/>
      <c r="BP100" s="148"/>
      <c r="BQ100" s="148"/>
      <c r="BR100" s="148"/>
      <c r="BS100" s="148"/>
      <c r="BT100" s="148"/>
      <c r="BU100" s="148"/>
      <c r="BV100" s="148"/>
      <c r="BW100" s="148"/>
      <c r="BX100" s="148"/>
      <c r="BY100" s="148"/>
      <c r="BZ100" s="148"/>
      <c r="CA100" s="148"/>
      <c r="CB100" s="148"/>
      <c r="CC100" s="148"/>
      <c r="CD100" s="148"/>
      <c r="CE100" s="148"/>
      <c r="CF100" s="148"/>
      <c r="CG100" s="148"/>
      <c r="CH100" s="148"/>
      <c r="CI100" s="148"/>
      <c r="CJ100" s="148"/>
      <c r="CK100" s="148"/>
      <c r="CL100" s="148"/>
      <c r="CM100" s="148"/>
      <c r="CN100" s="148"/>
      <c r="CO100" s="148"/>
      <c r="CP100" s="148"/>
      <c r="CQ100" s="148"/>
      <c r="CR100" s="148"/>
      <c r="CS100" s="148"/>
      <c r="CT100" s="148"/>
      <c r="CU100" s="148"/>
      <c r="CV100" s="148"/>
      <c r="CW100" s="148"/>
      <c r="CX100" s="148"/>
      <c r="CY100" s="148"/>
      <c r="CZ100" s="148"/>
      <c r="DA100" s="148"/>
      <c r="DB100" s="148"/>
      <c r="DC100" s="148"/>
      <c r="DD100" s="148"/>
      <c r="DE100" s="148"/>
      <c r="DF100" s="148"/>
      <c r="DG100" s="148"/>
      <c r="DH100" s="148"/>
      <c r="DI100" s="148"/>
      <c r="DJ100" s="148"/>
      <c r="DK100" s="148"/>
      <c r="DL100" s="148"/>
      <c r="DM100" s="148"/>
      <c r="DN100" s="148"/>
      <c r="DO100" s="148"/>
      <c r="DP100" s="148"/>
      <c r="DQ100" s="148"/>
      <c r="DR100" s="148"/>
      <c r="DS100" s="148"/>
      <c r="DT100" s="148"/>
      <c r="DU100" s="148"/>
      <c r="DV100" s="148"/>
      <c r="DW100" s="148"/>
      <c r="DX100" s="148"/>
      <c r="DY100" s="148"/>
      <c r="DZ100" s="148"/>
      <c r="EA100" s="148"/>
      <c r="EB100" s="148"/>
      <c r="EC100" s="148"/>
      <c r="ED100" s="148"/>
      <c r="EE100" s="148"/>
      <c r="EF100" s="148"/>
      <c r="EG100" s="148"/>
      <c r="EH100" s="148"/>
      <c r="EI100" s="148"/>
      <c r="EJ100" s="148"/>
      <c r="EK100" s="148"/>
      <c r="EL100" s="148"/>
      <c r="EM100" s="148"/>
      <c r="EN100" s="148"/>
      <c r="EO100" s="148"/>
      <c r="EP100" s="148"/>
      <c r="EQ100" s="148"/>
      <c r="ER100" s="148"/>
      <c r="ES100" s="148"/>
      <c r="ET100" s="148"/>
      <c r="EU100" s="148"/>
      <c r="EV100" s="148"/>
      <c r="EW100" s="148"/>
      <c r="EX100" s="148"/>
      <c r="EY100" s="148"/>
      <c r="EZ100" s="148"/>
      <c r="FA100" s="148"/>
      <c r="FB100" s="148"/>
      <c r="FC100" s="148"/>
      <c r="FD100" s="148"/>
      <c r="FE100" s="148"/>
      <c r="FF100" s="148"/>
      <c r="FG100" s="148"/>
      <c r="FH100" s="148"/>
      <c r="FI100" s="148"/>
      <c r="FJ100" s="148"/>
      <c r="FK100" s="148"/>
      <c r="FL100" s="148"/>
      <c r="FM100" s="148"/>
      <c r="FN100" s="148"/>
      <c r="FO100" s="148"/>
      <c r="FP100" s="148"/>
      <c r="FQ100" s="148"/>
      <c r="FR100" s="148"/>
      <c r="FS100" s="148"/>
      <c r="FT100" s="148"/>
      <c r="FU100" s="148"/>
      <c r="FV100" s="148"/>
      <c r="FW100" s="148"/>
      <c r="FX100" s="148"/>
      <c r="FY100" s="148"/>
      <c r="FZ100" s="148"/>
      <c r="GA100" s="148"/>
      <c r="GB100" s="148"/>
      <c r="GC100" s="148"/>
      <c r="GD100" s="148"/>
      <c r="GE100" s="148"/>
      <c r="GF100" s="148"/>
      <c r="GG100" s="148"/>
      <c r="GH100" s="148"/>
      <c r="GI100" s="148"/>
      <c r="GJ100" s="148"/>
      <c r="GK100" s="148"/>
      <c r="GL100" s="148"/>
      <c r="GM100" s="148"/>
      <c r="GN100" s="148"/>
      <c r="GO100" s="148"/>
      <c r="GP100" s="148"/>
      <c r="GQ100" s="148"/>
      <c r="GR100" s="148"/>
      <c r="GS100" s="148"/>
      <c r="GT100" s="148"/>
      <c r="GU100" s="148"/>
      <c r="GV100" s="148"/>
      <c r="GW100" s="148"/>
      <c r="GX100" s="148"/>
      <c r="GY100" s="148"/>
      <c r="GZ100" s="148"/>
      <c r="HA100" s="148"/>
      <c r="HB100" s="148"/>
      <c r="HC100" s="148"/>
      <c r="HD100" s="148"/>
      <c r="HE100" s="148"/>
      <c r="HF100" s="148"/>
      <c r="HG100" s="148"/>
      <c r="HH100" s="148"/>
      <c r="HI100" s="148"/>
      <c r="HJ100" s="148"/>
      <c r="HK100" s="148"/>
      <c r="HL100" s="148"/>
      <c r="HM100" s="148"/>
      <c r="HN100" s="148"/>
      <c r="HO100" s="148"/>
      <c r="HP100" s="148"/>
      <c r="HQ100" s="148"/>
      <c r="HR100" s="148"/>
      <c r="HS100" s="148"/>
      <c r="HT100" s="148"/>
      <c r="HU100" s="148"/>
      <c r="HV100" s="148"/>
      <c r="HW100" s="148"/>
      <c r="HX100" s="148"/>
      <c r="HY100" s="148"/>
      <c r="HZ100" s="148"/>
      <c r="IA100" s="148"/>
      <c r="IB100" s="148"/>
      <c r="IC100" s="148"/>
      <c r="ID100" s="148"/>
      <c r="IE100" s="148"/>
      <c r="IF100" s="148"/>
      <c r="IG100" s="148"/>
      <c r="IH100" s="148"/>
      <c r="II100" s="148"/>
      <c r="IJ100" s="148"/>
      <c r="IK100" s="148"/>
      <c r="IL100" s="148"/>
      <c r="IM100" s="148"/>
      <c r="IN100" s="148"/>
      <c r="IO100" s="148"/>
      <c r="IP100" s="148"/>
      <c r="IQ100" s="148"/>
      <c r="IR100" s="148"/>
      <c r="IS100" s="148"/>
      <c r="IT100" s="148"/>
      <c r="IU100" s="148"/>
      <c r="IV100" s="148"/>
      <c r="IW100" s="148"/>
      <c r="IX100" s="148"/>
      <c r="IY100" s="148"/>
      <c r="IZ100" s="148"/>
      <c r="JA100" s="148"/>
      <c r="JB100" s="148"/>
      <c r="JC100" s="148"/>
      <c r="JD100" s="148"/>
      <c r="JE100" s="148"/>
      <c r="JF100" s="148"/>
      <c r="JG100" s="148"/>
      <c r="JH100" s="148"/>
      <c r="JI100" s="148"/>
      <c r="JJ100" s="148"/>
      <c r="JK100" s="148"/>
      <c r="JL100" s="148"/>
      <c r="JM100" s="148"/>
      <c r="JN100" s="148"/>
      <c r="JO100" s="148"/>
      <c r="JP100" s="148"/>
      <c r="JQ100" s="148"/>
      <c r="JR100" s="148"/>
      <c r="JS100" s="148"/>
      <c r="JT100" s="148"/>
      <c r="JU100" s="148"/>
      <c r="JV100" s="148"/>
      <c r="JW100" s="148"/>
      <c r="JX100" s="148"/>
      <c r="JY100" s="148"/>
      <c r="JZ100" s="148"/>
      <c r="KA100" s="148"/>
      <c r="KB100" s="148"/>
      <c r="KC100" s="148"/>
      <c r="KD100" s="148"/>
      <c r="KE100" s="148"/>
      <c r="KF100" s="148"/>
      <c r="KG100" s="148"/>
      <c r="KH100" s="148"/>
      <c r="KI100" s="148"/>
      <c r="KJ100" s="148"/>
      <c r="KK100" s="148"/>
      <c r="KL100" s="148"/>
      <c r="KM100" s="148"/>
      <c r="KN100" s="148"/>
      <c r="KO100" s="148"/>
      <c r="KP100" s="148"/>
      <c r="KQ100" s="148"/>
      <c r="KR100" s="148"/>
      <c r="KS100" s="148"/>
      <c r="KT100" s="148"/>
      <c r="KU100" s="148"/>
      <c r="KV100" s="148"/>
      <c r="KW100" s="148"/>
      <c r="KX100" s="148"/>
      <c r="KY100" s="148"/>
      <c r="KZ100" s="148"/>
      <c r="LA100" s="148"/>
      <c r="LB100" s="148"/>
      <c r="LC100" s="148"/>
      <c r="LD100" s="148"/>
      <c r="LE100" s="148"/>
      <c r="LF100" s="148"/>
      <c r="LG100" s="148"/>
      <c r="LH100" s="148"/>
      <c r="LI100" s="148"/>
      <c r="LJ100" s="148"/>
      <c r="LK100" s="148"/>
      <c r="LL100" s="148"/>
      <c r="LM100" s="148"/>
      <c r="LN100" s="148"/>
      <c r="LO100" s="148"/>
      <c r="LP100" s="148"/>
      <c r="LQ100" s="148"/>
      <c r="LR100" s="148"/>
      <c r="LS100" s="148"/>
      <c r="LT100" s="148"/>
      <c r="LU100" s="148"/>
      <c r="LV100" s="148"/>
      <c r="LW100" s="148"/>
      <c r="LX100" s="148"/>
      <c r="LY100" s="148"/>
      <c r="LZ100" s="148"/>
      <c r="MA100" s="148"/>
      <c r="MB100" s="148"/>
      <c r="MC100" s="148"/>
      <c r="MD100" s="148"/>
      <c r="ME100" s="148"/>
      <c r="MF100" s="148"/>
      <c r="MG100" s="148"/>
      <c r="MH100" s="148"/>
      <c r="MI100" s="148"/>
      <c r="MJ100" s="148"/>
      <c r="MK100" s="148"/>
      <c r="ML100" s="148"/>
      <c r="MM100" s="148"/>
      <c r="MN100" s="148"/>
      <c r="MO100" s="148"/>
      <c r="MP100" s="148"/>
      <c r="MQ100" s="148"/>
      <c r="MR100" s="148"/>
      <c r="MS100" s="148"/>
      <c r="MT100" s="148"/>
      <c r="MU100" s="148"/>
      <c r="MV100" s="148"/>
      <c r="MW100" s="148"/>
      <c r="MX100" s="148"/>
      <c r="MY100" s="148"/>
      <c r="MZ100" s="148"/>
      <c r="NA100" s="148"/>
      <c r="NB100" s="148"/>
      <c r="NC100" s="148"/>
      <c r="ND100" s="148"/>
      <c r="NE100" s="148"/>
      <c r="NF100" s="148"/>
      <c r="NG100" s="148"/>
      <c r="NH100" s="148"/>
      <c r="NI100" s="148"/>
      <c r="NJ100" s="148"/>
      <c r="NK100" s="148"/>
      <c r="NL100" s="148"/>
      <c r="NM100" s="148"/>
      <c r="NN100" s="148"/>
      <c r="NO100" s="148"/>
      <c r="NP100" s="148"/>
      <c r="NQ100" s="148"/>
      <c r="NR100" s="148"/>
      <c r="NS100" s="148"/>
      <c r="NT100" s="148"/>
      <c r="NU100" s="148"/>
      <c r="NV100" s="148"/>
      <c r="NW100" s="148"/>
      <c r="NX100" s="148"/>
      <c r="NY100" s="148"/>
      <c r="NZ100" s="148"/>
      <c r="OA100" s="148"/>
      <c r="OB100" s="148"/>
      <c r="OC100" s="148"/>
      <c r="OD100" s="148"/>
      <c r="OE100" s="148"/>
      <c r="OF100" s="148"/>
      <c r="OG100" s="148"/>
      <c r="OH100" s="148"/>
      <c r="OI100" s="148"/>
      <c r="OJ100" s="148"/>
      <c r="OK100" s="148"/>
      <c r="OL100" s="148"/>
      <c r="OM100" s="148"/>
      <c r="ON100" s="148"/>
      <c r="OO100" s="148"/>
      <c r="OP100" s="148"/>
      <c r="OQ100" s="148"/>
      <c r="OR100" s="148"/>
      <c r="OS100" s="148"/>
      <c r="OT100" s="148"/>
      <c r="OU100" s="148"/>
      <c r="OV100" s="148"/>
      <c r="OW100" s="148"/>
      <c r="OX100" s="148"/>
      <c r="OY100" s="148"/>
      <c r="OZ100" s="148"/>
      <c r="PA100" s="148"/>
      <c r="PB100" s="148"/>
      <c r="PC100" s="148"/>
      <c r="PD100" s="148"/>
      <c r="PE100" s="148"/>
      <c r="PF100" s="148"/>
      <c r="PG100" s="148"/>
      <c r="PH100" s="148"/>
      <c r="PI100" s="148"/>
      <c r="PJ100" s="148"/>
      <c r="PK100" s="148"/>
      <c r="PL100" s="148"/>
      <c r="PM100" s="148"/>
      <c r="PN100" s="148"/>
      <c r="PO100" s="148"/>
      <c r="PP100" s="148"/>
      <c r="PQ100" s="148"/>
      <c r="PR100" s="148"/>
      <c r="PS100" s="148"/>
      <c r="PT100" s="148"/>
      <c r="PU100" s="148"/>
      <c r="PV100" s="148"/>
      <c r="PW100" s="148"/>
      <c r="PX100" s="148"/>
      <c r="PY100" s="148"/>
      <c r="PZ100" s="148"/>
      <c r="QA100" s="148"/>
      <c r="QB100" s="148"/>
      <c r="QC100" s="148"/>
      <c r="QD100" s="148"/>
      <c r="QE100" s="148"/>
      <c r="QF100" s="148"/>
      <c r="QG100" s="148"/>
      <c r="QH100" s="148"/>
      <c r="QI100" s="148"/>
      <c r="QJ100" s="148"/>
      <c r="QK100" s="148"/>
      <c r="QL100" s="148"/>
      <c r="QM100" s="148"/>
      <c r="QN100" s="148"/>
      <c r="QO100" s="148"/>
      <c r="QP100" s="148"/>
      <c r="QQ100" s="148"/>
      <c r="QR100" s="148"/>
      <c r="QS100" s="148"/>
      <c r="QT100" s="148"/>
      <c r="QU100" s="148"/>
      <c r="QV100" s="148"/>
      <c r="QW100" s="148"/>
      <c r="QX100" s="148"/>
      <c r="QY100" s="148"/>
      <c r="QZ100" s="148"/>
      <c r="RA100" s="148"/>
      <c r="RB100" s="148"/>
      <c r="RC100" s="148"/>
      <c r="RD100" s="148"/>
      <c r="RE100" s="148"/>
      <c r="RF100" s="148"/>
      <c r="RG100" s="148"/>
      <c r="RH100" s="148"/>
      <c r="RI100" s="148"/>
      <c r="RJ100" s="148"/>
      <c r="RK100" s="148"/>
      <c r="RL100" s="148"/>
      <c r="RM100" s="148"/>
      <c r="RN100" s="148"/>
      <c r="RO100" s="148"/>
      <c r="RP100" s="148"/>
      <c r="RQ100" s="148"/>
      <c r="RR100" s="148"/>
    </row>
    <row r="101" spans="1:486" s="15" customFormat="1" hidden="1" x14ac:dyDescent="0.25">
      <c r="A101" s="148"/>
      <c r="B101" s="350">
        <v>91</v>
      </c>
      <c r="C101" s="650"/>
      <c r="D101" s="16"/>
      <c r="E101" s="344"/>
      <c r="F101" s="344"/>
      <c r="G101" s="17"/>
      <c r="H101" s="317"/>
      <c r="I101" s="346"/>
      <c r="J101" s="341"/>
      <c r="K101" s="633"/>
      <c r="L101" s="633"/>
      <c r="M101" s="633"/>
      <c r="N101" s="633"/>
      <c r="O101" s="633"/>
      <c r="P101" s="633"/>
      <c r="Q101" s="633"/>
      <c r="R101" s="633"/>
      <c r="S101" s="633"/>
      <c r="T101" s="633"/>
      <c r="U101" s="633"/>
      <c r="V101" s="633"/>
      <c r="W101" s="633"/>
      <c r="X101" s="633"/>
      <c r="Y101" s="633">
        <f t="shared" si="3"/>
        <v>0</v>
      </c>
      <c r="Z101" s="637"/>
      <c r="AA101" s="19"/>
      <c r="AB101" s="315"/>
      <c r="AC101" s="315"/>
      <c r="AD101" s="652"/>
      <c r="AE101" s="20"/>
      <c r="AF101" s="21"/>
      <c r="AG101" s="23"/>
      <c r="AH101" s="637"/>
      <c r="AI101" s="19"/>
      <c r="AJ101" s="21"/>
      <c r="AK101" s="25"/>
      <c r="AL101" s="309"/>
      <c r="AM101" s="19"/>
      <c r="AN101" s="21"/>
      <c r="AO101" s="25"/>
      <c r="AP101" s="309"/>
      <c r="AQ101" s="19"/>
      <c r="AR101" s="21"/>
      <c r="AS101" s="25"/>
      <c r="AT101" s="638">
        <f t="shared" si="4"/>
        <v>0</v>
      </c>
      <c r="AU101" s="311">
        <f t="shared" si="0"/>
        <v>0</v>
      </c>
      <c r="AV101" s="148"/>
      <c r="AW101" s="148"/>
      <c r="AX101" s="148"/>
      <c r="AY101" s="148"/>
      <c r="AZ101" s="148"/>
      <c r="BA101" s="148"/>
      <c r="BB101" s="148"/>
      <c r="BC101" s="148"/>
      <c r="BD101" s="148"/>
      <c r="BE101" s="148"/>
      <c r="BF101" s="148"/>
      <c r="BG101" s="148"/>
      <c r="BH101" s="148"/>
      <c r="BI101" s="148"/>
      <c r="BJ101" s="148"/>
      <c r="BK101" s="148"/>
      <c r="BL101" s="148"/>
      <c r="BM101" s="148"/>
      <c r="BN101" s="148"/>
      <c r="BO101" s="148"/>
      <c r="BP101" s="148"/>
      <c r="BQ101" s="148"/>
      <c r="BR101" s="148"/>
      <c r="BS101" s="148"/>
      <c r="BT101" s="148"/>
      <c r="BU101" s="148"/>
      <c r="BV101" s="148"/>
      <c r="BW101" s="148"/>
      <c r="BX101" s="148"/>
      <c r="BY101" s="148"/>
      <c r="BZ101" s="148"/>
      <c r="CA101" s="148"/>
      <c r="CB101" s="148"/>
      <c r="CC101" s="148"/>
      <c r="CD101" s="148"/>
      <c r="CE101" s="148"/>
      <c r="CF101" s="148"/>
      <c r="CG101" s="148"/>
      <c r="CH101" s="148"/>
      <c r="CI101" s="148"/>
      <c r="CJ101" s="148"/>
      <c r="CK101" s="148"/>
      <c r="CL101" s="148"/>
      <c r="CM101" s="148"/>
      <c r="CN101" s="148"/>
      <c r="CO101" s="148"/>
      <c r="CP101" s="148"/>
      <c r="CQ101" s="148"/>
      <c r="CR101" s="148"/>
      <c r="CS101" s="148"/>
      <c r="CT101" s="148"/>
      <c r="CU101" s="148"/>
      <c r="CV101" s="148"/>
      <c r="CW101" s="148"/>
      <c r="CX101" s="148"/>
      <c r="CY101" s="148"/>
      <c r="CZ101" s="148"/>
      <c r="DA101" s="148"/>
      <c r="DB101" s="148"/>
      <c r="DC101" s="148"/>
      <c r="DD101" s="148"/>
      <c r="DE101" s="148"/>
      <c r="DF101" s="148"/>
      <c r="DG101" s="148"/>
      <c r="DH101" s="148"/>
      <c r="DI101" s="148"/>
      <c r="DJ101" s="148"/>
      <c r="DK101" s="148"/>
      <c r="DL101" s="148"/>
      <c r="DM101" s="148"/>
      <c r="DN101" s="148"/>
      <c r="DO101" s="148"/>
      <c r="DP101" s="148"/>
      <c r="DQ101" s="148"/>
      <c r="DR101" s="148"/>
      <c r="DS101" s="148"/>
      <c r="DT101" s="148"/>
      <c r="DU101" s="148"/>
      <c r="DV101" s="148"/>
      <c r="DW101" s="148"/>
      <c r="DX101" s="148"/>
      <c r="DY101" s="148"/>
      <c r="DZ101" s="148"/>
      <c r="EA101" s="148"/>
      <c r="EB101" s="148"/>
      <c r="EC101" s="148"/>
      <c r="ED101" s="148"/>
      <c r="EE101" s="148"/>
      <c r="EF101" s="148"/>
      <c r="EG101" s="148"/>
      <c r="EH101" s="148"/>
      <c r="EI101" s="148"/>
      <c r="EJ101" s="148"/>
      <c r="EK101" s="148"/>
      <c r="EL101" s="148"/>
      <c r="EM101" s="148"/>
      <c r="EN101" s="148"/>
      <c r="EO101" s="148"/>
      <c r="EP101" s="148"/>
      <c r="EQ101" s="148"/>
      <c r="ER101" s="148"/>
      <c r="ES101" s="148"/>
      <c r="ET101" s="148"/>
      <c r="EU101" s="148"/>
      <c r="EV101" s="148"/>
      <c r="EW101" s="148"/>
      <c r="EX101" s="148"/>
      <c r="EY101" s="148"/>
      <c r="EZ101" s="148"/>
      <c r="FA101" s="148"/>
      <c r="FB101" s="148"/>
      <c r="FC101" s="148"/>
      <c r="FD101" s="148"/>
      <c r="FE101" s="148"/>
      <c r="FF101" s="148"/>
      <c r="FG101" s="148"/>
      <c r="FH101" s="148"/>
      <c r="FI101" s="148"/>
      <c r="FJ101" s="148"/>
      <c r="FK101" s="148"/>
      <c r="FL101" s="148"/>
      <c r="FM101" s="148"/>
      <c r="FN101" s="148"/>
      <c r="FO101" s="148"/>
      <c r="FP101" s="148"/>
      <c r="FQ101" s="148"/>
      <c r="FR101" s="148"/>
      <c r="FS101" s="148"/>
      <c r="FT101" s="148"/>
      <c r="FU101" s="148"/>
      <c r="FV101" s="148"/>
      <c r="FW101" s="148"/>
      <c r="FX101" s="148"/>
      <c r="FY101" s="148"/>
      <c r="FZ101" s="148"/>
      <c r="GA101" s="148"/>
      <c r="GB101" s="148"/>
      <c r="GC101" s="148"/>
      <c r="GD101" s="148"/>
      <c r="GE101" s="148"/>
      <c r="GF101" s="148"/>
      <c r="GG101" s="148"/>
      <c r="GH101" s="148"/>
      <c r="GI101" s="148"/>
      <c r="GJ101" s="148"/>
      <c r="GK101" s="148"/>
      <c r="GL101" s="148"/>
      <c r="GM101" s="148"/>
      <c r="GN101" s="148"/>
      <c r="GO101" s="148"/>
      <c r="GP101" s="148"/>
      <c r="GQ101" s="148"/>
      <c r="GR101" s="148"/>
      <c r="GS101" s="148"/>
      <c r="GT101" s="148"/>
      <c r="GU101" s="148"/>
      <c r="GV101" s="148"/>
      <c r="GW101" s="148"/>
      <c r="GX101" s="148"/>
      <c r="GY101" s="148"/>
      <c r="GZ101" s="148"/>
      <c r="HA101" s="148"/>
      <c r="HB101" s="148"/>
      <c r="HC101" s="148"/>
      <c r="HD101" s="148"/>
      <c r="HE101" s="148"/>
      <c r="HF101" s="148"/>
      <c r="HG101" s="148"/>
      <c r="HH101" s="148"/>
      <c r="HI101" s="148"/>
      <c r="HJ101" s="148"/>
      <c r="HK101" s="148"/>
      <c r="HL101" s="148"/>
      <c r="HM101" s="148"/>
      <c r="HN101" s="148"/>
      <c r="HO101" s="148"/>
      <c r="HP101" s="148"/>
      <c r="HQ101" s="148"/>
      <c r="HR101" s="148"/>
      <c r="HS101" s="148"/>
      <c r="HT101" s="148"/>
      <c r="HU101" s="148"/>
      <c r="HV101" s="148"/>
      <c r="HW101" s="148"/>
      <c r="HX101" s="148"/>
      <c r="HY101" s="148"/>
      <c r="HZ101" s="148"/>
      <c r="IA101" s="148"/>
      <c r="IB101" s="148"/>
      <c r="IC101" s="148"/>
      <c r="ID101" s="148"/>
      <c r="IE101" s="148"/>
      <c r="IF101" s="148"/>
      <c r="IG101" s="148"/>
      <c r="IH101" s="148"/>
      <c r="II101" s="148"/>
      <c r="IJ101" s="148"/>
      <c r="IK101" s="148"/>
      <c r="IL101" s="148"/>
      <c r="IM101" s="148"/>
      <c r="IN101" s="148"/>
      <c r="IO101" s="148"/>
      <c r="IP101" s="148"/>
      <c r="IQ101" s="148"/>
      <c r="IR101" s="148"/>
      <c r="IS101" s="148"/>
      <c r="IT101" s="148"/>
      <c r="IU101" s="148"/>
      <c r="IV101" s="148"/>
      <c r="IW101" s="148"/>
      <c r="IX101" s="148"/>
      <c r="IY101" s="148"/>
      <c r="IZ101" s="148"/>
      <c r="JA101" s="148"/>
      <c r="JB101" s="148"/>
      <c r="JC101" s="148"/>
      <c r="JD101" s="148"/>
      <c r="JE101" s="148"/>
      <c r="JF101" s="148"/>
      <c r="JG101" s="148"/>
      <c r="JH101" s="148"/>
      <c r="JI101" s="148"/>
      <c r="JJ101" s="148"/>
      <c r="JK101" s="148"/>
      <c r="JL101" s="148"/>
      <c r="JM101" s="148"/>
      <c r="JN101" s="148"/>
      <c r="JO101" s="148"/>
      <c r="JP101" s="148"/>
      <c r="JQ101" s="148"/>
      <c r="JR101" s="148"/>
      <c r="JS101" s="148"/>
      <c r="JT101" s="148"/>
      <c r="JU101" s="148"/>
      <c r="JV101" s="148"/>
      <c r="JW101" s="148"/>
      <c r="JX101" s="148"/>
      <c r="JY101" s="148"/>
      <c r="JZ101" s="148"/>
      <c r="KA101" s="148"/>
      <c r="KB101" s="148"/>
      <c r="KC101" s="148"/>
      <c r="KD101" s="148"/>
      <c r="KE101" s="148"/>
      <c r="KF101" s="148"/>
      <c r="KG101" s="148"/>
      <c r="KH101" s="148"/>
      <c r="KI101" s="148"/>
      <c r="KJ101" s="148"/>
      <c r="KK101" s="148"/>
      <c r="KL101" s="148"/>
      <c r="KM101" s="148"/>
      <c r="KN101" s="148"/>
      <c r="KO101" s="148"/>
      <c r="KP101" s="148"/>
      <c r="KQ101" s="148"/>
      <c r="KR101" s="148"/>
      <c r="KS101" s="148"/>
      <c r="KT101" s="148"/>
      <c r="KU101" s="148"/>
      <c r="KV101" s="148"/>
      <c r="KW101" s="148"/>
      <c r="KX101" s="148"/>
      <c r="KY101" s="148"/>
      <c r="KZ101" s="148"/>
      <c r="LA101" s="148"/>
      <c r="LB101" s="148"/>
      <c r="LC101" s="148"/>
      <c r="LD101" s="148"/>
      <c r="LE101" s="148"/>
      <c r="LF101" s="148"/>
      <c r="LG101" s="148"/>
      <c r="LH101" s="148"/>
      <c r="LI101" s="148"/>
      <c r="LJ101" s="148"/>
      <c r="LK101" s="148"/>
      <c r="LL101" s="148"/>
      <c r="LM101" s="148"/>
      <c r="LN101" s="148"/>
      <c r="LO101" s="148"/>
      <c r="LP101" s="148"/>
      <c r="LQ101" s="148"/>
      <c r="LR101" s="148"/>
      <c r="LS101" s="148"/>
      <c r="LT101" s="148"/>
      <c r="LU101" s="148"/>
      <c r="LV101" s="148"/>
      <c r="LW101" s="148"/>
      <c r="LX101" s="148"/>
      <c r="LY101" s="148"/>
      <c r="LZ101" s="148"/>
      <c r="MA101" s="148"/>
      <c r="MB101" s="148"/>
      <c r="MC101" s="148"/>
      <c r="MD101" s="148"/>
      <c r="ME101" s="148"/>
      <c r="MF101" s="148"/>
      <c r="MG101" s="148"/>
      <c r="MH101" s="148"/>
      <c r="MI101" s="148"/>
      <c r="MJ101" s="148"/>
      <c r="MK101" s="148"/>
      <c r="ML101" s="148"/>
      <c r="MM101" s="148"/>
      <c r="MN101" s="148"/>
      <c r="MO101" s="148"/>
      <c r="MP101" s="148"/>
      <c r="MQ101" s="148"/>
      <c r="MR101" s="148"/>
      <c r="MS101" s="148"/>
      <c r="MT101" s="148"/>
      <c r="MU101" s="148"/>
      <c r="MV101" s="148"/>
      <c r="MW101" s="148"/>
      <c r="MX101" s="148"/>
      <c r="MY101" s="148"/>
      <c r="MZ101" s="148"/>
      <c r="NA101" s="148"/>
      <c r="NB101" s="148"/>
      <c r="NC101" s="148"/>
      <c r="ND101" s="148"/>
      <c r="NE101" s="148"/>
      <c r="NF101" s="148"/>
      <c r="NG101" s="148"/>
      <c r="NH101" s="148"/>
      <c r="NI101" s="148"/>
      <c r="NJ101" s="148"/>
      <c r="NK101" s="148"/>
      <c r="NL101" s="148"/>
      <c r="NM101" s="148"/>
      <c r="NN101" s="148"/>
      <c r="NO101" s="148"/>
      <c r="NP101" s="148"/>
      <c r="NQ101" s="148"/>
      <c r="NR101" s="148"/>
      <c r="NS101" s="148"/>
      <c r="NT101" s="148"/>
      <c r="NU101" s="148"/>
      <c r="NV101" s="148"/>
      <c r="NW101" s="148"/>
      <c r="NX101" s="148"/>
      <c r="NY101" s="148"/>
      <c r="NZ101" s="148"/>
      <c r="OA101" s="148"/>
      <c r="OB101" s="148"/>
      <c r="OC101" s="148"/>
      <c r="OD101" s="148"/>
      <c r="OE101" s="148"/>
      <c r="OF101" s="148"/>
      <c r="OG101" s="148"/>
      <c r="OH101" s="148"/>
      <c r="OI101" s="148"/>
      <c r="OJ101" s="148"/>
      <c r="OK101" s="148"/>
      <c r="OL101" s="148"/>
      <c r="OM101" s="148"/>
      <c r="ON101" s="148"/>
      <c r="OO101" s="148"/>
      <c r="OP101" s="148"/>
      <c r="OQ101" s="148"/>
      <c r="OR101" s="148"/>
      <c r="OS101" s="148"/>
      <c r="OT101" s="148"/>
      <c r="OU101" s="148"/>
      <c r="OV101" s="148"/>
      <c r="OW101" s="148"/>
      <c r="OX101" s="148"/>
      <c r="OY101" s="148"/>
      <c r="OZ101" s="148"/>
      <c r="PA101" s="148"/>
      <c r="PB101" s="148"/>
      <c r="PC101" s="148"/>
      <c r="PD101" s="148"/>
      <c r="PE101" s="148"/>
      <c r="PF101" s="148"/>
      <c r="PG101" s="148"/>
      <c r="PH101" s="148"/>
      <c r="PI101" s="148"/>
      <c r="PJ101" s="148"/>
      <c r="PK101" s="148"/>
      <c r="PL101" s="148"/>
      <c r="PM101" s="148"/>
      <c r="PN101" s="148"/>
      <c r="PO101" s="148"/>
      <c r="PP101" s="148"/>
      <c r="PQ101" s="148"/>
      <c r="PR101" s="148"/>
      <c r="PS101" s="148"/>
      <c r="PT101" s="148"/>
      <c r="PU101" s="148"/>
      <c r="PV101" s="148"/>
      <c r="PW101" s="148"/>
      <c r="PX101" s="148"/>
      <c r="PY101" s="148"/>
      <c r="PZ101" s="148"/>
      <c r="QA101" s="148"/>
      <c r="QB101" s="148"/>
      <c r="QC101" s="148"/>
      <c r="QD101" s="148"/>
      <c r="QE101" s="148"/>
      <c r="QF101" s="148"/>
      <c r="QG101" s="148"/>
      <c r="QH101" s="148"/>
      <c r="QI101" s="148"/>
      <c r="QJ101" s="148"/>
      <c r="QK101" s="148"/>
      <c r="QL101" s="148"/>
      <c r="QM101" s="148"/>
      <c r="QN101" s="148"/>
      <c r="QO101" s="148"/>
      <c r="QP101" s="148"/>
      <c r="QQ101" s="148"/>
      <c r="QR101" s="148"/>
      <c r="QS101" s="148"/>
      <c r="QT101" s="148"/>
      <c r="QU101" s="148"/>
      <c r="QV101" s="148"/>
      <c r="QW101" s="148"/>
      <c r="QX101" s="148"/>
      <c r="QY101" s="148"/>
      <c r="QZ101" s="148"/>
      <c r="RA101" s="148"/>
      <c r="RB101" s="148"/>
      <c r="RC101" s="148"/>
      <c r="RD101" s="148"/>
      <c r="RE101" s="148"/>
      <c r="RF101" s="148"/>
      <c r="RG101" s="148"/>
      <c r="RH101" s="148"/>
      <c r="RI101" s="148"/>
      <c r="RJ101" s="148"/>
      <c r="RK101" s="148"/>
      <c r="RL101" s="148"/>
      <c r="RM101" s="148"/>
      <c r="RN101" s="148"/>
      <c r="RO101" s="148"/>
      <c r="RP101" s="148"/>
      <c r="RQ101" s="148"/>
      <c r="RR101" s="148"/>
    </row>
    <row r="102" spans="1:486" s="15" customFormat="1" hidden="1" x14ac:dyDescent="0.25">
      <c r="A102" s="148"/>
      <c r="B102" s="350">
        <v>92</v>
      </c>
      <c r="C102" s="650"/>
      <c r="D102" s="16"/>
      <c r="E102" s="344"/>
      <c r="F102" s="344"/>
      <c r="G102" s="17"/>
      <c r="H102" s="317"/>
      <c r="I102" s="346"/>
      <c r="J102" s="341"/>
      <c r="K102" s="633"/>
      <c r="L102" s="633"/>
      <c r="M102" s="633"/>
      <c r="N102" s="633"/>
      <c r="O102" s="633"/>
      <c r="P102" s="633"/>
      <c r="Q102" s="633"/>
      <c r="R102" s="633"/>
      <c r="S102" s="633"/>
      <c r="T102" s="633"/>
      <c r="U102" s="633"/>
      <c r="V102" s="633"/>
      <c r="W102" s="633"/>
      <c r="X102" s="633"/>
      <c r="Y102" s="633">
        <f t="shared" si="3"/>
        <v>0</v>
      </c>
      <c r="Z102" s="637"/>
      <c r="AA102" s="19"/>
      <c r="AB102" s="315"/>
      <c r="AC102" s="315"/>
      <c r="AD102" s="652"/>
      <c r="AE102" s="20"/>
      <c r="AF102" s="21"/>
      <c r="AG102" s="23"/>
      <c r="AH102" s="637"/>
      <c r="AI102" s="19"/>
      <c r="AJ102" s="21"/>
      <c r="AK102" s="25"/>
      <c r="AL102" s="309"/>
      <c r="AM102" s="19"/>
      <c r="AN102" s="21"/>
      <c r="AO102" s="25"/>
      <c r="AP102" s="309"/>
      <c r="AQ102" s="19"/>
      <c r="AR102" s="21"/>
      <c r="AS102" s="25"/>
      <c r="AT102" s="638">
        <f t="shared" si="4"/>
        <v>0</v>
      </c>
      <c r="AU102" s="311">
        <f t="shared" si="0"/>
        <v>0</v>
      </c>
      <c r="AV102" s="148"/>
      <c r="AW102" s="148"/>
      <c r="AX102" s="148"/>
      <c r="AY102" s="148"/>
      <c r="AZ102" s="148"/>
      <c r="BA102" s="148"/>
      <c r="BB102" s="148"/>
      <c r="BC102" s="148"/>
      <c r="BD102" s="148"/>
      <c r="BE102" s="148"/>
      <c r="BF102" s="148"/>
      <c r="BG102" s="148"/>
      <c r="BH102" s="148"/>
      <c r="BI102" s="148"/>
      <c r="BJ102" s="148"/>
      <c r="BK102" s="148"/>
      <c r="BL102" s="148"/>
      <c r="BM102" s="148"/>
      <c r="BN102" s="148"/>
      <c r="BO102" s="148"/>
      <c r="BP102" s="148"/>
      <c r="BQ102" s="148"/>
      <c r="BR102" s="148"/>
      <c r="BS102" s="148"/>
      <c r="BT102" s="148"/>
      <c r="BU102" s="148"/>
      <c r="BV102" s="148"/>
      <c r="BW102" s="148"/>
      <c r="BX102" s="148"/>
      <c r="BY102" s="148"/>
      <c r="BZ102" s="148"/>
      <c r="CA102" s="148"/>
      <c r="CB102" s="148"/>
      <c r="CC102" s="148"/>
      <c r="CD102" s="148"/>
      <c r="CE102" s="148"/>
      <c r="CF102" s="148"/>
      <c r="CG102" s="148"/>
      <c r="CH102" s="148"/>
      <c r="CI102" s="148"/>
      <c r="CJ102" s="148"/>
      <c r="CK102" s="148"/>
      <c r="CL102" s="148"/>
      <c r="CM102" s="148"/>
      <c r="CN102" s="148"/>
      <c r="CO102" s="148"/>
      <c r="CP102" s="148"/>
      <c r="CQ102" s="148"/>
      <c r="CR102" s="148"/>
      <c r="CS102" s="148"/>
      <c r="CT102" s="148"/>
      <c r="CU102" s="148"/>
      <c r="CV102" s="148"/>
      <c r="CW102" s="148"/>
      <c r="CX102" s="148"/>
      <c r="CY102" s="148"/>
      <c r="CZ102" s="148"/>
      <c r="DA102" s="148"/>
      <c r="DB102" s="148"/>
      <c r="DC102" s="148"/>
      <c r="DD102" s="148"/>
      <c r="DE102" s="148"/>
      <c r="DF102" s="148"/>
      <c r="DG102" s="148"/>
      <c r="DH102" s="148"/>
      <c r="DI102" s="148"/>
      <c r="DJ102" s="148"/>
      <c r="DK102" s="148"/>
      <c r="DL102" s="148"/>
      <c r="DM102" s="148"/>
      <c r="DN102" s="148"/>
      <c r="DO102" s="148"/>
      <c r="DP102" s="148"/>
      <c r="DQ102" s="148"/>
      <c r="DR102" s="148"/>
      <c r="DS102" s="148"/>
      <c r="DT102" s="148"/>
      <c r="DU102" s="148"/>
      <c r="DV102" s="148"/>
      <c r="DW102" s="148"/>
      <c r="DX102" s="148"/>
      <c r="DY102" s="148"/>
      <c r="DZ102" s="148"/>
      <c r="EA102" s="148"/>
      <c r="EB102" s="148"/>
      <c r="EC102" s="148"/>
      <c r="ED102" s="148"/>
      <c r="EE102" s="148"/>
      <c r="EF102" s="148"/>
      <c r="EG102" s="148"/>
      <c r="EH102" s="148"/>
      <c r="EI102" s="148"/>
      <c r="EJ102" s="148"/>
      <c r="EK102" s="148"/>
      <c r="EL102" s="148"/>
      <c r="EM102" s="148"/>
      <c r="EN102" s="148"/>
      <c r="EO102" s="148"/>
      <c r="EP102" s="148"/>
      <c r="EQ102" s="148"/>
      <c r="ER102" s="148"/>
      <c r="ES102" s="148"/>
      <c r="ET102" s="148"/>
      <c r="EU102" s="148"/>
      <c r="EV102" s="148"/>
      <c r="EW102" s="148"/>
      <c r="EX102" s="148"/>
      <c r="EY102" s="148"/>
      <c r="EZ102" s="148"/>
      <c r="FA102" s="148"/>
      <c r="FB102" s="148"/>
      <c r="FC102" s="148"/>
      <c r="FD102" s="148"/>
      <c r="FE102" s="148"/>
      <c r="FF102" s="148"/>
      <c r="FG102" s="148"/>
      <c r="FH102" s="148"/>
      <c r="FI102" s="148"/>
      <c r="FJ102" s="148"/>
      <c r="FK102" s="148"/>
      <c r="FL102" s="148"/>
      <c r="FM102" s="148"/>
      <c r="FN102" s="148"/>
      <c r="FO102" s="148"/>
      <c r="FP102" s="148"/>
      <c r="FQ102" s="148"/>
      <c r="FR102" s="148"/>
      <c r="FS102" s="148"/>
      <c r="FT102" s="148"/>
      <c r="FU102" s="148"/>
      <c r="FV102" s="148"/>
      <c r="FW102" s="148"/>
      <c r="FX102" s="148"/>
      <c r="FY102" s="148"/>
      <c r="FZ102" s="148"/>
      <c r="GA102" s="148"/>
      <c r="GB102" s="148"/>
      <c r="GC102" s="148"/>
      <c r="GD102" s="148"/>
      <c r="GE102" s="148"/>
      <c r="GF102" s="148"/>
      <c r="GG102" s="148"/>
      <c r="GH102" s="148"/>
      <c r="GI102" s="148"/>
      <c r="GJ102" s="148"/>
      <c r="GK102" s="148"/>
      <c r="GL102" s="148"/>
      <c r="GM102" s="148"/>
      <c r="GN102" s="148"/>
      <c r="GO102" s="148"/>
      <c r="GP102" s="148"/>
      <c r="GQ102" s="148"/>
      <c r="GR102" s="148"/>
      <c r="GS102" s="148"/>
      <c r="GT102" s="148"/>
      <c r="GU102" s="148"/>
      <c r="GV102" s="148"/>
      <c r="GW102" s="148"/>
      <c r="GX102" s="148"/>
      <c r="GY102" s="148"/>
      <c r="GZ102" s="148"/>
      <c r="HA102" s="148"/>
      <c r="HB102" s="148"/>
      <c r="HC102" s="148"/>
      <c r="HD102" s="148"/>
      <c r="HE102" s="148"/>
      <c r="HF102" s="148"/>
      <c r="HG102" s="148"/>
      <c r="HH102" s="148"/>
      <c r="HI102" s="148"/>
      <c r="HJ102" s="148"/>
      <c r="HK102" s="148"/>
      <c r="HL102" s="148"/>
      <c r="HM102" s="148"/>
      <c r="HN102" s="148"/>
      <c r="HO102" s="148"/>
      <c r="HP102" s="148"/>
      <c r="HQ102" s="148"/>
      <c r="HR102" s="148"/>
      <c r="HS102" s="148"/>
      <c r="HT102" s="148"/>
      <c r="HU102" s="148"/>
      <c r="HV102" s="148"/>
      <c r="HW102" s="148"/>
      <c r="HX102" s="148"/>
      <c r="HY102" s="148"/>
      <c r="HZ102" s="148"/>
      <c r="IA102" s="148"/>
      <c r="IB102" s="148"/>
      <c r="IC102" s="148"/>
      <c r="ID102" s="148"/>
      <c r="IE102" s="148"/>
      <c r="IF102" s="148"/>
      <c r="IG102" s="148"/>
      <c r="IH102" s="148"/>
      <c r="II102" s="148"/>
      <c r="IJ102" s="148"/>
      <c r="IK102" s="148"/>
      <c r="IL102" s="148"/>
      <c r="IM102" s="148"/>
      <c r="IN102" s="148"/>
      <c r="IO102" s="148"/>
      <c r="IP102" s="148"/>
      <c r="IQ102" s="148"/>
      <c r="IR102" s="148"/>
      <c r="IS102" s="148"/>
      <c r="IT102" s="148"/>
      <c r="IU102" s="148"/>
      <c r="IV102" s="148"/>
      <c r="IW102" s="148"/>
      <c r="IX102" s="148"/>
      <c r="IY102" s="148"/>
      <c r="IZ102" s="148"/>
      <c r="JA102" s="148"/>
      <c r="JB102" s="148"/>
      <c r="JC102" s="148"/>
      <c r="JD102" s="148"/>
      <c r="JE102" s="148"/>
      <c r="JF102" s="148"/>
      <c r="JG102" s="148"/>
      <c r="JH102" s="148"/>
      <c r="JI102" s="148"/>
      <c r="JJ102" s="148"/>
      <c r="JK102" s="148"/>
      <c r="JL102" s="148"/>
      <c r="JM102" s="148"/>
      <c r="JN102" s="148"/>
      <c r="JO102" s="148"/>
      <c r="JP102" s="148"/>
      <c r="JQ102" s="148"/>
      <c r="JR102" s="148"/>
      <c r="JS102" s="148"/>
      <c r="JT102" s="148"/>
      <c r="JU102" s="148"/>
      <c r="JV102" s="148"/>
      <c r="JW102" s="148"/>
      <c r="JX102" s="148"/>
      <c r="JY102" s="148"/>
      <c r="JZ102" s="148"/>
      <c r="KA102" s="148"/>
      <c r="KB102" s="148"/>
      <c r="KC102" s="148"/>
      <c r="KD102" s="148"/>
      <c r="KE102" s="148"/>
      <c r="KF102" s="148"/>
      <c r="KG102" s="148"/>
      <c r="KH102" s="148"/>
      <c r="KI102" s="148"/>
      <c r="KJ102" s="148"/>
      <c r="KK102" s="148"/>
      <c r="KL102" s="148"/>
      <c r="KM102" s="148"/>
      <c r="KN102" s="148"/>
      <c r="KO102" s="148"/>
      <c r="KP102" s="148"/>
      <c r="KQ102" s="148"/>
      <c r="KR102" s="148"/>
      <c r="KS102" s="148"/>
      <c r="KT102" s="148"/>
      <c r="KU102" s="148"/>
      <c r="KV102" s="148"/>
      <c r="KW102" s="148"/>
      <c r="KX102" s="148"/>
      <c r="KY102" s="148"/>
      <c r="KZ102" s="148"/>
      <c r="LA102" s="148"/>
      <c r="LB102" s="148"/>
      <c r="LC102" s="148"/>
      <c r="LD102" s="148"/>
      <c r="LE102" s="148"/>
      <c r="LF102" s="148"/>
      <c r="LG102" s="148"/>
      <c r="LH102" s="148"/>
      <c r="LI102" s="148"/>
      <c r="LJ102" s="148"/>
      <c r="LK102" s="148"/>
      <c r="LL102" s="148"/>
      <c r="LM102" s="148"/>
      <c r="LN102" s="148"/>
      <c r="LO102" s="148"/>
      <c r="LP102" s="148"/>
      <c r="LQ102" s="148"/>
      <c r="LR102" s="148"/>
      <c r="LS102" s="148"/>
      <c r="LT102" s="148"/>
      <c r="LU102" s="148"/>
      <c r="LV102" s="148"/>
      <c r="LW102" s="148"/>
      <c r="LX102" s="148"/>
      <c r="LY102" s="148"/>
      <c r="LZ102" s="148"/>
      <c r="MA102" s="148"/>
      <c r="MB102" s="148"/>
      <c r="MC102" s="148"/>
      <c r="MD102" s="148"/>
      <c r="ME102" s="148"/>
      <c r="MF102" s="148"/>
      <c r="MG102" s="148"/>
      <c r="MH102" s="148"/>
      <c r="MI102" s="148"/>
      <c r="MJ102" s="148"/>
      <c r="MK102" s="148"/>
      <c r="ML102" s="148"/>
      <c r="MM102" s="148"/>
      <c r="MN102" s="148"/>
      <c r="MO102" s="148"/>
      <c r="MP102" s="148"/>
      <c r="MQ102" s="148"/>
      <c r="MR102" s="148"/>
      <c r="MS102" s="148"/>
      <c r="MT102" s="148"/>
      <c r="MU102" s="148"/>
      <c r="MV102" s="148"/>
      <c r="MW102" s="148"/>
      <c r="MX102" s="148"/>
      <c r="MY102" s="148"/>
      <c r="MZ102" s="148"/>
      <c r="NA102" s="148"/>
      <c r="NB102" s="148"/>
      <c r="NC102" s="148"/>
      <c r="ND102" s="148"/>
      <c r="NE102" s="148"/>
      <c r="NF102" s="148"/>
      <c r="NG102" s="148"/>
      <c r="NH102" s="148"/>
      <c r="NI102" s="148"/>
      <c r="NJ102" s="148"/>
      <c r="NK102" s="148"/>
      <c r="NL102" s="148"/>
      <c r="NM102" s="148"/>
      <c r="NN102" s="148"/>
      <c r="NO102" s="148"/>
      <c r="NP102" s="148"/>
      <c r="NQ102" s="148"/>
      <c r="NR102" s="148"/>
      <c r="NS102" s="148"/>
      <c r="NT102" s="148"/>
      <c r="NU102" s="148"/>
      <c r="NV102" s="148"/>
      <c r="NW102" s="148"/>
      <c r="NX102" s="148"/>
      <c r="NY102" s="148"/>
      <c r="NZ102" s="148"/>
      <c r="OA102" s="148"/>
      <c r="OB102" s="148"/>
      <c r="OC102" s="148"/>
      <c r="OD102" s="148"/>
      <c r="OE102" s="148"/>
      <c r="OF102" s="148"/>
      <c r="OG102" s="148"/>
      <c r="OH102" s="148"/>
      <c r="OI102" s="148"/>
      <c r="OJ102" s="148"/>
      <c r="OK102" s="148"/>
      <c r="OL102" s="148"/>
      <c r="OM102" s="148"/>
      <c r="ON102" s="148"/>
      <c r="OO102" s="148"/>
      <c r="OP102" s="148"/>
      <c r="OQ102" s="148"/>
      <c r="OR102" s="148"/>
      <c r="OS102" s="148"/>
      <c r="OT102" s="148"/>
      <c r="OU102" s="148"/>
      <c r="OV102" s="148"/>
      <c r="OW102" s="148"/>
      <c r="OX102" s="148"/>
      <c r="OY102" s="148"/>
      <c r="OZ102" s="148"/>
      <c r="PA102" s="148"/>
      <c r="PB102" s="148"/>
      <c r="PC102" s="148"/>
      <c r="PD102" s="148"/>
      <c r="PE102" s="148"/>
      <c r="PF102" s="148"/>
      <c r="PG102" s="148"/>
      <c r="PH102" s="148"/>
      <c r="PI102" s="148"/>
      <c r="PJ102" s="148"/>
      <c r="PK102" s="148"/>
      <c r="PL102" s="148"/>
      <c r="PM102" s="148"/>
      <c r="PN102" s="148"/>
      <c r="PO102" s="148"/>
      <c r="PP102" s="148"/>
      <c r="PQ102" s="148"/>
      <c r="PR102" s="148"/>
      <c r="PS102" s="148"/>
      <c r="PT102" s="148"/>
      <c r="PU102" s="148"/>
      <c r="PV102" s="148"/>
      <c r="PW102" s="148"/>
      <c r="PX102" s="148"/>
      <c r="PY102" s="148"/>
      <c r="PZ102" s="148"/>
      <c r="QA102" s="148"/>
      <c r="QB102" s="148"/>
      <c r="QC102" s="148"/>
      <c r="QD102" s="148"/>
      <c r="QE102" s="148"/>
      <c r="QF102" s="148"/>
      <c r="QG102" s="148"/>
      <c r="QH102" s="148"/>
      <c r="QI102" s="148"/>
      <c r="QJ102" s="148"/>
      <c r="QK102" s="148"/>
      <c r="QL102" s="148"/>
      <c r="QM102" s="148"/>
      <c r="QN102" s="148"/>
      <c r="QO102" s="148"/>
      <c r="QP102" s="148"/>
      <c r="QQ102" s="148"/>
      <c r="QR102" s="148"/>
      <c r="QS102" s="148"/>
      <c r="QT102" s="148"/>
      <c r="QU102" s="148"/>
      <c r="QV102" s="148"/>
      <c r="QW102" s="148"/>
      <c r="QX102" s="148"/>
      <c r="QY102" s="148"/>
      <c r="QZ102" s="148"/>
      <c r="RA102" s="148"/>
      <c r="RB102" s="148"/>
      <c r="RC102" s="148"/>
      <c r="RD102" s="148"/>
      <c r="RE102" s="148"/>
      <c r="RF102" s="148"/>
      <c r="RG102" s="148"/>
      <c r="RH102" s="148"/>
      <c r="RI102" s="148"/>
      <c r="RJ102" s="148"/>
      <c r="RK102" s="148"/>
      <c r="RL102" s="148"/>
      <c r="RM102" s="148"/>
      <c r="RN102" s="148"/>
      <c r="RO102" s="148"/>
      <c r="RP102" s="148"/>
      <c r="RQ102" s="148"/>
      <c r="RR102" s="148"/>
    </row>
    <row r="103" spans="1:486" s="15" customFormat="1" hidden="1" x14ac:dyDescent="0.25">
      <c r="A103" s="148"/>
      <c r="B103" s="350">
        <v>93</v>
      </c>
      <c r="C103" s="650"/>
      <c r="D103" s="16"/>
      <c r="E103" s="344"/>
      <c r="F103" s="344"/>
      <c r="G103" s="17"/>
      <c r="H103" s="317"/>
      <c r="I103" s="346"/>
      <c r="J103" s="341"/>
      <c r="K103" s="633"/>
      <c r="L103" s="633"/>
      <c r="M103" s="633"/>
      <c r="N103" s="633"/>
      <c r="O103" s="633"/>
      <c r="P103" s="633"/>
      <c r="Q103" s="633"/>
      <c r="R103" s="633"/>
      <c r="S103" s="633"/>
      <c r="T103" s="633"/>
      <c r="U103" s="633"/>
      <c r="V103" s="633"/>
      <c r="W103" s="633"/>
      <c r="X103" s="633"/>
      <c r="Y103" s="633">
        <f t="shared" si="3"/>
        <v>0</v>
      </c>
      <c r="Z103" s="637"/>
      <c r="AA103" s="19"/>
      <c r="AB103" s="315"/>
      <c r="AC103" s="315"/>
      <c r="AD103" s="652"/>
      <c r="AE103" s="20"/>
      <c r="AF103" s="21"/>
      <c r="AG103" s="23"/>
      <c r="AH103" s="637"/>
      <c r="AI103" s="19"/>
      <c r="AJ103" s="21"/>
      <c r="AK103" s="25"/>
      <c r="AL103" s="309"/>
      <c r="AM103" s="19"/>
      <c r="AN103" s="21"/>
      <c r="AO103" s="25"/>
      <c r="AP103" s="309"/>
      <c r="AQ103" s="19"/>
      <c r="AR103" s="21"/>
      <c r="AS103" s="25"/>
      <c r="AT103" s="638">
        <f t="shared" si="4"/>
        <v>0</v>
      </c>
      <c r="AU103" s="311">
        <f t="shared" si="0"/>
        <v>0</v>
      </c>
      <c r="AV103" s="148"/>
      <c r="AW103" s="148"/>
      <c r="AX103" s="148"/>
      <c r="AY103" s="148"/>
      <c r="AZ103" s="148"/>
      <c r="BA103" s="148"/>
      <c r="BB103" s="148"/>
      <c r="BC103" s="148"/>
      <c r="BD103" s="148"/>
      <c r="BE103" s="148"/>
      <c r="BF103" s="148"/>
      <c r="BG103" s="148"/>
      <c r="BH103" s="148"/>
      <c r="BI103" s="148"/>
      <c r="BJ103" s="148"/>
      <c r="BK103" s="148"/>
      <c r="BL103" s="148"/>
      <c r="BM103" s="148"/>
      <c r="BN103" s="148"/>
      <c r="BO103" s="148"/>
      <c r="BP103" s="148"/>
      <c r="BQ103" s="148"/>
      <c r="BR103" s="148"/>
      <c r="BS103" s="148"/>
      <c r="BT103" s="148"/>
      <c r="BU103" s="148"/>
      <c r="BV103" s="148"/>
      <c r="BW103" s="148"/>
      <c r="BX103" s="148"/>
      <c r="BY103" s="148"/>
      <c r="BZ103" s="148"/>
      <c r="CA103" s="148"/>
      <c r="CB103" s="148"/>
      <c r="CC103" s="148"/>
      <c r="CD103" s="148"/>
      <c r="CE103" s="148"/>
      <c r="CF103" s="148"/>
      <c r="CG103" s="148"/>
      <c r="CH103" s="148"/>
      <c r="CI103" s="148"/>
      <c r="CJ103" s="148"/>
      <c r="CK103" s="148"/>
      <c r="CL103" s="148"/>
      <c r="CM103" s="148"/>
      <c r="CN103" s="148"/>
      <c r="CO103" s="148"/>
      <c r="CP103" s="148"/>
      <c r="CQ103" s="148"/>
      <c r="CR103" s="148"/>
      <c r="CS103" s="148"/>
      <c r="CT103" s="148"/>
      <c r="CU103" s="148"/>
      <c r="CV103" s="148"/>
      <c r="CW103" s="148"/>
      <c r="CX103" s="148"/>
      <c r="CY103" s="148"/>
      <c r="CZ103" s="148"/>
      <c r="DA103" s="148"/>
      <c r="DB103" s="148"/>
      <c r="DC103" s="148"/>
      <c r="DD103" s="148"/>
      <c r="DE103" s="148"/>
      <c r="DF103" s="148"/>
      <c r="DG103" s="148"/>
      <c r="DH103" s="148"/>
      <c r="DI103" s="148"/>
      <c r="DJ103" s="148"/>
      <c r="DK103" s="148"/>
      <c r="DL103" s="148"/>
      <c r="DM103" s="148"/>
      <c r="DN103" s="148"/>
      <c r="DO103" s="148"/>
      <c r="DP103" s="148"/>
      <c r="DQ103" s="148"/>
      <c r="DR103" s="148"/>
      <c r="DS103" s="148"/>
      <c r="DT103" s="148"/>
      <c r="DU103" s="148"/>
      <c r="DV103" s="148"/>
      <c r="DW103" s="148"/>
      <c r="DX103" s="148"/>
      <c r="DY103" s="148"/>
      <c r="DZ103" s="148"/>
      <c r="EA103" s="148"/>
      <c r="EB103" s="148"/>
      <c r="EC103" s="148"/>
      <c r="ED103" s="148"/>
      <c r="EE103" s="148"/>
      <c r="EF103" s="148"/>
      <c r="EG103" s="148"/>
      <c r="EH103" s="148"/>
      <c r="EI103" s="148"/>
      <c r="EJ103" s="148"/>
      <c r="EK103" s="148"/>
      <c r="EL103" s="148"/>
      <c r="EM103" s="148"/>
      <c r="EN103" s="148"/>
      <c r="EO103" s="148"/>
      <c r="EP103" s="148"/>
      <c r="EQ103" s="148"/>
      <c r="ER103" s="148"/>
      <c r="ES103" s="148"/>
      <c r="ET103" s="148"/>
      <c r="EU103" s="148"/>
      <c r="EV103" s="148"/>
      <c r="EW103" s="148"/>
      <c r="EX103" s="148"/>
      <c r="EY103" s="148"/>
      <c r="EZ103" s="148"/>
      <c r="FA103" s="148"/>
      <c r="FB103" s="148"/>
      <c r="FC103" s="148"/>
      <c r="FD103" s="148"/>
      <c r="FE103" s="148"/>
      <c r="FF103" s="148"/>
      <c r="FG103" s="148"/>
      <c r="FH103" s="148"/>
      <c r="FI103" s="148"/>
      <c r="FJ103" s="148"/>
      <c r="FK103" s="148"/>
      <c r="FL103" s="148"/>
      <c r="FM103" s="148"/>
      <c r="FN103" s="148"/>
      <c r="FO103" s="148"/>
      <c r="FP103" s="148"/>
      <c r="FQ103" s="148"/>
      <c r="FR103" s="148"/>
      <c r="FS103" s="148"/>
      <c r="FT103" s="148"/>
      <c r="FU103" s="148"/>
      <c r="FV103" s="148"/>
      <c r="FW103" s="148"/>
      <c r="FX103" s="148"/>
      <c r="FY103" s="148"/>
      <c r="FZ103" s="148"/>
      <c r="GA103" s="148"/>
      <c r="GB103" s="148"/>
      <c r="GC103" s="148"/>
      <c r="GD103" s="148"/>
      <c r="GE103" s="148"/>
      <c r="GF103" s="148"/>
      <c r="GG103" s="148"/>
      <c r="GH103" s="148"/>
      <c r="GI103" s="148"/>
      <c r="GJ103" s="148"/>
      <c r="GK103" s="148"/>
      <c r="GL103" s="148"/>
      <c r="GM103" s="148"/>
      <c r="GN103" s="148"/>
      <c r="GO103" s="148"/>
      <c r="GP103" s="148"/>
      <c r="GQ103" s="148"/>
      <c r="GR103" s="148"/>
      <c r="GS103" s="148"/>
      <c r="GT103" s="148"/>
      <c r="GU103" s="148"/>
      <c r="GV103" s="148"/>
      <c r="GW103" s="148"/>
      <c r="GX103" s="148"/>
      <c r="GY103" s="148"/>
      <c r="GZ103" s="148"/>
      <c r="HA103" s="148"/>
      <c r="HB103" s="148"/>
      <c r="HC103" s="148"/>
      <c r="HD103" s="148"/>
      <c r="HE103" s="148"/>
      <c r="HF103" s="148"/>
      <c r="HG103" s="148"/>
      <c r="HH103" s="148"/>
      <c r="HI103" s="148"/>
      <c r="HJ103" s="148"/>
      <c r="HK103" s="148"/>
      <c r="HL103" s="148"/>
      <c r="HM103" s="148"/>
      <c r="HN103" s="148"/>
      <c r="HO103" s="148"/>
      <c r="HP103" s="148"/>
      <c r="HQ103" s="148"/>
      <c r="HR103" s="148"/>
      <c r="HS103" s="148"/>
      <c r="HT103" s="148"/>
      <c r="HU103" s="148"/>
      <c r="HV103" s="148"/>
      <c r="HW103" s="148"/>
      <c r="HX103" s="148"/>
      <c r="HY103" s="148"/>
      <c r="HZ103" s="148"/>
      <c r="IA103" s="148"/>
      <c r="IB103" s="148"/>
      <c r="IC103" s="148"/>
      <c r="ID103" s="148"/>
      <c r="IE103" s="148"/>
      <c r="IF103" s="148"/>
      <c r="IG103" s="148"/>
      <c r="IH103" s="148"/>
      <c r="II103" s="148"/>
      <c r="IJ103" s="148"/>
      <c r="IK103" s="148"/>
      <c r="IL103" s="148"/>
      <c r="IM103" s="148"/>
      <c r="IN103" s="148"/>
      <c r="IO103" s="148"/>
      <c r="IP103" s="148"/>
      <c r="IQ103" s="148"/>
      <c r="IR103" s="148"/>
      <c r="IS103" s="148"/>
      <c r="IT103" s="148"/>
      <c r="IU103" s="148"/>
      <c r="IV103" s="148"/>
      <c r="IW103" s="148"/>
      <c r="IX103" s="148"/>
      <c r="IY103" s="148"/>
      <c r="IZ103" s="148"/>
      <c r="JA103" s="148"/>
      <c r="JB103" s="148"/>
      <c r="JC103" s="148"/>
      <c r="JD103" s="148"/>
      <c r="JE103" s="148"/>
      <c r="JF103" s="148"/>
      <c r="JG103" s="148"/>
      <c r="JH103" s="148"/>
      <c r="JI103" s="148"/>
      <c r="JJ103" s="148"/>
      <c r="JK103" s="148"/>
      <c r="JL103" s="148"/>
      <c r="JM103" s="148"/>
      <c r="JN103" s="148"/>
      <c r="JO103" s="148"/>
      <c r="JP103" s="148"/>
      <c r="JQ103" s="148"/>
      <c r="JR103" s="148"/>
      <c r="JS103" s="148"/>
      <c r="JT103" s="148"/>
      <c r="JU103" s="148"/>
      <c r="JV103" s="148"/>
      <c r="JW103" s="148"/>
      <c r="JX103" s="148"/>
      <c r="JY103" s="148"/>
      <c r="JZ103" s="148"/>
      <c r="KA103" s="148"/>
      <c r="KB103" s="148"/>
      <c r="KC103" s="148"/>
      <c r="KD103" s="148"/>
      <c r="KE103" s="148"/>
      <c r="KF103" s="148"/>
      <c r="KG103" s="148"/>
      <c r="KH103" s="148"/>
      <c r="KI103" s="148"/>
      <c r="KJ103" s="148"/>
      <c r="KK103" s="148"/>
      <c r="KL103" s="148"/>
      <c r="KM103" s="148"/>
      <c r="KN103" s="148"/>
      <c r="KO103" s="148"/>
      <c r="KP103" s="148"/>
      <c r="KQ103" s="148"/>
      <c r="KR103" s="148"/>
      <c r="KS103" s="148"/>
      <c r="KT103" s="148"/>
      <c r="KU103" s="148"/>
      <c r="KV103" s="148"/>
      <c r="KW103" s="148"/>
      <c r="KX103" s="148"/>
      <c r="KY103" s="148"/>
      <c r="KZ103" s="148"/>
      <c r="LA103" s="148"/>
      <c r="LB103" s="148"/>
      <c r="LC103" s="148"/>
      <c r="LD103" s="148"/>
      <c r="LE103" s="148"/>
      <c r="LF103" s="148"/>
      <c r="LG103" s="148"/>
      <c r="LH103" s="148"/>
      <c r="LI103" s="148"/>
      <c r="LJ103" s="148"/>
      <c r="LK103" s="148"/>
      <c r="LL103" s="148"/>
      <c r="LM103" s="148"/>
      <c r="LN103" s="148"/>
      <c r="LO103" s="148"/>
      <c r="LP103" s="148"/>
      <c r="LQ103" s="148"/>
      <c r="LR103" s="148"/>
      <c r="LS103" s="148"/>
      <c r="LT103" s="148"/>
      <c r="LU103" s="148"/>
      <c r="LV103" s="148"/>
      <c r="LW103" s="148"/>
      <c r="LX103" s="148"/>
      <c r="LY103" s="148"/>
      <c r="LZ103" s="148"/>
      <c r="MA103" s="148"/>
      <c r="MB103" s="148"/>
      <c r="MC103" s="148"/>
      <c r="MD103" s="148"/>
      <c r="ME103" s="148"/>
      <c r="MF103" s="148"/>
      <c r="MG103" s="148"/>
      <c r="MH103" s="148"/>
      <c r="MI103" s="148"/>
      <c r="MJ103" s="148"/>
      <c r="MK103" s="148"/>
      <c r="ML103" s="148"/>
      <c r="MM103" s="148"/>
      <c r="MN103" s="148"/>
      <c r="MO103" s="148"/>
      <c r="MP103" s="148"/>
      <c r="MQ103" s="148"/>
      <c r="MR103" s="148"/>
      <c r="MS103" s="148"/>
      <c r="MT103" s="148"/>
      <c r="MU103" s="148"/>
      <c r="MV103" s="148"/>
      <c r="MW103" s="148"/>
      <c r="MX103" s="148"/>
      <c r="MY103" s="148"/>
      <c r="MZ103" s="148"/>
      <c r="NA103" s="148"/>
      <c r="NB103" s="148"/>
      <c r="NC103" s="148"/>
      <c r="ND103" s="148"/>
      <c r="NE103" s="148"/>
      <c r="NF103" s="148"/>
      <c r="NG103" s="148"/>
      <c r="NH103" s="148"/>
      <c r="NI103" s="148"/>
      <c r="NJ103" s="148"/>
      <c r="NK103" s="148"/>
      <c r="NL103" s="148"/>
      <c r="NM103" s="148"/>
      <c r="NN103" s="148"/>
      <c r="NO103" s="148"/>
      <c r="NP103" s="148"/>
      <c r="NQ103" s="148"/>
      <c r="NR103" s="148"/>
      <c r="NS103" s="148"/>
      <c r="NT103" s="148"/>
      <c r="NU103" s="148"/>
      <c r="NV103" s="148"/>
      <c r="NW103" s="148"/>
      <c r="NX103" s="148"/>
      <c r="NY103" s="148"/>
      <c r="NZ103" s="148"/>
      <c r="OA103" s="148"/>
      <c r="OB103" s="148"/>
      <c r="OC103" s="148"/>
      <c r="OD103" s="148"/>
      <c r="OE103" s="148"/>
      <c r="OF103" s="148"/>
      <c r="OG103" s="148"/>
      <c r="OH103" s="148"/>
      <c r="OI103" s="148"/>
      <c r="OJ103" s="148"/>
      <c r="OK103" s="148"/>
      <c r="OL103" s="148"/>
      <c r="OM103" s="148"/>
      <c r="ON103" s="148"/>
      <c r="OO103" s="148"/>
      <c r="OP103" s="148"/>
      <c r="OQ103" s="148"/>
      <c r="OR103" s="148"/>
      <c r="OS103" s="148"/>
      <c r="OT103" s="148"/>
      <c r="OU103" s="148"/>
      <c r="OV103" s="148"/>
      <c r="OW103" s="148"/>
      <c r="OX103" s="148"/>
      <c r="OY103" s="148"/>
      <c r="OZ103" s="148"/>
      <c r="PA103" s="148"/>
      <c r="PB103" s="148"/>
      <c r="PC103" s="148"/>
      <c r="PD103" s="148"/>
      <c r="PE103" s="148"/>
      <c r="PF103" s="148"/>
      <c r="PG103" s="148"/>
      <c r="PH103" s="148"/>
      <c r="PI103" s="148"/>
      <c r="PJ103" s="148"/>
      <c r="PK103" s="148"/>
      <c r="PL103" s="148"/>
      <c r="PM103" s="148"/>
      <c r="PN103" s="148"/>
      <c r="PO103" s="148"/>
      <c r="PP103" s="148"/>
      <c r="PQ103" s="148"/>
      <c r="PR103" s="148"/>
      <c r="PS103" s="148"/>
      <c r="PT103" s="148"/>
      <c r="PU103" s="148"/>
      <c r="PV103" s="148"/>
      <c r="PW103" s="148"/>
      <c r="PX103" s="148"/>
      <c r="PY103" s="148"/>
      <c r="PZ103" s="148"/>
      <c r="QA103" s="148"/>
      <c r="QB103" s="148"/>
      <c r="QC103" s="148"/>
      <c r="QD103" s="148"/>
      <c r="QE103" s="148"/>
      <c r="QF103" s="148"/>
      <c r="QG103" s="148"/>
      <c r="QH103" s="148"/>
      <c r="QI103" s="148"/>
      <c r="QJ103" s="148"/>
      <c r="QK103" s="148"/>
      <c r="QL103" s="148"/>
      <c r="QM103" s="148"/>
      <c r="QN103" s="148"/>
      <c r="QO103" s="148"/>
      <c r="QP103" s="148"/>
      <c r="QQ103" s="148"/>
      <c r="QR103" s="148"/>
      <c r="QS103" s="148"/>
      <c r="QT103" s="148"/>
      <c r="QU103" s="148"/>
      <c r="QV103" s="148"/>
      <c r="QW103" s="148"/>
      <c r="QX103" s="148"/>
      <c r="QY103" s="148"/>
      <c r="QZ103" s="148"/>
      <c r="RA103" s="148"/>
      <c r="RB103" s="148"/>
      <c r="RC103" s="148"/>
      <c r="RD103" s="148"/>
      <c r="RE103" s="148"/>
      <c r="RF103" s="148"/>
      <c r="RG103" s="148"/>
      <c r="RH103" s="148"/>
      <c r="RI103" s="148"/>
      <c r="RJ103" s="148"/>
      <c r="RK103" s="148"/>
      <c r="RL103" s="148"/>
      <c r="RM103" s="148"/>
      <c r="RN103" s="148"/>
      <c r="RO103" s="148"/>
      <c r="RP103" s="148"/>
      <c r="RQ103" s="148"/>
      <c r="RR103" s="148"/>
    </row>
    <row r="104" spans="1:486" s="15" customFormat="1" hidden="1" x14ac:dyDescent="0.25">
      <c r="A104" s="148"/>
      <c r="B104" s="350">
        <v>94</v>
      </c>
      <c r="C104" s="650"/>
      <c r="D104" s="16"/>
      <c r="E104" s="344"/>
      <c r="F104" s="344"/>
      <c r="G104" s="17"/>
      <c r="H104" s="317"/>
      <c r="I104" s="346"/>
      <c r="J104" s="341"/>
      <c r="K104" s="633"/>
      <c r="L104" s="633"/>
      <c r="M104" s="633"/>
      <c r="N104" s="633"/>
      <c r="O104" s="633"/>
      <c r="P104" s="633"/>
      <c r="Q104" s="633"/>
      <c r="R104" s="633"/>
      <c r="S104" s="633"/>
      <c r="T104" s="633"/>
      <c r="U104" s="633"/>
      <c r="V104" s="633"/>
      <c r="W104" s="633"/>
      <c r="X104" s="633"/>
      <c r="Y104" s="633">
        <f t="shared" si="3"/>
        <v>0</v>
      </c>
      <c r="Z104" s="637"/>
      <c r="AA104" s="19"/>
      <c r="AB104" s="21"/>
      <c r="AC104" s="23"/>
      <c r="AD104" s="652"/>
      <c r="AE104" s="20"/>
      <c r="AF104" s="21"/>
      <c r="AG104" s="23"/>
      <c r="AH104" s="637"/>
      <c r="AI104" s="19"/>
      <c r="AJ104" s="21"/>
      <c r="AK104" s="25"/>
      <c r="AL104" s="309"/>
      <c r="AM104" s="19"/>
      <c r="AN104" s="21"/>
      <c r="AO104" s="25"/>
      <c r="AP104" s="309"/>
      <c r="AQ104" s="19"/>
      <c r="AR104" s="21"/>
      <c r="AS104" s="25"/>
      <c r="AT104" s="638">
        <f t="shared" si="4"/>
        <v>0</v>
      </c>
      <c r="AU104" s="311">
        <f t="shared" si="0"/>
        <v>0</v>
      </c>
      <c r="AV104" s="148"/>
      <c r="AW104" s="148"/>
      <c r="AX104" s="148"/>
      <c r="AY104" s="148"/>
      <c r="AZ104" s="148"/>
      <c r="BA104" s="148"/>
      <c r="BB104" s="148"/>
      <c r="BC104" s="148"/>
      <c r="BD104" s="148"/>
      <c r="BE104" s="148"/>
      <c r="BF104" s="148"/>
      <c r="BG104" s="148"/>
      <c r="BH104" s="148"/>
      <c r="BI104" s="148"/>
      <c r="BJ104" s="148"/>
      <c r="BK104" s="148"/>
      <c r="BL104" s="148"/>
      <c r="BM104" s="148"/>
      <c r="BN104" s="148"/>
      <c r="BO104" s="148"/>
      <c r="BP104" s="148"/>
      <c r="BQ104" s="148"/>
      <c r="BR104" s="148"/>
      <c r="BS104" s="148"/>
      <c r="BT104" s="148"/>
      <c r="BU104" s="148"/>
      <c r="BV104" s="148"/>
      <c r="BW104" s="148"/>
      <c r="BX104" s="148"/>
      <c r="BY104" s="148"/>
      <c r="BZ104" s="148"/>
      <c r="CA104" s="148"/>
      <c r="CB104" s="148"/>
      <c r="CC104" s="148"/>
      <c r="CD104" s="148"/>
      <c r="CE104" s="148"/>
      <c r="CF104" s="148"/>
      <c r="CG104" s="148"/>
      <c r="CH104" s="148"/>
      <c r="CI104" s="148"/>
      <c r="CJ104" s="148"/>
      <c r="CK104" s="148"/>
      <c r="CL104" s="148"/>
      <c r="CM104" s="148"/>
      <c r="CN104" s="148"/>
      <c r="CO104" s="148"/>
      <c r="CP104" s="148"/>
      <c r="CQ104" s="148"/>
      <c r="CR104" s="148"/>
      <c r="CS104" s="148"/>
      <c r="CT104" s="148"/>
      <c r="CU104" s="148"/>
      <c r="CV104" s="148"/>
      <c r="CW104" s="148"/>
      <c r="CX104" s="148"/>
      <c r="CY104" s="148"/>
      <c r="CZ104" s="148"/>
      <c r="DA104" s="148"/>
      <c r="DB104" s="148"/>
      <c r="DC104" s="148"/>
      <c r="DD104" s="148"/>
      <c r="DE104" s="148"/>
      <c r="DF104" s="148"/>
      <c r="DG104" s="148"/>
      <c r="DH104" s="148"/>
      <c r="DI104" s="148"/>
      <c r="DJ104" s="148"/>
      <c r="DK104" s="148"/>
      <c r="DL104" s="148"/>
      <c r="DM104" s="148"/>
      <c r="DN104" s="148"/>
      <c r="DO104" s="148"/>
      <c r="DP104" s="148"/>
      <c r="DQ104" s="148"/>
      <c r="DR104" s="148"/>
      <c r="DS104" s="148"/>
      <c r="DT104" s="148"/>
      <c r="DU104" s="148"/>
      <c r="DV104" s="148"/>
      <c r="DW104" s="148"/>
      <c r="DX104" s="148"/>
      <c r="DY104" s="148"/>
      <c r="DZ104" s="148"/>
      <c r="EA104" s="148"/>
      <c r="EB104" s="148"/>
      <c r="EC104" s="148"/>
      <c r="ED104" s="148"/>
      <c r="EE104" s="148"/>
      <c r="EF104" s="148"/>
      <c r="EG104" s="148"/>
      <c r="EH104" s="148"/>
      <c r="EI104" s="148"/>
      <c r="EJ104" s="148"/>
      <c r="EK104" s="148"/>
      <c r="EL104" s="148"/>
      <c r="EM104" s="148"/>
      <c r="EN104" s="148"/>
      <c r="EO104" s="148"/>
      <c r="EP104" s="148"/>
      <c r="EQ104" s="148"/>
      <c r="ER104" s="148"/>
      <c r="ES104" s="148"/>
      <c r="ET104" s="148"/>
      <c r="EU104" s="148"/>
      <c r="EV104" s="148"/>
      <c r="EW104" s="148"/>
      <c r="EX104" s="148"/>
      <c r="EY104" s="148"/>
      <c r="EZ104" s="148"/>
      <c r="FA104" s="148"/>
      <c r="FB104" s="148"/>
      <c r="FC104" s="148"/>
      <c r="FD104" s="148"/>
      <c r="FE104" s="148"/>
      <c r="FF104" s="148"/>
      <c r="FG104" s="148"/>
      <c r="FH104" s="148"/>
      <c r="FI104" s="148"/>
      <c r="FJ104" s="148"/>
      <c r="FK104" s="148"/>
      <c r="FL104" s="148"/>
      <c r="FM104" s="148"/>
      <c r="FN104" s="148"/>
      <c r="FO104" s="148"/>
      <c r="FP104" s="148"/>
      <c r="FQ104" s="148"/>
      <c r="FR104" s="148"/>
      <c r="FS104" s="148"/>
      <c r="FT104" s="148"/>
      <c r="FU104" s="148"/>
      <c r="FV104" s="148"/>
      <c r="FW104" s="148"/>
      <c r="FX104" s="148"/>
      <c r="FY104" s="148"/>
      <c r="FZ104" s="148"/>
      <c r="GA104" s="148"/>
      <c r="GB104" s="148"/>
      <c r="GC104" s="148"/>
      <c r="GD104" s="148"/>
      <c r="GE104" s="148"/>
      <c r="GF104" s="148"/>
      <c r="GG104" s="148"/>
      <c r="GH104" s="148"/>
      <c r="GI104" s="148"/>
      <c r="GJ104" s="148"/>
      <c r="GK104" s="148"/>
      <c r="GL104" s="148"/>
      <c r="GM104" s="148"/>
      <c r="GN104" s="148"/>
      <c r="GO104" s="148"/>
      <c r="GP104" s="148"/>
      <c r="GQ104" s="148"/>
      <c r="GR104" s="148"/>
      <c r="GS104" s="148"/>
      <c r="GT104" s="148"/>
      <c r="GU104" s="148"/>
      <c r="GV104" s="148"/>
      <c r="GW104" s="148"/>
      <c r="GX104" s="148"/>
      <c r="GY104" s="148"/>
      <c r="GZ104" s="148"/>
      <c r="HA104" s="148"/>
      <c r="HB104" s="148"/>
      <c r="HC104" s="148"/>
      <c r="HD104" s="148"/>
      <c r="HE104" s="148"/>
      <c r="HF104" s="148"/>
      <c r="HG104" s="148"/>
      <c r="HH104" s="148"/>
      <c r="HI104" s="148"/>
      <c r="HJ104" s="148"/>
      <c r="HK104" s="148"/>
      <c r="HL104" s="148"/>
      <c r="HM104" s="148"/>
      <c r="HN104" s="148"/>
      <c r="HO104" s="148"/>
      <c r="HP104" s="148"/>
      <c r="HQ104" s="148"/>
      <c r="HR104" s="148"/>
      <c r="HS104" s="148"/>
      <c r="HT104" s="148"/>
      <c r="HU104" s="148"/>
      <c r="HV104" s="148"/>
      <c r="HW104" s="148"/>
      <c r="HX104" s="148"/>
      <c r="HY104" s="148"/>
      <c r="HZ104" s="148"/>
      <c r="IA104" s="148"/>
      <c r="IB104" s="148"/>
      <c r="IC104" s="148"/>
      <c r="ID104" s="148"/>
      <c r="IE104" s="148"/>
      <c r="IF104" s="148"/>
      <c r="IG104" s="148"/>
      <c r="IH104" s="148"/>
      <c r="II104" s="148"/>
      <c r="IJ104" s="148"/>
      <c r="IK104" s="148"/>
      <c r="IL104" s="148"/>
      <c r="IM104" s="148"/>
      <c r="IN104" s="148"/>
      <c r="IO104" s="148"/>
      <c r="IP104" s="148"/>
      <c r="IQ104" s="148"/>
      <c r="IR104" s="148"/>
      <c r="IS104" s="148"/>
      <c r="IT104" s="148"/>
      <c r="IU104" s="148"/>
      <c r="IV104" s="148"/>
      <c r="IW104" s="148"/>
      <c r="IX104" s="148"/>
      <c r="IY104" s="148"/>
      <c r="IZ104" s="148"/>
      <c r="JA104" s="148"/>
      <c r="JB104" s="148"/>
      <c r="JC104" s="148"/>
      <c r="JD104" s="148"/>
      <c r="JE104" s="148"/>
      <c r="JF104" s="148"/>
      <c r="JG104" s="148"/>
      <c r="JH104" s="148"/>
      <c r="JI104" s="148"/>
      <c r="JJ104" s="148"/>
      <c r="JK104" s="148"/>
      <c r="JL104" s="148"/>
      <c r="JM104" s="148"/>
      <c r="JN104" s="148"/>
      <c r="JO104" s="148"/>
      <c r="JP104" s="148"/>
      <c r="JQ104" s="148"/>
      <c r="JR104" s="148"/>
      <c r="JS104" s="148"/>
      <c r="JT104" s="148"/>
      <c r="JU104" s="148"/>
      <c r="JV104" s="148"/>
      <c r="JW104" s="148"/>
      <c r="JX104" s="148"/>
      <c r="JY104" s="148"/>
      <c r="JZ104" s="148"/>
      <c r="KA104" s="148"/>
      <c r="KB104" s="148"/>
      <c r="KC104" s="148"/>
      <c r="KD104" s="148"/>
      <c r="KE104" s="148"/>
      <c r="KF104" s="148"/>
      <c r="KG104" s="148"/>
      <c r="KH104" s="148"/>
      <c r="KI104" s="148"/>
      <c r="KJ104" s="148"/>
      <c r="KK104" s="148"/>
      <c r="KL104" s="148"/>
      <c r="KM104" s="148"/>
      <c r="KN104" s="148"/>
      <c r="KO104" s="148"/>
      <c r="KP104" s="148"/>
      <c r="KQ104" s="148"/>
      <c r="KR104" s="148"/>
      <c r="KS104" s="148"/>
      <c r="KT104" s="148"/>
      <c r="KU104" s="148"/>
      <c r="KV104" s="148"/>
      <c r="KW104" s="148"/>
      <c r="KX104" s="148"/>
      <c r="KY104" s="148"/>
      <c r="KZ104" s="148"/>
      <c r="LA104" s="148"/>
      <c r="LB104" s="148"/>
      <c r="LC104" s="148"/>
      <c r="LD104" s="148"/>
      <c r="LE104" s="148"/>
      <c r="LF104" s="148"/>
      <c r="LG104" s="148"/>
      <c r="LH104" s="148"/>
      <c r="LI104" s="148"/>
      <c r="LJ104" s="148"/>
      <c r="LK104" s="148"/>
      <c r="LL104" s="148"/>
      <c r="LM104" s="148"/>
      <c r="LN104" s="148"/>
      <c r="LO104" s="148"/>
      <c r="LP104" s="148"/>
      <c r="LQ104" s="148"/>
      <c r="LR104" s="148"/>
      <c r="LS104" s="148"/>
      <c r="LT104" s="148"/>
      <c r="LU104" s="148"/>
      <c r="LV104" s="148"/>
      <c r="LW104" s="148"/>
      <c r="LX104" s="148"/>
      <c r="LY104" s="148"/>
      <c r="LZ104" s="148"/>
      <c r="MA104" s="148"/>
      <c r="MB104" s="148"/>
      <c r="MC104" s="148"/>
      <c r="MD104" s="148"/>
      <c r="ME104" s="148"/>
      <c r="MF104" s="148"/>
      <c r="MG104" s="148"/>
      <c r="MH104" s="148"/>
      <c r="MI104" s="148"/>
      <c r="MJ104" s="148"/>
      <c r="MK104" s="148"/>
      <c r="ML104" s="148"/>
      <c r="MM104" s="148"/>
      <c r="MN104" s="148"/>
      <c r="MO104" s="148"/>
      <c r="MP104" s="148"/>
      <c r="MQ104" s="148"/>
      <c r="MR104" s="148"/>
      <c r="MS104" s="148"/>
      <c r="MT104" s="148"/>
      <c r="MU104" s="148"/>
      <c r="MV104" s="148"/>
      <c r="MW104" s="148"/>
      <c r="MX104" s="148"/>
      <c r="MY104" s="148"/>
      <c r="MZ104" s="148"/>
      <c r="NA104" s="148"/>
      <c r="NB104" s="148"/>
      <c r="NC104" s="148"/>
      <c r="ND104" s="148"/>
      <c r="NE104" s="148"/>
      <c r="NF104" s="148"/>
      <c r="NG104" s="148"/>
      <c r="NH104" s="148"/>
      <c r="NI104" s="148"/>
      <c r="NJ104" s="148"/>
      <c r="NK104" s="148"/>
      <c r="NL104" s="148"/>
      <c r="NM104" s="148"/>
      <c r="NN104" s="148"/>
      <c r="NO104" s="148"/>
      <c r="NP104" s="148"/>
      <c r="NQ104" s="148"/>
      <c r="NR104" s="148"/>
      <c r="NS104" s="148"/>
      <c r="NT104" s="148"/>
      <c r="NU104" s="148"/>
      <c r="NV104" s="148"/>
      <c r="NW104" s="148"/>
      <c r="NX104" s="148"/>
      <c r="NY104" s="148"/>
      <c r="NZ104" s="148"/>
      <c r="OA104" s="148"/>
      <c r="OB104" s="148"/>
      <c r="OC104" s="148"/>
      <c r="OD104" s="148"/>
      <c r="OE104" s="148"/>
      <c r="OF104" s="148"/>
      <c r="OG104" s="148"/>
      <c r="OH104" s="148"/>
      <c r="OI104" s="148"/>
      <c r="OJ104" s="148"/>
      <c r="OK104" s="148"/>
      <c r="OL104" s="148"/>
      <c r="OM104" s="148"/>
      <c r="ON104" s="148"/>
      <c r="OO104" s="148"/>
      <c r="OP104" s="148"/>
      <c r="OQ104" s="148"/>
      <c r="OR104" s="148"/>
      <c r="OS104" s="148"/>
      <c r="OT104" s="148"/>
      <c r="OU104" s="148"/>
      <c r="OV104" s="148"/>
      <c r="OW104" s="148"/>
      <c r="OX104" s="148"/>
      <c r="OY104" s="148"/>
      <c r="OZ104" s="148"/>
      <c r="PA104" s="148"/>
      <c r="PB104" s="148"/>
      <c r="PC104" s="148"/>
      <c r="PD104" s="148"/>
      <c r="PE104" s="148"/>
      <c r="PF104" s="148"/>
      <c r="PG104" s="148"/>
      <c r="PH104" s="148"/>
      <c r="PI104" s="148"/>
      <c r="PJ104" s="148"/>
      <c r="PK104" s="148"/>
      <c r="PL104" s="148"/>
      <c r="PM104" s="148"/>
      <c r="PN104" s="148"/>
      <c r="PO104" s="148"/>
      <c r="PP104" s="148"/>
      <c r="PQ104" s="148"/>
      <c r="PR104" s="148"/>
      <c r="PS104" s="148"/>
      <c r="PT104" s="148"/>
      <c r="PU104" s="148"/>
      <c r="PV104" s="148"/>
      <c r="PW104" s="148"/>
      <c r="PX104" s="148"/>
      <c r="PY104" s="148"/>
      <c r="PZ104" s="148"/>
      <c r="QA104" s="148"/>
      <c r="QB104" s="148"/>
      <c r="QC104" s="148"/>
      <c r="QD104" s="148"/>
      <c r="QE104" s="148"/>
      <c r="QF104" s="148"/>
      <c r="QG104" s="148"/>
      <c r="QH104" s="148"/>
      <c r="QI104" s="148"/>
      <c r="QJ104" s="148"/>
      <c r="QK104" s="148"/>
      <c r="QL104" s="148"/>
      <c r="QM104" s="148"/>
      <c r="QN104" s="148"/>
      <c r="QO104" s="148"/>
      <c r="QP104" s="148"/>
      <c r="QQ104" s="148"/>
      <c r="QR104" s="148"/>
      <c r="QS104" s="148"/>
      <c r="QT104" s="148"/>
      <c r="QU104" s="148"/>
      <c r="QV104" s="148"/>
      <c r="QW104" s="148"/>
      <c r="QX104" s="148"/>
      <c r="QY104" s="148"/>
      <c r="QZ104" s="148"/>
      <c r="RA104" s="148"/>
      <c r="RB104" s="148"/>
      <c r="RC104" s="148"/>
      <c r="RD104" s="148"/>
      <c r="RE104" s="148"/>
      <c r="RF104" s="148"/>
      <c r="RG104" s="148"/>
      <c r="RH104" s="148"/>
      <c r="RI104" s="148"/>
      <c r="RJ104" s="148"/>
      <c r="RK104" s="148"/>
      <c r="RL104" s="148"/>
      <c r="RM104" s="148"/>
      <c r="RN104" s="148"/>
      <c r="RO104" s="148"/>
      <c r="RP104" s="148"/>
      <c r="RQ104" s="148"/>
      <c r="RR104" s="148"/>
    </row>
    <row r="105" spans="1:486" s="15" customFormat="1" hidden="1" x14ac:dyDescent="0.25">
      <c r="A105" s="148"/>
      <c r="B105" s="350">
        <v>95</v>
      </c>
      <c r="C105" s="650"/>
      <c r="D105" s="16"/>
      <c r="E105" s="344"/>
      <c r="F105" s="344"/>
      <c r="G105" s="17"/>
      <c r="H105" s="317"/>
      <c r="I105" s="346"/>
      <c r="J105" s="341"/>
      <c r="K105" s="633"/>
      <c r="L105" s="633"/>
      <c r="M105" s="633"/>
      <c r="N105" s="633"/>
      <c r="O105" s="633"/>
      <c r="P105" s="633"/>
      <c r="Q105" s="633"/>
      <c r="R105" s="633"/>
      <c r="S105" s="633"/>
      <c r="T105" s="633"/>
      <c r="U105" s="633"/>
      <c r="V105" s="633"/>
      <c r="W105" s="633"/>
      <c r="X105" s="633"/>
      <c r="Y105" s="633">
        <f t="shared" si="3"/>
        <v>0</v>
      </c>
      <c r="Z105" s="637"/>
      <c r="AA105" s="19"/>
      <c r="AB105" s="21"/>
      <c r="AC105" s="23"/>
      <c r="AD105" s="652"/>
      <c r="AE105" s="20"/>
      <c r="AF105" s="21"/>
      <c r="AG105" s="23"/>
      <c r="AH105" s="637"/>
      <c r="AI105" s="19"/>
      <c r="AJ105" s="21"/>
      <c r="AK105" s="25"/>
      <c r="AL105" s="309"/>
      <c r="AM105" s="19"/>
      <c r="AN105" s="21"/>
      <c r="AO105" s="25"/>
      <c r="AP105" s="309"/>
      <c r="AQ105" s="19"/>
      <c r="AR105" s="21"/>
      <c r="AS105" s="25"/>
      <c r="AT105" s="638">
        <f t="shared" si="4"/>
        <v>0</v>
      </c>
      <c r="AU105" s="311">
        <f t="shared" si="0"/>
        <v>0</v>
      </c>
      <c r="AV105" s="148"/>
      <c r="AW105" s="148"/>
      <c r="AX105" s="148"/>
      <c r="AY105" s="148"/>
      <c r="AZ105" s="148"/>
      <c r="BA105" s="148"/>
      <c r="BB105" s="148"/>
      <c r="BC105" s="148"/>
      <c r="BD105" s="148"/>
      <c r="BE105" s="148"/>
      <c r="BF105" s="148"/>
      <c r="BG105" s="148"/>
      <c r="BH105" s="148"/>
      <c r="BI105" s="148"/>
      <c r="BJ105" s="148"/>
      <c r="BK105" s="148"/>
      <c r="BL105" s="148"/>
      <c r="BM105" s="148"/>
      <c r="BN105" s="148"/>
      <c r="BO105" s="148"/>
      <c r="BP105" s="148"/>
      <c r="BQ105" s="148"/>
      <c r="BR105" s="148"/>
      <c r="BS105" s="148"/>
      <c r="BT105" s="148"/>
      <c r="BU105" s="148"/>
      <c r="BV105" s="148"/>
      <c r="BW105" s="148"/>
      <c r="BX105" s="148"/>
      <c r="BY105" s="148"/>
      <c r="BZ105" s="148"/>
      <c r="CA105" s="148"/>
      <c r="CB105" s="148"/>
      <c r="CC105" s="148"/>
      <c r="CD105" s="148"/>
      <c r="CE105" s="148"/>
      <c r="CF105" s="148"/>
      <c r="CG105" s="148"/>
      <c r="CH105" s="148"/>
      <c r="CI105" s="148"/>
      <c r="CJ105" s="148"/>
      <c r="CK105" s="148"/>
      <c r="CL105" s="148"/>
      <c r="CM105" s="148"/>
      <c r="CN105" s="148"/>
      <c r="CO105" s="148"/>
      <c r="CP105" s="148"/>
      <c r="CQ105" s="148"/>
      <c r="CR105" s="148"/>
      <c r="CS105" s="148"/>
      <c r="CT105" s="148"/>
      <c r="CU105" s="148"/>
      <c r="CV105" s="148"/>
      <c r="CW105" s="148"/>
      <c r="CX105" s="148"/>
      <c r="CY105" s="148"/>
      <c r="CZ105" s="148"/>
      <c r="DA105" s="148"/>
      <c r="DB105" s="148"/>
      <c r="DC105" s="148"/>
      <c r="DD105" s="148"/>
      <c r="DE105" s="148"/>
      <c r="DF105" s="148"/>
      <c r="DG105" s="148"/>
      <c r="DH105" s="148"/>
      <c r="DI105" s="148"/>
      <c r="DJ105" s="148"/>
      <c r="DK105" s="148"/>
      <c r="DL105" s="148"/>
      <c r="DM105" s="148"/>
      <c r="DN105" s="148"/>
      <c r="DO105" s="148"/>
      <c r="DP105" s="148"/>
      <c r="DQ105" s="148"/>
      <c r="DR105" s="148"/>
      <c r="DS105" s="148"/>
      <c r="DT105" s="148"/>
      <c r="DU105" s="148"/>
      <c r="DV105" s="148"/>
      <c r="DW105" s="148"/>
      <c r="DX105" s="148"/>
      <c r="DY105" s="148"/>
      <c r="DZ105" s="148"/>
      <c r="EA105" s="148"/>
      <c r="EB105" s="148"/>
      <c r="EC105" s="148"/>
      <c r="ED105" s="148"/>
      <c r="EE105" s="148"/>
      <c r="EF105" s="148"/>
      <c r="EG105" s="148"/>
      <c r="EH105" s="148"/>
      <c r="EI105" s="148"/>
      <c r="EJ105" s="148"/>
      <c r="EK105" s="148"/>
      <c r="EL105" s="148"/>
      <c r="EM105" s="148"/>
      <c r="EN105" s="148"/>
      <c r="EO105" s="148"/>
      <c r="EP105" s="148"/>
      <c r="EQ105" s="148"/>
      <c r="ER105" s="148"/>
      <c r="ES105" s="148"/>
      <c r="ET105" s="148"/>
      <c r="EU105" s="148"/>
      <c r="EV105" s="148"/>
      <c r="EW105" s="148"/>
      <c r="EX105" s="148"/>
      <c r="EY105" s="148"/>
      <c r="EZ105" s="148"/>
      <c r="FA105" s="148"/>
      <c r="FB105" s="148"/>
      <c r="FC105" s="148"/>
      <c r="FD105" s="148"/>
      <c r="FE105" s="148"/>
      <c r="FF105" s="148"/>
      <c r="FG105" s="148"/>
      <c r="FH105" s="148"/>
      <c r="FI105" s="148"/>
      <c r="FJ105" s="148"/>
      <c r="FK105" s="148"/>
      <c r="FL105" s="148"/>
      <c r="FM105" s="148"/>
      <c r="FN105" s="148"/>
      <c r="FO105" s="148"/>
      <c r="FP105" s="148"/>
      <c r="FQ105" s="148"/>
      <c r="FR105" s="148"/>
      <c r="FS105" s="148"/>
      <c r="FT105" s="148"/>
      <c r="FU105" s="148"/>
      <c r="FV105" s="148"/>
      <c r="FW105" s="148"/>
      <c r="FX105" s="148"/>
      <c r="FY105" s="148"/>
      <c r="FZ105" s="148"/>
      <c r="GA105" s="148"/>
      <c r="GB105" s="148"/>
      <c r="GC105" s="148"/>
      <c r="GD105" s="148"/>
      <c r="GE105" s="148"/>
      <c r="GF105" s="148"/>
      <c r="GG105" s="148"/>
      <c r="GH105" s="148"/>
      <c r="GI105" s="148"/>
      <c r="GJ105" s="148"/>
      <c r="GK105" s="148"/>
      <c r="GL105" s="148"/>
      <c r="GM105" s="148"/>
      <c r="GN105" s="148"/>
      <c r="GO105" s="148"/>
      <c r="GP105" s="148"/>
      <c r="GQ105" s="148"/>
      <c r="GR105" s="148"/>
      <c r="GS105" s="148"/>
      <c r="GT105" s="148"/>
      <c r="GU105" s="148"/>
      <c r="GV105" s="148"/>
      <c r="GW105" s="148"/>
      <c r="GX105" s="148"/>
      <c r="GY105" s="148"/>
      <c r="GZ105" s="148"/>
      <c r="HA105" s="148"/>
      <c r="HB105" s="148"/>
      <c r="HC105" s="148"/>
      <c r="HD105" s="148"/>
      <c r="HE105" s="148"/>
      <c r="HF105" s="148"/>
      <c r="HG105" s="148"/>
      <c r="HH105" s="148"/>
      <c r="HI105" s="148"/>
      <c r="HJ105" s="148"/>
      <c r="HK105" s="148"/>
      <c r="HL105" s="148"/>
      <c r="HM105" s="148"/>
      <c r="HN105" s="148"/>
      <c r="HO105" s="148"/>
      <c r="HP105" s="148"/>
      <c r="HQ105" s="148"/>
      <c r="HR105" s="148"/>
      <c r="HS105" s="148"/>
      <c r="HT105" s="148"/>
      <c r="HU105" s="148"/>
      <c r="HV105" s="148"/>
      <c r="HW105" s="148"/>
      <c r="HX105" s="148"/>
      <c r="HY105" s="148"/>
      <c r="HZ105" s="148"/>
      <c r="IA105" s="148"/>
      <c r="IB105" s="148"/>
      <c r="IC105" s="148"/>
      <c r="ID105" s="148"/>
      <c r="IE105" s="148"/>
      <c r="IF105" s="148"/>
      <c r="IG105" s="148"/>
      <c r="IH105" s="148"/>
      <c r="II105" s="148"/>
      <c r="IJ105" s="148"/>
      <c r="IK105" s="148"/>
      <c r="IL105" s="148"/>
      <c r="IM105" s="148"/>
      <c r="IN105" s="148"/>
      <c r="IO105" s="148"/>
      <c r="IP105" s="148"/>
      <c r="IQ105" s="148"/>
      <c r="IR105" s="148"/>
      <c r="IS105" s="148"/>
      <c r="IT105" s="148"/>
      <c r="IU105" s="148"/>
      <c r="IV105" s="148"/>
      <c r="IW105" s="148"/>
      <c r="IX105" s="148"/>
      <c r="IY105" s="148"/>
      <c r="IZ105" s="148"/>
      <c r="JA105" s="148"/>
      <c r="JB105" s="148"/>
      <c r="JC105" s="148"/>
      <c r="JD105" s="148"/>
      <c r="JE105" s="148"/>
      <c r="JF105" s="148"/>
      <c r="JG105" s="148"/>
      <c r="JH105" s="148"/>
      <c r="JI105" s="148"/>
      <c r="JJ105" s="148"/>
      <c r="JK105" s="148"/>
      <c r="JL105" s="148"/>
      <c r="JM105" s="148"/>
      <c r="JN105" s="148"/>
      <c r="JO105" s="148"/>
      <c r="JP105" s="148"/>
      <c r="JQ105" s="148"/>
      <c r="JR105" s="148"/>
      <c r="JS105" s="148"/>
      <c r="JT105" s="148"/>
      <c r="JU105" s="148"/>
      <c r="JV105" s="148"/>
      <c r="JW105" s="148"/>
      <c r="JX105" s="148"/>
      <c r="JY105" s="148"/>
      <c r="JZ105" s="148"/>
      <c r="KA105" s="148"/>
      <c r="KB105" s="148"/>
      <c r="KC105" s="148"/>
      <c r="KD105" s="148"/>
      <c r="KE105" s="148"/>
      <c r="KF105" s="148"/>
      <c r="KG105" s="148"/>
      <c r="KH105" s="148"/>
      <c r="KI105" s="148"/>
      <c r="KJ105" s="148"/>
      <c r="KK105" s="148"/>
      <c r="KL105" s="148"/>
      <c r="KM105" s="148"/>
      <c r="KN105" s="148"/>
      <c r="KO105" s="148"/>
      <c r="KP105" s="148"/>
      <c r="KQ105" s="148"/>
      <c r="KR105" s="148"/>
      <c r="KS105" s="148"/>
      <c r="KT105" s="148"/>
      <c r="KU105" s="148"/>
      <c r="KV105" s="148"/>
      <c r="KW105" s="148"/>
      <c r="KX105" s="148"/>
      <c r="KY105" s="148"/>
      <c r="KZ105" s="148"/>
      <c r="LA105" s="148"/>
      <c r="LB105" s="148"/>
      <c r="LC105" s="148"/>
      <c r="LD105" s="148"/>
      <c r="LE105" s="148"/>
      <c r="LF105" s="148"/>
      <c r="LG105" s="148"/>
      <c r="LH105" s="148"/>
      <c r="LI105" s="148"/>
      <c r="LJ105" s="148"/>
      <c r="LK105" s="148"/>
      <c r="LL105" s="148"/>
      <c r="LM105" s="148"/>
      <c r="LN105" s="148"/>
      <c r="LO105" s="148"/>
      <c r="LP105" s="148"/>
      <c r="LQ105" s="148"/>
      <c r="LR105" s="148"/>
      <c r="LS105" s="148"/>
      <c r="LT105" s="148"/>
      <c r="LU105" s="148"/>
      <c r="LV105" s="148"/>
      <c r="LW105" s="148"/>
      <c r="LX105" s="148"/>
      <c r="LY105" s="148"/>
      <c r="LZ105" s="148"/>
      <c r="MA105" s="148"/>
      <c r="MB105" s="148"/>
      <c r="MC105" s="148"/>
      <c r="MD105" s="148"/>
      <c r="ME105" s="148"/>
      <c r="MF105" s="148"/>
      <c r="MG105" s="148"/>
      <c r="MH105" s="148"/>
      <c r="MI105" s="148"/>
      <c r="MJ105" s="148"/>
      <c r="MK105" s="148"/>
      <c r="ML105" s="148"/>
      <c r="MM105" s="148"/>
      <c r="MN105" s="148"/>
      <c r="MO105" s="148"/>
      <c r="MP105" s="148"/>
      <c r="MQ105" s="148"/>
      <c r="MR105" s="148"/>
      <c r="MS105" s="148"/>
      <c r="MT105" s="148"/>
      <c r="MU105" s="148"/>
      <c r="MV105" s="148"/>
      <c r="MW105" s="148"/>
      <c r="MX105" s="148"/>
      <c r="MY105" s="148"/>
      <c r="MZ105" s="148"/>
      <c r="NA105" s="148"/>
      <c r="NB105" s="148"/>
      <c r="NC105" s="148"/>
      <c r="ND105" s="148"/>
      <c r="NE105" s="148"/>
      <c r="NF105" s="148"/>
      <c r="NG105" s="148"/>
      <c r="NH105" s="148"/>
      <c r="NI105" s="148"/>
      <c r="NJ105" s="148"/>
      <c r="NK105" s="148"/>
      <c r="NL105" s="148"/>
      <c r="NM105" s="148"/>
      <c r="NN105" s="148"/>
      <c r="NO105" s="148"/>
      <c r="NP105" s="148"/>
      <c r="NQ105" s="148"/>
      <c r="NR105" s="148"/>
      <c r="NS105" s="148"/>
      <c r="NT105" s="148"/>
      <c r="NU105" s="148"/>
      <c r="NV105" s="148"/>
      <c r="NW105" s="148"/>
      <c r="NX105" s="148"/>
      <c r="NY105" s="148"/>
      <c r="NZ105" s="148"/>
      <c r="OA105" s="148"/>
      <c r="OB105" s="148"/>
      <c r="OC105" s="148"/>
      <c r="OD105" s="148"/>
      <c r="OE105" s="148"/>
      <c r="OF105" s="148"/>
      <c r="OG105" s="148"/>
      <c r="OH105" s="148"/>
      <c r="OI105" s="148"/>
      <c r="OJ105" s="148"/>
      <c r="OK105" s="148"/>
      <c r="OL105" s="148"/>
      <c r="OM105" s="148"/>
      <c r="ON105" s="148"/>
      <c r="OO105" s="148"/>
      <c r="OP105" s="148"/>
      <c r="OQ105" s="148"/>
      <c r="OR105" s="148"/>
      <c r="OS105" s="148"/>
      <c r="OT105" s="148"/>
      <c r="OU105" s="148"/>
      <c r="OV105" s="148"/>
      <c r="OW105" s="148"/>
      <c r="OX105" s="148"/>
      <c r="OY105" s="148"/>
      <c r="OZ105" s="148"/>
      <c r="PA105" s="148"/>
      <c r="PB105" s="148"/>
      <c r="PC105" s="148"/>
      <c r="PD105" s="148"/>
      <c r="PE105" s="148"/>
      <c r="PF105" s="148"/>
      <c r="PG105" s="148"/>
      <c r="PH105" s="148"/>
      <c r="PI105" s="148"/>
      <c r="PJ105" s="148"/>
      <c r="PK105" s="148"/>
      <c r="PL105" s="148"/>
      <c r="PM105" s="148"/>
      <c r="PN105" s="148"/>
      <c r="PO105" s="148"/>
      <c r="PP105" s="148"/>
      <c r="PQ105" s="148"/>
      <c r="PR105" s="148"/>
      <c r="PS105" s="148"/>
      <c r="PT105" s="148"/>
      <c r="PU105" s="148"/>
      <c r="PV105" s="148"/>
      <c r="PW105" s="148"/>
      <c r="PX105" s="148"/>
      <c r="PY105" s="148"/>
      <c r="PZ105" s="148"/>
      <c r="QA105" s="148"/>
      <c r="QB105" s="148"/>
      <c r="QC105" s="148"/>
      <c r="QD105" s="148"/>
      <c r="QE105" s="148"/>
      <c r="QF105" s="148"/>
      <c r="QG105" s="148"/>
      <c r="QH105" s="148"/>
      <c r="QI105" s="148"/>
      <c r="QJ105" s="148"/>
      <c r="QK105" s="148"/>
      <c r="QL105" s="148"/>
      <c r="QM105" s="148"/>
      <c r="QN105" s="148"/>
      <c r="QO105" s="148"/>
      <c r="QP105" s="148"/>
      <c r="QQ105" s="148"/>
      <c r="QR105" s="148"/>
      <c r="QS105" s="148"/>
      <c r="QT105" s="148"/>
      <c r="QU105" s="148"/>
      <c r="QV105" s="148"/>
      <c r="QW105" s="148"/>
      <c r="QX105" s="148"/>
      <c r="QY105" s="148"/>
      <c r="QZ105" s="148"/>
      <c r="RA105" s="148"/>
      <c r="RB105" s="148"/>
      <c r="RC105" s="148"/>
      <c r="RD105" s="148"/>
      <c r="RE105" s="148"/>
      <c r="RF105" s="148"/>
      <c r="RG105" s="148"/>
      <c r="RH105" s="148"/>
      <c r="RI105" s="148"/>
      <c r="RJ105" s="148"/>
      <c r="RK105" s="148"/>
      <c r="RL105" s="148"/>
      <c r="RM105" s="148"/>
      <c r="RN105" s="148"/>
      <c r="RO105" s="148"/>
      <c r="RP105" s="148"/>
      <c r="RQ105" s="148"/>
      <c r="RR105" s="148"/>
    </row>
    <row r="106" spans="1:486" s="15" customFormat="1" hidden="1" x14ac:dyDescent="0.25">
      <c r="A106" s="148"/>
      <c r="B106" s="350">
        <v>96</v>
      </c>
      <c r="C106" s="650"/>
      <c r="D106" s="16"/>
      <c r="E106" s="344"/>
      <c r="F106" s="344"/>
      <c r="G106" s="17"/>
      <c r="H106" s="317"/>
      <c r="I106" s="346"/>
      <c r="J106" s="341"/>
      <c r="K106" s="633"/>
      <c r="L106" s="633"/>
      <c r="M106" s="633"/>
      <c r="N106" s="633"/>
      <c r="O106" s="633"/>
      <c r="P106" s="633"/>
      <c r="Q106" s="633"/>
      <c r="R106" s="633"/>
      <c r="S106" s="633"/>
      <c r="T106" s="633"/>
      <c r="U106" s="633"/>
      <c r="V106" s="633"/>
      <c r="W106" s="633"/>
      <c r="X106" s="633"/>
      <c r="Y106" s="633">
        <f t="shared" si="3"/>
        <v>0</v>
      </c>
      <c r="Z106" s="637"/>
      <c r="AA106" s="19"/>
      <c r="AB106" s="21"/>
      <c r="AC106" s="23"/>
      <c r="AD106" s="652"/>
      <c r="AE106" s="20"/>
      <c r="AF106" s="21"/>
      <c r="AG106" s="23"/>
      <c r="AH106" s="637"/>
      <c r="AI106" s="19"/>
      <c r="AJ106" s="21"/>
      <c r="AK106" s="25"/>
      <c r="AL106" s="309"/>
      <c r="AM106" s="19"/>
      <c r="AN106" s="21"/>
      <c r="AO106" s="25"/>
      <c r="AP106" s="309"/>
      <c r="AQ106" s="19"/>
      <c r="AR106" s="21"/>
      <c r="AS106" s="25"/>
      <c r="AT106" s="638">
        <f t="shared" si="4"/>
        <v>0</v>
      </c>
      <c r="AU106" s="311">
        <f t="shared" si="0"/>
        <v>0</v>
      </c>
      <c r="AV106" s="148"/>
      <c r="AW106" s="148"/>
      <c r="AX106" s="148"/>
      <c r="AY106" s="148"/>
      <c r="AZ106" s="148"/>
      <c r="BA106" s="148"/>
      <c r="BB106" s="148"/>
      <c r="BC106" s="148"/>
      <c r="BD106" s="148"/>
      <c r="BE106" s="148"/>
      <c r="BF106" s="148"/>
      <c r="BG106" s="148"/>
      <c r="BH106" s="148"/>
      <c r="BI106" s="148"/>
      <c r="BJ106" s="148"/>
      <c r="BK106" s="148"/>
      <c r="BL106" s="148"/>
      <c r="BM106" s="148"/>
      <c r="BN106" s="148"/>
      <c r="BO106" s="148"/>
      <c r="BP106" s="148"/>
      <c r="BQ106" s="148"/>
      <c r="BR106" s="148"/>
      <c r="BS106" s="148"/>
      <c r="BT106" s="148"/>
      <c r="BU106" s="148"/>
      <c r="BV106" s="148"/>
      <c r="BW106" s="148"/>
      <c r="BX106" s="148"/>
      <c r="BY106" s="148"/>
      <c r="BZ106" s="148"/>
      <c r="CA106" s="148"/>
      <c r="CB106" s="148"/>
      <c r="CC106" s="148"/>
      <c r="CD106" s="148"/>
      <c r="CE106" s="148"/>
      <c r="CF106" s="148"/>
      <c r="CG106" s="148"/>
      <c r="CH106" s="148"/>
      <c r="CI106" s="148"/>
      <c r="CJ106" s="148"/>
      <c r="CK106" s="148"/>
      <c r="CL106" s="148"/>
      <c r="CM106" s="148"/>
      <c r="CN106" s="148"/>
      <c r="CO106" s="148"/>
      <c r="CP106" s="148"/>
      <c r="CQ106" s="148"/>
      <c r="CR106" s="148"/>
      <c r="CS106" s="148"/>
      <c r="CT106" s="148"/>
      <c r="CU106" s="148"/>
      <c r="CV106" s="148"/>
      <c r="CW106" s="148"/>
      <c r="CX106" s="148"/>
      <c r="CY106" s="148"/>
      <c r="CZ106" s="148"/>
      <c r="DA106" s="148"/>
      <c r="DB106" s="148"/>
      <c r="DC106" s="148"/>
      <c r="DD106" s="148"/>
      <c r="DE106" s="148"/>
      <c r="DF106" s="148"/>
      <c r="DG106" s="148"/>
      <c r="DH106" s="148"/>
      <c r="DI106" s="148"/>
      <c r="DJ106" s="148"/>
      <c r="DK106" s="148"/>
      <c r="DL106" s="148"/>
      <c r="DM106" s="148"/>
      <c r="DN106" s="148"/>
      <c r="DO106" s="148"/>
      <c r="DP106" s="148"/>
      <c r="DQ106" s="148"/>
      <c r="DR106" s="148"/>
      <c r="DS106" s="148"/>
      <c r="DT106" s="148"/>
      <c r="DU106" s="148"/>
      <c r="DV106" s="148"/>
      <c r="DW106" s="148"/>
      <c r="DX106" s="148"/>
      <c r="DY106" s="148"/>
      <c r="DZ106" s="148"/>
      <c r="EA106" s="148"/>
      <c r="EB106" s="148"/>
      <c r="EC106" s="148"/>
      <c r="ED106" s="148"/>
      <c r="EE106" s="148"/>
      <c r="EF106" s="148"/>
      <c r="EG106" s="148"/>
      <c r="EH106" s="148"/>
      <c r="EI106" s="148"/>
      <c r="EJ106" s="148"/>
      <c r="EK106" s="148"/>
      <c r="EL106" s="148"/>
      <c r="EM106" s="148"/>
      <c r="EN106" s="148"/>
      <c r="EO106" s="148"/>
      <c r="EP106" s="148"/>
      <c r="EQ106" s="148"/>
      <c r="ER106" s="148"/>
      <c r="ES106" s="148"/>
      <c r="ET106" s="148"/>
      <c r="EU106" s="148"/>
      <c r="EV106" s="148"/>
      <c r="EW106" s="148"/>
      <c r="EX106" s="148"/>
      <c r="EY106" s="148"/>
      <c r="EZ106" s="148"/>
      <c r="FA106" s="148"/>
      <c r="FB106" s="148"/>
      <c r="FC106" s="148"/>
      <c r="FD106" s="148"/>
      <c r="FE106" s="148"/>
      <c r="FF106" s="148"/>
      <c r="FG106" s="148"/>
      <c r="FH106" s="148"/>
      <c r="FI106" s="148"/>
      <c r="FJ106" s="148"/>
      <c r="FK106" s="148"/>
      <c r="FL106" s="148"/>
      <c r="FM106" s="148"/>
      <c r="FN106" s="148"/>
      <c r="FO106" s="148"/>
      <c r="FP106" s="148"/>
      <c r="FQ106" s="148"/>
      <c r="FR106" s="148"/>
      <c r="FS106" s="148"/>
      <c r="FT106" s="148"/>
      <c r="FU106" s="148"/>
      <c r="FV106" s="148"/>
      <c r="FW106" s="148"/>
      <c r="FX106" s="148"/>
      <c r="FY106" s="148"/>
      <c r="FZ106" s="148"/>
      <c r="GA106" s="148"/>
      <c r="GB106" s="148"/>
      <c r="GC106" s="148"/>
      <c r="GD106" s="148"/>
      <c r="GE106" s="148"/>
      <c r="GF106" s="148"/>
      <c r="GG106" s="148"/>
      <c r="GH106" s="148"/>
      <c r="GI106" s="148"/>
      <c r="GJ106" s="148"/>
      <c r="GK106" s="148"/>
      <c r="GL106" s="148"/>
      <c r="GM106" s="148"/>
      <c r="GN106" s="148"/>
      <c r="GO106" s="148"/>
      <c r="GP106" s="148"/>
      <c r="GQ106" s="148"/>
      <c r="GR106" s="148"/>
      <c r="GS106" s="148"/>
      <c r="GT106" s="148"/>
      <c r="GU106" s="148"/>
      <c r="GV106" s="148"/>
      <c r="GW106" s="148"/>
      <c r="GX106" s="148"/>
      <c r="GY106" s="148"/>
      <c r="GZ106" s="148"/>
      <c r="HA106" s="148"/>
      <c r="HB106" s="148"/>
      <c r="HC106" s="148"/>
      <c r="HD106" s="148"/>
      <c r="HE106" s="148"/>
      <c r="HF106" s="148"/>
      <c r="HG106" s="148"/>
      <c r="HH106" s="148"/>
      <c r="HI106" s="148"/>
      <c r="HJ106" s="148"/>
      <c r="HK106" s="148"/>
      <c r="HL106" s="148"/>
      <c r="HM106" s="148"/>
      <c r="HN106" s="148"/>
      <c r="HO106" s="148"/>
      <c r="HP106" s="148"/>
      <c r="HQ106" s="148"/>
      <c r="HR106" s="148"/>
      <c r="HS106" s="148"/>
      <c r="HT106" s="148"/>
      <c r="HU106" s="148"/>
      <c r="HV106" s="148"/>
      <c r="HW106" s="148"/>
      <c r="HX106" s="148"/>
      <c r="HY106" s="148"/>
      <c r="HZ106" s="148"/>
      <c r="IA106" s="148"/>
      <c r="IB106" s="148"/>
      <c r="IC106" s="148"/>
      <c r="ID106" s="148"/>
      <c r="IE106" s="148"/>
      <c r="IF106" s="148"/>
      <c r="IG106" s="148"/>
      <c r="IH106" s="148"/>
      <c r="II106" s="148"/>
      <c r="IJ106" s="148"/>
      <c r="IK106" s="148"/>
      <c r="IL106" s="148"/>
      <c r="IM106" s="148"/>
      <c r="IN106" s="148"/>
      <c r="IO106" s="148"/>
      <c r="IP106" s="148"/>
      <c r="IQ106" s="148"/>
      <c r="IR106" s="148"/>
      <c r="IS106" s="148"/>
      <c r="IT106" s="148"/>
      <c r="IU106" s="148"/>
      <c r="IV106" s="148"/>
      <c r="IW106" s="148"/>
      <c r="IX106" s="148"/>
      <c r="IY106" s="148"/>
      <c r="IZ106" s="148"/>
      <c r="JA106" s="148"/>
      <c r="JB106" s="148"/>
      <c r="JC106" s="148"/>
      <c r="JD106" s="148"/>
      <c r="JE106" s="148"/>
      <c r="JF106" s="148"/>
      <c r="JG106" s="148"/>
      <c r="JH106" s="148"/>
      <c r="JI106" s="148"/>
      <c r="JJ106" s="148"/>
      <c r="JK106" s="148"/>
      <c r="JL106" s="148"/>
      <c r="JM106" s="148"/>
      <c r="JN106" s="148"/>
      <c r="JO106" s="148"/>
      <c r="JP106" s="148"/>
      <c r="JQ106" s="148"/>
      <c r="JR106" s="148"/>
      <c r="JS106" s="148"/>
      <c r="JT106" s="148"/>
      <c r="JU106" s="148"/>
      <c r="JV106" s="148"/>
      <c r="JW106" s="148"/>
      <c r="JX106" s="148"/>
      <c r="JY106" s="148"/>
      <c r="JZ106" s="148"/>
      <c r="KA106" s="148"/>
      <c r="KB106" s="148"/>
      <c r="KC106" s="148"/>
      <c r="KD106" s="148"/>
      <c r="KE106" s="148"/>
      <c r="KF106" s="148"/>
      <c r="KG106" s="148"/>
      <c r="KH106" s="148"/>
      <c r="KI106" s="148"/>
      <c r="KJ106" s="148"/>
      <c r="KK106" s="148"/>
      <c r="KL106" s="148"/>
      <c r="KM106" s="148"/>
      <c r="KN106" s="148"/>
      <c r="KO106" s="148"/>
      <c r="KP106" s="148"/>
      <c r="KQ106" s="148"/>
      <c r="KR106" s="148"/>
      <c r="KS106" s="148"/>
      <c r="KT106" s="148"/>
      <c r="KU106" s="148"/>
      <c r="KV106" s="148"/>
      <c r="KW106" s="148"/>
      <c r="KX106" s="148"/>
      <c r="KY106" s="148"/>
      <c r="KZ106" s="148"/>
      <c r="LA106" s="148"/>
      <c r="LB106" s="148"/>
      <c r="LC106" s="148"/>
      <c r="LD106" s="148"/>
      <c r="LE106" s="148"/>
      <c r="LF106" s="148"/>
      <c r="LG106" s="148"/>
      <c r="LH106" s="148"/>
      <c r="LI106" s="148"/>
      <c r="LJ106" s="148"/>
      <c r="LK106" s="148"/>
      <c r="LL106" s="148"/>
      <c r="LM106" s="148"/>
      <c r="LN106" s="148"/>
      <c r="LO106" s="148"/>
      <c r="LP106" s="148"/>
      <c r="LQ106" s="148"/>
      <c r="LR106" s="148"/>
      <c r="LS106" s="148"/>
      <c r="LT106" s="148"/>
      <c r="LU106" s="148"/>
      <c r="LV106" s="148"/>
      <c r="LW106" s="148"/>
      <c r="LX106" s="148"/>
      <c r="LY106" s="148"/>
      <c r="LZ106" s="148"/>
      <c r="MA106" s="148"/>
      <c r="MB106" s="148"/>
      <c r="MC106" s="148"/>
      <c r="MD106" s="148"/>
      <c r="ME106" s="148"/>
      <c r="MF106" s="148"/>
      <c r="MG106" s="148"/>
      <c r="MH106" s="148"/>
      <c r="MI106" s="148"/>
      <c r="MJ106" s="148"/>
      <c r="MK106" s="148"/>
      <c r="ML106" s="148"/>
      <c r="MM106" s="148"/>
      <c r="MN106" s="148"/>
      <c r="MO106" s="148"/>
      <c r="MP106" s="148"/>
      <c r="MQ106" s="148"/>
      <c r="MR106" s="148"/>
      <c r="MS106" s="148"/>
      <c r="MT106" s="148"/>
      <c r="MU106" s="148"/>
      <c r="MV106" s="148"/>
      <c r="MW106" s="148"/>
      <c r="MX106" s="148"/>
      <c r="MY106" s="148"/>
      <c r="MZ106" s="148"/>
      <c r="NA106" s="148"/>
      <c r="NB106" s="148"/>
      <c r="NC106" s="148"/>
      <c r="ND106" s="148"/>
      <c r="NE106" s="148"/>
      <c r="NF106" s="148"/>
      <c r="NG106" s="148"/>
      <c r="NH106" s="148"/>
      <c r="NI106" s="148"/>
      <c r="NJ106" s="148"/>
      <c r="NK106" s="148"/>
      <c r="NL106" s="148"/>
      <c r="NM106" s="148"/>
      <c r="NN106" s="148"/>
      <c r="NO106" s="148"/>
      <c r="NP106" s="148"/>
      <c r="NQ106" s="148"/>
      <c r="NR106" s="148"/>
      <c r="NS106" s="148"/>
      <c r="NT106" s="148"/>
      <c r="NU106" s="148"/>
      <c r="NV106" s="148"/>
      <c r="NW106" s="148"/>
      <c r="NX106" s="148"/>
      <c r="NY106" s="148"/>
      <c r="NZ106" s="148"/>
      <c r="OA106" s="148"/>
      <c r="OB106" s="148"/>
      <c r="OC106" s="148"/>
      <c r="OD106" s="148"/>
      <c r="OE106" s="148"/>
      <c r="OF106" s="148"/>
      <c r="OG106" s="148"/>
      <c r="OH106" s="148"/>
      <c r="OI106" s="148"/>
      <c r="OJ106" s="148"/>
      <c r="OK106" s="148"/>
      <c r="OL106" s="148"/>
      <c r="OM106" s="148"/>
      <c r="ON106" s="148"/>
      <c r="OO106" s="148"/>
      <c r="OP106" s="148"/>
      <c r="OQ106" s="148"/>
      <c r="OR106" s="148"/>
      <c r="OS106" s="148"/>
      <c r="OT106" s="148"/>
      <c r="OU106" s="148"/>
      <c r="OV106" s="148"/>
      <c r="OW106" s="148"/>
      <c r="OX106" s="148"/>
      <c r="OY106" s="148"/>
      <c r="OZ106" s="148"/>
      <c r="PA106" s="148"/>
      <c r="PB106" s="148"/>
      <c r="PC106" s="148"/>
      <c r="PD106" s="148"/>
      <c r="PE106" s="148"/>
      <c r="PF106" s="148"/>
      <c r="PG106" s="148"/>
      <c r="PH106" s="148"/>
      <c r="PI106" s="148"/>
      <c r="PJ106" s="148"/>
      <c r="PK106" s="148"/>
      <c r="PL106" s="148"/>
      <c r="PM106" s="148"/>
      <c r="PN106" s="148"/>
      <c r="PO106" s="148"/>
      <c r="PP106" s="148"/>
      <c r="PQ106" s="148"/>
      <c r="PR106" s="148"/>
      <c r="PS106" s="148"/>
      <c r="PT106" s="148"/>
      <c r="PU106" s="148"/>
      <c r="PV106" s="148"/>
      <c r="PW106" s="148"/>
      <c r="PX106" s="148"/>
      <c r="PY106" s="148"/>
      <c r="PZ106" s="148"/>
      <c r="QA106" s="148"/>
      <c r="QB106" s="148"/>
      <c r="QC106" s="148"/>
      <c r="QD106" s="148"/>
      <c r="QE106" s="148"/>
      <c r="QF106" s="148"/>
      <c r="QG106" s="148"/>
      <c r="QH106" s="148"/>
      <c r="QI106" s="148"/>
      <c r="QJ106" s="148"/>
      <c r="QK106" s="148"/>
      <c r="QL106" s="148"/>
      <c r="QM106" s="148"/>
      <c r="QN106" s="148"/>
      <c r="QO106" s="148"/>
      <c r="QP106" s="148"/>
      <c r="QQ106" s="148"/>
      <c r="QR106" s="148"/>
      <c r="QS106" s="148"/>
      <c r="QT106" s="148"/>
      <c r="QU106" s="148"/>
      <c r="QV106" s="148"/>
      <c r="QW106" s="148"/>
      <c r="QX106" s="148"/>
      <c r="QY106" s="148"/>
      <c r="QZ106" s="148"/>
      <c r="RA106" s="148"/>
      <c r="RB106" s="148"/>
      <c r="RC106" s="148"/>
      <c r="RD106" s="148"/>
      <c r="RE106" s="148"/>
      <c r="RF106" s="148"/>
      <c r="RG106" s="148"/>
      <c r="RH106" s="148"/>
      <c r="RI106" s="148"/>
      <c r="RJ106" s="148"/>
      <c r="RK106" s="148"/>
      <c r="RL106" s="148"/>
      <c r="RM106" s="148"/>
      <c r="RN106" s="148"/>
      <c r="RO106" s="148"/>
      <c r="RP106" s="148"/>
      <c r="RQ106" s="148"/>
      <c r="RR106" s="148"/>
    </row>
    <row r="107" spans="1:486" s="15" customFormat="1" hidden="1" x14ac:dyDescent="0.25">
      <c r="A107" s="148"/>
      <c r="B107" s="350">
        <v>97</v>
      </c>
      <c r="C107" s="650"/>
      <c r="D107" s="16"/>
      <c r="E107" s="344"/>
      <c r="F107" s="344"/>
      <c r="G107" s="17"/>
      <c r="H107" s="317"/>
      <c r="I107" s="346"/>
      <c r="J107" s="341"/>
      <c r="K107" s="633"/>
      <c r="L107" s="633"/>
      <c r="M107" s="633"/>
      <c r="N107" s="633"/>
      <c r="O107" s="633"/>
      <c r="P107" s="633"/>
      <c r="Q107" s="633"/>
      <c r="R107" s="633"/>
      <c r="S107" s="633"/>
      <c r="T107" s="633"/>
      <c r="U107" s="633"/>
      <c r="V107" s="633"/>
      <c r="W107" s="633"/>
      <c r="X107" s="633"/>
      <c r="Y107" s="633">
        <f t="shared" si="3"/>
        <v>0</v>
      </c>
      <c r="Z107" s="637"/>
      <c r="AA107" s="19"/>
      <c r="AB107" s="21"/>
      <c r="AC107" s="23"/>
      <c r="AD107" s="652"/>
      <c r="AE107" s="20"/>
      <c r="AF107" s="21"/>
      <c r="AG107" s="23"/>
      <c r="AH107" s="637"/>
      <c r="AI107" s="19"/>
      <c r="AJ107" s="21"/>
      <c r="AK107" s="25"/>
      <c r="AL107" s="309"/>
      <c r="AM107" s="19"/>
      <c r="AN107" s="21"/>
      <c r="AO107" s="25"/>
      <c r="AP107" s="309"/>
      <c r="AQ107" s="19"/>
      <c r="AR107" s="21"/>
      <c r="AS107" s="25"/>
      <c r="AT107" s="638">
        <f t="shared" si="4"/>
        <v>0</v>
      </c>
      <c r="AU107" s="311">
        <f t="shared" si="0"/>
        <v>0</v>
      </c>
      <c r="AV107" s="148"/>
      <c r="AW107" s="148"/>
      <c r="AX107" s="148"/>
      <c r="AY107" s="148"/>
      <c r="AZ107" s="148"/>
      <c r="BA107" s="148"/>
      <c r="BB107" s="148"/>
      <c r="BC107" s="148"/>
      <c r="BD107" s="148"/>
      <c r="BE107" s="148"/>
      <c r="BF107" s="148"/>
      <c r="BG107" s="148"/>
      <c r="BH107" s="148"/>
      <c r="BI107" s="148"/>
      <c r="BJ107" s="148"/>
      <c r="BK107" s="148"/>
      <c r="BL107" s="148"/>
      <c r="BM107" s="148"/>
      <c r="BN107" s="148"/>
      <c r="BO107" s="148"/>
      <c r="BP107" s="148"/>
      <c r="BQ107" s="148"/>
      <c r="BR107" s="148"/>
      <c r="BS107" s="148"/>
      <c r="BT107" s="148"/>
      <c r="BU107" s="148"/>
      <c r="BV107" s="148"/>
      <c r="BW107" s="148"/>
      <c r="BX107" s="148"/>
      <c r="BY107" s="148"/>
      <c r="BZ107" s="148"/>
      <c r="CA107" s="148"/>
      <c r="CB107" s="148"/>
      <c r="CC107" s="148"/>
      <c r="CD107" s="148"/>
      <c r="CE107" s="148"/>
      <c r="CF107" s="148"/>
      <c r="CG107" s="148"/>
      <c r="CH107" s="148"/>
      <c r="CI107" s="148"/>
      <c r="CJ107" s="148"/>
      <c r="CK107" s="148"/>
      <c r="CL107" s="148"/>
      <c r="CM107" s="148"/>
      <c r="CN107" s="148"/>
      <c r="CO107" s="148"/>
      <c r="CP107" s="148"/>
      <c r="CQ107" s="148"/>
      <c r="CR107" s="148"/>
      <c r="CS107" s="148"/>
      <c r="CT107" s="148"/>
      <c r="CU107" s="148"/>
      <c r="CV107" s="148"/>
      <c r="CW107" s="148"/>
      <c r="CX107" s="148"/>
      <c r="CY107" s="148"/>
      <c r="CZ107" s="148"/>
      <c r="DA107" s="148"/>
      <c r="DB107" s="148"/>
      <c r="DC107" s="148"/>
      <c r="DD107" s="148"/>
      <c r="DE107" s="148"/>
      <c r="DF107" s="148"/>
      <c r="DG107" s="148"/>
      <c r="DH107" s="148"/>
      <c r="DI107" s="148"/>
      <c r="DJ107" s="148"/>
      <c r="DK107" s="148"/>
      <c r="DL107" s="148"/>
      <c r="DM107" s="148"/>
      <c r="DN107" s="148"/>
      <c r="DO107" s="148"/>
      <c r="DP107" s="148"/>
      <c r="DQ107" s="148"/>
      <c r="DR107" s="148"/>
      <c r="DS107" s="148"/>
      <c r="DT107" s="148"/>
      <c r="DU107" s="148"/>
      <c r="DV107" s="148"/>
      <c r="DW107" s="148"/>
      <c r="DX107" s="148"/>
      <c r="DY107" s="148"/>
      <c r="DZ107" s="148"/>
      <c r="EA107" s="148"/>
      <c r="EB107" s="148"/>
      <c r="EC107" s="148"/>
      <c r="ED107" s="148"/>
      <c r="EE107" s="148"/>
      <c r="EF107" s="148"/>
      <c r="EG107" s="148"/>
      <c r="EH107" s="148"/>
      <c r="EI107" s="148"/>
      <c r="EJ107" s="148"/>
      <c r="EK107" s="148"/>
      <c r="EL107" s="148"/>
      <c r="EM107" s="148"/>
      <c r="EN107" s="148"/>
      <c r="EO107" s="148"/>
      <c r="EP107" s="148"/>
      <c r="EQ107" s="148"/>
      <c r="ER107" s="148"/>
      <c r="ES107" s="148"/>
      <c r="ET107" s="148"/>
      <c r="EU107" s="148"/>
      <c r="EV107" s="148"/>
      <c r="EW107" s="148"/>
      <c r="EX107" s="148"/>
      <c r="EY107" s="148"/>
      <c r="EZ107" s="148"/>
      <c r="FA107" s="148"/>
      <c r="FB107" s="148"/>
      <c r="FC107" s="148"/>
      <c r="FD107" s="148"/>
      <c r="FE107" s="148"/>
      <c r="FF107" s="148"/>
      <c r="FG107" s="148"/>
      <c r="FH107" s="148"/>
      <c r="FI107" s="148"/>
      <c r="FJ107" s="148"/>
      <c r="FK107" s="148"/>
      <c r="FL107" s="148"/>
      <c r="FM107" s="148"/>
      <c r="FN107" s="148"/>
      <c r="FO107" s="148"/>
      <c r="FP107" s="148"/>
      <c r="FQ107" s="148"/>
      <c r="FR107" s="148"/>
      <c r="FS107" s="148"/>
      <c r="FT107" s="148"/>
      <c r="FU107" s="148"/>
      <c r="FV107" s="148"/>
      <c r="FW107" s="148"/>
      <c r="FX107" s="148"/>
      <c r="FY107" s="148"/>
      <c r="FZ107" s="148"/>
      <c r="GA107" s="148"/>
      <c r="GB107" s="148"/>
      <c r="GC107" s="148"/>
      <c r="GD107" s="148"/>
      <c r="GE107" s="148"/>
      <c r="GF107" s="148"/>
      <c r="GG107" s="148"/>
      <c r="GH107" s="148"/>
      <c r="GI107" s="148"/>
      <c r="GJ107" s="148"/>
      <c r="GK107" s="148"/>
      <c r="GL107" s="148"/>
      <c r="GM107" s="148"/>
      <c r="GN107" s="148"/>
      <c r="GO107" s="148"/>
      <c r="GP107" s="148"/>
      <c r="GQ107" s="148"/>
      <c r="GR107" s="148"/>
      <c r="GS107" s="148"/>
      <c r="GT107" s="148"/>
      <c r="GU107" s="148"/>
      <c r="GV107" s="148"/>
      <c r="GW107" s="148"/>
      <c r="GX107" s="148"/>
      <c r="GY107" s="148"/>
      <c r="GZ107" s="148"/>
      <c r="HA107" s="148"/>
      <c r="HB107" s="148"/>
      <c r="HC107" s="148"/>
      <c r="HD107" s="148"/>
      <c r="HE107" s="148"/>
      <c r="HF107" s="148"/>
      <c r="HG107" s="148"/>
      <c r="HH107" s="148"/>
      <c r="HI107" s="148"/>
      <c r="HJ107" s="148"/>
      <c r="HK107" s="148"/>
      <c r="HL107" s="148"/>
      <c r="HM107" s="148"/>
      <c r="HN107" s="148"/>
      <c r="HO107" s="148"/>
      <c r="HP107" s="148"/>
      <c r="HQ107" s="148"/>
      <c r="HR107" s="148"/>
      <c r="HS107" s="148"/>
      <c r="HT107" s="148"/>
      <c r="HU107" s="148"/>
      <c r="HV107" s="148"/>
      <c r="HW107" s="148"/>
      <c r="HX107" s="148"/>
      <c r="HY107" s="148"/>
      <c r="HZ107" s="148"/>
      <c r="IA107" s="148"/>
      <c r="IB107" s="148"/>
      <c r="IC107" s="148"/>
      <c r="ID107" s="148"/>
      <c r="IE107" s="148"/>
      <c r="IF107" s="148"/>
      <c r="IG107" s="148"/>
      <c r="IH107" s="148"/>
      <c r="II107" s="148"/>
      <c r="IJ107" s="148"/>
      <c r="IK107" s="148"/>
      <c r="IL107" s="148"/>
      <c r="IM107" s="148"/>
      <c r="IN107" s="148"/>
      <c r="IO107" s="148"/>
      <c r="IP107" s="148"/>
      <c r="IQ107" s="148"/>
      <c r="IR107" s="148"/>
      <c r="IS107" s="148"/>
      <c r="IT107" s="148"/>
      <c r="IU107" s="148"/>
      <c r="IV107" s="148"/>
      <c r="IW107" s="148"/>
      <c r="IX107" s="148"/>
      <c r="IY107" s="148"/>
      <c r="IZ107" s="148"/>
      <c r="JA107" s="148"/>
      <c r="JB107" s="148"/>
      <c r="JC107" s="148"/>
      <c r="JD107" s="148"/>
      <c r="JE107" s="148"/>
      <c r="JF107" s="148"/>
      <c r="JG107" s="148"/>
      <c r="JH107" s="148"/>
      <c r="JI107" s="148"/>
      <c r="JJ107" s="148"/>
      <c r="JK107" s="148"/>
      <c r="JL107" s="148"/>
      <c r="JM107" s="148"/>
      <c r="JN107" s="148"/>
      <c r="JO107" s="148"/>
      <c r="JP107" s="148"/>
      <c r="JQ107" s="148"/>
      <c r="JR107" s="148"/>
      <c r="JS107" s="148"/>
      <c r="JT107" s="148"/>
      <c r="JU107" s="148"/>
      <c r="JV107" s="148"/>
      <c r="JW107" s="148"/>
      <c r="JX107" s="148"/>
      <c r="JY107" s="148"/>
      <c r="JZ107" s="148"/>
      <c r="KA107" s="148"/>
      <c r="KB107" s="148"/>
      <c r="KC107" s="148"/>
      <c r="KD107" s="148"/>
      <c r="KE107" s="148"/>
      <c r="KF107" s="148"/>
      <c r="KG107" s="148"/>
      <c r="KH107" s="148"/>
      <c r="KI107" s="148"/>
      <c r="KJ107" s="148"/>
      <c r="KK107" s="148"/>
      <c r="KL107" s="148"/>
      <c r="KM107" s="148"/>
      <c r="KN107" s="148"/>
      <c r="KO107" s="148"/>
      <c r="KP107" s="148"/>
      <c r="KQ107" s="148"/>
      <c r="KR107" s="148"/>
      <c r="KS107" s="148"/>
      <c r="KT107" s="148"/>
      <c r="KU107" s="148"/>
      <c r="KV107" s="148"/>
      <c r="KW107" s="148"/>
      <c r="KX107" s="148"/>
      <c r="KY107" s="148"/>
      <c r="KZ107" s="148"/>
      <c r="LA107" s="148"/>
      <c r="LB107" s="148"/>
      <c r="LC107" s="148"/>
      <c r="LD107" s="148"/>
      <c r="LE107" s="148"/>
      <c r="LF107" s="148"/>
      <c r="LG107" s="148"/>
      <c r="LH107" s="148"/>
      <c r="LI107" s="148"/>
      <c r="LJ107" s="148"/>
      <c r="LK107" s="148"/>
      <c r="LL107" s="148"/>
      <c r="LM107" s="148"/>
      <c r="LN107" s="148"/>
      <c r="LO107" s="148"/>
      <c r="LP107" s="148"/>
      <c r="LQ107" s="148"/>
      <c r="LR107" s="148"/>
      <c r="LS107" s="148"/>
      <c r="LT107" s="148"/>
      <c r="LU107" s="148"/>
      <c r="LV107" s="148"/>
      <c r="LW107" s="148"/>
      <c r="LX107" s="148"/>
      <c r="LY107" s="148"/>
      <c r="LZ107" s="148"/>
      <c r="MA107" s="148"/>
      <c r="MB107" s="148"/>
      <c r="MC107" s="148"/>
      <c r="MD107" s="148"/>
      <c r="ME107" s="148"/>
      <c r="MF107" s="148"/>
      <c r="MG107" s="148"/>
      <c r="MH107" s="148"/>
      <c r="MI107" s="148"/>
      <c r="MJ107" s="148"/>
      <c r="MK107" s="148"/>
      <c r="ML107" s="148"/>
      <c r="MM107" s="148"/>
      <c r="MN107" s="148"/>
      <c r="MO107" s="148"/>
      <c r="MP107" s="148"/>
      <c r="MQ107" s="148"/>
      <c r="MR107" s="148"/>
      <c r="MS107" s="148"/>
      <c r="MT107" s="148"/>
      <c r="MU107" s="148"/>
      <c r="MV107" s="148"/>
      <c r="MW107" s="148"/>
      <c r="MX107" s="148"/>
      <c r="MY107" s="148"/>
      <c r="MZ107" s="148"/>
      <c r="NA107" s="148"/>
      <c r="NB107" s="148"/>
      <c r="NC107" s="148"/>
      <c r="ND107" s="148"/>
      <c r="NE107" s="148"/>
      <c r="NF107" s="148"/>
      <c r="NG107" s="148"/>
      <c r="NH107" s="148"/>
      <c r="NI107" s="148"/>
      <c r="NJ107" s="148"/>
      <c r="NK107" s="148"/>
      <c r="NL107" s="148"/>
      <c r="NM107" s="148"/>
      <c r="NN107" s="148"/>
      <c r="NO107" s="148"/>
      <c r="NP107" s="148"/>
      <c r="NQ107" s="148"/>
      <c r="NR107" s="148"/>
      <c r="NS107" s="148"/>
      <c r="NT107" s="148"/>
      <c r="NU107" s="148"/>
      <c r="NV107" s="148"/>
      <c r="NW107" s="148"/>
      <c r="NX107" s="148"/>
      <c r="NY107" s="148"/>
      <c r="NZ107" s="148"/>
      <c r="OA107" s="148"/>
      <c r="OB107" s="148"/>
      <c r="OC107" s="148"/>
      <c r="OD107" s="148"/>
      <c r="OE107" s="148"/>
      <c r="OF107" s="148"/>
      <c r="OG107" s="148"/>
      <c r="OH107" s="148"/>
      <c r="OI107" s="148"/>
      <c r="OJ107" s="148"/>
      <c r="OK107" s="148"/>
      <c r="OL107" s="148"/>
      <c r="OM107" s="148"/>
      <c r="ON107" s="148"/>
      <c r="OO107" s="148"/>
      <c r="OP107" s="148"/>
      <c r="OQ107" s="148"/>
      <c r="OR107" s="148"/>
      <c r="OS107" s="148"/>
      <c r="OT107" s="148"/>
      <c r="OU107" s="148"/>
      <c r="OV107" s="148"/>
      <c r="OW107" s="148"/>
      <c r="OX107" s="148"/>
      <c r="OY107" s="148"/>
      <c r="OZ107" s="148"/>
      <c r="PA107" s="148"/>
      <c r="PB107" s="148"/>
      <c r="PC107" s="148"/>
      <c r="PD107" s="148"/>
      <c r="PE107" s="148"/>
      <c r="PF107" s="148"/>
      <c r="PG107" s="148"/>
      <c r="PH107" s="148"/>
      <c r="PI107" s="148"/>
      <c r="PJ107" s="148"/>
      <c r="PK107" s="148"/>
      <c r="PL107" s="148"/>
      <c r="PM107" s="148"/>
      <c r="PN107" s="148"/>
      <c r="PO107" s="148"/>
      <c r="PP107" s="148"/>
      <c r="PQ107" s="148"/>
      <c r="PR107" s="148"/>
      <c r="PS107" s="148"/>
      <c r="PT107" s="148"/>
      <c r="PU107" s="148"/>
      <c r="PV107" s="148"/>
      <c r="PW107" s="148"/>
      <c r="PX107" s="148"/>
      <c r="PY107" s="148"/>
      <c r="PZ107" s="148"/>
      <c r="QA107" s="148"/>
      <c r="QB107" s="148"/>
      <c r="QC107" s="148"/>
      <c r="QD107" s="148"/>
      <c r="QE107" s="148"/>
      <c r="QF107" s="148"/>
      <c r="QG107" s="148"/>
      <c r="QH107" s="148"/>
      <c r="QI107" s="148"/>
      <c r="QJ107" s="148"/>
      <c r="QK107" s="148"/>
      <c r="QL107" s="148"/>
      <c r="QM107" s="148"/>
      <c r="QN107" s="148"/>
      <c r="QO107" s="148"/>
      <c r="QP107" s="148"/>
      <c r="QQ107" s="148"/>
      <c r="QR107" s="148"/>
      <c r="QS107" s="148"/>
      <c r="QT107" s="148"/>
      <c r="QU107" s="148"/>
      <c r="QV107" s="148"/>
      <c r="QW107" s="148"/>
      <c r="QX107" s="148"/>
      <c r="QY107" s="148"/>
      <c r="QZ107" s="148"/>
      <c r="RA107" s="148"/>
      <c r="RB107" s="148"/>
      <c r="RC107" s="148"/>
      <c r="RD107" s="148"/>
      <c r="RE107" s="148"/>
      <c r="RF107" s="148"/>
      <c r="RG107" s="148"/>
      <c r="RH107" s="148"/>
      <c r="RI107" s="148"/>
      <c r="RJ107" s="148"/>
      <c r="RK107" s="148"/>
      <c r="RL107" s="148"/>
      <c r="RM107" s="148"/>
      <c r="RN107" s="148"/>
      <c r="RO107" s="148"/>
      <c r="RP107" s="148"/>
      <c r="RQ107" s="148"/>
      <c r="RR107" s="148"/>
    </row>
    <row r="108" spans="1:486" s="15" customFormat="1" hidden="1" x14ac:dyDescent="0.25">
      <c r="A108" s="148"/>
      <c r="B108" s="350">
        <v>98</v>
      </c>
      <c r="C108" s="650"/>
      <c r="D108" s="16"/>
      <c r="E108" s="344"/>
      <c r="F108" s="344"/>
      <c r="G108" s="17"/>
      <c r="H108" s="317"/>
      <c r="I108" s="346"/>
      <c r="J108" s="341"/>
      <c r="K108" s="633"/>
      <c r="L108" s="633"/>
      <c r="M108" s="633"/>
      <c r="N108" s="633"/>
      <c r="O108" s="633"/>
      <c r="P108" s="633"/>
      <c r="Q108" s="633"/>
      <c r="R108" s="633"/>
      <c r="S108" s="633"/>
      <c r="T108" s="633"/>
      <c r="U108" s="633"/>
      <c r="V108" s="633"/>
      <c r="W108" s="633"/>
      <c r="X108" s="633"/>
      <c r="Y108" s="633">
        <f t="shared" si="3"/>
        <v>0</v>
      </c>
      <c r="Z108" s="637"/>
      <c r="AA108" s="19"/>
      <c r="AB108" s="21"/>
      <c r="AC108" s="23"/>
      <c r="AD108" s="652"/>
      <c r="AE108" s="20"/>
      <c r="AF108" s="21"/>
      <c r="AG108" s="23"/>
      <c r="AH108" s="637"/>
      <c r="AI108" s="19"/>
      <c r="AJ108" s="21"/>
      <c r="AK108" s="25"/>
      <c r="AL108" s="309"/>
      <c r="AM108" s="19"/>
      <c r="AN108" s="21"/>
      <c r="AO108" s="25"/>
      <c r="AP108" s="309"/>
      <c r="AQ108" s="19"/>
      <c r="AR108" s="21"/>
      <c r="AS108" s="25"/>
      <c r="AT108" s="638">
        <f t="shared" si="4"/>
        <v>0</v>
      </c>
      <c r="AU108" s="311">
        <f t="shared" si="0"/>
        <v>0</v>
      </c>
      <c r="AV108" s="148"/>
      <c r="AW108" s="148"/>
      <c r="AX108" s="148"/>
      <c r="AY108" s="148"/>
      <c r="AZ108" s="148"/>
      <c r="BA108" s="148"/>
      <c r="BB108" s="148"/>
      <c r="BC108" s="148"/>
      <c r="BD108" s="148"/>
      <c r="BE108" s="148"/>
      <c r="BF108" s="148"/>
      <c r="BG108" s="148"/>
      <c r="BH108" s="148"/>
      <c r="BI108" s="148"/>
      <c r="BJ108" s="148"/>
      <c r="BK108" s="148"/>
      <c r="BL108" s="148"/>
      <c r="BM108" s="148"/>
      <c r="BN108" s="148"/>
      <c r="BO108" s="148"/>
      <c r="BP108" s="148"/>
      <c r="BQ108" s="148"/>
      <c r="BR108" s="148"/>
      <c r="BS108" s="148"/>
      <c r="BT108" s="148"/>
      <c r="BU108" s="148"/>
      <c r="BV108" s="148"/>
      <c r="BW108" s="148"/>
      <c r="BX108" s="148"/>
      <c r="BY108" s="148"/>
      <c r="BZ108" s="148"/>
      <c r="CA108" s="148"/>
      <c r="CB108" s="148"/>
      <c r="CC108" s="148"/>
      <c r="CD108" s="148"/>
      <c r="CE108" s="148"/>
      <c r="CF108" s="148"/>
      <c r="CG108" s="148"/>
      <c r="CH108" s="148"/>
      <c r="CI108" s="148"/>
      <c r="CJ108" s="148"/>
      <c r="CK108" s="148"/>
      <c r="CL108" s="148"/>
      <c r="CM108" s="148"/>
      <c r="CN108" s="148"/>
      <c r="CO108" s="148"/>
      <c r="CP108" s="148"/>
      <c r="CQ108" s="148"/>
      <c r="CR108" s="148"/>
      <c r="CS108" s="148"/>
      <c r="CT108" s="148"/>
      <c r="CU108" s="148"/>
      <c r="CV108" s="148"/>
      <c r="CW108" s="148"/>
      <c r="CX108" s="148"/>
      <c r="CY108" s="148"/>
      <c r="CZ108" s="148"/>
      <c r="DA108" s="148"/>
      <c r="DB108" s="148"/>
      <c r="DC108" s="148"/>
      <c r="DD108" s="148"/>
      <c r="DE108" s="148"/>
      <c r="DF108" s="148"/>
      <c r="DG108" s="148"/>
      <c r="DH108" s="148"/>
      <c r="DI108" s="148"/>
      <c r="DJ108" s="148"/>
      <c r="DK108" s="148"/>
      <c r="DL108" s="148"/>
      <c r="DM108" s="148"/>
      <c r="DN108" s="148"/>
      <c r="DO108" s="148"/>
      <c r="DP108" s="148"/>
      <c r="DQ108" s="148"/>
      <c r="DR108" s="148"/>
      <c r="DS108" s="148"/>
      <c r="DT108" s="148"/>
      <c r="DU108" s="148"/>
      <c r="DV108" s="148"/>
      <c r="DW108" s="148"/>
      <c r="DX108" s="148"/>
      <c r="DY108" s="148"/>
      <c r="DZ108" s="148"/>
      <c r="EA108" s="148"/>
      <c r="EB108" s="148"/>
      <c r="EC108" s="148"/>
      <c r="ED108" s="148"/>
      <c r="EE108" s="148"/>
      <c r="EF108" s="148"/>
      <c r="EG108" s="148"/>
      <c r="EH108" s="148"/>
      <c r="EI108" s="148"/>
      <c r="EJ108" s="148"/>
      <c r="EK108" s="148"/>
      <c r="EL108" s="148"/>
      <c r="EM108" s="148"/>
      <c r="EN108" s="148"/>
      <c r="EO108" s="148"/>
      <c r="EP108" s="148"/>
      <c r="EQ108" s="148"/>
      <c r="ER108" s="148"/>
      <c r="ES108" s="148"/>
      <c r="ET108" s="148"/>
      <c r="EU108" s="148"/>
      <c r="EV108" s="148"/>
      <c r="EW108" s="148"/>
      <c r="EX108" s="148"/>
      <c r="EY108" s="148"/>
      <c r="EZ108" s="148"/>
      <c r="FA108" s="148"/>
      <c r="FB108" s="148"/>
      <c r="FC108" s="148"/>
      <c r="FD108" s="148"/>
      <c r="FE108" s="148"/>
      <c r="FF108" s="148"/>
      <c r="FG108" s="148"/>
      <c r="FH108" s="148"/>
      <c r="FI108" s="148"/>
      <c r="FJ108" s="148"/>
      <c r="FK108" s="148"/>
      <c r="FL108" s="148"/>
      <c r="FM108" s="148"/>
      <c r="FN108" s="148"/>
      <c r="FO108" s="148"/>
      <c r="FP108" s="148"/>
      <c r="FQ108" s="148"/>
      <c r="FR108" s="148"/>
      <c r="FS108" s="148"/>
      <c r="FT108" s="148"/>
      <c r="FU108" s="148"/>
      <c r="FV108" s="148"/>
      <c r="FW108" s="148"/>
      <c r="FX108" s="148"/>
      <c r="FY108" s="148"/>
      <c r="FZ108" s="148"/>
      <c r="GA108" s="148"/>
      <c r="GB108" s="148"/>
      <c r="GC108" s="148"/>
      <c r="GD108" s="148"/>
      <c r="GE108" s="148"/>
      <c r="GF108" s="148"/>
      <c r="GG108" s="148"/>
      <c r="GH108" s="148"/>
      <c r="GI108" s="148"/>
      <c r="GJ108" s="148"/>
      <c r="GK108" s="148"/>
      <c r="GL108" s="148"/>
      <c r="GM108" s="148"/>
      <c r="GN108" s="148"/>
      <c r="GO108" s="148"/>
      <c r="GP108" s="148"/>
      <c r="GQ108" s="148"/>
      <c r="GR108" s="148"/>
      <c r="GS108" s="148"/>
      <c r="GT108" s="148"/>
      <c r="GU108" s="148"/>
      <c r="GV108" s="148"/>
      <c r="GW108" s="148"/>
      <c r="GX108" s="148"/>
      <c r="GY108" s="148"/>
      <c r="GZ108" s="148"/>
      <c r="HA108" s="148"/>
      <c r="HB108" s="148"/>
      <c r="HC108" s="148"/>
      <c r="HD108" s="148"/>
      <c r="HE108" s="148"/>
      <c r="HF108" s="148"/>
      <c r="HG108" s="148"/>
      <c r="HH108" s="148"/>
      <c r="HI108" s="148"/>
      <c r="HJ108" s="148"/>
      <c r="HK108" s="148"/>
      <c r="HL108" s="148"/>
      <c r="HM108" s="148"/>
      <c r="HN108" s="148"/>
      <c r="HO108" s="148"/>
      <c r="HP108" s="148"/>
      <c r="HQ108" s="148"/>
      <c r="HR108" s="148"/>
      <c r="HS108" s="148"/>
      <c r="HT108" s="148"/>
      <c r="HU108" s="148"/>
      <c r="HV108" s="148"/>
      <c r="HW108" s="148"/>
      <c r="HX108" s="148"/>
      <c r="HY108" s="148"/>
      <c r="HZ108" s="148"/>
      <c r="IA108" s="148"/>
      <c r="IB108" s="148"/>
      <c r="IC108" s="148"/>
      <c r="ID108" s="148"/>
      <c r="IE108" s="148"/>
      <c r="IF108" s="148"/>
      <c r="IG108" s="148"/>
      <c r="IH108" s="148"/>
      <c r="II108" s="148"/>
      <c r="IJ108" s="148"/>
      <c r="IK108" s="148"/>
      <c r="IL108" s="148"/>
      <c r="IM108" s="148"/>
      <c r="IN108" s="148"/>
      <c r="IO108" s="148"/>
      <c r="IP108" s="148"/>
      <c r="IQ108" s="148"/>
      <c r="IR108" s="148"/>
      <c r="IS108" s="148"/>
      <c r="IT108" s="148"/>
      <c r="IU108" s="148"/>
      <c r="IV108" s="148"/>
      <c r="IW108" s="148"/>
      <c r="IX108" s="148"/>
      <c r="IY108" s="148"/>
      <c r="IZ108" s="148"/>
      <c r="JA108" s="148"/>
      <c r="JB108" s="148"/>
      <c r="JC108" s="148"/>
      <c r="JD108" s="148"/>
      <c r="JE108" s="148"/>
      <c r="JF108" s="148"/>
      <c r="JG108" s="148"/>
      <c r="JH108" s="148"/>
      <c r="JI108" s="148"/>
      <c r="JJ108" s="148"/>
      <c r="JK108" s="148"/>
      <c r="JL108" s="148"/>
      <c r="JM108" s="148"/>
      <c r="JN108" s="148"/>
      <c r="JO108" s="148"/>
      <c r="JP108" s="148"/>
      <c r="JQ108" s="148"/>
      <c r="JR108" s="148"/>
      <c r="JS108" s="148"/>
      <c r="JT108" s="148"/>
      <c r="JU108" s="148"/>
      <c r="JV108" s="148"/>
      <c r="JW108" s="148"/>
      <c r="JX108" s="148"/>
      <c r="JY108" s="148"/>
      <c r="JZ108" s="148"/>
      <c r="KA108" s="148"/>
      <c r="KB108" s="148"/>
      <c r="KC108" s="148"/>
      <c r="KD108" s="148"/>
      <c r="KE108" s="148"/>
      <c r="KF108" s="148"/>
      <c r="KG108" s="148"/>
      <c r="KH108" s="148"/>
      <c r="KI108" s="148"/>
      <c r="KJ108" s="148"/>
      <c r="KK108" s="148"/>
      <c r="KL108" s="148"/>
      <c r="KM108" s="148"/>
      <c r="KN108" s="148"/>
      <c r="KO108" s="148"/>
      <c r="KP108" s="148"/>
      <c r="KQ108" s="148"/>
      <c r="KR108" s="148"/>
      <c r="KS108" s="148"/>
      <c r="KT108" s="148"/>
      <c r="KU108" s="148"/>
      <c r="KV108" s="148"/>
      <c r="KW108" s="148"/>
      <c r="KX108" s="148"/>
      <c r="KY108" s="148"/>
      <c r="KZ108" s="148"/>
      <c r="LA108" s="148"/>
      <c r="LB108" s="148"/>
      <c r="LC108" s="148"/>
      <c r="LD108" s="148"/>
      <c r="LE108" s="148"/>
      <c r="LF108" s="148"/>
      <c r="LG108" s="148"/>
      <c r="LH108" s="148"/>
      <c r="LI108" s="148"/>
      <c r="LJ108" s="148"/>
      <c r="LK108" s="148"/>
      <c r="LL108" s="148"/>
      <c r="LM108" s="148"/>
      <c r="LN108" s="148"/>
      <c r="LO108" s="148"/>
      <c r="LP108" s="148"/>
      <c r="LQ108" s="148"/>
      <c r="LR108" s="148"/>
      <c r="LS108" s="148"/>
      <c r="LT108" s="148"/>
      <c r="LU108" s="148"/>
      <c r="LV108" s="148"/>
      <c r="LW108" s="148"/>
      <c r="LX108" s="148"/>
      <c r="LY108" s="148"/>
      <c r="LZ108" s="148"/>
      <c r="MA108" s="148"/>
      <c r="MB108" s="148"/>
      <c r="MC108" s="148"/>
      <c r="MD108" s="148"/>
      <c r="ME108" s="148"/>
      <c r="MF108" s="148"/>
      <c r="MG108" s="148"/>
      <c r="MH108" s="148"/>
      <c r="MI108" s="148"/>
      <c r="MJ108" s="148"/>
      <c r="MK108" s="148"/>
      <c r="ML108" s="148"/>
      <c r="MM108" s="148"/>
      <c r="MN108" s="148"/>
      <c r="MO108" s="148"/>
      <c r="MP108" s="148"/>
      <c r="MQ108" s="148"/>
      <c r="MR108" s="148"/>
      <c r="MS108" s="148"/>
      <c r="MT108" s="148"/>
      <c r="MU108" s="148"/>
      <c r="MV108" s="148"/>
      <c r="MW108" s="148"/>
      <c r="MX108" s="148"/>
      <c r="MY108" s="148"/>
      <c r="MZ108" s="148"/>
      <c r="NA108" s="148"/>
      <c r="NB108" s="148"/>
      <c r="NC108" s="148"/>
      <c r="ND108" s="148"/>
      <c r="NE108" s="148"/>
      <c r="NF108" s="148"/>
      <c r="NG108" s="148"/>
      <c r="NH108" s="148"/>
      <c r="NI108" s="148"/>
      <c r="NJ108" s="148"/>
      <c r="NK108" s="148"/>
      <c r="NL108" s="148"/>
      <c r="NM108" s="148"/>
      <c r="NN108" s="148"/>
      <c r="NO108" s="148"/>
      <c r="NP108" s="148"/>
      <c r="NQ108" s="148"/>
      <c r="NR108" s="148"/>
      <c r="NS108" s="148"/>
      <c r="NT108" s="148"/>
      <c r="NU108" s="148"/>
      <c r="NV108" s="148"/>
      <c r="NW108" s="148"/>
      <c r="NX108" s="148"/>
      <c r="NY108" s="148"/>
      <c r="NZ108" s="148"/>
      <c r="OA108" s="148"/>
      <c r="OB108" s="148"/>
      <c r="OC108" s="148"/>
      <c r="OD108" s="148"/>
      <c r="OE108" s="148"/>
      <c r="OF108" s="148"/>
      <c r="OG108" s="148"/>
      <c r="OH108" s="148"/>
      <c r="OI108" s="148"/>
      <c r="OJ108" s="148"/>
      <c r="OK108" s="148"/>
      <c r="OL108" s="148"/>
      <c r="OM108" s="148"/>
      <c r="ON108" s="148"/>
      <c r="OO108" s="148"/>
      <c r="OP108" s="148"/>
      <c r="OQ108" s="148"/>
      <c r="OR108" s="148"/>
      <c r="OS108" s="148"/>
      <c r="OT108" s="148"/>
      <c r="OU108" s="148"/>
      <c r="OV108" s="148"/>
      <c r="OW108" s="148"/>
      <c r="OX108" s="148"/>
      <c r="OY108" s="148"/>
      <c r="OZ108" s="148"/>
      <c r="PA108" s="148"/>
      <c r="PB108" s="148"/>
      <c r="PC108" s="148"/>
      <c r="PD108" s="148"/>
      <c r="PE108" s="148"/>
      <c r="PF108" s="148"/>
      <c r="PG108" s="148"/>
      <c r="PH108" s="148"/>
      <c r="PI108" s="148"/>
      <c r="PJ108" s="148"/>
      <c r="PK108" s="148"/>
      <c r="PL108" s="148"/>
      <c r="PM108" s="148"/>
      <c r="PN108" s="148"/>
      <c r="PO108" s="148"/>
      <c r="PP108" s="148"/>
      <c r="PQ108" s="148"/>
      <c r="PR108" s="148"/>
      <c r="PS108" s="148"/>
      <c r="PT108" s="148"/>
      <c r="PU108" s="148"/>
      <c r="PV108" s="148"/>
      <c r="PW108" s="148"/>
      <c r="PX108" s="148"/>
      <c r="PY108" s="148"/>
      <c r="PZ108" s="148"/>
      <c r="QA108" s="148"/>
      <c r="QB108" s="148"/>
      <c r="QC108" s="148"/>
      <c r="QD108" s="148"/>
      <c r="QE108" s="148"/>
      <c r="QF108" s="148"/>
      <c r="QG108" s="148"/>
      <c r="QH108" s="148"/>
      <c r="QI108" s="148"/>
      <c r="QJ108" s="148"/>
      <c r="QK108" s="148"/>
      <c r="QL108" s="148"/>
      <c r="QM108" s="148"/>
      <c r="QN108" s="148"/>
      <c r="QO108" s="148"/>
      <c r="QP108" s="148"/>
      <c r="QQ108" s="148"/>
      <c r="QR108" s="148"/>
      <c r="QS108" s="148"/>
      <c r="QT108" s="148"/>
      <c r="QU108" s="148"/>
      <c r="QV108" s="148"/>
      <c r="QW108" s="148"/>
      <c r="QX108" s="148"/>
      <c r="QY108" s="148"/>
      <c r="QZ108" s="148"/>
      <c r="RA108" s="148"/>
      <c r="RB108" s="148"/>
      <c r="RC108" s="148"/>
      <c r="RD108" s="148"/>
      <c r="RE108" s="148"/>
      <c r="RF108" s="148"/>
      <c r="RG108" s="148"/>
      <c r="RH108" s="148"/>
      <c r="RI108" s="148"/>
      <c r="RJ108" s="148"/>
      <c r="RK108" s="148"/>
      <c r="RL108" s="148"/>
      <c r="RM108" s="148"/>
      <c r="RN108" s="148"/>
      <c r="RO108" s="148"/>
      <c r="RP108" s="148"/>
      <c r="RQ108" s="148"/>
      <c r="RR108" s="148"/>
    </row>
    <row r="109" spans="1:486" s="15" customFormat="1" hidden="1" x14ac:dyDescent="0.25">
      <c r="A109" s="148"/>
      <c r="B109" s="350">
        <v>99</v>
      </c>
      <c r="C109" s="650"/>
      <c r="D109" s="16"/>
      <c r="E109" s="344"/>
      <c r="F109" s="344"/>
      <c r="G109" s="17"/>
      <c r="H109" s="317"/>
      <c r="I109" s="346"/>
      <c r="J109" s="341"/>
      <c r="K109" s="633"/>
      <c r="L109" s="633"/>
      <c r="M109" s="633"/>
      <c r="N109" s="633"/>
      <c r="O109" s="633"/>
      <c r="P109" s="633"/>
      <c r="Q109" s="633"/>
      <c r="R109" s="633"/>
      <c r="S109" s="633"/>
      <c r="T109" s="633"/>
      <c r="U109" s="633"/>
      <c r="V109" s="633"/>
      <c r="W109" s="633"/>
      <c r="X109" s="633"/>
      <c r="Y109" s="633">
        <f t="shared" si="3"/>
        <v>0</v>
      </c>
      <c r="Z109" s="637"/>
      <c r="AA109" s="19"/>
      <c r="AB109" s="21"/>
      <c r="AC109" s="23"/>
      <c r="AD109" s="652"/>
      <c r="AE109" s="20"/>
      <c r="AF109" s="21"/>
      <c r="AG109" s="23"/>
      <c r="AH109" s="637"/>
      <c r="AI109" s="19"/>
      <c r="AJ109" s="21"/>
      <c r="AK109" s="25"/>
      <c r="AL109" s="309"/>
      <c r="AM109" s="19"/>
      <c r="AN109" s="21"/>
      <c r="AO109" s="25"/>
      <c r="AP109" s="309"/>
      <c r="AQ109" s="19"/>
      <c r="AR109" s="21"/>
      <c r="AS109" s="25"/>
      <c r="AT109" s="638">
        <f t="shared" si="4"/>
        <v>0</v>
      </c>
      <c r="AU109" s="311">
        <f t="shared" si="0"/>
        <v>0</v>
      </c>
      <c r="AV109" s="148"/>
      <c r="AW109" s="148"/>
      <c r="AX109" s="148"/>
      <c r="AY109" s="148"/>
      <c r="AZ109" s="148"/>
      <c r="BA109" s="148"/>
      <c r="BB109" s="148"/>
      <c r="BC109" s="148"/>
      <c r="BD109" s="148"/>
      <c r="BE109" s="148"/>
      <c r="BF109" s="148"/>
      <c r="BG109" s="148"/>
      <c r="BH109" s="148"/>
      <c r="BI109" s="148"/>
      <c r="BJ109" s="148"/>
      <c r="BK109" s="148"/>
      <c r="BL109" s="148"/>
      <c r="BM109" s="148"/>
      <c r="BN109" s="148"/>
      <c r="BO109" s="148"/>
      <c r="BP109" s="148"/>
      <c r="BQ109" s="148"/>
      <c r="BR109" s="148"/>
      <c r="BS109" s="148"/>
      <c r="BT109" s="148"/>
      <c r="BU109" s="148"/>
      <c r="BV109" s="148"/>
      <c r="BW109" s="148"/>
      <c r="BX109" s="148"/>
      <c r="BY109" s="148"/>
      <c r="BZ109" s="148"/>
      <c r="CA109" s="148"/>
      <c r="CB109" s="148"/>
      <c r="CC109" s="148"/>
      <c r="CD109" s="148"/>
      <c r="CE109" s="148"/>
      <c r="CF109" s="148"/>
      <c r="CG109" s="148"/>
      <c r="CH109" s="148"/>
      <c r="CI109" s="148"/>
      <c r="CJ109" s="148"/>
      <c r="CK109" s="148"/>
      <c r="CL109" s="148"/>
      <c r="CM109" s="148"/>
      <c r="CN109" s="148"/>
      <c r="CO109" s="148"/>
      <c r="CP109" s="148"/>
      <c r="CQ109" s="148"/>
      <c r="CR109" s="148"/>
      <c r="CS109" s="148"/>
      <c r="CT109" s="148"/>
      <c r="CU109" s="148"/>
      <c r="CV109" s="148"/>
      <c r="CW109" s="148"/>
      <c r="CX109" s="148"/>
      <c r="CY109" s="148"/>
      <c r="CZ109" s="148"/>
      <c r="DA109" s="148"/>
      <c r="DB109" s="148"/>
      <c r="DC109" s="148"/>
      <c r="DD109" s="148"/>
      <c r="DE109" s="148"/>
      <c r="DF109" s="148"/>
      <c r="DG109" s="148"/>
      <c r="DH109" s="148"/>
      <c r="DI109" s="148"/>
      <c r="DJ109" s="148"/>
      <c r="DK109" s="148"/>
      <c r="DL109" s="148"/>
      <c r="DM109" s="148"/>
      <c r="DN109" s="148"/>
      <c r="DO109" s="148"/>
      <c r="DP109" s="148"/>
      <c r="DQ109" s="148"/>
      <c r="DR109" s="148"/>
      <c r="DS109" s="148"/>
      <c r="DT109" s="148"/>
      <c r="DU109" s="148"/>
      <c r="DV109" s="148"/>
      <c r="DW109" s="148"/>
      <c r="DX109" s="148"/>
      <c r="DY109" s="148"/>
      <c r="DZ109" s="148"/>
      <c r="EA109" s="148"/>
      <c r="EB109" s="148"/>
      <c r="EC109" s="148"/>
      <c r="ED109" s="148"/>
      <c r="EE109" s="148"/>
      <c r="EF109" s="148"/>
      <c r="EG109" s="148"/>
      <c r="EH109" s="148"/>
      <c r="EI109" s="148"/>
      <c r="EJ109" s="148"/>
      <c r="EK109" s="148"/>
      <c r="EL109" s="148"/>
      <c r="EM109" s="148"/>
      <c r="EN109" s="148"/>
      <c r="EO109" s="148"/>
      <c r="EP109" s="148"/>
      <c r="EQ109" s="148"/>
      <c r="ER109" s="148"/>
      <c r="ES109" s="148"/>
      <c r="ET109" s="148"/>
      <c r="EU109" s="148"/>
      <c r="EV109" s="148"/>
      <c r="EW109" s="148"/>
      <c r="EX109" s="148"/>
      <c r="EY109" s="148"/>
      <c r="EZ109" s="148"/>
      <c r="FA109" s="148"/>
      <c r="FB109" s="148"/>
      <c r="FC109" s="148"/>
      <c r="FD109" s="148"/>
      <c r="FE109" s="148"/>
      <c r="FF109" s="148"/>
      <c r="FG109" s="148"/>
      <c r="FH109" s="148"/>
      <c r="FI109" s="148"/>
      <c r="FJ109" s="148"/>
      <c r="FK109" s="148"/>
      <c r="FL109" s="148"/>
      <c r="FM109" s="148"/>
      <c r="FN109" s="148"/>
      <c r="FO109" s="148"/>
      <c r="FP109" s="148"/>
      <c r="FQ109" s="148"/>
      <c r="FR109" s="148"/>
      <c r="FS109" s="148"/>
      <c r="FT109" s="148"/>
      <c r="FU109" s="148"/>
      <c r="FV109" s="148"/>
      <c r="FW109" s="148"/>
      <c r="FX109" s="148"/>
      <c r="FY109" s="148"/>
      <c r="FZ109" s="148"/>
      <c r="GA109" s="148"/>
      <c r="GB109" s="148"/>
      <c r="GC109" s="148"/>
      <c r="GD109" s="148"/>
      <c r="GE109" s="148"/>
      <c r="GF109" s="148"/>
      <c r="GG109" s="148"/>
      <c r="GH109" s="148"/>
      <c r="GI109" s="148"/>
      <c r="GJ109" s="148"/>
      <c r="GK109" s="148"/>
      <c r="GL109" s="148"/>
      <c r="GM109" s="148"/>
      <c r="GN109" s="148"/>
      <c r="GO109" s="148"/>
      <c r="GP109" s="148"/>
      <c r="GQ109" s="148"/>
      <c r="GR109" s="148"/>
      <c r="GS109" s="148"/>
      <c r="GT109" s="148"/>
      <c r="GU109" s="148"/>
      <c r="GV109" s="148"/>
      <c r="GW109" s="148"/>
      <c r="GX109" s="148"/>
      <c r="GY109" s="148"/>
      <c r="GZ109" s="148"/>
      <c r="HA109" s="148"/>
      <c r="HB109" s="148"/>
      <c r="HC109" s="148"/>
      <c r="HD109" s="148"/>
      <c r="HE109" s="148"/>
      <c r="HF109" s="148"/>
      <c r="HG109" s="148"/>
      <c r="HH109" s="148"/>
      <c r="HI109" s="148"/>
      <c r="HJ109" s="148"/>
      <c r="HK109" s="148"/>
      <c r="HL109" s="148"/>
      <c r="HM109" s="148"/>
      <c r="HN109" s="148"/>
      <c r="HO109" s="148"/>
      <c r="HP109" s="148"/>
      <c r="HQ109" s="148"/>
      <c r="HR109" s="148"/>
      <c r="HS109" s="148"/>
      <c r="HT109" s="148"/>
      <c r="HU109" s="148"/>
      <c r="HV109" s="148"/>
      <c r="HW109" s="148"/>
      <c r="HX109" s="148"/>
      <c r="HY109" s="148"/>
      <c r="HZ109" s="148"/>
      <c r="IA109" s="148"/>
      <c r="IB109" s="148"/>
      <c r="IC109" s="148"/>
      <c r="ID109" s="148"/>
      <c r="IE109" s="148"/>
      <c r="IF109" s="148"/>
      <c r="IG109" s="148"/>
      <c r="IH109" s="148"/>
      <c r="II109" s="148"/>
      <c r="IJ109" s="148"/>
      <c r="IK109" s="148"/>
      <c r="IL109" s="148"/>
      <c r="IM109" s="148"/>
      <c r="IN109" s="148"/>
      <c r="IO109" s="148"/>
      <c r="IP109" s="148"/>
      <c r="IQ109" s="148"/>
      <c r="IR109" s="148"/>
      <c r="IS109" s="148"/>
      <c r="IT109" s="148"/>
      <c r="IU109" s="148"/>
      <c r="IV109" s="148"/>
      <c r="IW109" s="148"/>
      <c r="IX109" s="148"/>
      <c r="IY109" s="148"/>
      <c r="IZ109" s="148"/>
      <c r="JA109" s="148"/>
      <c r="JB109" s="148"/>
      <c r="JC109" s="148"/>
      <c r="JD109" s="148"/>
      <c r="JE109" s="148"/>
      <c r="JF109" s="148"/>
      <c r="JG109" s="148"/>
      <c r="JH109" s="148"/>
      <c r="JI109" s="148"/>
      <c r="JJ109" s="148"/>
      <c r="JK109" s="148"/>
      <c r="JL109" s="148"/>
      <c r="JM109" s="148"/>
      <c r="JN109" s="148"/>
      <c r="JO109" s="148"/>
      <c r="JP109" s="148"/>
      <c r="JQ109" s="148"/>
      <c r="JR109" s="148"/>
      <c r="JS109" s="148"/>
      <c r="JT109" s="148"/>
      <c r="JU109" s="148"/>
      <c r="JV109" s="148"/>
      <c r="JW109" s="148"/>
      <c r="JX109" s="148"/>
      <c r="JY109" s="148"/>
      <c r="JZ109" s="148"/>
      <c r="KA109" s="148"/>
      <c r="KB109" s="148"/>
      <c r="KC109" s="148"/>
      <c r="KD109" s="148"/>
      <c r="KE109" s="148"/>
      <c r="KF109" s="148"/>
      <c r="KG109" s="148"/>
      <c r="KH109" s="148"/>
      <c r="KI109" s="148"/>
      <c r="KJ109" s="148"/>
      <c r="KK109" s="148"/>
      <c r="KL109" s="148"/>
      <c r="KM109" s="148"/>
      <c r="KN109" s="148"/>
      <c r="KO109" s="148"/>
      <c r="KP109" s="148"/>
      <c r="KQ109" s="148"/>
      <c r="KR109" s="148"/>
      <c r="KS109" s="148"/>
      <c r="KT109" s="148"/>
      <c r="KU109" s="148"/>
      <c r="KV109" s="148"/>
      <c r="KW109" s="148"/>
      <c r="KX109" s="148"/>
      <c r="KY109" s="148"/>
      <c r="KZ109" s="148"/>
      <c r="LA109" s="148"/>
      <c r="LB109" s="148"/>
      <c r="LC109" s="148"/>
      <c r="LD109" s="148"/>
      <c r="LE109" s="148"/>
      <c r="LF109" s="148"/>
      <c r="LG109" s="148"/>
      <c r="LH109" s="148"/>
      <c r="LI109" s="148"/>
      <c r="LJ109" s="148"/>
      <c r="LK109" s="148"/>
      <c r="LL109" s="148"/>
      <c r="LM109" s="148"/>
      <c r="LN109" s="148"/>
      <c r="LO109" s="148"/>
      <c r="LP109" s="148"/>
      <c r="LQ109" s="148"/>
      <c r="LR109" s="148"/>
      <c r="LS109" s="148"/>
      <c r="LT109" s="148"/>
      <c r="LU109" s="148"/>
      <c r="LV109" s="148"/>
      <c r="LW109" s="148"/>
      <c r="LX109" s="148"/>
      <c r="LY109" s="148"/>
      <c r="LZ109" s="148"/>
      <c r="MA109" s="148"/>
      <c r="MB109" s="148"/>
      <c r="MC109" s="148"/>
      <c r="MD109" s="148"/>
      <c r="ME109" s="148"/>
      <c r="MF109" s="148"/>
      <c r="MG109" s="148"/>
      <c r="MH109" s="148"/>
      <c r="MI109" s="148"/>
      <c r="MJ109" s="148"/>
      <c r="MK109" s="148"/>
      <c r="ML109" s="148"/>
      <c r="MM109" s="148"/>
      <c r="MN109" s="148"/>
      <c r="MO109" s="148"/>
      <c r="MP109" s="148"/>
      <c r="MQ109" s="148"/>
      <c r="MR109" s="148"/>
      <c r="MS109" s="148"/>
      <c r="MT109" s="148"/>
      <c r="MU109" s="148"/>
      <c r="MV109" s="148"/>
      <c r="MW109" s="148"/>
      <c r="MX109" s="148"/>
      <c r="MY109" s="148"/>
      <c r="MZ109" s="148"/>
      <c r="NA109" s="148"/>
      <c r="NB109" s="148"/>
      <c r="NC109" s="148"/>
      <c r="ND109" s="148"/>
      <c r="NE109" s="148"/>
      <c r="NF109" s="148"/>
      <c r="NG109" s="148"/>
      <c r="NH109" s="148"/>
      <c r="NI109" s="148"/>
      <c r="NJ109" s="148"/>
      <c r="NK109" s="148"/>
      <c r="NL109" s="148"/>
      <c r="NM109" s="148"/>
      <c r="NN109" s="148"/>
      <c r="NO109" s="148"/>
      <c r="NP109" s="148"/>
      <c r="NQ109" s="148"/>
      <c r="NR109" s="148"/>
      <c r="NS109" s="148"/>
      <c r="NT109" s="148"/>
      <c r="NU109" s="148"/>
      <c r="NV109" s="148"/>
      <c r="NW109" s="148"/>
      <c r="NX109" s="148"/>
      <c r="NY109" s="148"/>
      <c r="NZ109" s="148"/>
      <c r="OA109" s="148"/>
      <c r="OB109" s="148"/>
      <c r="OC109" s="148"/>
      <c r="OD109" s="148"/>
      <c r="OE109" s="148"/>
      <c r="OF109" s="148"/>
      <c r="OG109" s="148"/>
      <c r="OH109" s="148"/>
      <c r="OI109" s="148"/>
      <c r="OJ109" s="148"/>
      <c r="OK109" s="148"/>
      <c r="OL109" s="148"/>
      <c r="OM109" s="148"/>
      <c r="ON109" s="148"/>
      <c r="OO109" s="148"/>
      <c r="OP109" s="148"/>
      <c r="OQ109" s="148"/>
      <c r="OR109" s="148"/>
      <c r="OS109" s="148"/>
      <c r="OT109" s="148"/>
      <c r="OU109" s="148"/>
      <c r="OV109" s="148"/>
      <c r="OW109" s="148"/>
      <c r="OX109" s="148"/>
      <c r="OY109" s="148"/>
      <c r="OZ109" s="148"/>
      <c r="PA109" s="148"/>
      <c r="PB109" s="148"/>
      <c r="PC109" s="148"/>
      <c r="PD109" s="148"/>
      <c r="PE109" s="148"/>
      <c r="PF109" s="148"/>
      <c r="PG109" s="148"/>
      <c r="PH109" s="148"/>
      <c r="PI109" s="148"/>
      <c r="PJ109" s="148"/>
      <c r="PK109" s="148"/>
      <c r="PL109" s="148"/>
      <c r="PM109" s="148"/>
      <c r="PN109" s="148"/>
      <c r="PO109" s="148"/>
      <c r="PP109" s="148"/>
      <c r="PQ109" s="148"/>
      <c r="PR109" s="148"/>
      <c r="PS109" s="148"/>
      <c r="PT109" s="148"/>
      <c r="PU109" s="148"/>
      <c r="PV109" s="148"/>
      <c r="PW109" s="148"/>
      <c r="PX109" s="148"/>
      <c r="PY109" s="148"/>
      <c r="PZ109" s="148"/>
      <c r="QA109" s="148"/>
      <c r="QB109" s="148"/>
      <c r="QC109" s="148"/>
      <c r="QD109" s="148"/>
      <c r="QE109" s="148"/>
      <c r="QF109" s="148"/>
      <c r="QG109" s="148"/>
      <c r="QH109" s="148"/>
      <c r="QI109" s="148"/>
      <c r="QJ109" s="148"/>
      <c r="QK109" s="148"/>
      <c r="QL109" s="148"/>
      <c r="QM109" s="148"/>
      <c r="QN109" s="148"/>
      <c r="QO109" s="148"/>
      <c r="QP109" s="148"/>
      <c r="QQ109" s="148"/>
      <c r="QR109" s="148"/>
      <c r="QS109" s="148"/>
      <c r="QT109" s="148"/>
      <c r="QU109" s="148"/>
      <c r="QV109" s="148"/>
      <c r="QW109" s="148"/>
      <c r="QX109" s="148"/>
      <c r="QY109" s="148"/>
      <c r="QZ109" s="148"/>
      <c r="RA109" s="148"/>
      <c r="RB109" s="148"/>
      <c r="RC109" s="148"/>
      <c r="RD109" s="148"/>
      <c r="RE109" s="148"/>
      <c r="RF109" s="148"/>
      <c r="RG109" s="148"/>
      <c r="RH109" s="148"/>
      <c r="RI109" s="148"/>
      <c r="RJ109" s="148"/>
      <c r="RK109" s="148"/>
      <c r="RL109" s="148"/>
      <c r="RM109" s="148"/>
      <c r="RN109" s="148"/>
      <c r="RO109" s="148"/>
      <c r="RP109" s="148"/>
      <c r="RQ109" s="148"/>
      <c r="RR109" s="148"/>
    </row>
    <row r="110" spans="1:486" s="15" customFormat="1" hidden="1" x14ac:dyDescent="0.25">
      <c r="A110" s="148"/>
      <c r="B110" s="350">
        <v>100</v>
      </c>
      <c r="C110" s="650"/>
      <c r="D110" s="16"/>
      <c r="E110" s="344"/>
      <c r="F110" s="344"/>
      <c r="G110" s="17"/>
      <c r="H110" s="317"/>
      <c r="I110" s="346"/>
      <c r="J110" s="341"/>
      <c r="K110" s="633"/>
      <c r="L110" s="633"/>
      <c r="M110" s="633"/>
      <c r="N110" s="633"/>
      <c r="O110" s="633"/>
      <c r="P110" s="633"/>
      <c r="Q110" s="633"/>
      <c r="R110" s="633"/>
      <c r="S110" s="633"/>
      <c r="T110" s="633"/>
      <c r="U110" s="633"/>
      <c r="V110" s="633"/>
      <c r="W110" s="633"/>
      <c r="X110" s="633"/>
      <c r="Y110" s="633">
        <f t="shared" si="3"/>
        <v>0</v>
      </c>
      <c r="Z110" s="637"/>
      <c r="AA110" s="19"/>
      <c r="AB110" s="315"/>
      <c r="AC110" s="315"/>
      <c r="AD110" s="652"/>
      <c r="AE110" s="20"/>
      <c r="AF110" s="21"/>
      <c r="AG110" s="23"/>
      <c r="AH110" s="637"/>
      <c r="AI110" s="19"/>
      <c r="AJ110" s="21"/>
      <c r="AK110" s="25"/>
      <c r="AL110" s="309"/>
      <c r="AM110" s="19"/>
      <c r="AN110" s="21"/>
      <c r="AO110" s="25"/>
      <c r="AP110" s="309"/>
      <c r="AQ110" s="19"/>
      <c r="AR110" s="21"/>
      <c r="AS110" s="25"/>
      <c r="AT110" s="638">
        <f t="shared" si="4"/>
        <v>0</v>
      </c>
      <c r="AU110" s="311">
        <f t="shared" si="0"/>
        <v>0</v>
      </c>
      <c r="AV110" s="148"/>
      <c r="AW110" s="148"/>
      <c r="AX110" s="148"/>
      <c r="AY110" s="148"/>
      <c r="AZ110" s="148"/>
      <c r="BA110" s="148"/>
      <c r="BB110" s="148"/>
      <c r="BC110" s="148"/>
      <c r="BD110" s="148"/>
      <c r="BE110" s="148"/>
      <c r="BF110" s="148"/>
      <c r="BG110" s="148"/>
      <c r="BH110" s="148"/>
      <c r="BI110" s="148"/>
      <c r="BJ110" s="148"/>
      <c r="BK110" s="148"/>
      <c r="BL110" s="148"/>
      <c r="BM110" s="148"/>
      <c r="BN110" s="148"/>
      <c r="BO110" s="148"/>
      <c r="BP110" s="148"/>
      <c r="BQ110" s="148"/>
      <c r="BR110" s="148"/>
      <c r="BS110" s="148"/>
      <c r="BT110" s="148"/>
      <c r="BU110" s="148"/>
      <c r="BV110" s="148"/>
      <c r="BW110" s="148"/>
      <c r="BX110" s="148"/>
      <c r="BY110" s="148"/>
      <c r="BZ110" s="148"/>
      <c r="CA110" s="148"/>
      <c r="CB110" s="148"/>
      <c r="CC110" s="148"/>
      <c r="CD110" s="148"/>
      <c r="CE110" s="148"/>
      <c r="CF110" s="148"/>
      <c r="CG110" s="148"/>
      <c r="CH110" s="148"/>
      <c r="CI110" s="148"/>
      <c r="CJ110" s="148"/>
      <c r="CK110" s="148"/>
      <c r="CL110" s="148"/>
      <c r="CM110" s="148"/>
      <c r="CN110" s="148"/>
      <c r="CO110" s="148"/>
      <c r="CP110" s="148"/>
      <c r="CQ110" s="148"/>
      <c r="CR110" s="148"/>
      <c r="CS110" s="148"/>
      <c r="CT110" s="148"/>
      <c r="CU110" s="148"/>
      <c r="CV110" s="148"/>
      <c r="CW110" s="148"/>
      <c r="CX110" s="148"/>
      <c r="CY110" s="148"/>
      <c r="CZ110" s="148"/>
      <c r="DA110" s="148"/>
      <c r="DB110" s="148"/>
      <c r="DC110" s="148"/>
      <c r="DD110" s="148"/>
      <c r="DE110" s="148"/>
      <c r="DF110" s="148"/>
      <c r="DG110" s="148"/>
      <c r="DH110" s="148"/>
      <c r="DI110" s="148"/>
      <c r="DJ110" s="148"/>
      <c r="DK110" s="148"/>
      <c r="DL110" s="148"/>
      <c r="DM110" s="148"/>
      <c r="DN110" s="148"/>
      <c r="DO110" s="148"/>
      <c r="DP110" s="148"/>
      <c r="DQ110" s="148"/>
      <c r="DR110" s="148"/>
      <c r="DS110" s="148"/>
      <c r="DT110" s="148"/>
      <c r="DU110" s="148"/>
      <c r="DV110" s="148"/>
      <c r="DW110" s="148"/>
      <c r="DX110" s="148"/>
      <c r="DY110" s="148"/>
      <c r="DZ110" s="148"/>
      <c r="EA110" s="148"/>
      <c r="EB110" s="148"/>
      <c r="EC110" s="148"/>
      <c r="ED110" s="148"/>
      <c r="EE110" s="148"/>
      <c r="EF110" s="148"/>
      <c r="EG110" s="148"/>
      <c r="EH110" s="148"/>
      <c r="EI110" s="148"/>
      <c r="EJ110" s="148"/>
      <c r="EK110" s="148"/>
      <c r="EL110" s="148"/>
      <c r="EM110" s="148"/>
      <c r="EN110" s="148"/>
      <c r="EO110" s="148"/>
      <c r="EP110" s="148"/>
      <c r="EQ110" s="148"/>
      <c r="ER110" s="148"/>
      <c r="ES110" s="148"/>
      <c r="ET110" s="148"/>
      <c r="EU110" s="148"/>
      <c r="EV110" s="148"/>
      <c r="EW110" s="148"/>
      <c r="EX110" s="148"/>
      <c r="EY110" s="148"/>
      <c r="EZ110" s="148"/>
      <c r="FA110" s="148"/>
      <c r="FB110" s="148"/>
      <c r="FC110" s="148"/>
      <c r="FD110" s="148"/>
      <c r="FE110" s="148"/>
      <c r="FF110" s="148"/>
      <c r="FG110" s="148"/>
      <c r="FH110" s="148"/>
      <c r="FI110" s="148"/>
      <c r="FJ110" s="148"/>
      <c r="FK110" s="148"/>
      <c r="FL110" s="148"/>
      <c r="FM110" s="148"/>
      <c r="FN110" s="148"/>
      <c r="FO110" s="148"/>
      <c r="FP110" s="148"/>
      <c r="FQ110" s="148"/>
      <c r="FR110" s="148"/>
      <c r="FS110" s="148"/>
      <c r="FT110" s="148"/>
      <c r="FU110" s="148"/>
      <c r="FV110" s="148"/>
      <c r="FW110" s="148"/>
      <c r="FX110" s="148"/>
      <c r="FY110" s="148"/>
      <c r="FZ110" s="148"/>
      <c r="GA110" s="148"/>
      <c r="GB110" s="148"/>
      <c r="GC110" s="148"/>
      <c r="GD110" s="148"/>
      <c r="GE110" s="148"/>
      <c r="GF110" s="148"/>
      <c r="GG110" s="148"/>
      <c r="GH110" s="148"/>
      <c r="GI110" s="148"/>
      <c r="GJ110" s="148"/>
      <c r="GK110" s="148"/>
      <c r="GL110" s="148"/>
      <c r="GM110" s="148"/>
      <c r="GN110" s="148"/>
      <c r="GO110" s="148"/>
      <c r="GP110" s="148"/>
      <c r="GQ110" s="148"/>
      <c r="GR110" s="148"/>
      <c r="GS110" s="148"/>
      <c r="GT110" s="148"/>
      <c r="GU110" s="148"/>
      <c r="GV110" s="148"/>
      <c r="GW110" s="148"/>
      <c r="GX110" s="148"/>
      <c r="GY110" s="148"/>
      <c r="GZ110" s="148"/>
      <c r="HA110" s="148"/>
      <c r="HB110" s="148"/>
      <c r="HC110" s="148"/>
      <c r="HD110" s="148"/>
      <c r="HE110" s="148"/>
      <c r="HF110" s="148"/>
      <c r="HG110" s="148"/>
      <c r="HH110" s="148"/>
      <c r="HI110" s="148"/>
      <c r="HJ110" s="148"/>
      <c r="HK110" s="148"/>
      <c r="HL110" s="148"/>
      <c r="HM110" s="148"/>
      <c r="HN110" s="148"/>
      <c r="HO110" s="148"/>
      <c r="HP110" s="148"/>
      <c r="HQ110" s="148"/>
      <c r="HR110" s="148"/>
      <c r="HS110" s="148"/>
      <c r="HT110" s="148"/>
      <c r="HU110" s="148"/>
      <c r="HV110" s="148"/>
      <c r="HW110" s="148"/>
      <c r="HX110" s="148"/>
      <c r="HY110" s="148"/>
      <c r="HZ110" s="148"/>
      <c r="IA110" s="148"/>
      <c r="IB110" s="148"/>
      <c r="IC110" s="148"/>
      <c r="ID110" s="148"/>
      <c r="IE110" s="148"/>
      <c r="IF110" s="148"/>
      <c r="IG110" s="148"/>
      <c r="IH110" s="148"/>
      <c r="II110" s="148"/>
      <c r="IJ110" s="148"/>
      <c r="IK110" s="148"/>
      <c r="IL110" s="148"/>
      <c r="IM110" s="148"/>
      <c r="IN110" s="148"/>
      <c r="IO110" s="148"/>
      <c r="IP110" s="148"/>
      <c r="IQ110" s="148"/>
      <c r="IR110" s="148"/>
      <c r="IS110" s="148"/>
      <c r="IT110" s="148"/>
      <c r="IU110" s="148"/>
      <c r="IV110" s="148"/>
      <c r="IW110" s="148"/>
      <c r="IX110" s="148"/>
      <c r="IY110" s="148"/>
      <c r="IZ110" s="148"/>
      <c r="JA110" s="148"/>
      <c r="JB110" s="148"/>
      <c r="JC110" s="148"/>
      <c r="JD110" s="148"/>
      <c r="JE110" s="148"/>
      <c r="JF110" s="148"/>
      <c r="JG110" s="148"/>
      <c r="JH110" s="148"/>
      <c r="JI110" s="148"/>
      <c r="JJ110" s="148"/>
      <c r="JK110" s="148"/>
      <c r="JL110" s="148"/>
      <c r="JM110" s="148"/>
      <c r="JN110" s="148"/>
      <c r="JO110" s="148"/>
      <c r="JP110" s="148"/>
      <c r="JQ110" s="148"/>
      <c r="JR110" s="148"/>
      <c r="JS110" s="148"/>
      <c r="JT110" s="148"/>
      <c r="JU110" s="148"/>
      <c r="JV110" s="148"/>
      <c r="JW110" s="148"/>
      <c r="JX110" s="148"/>
      <c r="JY110" s="148"/>
      <c r="JZ110" s="148"/>
      <c r="KA110" s="148"/>
      <c r="KB110" s="148"/>
      <c r="KC110" s="148"/>
      <c r="KD110" s="148"/>
      <c r="KE110" s="148"/>
      <c r="KF110" s="148"/>
      <c r="KG110" s="148"/>
      <c r="KH110" s="148"/>
      <c r="KI110" s="148"/>
      <c r="KJ110" s="148"/>
      <c r="KK110" s="148"/>
      <c r="KL110" s="148"/>
      <c r="KM110" s="148"/>
      <c r="KN110" s="148"/>
      <c r="KO110" s="148"/>
      <c r="KP110" s="148"/>
      <c r="KQ110" s="148"/>
      <c r="KR110" s="148"/>
      <c r="KS110" s="148"/>
      <c r="KT110" s="148"/>
      <c r="KU110" s="148"/>
      <c r="KV110" s="148"/>
      <c r="KW110" s="148"/>
      <c r="KX110" s="148"/>
      <c r="KY110" s="148"/>
      <c r="KZ110" s="148"/>
      <c r="LA110" s="148"/>
      <c r="LB110" s="148"/>
      <c r="LC110" s="148"/>
      <c r="LD110" s="148"/>
      <c r="LE110" s="148"/>
      <c r="LF110" s="148"/>
      <c r="LG110" s="148"/>
      <c r="LH110" s="148"/>
      <c r="LI110" s="148"/>
      <c r="LJ110" s="148"/>
      <c r="LK110" s="148"/>
      <c r="LL110" s="148"/>
      <c r="LM110" s="148"/>
      <c r="LN110" s="148"/>
      <c r="LO110" s="148"/>
      <c r="LP110" s="148"/>
      <c r="LQ110" s="148"/>
      <c r="LR110" s="148"/>
      <c r="LS110" s="148"/>
      <c r="LT110" s="148"/>
      <c r="LU110" s="148"/>
      <c r="LV110" s="148"/>
      <c r="LW110" s="148"/>
      <c r="LX110" s="148"/>
      <c r="LY110" s="148"/>
      <c r="LZ110" s="148"/>
      <c r="MA110" s="148"/>
      <c r="MB110" s="148"/>
      <c r="MC110" s="148"/>
      <c r="MD110" s="148"/>
      <c r="ME110" s="148"/>
      <c r="MF110" s="148"/>
      <c r="MG110" s="148"/>
      <c r="MH110" s="148"/>
      <c r="MI110" s="148"/>
      <c r="MJ110" s="148"/>
      <c r="MK110" s="148"/>
      <c r="ML110" s="148"/>
      <c r="MM110" s="148"/>
      <c r="MN110" s="148"/>
      <c r="MO110" s="148"/>
      <c r="MP110" s="148"/>
      <c r="MQ110" s="148"/>
      <c r="MR110" s="148"/>
      <c r="MS110" s="148"/>
      <c r="MT110" s="148"/>
      <c r="MU110" s="148"/>
      <c r="MV110" s="148"/>
      <c r="MW110" s="148"/>
      <c r="MX110" s="148"/>
      <c r="MY110" s="148"/>
      <c r="MZ110" s="148"/>
      <c r="NA110" s="148"/>
      <c r="NB110" s="148"/>
      <c r="NC110" s="148"/>
      <c r="ND110" s="148"/>
      <c r="NE110" s="148"/>
      <c r="NF110" s="148"/>
      <c r="NG110" s="148"/>
      <c r="NH110" s="148"/>
      <c r="NI110" s="148"/>
      <c r="NJ110" s="148"/>
      <c r="NK110" s="148"/>
      <c r="NL110" s="148"/>
      <c r="NM110" s="148"/>
      <c r="NN110" s="148"/>
      <c r="NO110" s="148"/>
      <c r="NP110" s="148"/>
      <c r="NQ110" s="148"/>
      <c r="NR110" s="148"/>
      <c r="NS110" s="148"/>
      <c r="NT110" s="148"/>
      <c r="NU110" s="148"/>
      <c r="NV110" s="148"/>
      <c r="NW110" s="148"/>
      <c r="NX110" s="148"/>
      <c r="NY110" s="148"/>
      <c r="NZ110" s="148"/>
      <c r="OA110" s="148"/>
      <c r="OB110" s="148"/>
      <c r="OC110" s="148"/>
      <c r="OD110" s="148"/>
      <c r="OE110" s="148"/>
      <c r="OF110" s="148"/>
      <c r="OG110" s="148"/>
      <c r="OH110" s="148"/>
      <c r="OI110" s="148"/>
      <c r="OJ110" s="148"/>
      <c r="OK110" s="148"/>
      <c r="OL110" s="148"/>
      <c r="OM110" s="148"/>
      <c r="ON110" s="148"/>
      <c r="OO110" s="148"/>
      <c r="OP110" s="148"/>
      <c r="OQ110" s="148"/>
      <c r="OR110" s="148"/>
      <c r="OS110" s="148"/>
      <c r="OT110" s="148"/>
      <c r="OU110" s="148"/>
      <c r="OV110" s="148"/>
      <c r="OW110" s="148"/>
      <c r="OX110" s="148"/>
      <c r="OY110" s="148"/>
      <c r="OZ110" s="148"/>
      <c r="PA110" s="148"/>
      <c r="PB110" s="148"/>
      <c r="PC110" s="148"/>
      <c r="PD110" s="148"/>
      <c r="PE110" s="148"/>
      <c r="PF110" s="148"/>
      <c r="PG110" s="148"/>
      <c r="PH110" s="148"/>
      <c r="PI110" s="148"/>
      <c r="PJ110" s="148"/>
      <c r="PK110" s="148"/>
      <c r="PL110" s="148"/>
      <c r="PM110" s="148"/>
      <c r="PN110" s="148"/>
      <c r="PO110" s="148"/>
      <c r="PP110" s="148"/>
      <c r="PQ110" s="148"/>
      <c r="PR110" s="148"/>
      <c r="PS110" s="148"/>
      <c r="PT110" s="148"/>
      <c r="PU110" s="148"/>
      <c r="PV110" s="148"/>
      <c r="PW110" s="148"/>
      <c r="PX110" s="148"/>
      <c r="PY110" s="148"/>
      <c r="PZ110" s="148"/>
      <c r="QA110" s="148"/>
      <c r="QB110" s="148"/>
      <c r="QC110" s="148"/>
      <c r="QD110" s="148"/>
      <c r="QE110" s="148"/>
      <c r="QF110" s="148"/>
      <c r="QG110" s="148"/>
      <c r="QH110" s="148"/>
      <c r="QI110" s="148"/>
      <c r="QJ110" s="148"/>
      <c r="QK110" s="148"/>
      <c r="QL110" s="148"/>
      <c r="QM110" s="148"/>
      <c r="QN110" s="148"/>
      <c r="QO110" s="148"/>
      <c r="QP110" s="148"/>
      <c r="QQ110" s="148"/>
      <c r="QR110" s="148"/>
      <c r="QS110" s="148"/>
      <c r="QT110" s="148"/>
      <c r="QU110" s="148"/>
      <c r="QV110" s="148"/>
      <c r="QW110" s="148"/>
      <c r="QX110" s="148"/>
      <c r="QY110" s="148"/>
      <c r="QZ110" s="148"/>
      <c r="RA110" s="148"/>
      <c r="RB110" s="148"/>
      <c r="RC110" s="148"/>
      <c r="RD110" s="148"/>
      <c r="RE110" s="148"/>
      <c r="RF110" s="148"/>
      <c r="RG110" s="148"/>
      <c r="RH110" s="148"/>
      <c r="RI110" s="148"/>
      <c r="RJ110" s="148"/>
      <c r="RK110" s="148"/>
      <c r="RL110" s="148"/>
      <c r="RM110" s="148"/>
      <c r="RN110" s="148"/>
      <c r="RO110" s="148"/>
      <c r="RP110" s="148"/>
      <c r="RQ110" s="148"/>
      <c r="RR110" s="148"/>
    </row>
    <row r="111" spans="1:486" s="15" customFormat="1" hidden="1" x14ac:dyDescent="0.25">
      <c r="A111" s="148"/>
      <c r="B111" s="350">
        <v>101</v>
      </c>
      <c r="C111" s="650"/>
      <c r="D111" s="16"/>
      <c r="E111" s="344"/>
      <c r="F111" s="344"/>
      <c r="G111" s="17"/>
      <c r="H111" s="317"/>
      <c r="I111" s="346"/>
      <c r="J111" s="341"/>
      <c r="K111" s="633"/>
      <c r="L111" s="633"/>
      <c r="M111" s="633"/>
      <c r="N111" s="633"/>
      <c r="O111" s="633"/>
      <c r="P111" s="633"/>
      <c r="Q111" s="633"/>
      <c r="R111" s="633"/>
      <c r="S111" s="633"/>
      <c r="T111" s="633"/>
      <c r="U111" s="633"/>
      <c r="V111" s="633"/>
      <c r="W111" s="633"/>
      <c r="X111" s="633"/>
      <c r="Y111" s="633">
        <f t="shared" si="3"/>
        <v>0</v>
      </c>
      <c r="Z111" s="637"/>
      <c r="AA111" s="19"/>
      <c r="AB111" s="315"/>
      <c r="AC111" s="315"/>
      <c r="AD111" s="652"/>
      <c r="AE111" s="20"/>
      <c r="AF111" s="21"/>
      <c r="AG111" s="23"/>
      <c r="AH111" s="637"/>
      <c r="AI111" s="19"/>
      <c r="AJ111" s="21"/>
      <c r="AK111" s="25"/>
      <c r="AL111" s="309"/>
      <c r="AM111" s="19"/>
      <c r="AN111" s="21"/>
      <c r="AO111" s="25"/>
      <c r="AP111" s="309"/>
      <c r="AQ111" s="19"/>
      <c r="AR111" s="21"/>
      <c r="AS111" s="25"/>
      <c r="AT111" s="638">
        <f t="shared" si="4"/>
        <v>0</v>
      </c>
      <c r="AU111" s="311">
        <f t="shared" si="0"/>
        <v>0</v>
      </c>
      <c r="AV111" s="148"/>
      <c r="AW111" s="148"/>
      <c r="AX111" s="148"/>
      <c r="AY111" s="148"/>
      <c r="AZ111" s="148"/>
      <c r="BA111" s="148"/>
      <c r="BB111" s="148"/>
      <c r="BC111" s="148"/>
      <c r="BD111" s="148"/>
      <c r="BE111" s="148"/>
      <c r="BF111" s="148"/>
      <c r="BG111" s="148"/>
      <c r="BH111" s="148"/>
      <c r="BI111" s="148"/>
      <c r="BJ111" s="148"/>
      <c r="BK111" s="148"/>
      <c r="BL111" s="148"/>
      <c r="BM111" s="148"/>
      <c r="BN111" s="148"/>
      <c r="BO111" s="148"/>
      <c r="BP111" s="148"/>
      <c r="BQ111" s="148"/>
      <c r="BR111" s="148"/>
      <c r="BS111" s="148"/>
      <c r="BT111" s="148"/>
      <c r="BU111" s="148"/>
      <c r="BV111" s="148"/>
      <c r="BW111" s="148"/>
      <c r="BX111" s="148"/>
      <c r="BY111" s="148"/>
      <c r="BZ111" s="148"/>
      <c r="CA111" s="148"/>
      <c r="CB111" s="148"/>
      <c r="CC111" s="148"/>
      <c r="CD111" s="148"/>
      <c r="CE111" s="148"/>
      <c r="CF111" s="148"/>
      <c r="CG111" s="148"/>
      <c r="CH111" s="148"/>
      <c r="CI111" s="148"/>
      <c r="CJ111" s="148"/>
      <c r="CK111" s="148"/>
      <c r="CL111" s="148"/>
      <c r="CM111" s="148"/>
      <c r="CN111" s="148"/>
      <c r="CO111" s="148"/>
      <c r="CP111" s="148"/>
      <c r="CQ111" s="148"/>
      <c r="CR111" s="148"/>
      <c r="CS111" s="148"/>
      <c r="CT111" s="148"/>
      <c r="CU111" s="148"/>
      <c r="CV111" s="148"/>
      <c r="CW111" s="148"/>
      <c r="CX111" s="148"/>
      <c r="CY111" s="148"/>
      <c r="CZ111" s="148"/>
      <c r="DA111" s="148"/>
      <c r="DB111" s="148"/>
      <c r="DC111" s="148"/>
      <c r="DD111" s="148"/>
      <c r="DE111" s="148"/>
      <c r="DF111" s="148"/>
      <c r="DG111" s="148"/>
      <c r="DH111" s="148"/>
      <c r="DI111" s="148"/>
      <c r="DJ111" s="148"/>
      <c r="DK111" s="148"/>
      <c r="DL111" s="148"/>
      <c r="DM111" s="148"/>
      <c r="DN111" s="148"/>
      <c r="DO111" s="148"/>
      <c r="DP111" s="148"/>
      <c r="DQ111" s="148"/>
      <c r="DR111" s="148"/>
      <c r="DS111" s="148"/>
      <c r="DT111" s="148"/>
      <c r="DU111" s="148"/>
      <c r="DV111" s="148"/>
      <c r="DW111" s="148"/>
      <c r="DX111" s="148"/>
      <c r="DY111" s="148"/>
      <c r="DZ111" s="148"/>
      <c r="EA111" s="148"/>
      <c r="EB111" s="148"/>
      <c r="EC111" s="148"/>
      <c r="ED111" s="148"/>
      <c r="EE111" s="148"/>
      <c r="EF111" s="148"/>
      <c r="EG111" s="148"/>
      <c r="EH111" s="148"/>
      <c r="EI111" s="148"/>
      <c r="EJ111" s="148"/>
      <c r="EK111" s="148"/>
      <c r="EL111" s="148"/>
      <c r="EM111" s="148"/>
      <c r="EN111" s="148"/>
      <c r="EO111" s="148"/>
      <c r="EP111" s="148"/>
      <c r="EQ111" s="148"/>
      <c r="ER111" s="148"/>
      <c r="ES111" s="148"/>
      <c r="ET111" s="148"/>
      <c r="EU111" s="148"/>
      <c r="EV111" s="148"/>
      <c r="EW111" s="148"/>
      <c r="EX111" s="148"/>
      <c r="EY111" s="148"/>
      <c r="EZ111" s="148"/>
      <c r="FA111" s="148"/>
      <c r="FB111" s="148"/>
      <c r="FC111" s="148"/>
      <c r="FD111" s="148"/>
      <c r="FE111" s="148"/>
      <c r="FF111" s="148"/>
      <c r="FG111" s="148"/>
      <c r="FH111" s="148"/>
      <c r="FI111" s="148"/>
      <c r="FJ111" s="148"/>
      <c r="FK111" s="148"/>
      <c r="FL111" s="148"/>
      <c r="FM111" s="148"/>
      <c r="FN111" s="148"/>
      <c r="FO111" s="148"/>
      <c r="FP111" s="148"/>
      <c r="FQ111" s="148"/>
      <c r="FR111" s="148"/>
      <c r="FS111" s="148"/>
      <c r="FT111" s="148"/>
      <c r="FU111" s="148"/>
      <c r="FV111" s="148"/>
      <c r="FW111" s="148"/>
      <c r="FX111" s="148"/>
      <c r="FY111" s="148"/>
      <c r="FZ111" s="148"/>
      <c r="GA111" s="148"/>
      <c r="GB111" s="148"/>
      <c r="GC111" s="148"/>
      <c r="GD111" s="148"/>
      <c r="GE111" s="148"/>
      <c r="GF111" s="148"/>
      <c r="GG111" s="148"/>
      <c r="GH111" s="148"/>
      <c r="GI111" s="148"/>
      <c r="GJ111" s="148"/>
      <c r="GK111" s="148"/>
      <c r="GL111" s="148"/>
      <c r="GM111" s="148"/>
      <c r="GN111" s="148"/>
      <c r="GO111" s="148"/>
      <c r="GP111" s="148"/>
      <c r="GQ111" s="148"/>
      <c r="GR111" s="148"/>
      <c r="GS111" s="148"/>
      <c r="GT111" s="148"/>
      <c r="GU111" s="148"/>
      <c r="GV111" s="148"/>
      <c r="GW111" s="148"/>
      <c r="GX111" s="148"/>
      <c r="GY111" s="148"/>
      <c r="GZ111" s="148"/>
      <c r="HA111" s="148"/>
      <c r="HB111" s="148"/>
      <c r="HC111" s="148"/>
      <c r="HD111" s="148"/>
      <c r="HE111" s="148"/>
      <c r="HF111" s="148"/>
      <c r="HG111" s="148"/>
      <c r="HH111" s="148"/>
      <c r="HI111" s="148"/>
      <c r="HJ111" s="148"/>
      <c r="HK111" s="148"/>
      <c r="HL111" s="148"/>
      <c r="HM111" s="148"/>
      <c r="HN111" s="148"/>
      <c r="HO111" s="148"/>
      <c r="HP111" s="148"/>
      <c r="HQ111" s="148"/>
      <c r="HR111" s="148"/>
      <c r="HS111" s="148"/>
      <c r="HT111" s="148"/>
      <c r="HU111" s="148"/>
      <c r="HV111" s="148"/>
      <c r="HW111" s="148"/>
      <c r="HX111" s="148"/>
      <c r="HY111" s="148"/>
      <c r="HZ111" s="148"/>
      <c r="IA111" s="148"/>
      <c r="IB111" s="148"/>
      <c r="IC111" s="148"/>
      <c r="ID111" s="148"/>
      <c r="IE111" s="148"/>
      <c r="IF111" s="148"/>
      <c r="IG111" s="148"/>
      <c r="IH111" s="148"/>
      <c r="II111" s="148"/>
      <c r="IJ111" s="148"/>
      <c r="IK111" s="148"/>
      <c r="IL111" s="148"/>
      <c r="IM111" s="148"/>
      <c r="IN111" s="148"/>
      <c r="IO111" s="148"/>
      <c r="IP111" s="148"/>
      <c r="IQ111" s="148"/>
      <c r="IR111" s="148"/>
      <c r="IS111" s="148"/>
      <c r="IT111" s="148"/>
      <c r="IU111" s="148"/>
      <c r="IV111" s="148"/>
      <c r="IW111" s="148"/>
      <c r="IX111" s="148"/>
      <c r="IY111" s="148"/>
      <c r="IZ111" s="148"/>
      <c r="JA111" s="148"/>
      <c r="JB111" s="148"/>
      <c r="JC111" s="148"/>
      <c r="JD111" s="148"/>
      <c r="JE111" s="148"/>
      <c r="JF111" s="148"/>
      <c r="JG111" s="148"/>
      <c r="JH111" s="148"/>
      <c r="JI111" s="148"/>
      <c r="JJ111" s="148"/>
      <c r="JK111" s="148"/>
      <c r="JL111" s="148"/>
      <c r="JM111" s="148"/>
      <c r="JN111" s="148"/>
      <c r="JO111" s="148"/>
      <c r="JP111" s="148"/>
      <c r="JQ111" s="148"/>
      <c r="JR111" s="148"/>
      <c r="JS111" s="148"/>
      <c r="JT111" s="148"/>
      <c r="JU111" s="148"/>
      <c r="JV111" s="148"/>
      <c r="JW111" s="148"/>
      <c r="JX111" s="148"/>
      <c r="JY111" s="148"/>
      <c r="JZ111" s="148"/>
      <c r="KA111" s="148"/>
      <c r="KB111" s="148"/>
      <c r="KC111" s="148"/>
      <c r="KD111" s="148"/>
      <c r="KE111" s="148"/>
      <c r="KF111" s="148"/>
      <c r="KG111" s="148"/>
      <c r="KH111" s="148"/>
      <c r="KI111" s="148"/>
      <c r="KJ111" s="148"/>
      <c r="KK111" s="148"/>
      <c r="KL111" s="148"/>
      <c r="KM111" s="148"/>
      <c r="KN111" s="148"/>
      <c r="KO111" s="148"/>
      <c r="KP111" s="148"/>
      <c r="KQ111" s="148"/>
      <c r="KR111" s="148"/>
      <c r="KS111" s="148"/>
      <c r="KT111" s="148"/>
      <c r="KU111" s="148"/>
      <c r="KV111" s="148"/>
      <c r="KW111" s="148"/>
      <c r="KX111" s="148"/>
      <c r="KY111" s="148"/>
      <c r="KZ111" s="148"/>
      <c r="LA111" s="148"/>
      <c r="LB111" s="148"/>
      <c r="LC111" s="148"/>
      <c r="LD111" s="148"/>
      <c r="LE111" s="148"/>
      <c r="LF111" s="148"/>
      <c r="LG111" s="148"/>
      <c r="LH111" s="148"/>
      <c r="LI111" s="148"/>
      <c r="LJ111" s="148"/>
      <c r="LK111" s="148"/>
      <c r="LL111" s="148"/>
      <c r="LM111" s="148"/>
      <c r="LN111" s="148"/>
      <c r="LO111" s="148"/>
      <c r="LP111" s="148"/>
      <c r="LQ111" s="148"/>
      <c r="LR111" s="148"/>
      <c r="LS111" s="148"/>
      <c r="LT111" s="148"/>
      <c r="LU111" s="148"/>
      <c r="LV111" s="148"/>
      <c r="LW111" s="148"/>
      <c r="LX111" s="148"/>
      <c r="LY111" s="148"/>
      <c r="LZ111" s="148"/>
      <c r="MA111" s="148"/>
      <c r="MB111" s="148"/>
      <c r="MC111" s="148"/>
      <c r="MD111" s="148"/>
      <c r="ME111" s="148"/>
      <c r="MF111" s="148"/>
      <c r="MG111" s="148"/>
      <c r="MH111" s="148"/>
      <c r="MI111" s="148"/>
      <c r="MJ111" s="148"/>
      <c r="MK111" s="148"/>
      <c r="ML111" s="148"/>
      <c r="MM111" s="148"/>
      <c r="MN111" s="148"/>
      <c r="MO111" s="148"/>
      <c r="MP111" s="148"/>
      <c r="MQ111" s="148"/>
      <c r="MR111" s="148"/>
      <c r="MS111" s="148"/>
      <c r="MT111" s="148"/>
      <c r="MU111" s="148"/>
      <c r="MV111" s="148"/>
      <c r="MW111" s="148"/>
      <c r="MX111" s="148"/>
      <c r="MY111" s="148"/>
      <c r="MZ111" s="148"/>
      <c r="NA111" s="148"/>
      <c r="NB111" s="148"/>
      <c r="NC111" s="148"/>
      <c r="ND111" s="148"/>
      <c r="NE111" s="148"/>
      <c r="NF111" s="148"/>
      <c r="NG111" s="148"/>
      <c r="NH111" s="148"/>
      <c r="NI111" s="148"/>
      <c r="NJ111" s="148"/>
      <c r="NK111" s="148"/>
      <c r="NL111" s="148"/>
      <c r="NM111" s="148"/>
      <c r="NN111" s="148"/>
      <c r="NO111" s="148"/>
      <c r="NP111" s="148"/>
      <c r="NQ111" s="148"/>
      <c r="NR111" s="148"/>
      <c r="NS111" s="148"/>
      <c r="NT111" s="148"/>
      <c r="NU111" s="148"/>
      <c r="NV111" s="148"/>
      <c r="NW111" s="148"/>
      <c r="NX111" s="148"/>
      <c r="NY111" s="148"/>
      <c r="NZ111" s="148"/>
      <c r="OA111" s="148"/>
      <c r="OB111" s="148"/>
      <c r="OC111" s="148"/>
      <c r="OD111" s="148"/>
      <c r="OE111" s="148"/>
      <c r="OF111" s="148"/>
      <c r="OG111" s="148"/>
      <c r="OH111" s="148"/>
      <c r="OI111" s="148"/>
      <c r="OJ111" s="148"/>
      <c r="OK111" s="148"/>
      <c r="OL111" s="148"/>
      <c r="OM111" s="148"/>
      <c r="ON111" s="148"/>
      <c r="OO111" s="148"/>
      <c r="OP111" s="148"/>
      <c r="OQ111" s="148"/>
      <c r="OR111" s="148"/>
      <c r="OS111" s="148"/>
      <c r="OT111" s="148"/>
      <c r="OU111" s="148"/>
      <c r="OV111" s="148"/>
      <c r="OW111" s="148"/>
      <c r="OX111" s="148"/>
      <c r="OY111" s="148"/>
      <c r="OZ111" s="148"/>
      <c r="PA111" s="148"/>
      <c r="PB111" s="148"/>
      <c r="PC111" s="148"/>
      <c r="PD111" s="148"/>
      <c r="PE111" s="148"/>
      <c r="PF111" s="148"/>
      <c r="PG111" s="148"/>
      <c r="PH111" s="148"/>
      <c r="PI111" s="148"/>
      <c r="PJ111" s="148"/>
      <c r="PK111" s="148"/>
      <c r="PL111" s="148"/>
      <c r="PM111" s="148"/>
      <c r="PN111" s="148"/>
      <c r="PO111" s="148"/>
      <c r="PP111" s="148"/>
      <c r="PQ111" s="148"/>
      <c r="PR111" s="148"/>
      <c r="PS111" s="148"/>
      <c r="PT111" s="148"/>
      <c r="PU111" s="148"/>
      <c r="PV111" s="148"/>
      <c r="PW111" s="148"/>
      <c r="PX111" s="148"/>
      <c r="PY111" s="148"/>
      <c r="PZ111" s="148"/>
      <c r="QA111" s="148"/>
      <c r="QB111" s="148"/>
      <c r="QC111" s="148"/>
      <c r="QD111" s="148"/>
      <c r="QE111" s="148"/>
      <c r="QF111" s="148"/>
      <c r="QG111" s="148"/>
      <c r="QH111" s="148"/>
      <c r="QI111" s="148"/>
      <c r="QJ111" s="148"/>
      <c r="QK111" s="148"/>
      <c r="QL111" s="148"/>
      <c r="QM111" s="148"/>
      <c r="QN111" s="148"/>
      <c r="QO111" s="148"/>
      <c r="QP111" s="148"/>
      <c r="QQ111" s="148"/>
      <c r="QR111" s="148"/>
      <c r="QS111" s="148"/>
      <c r="QT111" s="148"/>
      <c r="QU111" s="148"/>
      <c r="QV111" s="148"/>
      <c r="QW111" s="148"/>
      <c r="QX111" s="148"/>
      <c r="QY111" s="148"/>
      <c r="QZ111" s="148"/>
      <c r="RA111" s="148"/>
      <c r="RB111" s="148"/>
      <c r="RC111" s="148"/>
      <c r="RD111" s="148"/>
      <c r="RE111" s="148"/>
      <c r="RF111" s="148"/>
      <c r="RG111" s="148"/>
      <c r="RH111" s="148"/>
      <c r="RI111" s="148"/>
      <c r="RJ111" s="148"/>
      <c r="RK111" s="148"/>
      <c r="RL111" s="148"/>
      <c r="RM111" s="148"/>
      <c r="RN111" s="148"/>
      <c r="RO111" s="148"/>
      <c r="RP111" s="148"/>
      <c r="RQ111" s="148"/>
      <c r="RR111" s="148"/>
    </row>
    <row r="112" spans="1:486" s="15" customFormat="1" hidden="1" x14ac:dyDescent="0.25">
      <c r="A112" s="148"/>
      <c r="B112" s="350">
        <v>102</v>
      </c>
      <c r="C112" s="650"/>
      <c r="D112" s="16"/>
      <c r="E112" s="344"/>
      <c r="F112" s="344"/>
      <c r="G112" s="17"/>
      <c r="H112" s="317"/>
      <c r="I112" s="346"/>
      <c r="J112" s="341"/>
      <c r="K112" s="633"/>
      <c r="L112" s="633"/>
      <c r="M112" s="633"/>
      <c r="N112" s="633"/>
      <c r="O112" s="633"/>
      <c r="P112" s="633"/>
      <c r="Q112" s="633"/>
      <c r="R112" s="633"/>
      <c r="S112" s="633"/>
      <c r="T112" s="633"/>
      <c r="U112" s="633"/>
      <c r="V112" s="633"/>
      <c r="W112" s="633"/>
      <c r="X112" s="633"/>
      <c r="Y112" s="633">
        <f t="shared" si="3"/>
        <v>0</v>
      </c>
      <c r="Z112" s="637"/>
      <c r="AA112" s="19"/>
      <c r="AB112" s="315"/>
      <c r="AC112" s="315"/>
      <c r="AD112" s="652"/>
      <c r="AE112" s="20"/>
      <c r="AF112" s="21"/>
      <c r="AG112" s="23"/>
      <c r="AH112" s="637"/>
      <c r="AI112" s="19"/>
      <c r="AJ112" s="21"/>
      <c r="AK112" s="25"/>
      <c r="AL112" s="309"/>
      <c r="AM112" s="19"/>
      <c r="AN112" s="21"/>
      <c r="AO112" s="25"/>
      <c r="AP112" s="309"/>
      <c r="AQ112" s="19"/>
      <c r="AR112" s="21"/>
      <c r="AS112" s="25"/>
      <c r="AT112" s="638">
        <f t="shared" si="4"/>
        <v>0</v>
      </c>
      <c r="AU112" s="311">
        <f t="shared" si="0"/>
        <v>0</v>
      </c>
      <c r="AV112" s="148"/>
      <c r="AW112" s="148"/>
      <c r="AX112" s="148"/>
      <c r="AY112" s="148"/>
      <c r="AZ112" s="148"/>
      <c r="BA112" s="148"/>
      <c r="BB112" s="148"/>
      <c r="BC112" s="148"/>
      <c r="BD112" s="148"/>
      <c r="BE112" s="148"/>
      <c r="BF112" s="148"/>
      <c r="BG112" s="148"/>
      <c r="BH112" s="148"/>
      <c r="BI112" s="148"/>
      <c r="BJ112" s="148"/>
      <c r="BK112" s="148"/>
      <c r="BL112" s="148"/>
      <c r="BM112" s="148"/>
      <c r="BN112" s="148"/>
      <c r="BO112" s="148"/>
      <c r="BP112" s="148"/>
      <c r="BQ112" s="148"/>
      <c r="BR112" s="148"/>
      <c r="BS112" s="148"/>
      <c r="BT112" s="148"/>
      <c r="BU112" s="148"/>
      <c r="BV112" s="148"/>
      <c r="BW112" s="148"/>
      <c r="BX112" s="148"/>
      <c r="BY112" s="148"/>
      <c r="BZ112" s="148"/>
      <c r="CA112" s="148"/>
      <c r="CB112" s="148"/>
      <c r="CC112" s="148"/>
      <c r="CD112" s="148"/>
      <c r="CE112" s="148"/>
      <c r="CF112" s="148"/>
      <c r="CG112" s="148"/>
      <c r="CH112" s="148"/>
      <c r="CI112" s="148"/>
      <c r="CJ112" s="148"/>
      <c r="CK112" s="148"/>
      <c r="CL112" s="148"/>
      <c r="CM112" s="148"/>
      <c r="CN112" s="148"/>
      <c r="CO112" s="148"/>
      <c r="CP112" s="148"/>
      <c r="CQ112" s="148"/>
      <c r="CR112" s="148"/>
      <c r="CS112" s="148"/>
      <c r="CT112" s="148"/>
      <c r="CU112" s="148"/>
      <c r="CV112" s="148"/>
      <c r="CW112" s="148"/>
      <c r="CX112" s="148"/>
      <c r="CY112" s="148"/>
      <c r="CZ112" s="148"/>
      <c r="DA112" s="148"/>
      <c r="DB112" s="148"/>
      <c r="DC112" s="148"/>
      <c r="DD112" s="148"/>
      <c r="DE112" s="148"/>
      <c r="DF112" s="148"/>
      <c r="DG112" s="148"/>
      <c r="DH112" s="148"/>
      <c r="DI112" s="148"/>
      <c r="DJ112" s="148"/>
      <c r="DK112" s="148"/>
      <c r="DL112" s="148"/>
      <c r="DM112" s="148"/>
      <c r="DN112" s="148"/>
      <c r="DO112" s="148"/>
      <c r="DP112" s="148"/>
      <c r="DQ112" s="148"/>
      <c r="DR112" s="148"/>
      <c r="DS112" s="148"/>
      <c r="DT112" s="148"/>
      <c r="DU112" s="148"/>
      <c r="DV112" s="148"/>
      <c r="DW112" s="148"/>
      <c r="DX112" s="148"/>
      <c r="DY112" s="148"/>
      <c r="DZ112" s="148"/>
      <c r="EA112" s="148"/>
      <c r="EB112" s="148"/>
      <c r="EC112" s="148"/>
      <c r="ED112" s="148"/>
      <c r="EE112" s="148"/>
      <c r="EF112" s="148"/>
      <c r="EG112" s="148"/>
      <c r="EH112" s="148"/>
      <c r="EI112" s="148"/>
      <c r="EJ112" s="148"/>
      <c r="EK112" s="148"/>
      <c r="EL112" s="148"/>
      <c r="EM112" s="148"/>
      <c r="EN112" s="148"/>
      <c r="EO112" s="148"/>
      <c r="EP112" s="148"/>
      <c r="EQ112" s="148"/>
      <c r="ER112" s="148"/>
      <c r="ES112" s="148"/>
      <c r="ET112" s="148"/>
      <c r="EU112" s="148"/>
      <c r="EV112" s="148"/>
      <c r="EW112" s="148"/>
      <c r="EX112" s="148"/>
      <c r="EY112" s="148"/>
      <c r="EZ112" s="148"/>
      <c r="FA112" s="148"/>
      <c r="FB112" s="148"/>
      <c r="FC112" s="148"/>
      <c r="FD112" s="148"/>
      <c r="FE112" s="148"/>
      <c r="FF112" s="148"/>
      <c r="FG112" s="148"/>
      <c r="FH112" s="148"/>
      <c r="FI112" s="148"/>
      <c r="FJ112" s="148"/>
      <c r="FK112" s="148"/>
      <c r="FL112" s="148"/>
      <c r="FM112" s="148"/>
      <c r="FN112" s="148"/>
      <c r="FO112" s="148"/>
      <c r="FP112" s="148"/>
      <c r="FQ112" s="148"/>
      <c r="FR112" s="148"/>
      <c r="FS112" s="148"/>
      <c r="FT112" s="148"/>
      <c r="FU112" s="148"/>
      <c r="FV112" s="148"/>
      <c r="FW112" s="148"/>
      <c r="FX112" s="148"/>
      <c r="FY112" s="148"/>
      <c r="FZ112" s="148"/>
      <c r="GA112" s="148"/>
      <c r="GB112" s="148"/>
      <c r="GC112" s="148"/>
      <c r="GD112" s="148"/>
      <c r="GE112" s="148"/>
      <c r="GF112" s="148"/>
      <c r="GG112" s="148"/>
      <c r="GH112" s="148"/>
      <c r="GI112" s="148"/>
      <c r="GJ112" s="148"/>
      <c r="GK112" s="148"/>
      <c r="GL112" s="148"/>
      <c r="GM112" s="148"/>
      <c r="GN112" s="148"/>
      <c r="GO112" s="148"/>
      <c r="GP112" s="148"/>
      <c r="GQ112" s="148"/>
      <c r="GR112" s="148"/>
      <c r="GS112" s="148"/>
      <c r="GT112" s="148"/>
      <c r="GU112" s="148"/>
      <c r="GV112" s="148"/>
      <c r="GW112" s="148"/>
      <c r="GX112" s="148"/>
      <c r="GY112" s="148"/>
      <c r="GZ112" s="148"/>
      <c r="HA112" s="148"/>
      <c r="HB112" s="148"/>
      <c r="HC112" s="148"/>
      <c r="HD112" s="148"/>
      <c r="HE112" s="148"/>
      <c r="HF112" s="148"/>
      <c r="HG112" s="148"/>
      <c r="HH112" s="148"/>
      <c r="HI112" s="148"/>
      <c r="HJ112" s="148"/>
      <c r="HK112" s="148"/>
      <c r="HL112" s="148"/>
      <c r="HM112" s="148"/>
      <c r="HN112" s="148"/>
      <c r="HO112" s="148"/>
      <c r="HP112" s="148"/>
      <c r="HQ112" s="148"/>
      <c r="HR112" s="148"/>
      <c r="HS112" s="148"/>
      <c r="HT112" s="148"/>
      <c r="HU112" s="148"/>
      <c r="HV112" s="148"/>
      <c r="HW112" s="148"/>
      <c r="HX112" s="148"/>
      <c r="HY112" s="148"/>
      <c r="HZ112" s="148"/>
      <c r="IA112" s="148"/>
      <c r="IB112" s="148"/>
      <c r="IC112" s="148"/>
      <c r="ID112" s="148"/>
      <c r="IE112" s="148"/>
      <c r="IF112" s="148"/>
      <c r="IG112" s="148"/>
      <c r="IH112" s="148"/>
      <c r="II112" s="148"/>
      <c r="IJ112" s="148"/>
      <c r="IK112" s="148"/>
      <c r="IL112" s="148"/>
      <c r="IM112" s="148"/>
      <c r="IN112" s="148"/>
      <c r="IO112" s="148"/>
      <c r="IP112" s="148"/>
      <c r="IQ112" s="148"/>
      <c r="IR112" s="148"/>
      <c r="IS112" s="148"/>
      <c r="IT112" s="148"/>
      <c r="IU112" s="148"/>
      <c r="IV112" s="148"/>
      <c r="IW112" s="148"/>
      <c r="IX112" s="148"/>
      <c r="IY112" s="148"/>
      <c r="IZ112" s="148"/>
      <c r="JA112" s="148"/>
      <c r="JB112" s="148"/>
      <c r="JC112" s="148"/>
      <c r="JD112" s="148"/>
      <c r="JE112" s="148"/>
      <c r="JF112" s="148"/>
      <c r="JG112" s="148"/>
      <c r="JH112" s="148"/>
      <c r="JI112" s="148"/>
      <c r="JJ112" s="148"/>
      <c r="JK112" s="148"/>
      <c r="JL112" s="148"/>
      <c r="JM112" s="148"/>
      <c r="JN112" s="148"/>
      <c r="JO112" s="148"/>
      <c r="JP112" s="148"/>
      <c r="JQ112" s="148"/>
      <c r="JR112" s="148"/>
      <c r="JS112" s="148"/>
      <c r="JT112" s="148"/>
      <c r="JU112" s="148"/>
      <c r="JV112" s="148"/>
      <c r="JW112" s="148"/>
      <c r="JX112" s="148"/>
      <c r="JY112" s="148"/>
      <c r="JZ112" s="148"/>
      <c r="KA112" s="148"/>
      <c r="KB112" s="148"/>
      <c r="KC112" s="148"/>
      <c r="KD112" s="148"/>
      <c r="KE112" s="148"/>
      <c r="KF112" s="148"/>
      <c r="KG112" s="148"/>
      <c r="KH112" s="148"/>
      <c r="KI112" s="148"/>
      <c r="KJ112" s="148"/>
      <c r="KK112" s="148"/>
      <c r="KL112" s="148"/>
      <c r="KM112" s="148"/>
      <c r="KN112" s="148"/>
      <c r="KO112" s="148"/>
      <c r="KP112" s="148"/>
      <c r="KQ112" s="148"/>
      <c r="KR112" s="148"/>
      <c r="KS112" s="148"/>
      <c r="KT112" s="148"/>
      <c r="KU112" s="148"/>
      <c r="KV112" s="148"/>
      <c r="KW112" s="148"/>
      <c r="KX112" s="148"/>
      <c r="KY112" s="148"/>
      <c r="KZ112" s="148"/>
      <c r="LA112" s="148"/>
      <c r="LB112" s="148"/>
      <c r="LC112" s="148"/>
      <c r="LD112" s="148"/>
      <c r="LE112" s="148"/>
      <c r="LF112" s="148"/>
      <c r="LG112" s="148"/>
      <c r="LH112" s="148"/>
      <c r="LI112" s="148"/>
      <c r="LJ112" s="148"/>
      <c r="LK112" s="148"/>
      <c r="LL112" s="148"/>
      <c r="LM112" s="148"/>
      <c r="LN112" s="148"/>
      <c r="LO112" s="148"/>
      <c r="LP112" s="148"/>
      <c r="LQ112" s="148"/>
      <c r="LR112" s="148"/>
      <c r="LS112" s="148"/>
      <c r="LT112" s="148"/>
      <c r="LU112" s="148"/>
      <c r="LV112" s="148"/>
      <c r="LW112" s="148"/>
      <c r="LX112" s="148"/>
      <c r="LY112" s="148"/>
      <c r="LZ112" s="148"/>
      <c r="MA112" s="148"/>
      <c r="MB112" s="148"/>
      <c r="MC112" s="148"/>
      <c r="MD112" s="148"/>
      <c r="ME112" s="148"/>
      <c r="MF112" s="148"/>
      <c r="MG112" s="148"/>
      <c r="MH112" s="148"/>
      <c r="MI112" s="148"/>
      <c r="MJ112" s="148"/>
      <c r="MK112" s="148"/>
      <c r="ML112" s="148"/>
      <c r="MM112" s="148"/>
      <c r="MN112" s="148"/>
      <c r="MO112" s="148"/>
      <c r="MP112" s="148"/>
      <c r="MQ112" s="148"/>
      <c r="MR112" s="148"/>
      <c r="MS112" s="148"/>
      <c r="MT112" s="148"/>
      <c r="MU112" s="148"/>
      <c r="MV112" s="148"/>
      <c r="MW112" s="148"/>
      <c r="MX112" s="148"/>
      <c r="MY112" s="148"/>
      <c r="MZ112" s="148"/>
      <c r="NA112" s="148"/>
      <c r="NB112" s="148"/>
      <c r="NC112" s="148"/>
      <c r="ND112" s="148"/>
      <c r="NE112" s="148"/>
      <c r="NF112" s="148"/>
      <c r="NG112" s="148"/>
      <c r="NH112" s="148"/>
      <c r="NI112" s="148"/>
      <c r="NJ112" s="148"/>
      <c r="NK112" s="148"/>
      <c r="NL112" s="148"/>
      <c r="NM112" s="148"/>
      <c r="NN112" s="148"/>
      <c r="NO112" s="148"/>
      <c r="NP112" s="148"/>
      <c r="NQ112" s="148"/>
      <c r="NR112" s="148"/>
      <c r="NS112" s="148"/>
      <c r="NT112" s="148"/>
      <c r="NU112" s="148"/>
      <c r="NV112" s="148"/>
      <c r="NW112" s="148"/>
      <c r="NX112" s="148"/>
      <c r="NY112" s="148"/>
      <c r="NZ112" s="148"/>
      <c r="OA112" s="148"/>
      <c r="OB112" s="148"/>
      <c r="OC112" s="148"/>
      <c r="OD112" s="148"/>
      <c r="OE112" s="148"/>
      <c r="OF112" s="148"/>
      <c r="OG112" s="148"/>
      <c r="OH112" s="148"/>
      <c r="OI112" s="148"/>
      <c r="OJ112" s="148"/>
      <c r="OK112" s="148"/>
      <c r="OL112" s="148"/>
      <c r="OM112" s="148"/>
      <c r="ON112" s="148"/>
      <c r="OO112" s="148"/>
      <c r="OP112" s="148"/>
      <c r="OQ112" s="148"/>
      <c r="OR112" s="148"/>
      <c r="OS112" s="148"/>
      <c r="OT112" s="148"/>
      <c r="OU112" s="148"/>
      <c r="OV112" s="148"/>
      <c r="OW112" s="148"/>
      <c r="OX112" s="148"/>
      <c r="OY112" s="148"/>
      <c r="OZ112" s="148"/>
      <c r="PA112" s="148"/>
      <c r="PB112" s="148"/>
      <c r="PC112" s="148"/>
      <c r="PD112" s="148"/>
      <c r="PE112" s="148"/>
      <c r="PF112" s="148"/>
      <c r="PG112" s="148"/>
      <c r="PH112" s="148"/>
      <c r="PI112" s="148"/>
      <c r="PJ112" s="148"/>
      <c r="PK112" s="148"/>
      <c r="PL112" s="148"/>
      <c r="PM112" s="148"/>
      <c r="PN112" s="148"/>
      <c r="PO112" s="148"/>
      <c r="PP112" s="148"/>
      <c r="PQ112" s="148"/>
      <c r="PR112" s="148"/>
      <c r="PS112" s="148"/>
      <c r="PT112" s="148"/>
      <c r="PU112" s="148"/>
      <c r="PV112" s="148"/>
      <c r="PW112" s="148"/>
      <c r="PX112" s="148"/>
      <c r="PY112" s="148"/>
      <c r="PZ112" s="148"/>
      <c r="QA112" s="148"/>
      <c r="QB112" s="148"/>
      <c r="QC112" s="148"/>
      <c r="QD112" s="148"/>
      <c r="QE112" s="148"/>
      <c r="QF112" s="148"/>
      <c r="QG112" s="148"/>
      <c r="QH112" s="148"/>
      <c r="QI112" s="148"/>
      <c r="QJ112" s="148"/>
      <c r="QK112" s="148"/>
      <c r="QL112" s="148"/>
      <c r="QM112" s="148"/>
      <c r="QN112" s="148"/>
      <c r="QO112" s="148"/>
      <c r="QP112" s="148"/>
      <c r="QQ112" s="148"/>
      <c r="QR112" s="148"/>
      <c r="QS112" s="148"/>
      <c r="QT112" s="148"/>
      <c r="QU112" s="148"/>
      <c r="QV112" s="148"/>
      <c r="QW112" s="148"/>
      <c r="QX112" s="148"/>
      <c r="QY112" s="148"/>
      <c r="QZ112" s="148"/>
      <c r="RA112" s="148"/>
      <c r="RB112" s="148"/>
      <c r="RC112" s="148"/>
      <c r="RD112" s="148"/>
      <c r="RE112" s="148"/>
      <c r="RF112" s="148"/>
      <c r="RG112" s="148"/>
      <c r="RH112" s="148"/>
      <c r="RI112" s="148"/>
      <c r="RJ112" s="148"/>
      <c r="RK112" s="148"/>
      <c r="RL112" s="148"/>
      <c r="RM112" s="148"/>
      <c r="RN112" s="148"/>
      <c r="RO112" s="148"/>
      <c r="RP112" s="148"/>
      <c r="RQ112" s="148"/>
      <c r="RR112" s="148"/>
    </row>
    <row r="113" spans="1:486" s="15" customFormat="1" hidden="1" x14ac:dyDescent="0.25">
      <c r="A113" s="148"/>
      <c r="B113" s="350">
        <v>103</v>
      </c>
      <c r="C113" s="650"/>
      <c r="D113" s="16"/>
      <c r="E113" s="344"/>
      <c r="F113" s="344"/>
      <c r="G113" s="17"/>
      <c r="H113" s="317"/>
      <c r="I113" s="346"/>
      <c r="J113" s="341"/>
      <c r="K113" s="633"/>
      <c r="L113" s="633"/>
      <c r="M113" s="633"/>
      <c r="N113" s="633"/>
      <c r="O113" s="633"/>
      <c r="P113" s="633"/>
      <c r="Q113" s="633"/>
      <c r="R113" s="633"/>
      <c r="S113" s="633"/>
      <c r="T113" s="633"/>
      <c r="U113" s="633"/>
      <c r="V113" s="633"/>
      <c r="W113" s="633"/>
      <c r="X113" s="633"/>
      <c r="Y113" s="633">
        <f t="shared" si="3"/>
        <v>0</v>
      </c>
      <c r="Z113" s="310"/>
      <c r="AA113" s="19"/>
      <c r="AB113" s="315"/>
      <c r="AC113" s="315"/>
      <c r="AD113" s="652"/>
      <c r="AE113" s="20"/>
      <c r="AF113" s="21"/>
      <c r="AG113" s="23"/>
      <c r="AH113" s="637"/>
      <c r="AI113" s="19"/>
      <c r="AJ113" s="21"/>
      <c r="AK113" s="25"/>
      <c r="AL113" s="309"/>
      <c r="AM113" s="19"/>
      <c r="AN113" s="21"/>
      <c r="AO113" s="25"/>
      <c r="AP113" s="309"/>
      <c r="AQ113" s="19"/>
      <c r="AR113" s="21"/>
      <c r="AS113" s="25"/>
      <c r="AT113" s="638">
        <f t="shared" si="4"/>
        <v>0</v>
      </c>
      <c r="AU113" s="311">
        <f t="shared" si="0"/>
        <v>0</v>
      </c>
      <c r="AV113" s="148"/>
      <c r="AW113" s="148"/>
      <c r="AX113" s="148"/>
      <c r="AY113" s="148"/>
      <c r="AZ113" s="148"/>
      <c r="BA113" s="148"/>
      <c r="BB113" s="148"/>
      <c r="BC113" s="148"/>
      <c r="BD113" s="148"/>
      <c r="BE113" s="148"/>
      <c r="BF113" s="148"/>
      <c r="BG113" s="148"/>
      <c r="BH113" s="148"/>
      <c r="BI113" s="148"/>
      <c r="BJ113" s="148"/>
      <c r="BK113" s="148"/>
      <c r="BL113" s="148"/>
      <c r="BM113" s="148"/>
      <c r="BN113" s="148"/>
      <c r="BO113" s="148"/>
      <c r="BP113" s="148"/>
      <c r="BQ113" s="148"/>
      <c r="BR113" s="148"/>
      <c r="BS113" s="148"/>
      <c r="BT113" s="148"/>
      <c r="BU113" s="148"/>
      <c r="BV113" s="148"/>
      <c r="BW113" s="148"/>
      <c r="BX113" s="148"/>
      <c r="BY113" s="148"/>
      <c r="BZ113" s="148"/>
      <c r="CA113" s="148"/>
      <c r="CB113" s="148"/>
      <c r="CC113" s="148"/>
      <c r="CD113" s="148"/>
      <c r="CE113" s="148"/>
      <c r="CF113" s="148"/>
      <c r="CG113" s="148"/>
      <c r="CH113" s="148"/>
      <c r="CI113" s="148"/>
      <c r="CJ113" s="148"/>
      <c r="CK113" s="148"/>
      <c r="CL113" s="148"/>
      <c r="CM113" s="148"/>
      <c r="CN113" s="148"/>
      <c r="CO113" s="148"/>
      <c r="CP113" s="148"/>
      <c r="CQ113" s="148"/>
      <c r="CR113" s="148"/>
      <c r="CS113" s="148"/>
      <c r="CT113" s="148"/>
      <c r="CU113" s="148"/>
      <c r="CV113" s="148"/>
      <c r="CW113" s="148"/>
      <c r="CX113" s="148"/>
      <c r="CY113" s="148"/>
      <c r="CZ113" s="148"/>
      <c r="DA113" s="148"/>
      <c r="DB113" s="148"/>
      <c r="DC113" s="148"/>
      <c r="DD113" s="148"/>
      <c r="DE113" s="148"/>
      <c r="DF113" s="148"/>
      <c r="DG113" s="148"/>
      <c r="DH113" s="148"/>
      <c r="DI113" s="148"/>
      <c r="DJ113" s="148"/>
      <c r="DK113" s="148"/>
      <c r="DL113" s="148"/>
      <c r="DM113" s="148"/>
      <c r="DN113" s="148"/>
      <c r="DO113" s="148"/>
      <c r="DP113" s="148"/>
      <c r="DQ113" s="148"/>
      <c r="DR113" s="148"/>
      <c r="DS113" s="148"/>
      <c r="DT113" s="148"/>
      <c r="DU113" s="148"/>
      <c r="DV113" s="148"/>
      <c r="DW113" s="148"/>
      <c r="DX113" s="148"/>
      <c r="DY113" s="148"/>
      <c r="DZ113" s="148"/>
      <c r="EA113" s="148"/>
      <c r="EB113" s="148"/>
      <c r="EC113" s="148"/>
      <c r="ED113" s="148"/>
      <c r="EE113" s="148"/>
      <c r="EF113" s="148"/>
      <c r="EG113" s="148"/>
      <c r="EH113" s="148"/>
      <c r="EI113" s="148"/>
      <c r="EJ113" s="148"/>
      <c r="EK113" s="148"/>
      <c r="EL113" s="148"/>
      <c r="EM113" s="148"/>
      <c r="EN113" s="148"/>
      <c r="EO113" s="148"/>
      <c r="EP113" s="148"/>
      <c r="EQ113" s="148"/>
      <c r="ER113" s="148"/>
      <c r="ES113" s="148"/>
      <c r="ET113" s="148"/>
      <c r="EU113" s="148"/>
      <c r="EV113" s="148"/>
      <c r="EW113" s="148"/>
      <c r="EX113" s="148"/>
      <c r="EY113" s="148"/>
      <c r="EZ113" s="148"/>
      <c r="FA113" s="148"/>
      <c r="FB113" s="148"/>
      <c r="FC113" s="148"/>
      <c r="FD113" s="148"/>
      <c r="FE113" s="148"/>
      <c r="FF113" s="148"/>
      <c r="FG113" s="148"/>
      <c r="FH113" s="148"/>
      <c r="FI113" s="148"/>
      <c r="FJ113" s="148"/>
      <c r="FK113" s="148"/>
      <c r="FL113" s="148"/>
      <c r="FM113" s="148"/>
      <c r="FN113" s="148"/>
      <c r="FO113" s="148"/>
      <c r="FP113" s="148"/>
      <c r="FQ113" s="148"/>
      <c r="FR113" s="148"/>
      <c r="FS113" s="148"/>
      <c r="FT113" s="148"/>
      <c r="FU113" s="148"/>
      <c r="FV113" s="148"/>
      <c r="FW113" s="148"/>
      <c r="FX113" s="148"/>
      <c r="FY113" s="148"/>
      <c r="FZ113" s="148"/>
      <c r="GA113" s="148"/>
      <c r="GB113" s="148"/>
      <c r="GC113" s="148"/>
      <c r="GD113" s="148"/>
      <c r="GE113" s="148"/>
      <c r="GF113" s="148"/>
      <c r="GG113" s="148"/>
      <c r="GH113" s="148"/>
      <c r="GI113" s="148"/>
      <c r="GJ113" s="148"/>
      <c r="GK113" s="148"/>
      <c r="GL113" s="148"/>
      <c r="GM113" s="148"/>
      <c r="GN113" s="148"/>
      <c r="GO113" s="148"/>
      <c r="GP113" s="148"/>
      <c r="GQ113" s="148"/>
      <c r="GR113" s="148"/>
      <c r="GS113" s="148"/>
      <c r="GT113" s="148"/>
      <c r="GU113" s="148"/>
      <c r="GV113" s="148"/>
      <c r="GW113" s="148"/>
      <c r="GX113" s="148"/>
      <c r="GY113" s="148"/>
      <c r="GZ113" s="148"/>
      <c r="HA113" s="148"/>
      <c r="HB113" s="148"/>
      <c r="HC113" s="148"/>
      <c r="HD113" s="148"/>
      <c r="HE113" s="148"/>
      <c r="HF113" s="148"/>
      <c r="HG113" s="148"/>
      <c r="HH113" s="148"/>
      <c r="HI113" s="148"/>
      <c r="HJ113" s="148"/>
      <c r="HK113" s="148"/>
      <c r="HL113" s="148"/>
      <c r="HM113" s="148"/>
      <c r="HN113" s="148"/>
      <c r="HO113" s="148"/>
      <c r="HP113" s="148"/>
      <c r="HQ113" s="148"/>
      <c r="HR113" s="148"/>
      <c r="HS113" s="148"/>
      <c r="HT113" s="148"/>
      <c r="HU113" s="148"/>
      <c r="HV113" s="148"/>
      <c r="HW113" s="148"/>
      <c r="HX113" s="148"/>
      <c r="HY113" s="148"/>
      <c r="HZ113" s="148"/>
      <c r="IA113" s="148"/>
      <c r="IB113" s="148"/>
      <c r="IC113" s="148"/>
      <c r="ID113" s="148"/>
      <c r="IE113" s="148"/>
      <c r="IF113" s="148"/>
      <c r="IG113" s="148"/>
      <c r="IH113" s="148"/>
      <c r="II113" s="148"/>
      <c r="IJ113" s="148"/>
      <c r="IK113" s="148"/>
      <c r="IL113" s="148"/>
      <c r="IM113" s="148"/>
      <c r="IN113" s="148"/>
      <c r="IO113" s="148"/>
      <c r="IP113" s="148"/>
      <c r="IQ113" s="148"/>
      <c r="IR113" s="148"/>
      <c r="IS113" s="148"/>
      <c r="IT113" s="148"/>
      <c r="IU113" s="148"/>
      <c r="IV113" s="148"/>
      <c r="IW113" s="148"/>
      <c r="IX113" s="148"/>
      <c r="IY113" s="148"/>
      <c r="IZ113" s="148"/>
      <c r="JA113" s="148"/>
      <c r="JB113" s="148"/>
      <c r="JC113" s="148"/>
      <c r="JD113" s="148"/>
      <c r="JE113" s="148"/>
      <c r="JF113" s="148"/>
      <c r="JG113" s="148"/>
      <c r="JH113" s="148"/>
      <c r="JI113" s="148"/>
      <c r="JJ113" s="148"/>
      <c r="JK113" s="148"/>
      <c r="JL113" s="148"/>
      <c r="JM113" s="148"/>
      <c r="JN113" s="148"/>
      <c r="JO113" s="148"/>
      <c r="JP113" s="148"/>
      <c r="JQ113" s="148"/>
      <c r="JR113" s="148"/>
      <c r="JS113" s="148"/>
      <c r="JT113" s="148"/>
      <c r="JU113" s="148"/>
      <c r="JV113" s="148"/>
      <c r="JW113" s="148"/>
      <c r="JX113" s="148"/>
      <c r="JY113" s="148"/>
      <c r="JZ113" s="148"/>
      <c r="KA113" s="148"/>
      <c r="KB113" s="148"/>
      <c r="KC113" s="148"/>
      <c r="KD113" s="148"/>
      <c r="KE113" s="148"/>
      <c r="KF113" s="148"/>
      <c r="KG113" s="148"/>
      <c r="KH113" s="148"/>
      <c r="KI113" s="148"/>
      <c r="KJ113" s="148"/>
      <c r="KK113" s="148"/>
      <c r="KL113" s="148"/>
      <c r="KM113" s="148"/>
      <c r="KN113" s="148"/>
      <c r="KO113" s="148"/>
      <c r="KP113" s="148"/>
      <c r="KQ113" s="148"/>
      <c r="KR113" s="148"/>
      <c r="KS113" s="148"/>
      <c r="KT113" s="148"/>
      <c r="KU113" s="148"/>
      <c r="KV113" s="148"/>
      <c r="KW113" s="148"/>
      <c r="KX113" s="148"/>
      <c r="KY113" s="148"/>
      <c r="KZ113" s="148"/>
      <c r="LA113" s="148"/>
      <c r="LB113" s="148"/>
      <c r="LC113" s="148"/>
      <c r="LD113" s="148"/>
      <c r="LE113" s="148"/>
      <c r="LF113" s="148"/>
      <c r="LG113" s="148"/>
      <c r="LH113" s="148"/>
      <c r="LI113" s="148"/>
      <c r="LJ113" s="148"/>
      <c r="LK113" s="148"/>
      <c r="LL113" s="148"/>
      <c r="LM113" s="148"/>
      <c r="LN113" s="148"/>
      <c r="LO113" s="148"/>
      <c r="LP113" s="148"/>
      <c r="LQ113" s="148"/>
      <c r="LR113" s="148"/>
      <c r="LS113" s="148"/>
      <c r="LT113" s="148"/>
      <c r="LU113" s="148"/>
      <c r="LV113" s="148"/>
      <c r="LW113" s="148"/>
      <c r="LX113" s="148"/>
      <c r="LY113" s="148"/>
      <c r="LZ113" s="148"/>
      <c r="MA113" s="148"/>
      <c r="MB113" s="148"/>
      <c r="MC113" s="148"/>
      <c r="MD113" s="148"/>
      <c r="ME113" s="148"/>
      <c r="MF113" s="148"/>
      <c r="MG113" s="148"/>
      <c r="MH113" s="148"/>
      <c r="MI113" s="148"/>
      <c r="MJ113" s="148"/>
      <c r="MK113" s="148"/>
      <c r="ML113" s="148"/>
      <c r="MM113" s="148"/>
      <c r="MN113" s="148"/>
      <c r="MO113" s="148"/>
      <c r="MP113" s="148"/>
      <c r="MQ113" s="148"/>
      <c r="MR113" s="148"/>
      <c r="MS113" s="148"/>
      <c r="MT113" s="148"/>
      <c r="MU113" s="148"/>
      <c r="MV113" s="148"/>
      <c r="MW113" s="148"/>
      <c r="MX113" s="148"/>
      <c r="MY113" s="148"/>
      <c r="MZ113" s="148"/>
      <c r="NA113" s="148"/>
      <c r="NB113" s="148"/>
      <c r="NC113" s="148"/>
      <c r="ND113" s="148"/>
      <c r="NE113" s="148"/>
      <c r="NF113" s="148"/>
      <c r="NG113" s="148"/>
      <c r="NH113" s="148"/>
      <c r="NI113" s="148"/>
      <c r="NJ113" s="148"/>
      <c r="NK113" s="148"/>
      <c r="NL113" s="148"/>
      <c r="NM113" s="148"/>
      <c r="NN113" s="148"/>
      <c r="NO113" s="148"/>
      <c r="NP113" s="148"/>
      <c r="NQ113" s="148"/>
      <c r="NR113" s="148"/>
      <c r="NS113" s="148"/>
      <c r="NT113" s="148"/>
      <c r="NU113" s="148"/>
      <c r="NV113" s="148"/>
      <c r="NW113" s="148"/>
      <c r="NX113" s="148"/>
      <c r="NY113" s="148"/>
      <c r="NZ113" s="148"/>
      <c r="OA113" s="148"/>
      <c r="OB113" s="148"/>
      <c r="OC113" s="148"/>
      <c r="OD113" s="148"/>
      <c r="OE113" s="148"/>
      <c r="OF113" s="148"/>
      <c r="OG113" s="148"/>
      <c r="OH113" s="148"/>
      <c r="OI113" s="148"/>
      <c r="OJ113" s="148"/>
      <c r="OK113" s="148"/>
      <c r="OL113" s="148"/>
      <c r="OM113" s="148"/>
      <c r="ON113" s="148"/>
      <c r="OO113" s="148"/>
      <c r="OP113" s="148"/>
      <c r="OQ113" s="148"/>
      <c r="OR113" s="148"/>
      <c r="OS113" s="148"/>
      <c r="OT113" s="148"/>
      <c r="OU113" s="148"/>
      <c r="OV113" s="148"/>
      <c r="OW113" s="148"/>
      <c r="OX113" s="148"/>
      <c r="OY113" s="148"/>
      <c r="OZ113" s="148"/>
      <c r="PA113" s="148"/>
      <c r="PB113" s="148"/>
      <c r="PC113" s="148"/>
      <c r="PD113" s="148"/>
      <c r="PE113" s="148"/>
      <c r="PF113" s="148"/>
      <c r="PG113" s="148"/>
      <c r="PH113" s="148"/>
      <c r="PI113" s="148"/>
      <c r="PJ113" s="148"/>
      <c r="PK113" s="148"/>
      <c r="PL113" s="148"/>
      <c r="PM113" s="148"/>
      <c r="PN113" s="148"/>
      <c r="PO113" s="148"/>
      <c r="PP113" s="148"/>
      <c r="PQ113" s="148"/>
      <c r="PR113" s="148"/>
      <c r="PS113" s="148"/>
      <c r="PT113" s="148"/>
      <c r="PU113" s="148"/>
      <c r="PV113" s="148"/>
      <c r="PW113" s="148"/>
      <c r="PX113" s="148"/>
      <c r="PY113" s="148"/>
      <c r="PZ113" s="148"/>
      <c r="QA113" s="148"/>
      <c r="QB113" s="148"/>
      <c r="QC113" s="148"/>
      <c r="QD113" s="148"/>
      <c r="QE113" s="148"/>
      <c r="QF113" s="148"/>
      <c r="QG113" s="148"/>
      <c r="QH113" s="148"/>
      <c r="QI113" s="148"/>
      <c r="QJ113" s="148"/>
      <c r="QK113" s="148"/>
      <c r="QL113" s="148"/>
      <c r="QM113" s="148"/>
      <c r="QN113" s="148"/>
      <c r="QO113" s="148"/>
      <c r="QP113" s="148"/>
      <c r="QQ113" s="148"/>
      <c r="QR113" s="148"/>
      <c r="QS113" s="148"/>
      <c r="QT113" s="148"/>
      <c r="QU113" s="148"/>
      <c r="QV113" s="148"/>
      <c r="QW113" s="148"/>
      <c r="QX113" s="148"/>
      <c r="QY113" s="148"/>
      <c r="QZ113" s="148"/>
      <c r="RA113" s="148"/>
      <c r="RB113" s="148"/>
      <c r="RC113" s="148"/>
      <c r="RD113" s="148"/>
      <c r="RE113" s="148"/>
      <c r="RF113" s="148"/>
      <c r="RG113" s="148"/>
      <c r="RH113" s="148"/>
      <c r="RI113" s="148"/>
      <c r="RJ113" s="148"/>
      <c r="RK113" s="148"/>
      <c r="RL113" s="148"/>
      <c r="RM113" s="148"/>
      <c r="RN113" s="148"/>
      <c r="RO113" s="148"/>
      <c r="RP113" s="148"/>
      <c r="RQ113" s="148"/>
      <c r="RR113" s="148"/>
    </row>
    <row r="114" spans="1:486" s="15" customFormat="1" hidden="1" x14ac:dyDescent="0.25">
      <c r="A114" s="148"/>
      <c r="B114" s="350">
        <v>104</v>
      </c>
      <c r="C114" s="650"/>
      <c r="D114" s="16"/>
      <c r="E114" s="344"/>
      <c r="F114" s="344"/>
      <c r="G114" s="17"/>
      <c r="H114" s="317"/>
      <c r="I114" s="346"/>
      <c r="J114" s="341"/>
      <c r="K114" s="633"/>
      <c r="L114" s="633"/>
      <c r="M114" s="633"/>
      <c r="N114" s="633"/>
      <c r="O114" s="633"/>
      <c r="P114" s="633"/>
      <c r="Q114" s="633"/>
      <c r="R114" s="633"/>
      <c r="S114" s="633"/>
      <c r="T114" s="633"/>
      <c r="U114" s="633"/>
      <c r="V114" s="633"/>
      <c r="W114" s="633"/>
      <c r="X114" s="633"/>
      <c r="Y114" s="633">
        <f t="shared" si="3"/>
        <v>0</v>
      </c>
      <c r="Z114" s="310"/>
      <c r="AA114" s="19"/>
      <c r="AB114" s="315"/>
      <c r="AC114" s="315"/>
      <c r="AD114" s="652"/>
      <c r="AE114" s="20"/>
      <c r="AF114" s="21"/>
      <c r="AG114" s="23"/>
      <c r="AH114" s="637"/>
      <c r="AI114" s="19"/>
      <c r="AJ114" s="21"/>
      <c r="AK114" s="25"/>
      <c r="AL114" s="309"/>
      <c r="AM114" s="19"/>
      <c r="AN114" s="21"/>
      <c r="AO114" s="25"/>
      <c r="AP114" s="309"/>
      <c r="AQ114" s="19"/>
      <c r="AR114" s="21"/>
      <c r="AS114" s="25"/>
      <c r="AT114" s="638">
        <f t="shared" si="4"/>
        <v>0</v>
      </c>
      <c r="AU114" s="311">
        <f t="shared" si="0"/>
        <v>0</v>
      </c>
      <c r="AV114" s="148"/>
      <c r="AW114" s="148"/>
      <c r="AX114" s="148"/>
      <c r="AY114" s="148"/>
      <c r="AZ114" s="148"/>
      <c r="BA114" s="148"/>
      <c r="BB114" s="148"/>
      <c r="BC114" s="148"/>
      <c r="BD114" s="148"/>
      <c r="BE114" s="148"/>
      <c r="BF114" s="148"/>
      <c r="BG114" s="148"/>
      <c r="BH114" s="148"/>
      <c r="BI114" s="148"/>
      <c r="BJ114" s="148"/>
      <c r="BK114" s="148"/>
      <c r="BL114" s="148"/>
      <c r="BM114" s="148"/>
      <c r="BN114" s="148"/>
      <c r="BO114" s="148"/>
      <c r="BP114" s="148"/>
      <c r="BQ114" s="148"/>
      <c r="BR114" s="148"/>
      <c r="BS114" s="148"/>
      <c r="BT114" s="148"/>
      <c r="BU114" s="148"/>
      <c r="BV114" s="148"/>
      <c r="BW114" s="148"/>
      <c r="BX114" s="148"/>
      <c r="BY114" s="148"/>
      <c r="BZ114" s="148"/>
      <c r="CA114" s="148"/>
      <c r="CB114" s="148"/>
      <c r="CC114" s="148"/>
      <c r="CD114" s="148"/>
      <c r="CE114" s="148"/>
      <c r="CF114" s="148"/>
      <c r="CG114" s="148"/>
      <c r="CH114" s="148"/>
      <c r="CI114" s="148"/>
      <c r="CJ114" s="148"/>
      <c r="CK114" s="148"/>
      <c r="CL114" s="148"/>
      <c r="CM114" s="148"/>
      <c r="CN114" s="148"/>
      <c r="CO114" s="148"/>
      <c r="CP114" s="148"/>
      <c r="CQ114" s="148"/>
      <c r="CR114" s="148"/>
      <c r="CS114" s="148"/>
      <c r="CT114" s="148"/>
      <c r="CU114" s="148"/>
      <c r="CV114" s="148"/>
      <c r="CW114" s="148"/>
      <c r="CX114" s="148"/>
      <c r="CY114" s="148"/>
      <c r="CZ114" s="148"/>
      <c r="DA114" s="148"/>
      <c r="DB114" s="148"/>
      <c r="DC114" s="148"/>
      <c r="DD114" s="148"/>
      <c r="DE114" s="148"/>
      <c r="DF114" s="148"/>
      <c r="DG114" s="148"/>
      <c r="DH114" s="148"/>
      <c r="DI114" s="148"/>
      <c r="DJ114" s="148"/>
      <c r="DK114" s="148"/>
      <c r="DL114" s="148"/>
      <c r="DM114" s="148"/>
      <c r="DN114" s="148"/>
      <c r="DO114" s="148"/>
      <c r="DP114" s="148"/>
      <c r="DQ114" s="148"/>
      <c r="DR114" s="148"/>
      <c r="DS114" s="148"/>
      <c r="DT114" s="148"/>
      <c r="DU114" s="148"/>
      <c r="DV114" s="148"/>
      <c r="DW114" s="148"/>
      <c r="DX114" s="148"/>
      <c r="DY114" s="148"/>
      <c r="DZ114" s="148"/>
      <c r="EA114" s="148"/>
      <c r="EB114" s="148"/>
      <c r="EC114" s="148"/>
      <c r="ED114" s="148"/>
      <c r="EE114" s="148"/>
      <c r="EF114" s="148"/>
      <c r="EG114" s="148"/>
      <c r="EH114" s="148"/>
      <c r="EI114" s="148"/>
      <c r="EJ114" s="148"/>
      <c r="EK114" s="148"/>
      <c r="EL114" s="148"/>
      <c r="EM114" s="148"/>
      <c r="EN114" s="148"/>
      <c r="EO114" s="148"/>
      <c r="EP114" s="148"/>
      <c r="EQ114" s="148"/>
      <c r="ER114" s="148"/>
      <c r="ES114" s="148"/>
      <c r="ET114" s="148"/>
      <c r="EU114" s="148"/>
      <c r="EV114" s="148"/>
      <c r="EW114" s="148"/>
      <c r="EX114" s="148"/>
      <c r="EY114" s="148"/>
      <c r="EZ114" s="148"/>
      <c r="FA114" s="148"/>
      <c r="FB114" s="148"/>
      <c r="FC114" s="148"/>
      <c r="FD114" s="148"/>
      <c r="FE114" s="148"/>
      <c r="FF114" s="148"/>
      <c r="FG114" s="148"/>
      <c r="FH114" s="148"/>
      <c r="FI114" s="148"/>
      <c r="FJ114" s="148"/>
      <c r="FK114" s="148"/>
      <c r="FL114" s="148"/>
      <c r="FM114" s="148"/>
      <c r="FN114" s="148"/>
      <c r="FO114" s="148"/>
      <c r="FP114" s="148"/>
      <c r="FQ114" s="148"/>
      <c r="FR114" s="148"/>
      <c r="FS114" s="148"/>
      <c r="FT114" s="148"/>
      <c r="FU114" s="148"/>
      <c r="FV114" s="148"/>
      <c r="FW114" s="148"/>
      <c r="FX114" s="148"/>
      <c r="FY114" s="148"/>
      <c r="FZ114" s="148"/>
      <c r="GA114" s="148"/>
      <c r="GB114" s="148"/>
      <c r="GC114" s="148"/>
      <c r="GD114" s="148"/>
      <c r="GE114" s="148"/>
      <c r="GF114" s="148"/>
      <c r="GG114" s="148"/>
      <c r="GH114" s="148"/>
      <c r="GI114" s="148"/>
      <c r="GJ114" s="148"/>
      <c r="GK114" s="148"/>
      <c r="GL114" s="148"/>
      <c r="GM114" s="148"/>
      <c r="GN114" s="148"/>
      <c r="GO114" s="148"/>
      <c r="GP114" s="148"/>
      <c r="GQ114" s="148"/>
      <c r="GR114" s="148"/>
      <c r="GS114" s="148"/>
      <c r="GT114" s="148"/>
      <c r="GU114" s="148"/>
      <c r="GV114" s="148"/>
      <c r="GW114" s="148"/>
      <c r="GX114" s="148"/>
      <c r="GY114" s="148"/>
      <c r="GZ114" s="148"/>
      <c r="HA114" s="148"/>
      <c r="HB114" s="148"/>
      <c r="HC114" s="148"/>
      <c r="HD114" s="148"/>
      <c r="HE114" s="148"/>
      <c r="HF114" s="148"/>
      <c r="HG114" s="148"/>
      <c r="HH114" s="148"/>
      <c r="HI114" s="148"/>
      <c r="HJ114" s="148"/>
      <c r="HK114" s="148"/>
      <c r="HL114" s="148"/>
      <c r="HM114" s="148"/>
      <c r="HN114" s="148"/>
      <c r="HO114" s="148"/>
      <c r="HP114" s="148"/>
      <c r="HQ114" s="148"/>
      <c r="HR114" s="148"/>
      <c r="HS114" s="148"/>
      <c r="HT114" s="148"/>
      <c r="HU114" s="148"/>
      <c r="HV114" s="148"/>
      <c r="HW114" s="148"/>
      <c r="HX114" s="148"/>
      <c r="HY114" s="148"/>
      <c r="HZ114" s="148"/>
      <c r="IA114" s="148"/>
      <c r="IB114" s="148"/>
      <c r="IC114" s="148"/>
      <c r="ID114" s="148"/>
      <c r="IE114" s="148"/>
      <c r="IF114" s="148"/>
      <c r="IG114" s="148"/>
      <c r="IH114" s="148"/>
      <c r="II114" s="148"/>
      <c r="IJ114" s="148"/>
      <c r="IK114" s="148"/>
      <c r="IL114" s="148"/>
      <c r="IM114" s="148"/>
      <c r="IN114" s="148"/>
      <c r="IO114" s="148"/>
      <c r="IP114" s="148"/>
      <c r="IQ114" s="148"/>
      <c r="IR114" s="148"/>
      <c r="IS114" s="148"/>
      <c r="IT114" s="148"/>
      <c r="IU114" s="148"/>
      <c r="IV114" s="148"/>
      <c r="IW114" s="148"/>
      <c r="IX114" s="148"/>
      <c r="IY114" s="148"/>
      <c r="IZ114" s="148"/>
      <c r="JA114" s="148"/>
      <c r="JB114" s="148"/>
      <c r="JC114" s="148"/>
      <c r="JD114" s="148"/>
      <c r="JE114" s="148"/>
      <c r="JF114" s="148"/>
      <c r="JG114" s="148"/>
      <c r="JH114" s="148"/>
      <c r="JI114" s="148"/>
      <c r="JJ114" s="148"/>
      <c r="JK114" s="148"/>
      <c r="JL114" s="148"/>
      <c r="JM114" s="148"/>
      <c r="JN114" s="148"/>
      <c r="JO114" s="148"/>
      <c r="JP114" s="148"/>
      <c r="JQ114" s="148"/>
      <c r="JR114" s="148"/>
      <c r="JS114" s="148"/>
      <c r="JT114" s="148"/>
      <c r="JU114" s="148"/>
      <c r="JV114" s="148"/>
      <c r="JW114" s="148"/>
      <c r="JX114" s="148"/>
      <c r="JY114" s="148"/>
      <c r="JZ114" s="148"/>
      <c r="KA114" s="148"/>
      <c r="KB114" s="148"/>
      <c r="KC114" s="148"/>
      <c r="KD114" s="148"/>
      <c r="KE114" s="148"/>
      <c r="KF114" s="148"/>
      <c r="KG114" s="148"/>
      <c r="KH114" s="148"/>
      <c r="KI114" s="148"/>
      <c r="KJ114" s="148"/>
      <c r="KK114" s="148"/>
      <c r="KL114" s="148"/>
      <c r="KM114" s="148"/>
      <c r="KN114" s="148"/>
      <c r="KO114" s="148"/>
      <c r="KP114" s="148"/>
      <c r="KQ114" s="148"/>
      <c r="KR114" s="148"/>
      <c r="KS114" s="148"/>
      <c r="KT114" s="148"/>
      <c r="KU114" s="148"/>
      <c r="KV114" s="148"/>
      <c r="KW114" s="148"/>
      <c r="KX114" s="148"/>
      <c r="KY114" s="148"/>
      <c r="KZ114" s="148"/>
      <c r="LA114" s="148"/>
      <c r="LB114" s="148"/>
      <c r="LC114" s="148"/>
      <c r="LD114" s="148"/>
      <c r="LE114" s="148"/>
      <c r="LF114" s="148"/>
      <c r="LG114" s="148"/>
      <c r="LH114" s="148"/>
      <c r="LI114" s="148"/>
      <c r="LJ114" s="148"/>
      <c r="LK114" s="148"/>
      <c r="LL114" s="148"/>
      <c r="LM114" s="148"/>
      <c r="LN114" s="148"/>
      <c r="LO114" s="148"/>
      <c r="LP114" s="148"/>
      <c r="LQ114" s="148"/>
      <c r="LR114" s="148"/>
      <c r="LS114" s="148"/>
      <c r="LT114" s="148"/>
      <c r="LU114" s="148"/>
      <c r="LV114" s="148"/>
      <c r="LW114" s="148"/>
      <c r="LX114" s="148"/>
      <c r="LY114" s="148"/>
      <c r="LZ114" s="148"/>
      <c r="MA114" s="148"/>
      <c r="MB114" s="148"/>
      <c r="MC114" s="148"/>
      <c r="MD114" s="148"/>
      <c r="ME114" s="148"/>
      <c r="MF114" s="148"/>
      <c r="MG114" s="148"/>
      <c r="MH114" s="148"/>
      <c r="MI114" s="148"/>
      <c r="MJ114" s="148"/>
      <c r="MK114" s="148"/>
      <c r="ML114" s="148"/>
      <c r="MM114" s="148"/>
      <c r="MN114" s="148"/>
      <c r="MO114" s="148"/>
      <c r="MP114" s="148"/>
      <c r="MQ114" s="148"/>
      <c r="MR114" s="148"/>
      <c r="MS114" s="148"/>
      <c r="MT114" s="148"/>
      <c r="MU114" s="148"/>
      <c r="MV114" s="148"/>
      <c r="MW114" s="148"/>
      <c r="MX114" s="148"/>
      <c r="MY114" s="148"/>
      <c r="MZ114" s="148"/>
      <c r="NA114" s="148"/>
      <c r="NB114" s="148"/>
      <c r="NC114" s="148"/>
      <c r="ND114" s="148"/>
      <c r="NE114" s="148"/>
      <c r="NF114" s="148"/>
      <c r="NG114" s="148"/>
      <c r="NH114" s="148"/>
      <c r="NI114" s="148"/>
      <c r="NJ114" s="148"/>
      <c r="NK114" s="148"/>
      <c r="NL114" s="148"/>
      <c r="NM114" s="148"/>
      <c r="NN114" s="148"/>
      <c r="NO114" s="148"/>
      <c r="NP114" s="148"/>
      <c r="NQ114" s="148"/>
      <c r="NR114" s="148"/>
      <c r="NS114" s="148"/>
      <c r="NT114" s="148"/>
      <c r="NU114" s="148"/>
      <c r="NV114" s="148"/>
      <c r="NW114" s="148"/>
      <c r="NX114" s="148"/>
      <c r="NY114" s="148"/>
      <c r="NZ114" s="148"/>
      <c r="OA114" s="148"/>
      <c r="OB114" s="148"/>
      <c r="OC114" s="148"/>
      <c r="OD114" s="148"/>
      <c r="OE114" s="148"/>
      <c r="OF114" s="148"/>
      <c r="OG114" s="148"/>
      <c r="OH114" s="148"/>
      <c r="OI114" s="148"/>
      <c r="OJ114" s="148"/>
      <c r="OK114" s="148"/>
      <c r="OL114" s="148"/>
      <c r="OM114" s="148"/>
      <c r="ON114" s="148"/>
      <c r="OO114" s="148"/>
      <c r="OP114" s="148"/>
      <c r="OQ114" s="148"/>
      <c r="OR114" s="148"/>
      <c r="OS114" s="148"/>
      <c r="OT114" s="148"/>
      <c r="OU114" s="148"/>
      <c r="OV114" s="148"/>
      <c r="OW114" s="148"/>
      <c r="OX114" s="148"/>
      <c r="OY114" s="148"/>
      <c r="OZ114" s="148"/>
      <c r="PA114" s="148"/>
      <c r="PB114" s="148"/>
      <c r="PC114" s="148"/>
      <c r="PD114" s="148"/>
      <c r="PE114" s="148"/>
      <c r="PF114" s="148"/>
      <c r="PG114" s="148"/>
      <c r="PH114" s="148"/>
      <c r="PI114" s="148"/>
      <c r="PJ114" s="148"/>
      <c r="PK114" s="148"/>
      <c r="PL114" s="148"/>
      <c r="PM114" s="148"/>
      <c r="PN114" s="148"/>
      <c r="PO114" s="148"/>
      <c r="PP114" s="148"/>
      <c r="PQ114" s="148"/>
      <c r="PR114" s="148"/>
      <c r="PS114" s="148"/>
      <c r="PT114" s="148"/>
      <c r="PU114" s="148"/>
      <c r="PV114" s="148"/>
      <c r="PW114" s="148"/>
      <c r="PX114" s="148"/>
      <c r="PY114" s="148"/>
      <c r="PZ114" s="148"/>
      <c r="QA114" s="148"/>
      <c r="QB114" s="148"/>
      <c r="QC114" s="148"/>
      <c r="QD114" s="148"/>
      <c r="QE114" s="148"/>
      <c r="QF114" s="148"/>
      <c r="QG114" s="148"/>
      <c r="QH114" s="148"/>
      <c r="QI114" s="148"/>
      <c r="QJ114" s="148"/>
      <c r="QK114" s="148"/>
      <c r="QL114" s="148"/>
      <c r="QM114" s="148"/>
      <c r="QN114" s="148"/>
      <c r="QO114" s="148"/>
      <c r="QP114" s="148"/>
      <c r="QQ114" s="148"/>
      <c r="QR114" s="148"/>
      <c r="QS114" s="148"/>
      <c r="QT114" s="148"/>
      <c r="QU114" s="148"/>
      <c r="QV114" s="148"/>
      <c r="QW114" s="148"/>
      <c r="QX114" s="148"/>
      <c r="QY114" s="148"/>
      <c r="QZ114" s="148"/>
      <c r="RA114" s="148"/>
      <c r="RB114" s="148"/>
      <c r="RC114" s="148"/>
      <c r="RD114" s="148"/>
      <c r="RE114" s="148"/>
      <c r="RF114" s="148"/>
      <c r="RG114" s="148"/>
      <c r="RH114" s="148"/>
      <c r="RI114" s="148"/>
      <c r="RJ114" s="148"/>
      <c r="RK114" s="148"/>
      <c r="RL114" s="148"/>
      <c r="RM114" s="148"/>
      <c r="RN114" s="148"/>
      <c r="RO114" s="148"/>
      <c r="RP114" s="148"/>
      <c r="RQ114" s="148"/>
      <c r="RR114" s="148"/>
    </row>
    <row r="115" spans="1:486" s="15" customFormat="1" hidden="1" x14ac:dyDescent="0.25">
      <c r="A115" s="148"/>
      <c r="B115" s="350">
        <v>105</v>
      </c>
      <c r="C115" s="650"/>
      <c r="D115" s="16"/>
      <c r="E115" s="344"/>
      <c r="F115" s="344"/>
      <c r="G115" s="17"/>
      <c r="H115" s="317"/>
      <c r="I115" s="346"/>
      <c r="J115" s="341"/>
      <c r="K115" s="633"/>
      <c r="L115" s="633"/>
      <c r="M115" s="633"/>
      <c r="N115" s="633"/>
      <c r="O115" s="633"/>
      <c r="P115" s="633"/>
      <c r="Q115" s="633"/>
      <c r="R115" s="633"/>
      <c r="S115" s="633"/>
      <c r="T115" s="633"/>
      <c r="U115" s="633"/>
      <c r="V115" s="633"/>
      <c r="W115" s="633"/>
      <c r="X115" s="633"/>
      <c r="Y115" s="633">
        <f t="shared" si="3"/>
        <v>0</v>
      </c>
      <c r="Z115" s="310"/>
      <c r="AA115" s="19"/>
      <c r="AB115" s="315"/>
      <c r="AC115" s="315"/>
      <c r="AD115" s="652"/>
      <c r="AE115" s="20"/>
      <c r="AF115" s="21"/>
      <c r="AG115" s="23"/>
      <c r="AH115" s="637"/>
      <c r="AI115" s="19"/>
      <c r="AJ115" s="21"/>
      <c r="AK115" s="25"/>
      <c r="AL115" s="309"/>
      <c r="AM115" s="19"/>
      <c r="AN115" s="21"/>
      <c r="AO115" s="25"/>
      <c r="AP115" s="309"/>
      <c r="AQ115" s="19"/>
      <c r="AR115" s="21"/>
      <c r="AS115" s="25"/>
      <c r="AT115" s="638">
        <f t="shared" si="4"/>
        <v>0</v>
      </c>
      <c r="AU115" s="311">
        <f t="shared" si="0"/>
        <v>0</v>
      </c>
      <c r="AV115" s="148"/>
      <c r="AW115" s="148"/>
      <c r="AX115" s="148"/>
      <c r="AY115" s="148"/>
      <c r="AZ115" s="148"/>
      <c r="BA115" s="148"/>
      <c r="BB115" s="148"/>
      <c r="BC115" s="148"/>
      <c r="BD115" s="148"/>
      <c r="BE115" s="148"/>
      <c r="BF115" s="148"/>
      <c r="BG115" s="148"/>
      <c r="BH115" s="148"/>
      <c r="BI115" s="148"/>
      <c r="BJ115" s="148"/>
      <c r="BK115" s="148"/>
      <c r="BL115" s="148"/>
      <c r="BM115" s="148"/>
      <c r="BN115" s="148"/>
      <c r="BO115" s="148"/>
      <c r="BP115" s="148"/>
      <c r="BQ115" s="148"/>
      <c r="BR115" s="148"/>
      <c r="BS115" s="148"/>
      <c r="BT115" s="148"/>
      <c r="BU115" s="148"/>
      <c r="BV115" s="148"/>
      <c r="BW115" s="148"/>
      <c r="BX115" s="148"/>
      <c r="BY115" s="148"/>
      <c r="BZ115" s="148"/>
      <c r="CA115" s="148"/>
      <c r="CB115" s="148"/>
      <c r="CC115" s="148"/>
      <c r="CD115" s="148"/>
      <c r="CE115" s="148"/>
      <c r="CF115" s="148"/>
      <c r="CG115" s="148"/>
      <c r="CH115" s="148"/>
      <c r="CI115" s="148"/>
      <c r="CJ115" s="148"/>
      <c r="CK115" s="148"/>
      <c r="CL115" s="148"/>
      <c r="CM115" s="148"/>
      <c r="CN115" s="148"/>
      <c r="CO115" s="148"/>
      <c r="CP115" s="148"/>
      <c r="CQ115" s="148"/>
      <c r="CR115" s="148"/>
      <c r="CS115" s="148"/>
      <c r="CT115" s="148"/>
      <c r="CU115" s="148"/>
      <c r="CV115" s="148"/>
      <c r="CW115" s="148"/>
      <c r="CX115" s="148"/>
      <c r="CY115" s="148"/>
      <c r="CZ115" s="148"/>
      <c r="DA115" s="148"/>
      <c r="DB115" s="148"/>
      <c r="DC115" s="148"/>
      <c r="DD115" s="148"/>
      <c r="DE115" s="148"/>
      <c r="DF115" s="148"/>
      <c r="DG115" s="148"/>
      <c r="DH115" s="148"/>
      <c r="DI115" s="148"/>
      <c r="DJ115" s="148"/>
      <c r="DK115" s="148"/>
      <c r="DL115" s="148"/>
      <c r="DM115" s="148"/>
      <c r="DN115" s="148"/>
      <c r="DO115" s="148"/>
      <c r="DP115" s="148"/>
      <c r="DQ115" s="148"/>
      <c r="DR115" s="148"/>
      <c r="DS115" s="148"/>
      <c r="DT115" s="148"/>
      <c r="DU115" s="148"/>
      <c r="DV115" s="148"/>
      <c r="DW115" s="148"/>
      <c r="DX115" s="148"/>
      <c r="DY115" s="148"/>
      <c r="DZ115" s="148"/>
      <c r="EA115" s="148"/>
      <c r="EB115" s="148"/>
      <c r="EC115" s="148"/>
      <c r="ED115" s="148"/>
      <c r="EE115" s="148"/>
      <c r="EF115" s="148"/>
      <c r="EG115" s="148"/>
      <c r="EH115" s="148"/>
      <c r="EI115" s="148"/>
      <c r="EJ115" s="148"/>
      <c r="EK115" s="148"/>
      <c r="EL115" s="148"/>
      <c r="EM115" s="148"/>
      <c r="EN115" s="148"/>
      <c r="EO115" s="148"/>
      <c r="EP115" s="148"/>
      <c r="EQ115" s="148"/>
      <c r="ER115" s="148"/>
      <c r="ES115" s="148"/>
      <c r="ET115" s="148"/>
      <c r="EU115" s="148"/>
      <c r="EV115" s="148"/>
      <c r="EW115" s="148"/>
      <c r="EX115" s="148"/>
      <c r="EY115" s="148"/>
      <c r="EZ115" s="148"/>
      <c r="FA115" s="148"/>
      <c r="FB115" s="148"/>
      <c r="FC115" s="148"/>
      <c r="FD115" s="148"/>
      <c r="FE115" s="148"/>
      <c r="FF115" s="148"/>
      <c r="FG115" s="148"/>
      <c r="FH115" s="148"/>
      <c r="FI115" s="148"/>
      <c r="FJ115" s="148"/>
      <c r="FK115" s="148"/>
      <c r="FL115" s="148"/>
      <c r="FM115" s="148"/>
      <c r="FN115" s="148"/>
      <c r="FO115" s="148"/>
      <c r="FP115" s="148"/>
      <c r="FQ115" s="148"/>
      <c r="FR115" s="148"/>
      <c r="FS115" s="148"/>
      <c r="FT115" s="148"/>
      <c r="FU115" s="148"/>
      <c r="FV115" s="148"/>
      <c r="FW115" s="148"/>
      <c r="FX115" s="148"/>
      <c r="FY115" s="148"/>
      <c r="FZ115" s="148"/>
      <c r="GA115" s="148"/>
      <c r="GB115" s="148"/>
      <c r="GC115" s="148"/>
      <c r="GD115" s="148"/>
      <c r="GE115" s="148"/>
      <c r="GF115" s="148"/>
      <c r="GG115" s="148"/>
      <c r="GH115" s="148"/>
      <c r="GI115" s="148"/>
      <c r="GJ115" s="148"/>
      <c r="GK115" s="148"/>
      <c r="GL115" s="148"/>
      <c r="GM115" s="148"/>
      <c r="GN115" s="148"/>
      <c r="GO115" s="148"/>
      <c r="GP115" s="148"/>
      <c r="GQ115" s="148"/>
      <c r="GR115" s="148"/>
      <c r="GS115" s="148"/>
      <c r="GT115" s="148"/>
      <c r="GU115" s="148"/>
      <c r="GV115" s="148"/>
      <c r="GW115" s="148"/>
      <c r="GX115" s="148"/>
      <c r="GY115" s="148"/>
      <c r="GZ115" s="148"/>
      <c r="HA115" s="148"/>
      <c r="HB115" s="148"/>
      <c r="HC115" s="148"/>
      <c r="HD115" s="148"/>
      <c r="HE115" s="148"/>
      <c r="HF115" s="148"/>
      <c r="HG115" s="148"/>
      <c r="HH115" s="148"/>
      <c r="HI115" s="148"/>
      <c r="HJ115" s="148"/>
      <c r="HK115" s="148"/>
      <c r="HL115" s="148"/>
      <c r="HM115" s="148"/>
      <c r="HN115" s="148"/>
      <c r="HO115" s="148"/>
      <c r="HP115" s="148"/>
      <c r="HQ115" s="148"/>
      <c r="HR115" s="148"/>
      <c r="HS115" s="148"/>
      <c r="HT115" s="148"/>
      <c r="HU115" s="148"/>
      <c r="HV115" s="148"/>
      <c r="HW115" s="148"/>
      <c r="HX115" s="148"/>
      <c r="HY115" s="148"/>
      <c r="HZ115" s="148"/>
      <c r="IA115" s="148"/>
      <c r="IB115" s="148"/>
      <c r="IC115" s="148"/>
      <c r="ID115" s="148"/>
      <c r="IE115" s="148"/>
      <c r="IF115" s="148"/>
      <c r="IG115" s="148"/>
      <c r="IH115" s="148"/>
      <c r="II115" s="148"/>
      <c r="IJ115" s="148"/>
      <c r="IK115" s="148"/>
      <c r="IL115" s="148"/>
      <c r="IM115" s="148"/>
      <c r="IN115" s="148"/>
      <c r="IO115" s="148"/>
      <c r="IP115" s="148"/>
      <c r="IQ115" s="148"/>
      <c r="IR115" s="148"/>
      <c r="IS115" s="148"/>
      <c r="IT115" s="148"/>
      <c r="IU115" s="148"/>
      <c r="IV115" s="148"/>
      <c r="IW115" s="148"/>
      <c r="IX115" s="148"/>
      <c r="IY115" s="148"/>
      <c r="IZ115" s="148"/>
      <c r="JA115" s="148"/>
      <c r="JB115" s="148"/>
      <c r="JC115" s="148"/>
      <c r="JD115" s="148"/>
      <c r="JE115" s="148"/>
      <c r="JF115" s="148"/>
      <c r="JG115" s="148"/>
      <c r="JH115" s="148"/>
      <c r="JI115" s="148"/>
      <c r="JJ115" s="148"/>
      <c r="JK115" s="148"/>
      <c r="JL115" s="148"/>
      <c r="JM115" s="148"/>
      <c r="JN115" s="148"/>
      <c r="JO115" s="148"/>
      <c r="JP115" s="148"/>
      <c r="JQ115" s="148"/>
      <c r="JR115" s="148"/>
      <c r="JS115" s="148"/>
      <c r="JT115" s="148"/>
      <c r="JU115" s="148"/>
      <c r="JV115" s="148"/>
      <c r="JW115" s="148"/>
      <c r="JX115" s="148"/>
      <c r="JY115" s="148"/>
      <c r="JZ115" s="148"/>
      <c r="KA115" s="148"/>
      <c r="KB115" s="148"/>
      <c r="KC115" s="148"/>
      <c r="KD115" s="148"/>
      <c r="KE115" s="148"/>
      <c r="KF115" s="148"/>
      <c r="KG115" s="148"/>
      <c r="KH115" s="148"/>
      <c r="KI115" s="148"/>
      <c r="KJ115" s="148"/>
      <c r="KK115" s="148"/>
      <c r="KL115" s="148"/>
      <c r="KM115" s="148"/>
      <c r="KN115" s="148"/>
      <c r="KO115" s="148"/>
      <c r="KP115" s="148"/>
      <c r="KQ115" s="148"/>
      <c r="KR115" s="148"/>
      <c r="KS115" s="148"/>
      <c r="KT115" s="148"/>
      <c r="KU115" s="148"/>
      <c r="KV115" s="148"/>
      <c r="KW115" s="148"/>
      <c r="KX115" s="148"/>
      <c r="KY115" s="148"/>
      <c r="KZ115" s="148"/>
      <c r="LA115" s="148"/>
      <c r="LB115" s="148"/>
      <c r="LC115" s="148"/>
      <c r="LD115" s="148"/>
      <c r="LE115" s="148"/>
      <c r="LF115" s="148"/>
      <c r="LG115" s="148"/>
      <c r="LH115" s="148"/>
      <c r="LI115" s="148"/>
      <c r="LJ115" s="148"/>
      <c r="LK115" s="148"/>
      <c r="LL115" s="148"/>
      <c r="LM115" s="148"/>
      <c r="LN115" s="148"/>
      <c r="LO115" s="148"/>
      <c r="LP115" s="148"/>
      <c r="LQ115" s="148"/>
      <c r="LR115" s="148"/>
      <c r="LS115" s="148"/>
      <c r="LT115" s="148"/>
      <c r="LU115" s="148"/>
      <c r="LV115" s="148"/>
      <c r="LW115" s="148"/>
      <c r="LX115" s="148"/>
      <c r="LY115" s="148"/>
      <c r="LZ115" s="148"/>
      <c r="MA115" s="148"/>
      <c r="MB115" s="148"/>
      <c r="MC115" s="148"/>
      <c r="MD115" s="148"/>
      <c r="ME115" s="148"/>
      <c r="MF115" s="148"/>
      <c r="MG115" s="148"/>
      <c r="MH115" s="148"/>
      <c r="MI115" s="148"/>
      <c r="MJ115" s="148"/>
      <c r="MK115" s="148"/>
      <c r="ML115" s="148"/>
      <c r="MM115" s="148"/>
      <c r="MN115" s="148"/>
      <c r="MO115" s="148"/>
      <c r="MP115" s="148"/>
      <c r="MQ115" s="148"/>
      <c r="MR115" s="148"/>
      <c r="MS115" s="148"/>
      <c r="MT115" s="148"/>
      <c r="MU115" s="148"/>
      <c r="MV115" s="148"/>
      <c r="MW115" s="148"/>
      <c r="MX115" s="148"/>
      <c r="MY115" s="148"/>
      <c r="MZ115" s="148"/>
      <c r="NA115" s="148"/>
      <c r="NB115" s="148"/>
      <c r="NC115" s="148"/>
      <c r="ND115" s="148"/>
      <c r="NE115" s="148"/>
      <c r="NF115" s="148"/>
      <c r="NG115" s="148"/>
      <c r="NH115" s="148"/>
      <c r="NI115" s="148"/>
      <c r="NJ115" s="148"/>
      <c r="NK115" s="148"/>
      <c r="NL115" s="148"/>
      <c r="NM115" s="148"/>
      <c r="NN115" s="148"/>
      <c r="NO115" s="148"/>
      <c r="NP115" s="148"/>
      <c r="NQ115" s="148"/>
      <c r="NR115" s="148"/>
      <c r="NS115" s="148"/>
      <c r="NT115" s="148"/>
      <c r="NU115" s="148"/>
      <c r="NV115" s="148"/>
      <c r="NW115" s="148"/>
      <c r="NX115" s="148"/>
      <c r="NY115" s="148"/>
      <c r="NZ115" s="148"/>
      <c r="OA115" s="148"/>
      <c r="OB115" s="148"/>
      <c r="OC115" s="148"/>
      <c r="OD115" s="148"/>
      <c r="OE115" s="148"/>
      <c r="OF115" s="148"/>
      <c r="OG115" s="148"/>
      <c r="OH115" s="148"/>
      <c r="OI115" s="148"/>
      <c r="OJ115" s="148"/>
      <c r="OK115" s="148"/>
      <c r="OL115" s="148"/>
      <c r="OM115" s="148"/>
      <c r="ON115" s="148"/>
      <c r="OO115" s="148"/>
      <c r="OP115" s="148"/>
      <c r="OQ115" s="148"/>
      <c r="OR115" s="148"/>
      <c r="OS115" s="148"/>
      <c r="OT115" s="148"/>
      <c r="OU115" s="148"/>
      <c r="OV115" s="148"/>
      <c r="OW115" s="148"/>
      <c r="OX115" s="148"/>
      <c r="OY115" s="148"/>
      <c r="OZ115" s="148"/>
      <c r="PA115" s="148"/>
      <c r="PB115" s="148"/>
      <c r="PC115" s="148"/>
      <c r="PD115" s="148"/>
      <c r="PE115" s="148"/>
      <c r="PF115" s="148"/>
      <c r="PG115" s="148"/>
      <c r="PH115" s="148"/>
      <c r="PI115" s="148"/>
      <c r="PJ115" s="148"/>
      <c r="PK115" s="148"/>
      <c r="PL115" s="148"/>
      <c r="PM115" s="148"/>
      <c r="PN115" s="148"/>
      <c r="PO115" s="148"/>
      <c r="PP115" s="148"/>
      <c r="PQ115" s="148"/>
      <c r="PR115" s="148"/>
      <c r="PS115" s="148"/>
      <c r="PT115" s="148"/>
      <c r="PU115" s="148"/>
      <c r="PV115" s="148"/>
      <c r="PW115" s="148"/>
      <c r="PX115" s="148"/>
      <c r="PY115" s="148"/>
      <c r="PZ115" s="148"/>
      <c r="QA115" s="148"/>
      <c r="QB115" s="148"/>
      <c r="QC115" s="148"/>
      <c r="QD115" s="148"/>
      <c r="QE115" s="148"/>
      <c r="QF115" s="148"/>
      <c r="QG115" s="148"/>
      <c r="QH115" s="148"/>
      <c r="QI115" s="148"/>
      <c r="QJ115" s="148"/>
      <c r="QK115" s="148"/>
      <c r="QL115" s="148"/>
      <c r="QM115" s="148"/>
      <c r="QN115" s="148"/>
      <c r="QO115" s="148"/>
      <c r="QP115" s="148"/>
      <c r="QQ115" s="148"/>
      <c r="QR115" s="148"/>
      <c r="QS115" s="148"/>
      <c r="QT115" s="148"/>
      <c r="QU115" s="148"/>
      <c r="QV115" s="148"/>
      <c r="QW115" s="148"/>
      <c r="QX115" s="148"/>
      <c r="QY115" s="148"/>
      <c r="QZ115" s="148"/>
      <c r="RA115" s="148"/>
      <c r="RB115" s="148"/>
      <c r="RC115" s="148"/>
      <c r="RD115" s="148"/>
      <c r="RE115" s="148"/>
      <c r="RF115" s="148"/>
      <c r="RG115" s="148"/>
      <c r="RH115" s="148"/>
      <c r="RI115" s="148"/>
      <c r="RJ115" s="148"/>
      <c r="RK115" s="148"/>
      <c r="RL115" s="148"/>
      <c r="RM115" s="148"/>
      <c r="RN115" s="148"/>
      <c r="RO115" s="148"/>
      <c r="RP115" s="148"/>
      <c r="RQ115" s="148"/>
      <c r="RR115" s="148"/>
    </row>
    <row r="116" spans="1:486" s="15" customFormat="1" hidden="1" x14ac:dyDescent="0.25">
      <c r="A116" s="148"/>
      <c r="B116" s="350">
        <v>106</v>
      </c>
      <c r="C116" s="650"/>
      <c r="D116" s="16"/>
      <c r="E116" s="344"/>
      <c r="F116" s="344"/>
      <c r="G116" s="17"/>
      <c r="H116" s="317"/>
      <c r="I116" s="346"/>
      <c r="J116" s="341"/>
      <c r="K116" s="633"/>
      <c r="L116" s="633"/>
      <c r="M116" s="633"/>
      <c r="N116" s="633"/>
      <c r="O116" s="633"/>
      <c r="P116" s="633"/>
      <c r="Q116" s="633"/>
      <c r="R116" s="633"/>
      <c r="S116" s="633"/>
      <c r="T116" s="633"/>
      <c r="U116" s="633"/>
      <c r="V116" s="633"/>
      <c r="W116" s="633"/>
      <c r="X116" s="633"/>
      <c r="Y116" s="633">
        <f t="shared" si="3"/>
        <v>0</v>
      </c>
      <c r="Z116" s="310"/>
      <c r="AA116" s="19"/>
      <c r="AB116" s="21"/>
      <c r="AC116" s="23"/>
      <c r="AD116" s="652"/>
      <c r="AE116" s="20"/>
      <c r="AF116" s="21"/>
      <c r="AG116" s="23"/>
      <c r="AH116" s="637"/>
      <c r="AI116" s="19"/>
      <c r="AJ116" s="21"/>
      <c r="AK116" s="25"/>
      <c r="AL116" s="309"/>
      <c r="AM116" s="19"/>
      <c r="AN116" s="21"/>
      <c r="AO116" s="25"/>
      <c r="AP116" s="309"/>
      <c r="AQ116" s="19"/>
      <c r="AR116" s="21"/>
      <c r="AS116" s="25"/>
      <c r="AT116" s="638">
        <f t="shared" si="4"/>
        <v>0</v>
      </c>
      <c r="AU116" s="311">
        <f t="shared" si="0"/>
        <v>0</v>
      </c>
      <c r="AV116" s="148"/>
      <c r="AW116" s="148"/>
      <c r="AX116" s="148"/>
      <c r="AY116" s="148"/>
      <c r="AZ116" s="148"/>
      <c r="BA116" s="148"/>
      <c r="BB116" s="148"/>
      <c r="BC116" s="148"/>
      <c r="BD116" s="148"/>
      <c r="BE116" s="148"/>
      <c r="BF116" s="148"/>
      <c r="BG116" s="148"/>
      <c r="BH116" s="148"/>
      <c r="BI116" s="148"/>
      <c r="BJ116" s="148"/>
      <c r="BK116" s="148"/>
      <c r="BL116" s="148"/>
      <c r="BM116" s="148"/>
      <c r="BN116" s="148"/>
      <c r="BO116" s="148"/>
      <c r="BP116" s="148"/>
      <c r="BQ116" s="148"/>
      <c r="BR116" s="148"/>
      <c r="BS116" s="148"/>
      <c r="BT116" s="148"/>
      <c r="BU116" s="148"/>
      <c r="BV116" s="148"/>
      <c r="BW116" s="148"/>
      <c r="BX116" s="148"/>
      <c r="BY116" s="148"/>
      <c r="BZ116" s="148"/>
      <c r="CA116" s="148"/>
      <c r="CB116" s="148"/>
      <c r="CC116" s="148"/>
      <c r="CD116" s="148"/>
      <c r="CE116" s="148"/>
      <c r="CF116" s="148"/>
      <c r="CG116" s="148"/>
      <c r="CH116" s="148"/>
      <c r="CI116" s="148"/>
      <c r="CJ116" s="148"/>
      <c r="CK116" s="148"/>
      <c r="CL116" s="148"/>
      <c r="CM116" s="148"/>
      <c r="CN116" s="148"/>
      <c r="CO116" s="148"/>
      <c r="CP116" s="148"/>
      <c r="CQ116" s="148"/>
      <c r="CR116" s="148"/>
      <c r="CS116" s="148"/>
      <c r="CT116" s="148"/>
      <c r="CU116" s="148"/>
      <c r="CV116" s="148"/>
      <c r="CW116" s="148"/>
      <c r="CX116" s="148"/>
      <c r="CY116" s="148"/>
      <c r="CZ116" s="148"/>
      <c r="DA116" s="148"/>
      <c r="DB116" s="148"/>
      <c r="DC116" s="148"/>
      <c r="DD116" s="148"/>
      <c r="DE116" s="148"/>
      <c r="DF116" s="148"/>
      <c r="DG116" s="148"/>
      <c r="DH116" s="148"/>
      <c r="DI116" s="148"/>
      <c r="DJ116" s="148"/>
      <c r="DK116" s="148"/>
      <c r="DL116" s="148"/>
      <c r="DM116" s="148"/>
      <c r="DN116" s="148"/>
      <c r="DO116" s="148"/>
      <c r="DP116" s="148"/>
      <c r="DQ116" s="148"/>
      <c r="DR116" s="148"/>
      <c r="DS116" s="148"/>
      <c r="DT116" s="148"/>
      <c r="DU116" s="148"/>
      <c r="DV116" s="148"/>
      <c r="DW116" s="148"/>
      <c r="DX116" s="148"/>
      <c r="DY116" s="148"/>
      <c r="DZ116" s="148"/>
      <c r="EA116" s="148"/>
      <c r="EB116" s="148"/>
      <c r="EC116" s="148"/>
      <c r="ED116" s="148"/>
      <c r="EE116" s="148"/>
      <c r="EF116" s="148"/>
      <c r="EG116" s="148"/>
      <c r="EH116" s="148"/>
      <c r="EI116" s="148"/>
      <c r="EJ116" s="148"/>
      <c r="EK116" s="148"/>
      <c r="EL116" s="148"/>
      <c r="EM116" s="148"/>
      <c r="EN116" s="148"/>
      <c r="EO116" s="148"/>
      <c r="EP116" s="148"/>
      <c r="EQ116" s="148"/>
      <c r="ER116" s="148"/>
      <c r="ES116" s="148"/>
      <c r="ET116" s="148"/>
      <c r="EU116" s="148"/>
      <c r="EV116" s="148"/>
      <c r="EW116" s="148"/>
      <c r="EX116" s="148"/>
      <c r="EY116" s="148"/>
      <c r="EZ116" s="148"/>
      <c r="FA116" s="148"/>
      <c r="FB116" s="148"/>
      <c r="FC116" s="148"/>
      <c r="FD116" s="148"/>
      <c r="FE116" s="148"/>
      <c r="FF116" s="148"/>
      <c r="FG116" s="148"/>
      <c r="FH116" s="148"/>
      <c r="FI116" s="148"/>
      <c r="FJ116" s="148"/>
      <c r="FK116" s="148"/>
      <c r="FL116" s="148"/>
      <c r="FM116" s="148"/>
      <c r="FN116" s="148"/>
      <c r="FO116" s="148"/>
      <c r="FP116" s="148"/>
      <c r="FQ116" s="148"/>
      <c r="FR116" s="148"/>
      <c r="FS116" s="148"/>
      <c r="FT116" s="148"/>
      <c r="FU116" s="148"/>
      <c r="FV116" s="148"/>
      <c r="FW116" s="148"/>
      <c r="FX116" s="148"/>
      <c r="FY116" s="148"/>
      <c r="FZ116" s="148"/>
      <c r="GA116" s="148"/>
      <c r="GB116" s="148"/>
      <c r="GC116" s="148"/>
      <c r="GD116" s="148"/>
      <c r="GE116" s="148"/>
      <c r="GF116" s="148"/>
      <c r="GG116" s="148"/>
      <c r="GH116" s="148"/>
      <c r="GI116" s="148"/>
      <c r="GJ116" s="148"/>
      <c r="GK116" s="148"/>
      <c r="GL116" s="148"/>
      <c r="GM116" s="148"/>
      <c r="GN116" s="148"/>
      <c r="GO116" s="148"/>
      <c r="GP116" s="148"/>
      <c r="GQ116" s="148"/>
      <c r="GR116" s="148"/>
      <c r="GS116" s="148"/>
      <c r="GT116" s="148"/>
      <c r="GU116" s="148"/>
      <c r="GV116" s="148"/>
      <c r="GW116" s="148"/>
      <c r="GX116" s="148"/>
      <c r="GY116" s="148"/>
      <c r="GZ116" s="148"/>
      <c r="HA116" s="148"/>
      <c r="HB116" s="148"/>
      <c r="HC116" s="148"/>
      <c r="HD116" s="148"/>
      <c r="HE116" s="148"/>
      <c r="HF116" s="148"/>
      <c r="HG116" s="148"/>
      <c r="HH116" s="148"/>
      <c r="HI116" s="148"/>
      <c r="HJ116" s="148"/>
      <c r="HK116" s="148"/>
      <c r="HL116" s="148"/>
      <c r="HM116" s="148"/>
      <c r="HN116" s="148"/>
      <c r="HO116" s="148"/>
      <c r="HP116" s="148"/>
      <c r="HQ116" s="148"/>
      <c r="HR116" s="148"/>
      <c r="HS116" s="148"/>
      <c r="HT116" s="148"/>
      <c r="HU116" s="148"/>
      <c r="HV116" s="148"/>
      <c r="HW116" s="148"/>
      <c r="HX116" s="148"/>
      <c r="HY116" s="148"/>
      <c r="HZ116" s="148"/>
      <c r="IA116" s="148"/>
      <c r="IB116" s="148"/>
      <c r="IC116" s="148"/>
      <c r="ID116" s="148"/>
      <c r="IE116" s="148"/>
      <c r="IF116" s="148"/>
      <c r="IG116" s="148"/>
      <c r="IH116" s="148"/>
      <c r="II116" s="148"/>
      <c r="IJ116" s="148"/>
      <c r="IK116" s="148"/>
      <c r="IL116" s="148"/>
      <c r="IM116" s="148"/>
      <c r="IN116" s="148"/>
      <c r="IO116" s="148"/>
      <c r="IP116" s="148"/>
      <c r="IQ116" s="148"/>
      <c r="IR116" s="148"/>
      <c r="IS116" s="148"/>
      <c r="IT116" s="148"/>
      <c r="IU116" s="148"/>
      <c r="IV116" s="148"/>
      <c r="IW116" s="148"/>
      <c r="IX116" s="148"/>
      <c r="IY116" s="148"/>
      <c r="IZ116" s="148"/>
      <c r="JA116" s="148"/>
      <c r="JB116" s="148"/>
      <c r="JC116" s="148"/>
      <c r="JD116" s="148"/>
      <c r="JE116" s="148"/>
      <c r="JF116" s="148"/>
      <c r="JG116" s="148"/>
      <c r="JH116" s="148"/>
      <c r="JI116" s="148"/>
      <c r="JJ116" s="148"/>
      <c r="JK116" s="148"/>
      <c r="JL116" s="148"/>
      <c r="JM116" s="148"/>
      <c r="JN116" s="148"/>
      <c r="JO116" s="148"/>
      <c r="JP116" s="148"/>
      <c r="JQ116" s="148"/>
      <c r="JR116" s="148"/>
      <c r="JS116" s="148"/>
      <c r="JT116" s="148"/>
      <c r="JU116" s="148"/>
      <c r="JV116" s="148"/>
      <c r="JW116" s="148"/>
      <c r="JX116" s="148"/>
      <c r="JY116" s="148"/>
      <c r="JZ116" s="148"/>
      <c r="KA116" s="148"/>
      <c r="KB116" s="148"/>
      <c r="KC116" s="148"/>
      <c r="KD116" s="148"/>
      <c r="KE116" s="148"/>
      <c r="KF116" s="148"/>
      <c r="KG116" s="148"/>
      <c r="KH116" s="148"/>
      <c r="KI116" s="148"/>
      <c r="KJ116" s="148"/>
      <c r="KK116" s="148"/>
      <c r="KL116" s="148"/>
      <c r="KM116" s="148"/>
      <c r="KN116" s="148"/>
      <c r="KO116" s="148"/>
      <c r="KP116" s="148"/>
      <c r="KQ116" s="148"/>
      <c r="KR116" s="148"/>
      <c r="KS116" s="148"/>
      <c r="KT116" s="148"/>
      <c r="KU116" s="148"/>
      <c r="KV116" s="148"/>
      <c r="KW116" s="148"/>
      <c r="KX116" s="148"/>
      <c r="KY116" s="148"/>
      <c r="KZ116" s="148"/>
      <c r="LA116" s="148"/>
      <c r="LB116" s="148"/>
      <c r="LC116" s="148"/>
      <c r="LD116" s="148"/>
      <c r="LE116" s="148"/>
      <c r="LF116" s="148"/>
      <c r="LG116" s="148"/>
      <c r="LH116" s="148"/>
      <c r="LI116" s="148"/>
      <c r="LJ116" s="148"/>
      <c r="LK116" s="148"/>
      <c r="LL116" s="148"/>
      <c r="LM116" s="148"/>
      <c r="LN116" s="148"/>
      <c r="LO116" s="148"/>
      <c r="LP116" s="148"/>
      <c r="LQ116" s="148"/>
      <c r="LR116" s="148"/>
      <c r="LS116" s="148"/>
      <c r="LT116" s="148"/>
      <c r="LU116" s="148"/>
      <c r="LV116" s="148"/>
      <c r="LW116" s="148"/>
      <c r="LX116" s="148"/>
      <c r="LY116" s="148"/>
      <c r="LZ116" s="148"/>
      <c r="MA116" s="148"/>
      <c r="MB116" s="148"/>
      <c r="MC116" s="148"/>
      <c r="MD116" s="148"/>
      <c r="ME116" s="148"/>
      <c r="MF116" s="148"/>
      <c r="MG116" s="148"/>
      <c r="MH116" s="148"/>
      <c r="MI116" s="148"/>
      <c r="MJ116" s="148"/>
      <c r="MK116" s="148"/>
      <c r="ML116" s="148"/>
      <c r="MM116" s="148"/>
      <c r="MN116" s="148"/>
      <c r="MO116" s="148"/>
      <c r="MP116" s="148"/>
      <c r="MQ116" s="148"/>
      <c r="MR116" s="148"/>
      <c r="MS116" s="148"/>
      <c r="MT116" s="148"/>
      <c r="MU116" s="148"/>
      <c r="MV116" s="148"/>
      <c r="MW116" s="148"/>
      <c r="MX116" s="148"/>
      <c r="MY116" s="148"/>
      <c r="MZ116" s="148"/>
      <c r="NA116" s="148"/>
      <c r="NB116" s="148"/>
      <c r="NC116" s="148"/>
      <c r="ND116" s="148"/>
      <c r="NE116" s="148"/>
      <c r="NF116" s="148"/>
      <c r="NG116" s="148"/>
      <c r="NH116" s="148"/>
      <c r="NI116" s="148"/>
      <c r="NJ116" s="148"/>
      <c r="NK116" s="148"/>
      <c r="NL116" s="148"/>
      <c r="NM116" s="148"/>
      <c r="NN116" s="148"/>
      <c r="NO116" s="148"/>
      <c r="NP116" s="148"/>
      <c r="NQ116" s="148"/>
      <c r="NR116" s="148"/>
      <c r="NS116" s="148"/>
      <c r="NT116" s="148"/>
      <c r="NU116" s="148"/>
      <c r="NV116" s="148"/>
      <c r="NW116" s="148"/>
      <c r="NX116" s="148"/>
      <c r="NY116" s="148"/>
      <c r="NZ116" s="148"/>
      <c r="OA116" s="148"/>
      <c r="OB116" s="148"/>
      <c r="OC116" s="148"/>
      <c r="OD116" s="148"/>
      <c r="OE116" s="148"/>
      <c r="OF116" s="148"/>
      <c r="OG116" s="148"/>
      <c r="OH116" s="148"/>
      <c r="OI116" s="148"/>
      <c r="OJ116" s="148"/>
      <c r="OK116" s="148"/>
      <c r="OL116" s="148"/>
      <c r="OM116" s="148"/>
      <c r="ON116" s="148"/>
      <c r="OO116" s="148"/>
      <c r="OP116" s="148"/>
      <c r="OQ116" s="148"/>
      <c r="OR116" s="148"/>
      <c r="OS116" s="148"/>
      <c r="OT116" s="148"/>
      <c r="OU116" s="148"/>
      <c r="OV116" s="148"/>
      <c r="OW116" s="148"/>
      <c r="OX116" s="148"/>
      <c r="OY116" s="148"/>
      <c r="OZ116" s="148"/>
      <c r="PA116" s="148"/>
      <c r="PB116" s="148"/>
      <c r="PC116" s="148"/>
      <c r="PD116" s="148"/>
      <c r="PE116" s="148"/>
      <c r="PF116" s="148"/>
      <c r="PG116" s="148"/>
      <c r="PH116" s="148"/>
      <c r="PI116" s="148"/>
      <c r="PJ116" s="148"/>
      <c r="PK116" s="148"/>
      <c r="PL116" s="148"/>
      <c r="PM116" s="148"/>
      <c r="PN116" s="148"/>
      <c r="PO116" s="148"/>
      <c r="PP116" s="148"/>
      <c r="PQ116" s="148"/>
      <c r="PR116" s="148"/>
      <c r="PS116" s="148"/>
      <c r="PT116" s="148"/>
      <c r="PU116" s="148"/>
      <c r="PV116" s="148"/>
      <c r="PW116" s="148"/>
      <c r="PX116" s="148"/>
      <c r="PY116" s="148"/>
      <c r="PZ116" s="148"/>
      <c r="QA116" s="148"/>
      <c r="QB116" s="148"/>
      <c r="QC116" s="148"/>
      <c r="QD116" s="148"/>
      <c r="QE116" s="148"/>
      <c r="QF116" s="148"/>
      <c r="QG116" s="148"/>
      <c r="QH116" s="148"/>
      <c r="QI116" s="148"/>
      <c r="QJ116" s="148"/>
      <c r="QK116" s="148"/>
      <c r="QL116" s="148"/>
      <c r="QM116" s="148"/>
      <c r="QN116" s="148"/>
      <c r="QO116" s="148"/>
      <c r="QP116" s="148"/>
      <c r="QQ116" s="148"/>
      <c r="QR116" s="148"/>
      <c r="QS116" s="148"/>
      <c r="QT116" s="148"/>
      <c r="QU116" s="148"/>
      <c r="QV116" s="148"/>
      <c r="QW116" s="148"/>
      <c r="QX116" s="148"/>
      <c r="QY116" s="148"/>
      <c r="QZ116" s="148"/>
      <c r="RA116" s="148"/>
      <c r="RB116" s="148"/>
      <c r="RC116" s="148"/>
      <c r="RD116" s="148"/>
      <c r="RE116" s="148"/>
      <c r="RF116" s="148"/>
      <c r="RG116" s="148"/>
      <c r="RH116" s="148"/>
      <c r="RI116" s="148"/>
      <c r="RJ116" s="148"/>
      <c r="RK116" s="148"/>
      <c r="RL116" s="148"/>
      <c r="RM116" s="148"/>
      <c r="RN116" s="148"/>
      <c r="RO116" s="148"/>
      <c r="RP116" s="148"/>
      <c r="RQ116" s="148"/>
      <c r="RR116" s="148"/>
    </row>
    <row r="117" spans="1:486" s="15" customFormat="1" hidden="1" x14ac:dyDescent="0.25">
      <c r="A117" s="148"/>
      <c r="B117" s="350">
        <v>107</v>
      </c>
      <c r="C117" s="650"/>
      <c r="D117" s="16"/>
      <c r="E117" s="344"/>
      <c r="F117" s="344"/>
      <c r="G117" s="17"/>
      <c r="H117" s="317"/>
      <c r="I117" s="346"/>
      <c r="J117" s="341"/>
      <c r="K117" s="633"/>
      <c r="L117" s="633"/>
      <c r="M117" s="633"/>
      <c r="N117" s="633"/>
      <c r="O117" s="633"/>
      <c r="P117" s="633"/>
      <c r="Q117" s="633"/>
      <c r="R117" s="633"/>
      <c r="S117" s="633"/>
      <c r="T117" s="633"/>
      <c r="U117" s="633"/>
      <c r="V117" s="633"/>
      <c r="W117" s="633"/>
      <c r="X117" s="633"/>
      <c r="Y117" s="633">
        <f t="shared" si="3"/>
        <v>0</v>
      </c>
      <c r="Z117" s="310"/>
      <c r="AA117" s="19"/>
      <c r="AB117" s="21"/>
      <c r="AC117" s="23"/>
      <c r="AD117" s="652"/>
      <c r="AE117" s="20"/>
      <c r="AF117" s="21"/>
      <c r="AG117" s="23"/>
      <c r="AH117" s="637"/>
      <c r="AI117" s="19"/>
      <c r="AJ117" s="21"/>
      <c r="AK117" s="25"/>
      <c r="AL117" s="309"/>
      <c r="AM117" s="19"/>
      <c r="AN117" s="21"/>
      <c r="AO117" s="25"/>
      <c r="AP117" s="309"/>
      <c r="AQ117" s="19"/>
      <c r="AR117" s="21"/>
      <c r="AS117" s="25"/>
      <c r="AT117" s="638">
        <f t="shared" si="4"/>
        <v>0</v>
      </c>
      <c r="AU117" s="311">
        <f t="shared" si="0"/>
        <v>0</v>
      </c>
      <c r="AV117" s="148"/>
      <c r="AW117" s="148"/>
      <c r="AX117" s="148"/>
      <c r="AY117" s="148"/>
      <c r="AZ117" s="148"/>
      <c r="BA117" s="148"/>
      <c r="BB117" s="148"/>
      <c r="BC117" s="148"/>
      <c r="BD117" s="148"/>
      <c r="BE117" s="148"/>
      <c r="BF117" s="148"/>
      <c r="BG117" s="148"/>
      <c r="BH117" s="148"/>
      <c r="BI117" s="148"/>
      <c r="BJ117" s="148"/>
      <c r="BK117" s="148"/>
      <c r="BL117" s="148"/>
      <c r="BM117" s="148"/>
      <c r="BN117" s="148"/>
      <c r="BO117" s="148"/>
      <c r="BP117" s="148"/>
      <c r="BQ117" s="148"/>
      <c r="BR117" s="148"/>
      <c r="BS117" s="148"/>
      <c r="BT117" s="148"/>
      <c r="BU117" s="148"/>
      <c r="BV117" s="148"/>
      <c r="BW117" s="148"/>
      <c r="BX117" s="148"/>
      <c r="BY117" s="148"/>
      <c r="BZ117" s="148"/>
      <c r="CA117" s="148"/>
      <c r="CB117" s="148"/>
      <c r="CC117" s="148"/>
      <c r="CD117" s="148"/>
      <c r="CE117" s="148"/>
      <c r="CF117" s="148"/>
      <c r="CG117" s="148"/>
      <c r="CH117" s="148"/>
      <c r="CI117" s="148"/>
      <c r="CJ117" s="148"/>
      <c r="CK117" s="148"/>
      <c r="CL117" s="148"/>
      <c r="CM117" s="148"/>
      <c r="CN117" s="148"/>
      <c r="CO117" s="148"/>
      <c r="CP117" s="148"/>
      <c r="CQ117" s="148"/>
      <c r="CR117" s="148"/>
      <c r="CS117" s="148"/>
      <c r="CT117" s="148"/>
      <c r="CU117" s="148"/>
      <c r="CV117" s="148"/>
      <c r="CW117" s="148"/>
      <c r="CX117" s="148"/>
      <c r="CY117" s="148"/>
      <c r="CZ117" s="148"/>
      <c r="DA117" s="148"/>
      <c r="DB117" s="148"/>
      <c r="DC117" s="148"/>
      <c r="DD117" s="148"/>
      <c r="DE117" s="148"/>
      <c r="DF117" s="148"/>
      <c r="DG117" s="148"/>
      <c r="DH117" s="148"/>
      <c r="DI117" s="148"/>
      <c r="DJ117" s="148"/>
      <c r="DK117" s="148"/>
      <c r="DL117" s="148"/>
      <c r="DM117" s="148"/>
      <c r="DN117" s="148"/>
      <c r="DO117" s="148"/>
      <c r="DP117" s="148"/>
      <c r="DQ117" s="148"/>
      <c r="DR117" s="148"/>
      <c r="DS117" s="148"/>
      <c r="DT117" s="148"/>
      <c r="DU117" s="148"/>
      <c r="DV117" s="148"/>
      <c r="DW117" s="148"/>
      <c r="DX117" s="148"/>
      <c r="DY117" s="148"/>
      <c r="DZ117" s="148"/>
      <c r="EA117" s="148"/>
      <c r="EB117" s="148"/>
      <c r="EC117" s="148"/>
      <c r="ED117" s="148"/>
      <c r="EE117" s="148"/>
      <c r="EF117" s="148"/>
      <c r="EG117" s="148"/>
      <c r="EH117" s="148"/>
      <c r="EI117" s="148"/>
      <c r="EJ117" s="148"/>
      <c r="EK117" s="148"/>
      <c r="EL117" s="148"/>
      <c r="EM117" s="148"/>
      <c r="EN117" s="148"/>
      <c r="EO117" s="148"/>
      <c r="EP117" s="148"/>
      <c r="EQ117" s="148"/>
      <c r="ER117" s="148"/>
      <c r="ES117" s="148"/>
      <c r="ET117" s="148"/>
      <c r="EU117" s="148"/>
      <c r="EV117" s="148"/>
      <c r="EW117" s="148"/>
      <c r="EX117" s="148"/>
      <c r="EY117" s="148"/>
      <c r="EZ117" s="148"/>
      <c r="FA117" s="148"/>
      <c r="FB117" s="148"/>
      <c r="FC117" s="148"/>
      <c r="FD117" s="148"/>
      <c r="FE117" s="148"/>
      <c r="FF117" s="148"/>
      <c r="FG117" s="148"/>
      <c r="FH117" s="148"/>
      <c r="FI117" s="148"/>
      <c r="FJ117" s="148"/>
      <c r="FK117" s="148"/>
      <c r="FL117" s="148"/>
      <c r="FM117" s="148"/>
      <c r="FN117" s="148"/>
      <c r="FO117" s="148"/>
      <c r="FP117" s="148"/>
      <c r="FQ117" s="148"/>
      <c r="FR117" s="148"/>
      <c r="FS117" s="148"/>
      <c r="FT117" s="148"/>
      <c r="FU117" s="148"/>
      <c r="FV117" s="148"/>
      <c r="FW117" s="148"/>
      <c r="FX117" s="148"/>
      <c r="FY117" s="148"/>
      <c r="FZ117" s="148"/>
      <c r="GA117" s="148"/>
      <c r="GB117" s="148"/>
      <c r="GC117" s="148"/>
      <c r="GD117" s="148"/>
      <c r="GE117" s="148"/>
      <c r="GF117" s="148"/>
      <c r="GG117" s="148"/>
      <c r="GH117" s="148"/>
      <c r="GI117" s="148"/>
      <c r="GJ117" s="148"/>
      <c r="GK117" s="148"/>
      <c r="GL117" s="148"/>
      <c r="GM117" s="148"/>
      <c r="GN117" s="148"/>
      <c r="GO117" s="148"/>
      <c r="GP117" s="148"/>
      <c r="GQ117" s="148"/>
      <c r="GR117" s="148"/>
      <c r="GS117" s="148"/>
      <c r="GT117" s="148"/>
      <c r="GU117" s="148"/>
      <c r="GV117" s="148"/>
      <c r="GW117" s="148"/>
      <c r="GX117" s="148"/>
      <c r="GY117" s="148"/>
      <c r="GZ117" s="148"/>
      <c r="HA117" s="148"/>
      <c r="HB117" s="148"/>
      <c r="HC117" s="148"/>
      <c r="HD117" s="148"/>
      <c r="HE117" s="148"/>
      <c r="HF117" s="148"/>
      <c r="HG117" s="148"/>
      <c r="HH117" s="148"/>
      <c r="HI117" s="148"/>
      <c r="HJ117" s="148"/>
      <c r="HK117" s="148"/>
      <c r="HL117" s="148"/>
      <c r="HM117" s="148"/>
      <c r="HN117" s="148"/>
      <c r="HO117" s="148"/>
      <c r="HP117" s="148"/>
      <c r="HQ117" s="148"/>
      <c r="HR117" s="148"/>
      <c r="HS117" s="148"/>
      <c r="HT117" s="148"/>
      <c r="HU117" s="148"/>
      <c r="HV117" s="148"/>
      <c r="HW117" s="148"/>
      <c r="HX117" s="148"/>
      <c r="HY117" s="148"/>
      <c r="HZ117" s="148"/>
      <c r="IA117" s="148"/>
      <c r="IB117" s="148"/>
      <c r="IC117" s="148"/>
      <c r="ID117" s="148"/>
      <c r="IE117" s="148"/>
      <c r="IF117" s="148"/>
      <c r="IG117" s="148"/>
      <c r="IH117" s="148"/>
      <c r="II117" s="148"/>
      <c r="IJ117" s="148"/>
      <c r="IK117" s="148"/>
      <c r="IL117" s="148"/>
      <c r="IM117" s="148"/>
      <c r="IN117" s="148"/>
      <c r="IO117" s="148"/>
      <c r="IP117" s="148"/>
      <c r="IQ117" s="148"/>
      <c r="IR117" s="148"/>
      <c r="IS117" s="148"/>
      <c r="IT117" s="148"/>
      <c r="IU117" s="148"/>
      <c r="IV117" s="148"/>
      <c r="IW117" s="148"/>
      <c r="IX117" s="148"/>
      <c r="IY117" s="148"/>
      <c r="IZ117" s="148"/>
      <c r="JA117" s="148"/>
      <c r="JB117" s="148"/>
      <c r="JC117" s="148"/>
      <c r="JD117" s="148"/>
      <c r="JE117" s="148"/>
      <c r="JF117" s="148"/>
      <c r="JG117" s="148"/>
      <c r="JH117" s="148"/>
      <c r="JI117" s="148"/>
      <c r="JJ117" s="148"/>
      <c r="JK117" s="148"/>
      <c r="JL117" s="148"/>
      <c r="JM117" s="148"/>
      <c r="JN117" s="148"/>
      <c r="JO117" s="148"/>
      <c r="JP117" s="148"/>
      <c r="JQ117" s="148"/>
      <c r="JR117" s="148"/>
      <c r="JS117" s="148"/>
      <c r="JT117" s="148"/>
      <c r="JU117" s="148"/>
      <c r="JV117" s="148"/>
      <c r="JW117" s="148"/>
      <c r="JX117" s="148"/>
      <c r="JY117" s="148"/>
      <c r="JZ117" s="148"/>
      <c r="KA117" s="148"/>
      <c r="KB117" s="148"/>
      <c r="KC117" s="148"/>
      <c r="KD117" s="148"/>
      <c r="KE117" s="148"/>
      <c r="KF117" s="148"/>
      <c r="KG117" s="148"/>
      <c r="KH117" s="148"/>
      <c r="KI117" s="148"/>
      <c r="KJ117" s="148"/>
      <c r="KK117" s="148"/>
      <c r="KL117" s="148"/>
      <c r="KM117" s="148"/>
      <c r="KN117" s="148"/>
      <c r="KO117" s="148"/>
      <c r="KP117" s="148"/>
      <c r="KQ117" s="148"/>
      <c r="KR117" s="148"/>
      <c r="KS117" s="148"/>
      <c r="KT117" s="148"/>
      <c r="KU117" s="148"/>
      <c r="KV117" s="148"/>
      <c r="KW117" s="148"/>
      <c r="KX117" s="148"/>
      <c r="KY117" s="148"/>
      <c r="KZ117" s="148"/>
      <c r="LA117" s="148"/>
      <c r="LB117" s="148"/>
      <c r="LC117" s="148"/>
      <c r="LD117" s="148"/>
      <c r="LE117" s="148"/>
      <c r="LF117" s="148"/>
      <c r="LG117" s="148"/>
      <c r="LH117" s="148"/>
      <c r="LI117" s="148"/>
      <c r="LJ117" s="148"/>
      <c r="LK117" s="148"/>
      <c r="LL117" s="148"/>
      <c r="LM117" s="148"/>
      <c r="LN117" s="148"/>
      <c r="LO117" s="148"/>
      <c r="LP117" s="148"/>
      <c r="LQ117" s="148"/>
      <c r="LR117" s="148"/>
      <c r="LS117" s="148"/>
      <c r="LT117" s="148"/>
      <c r="LU117" s="148"/>
      <c r="LV117" s="148"/>
      <c r="LW117" s="148"/>
      <c r="LX117" s="148"/>
      <c r="LY117" s="148"/>
      <c r="LZ117" s="148"/>
      <c r="MA117" s="148"/>
      <c r="MB117" s="148"/>
      <c r="MC117" s="148"/>
      <c r="MD117" s="148"/>
      <c r="ME117" s="148"/>
      <c r="MF117" s="148"/>
      <c r="MG117" s="148"/>
      <c r="MH117" s="148"/>
      <c r="MI117" s="148"/>
      <c r="MJ117" s="148"/>
      <c r="MK117" s="148"/>
      <c r="ML117" s="148"/>
      <c r="MM117" s="148"/>
      <c r="MN117" s="148"/>
      <c r="MO117" s="148"/>
      <c r="MP117" s="148"/>
      <c r="MQ117" s="148"/>
      <c r="MR117" s="148"/>
      <c r="MS117" s="148"/>
      <c r="MT117" s="148"/>
      <c r="MU117" s="148"/>
      <c r="MV117" s="148"/>
      <c r="MW117" s="148"/>
      <c r="MX117" s="148"/>
      <c r="MY117" s="148"/>
      <c r="MZ117" s="148"/>
      <c r="NA117" s="148"/>
      <c r="NB117" s="148"/>
      <c r="NC117" s="148"/>
      <c r="ND117" s="148"/>
      <c r="NE117" s="148"/>
      <c r="NF117" s="148"/>
      <c r="NG117" s="148"/>
      <c r="NH117" s="148"/>
      <c r="NI117" s="148"/>
      <c r="NJ117" s="148"/>
      <c r="NK117" s="148"/>
      <c r="NL117" s="148"/>
      <c r="NM117" s="148"/>
      <c r="NN117" s="148"/>
      <c r="NO117" s="148"/>
      <c r="NP117" s="148"/>
      <c r="NQ117" s="148"/>
      <c r="NR117" s="148"/>
      <c r="NS117" s="148"/>
      <c r="NT117" s="148"/>
      <c r="NU117" s="148"/>
      <c r="NV117" s="148"/>
      <c r="NW117" s="148"/>
      <c r="NX117" s="148"/>
      <c r="NY117" s="148"/>
      <c r="NZ117" s="148"/>
      <c r="OA117" s="148"/>
      <c r="OB117" s="148"/>
      <c r="OC117" s="148"/>
      <c r="OD117" s="148"/>
      <c r="OE117" s="148"/>
      <c r="OF117" s="148"/>
      <c r="OG117" s="148"/>
      <c r="OH117" s="148"/>
      <c r="OI117" s="148"/>
      <c r="OJ117" s="148"/>
      <c r="OK117" s="148"/>
      <c r="OL117" s="148"/>
      <c r="OM117" s="148"/>
      <c r="ON117" s="148"/>
      <c r="OO117" s="148"/>
      <c r="OP117" s="148"/>
      <c r="OQ117" s="148"/>
      <c r="OR117" s="148"/>
      <c r="OS117" s="148"/>
      <c r="OT117" s="148"/>
      <c r="OU117" s="148"/>
      <c r="OV117" s="148"/>
      <c r="OW117" s="148"/>
      <c r="OX117" s="148"/>
      <c r="OY117" s="148"/>
      <c r="OZ117" s="148"/>
      <c r="PA117" s="148"/>
      <c r="PB117" s="148"/>
      <c r="PC117" s="148"/>
      <c r="PD117" s="148"/>
      <c r="PE117" s="148"/>
      <c r="PF117" s="148"/>
      <c r="PG117" s="148"/>
      <c r="PH117" s="148"/>
      <c r="PI117" s="148"/>
      <c r="PJ117" s="148"/>
      <c r="PK117" s="148"/>
      <c r="PL117" s="148"/>
      <c r="PM117" s="148"/>
      <c r="PN117" s="148"/>
      <c r="PO117" s="148"/>
      <c r="PP117" s="148"/>
      <c r="PQ117" s="148"/>
      <c r="PR117" s="148"/>
      <c r="PS117" s="148"/>
      <c r="PT117" s="148"/>
      <c r="PU117" s="148"/>
      <c r="PV117" s="148"/>
      <c r="PW117" s="148"/>
      <c r="PX117" s="148"/>
      <c r="PY117" s="148"/>
      <c r="PZ117" s="148"/>
      <c r="QA117" s="148"/>
      <c r="QB117" s="148"/>
      <c r="QC117" s="148"/>
      <c r="QD117" s="148"/>
      <c r="QE117" s="148"/>
      <c r="QF117" s="148"/>
      <c r="QG117" s="148"/>
      <c r="QH117" s="148"/>
      <c r="QI117" s="148"/>
      <c r="QJ117" s="148"/>
      <c r="QK117" s="148"/>
      <c r="QL117" s="148"/>
      <c r="QM117" s="148"/>
      <c r="QN117" s="148"/>
      <c r="QO117" s="148"/>
      <c r="QP117" s="148"/>
      <c r="QQ117" s="148"/>
      <c r="QR117" s="148"/>
      <c r="QS117" s="148"/>
      <c r="QT117" s="148"/>
      <c r="QU117" s="148"/>
      <c r="QV117" s="148"/>
      <c r="QW117" s="148"/>
      <c r="QX117" s="148"/>
      <c r="QY117" s="148"/>
      <c r="QZ117" s="148"/>
      <c r="RA117" s="148"/>
      <c r="RB117" s="148"/>
      <c r="RC117" s="148"/>
      <c r="RD117" s="148"/>
      <c r="RE117" s="148"/>
      <c r="RF117" s="148"/>
      <c r="RG117" s="148"/>
      <c r="RH117" s="148"/>
      <c r="RI117" s="148"/>
      <c r="RJ117" s="148"/>
      <c r="RK117" s="148"/>
      <c r="RL117" s="148"/>
      <c r="RM117" s="148"/>
      <c r="RN117" s="148"/>
      <c r="RO117" s="148"/>
      <c r="RP117" s="148"/>
      <c r="RQ117" s="148"/>
      <c r="RR117" s="148"/>
    </row>
    <row r="118" spans="1:486" s="15" customFormat="1" hidden="1" x14ac:dyDescent="0.25">
      <c r="A118" s="148"/>
      <c r="B118" s="350">
        <v>108</v>
      </c>
      <c r="C118" s="650"/>
      <c r="D118" s="16"/>
      <c r="E118" s="344"/>
      <c r="F118" s="344"/>
      <c r="G118" s="17"/>
      <c r="H118" s="317"/>
      <c r="I118" s="346"/>
      <c r="J118" s="341"/>
      <c r="K118" s="633"/>
      <c r="L118" s="633"/>
      <c r="M118" s="633"/>
      <c r="N118" s="633"/>
      <c r="O118" s="633"/>
      <c r="P118" s="633"/>
      <c r="Q118" s="633"/>
      <c r="R118" s="633"/>
      <c r="S118" s="633"/>
      <c r="T118" s="633"/>
      <c r="U118" s="633"/>
      <c r="V118" s="633"/>
      <c r="W118" s="633"/>
      <c r="X118" s="633"/>
      <c r="Y118" s="633">
        <f t="shared" si="3"/>
        <v>0</v>
      </c>
      <c r="Z118" s="310"/>
      <c r="AA118" s="19"/>
      <c r="AB118" s="21"/>
      <c r="AC118" s="23"/>
      <c r="AD118" s="652"/>
      <c r="AE118" s="20"/>
      <c r="AF118" s="21"/>
      <c r="AG118" s="23"/>
      <c r="AH118" s="637"/>
      <c r="AI118" s="19"/>
      <c r="AJ118" s="21"/>
      <c r="AK118" s="25"/>
      <c r="AL118" s="309"/>
      <c r="AM118" s="19"/>
      <c r="AN118" s="21"/>
      <c r="AO118" s="25"/>
      <c r="AP118" s="309"/>
      <c r="AQ118" s="19"/>
      <c r="AR118" s="21"/>
      <c r="AS118" s="25"/>
      <c r="AT118" s="638">
        <f t="shared" si="4"/>
        <v>0</v>
      </c>
      <c r="AU118" s="311">
        <f t="shared" si="0"/>
        <v>0</v>
      </c>
      <c r="AV118" s="148"/>
      <c r="AW118" s="148"/>
      <c r="AX118" s="148"/>
      <c r="AY118" s="148"/>
      <c r="AZ118" s="148"/>
      <c r="BA118" s="148"/>
      <c r="BB118" s="148"/>
      <c r="BC118" s="148"/>
      <c r="BD118" s="148"/>
      <c r="BE118" s="148"/>
      <c r="BF118" s="148"/>
      <c r="BG118" s="148"/>
      <c r="BH118" s="148"/>
      <c r="BI118" s="148"/>
      <c r="BJ118" s="148"/>
      <c r="BK118" s="148"/>
      <c r="BL118" s="148"/>
      <c r="BM118" s="148"/>
      <c r="BN118" s="148"/>
      <c r="BO118" s="148"/>
      <c r="BP118" s="148"/>
      <c r="BQ118" s="148"/>
      <c r="BR118" s="148"/>
      <c r="BS118" s="148"/>
      <c r="BT118" s="148"/>
      <c r="BU118" s="148"/>
      <c r="BV118" s="148"/>
      <c r="BW118" s="148"/>
      <c r="BX118" s="148"/>
      <c r="BY118" s="148"/>
      <c r="BZ118" s="148"/>
      <c r="CA118" s="148"/>
      <c r="CB118" s="148"/>
      <c r="CC118" s="148"/>
      <c r="CD118" s="148"/>
      <c r="CE118" s="148"/>
      <c r="CF118" s="148"/>
      <c r="CG118" s="148"/>
      <c r="CH118" s="148"/>
      <c r="CI118" s="148"/>
      <c r="CJ118" s="148"/>
      <c r="CK118" s="148"/>
      <c r="CL118" s="148"/>
      <c r="CM118" s="148"/>
      <c r="CN118" s="148"/>
      <c r="CO118" s="148"/>
      <c r="CP118" s="148"/>
      <c r="CQ118" s="148"/>
      <c r="CR118" s="148"/>
      <c r="CS118" s="148"/>
      <c r="CT118" s="148"/>
      <c r="CU118" s="148"/>
      <c r="CV118" s="148"/>
      <c r="CW118" s="148"/>
      <c r="CX118" s="148"/>
      <c r="CY118" s="148"/>
      <c r="CZ118" s="148"/>
      <c r="DA118" s="148"/>
      <c r="DB118" s="148"/>
      <c r="DC118" s="148"/>
      <c r="DD118" s="148"/>
      <c r="DE118" s="148"/>
      <c r="DF118" s="148"/>
      <c r="DG118" s="148"/>
      <c r="DH118" s="148"/>
      <c r="DI118" s="148"/>
      <c r="DJ118" s="148"/>
      <c r="DK118" s="148"/>
      <c r="DL118" s="148"/>
      <c r="DM118" s="148"/>
      <c r="DN118" s="148"/>
      <c r="DO118" s="148"/>
      <c r="DP118" s="148"/>
      <c r="DQ118" s="148"/>
      <c r="DR118" s="148"/>
      <c r="DS118" s="148"/>
      <c r="DT118" s="148"/>
      <c r="DU118" s="148"/>
      <c r="DV118" s="148"/>
      <c r="DW118" s="148"/>
      <c r="DX118" s="148"/>
      <c r="DY118" s="148"/>
      <c r="DZ118" s="148"/>
      <c r="EA118" s="148"/>
      <c r="EB118" s="148"/>
      <c r="EC118" s="148"/>
      <c r="ED118" s="148"/>
      <c r="EE118" s="148"/>
      <c r="EF118" s="148"/>
      <c r="EG118" s="148"/>
      <c r="EH118" s="148"/>
      <c r="EI118" s="148"/>
      <c r="EJ118" s="148"/>
      <c r="EK118" s="148"/>
      <c r="EL118" s="148"/>
      <c r="EM118" s="148"/>
      <c r="EN118" s="148"/>
      <c r="EO118" s="148"/>
      <c r="EP118" s="148"/>
      <c r="EQ118" s="148"/>
      <c r="ER118" s="148"/>
      <c r="ES118" s="148"/>
      <c r="ET118" s="148"/>
      <c r="EU118" s="148"/>
      <c r="EV118" s="148"/>
      <c r="EW118" s="148"/>
      <c r="EX118" s="148"/>
      <c r="EY118" s="148"/>
      <c r="EZ118" s="148"/>
      <c r="FA118" s="148"/>
      <c r="FB118" s="148"/>
      <c r="FC118" s="148"/>
      <c r="FD118" s="148"/>
      <c r="FE118" s="148"/>
      <c r="FF118" s="148"/>
      <c r="FG118" s="148"/>
      <c r="FH118" s="148"/>
      <c r="FI118" s="148"/>
      <c r="FJ118" s="148"/>
      <c r="FK118" s="148"/>
      <c r="FL118" s="148"/>
      <c r="FM118" s="148"/>
      <c r="FN118" s="148"/>
      <c r="FO118" s="148"/>
      <c r="FP118" s="148"/>
      <c r="FQ118" s="148"/>
      <c r="FR118" s="148"/>
      <c r="FS118" s="148"/>
      <c r="FT118" s="148"/>
      <c r="FU118" s="148"/>
      <c r="FV118" s="148"/>
      <c r="FW118" s="148"/>
      <c r="FX118" s="148"/>
      <c r="FY118" s="148"/>
      <c r="FZ118" s="148"/>
      <c r="GA118" s="148"/>
      <c r="GB118" s="148"/>
      <c r="GC118" s="148"/>
      <c r="GD118" s="148"/>
      <c r="GE118" s="148"/>
      <c r="GF118" s="148"/>
      <c r="GG118" s="148"/>
      <c r="GH118" s="148"/>
      <c r="GI118" s="148"/>
      <c r="GJ118" s="148"/>
      <c r="GK118" s="148"/>
      <c r="GL118" s="148"/>
      <c r="GM118" s="148"/>
      <c r="GN118" s="148"/>
      <c r="GO118" s="148"/>
      <c r="GP118" s="148"/>
      <c r="GQ118" s="148"/>
      <c r="GR118" s="148"/>
      <c r="GS118" s="148"/>
      <c r="GT118" s="148"/>
      <c r="GU118" s="148"/>
      <c r="GV118" s="148"/>
      <c r="GW118" s="148"/>
      <c r="GX118" s="148"/>
      <c r="GY118" s="148"/>
      <c r="GZ118" s="148"/>
      <c r="HA118" s="148"/>
      <c r="HB118" s="148"/>
      <c r="HC118" s="148"/>
      <c r="HD118" s="148"/>
      <c r="HE118" s="148"/>
      <c r="HF118" s="148"/>
      <c r="HG118" s="148"/>
      <c r="HH118" s="148"/>
      <c r="HI118" s="148"/>
      <c r="HJ118" s="148"/>
      <c r="HK118" s="148"/>
      <c r="HL118" s="148"/>
      <c r="HM118" s="148"/>
      <c r="HN118" s="148"/>
      <c r="HO118" s="148"/>
      <c r="HP118" s="148"/>
      <c r="HQ118" s="148"/>
      <c r="HR118" s="148"/>
      <c r="HS118" s="148"/>
      <c r="HT118" s="148"/>
      <c r="HU118" s="148"/>
      <c r="HV118" s="148"/>
      <c r="HW118" s="148"/>
      <c r="HX118" s="148"/>
      <c r="HY118" s="148"/>
      <c r="HZ118" s="148"/>
      <c r="IA118" s="148"/>
      <c r="IB118" s="148"/>
      <c r="IC118" s="148"/>
      <c r="ID118" s="148"/>
      <c r="IE118" s="148"/>
      <c r="IF118" s="148"/>
      <c r="IG118" s="148"/>
      <c r="IH118" s="148"/>
      <c r="II118" s="148"/>
      <c r="IJ118" s="148"/>
      <c r="IK118" s="148"/>
      <c r="IL118" s="148"/>
      <c r="IM118" s="148"/>
      <c r="IN118" s="148"/>
      <c r="IO118" s="148"/>
      <c r="IP118" s="148"/>
      <c r="IQ118" s="148"/>
      <c r="IR118" s="148"/>
      <c r="IS118" s="148"/>
      <c r="IT118" s="148"/>
      <c r="IU118" s="148"/>
      <c r="IV118" s="148"/>
      <c r="IW118" s="148"/>
      <c r="IX118" s="148"/>
      <c r="IY118" s="148"/>
      <c r="IZ118" s="148"/>
      <c r="JA118" s="148"/>
      <c r="JB118" s="148"/>
      <c r="JC118" s="148"/>
      <c r="JD118" s="148"/>
      <c r="JE118" s="148"/>
      <c r="JF118" s="148"/>
      <c r="JG118" s="148"/>
      <c r="JH118" s="148"/>
      <c r="JI118" s="148"/>
      <c r="JJ118" s="148"/>
      <c r="JK118" s="148"/>
      <c r="JL118" s="148"/>
      <c r="JM118" s="148"/>
      <c r="JN118" s="148"/>
      <c r="JO118" s="148"/>
      <c r="JP118" s="148"/>
      <c r="JQ118" s="148"/>
      <c r="JR118" s="148"/>
      <c r="JS118" s="148"/>
      <c r="JT118" s="148"/>
      <c r="JU118" s="148"/>
      <c r="JV118" s="148"/>
      <c r="JW118" s="148"/>
      <c r="JX118" s="148"/>
      <c r="JY118" s="148"/>
      <c r="JZ118" s="148"/>
      <c r="KA118" s="148"/>
      <c r="KB118" s="148"/>
      <c r="KC118" s="148"/>
      <c r="KD118" s="148"/>
      <c r="KE118" s="148"/>
      <c r="KF118" s="148"/>
      <c r="KG118" s="148"/>
      <c r="KH118" s="148"/>
      <c r="KI118" s="148"/>
      <c r="KJ118" s="148"/>
      <c r="KK118" s="148"/>
      <c r="KL118" s="148"/>
      <c r="KM118" s="148"/>
      <c r="KN118" s="148"/>
      <c r="KO118" s="148"/>
      <c r="KP118" s="148"/>
      <c r="KQ118" s="148"/>
      <c r="KR118" s="148"/>
      <c r="KS118" s="148"/>
      <c r="KT118" s="148"/>
      <c r="KU118" s="148"/>
      <c r="KV118" s="148"/>
      <c r="KW118" s="148"/>
      <c r="KX118" s="148"/>
      <c r="KY118" s="148"/>
      <c r="KZ118" s="148"/>
      <c r="LA118" s="148"/>
      <c r="LB118" s="148"/>
      <c r="LC118" s="148"/>
      <c r="LD118" s="148"/>
      <c r="LE118" s="148"/>
      <c r="LF118" s="148"/>
      <c r="LG118" s="148"/>
      <c r="LH118" s="148"/>
      <c r="LI118" s="148"/>
      <c r="LJ118" s="148"/>
      <c r="LK118" s="148"/>
      <c r="LL118" s="148"/>
      <c r="LM118" s="148"/>
      <c r="LN118" s="148"/>
      <c r="LO118" s="148"/>
      <c r="LP118" s="148"/>
      <c r="LQ118" s="148"/>
      <c r="LR118" s="148"/>
      <c r="LS118" s="148"/>
      <c r="LT118" s="148"/>
      <c r="LU118" s="148"/>
      <c r="LV118" s="148"/>
      <c r="LW118" s="148"/>
      <c r="LX118" s="148"/>
      <c r="LY118" s="148"/>
      <c r="LZ118" s="148"/>
      <c r="MA118" s="148"/>
      <c r="MB118" s="148"/>
      <c r="MC118" s="148"/>
      <c r="MD118" s="148"/>
      <c r="ME118" s="148"/>
      <c r="MF118" s="148"/>
      <c r="MG118" s="148"/>
      <c r="MH118" s="148"/>
      <c r="MI118" s="148"/>
      <c r="MJ118" s="148"/>
      <c r="MK118" s="148"/>
      <c r="ML118" s="148"/>
      <c r="MM118" s="148"/>
      <c r="MN118" s="148"/>
      <c r="MO118" s="148"/>
      <c r="MP118" s="148"/>
      <c r="MQ118" s="148"/>
      <c r="MR118" s="148"/>
      <c r="MS118" s="148"/>
      <c r="MT118" s="148"/>
      <c r="MU118" s="148"/>
      <c r="MV118" s="148"/>
      <c r="MW118" s="148"/>
      <c r="MX118" s="148"/>
      <c r="MY118" s="148"/>
      <c r="MZ118" s="148"/>
      <c r="NA118" s="148"/>
      <c r="NB118" s="148"/>
      <c r="NC118" s="148"/>
      <c r="ND118" s="148"/>
      <c r="NE118" s="148"/>
      <c r="NF118" s="148"/>
      <c r="NG118" s="148"/>
      <c r="NH118" s="148"/>
      <c r="NI118" s="148"/>
      <c r="NJ118" s="148"/>
      <c r="NK118" s="148"/>
      <c r="NL118" s="148"/>
      <c r="NM118" s="148"/>
      <c r="NN118" s="148"/>
      <c r="NO118" s="148"/>
      <c r="NP118" s="148"/>
      <c r="NQ118" s="148"/>
      <c r="NR118" s="148"/>
      <c r="NS118" s="148"/>
      <c r="NT118" s="148"/>
      <c r="NU118" s="148"/>
      <c r="NV118" s="148"/>
      <c r="NW118" s="148"/>
      <c r="NX118" s="148"/>
      <c r="NY118" s="148"/>
      <c r="NZ118" s="148"/>
      <c r="OA118" s="148"/>
      <c r="OB118" s="148"/>
      <c r="OC118" s="148"/>
      <c r="OD118" s="148"/>
      <c r="OE118" s="148"/>
      <c r="OF118" s="148"/>
      <c r="OG118" s="148"/>
      <c r="OH118" s="148"/>
      <c r="OI118" s="148"/>
      <c r="OJ118" s="148"/>
      <c r="OK118" s="148"/>
      <c r="OL118" s="148"/>
      <c r="OM118" s="148"/>
      <c r="ON118" s="148"/>
      <c r="OO118" s="148"/>
      <c r="OP118" s="148"/>
      <c r="OQ118" s="148"/>
      <c r="OR118" s="148"/>
      <c r="OS118" s="148"/>
      <c r="OT118" s="148"/>
      <c r="OU118" s="148"/>
      <c r="OV118" s="148"/>
      <c r="OW118" s="148"/>
      <c r="OX118" s="148"/>
      <c r="OY118" s="148"/>
      <c r="OZ118" s="148"/>
      <c r="PA118" s="148"/>
      <c r="PB118" s="148"/>
      <c r="PC118" s="148"/>
      <c r="PD118" s="148"/>
      <c r="PE118" s="148"/>
      <c r="PF118" s="148"/>
      <c r="PG118" s="148"/>
      <c r="PH118" s="148"/>
      <c r="PI118" s="148"/>
      <c r="PJ118" s="148"/>
      <c r="PK118" s="148"/>
      <c r="PL118" s="148"/>
      <c r="PM118" s="148"/>
      <c r="PN118" s="148"/>
      <c r="PO118" s="148"/>
      <c r="PP118" s="148"/>
      <c r="PQ118" s="148"/>
      <c r="PR118" s="148"/>
      <c r="PS118" s="148"/>
      <c r="PT118" s="148"/>
      <c r="PU118" s="148"/>
      <c r="PV118" s="148"/>
      <c r="PW118" s="148"/>
      <c r="PX118" s="148"/>
      <c r="PY118" s="148"/>
      <c r="PZ118" s="148"/>
      <c r="QA118" s="148"/>
      <c r="QB118" s="148"/>
      <c r="QC118" s="148"/>
      <c r="QD118" s="148"/>
      <c r="QE118" s="148"/>
      <c r="QF118" s="148"/>
      <c r="QG118" s="148"/>
      <c r="QH118" s="148"/>
      <c r="QI118" s="148"/>
      <c r="QJ118" s="148"/>
      <c r="QK118" s="148"/>
      <c r="QL118" s="148"/>
      <c r="QM118" s="148"/>
      <c r="QN118" s="148"/>
      <c r="QO118" s="148"/>
      <c r="QP118" s="148"/>
      <c r="QQ118" s="148"/>
      <c r="QR118" s="148"/>
      <c r="QS118" s="148"/>
      <c r="QT118" s="148"/>
      <c r="QU118" s="148"/>
      <c r="QV118" s="148"/>
      <c r="QW118" s="148"/>
      <c r="QX118" s="148"/>
      <c r="QY118" s="148"/>
      <c r="QZ118" s="148"/>
      <c r="RA118" s="148"/>
      <c r="RB118" s="148"/>
      <c r="RC118" s="148"/>
      <c r="RD118" s="148"/>
      <c r="RE118" s="148"/>
      <c r="RF118" s="148"/>
      <c r="RG118" s="148"/>
      <c r="RH118" s="148"/>
      <c r="RI118" s="148"/>
      <c r="RJ118" s="148"/>
      <c r="RK118" s="148"/>
      <c r="RL118" s="148"/>
      <c r="RM118" s="148"/>
      <c r="RN118" s="148"/>
      <c r="RO118" s="148"/>
      <c r="RP118" s="148"/>
      <c r="RQ118" s="148"/>
      <c r="RR118" s="148"/>
    </row>
    <row r="119" spans="1:486" s="15" customFormat="1" hidden="1" x14ac:dyDescent="0.25">
      <c r="A119" s="148"/>
      <c r="B119" s="350">
        <v>109</v>
      </c>
      <c r="C119" s="650"/>
      <c r="D119" s="16"/>
      <c r="E119" s="344"/>
      <c r="F119" s="344"/>
      <c r="G119" s="17"/>
      <c r="H119" s="317"/>
      <c r="I119" s="346"/>
      <c r="J119" s="341"/>
      <c r="K119" s="633"/>
      <c r="L119" s="633"/>
      <c r="M119" s="633"/>
      <c r="N119" s="633"/>
      <c r="O119" s="633"/>
      <c r="P119" s="633"/>
      <c r="Q119" s="633"/>
      <c r="R119" s="633"/>
      <c r="S119" s="633"/>
      <c r="T119" s="633"/>
      <c r="U119" s="633"/>
      <c r="V119" s="633"/>
      <c r="W119" s="633"/>
      <c r="X119" s="633"/>
      <c r="Y119" s="633">
        <f t="shared" si="3"/>
        <v>0</v>
      </c>
      <c r="Z119" s="310"/>
      <c r="AA119" s="19"/>
      <c r="AB119" s="21"/>
      <c r="AC119" s="23"/>
      <c r="AD119" s="652"/>
      <c r="AE119" s="20"/>
      <c r="AF119" s="21"/>
      <c r="AG119" s="23"/>
      <c r="AH119" s="637"/>
      <c r="AI119" s="19"/>
      <c r="AJ119" s="21"/>
      <c r="AK119" s="25"/>
      <c r="AL119" s="309"/>
      <c r="AM119" s="19"/>
      <c r="AN119" s="21"/>
      <c r="AO119" s="25"/>
      <c r="AP119" s="309"/>
      <c r="AQ119" s="19"/>
      <c r="AR119" s="21"/>
      <c r="AS119" s="25"/>
      <c r="AT119" s="638">
        <f t="shared" si="4"/>
        <v>0</v>
      </c>
      <c r="AU119" s="311">
        <f t="shared" si="0"/>
        <v>0</v>
      </c>
      <c r="AV119" s="148"/>
      <c r="AW119" s="148"/>
      <c r="AX119" s="148"/>
      <c r="AY119" s="148"/>
      <c r="AZ119" s="148"/>
      <c r="BA119" s="148"/>
      <c r="BB119" s="148"/>
      <c r="BC119" s="148"/>
      <c r="BD119" s="148"/>
      <c r="BE119" s="148"/>
      <c r="BF119" s="148"/>
      <c r="BG119" s="148"/>
      <c r="BH119" s="148"/>
      <c r="BI119" s="148"/>
      <c r="BJ119" s="148"/>
      <c r="BK119" s="148"/>
      <c r="BL119" s="148"/>
      <c r="BM119" s="148"/>
      <c r="BN119" s="148"/>
      <c r="BO119" s="148"/>
      <c r="BP119" s="148"/>
      <c r="BQ119" s="148"/>
      <c r="BR119" s="148"/>
      <c r="BS119" s="148"/>
      <c r="BT119" s="148"/>
      <c r="BU119" s="148"/>
      <c r="BV119" s="148"/>
      <c r="BW119" s="148"/>
      <c r="BX119" s="148"/>
      <c r="BY119" s="148"/>
      <c r="BZ119" s="148"/>
      <c r="CA119" s="148"/>
      <c r="CB119" s="148"/>
      <c r="CC119" s="148"/>
      <c r="CD119" s="148"/>
      <c r="CE119" s="148"/>
      <c r="CF119" s="148"/>
      <c r="CG119" s="148"/>
      <c r="CH119" s="148"/>
      <c r="CI119" s="148"/>
      <c r="CJ119" s="148"/>
      <c r="CK119" s="148"/>
      <c r="CL119" s="148"/>
      <c r="CM119" s="148"/>
      <c r="CN119" s="148"/>
      <c r="CO119" s="148"/>
      <c r="CP119" s="148"/>
      <c r="CQ119" s="148"/>
      <c r="CR119" s="148"/>
      <c r="CS119" s="148"/>
      <c r="CT119" s="148"/>
      <c r="CU119" s="148"/>
      <c r="CV119" s="148"/>
      <c r="CW119" s="148"/>
      <c r="CX119" s="148"/>
      <c r="CY119" s="148"/>
      <c r="CZ119" s="148"/>
      <c r="DA119" s="148"/>
      <c r="DB119" s="148"/>
      <c r="DC119" s="148"/>
      <c r="DD119" s="148"/>
      <c r="DE119" s="148"/>
      <c r="DF119" s="148"/>
      <c r="DG119" s="148"/>
      <c r="DH119" s="148"/>
      <c r="DI119" s="148"/>
      <c r="DJ119" s="148"/>
      <c r="DK119" s="148"/>
      <c r="DL119" s="148"/>
      <c r="DM119" s="148"/>
      <c r="DN119" s="148"/>
      <c r="DO119" s="148"/>
      <c r="DP119" s="148"/>
      <c r="DQ119" s="148"/>
      <c r="DR119" s="148"/>
      <c r="DS119" s="148"/>
      <c r="DT119" s="148"/>
      <c r="DU119" s="148"/>
      <c r="DV119" s="148"/>
      <c r="DW119" s="148"/>
      <c r="DX119" s="148"/>
      <c r="DY119" s="148"/>
      <c r="DZ119" s="148"/>
      <c r="EA119" s="148"/>
      <c r="EB119" s="148"/>
      <c r="EC119" s="148"/>
      <c r="ED119" s="148"/>
      <c r="EE119" s="148"/>
      <c r="EF119" s="148"/>
      <c r="EG119" s="148"/>
      <c r="EH119" s="148"/>
      <c r="EI119" s="148"/>
      <c r="EJ119" s="148"/>
      <c r="EK119" s="148"/>
      <c r="EL119" s="148"/>
      <c r="EM119" s="148"/>
      <c r="EN119" s="148"/>
      <c r="EO119" s="148"/>
      <c r="EP119" s="148"/>
      <c r="EQ119" s="148"/>
      <c r="ER119" s="148"/>
      <c r="ES119" s="148"/>
      <c r="ET119" s="148"/>
      <c r="EU119" s="148"/>
      <c r="EV119" s="148"/>
      <c r="EW119" s="148"/>
      <c r="EX119" s="148"/>
      <c r="EY119" s="148"/>
      <c r="EZ119" s="148"/>
      <c r="FA119" s="148"/>
      <c r="FB119" s="148"/>
      <c r="FC119" s="148"/>
      <c r="FD119" s="148"/>
      <c r="FE119" s="148"/>
      <c r="FF119" s="148"/>
      <c r="FG119" s="148"/>
      <c r="FH119" s="148"/>
      <c r="FI119" s="148"/>
      <c r="FJ119" s="148"/>
      <c r="FK119" s="148"/>
      <c r="FL119" s="148"/>
      <c r="FM119" s="148"/>
      <c r="FN119" s="148"/>
      <c r="FO119" s="148"/>
      <c r="FP119" s="148"/>
      <c r="FQ119" s="148"/>
      <c r="FR119" s="148"/>
      <c r="FS119" s="148"/>
      <c r="FT119" s="148"/>
      <c r="FU119" s="148"/>
      <c r="FV119" s="148"/>
      <c r="FW119" s="148"/>
      <c r="FX119" s="148"/>
      <c r="FY119" s="148"/>
      <c r="FZ119" s="148"/>
      <c r="GA119" s="148"/>
      <c r="GB119" s="148"/>
      <c r="GC119" s="148"/>
      <c r="GD119" s="148"/>
      <c r="GE119" s="148"/>
      <c r="GF119" s="148"/>
      <c r="GG119" s="148"/>
      <c r="GH119" s="148"/>
      <c r="GI119" s="148"/>
      <c r="GJ119" s="148"/>
      <c r="GK119" s="148"/>
      <c r="GL119" s="148"/>
      <c r="GM119" s="148"/>
      <c r="GN119" s="148"/>
      <c r="GO119" s="148"/>
      <c r="GP119" s="148"/>
      <c r="GQ119" s="148"/>
      <c r="GR119" s="148"/>
      <c r="GS119" s="148"/>
      <c r="GT119" s="148"/>
      <c r="GU119" s="148"/>
      <c r="GV119" s="148"/>
      <c r="GW119" s="148"/>
      <c r="GX119" s="148"/>
      <c r="GY119" s="148"/>
      <c r="GZ119" s="148"/>
      <c r="HA119" s="148"/>
      <c r="HB119" s="148"/>
      <c r="HC119" s="148"/>
      <c r="HD119" s="148"/>
      <c r="HE119" s="148"/>
      <c r="HF119" s="148"/>
      <c r="HG119" s="148"/>
      <c r="HH119" s="148"/>
      <c r="HI119" s="148"/>
      <c r="HJ119" s="148"/>
      <c r="HK119" s="148"/>
      <c r="HL119" s="148"/>
      <c r="HM119" s="148"/>
      <c r="HN119" s="148"/>
      <c r="HO119" s="148"/>
      <c r="HP119" s="148"/>
      <c r="HQ119" s="148"/>
      <c r="HR119" s="148"/>
      <c r="HS119" s="148"/>
      <c r="HT119" s="148"/>
      <c r="HU119" s="148"/>
      <c r="HV119" s="148"/>
      <c r="HW119" s="148"/>
      <c r="HX119" s="148"/>
      <c r="HY119" s="148"/>
      <c r="HZ119" s="148"/>
      <c r="IA119" s="148"/>
      <c r="IB119" s="148"/>
      <c r="IC119" s="148"/>
      <c r="ID119" s="148"/>
      <c r="IE119" s="148"/>
      <c r="IF119" s="148"/>
      <c r="IG119" s="148"/>
      <c r="IH119" s="148"/>
      <c r="II119" s="148"/>
      <c r="IJ119" s="148"/>
      <c r="IK119" s="148"/>
      <c r="IL119" s="148"/>
      <c r="IM119" s="148"/>
      <c r="IN119" s="148"/>
      <c r="IO119" s="148"/>
      <c r="IP119" s="148"/>
      <c r="IQ119" s="148"/>
      <c r="IR119" s="148"/>
      <c r="IS119" s="148"/>
      <c r="IT119" s="148"/>
      <c r="IU119" s="148"/>
      <c r="IV119" s="148"/>
      <c r="IW119" s="148"/>
      <c r="IX119" s="148"/>
      <c r="IY119" s="148"/>
      <c r="IZ119" s="148"/>
      <c r="JA119" s="148"/>
      <c r="JB119" s="148"/>
      <c r="JC119" s="148"/>
      <c r="JD119" s="148"/>
      <c r="JE119" s="148"/>
      <c r="JF119" s="148"/>
      <c r="JG119" s="148"/>
      <c r="JH119" s="148"/>
      <c r="JI119" s="148"/>
      <c r="JJ119" s="148"/>
      <c r="JK119" s="148"/>
      <c r="JL119" s="148"/>
      <c r="JM119" s="148"/>
      <c r="JN119" s="148"/>
      <c r="JO119" s="148"/>
      <c r="JP119" s="148"/>
      <c r="JQ119" s="148"/>
      <c r="JR119" s="148"/>
      <c r="JS119" s="148"/>
      <c r="JT119" s="148"/>
      <c r="JU119" s="148"/>
      <c r="JV119" s="148"/>
      <c r="JW119" s="148"/>
      <c r="JX119" s="148"/>
      <c r="JY119" s="148"/>
      <c r="JZ119" s="148"/>
      <c r="KA119" s="148"/>
      <c r="KB119" s="148"/>
      <c r="KC119" s="148"/>
      <c r="KD119" s="148"/>
      <c r="KE119" s="148"/>
      <c r="KF119" s="148"/>
      <c r="KG119" s="148"/>
      <c r="KH119" s="148"/>
      <c r="KI119" s="148"/>
      <c r="KJ119" s="148"/>
      <c r="KK119" s="148"/>
      <c r="KL119" s="148"/>
      <c r="KM119" s="148"/>
      <c r="KN119" s="148"/>
      <c r="KO119" s="148"/>
      <c r="KP119" s="148"/>
      <c r="KQ119" s="148"/>
      <c r="KR119" s="148"/>
      <c r="KS119" s="148"/>
      <c r="KT119" s="148"/>
      <c r="KU119" s="148"/>
      <c r="KV119" s="148"/>
      <c r="KW119" s="148"/>
      <c r="KX119" s="148"/>
      <c r="KY119" s="148"/>
      <c r="KZ119" s="148"/>
      <c r="LA119" s="148"/>
      <c r="LB119" s="148"/>
      <c r="LC119" s="148"/>
      <c r="LD119" s="148"/>
      <c r="LE119" s="148"/>
      <c r="LF119" s="148"/>
      <c r="LG119" s="148"/>
      <c r="LH119" s="148"/>
      <c r="LI119" s="148"/>
      <c r="LJ119" s="148"/>
      <c r="LK119" s="148"/>
      <c r="LL119" s="148"/>
      <c r="LM119" s="148"/>
      <c r="LN119" s="148"/>
      <c r="LO119" s="148"/>
      <c r="LP119" s="148"/>
      <c r="LQ119" s="148"/>
      <c r="LR119" s="148"/>
      <c r="LS119" s="148"/>
      <c r="LT119" s="148"/>
      <c r="LU119" s="148"/>
      <c r="LV119" s="148"/>
      <c r="LW119" s="148"/>
      <c r="LX119" s="148"/>
      <c r="LY119" s="148"/>
      <c r="LZ119" s="148"/>
      <c r="MA119" s="148"/>
      <c r="MB119" s="148"/>
      <c r="MC119" s="148"/>
      <c r="MD119" s="148"/>
      <c r="ME119" s="148"/>
      <c r="MF119" s="148"/>
      <c r="MG119" s="148"/>
      <c r="MH119" s="148"/>
      <c r="MI119" s="148"/>
      <c r="MJ119" s="148"/>
      <c r="MK119" s="148"/>
      <c r="ML119" s="148"/>
      <c r="MM119" s="148"/>
      <c r="MN119" s="148"/>
      <c r="MO119" s="148"/>
      <c r="MP119" s="148"/>
      <c r="MQ119" s="148"/>
      <c r="MR119" s="148"/>
      <c r="MS119" s="148"/>
      <c r="MT119" s="148"/>
      <c r="MU119" s="148"/>
      <c r="MV119" s="148"/>
      <c r="MW119" s="148"/>
      <c r="MX119" s="148"/>
      <c r="MY119" s="148"/>
      <c r="MZ119" s="148"/>
      <c r="NA119" s="148"/>
      <c r="NB119" s="148"/>
      <c r="NC119" s="148"/>
      <c r="ND119" s="148"/>
      <c r="NE119" s="148"/>
      <c r="NF119" s="148"/>
      <c r="NG119" s="148"/>
      <c r="NH119" s="148"/>
      <c r="NI119" s="148"/>
      <c r="NJ119" s="148"/>
      <c r="NK119" s="148"/>
      <c r="NL119" s="148"/>
      <c r="NM119" s="148"/>
      <c r="NN119" s="148"/>
      <c r="NO119" s="148"/>
      <c r="NP119" s="148"/>
      <c r="NQ119" s="148"/>
      <c r="NR119" s="148"/>
      <c r="NS119" s="148"/>
      <c r="NT119" s="148"/>
      <c r="NU119" s="148"/>
      <c r="NV119" s="148"/>
      <c r="NW119" s="148"/>
      <c r="NX119" s="148"/>
      <c r="NY119" s="148"/>
      <c r="NZ119" s="148"/>
      <c r="OA119" s="148"/>
      <c r="OB119" s="148"/>
      <c r="OC119" s="148"/>
      <c r="OD119" s="148"/>
      <c r="OE119" s="148"/>
      <c r="OF119" s="148"/>
      <c r="OG119" s="148"/>
      <c r="OH119" s="148"/>
      <c r="OI119" s="148"/>
      <c r="OJ119" s="148"/>
      <c r="OK119" s="148"/>
      <c r="OL119" s="148"/>
      <c r="OM119" s="148"/>
      <c r="ON119" s="148"/>
      <c r="OO119" s="148"/>
      <c r="OP119" s="148"/>
      <c r="OQ119" s="148"/>
      <c r="OR119" s="148"/>
      <c r="OS119" s="148"/>
      <c r="OT119" s="148"/>
      <c r="OU119" s="148"/>
      <c r="OV119" s="148"/>
      <c r="OW119" s="148"/>
      <c r="OX119" s="148"/>
      <c r="OY119" s="148"/>
      <c r="OZ119" s="148"/>
      <c r="PA119" s="148"/>
      <c r="PB119" s="148"/>
      <c r="PC119" s="148"/>
      <c r="PD119" s="148"/>
      <c r="PE119" s="148"/>
      <c r="PF119" s="148"/>
      <c r="PG119" s="148"/>
      <c r="PH119" s="148"/>
      <c r="PI119" s="148"/>
      <c r="PJ119" s="148"/>
      <c r="PK119" s="148"/>
      <c r="PL119" s="148"/>
      <c r="PM119" s="148"/>
      <c r="PN119" s="148"/>
      <c r="PO119" s="148"/>
      <c r="PP119" s="148"/>
      <c r="PQ119" s="148"/>
      <c r="PR119" s="148"/>
      <c r="PS119" s="148"/>
      <c r="PT119" s="148"/>
      <c r="PU119" s="148"/>
      <c r="PV119" s="148"/>
      <c r="PW119" s="148"/>
      <c r="PX119" s="148"/>
      <c r="PY119" s="148"/>
      <c r="PZ119" s="148"/>
      <c r="QA119" s="148"/>
      <c r="QB119" s="148"/>
      <c r="QC119" s="148"/>
      <c r="QD119" s="148"/>
      <c r="QE119" s="148"/>
      <c r="QF119" s="148"/>
      <c r="QG119" s="148"/>
      <c r="QH119" s="148"/>
      <c r="QI119" s="148"/>
      <c r="QJ119" s="148"/>
      <c r="QK119" s="148"/>
      <c r="QL119" s="148"/>
      <c r="QM119" s="148"/>
      <c r="QN119" s="148"/>
      <c r="QO119" s="148"/>
      <c r="QP119" s="148"/>
      <c r="QQ119" s="148"/>
      <c r="QR119" s="148"/>
      <c r="QS119" s="148"/>
      <c r="QT119" s="148"/>
      <c r="QU119" s="148"/>
      <c r="QV119" s="148"/>
      <c r="QW119" s="148"/>
      <c r="QX119" s="148"/>
      <c r="QY119" s="148"/>
      <c r="QZ119" s="148"/>
      <c r="RA119" s="148"/>
      <c r="RB119" s="148"/>
      <c r="RC119" s="148"/>
      <c r="RD119" s="148"/>
      <c r="RE119" s="148"/>
      <c r="RF119" s="148"/>
      <c r="RG119" s="148"/>
      <c r="RH119" s="148"/>
      <c r="RI119" s="148"/>
      <c r="RJ119" s="148"/>
      <c r="RK119" s="148"/>
      <c r="RL119" s="148"/>
      <c r="RM119" s="148"/>
      <c r="RN119" s="148"/>
      <c r="RO119" s="148"/>
      <c r="RP119" s="148"/>
      <c r="RQ119" s="148"/>
      <c r="RR119" s="148"/>
    </row>
    <row r="120" spans="1:486" s="15" customFormat="1" hidden="1" x14ac:dyDescent="0.25">
      <c r="A120" s="148"/>
      <c r="B120" s="350">
        <v>110</v>
      </c>
      <c r="C120" s="650"/>
      <c r="D120" s="16"/>
      <c r="E120" s="344"/>
      <c r="F120" s="344"/>
      <c r="G120" s="17"/>
      <c r="H120" s="317"/>
      <c r="I120" s="346"/>
      <c r="J120" s="341"/>
      <c r="K120" s="633"/>
      <c r="L120" s="633"/>
      <c r="M120" s="633"/>
      <c r="N120" s="633"/>
      <c r="O120" s="633"/>
      <c r="P120" s="633"/>
      <c r="Q120" s="633"/>
      <c r="R120" s="633"/>
      <c r="S120" s="633"/>
      <c r="T120" s="633"/>
      <c r="U120" s="633"/>
      <c r="V120" s="633"/>
      <c r="W120" s="633"/>
      <c r="X120" s="633"/>
      <c r="Y120" s="633">
        <f t="shared" si="3"/>
        <v>0</v>
      </c>
      <c r="Z120" s="310"/>
      <c r="AA120" s="19"/>
      <c r="AB120" s="21"/>
      <c r="AC120" s="23"/>
      <c r="AD120" s="652"/>
      <c r="AE120" s="20"/>
      <c r="AF120" s="21"/>
      <c r="AG120" s="23"/>
      <c r="AH120" s="637"/>
      <c r="AI120" s="19"/>
      <c r="AJ120" s="21"/>
      <c r="AK120" s="25"/>
      <c r="AL120" s="309"/>
      <c r="AM120" s="19"/>
      <c r="AN120" s="21"/>
      <c r="AO120" s="25"/>
      <c r="AP120" s="309"/>
      <c r="AQ120" s="19"/>
      <c r="AR120" s="21"/>
      <c r="AS120" s="25"/>
      <c r="AT120" s="638">
        <f t="shared" si="4"/>
        <v>0</v>
      </c>
      <c r="AU120" s="311">
        <f t="shared" si="0"/>
        <v>0</v>
      </c>
      <c r="AV120" s="148"/>
      <c r="AW120" s="148"/>
      <c r="AX120" s="148"/>
      <c r="AY120" s="148"/>
      <c r="AZ120" s="148"/>
      <c r="BA120" s="148"/>
      <c r="BB120" s="148"/>
      <c r="BC120" s="148"/>
      <c r="BD120" s="148"/>
      <c r="BE120" s="148"/>
      <c r="BF120" s="148"/>
      <c r="BG120" s="148"/>
      <c r="BH120" s="148"/>
      <c r="BI120" s="148"/>
      <c r="BJ120" s="148"/>
      <c r="BK120" s="148"/>
      <c r="BL120" s="148"/>
      <c r="BM120" s="148"/>
      <c r="BN120" s="148"/>
      <c r="BO120" s="148"/>
      <c r="BP120" s="148"/>
      <c r="BQ120" s="148"/>
      <c r="BR120" s="148"/>
      <c r="BS120" s="148"/>
      <c r="BT120" s="148"/>
      <c r="BU120" s="148"/>
      <c r="BV120" s="148"/>
      <c r="BW120" s="148"/>
      <c r="BX120" s="148"/>
      <c r="BY120" s="148"/>
      <c r="BZ120" s="148"/>
      <c r="CA120" s="148"/>
      <c r="CB120" s="148"/>
      <c r="CC120" s="148"/>
      <c r="CD120" s="148"/>
      <c r="CE120" s="148"/>
      <c r="CF120" s="148"/>
      <c r="CG120" s="148"/>
      <c r="CH120" s="148"/>
      <c r="CI120" s="148"/>
      <c r="CJ120" s="148"/>
      <c r="CK120" s="148"/>
      <c r="CL120" s="148"/>
      <c r="CM120" s="148"/>
      <c r="CN120" s="148"/>
      <c r="CO120" s="148"/>
      <c r="CP120" s="148"/>
      <c r="CQ120" s="148"/>
      <c r="CR120" s="148"/>
      <c r="CS120" s="148"/>
      <c r="CT120" s="148"/>
      <c r="CU120" s="148"/>
      <c r="CV120" s="148"/>
      <c r="CW120" s="148"/>
      <c r="CX120" s="148"/>
      <c r="CY120" s="148"/>
      <c r="CZ120" s="148"/>
      <c r="DA120" s="148"/>
      <c r="DB120" s="148"/>
      <c r="DC120" s="148"/>
      <c r="DD120" s="148"/>
      <c r="DE120" s="148"/>
      <c r="DF120" s="148"/>
      <c r="DG120" s="148"/>
      <c r="DH120" s="148"/>
      <c r="DI120" s="148"/>
      <c r="DJ120" s="148"/>
      <c r="DK120" s="148"/>
      <c r="DL120" s="148"/>
      <c r="DM120" s="148"/>
      <c r="DN120" s="148"/>
      <c r="DO120" s="148"/>
      <c r="DP120" s="148"/>
      <c r="DQ120" s="148"/>
      <c r="DR120" s="148"/>
      <c r="DS120" s="148"/>
      <c r="DT120" s="148"/>
      <c r="DU120" s="148"/>
      <c r="DV120" s="148"/>
      <c r="DW120" s="148"/>
      <c r="DX120" s="148"/>
      <c r="DY120" s="148"/>
      <c r="DZ120" s="148"/>
      <c r="EA120" s="148"/>
      <c r="EB120" s="148"/>
      <c r="EC120" s="148"/>
      <c r="ED120" s="148"/>
      <c r="EE120" s="148"/>
      <c r="EF120" s="148"/>
      <c r="EG120" s="148"/>
      <c r="EH120" s="148"/>
      <c r="EI120" s="148"/>
      <c r="EJ120" s="148"/>
      <c r="EK120" s="148"/>
      <c r="EL120" s="148"/>
      <c r="EM120" s="148"/>
      <c r="EN120" s="148"/>
      <c r="EO120" s="148"/>
      <c r="EP120" s="148"/>
      <c r="EQ120" s="148"/>
      <c r="ER120" s="148"/>
      <c r="ES120" s="148"/>
      <c r="ET120" s="148"/>
      <c r="EU120" s="148"/>
      <c r="EV120" s="148"/>
      <c r="EW120" s="148"/>
      <c r="EX120" s="148"/>
      <c r="EY120" s="148"/>
      <c r="EZ120" s="148"/>
      <c r="FA120" s="148"/>
      <c r="FB120" s="148"/>
      <c r="FC120" s="148"/>
      <c r="FD120" s="148"/>
      <c r="FE120" s="148"/>
      <c r="FF120" s="148"/>
      <c r="FG120" s="148"/>
      <c r="FH120" s="148"/>
      <c r="FI120" s="148"/>
      <c r="FJ120" s="148"/>
      <c r="FK120" s="148"/>
      <c r="FL120" s="148"/>
      <c r="FM120" s="148"/>
      <c r="FN120" s="148"/>
      <c r="FO120" s="148"/>
      <c r="FP120" s="148"/>
      <c r="FQ120" s="148"/>
      <c r="FR120" s="148"/>
      <c r="FS120" s="148"/>
      <c r="FT120" s="148"/>
      <c r="FU120" s="148"/>
      <c r="FV120" s="148"/>
      <c r="FW120" s="148"/>
      <c r="FX120" s="148"/>
      <c r="FY120" s="148"/>
      <c r="FZ120" s="148"/>
      <c r="GA120" s="148"/>
      <c r="GB120" s="148"/>
      <c r="GC120" s="148"/>
      <c r="GD120" s="148"/>
      <c r="GE120" s="148"/>
      <c r="GF120" s="148"/>
      <c r="GG120" s="148"/>
      <c r="GH120" s="148"/>
      <c r="GI120" s="148"/>
      <c r="GJ120" s="148"/>
      <c r="GK120" s="148"/>
      <c r="GL120" s="148"/>
      <c r="GM120" s="148"/>
      <c r="GN120" s="148"/>
      <c r="GO120" s="148"/>
      <c r="GP120" s="148"/>
      <c r="GQ120" s="148"/>
      <c r="GR120" s="148"/>
      <c r="GS120" s="148"/>
      <c r="GT120" s="148"/>
      <c r="GU120" s="148"/>
      <c r="GV120" s="148"/>
      <c r="GW120" s="148"/>
      <c r="GX120" s="148"/>
      <c r="GY120" s="148"/>
      <c r="GZ120" s="148"/>
      <c r="HA120" s="148"/>
      <c r="HB120" s="148"/>
      <c r="HC120" s="148"/>
      <c r="HD120" s="148"/>
      <c r="HE120" s="148"/>
      <c r="HF120" s="148"/>
      <c r="HG120" s="148"/>
      <c r="HH120" s="148"/>
      <c r="HI120" s="148"/>
      <c r="HJ120" s="148"/>
      <c r="HK120" s="148"/>
      <c r="HL120" s="148"/>
      <c r="HM120" s="148"/>
      <c r="HN120" s="148"/>
      <c r="HO120" s="148"/>
      <c r="HP120" s="148"/>
      <c r="HQ120" s="148"/>
      <c r="HR120" s="148"/>
      <c r="HS120" s="148"/>
      <c r="HT120" s="148"/>
      <c r="HU120" s="148"/>
      <c r="HV120" s="148"/>
      <c r="HW120" s="148"/>
      <c r="HX120" s="148"/>
      <c r="HY120" s="148"/>
      <c r="HZ120" s="148"/>
      <c r="IA120" s="148"/>
      <c r="IB120" s="148"/>
      <c r="IC120" s="148"/>
      <c r="ID120" s="148"/>
      <c r="IE120" s="148"/>
      <c r="IF120" s="148"/>
      <c r="IG120" s="148"/>
      <c r="IH120" s="148"/>
      <c r="II120" s="148"/>
      <c r="IJ120" s="148"/>
      <c r="IK120" s="148"/>
      <c r="IL120" s="148"/>
      <c r="IM120" s="148"/>
      <c r="IN120" s="148"/>
      <c r="IO120" s="148"/>
      <c r="IP120" s="148"/>
      <c r="IQ120" s="148"/>
      <c r="IR120" s="148"/>
      <c r="IS120" s="148"/>
      <c r="IT120" s="148"/>
      <c r="IU120" s="148"/>
      <c r="IV120" s="148"/>
      <c r="IW120" s="148"/>
      <c r="IX120" s="148"/>
      <c r="IY120" s="148"/>
      <c r="IZ120" s="148"/>
      <c r="JA120" s="148"/>
      <c r="JB120" s="148"/>
      <c r="JC120" s="148"/>
      <c r="JD120" s="148"/>
      <c r="JE120" s="148"/>
      <c r="JF120" s="148"/>
      <c r="JG120" s="148"/>
      <c r="JH120" s="148"/>
      <c r="JI120" s="148"/>
      <c r="JJ120" s="148"/>
      <c r="JK120" s="148"/>
      <c r="JL120" s="148"/>
      <c r="JM120" s="148"/>
      <c r="JN120" s="148"/>
      <c r="JO120" s="148"/>
      <c r="JP120" s="148"/>
      <c r="JQ120" s="148"/>
      <c r="JR120" s="148"/>
      <c r="JS120" s="148"/>
      <c r="JT120" s="148"/>
      <c r="JU120" s="148"/>
      <c r="JV120" s="148"/>
      <c r="JW120" s="148"/>
      <c r="JX120" s="148"/>
      <c r="JY120" s="148"/>
      <c r="JZ120" s="148"/>
      <c r="KA120" s="148"/>
      <c r="KB120" s="148"/>
      <c r="KC120" s="148"/>
      <c r="KD120" s="148"/>
      <c r="KE120" s="148"/>
      <c r="KF120" s="148"/>
      <c r="KG120" s="148"/>
      <c r="KH120" s="148"/>
      <c r="KI120" s="148"/>
      <c r="KJ120" s="148"/>
      <c r="KK120" s="148"/>
      <c r="KL120" s="148"/>
      <c r="KM120" s="148"/>
      <c r="KN120" s="148"/>
      <c r="KO120" s="148"/>
      <c r="KP120" s="148"/>
      <c r="KQ120" s="148"/>
      <c r="KR120" s="148"/>
      <c r="KS120" s="148"/>
      <c r="KT120" s="148"/>
      <c r="KU120" s="148"/>
      <c r="KV120" s="148"/>
      <c r="KW120" s="148"/>
      <c r="KX120" s="148"/>
      <c r="KY120" s="148"/>
      <c r="KZ120" s="148"/>
      <c r="LA120" s="148"/>
      <c r="LB120" s="148"/>
      <c r="LC120" s="148"/>
      <c r="LD120" s="148"/>
      <c r="LE120" s="148"/>
      <c r="LF120" s="148"/>
      <c r="LG120" s="148"/>
      <c r="LH120" s="148"/>
      <c r="LI120" s="148"/>
      <c r="LJ120" s="148"/>
      <c r="LK120" s="148"/>
      <c r="LL120" s="148"/>
      <c r="LM120" s="148"/>
      <c r="LN120" s="148"/>
      <c r="LO120" s="148"/>
      <c r="LP120" s="148"/>
      <c r="LQ120" s="148"/>
      <c r="LR120" s="148"/>
      <c r="LS120" s="148"/>
      <c r="LT120" s="148"/>
      <c r="LU120" s="148"/>
      <c r="LV120" s="148"/>
      <c r="LW120" s="148"/>
      <c r="LX120" s="148"/>
      <c r="LY120" s="148"/>
      <c r="LZ120" s="148"/>
      <c r="MA120" s="148"/>
      <c r="MB120" s="148"/>
      <c r="MC120" s="148"/>
      <c r="MD120" s="148"/>
      <c r="ME120" s="148"/>
      <c r="MF120" s="148"/>
      <c r="MG120" s="148"/>
      <c r="MH120" s="148"/>
      <c r="MI120" s="148"/>
      <c r="MJ120" s="148"/>
      <c r="MK120" s="148"/>
      <c r="ML120" s="148"/>
      <c r="MM120" s="148"/>
      <c r="MN120" s="148"/>
      <c r="MO120" s="148"/>
      <c r="MP120" s="148"/>
      <c r="MQ120" s="148"/>
      <c r="MR120" s="148"/>
      <c r="MS120" s="148"/>
      <c r="MT120" s="148"/>
      <c r="MU120" s="148"/>
      <c r="MV120" s="148"/>
      <c r="MW120" s="148"/>
      <c r="MX120" s="148"/>
      <c r="MY120" s="148"/>
      <c r="MZ120" s="148"/>
      <c r="NA120" s="148"/>
      <c r="NB120" s="148"/>
      <c r="NC120" s="148"/>
      <c r="ND120" s="148"/>
      <c r="NE120" s="148"/>
      <c r="NF120" s="148"/>
      <c r="NG120" s="148"/>
      <c r="NH120" s="148"/>
      <c r="NI120" s="148"/>
      <c r="NJ120" s="148"/>
      <c r="NK120" s="148"/>
      <c r="NL120" s="148"/>
      <c r="NM120" s="148"/>
      <c r="NN120" s="148"/>
      <c r="NO120" s="148"/>
      <c r="NP120" s="148"/>
      <c r="NQ120" s="148"/>
      <c r="NR120" s="148"/>
      <c r="NS120" s="148"/>
      <c r="NT120" s="148"/>
      <c r="NU120" s="148"/>
      <c r="NV120" s="148"/>
      <c r="NW120" s="148"/>
      <c r="NX120" s="148"/>
      <c r="NY120" s="148"/>
      <c r="NZ120" s="148"/>
      <c r="OA120" s="148"/>
      <c r="OB120" s="148"/>
      <c r="OC120" s="148"/>
      <c r="OD120" s="148"/>
      <c r="OE120" s="148"/>
      <c r="OF120" s="148"/>
      <c r="OG120" s="148"/>
      <c r="OH120" s="148"/>
      <c r="OI120" s="148"/>
      <c r="OJ120" s="148"/>
      <c r="OK120" s="148"/>
      <c r="OL120" s="148"/>
      <c r="OM120" s="148"/>
      <c r="ON120" s="148"/>
      <c r="OO120" s="148"/>
      <c r="OP120" s="148"/>
      <c r="OQ120" s="148"/>
      <c r="OR120" s="148"/>
      <c r="OS120" s="148"/>
      <c r="OT120" s="148"/>
      <c r="OU120" s="148"/>
      <c r="OV120" s="148"/>
      <c r="OW120" s="148"/>
      <c r="OX120" s="148"/>
      <c r="OY120" s="148"/>
      <c r="OZ120" s="148"/>
      <c r="PA120" s="148"/>
      <c r="PB120" s="148"/>
      <c r="PC120" s="148"/>
      <c r="PD120" s="148"/>
      <c r="PE120" s="148"/>
      <c r="PF120" s="148"/>
      <c r="PG120" s="148"/>
      <c r="PH120" s="148"/>
      <c r="PI120" s="148"/>
      <c r="PJ120" s="148"/>
      <c r="PK120" s="148"/>
      <c r="PL120" s="148"/>
      <c r="PM120" s="148"/>
      <c r="PN120" s="148"/>
      <c r="PO120" s="148"/>
      <c r="PP120" s="148"/>
      <c r="PQ120" s="148"/>
      <c r="PR120" s="148"/>
      <c r="PS120" s="148"/>
      <c r="PT120" s="148"/>
      <c r="PU120" s="148"/>
      <c r="PV120" s="148"/>
      <c r="PW120" s="148"/>
      <c r="PX120" s="148"/>
      <c r="PY120" s="148"/>
      <c r="PZ120" s="148"/>
      <c r="QA120" s="148"/>
      <c r="QB120" s="148"/>
      <c r="QC120" s="148"/>
      <c r="QD120" s="148"/>
      <c r="QE120" s="148"/>
      <c r="QF120" s="148"/>
      <c r="QG120" s="148"/>
      <c r="QH120" s="148"/>
      <c r="QI120" s="148"/>
      <c r="QJ120" s="148"/>
      <c r="QK120" s="148"/>
      <c r="QL120" s="148"/>
      <c r="QM120" s="148"/>
      <c r="QN120" s="148"/>
      <c r="QO120" s="148"/>
      <c r="QP120" s="148"/>
      <c r="QQ120" s="148"/>
      <c r="QR120" s="148"/>
      <c r="QS120" s="148"/>
      <c r="QT120" s="148"/>
      <c r="QU120" s="148"/>
      <c r="QV120" s="148"/>
      <c r="QW120" s="148"/>
      <c r="QX120" s="148"/>
      <c r="QY120" s="148"/>
      <c r="QZ120" s="148"/>
      <c r="RA120" s="148"/>
      <c r="RB120" s="148"/>
      <c r="RC120" s="148"/>
      <c r="RD120" s="148"/>
      <c r="RE120" s="148"/>
      <c r="RF120" s="148"/>
      <c r="RG120" s="148"/>
      <c r="RH120" s="148"/>
      <c r="RI120" s="148"/>
      <c r="RJ120" s="148"/>
      <c r="RK120" s="148"/>
      <c r="RL120" s="148"/>
      <c r="RM120" s="148"/>
      <c r="RN120" s="148"/>
      <c r="RO120" s="148"/>
      <c r="RP120" s="148"/>
      <c r="RQ120" s="148"/>
      <c r="RR120" s="148"/>
    </row>
    <row r="121" spans="1:486" s="15" customFormat="1" hidden="1" x14ac:dyDescent="0.25">
      <c r="A121" s="148"/>
      <c r="B121" s="350">
        <v>111</v>
      </c>
      <c r="C121" s="650"/>
      <c r="D121" s="16"/>
      <c r="E121" s="344"/>
      <c r="F121" s="344"/>
      <c r="G121" s="17"/>
      <c r="H121" s="317"/>
      <c r="I121" s="346"/>
      <c r="J121" s="341"/>
      <c r="K121" s="633"/>
      <c r="L121" s="633"/>
      <c r="M121" s="633"/>
      <c r="N121" s="633"/>
      <c r="O121" s="633"/>
      <c r="P121" s="633"/>
      <c r="Q121" s="633"/>
      <c r="R121" s="633"/>
      <c r="S121" s="633"/>
      <c r="T121" s="633"/>
      <c r="U121" s="633"/>
      <c r="V121" s="633"/>
      <c r="W121" s="633"/>
      <c r="X121" s="633"/>
      <c r="Y121" s="633">
        <f t="shared" si="3"/>
        <v>0</v>
      </c>
      <c r="Z121" s="310"/>
      <c r="AA121" s="19"/>
      <c r="AB121" s="315"/>
      <c r="AC121" s="315"/>
      <c r="AD121" s="652"/>
      <c r="AE121" s="20"/>
      <c r="AF121" s="21"/>
      <c r="AG121" s="23"/>
      <c r="AH121" s="637"/>
      <c r="AI121" s="19"/>
      <c r="AJ121" s="21"/>
      <c r="AK121" s="25"/>
      <c r="AL121" s="309"/>
      <c r="AM121" s="19"/>
      <c r="AN121" s="21"/>
      <c r="AO121" s="25"/>
      <c r="AP121" s="309"/>
      <c r="AQ121" s="19"/>
      <c r="AR121" s="21"/>
      <c r="AS121" s="25"/>
      <c r="AT121" s="638">
        <f t="shared" si="4"/>
        <v>0</v>
      </c>
      <c r="AU121" s="311">
        <f t="shared" si="0"/>
        <v>0</v>
      </c>
      <c r="AV121" s="148"/>
      <c r="AW121" s="148"/>
      <c r="AX121" s="148"/>
      <c r="AY121" s="148"/>
      <c r="AZ121" s="148"/>
      <c r="BA121" s="148"/>
      <c r="BB121" s="148"/>
      <c r="BC121" s="148"/>
      <c r="BD121" s="148"/>
      <c r="BE121" s="148"/>
      <c r="BF121" s="148"/>
      <c r="BG121" s="148"/>
      <c r="BH121" s="148"/>
      <c r="BI121" s="148"/>
      <c r="BJ121" s="148"/>
      <c r="BK121" s="148"/>
      <c r="BL121" s="148"/>
      <c r="BM121" s="148"/>
      <c r="BN121" s="148"/>
      <c r="BO121" s="148"/>
      <c r="BP121" s="148"/>
      <c r="BQ121" s="148"/>
      <c r="BR121" s="148"/>
      <c r="BS121" s="148"/>
      <c r="BT121" s="148"/>
      <c r="BU121" s="148"/>
      <c r="BV121" s="148"/>
      <c r="BW121" s="148"/>
      <c r="BX121" s="148"/>
      <c r="BY121" s="148"/>
      <c r="BZ121" s="148"/>
      <c r="CA121" s="148"/>
      <c r="CB121" s="148"/>
      <c r="CC121" s="148"/>
      <c r="CD121" s="148"/>
      <c r="CE121" s="148"/>
      <c r="CF121" s="148"/>
      <c r="CG121" s="148"/>
      <c r="CH121" s="148"/>
      <c r="CI121" s="148"/>
      <c r="CJ121" s="148"/>
      <c r="CK121" s="148"/>
      <c r="CL121" s="148"/>
      <c r="CM121" s="148"/>
      <c r="CN121" s="148"/>
      <c r="CO121" s="148"/>
      <c r="CP121" s="148"/>
      <c r="CQ121" s="148"/>
      <c r="CR121" s="148"/>
      <c r="CS121" s="148"/>
      <c r="CT121" s="148"/>
      <c r="CU121" s="148"/>
      <c r="CV121" s="148"/>
      <c r="CW121" s="148"/>
      <c r="CX121" s="148"/>
      <c r="CY121" s="148"/>
      <c r="CZ121" s="148"/>
      <c r="DA121" s="148"/>
      <c r="DB121" s="148"/>
      <c r="DC121" s="148"/>
      <c r="DD121" s="148"/>
      <c r="DE121" s="148"/>
      <c r="DF121" s="148"/>
      <c r="DG121" s="148"/>
      <c r="DH121" s="148"/>
      <c r="DI121" s="148"/>
      <c r="DJ121" s="148"/>
      <c r="DK121" s="148"/>
      <c r="DL121" s="148"/>
      <c r="DM121" s="148"/>
      <c r="DN121" s="148"/>
      <c r="DO121" s="148"/>
      <c r="DP121" s="148"/>
      <c r="DQ121" s="148"/>
      <c r="DR121" s="148"/>
      <c r="DS121" s="148"/>
      <c r="DT121" s="148"/>
      <c r="DU121" s="148"/>
      <c r="DV121" s="148"/>
      <c r="DW121" s="148"/>
      <c r="DX121" s="148"/>
      <c r="DY121" s="148"/>
      <c r="DZ121" s="148"/>
      <c r="EA121" s="148"/>
      <c r="EB121" s="148"/>
      <c r="EC121" s="148"/>
      <c r="ED121" s="148"/>
      <c r="EE121" s="148"/>
      <c r="EF121" s="148"/>
      <c r="EG121" s="148"/>
      <c r="EH121" s="148"/>
      <c r="EI121" s="148"/>
      <c r="EJ121" s="148"/>
      <c r="EK121" s="148"/>
      <c r="EL121" s="148"/>
      <c r="EM121" s="148"/>
      <c r="EN121" s="148"/>
      <c r="EO121" s="148"/>
      <c r="EP121" s="148"/>
      <c r="EQ121" s="148"/>
      <c r="ER121" s="148"/>
      <c r="ES121" s="148"/>
      <c r="ET121" s="148"/>
      <c r="EU121" s="148"/>
      <c r="EV121" s="148"/>
      <c r="EW121" s="148"/>
      <c r="EX121" s="148"/>
      <c r="EY121" s="148"/>
      <c r="EZ121" s="148"/>
      <c r="FA121" s="148"/>
      <c r="FB121" s="148"/>
      <c r="FC121" s="148"/>
      <c r="FD121" s="148"/>
      <c r="FE121" s="148"/>
      <c r="FF121" s="148"/>
      <c r="FG121" s="148"/>
      <c r="FH121" s="148"/>
      <c r="FI121" s="148"/>
      <c r="FJ121" s="148"/>
      <c r="FK121" s="148"/>
      <c r="FL121" s="148"/>
      <c r="FM121" s="148"/>
      <c r="FN121" s="148"/>
      <c r="FO121" s="148"/>
      <c r="FP121" s="148"/>
      <c r="FQ121" s="148"/>
      <c r="FR121" s="148"/>
      <c r="FS121" s="148"/>
      <c r="FT121" s="148"/>
      <c r="FU121" s="148"/>
      <c r="FV121" s="148"/>
      <c r="FW121" s="148"/>
      <c r="FX121" s="148"/>
      <c r="FY121" s="148"/>
      <c r="FZ121" s="148"/>
      <c r="GA121" s="148"/>
      <c r="GB121" s="148"/>
      <c r="GC121" s="148"/>
      <c r="GD121" s="148"/>
      <c r="GE121" s="148"/>
      <c r="GF121" s="148"/>
      <c r="GG121" s="148"/>
      <c r="GH121" s="148"/>
      <c r="GI121" s="148"/>
      <c r="GJ121" s="148"/>
      <c r="GK121" s="148"/>
      <c r="GL121" s="148"/>
      <c r="GM121" s="148"/>
      <c r="GN121" s="148"/>
      <c r="GO121" s="148"/>
      <c r="GP121" s="148"/>
      <c r="GQ121" s="148"/>
      <c r="GR121" s="148"/>
      <c r="GS121" s="148"/>
      <c r="GT121" s="148"/>
      <c r="GU121" s="148"/>
      <c r="GV121" s="148"/>
      <c r="GW121" s="148"/>
      <c r="GX121" s="148"/>
      <c r="GY121" s="148"/>
      <c r="GZ121" s="148"/>
      <c r="HA121" s="148"/>
      <c r="HB121" s="148"/>
      <c r="HC121" s="148"/>
      <c r="HD121" s="148"/>
      <c r="HE121" s="148"/>
      <c r="HF121" s="148"/>
      <c r="HG121" s="148"/>
      <c r="HH121" s="148"/>
      <c r="HI121" s="148"/>
      <c r="HJ121" s="148"/>
      <c r="HK121" s="148"/>
      <c r="HL121" s="148"/>
      <c r="HM121" s="148"/>
      <c r="HN121" s="148"/>
      <c r="HO121" s="148"/>
      <c r="HP121" s="148"/>
      <c r="HQ121" s="148"/>
      <c r="HR121" s="148"/>
      <c r="HS121" s="148"/>
      <c r="HT121" s="148"/>
      <c r="HU121" s="148"/>
      <c r="HV121" s="148"/>
      <c r="HW121" s="148"/>
      <c r="HX121" s="148"/>
      <c r="HY121" s="148"/>
      <c r="HZ121" s="148"/>
      <c r="IA121" s="148"/>
      <c r="IB121" s="148"/>
      <c r="IC121" s="148"/>
      <c r="ID121" s="148"/>
      <c r="IE121" s="148"/>
      <c r="IF121" s="148"/>
      <c r="IG121" s="148"/>
      <c r="IH121" s="148"/>
      <c r="II121" s="148"/>
      <c r="IJ121" s="148"/>
      <c r="IK121" s="148"/>
      <c r="IL121" s="148"/>
      <c r="IM121" s="148"/>
      <c r="IN121" s="148"/>
      <c r="IO121" s="148"/>
      <c r="IP121" s="148"/>
      <c r="IQ121" s="148"/>
      <c r="IR121" s="148"/>
      <c r="IS121" s="148"/>
      <c r="IT121" s="148"/>
      <c r="IU121" s="148"/>
      <c r="IV121" s="148"/>
      <c r="IW121" s="148"/>
      <c r="IX121" s="148"/>
      <c r="IY121" s="148"/>
      <c r="IZ121" s="148"/>
      <c r="JA121" s="148"/>
      <c r="JB121" s="148"/>
      <c r="JC121" s="148"/>
      <c r="JD121" s="148"/>
      <c r="JE121" s="148"/>
      <c r="JF121" s="148"/>
      <c r="JG121" s="148"/>
      <c r="JH121" s="148"/>
      <c r="JI121" s="148"/>
      <c r="JJ121" s="148"/>
      <c r="JK121" s="148"/>
      <c r="JL121" s="148"/>
      <c r="JM121" s="148"/>
      <c r="JN121" s="148"/>
      <c r="JO121" s="148"/>
      <c r="JP121" s="148"/>
      <c r="JQ121" s="148"/>
      <c r="JR121" s="148"/>
      <c r="JS121" s="148"/>
      <c r="JT121" s="148"/>
      <c r="JU121" s="148"/>
      <c r="JV121" s="148"/>
      <c r="JW121" s="148"/>
      <c r="JX121" s="148"/>
      <c r="JY121" s="148"/>
      <c r="JZ121" s="148"/>
      <c r="KA121" s="148"/>
      <c r="KB121" s="148"/>
      <c r="KC121" s="148"/>
      <c r="KD121" s="148"/>
      <c r="KE121" s="148"/>
      <c r="KF121" s="148"/>
      <c r="KG121" s="148"/>
      <c r="KH121" s="148"/>
      <c r="KI121" s="148"/>
      <c r="KJ121" s="148"/>
      <c r="KK121" s="148"/>
      <c r="KL121" s="148"/>
      <c r="KM121" s="148"/>
      <c r="KN121" s="148"/>
      <c r="KO121" s="148"/>
      <c r="KP121" s="148"/>
      <c r="KQ121" s="148"/>
      <c r="KR121" s="148"/>
      <c r="KS121" s="148"/>
      <c r="KT121" s="148"/>
      <c r="KU121" s="148"/>
      <c r="KV121" s="148"/>
      <c r="KW121" s="148"/>
      <c r="KX121" s="148"/>
      <c r="KY121" s="148"/>
      <c r="KZ121" s="148"/>
      <c r="LA121" s="148"/>
      <c r="LB121" s="148"/>
      <c r="LC121" s="148"/>
      <c r="LD121" s="148"/>
      <c r="LE121" s="148"/>
      <c r="LF121" s="148"/>
      <c r="LG121" s="148"/>
      <c r="LH121" s="148"/>
      <c r="LI121" s="148"/>
      <c r="LJ121" s="148"/>
      <c r="LK121" s="148"/>
      <c r="LL121" s="148"/>
      <c r="LM121" s="148"/>
      <c r="LN121" s="148"/>
      <c r="LO121" s="148"/>
      <c r="LP121" s="148"/>
      <c r="LQ121" s="148"/>
      <c r="LR121" s="148"/>
      <c r="LS121" s="148"/>
      <c r="LT121" s="148"/>
      <c r="LU121" s="148"/>
      <c r="LV121" s="148"/>
      <c r="LW121" s="148"/>
      <c r="LX121" s="148"/>
      <c r="LY121" s="148"/>
      <c r="LZ121" s="148"/>
      <c r="MA121" s="148"/>
      <c r="MB121" s="148"/>
      <c r="MC121" s="148"/>
      <c r="MD121" s="148"/>
      <c r="ME121" s="148"/>
      <c r="MF121" s="148"/>
      <c r="MG121" s="148"/>
      <c r="MH121" s="148"/>
      <c r="MI121" s="148"/>
      <c r="MJ121" s="148"/>
      <c r="MK121" s="148"/>
      <c r="ML121" s="148"/>
      <c r="MM121" s="148"/>
      <c r="MN121" s="148"/>
      <c r="MO121" s="148"/>
      <c r="MP121" s="148"/>
      <c r="MQ121" s="148"/>
      <c r="MR121" s="148"/>
      <c r="MS121" s="148"/>
      <c r="MT121" s="148"/>
      <c r="MU121" s="148"/>
      <c r="MV121" s="148"/>
      <c r="MW121" s="148"/>
      <c r="MX121" s="148"/>
      <c r="MY121" s="148"/>
      <c r="MZ121" s="148"/>
      <c r="NA121" s="148"/>
      <c r="NB121" s="148"/>
      <c r="NC121" s="148"/>
      <c r="ND121" s="148"/>
      <c r="NE121" s="148"/>
      <c r="NF121" s="148"/>
      <c r="NG121" s="148"/>
      <c r="NH121" s="148"/>
      <c r="NI121" s="148"/>
      <c r="NJ121" s="148"/>
      <c r="NK121" s="148"/>
      <c r="NL121" s="148"/>
      <c r="NM121" s="148"/>
      <c r="NN121" s="148"/>
      <c r="NO121" s="148"/>
      <c r="NP121" s="148"/>
      <c r="NQ121" s="148"/>
      <c r="NR121" s="148"/>
      <c r="NS121" s="148"/>
      <c r="NT121" s="148"/>
      <c r="NU121" s="148"/>
      <c r="NV121" s="148"/>
      <c r="NW121" s="148"/>
      <c r="NX121" s="148"/>
      <c r="NY121" s="148"/>
      <c r="NZ121" s="148"/>
      <c r="OA121" s="148"/>
      <c r="OB121" s="148"/>
      <c r="OC121" s="148"/>
      <c r="OD121" s="148"/>
      <c r="OE121" s="148"/>
      <c r="OF121" s="148"/>
      <c r="OG121" s="148"/>
      <c r="OH121" s="148"/>
      <c r="OI121" s="148"/>
      <c r="OJ121" s="148"/>
      <c r="OK121" s="148"/>
      <c r="OL121" s="148"/>
      <c r="OM121" s="148"/>
      <c r="ON121" s="148"/>
      <c r="OO121" s="148"/>
      <c r="OP121" s="148"/>
      <c r="OQ121" s="148"/>
      <c r="OR121" s="148"/>
      <c r="OS121" s="148"/>
      <c r="OT121" s="148"/>
      <c r="OU121" s="148"/>
      <c r="OV121" s="148"/>
      <c r="OW121" s="148"/>
      <c r="OX121" s="148"/>
      <c r="OY121" s="148"/>
      <c r="OZ121" s="148"/>
      <c r="PA121" s="148"/>
      <c r="PB121" s="148"/>
      <c r="PC121" s="148"/>
      <c r="PD121" s="148"/>
      <c r="PE121" s="148"/>
      <c r="PF121" s="148"/>
      <c r="PG121" s="148"/>
      <c r="PH121" s="148"/>
      <c r="PI121" s="148"/>
      <c r="PJ121" s="148"/>
      <c r="PK121" s="148"/>
      <c r="PL121" s="148"/>
      <c r="PM121" s="148"/>
      <c r="PN121" s="148"/>
      <c r="PO121" s="148"/>
      <c r="PP121" s="148"/>
      <c r="PQ121" s="148"/>
      <c r="PR121" s="148"/>
      <c r="PS121" s="148"/>
      <c r="PT121" s="148"/>
      <c r="PU121" s="148"/>
      <c r="PV121" s="148"/>
      <c r="PW121" s="148"/>
      <c r="PX121" s="148"/>
      <c r="PY121" s="148"/>
      <c r="PZ121" s="148"/>
      <c r="QA121" s="148"/>
      <c r="QB121" s="148"/>
      <c r="QC121" s="148"/>
      <c r="QD121" s="148"/>
      <c r="QE121" s="148"/>
      <c r="QF121" s="148"/>
      <c r="QG121" s="148"/>
      <c r="QH121" s="148"/>
      <c r="QI121" s="148"/>
      <c r="QJ121" s="148"/>
      <c r="QK121" s="148"/>
      <c r="QL121" s="148"/>
      <c r="QM121" s="148"/>
      <c r="QN121" s="148"/>
      <c r="QO121" s="148"/>
      <c r="QP121" s="148"/>
      <c r="QQ121" s="148"/>
      <c r="QR121" s="148"/>
      <c r="QS121" s="148"/>
      <c r="QT121" s="148"/>
      <c r="QU121" s="148"/>
      <c r="QV121" s="148"/>
      <c r="QW121" s="148"/>
      <c r="QX121" s="148"/>
      <c r="QY121" s="148"/>
      <c r="QZ121" s="148"/>
      <c r="RA121" s="148"/>
      <c r="RB121" s="148"/>
      <c r="RC121" s="148"/>
      <c r="RD121" s="148"/>
      <c r="RE121" s="148"/>
      <c r="RF121" s="148"/>
      <c r="RG121" s="148"/>
      <c r="RH121" s="148"/>
      <c r="RI121" s="148"/>
      <c r="RJ121" s="148"/>
      <c r="RK121" s="148"/>
      <c r="RL121" s="148"/>
      <c r="RM121" s="148"/>
      <c r="RN121" s="148"/>
      <c r="RO121" s="148"/>
      <c r="RP121" s="148"/>
      <c r="RQ121" s="148"/>
      <c r="RR121" s="148"/>
    </row>
    <row r="122" spans="1:486" s="15" customFormat="1" hidden="1" x14ac:dyDescent="0.25">
      <c r="A122" s="148"/>
      <c r="B122" s="350">
        <v>112</v>
      </c>
      <c r="C122" s="650"/>
      <c r="D122" s="16"/>
      <c r="E122" s="344"/>
      <c r="F122" s="344"/>
      <c r="G122" s="17"/>
      <c r="H122" s="317"/>
      <c r="I122" s="346"/>
      <c r="J122" s="341"/>
      <c r="K122" s="633"/>
      <c r="L122" s="633"/>
      <c r="M122" s="633"/>
      <c r="N122" s="633"/>
      <c r="O122" s="633"/>
      <c r="P122" s="633"/>
      <c r="Q122" s="633"/>
      <c r="R122" s="633"/>
      <c r="S122" s="633"/>
      <c r="T122" s="633"/>
      <c r="U122" s="633"/>
      <c r="V122" s="633"/>
      <c r="W122" s="633"/>
      <c r="X122" s="633"/>
      <c r="Y122" s="633">
        <f t="shared" si="3"/>
        <v>0</v>
      </c>
      <c r="Z122" s="310"/>
      <c r="AA122" s="19"/>
      <c r="AB122" s="315"/>
      <c r="AC122" s="315"/>
      <c r="AD122" s="652"/>
      <c r="AE122" s="20"/>
      <c r="AF122" s="21"/>
      <c r="AG122" s="23"/>
      <c r="AH122" s="637"/>
      <c r="AI122" s="19"/>
      <c r="AJ122" s="21"/>
      <c r="AK122" s="25"/>
      <c r="AL122" s="309"/>
      <c r="AM122" s="19"/>
      <c r="AN122" s="21"/>
      <c r="AO122" s="25"/>
      <c r="AP122" s="309"/>
      <c r="AQ122" s="19"/>
      <c r="AR122" s="21"/>
      <c r="AS122" s="25"/>
      <c r="AT122" s="638">
        <f t="shared" si="4"/>
        <v>0</v>
      </c>
      <c r="AU122" s="311">
        <f t="shared" si="0"/>
        <v>0</v>
      </c>
      <c r="AV122" s="148"/>
      <c r="AW122" s="148"/>
      <c r="AX122" s="148"/>
      <c r="AY122" s="148"/>
      <c r="AZ122" s="148"/>
      <c r="BA122" s="148"/>
      <c r="BB122" s="148"/>
      <c r="BC122" s="148"/>
      <c r="BD122" s="148"/>
      <c r="BE122" s="148"/>
      <c r="BF122" s="148"/>
      <c r="BG122" s="148"/>
      <c r="BH122" s="148"/>
      <c r="BI122" s="148"/>
      <c r="BJ122" s="148"/>
      <c r="BK122" s="148"/>
      <c r="BL122" s="148"/>
      <c r="BM122" s="148"/>
      <c r="BN122" s="148"/>
      <c r="BO122" s="148"/>
      <c r="BP122" s="148"/>
      <c r="BQ122" s="148"/>
      <c r="BR122" s="148"/>
      <c r="BS122" s="148"/>
      <c r="BT122" s="148"/>
      <c r="BU122" s="148"/>
      <c r="BV122" s="148"/>
      <c r="BW122" s="148"/>
      <c r="BX122" s="148"/>
      <c r="BY122" s="148"/>
      <c r="BZ122" s="148"/>
      <c r="CA122" s="148"/>
      <c r="CB122" s="148"/>
      <c r="CC122" s="148"/>
      <c r="CD122" s="148"/>
      <c r="CE122" s="148"/>
      <c r="CF122" s="148"/>
      <c r="CG122" s="148"/>
      <c r="CH122" s="148"/>
      <c r="CI122" s="148"/>
      <c r="CJ122" s="148"/>
      <c r="CK122" s="148"/>
      <c r="CL122" s="148"/>
      <c r="CM122" s="148"/>
      <c r="CN122" s="148"/>
      <c r="CO122" s="148"/>
      <c r="CP122" s="148"/>
      <c r="CQ122" s="148"/>
      <c r="CR122" s="148"/>
      <c r="CS122" s="148"/>
      <c r="CT122" s="148"/>
      <c r="CU122" s="148"/>
      <c r="CV122" s="148"/>
      <c r="CW122" s="148"/>
      <c r="CX122" s="148"/>
      <c r="CY122" s="148"/>
      <c r="CZ122" s="148"/>
      <c r="DA122" s="148"/>
      <c r="DB122" s="148"/>
      <c r="DC122" s="148"/>
      <c r="DD122" s="148"/>
      <c r="DE122" s="148"/>
      <c r="DF122" s="148"/>
      <c r="DG122" s="148"/>
      <c r="DH122" s="148"/>
      <c r="DI122" s="148"/>
      <c r="DJ122" s="148"/>
      <c r="DK122" s="148"/>
      <c r="DL122" s="148"/>
      <c r="DM122" s="148"/>
      <c r="DN122" s="148"/>
      <c r="DO122" s="148"/>
      <c r="DP122" s="148"/>
      <c r="DQ122" s="148"/>
      <c r="DR122" s="148"/>
      <c r="DS122" s="148"/>
      <c r="DT122" s="148"/>
      <c r="DU122" s="148"/>
      <c r="DV122" s="148"/>
      <c r="DW122" s="148"/>
      <c r="DX122" s="148"/>
      <c r="DY122" s="148"/>
      <c r="DZ122" s="148"/>
      <c r="EA122" s="148"/>
      <c r="EB122" s="148"/>
      <c r="EC122" s="148"/>
      <c r="ED122" s="148"/>
      <c r="EE122" s="148"/>
      <c r="EF122" s="148"/>
      <c r="EG122" s="148"/>
      <c r="EH122" s="148"/>
      <c r="EI122" s="148"/>
      <c r="EJ122" s="148"/>
      <c r="EK122" s="148"/>
      <c r="EL122" s="148"/>
      <c r="EM122" s="148"/>
      <c r="EN122" s="148"/>
      <c r="EO122" s="148"/>
      <c r="EP122" s="148"/>
      <c r="EQ122" s="148"/>
      <c r="ER122" s="148"/>
      <c r="ES122" s="148"/>
      <c r="ET122" s="148"/>
      <c r="EU122" s="148"/>
      <c r="EV122" s="148"/>
      <c r="EW122" s="148"/>
      <c r="EX122" s="148"/>
      <c r="EY122" s="148"/>
      <c r="EZ122" s="148"/>
      <c r="FA122" s="148"/>
      <c r="FB122" s="148"/>
      <c r="FC122" s="148"/>
      <c r="FD122" s="148"/>
      <c r="FE122" s="148"/>
      <c r="FF122" s="148"/>
      <c r="FG122" s="148"/>
      <c r="FH122" s="148"/>
      <c r="FI122" s="148"/>
      <c r="FJ122" s="148"/>
      <c r="FK122" s="148"/>
      <c r="FL122" s="148"/>
      <c r="FM122" s="148"/>
      <c r="FN122" s="148"/>
      <c r="FO122" s="148"/>
      <c r="FP122" s="148"/>
      <c r="FQ122" s="148"/>
      <c r="FR122" s="148"/>
      <c r="FS122" s="148"/>
      <c r="FT122" s="148"/>
      <c r="FU122" s="148"/>
      <c r="FV122" s="148"/>
      <c r="FW122" s="148"/>
      <c r="FX122" s="148"/>
      <c r="FY122" s="148"/>
      <c r="FZ122" s="148"/>
      <c r="GA122" s="148"/>
      <c r="GB122" s="148"/>
      <c r="GC122" s="148"/>
      <c r="GD122" s="148"/>
      <c r="GE122" s="148"/>
      <c r="GF122" s="148"/>
      <c r="GG122" s="148"/>
      <c r="GH122" s="148"/>
      <c r="GI122" s="148"/>
      <c r="GJ122" s="148"/>
      <c r="GK122" s="148"/>
      <c r="GL122" s="148"/>
      <c r="GM122" s="148"/>
      <c r="GN122" s="148"/>
      <c r="GO122" s="148"/>
      <c r="GP122" s="148"/>
      <c r="GQ122" s="148"/>
      <c r="GR122" s="148"/>
      <c r="GS122" s="148"/>
      <c r="GT122" s="148"/>
      <c r="GU122" s="148"/>
      <c r="GV122" s="148"/>
      <c r="GW122" s="148"/>
      <c r="GX122" s="148"/>
      <c r="GY122" s="148"/>
      <c r="GZ122" s="148"/>
      <c r="HA122" s="148"/>
      <c r="HB122" s="148"/>
      <c r="HC122" s="148"/>
      <c r="HD122" s="148"/>
      <c r="HE122" s="148"/>
      <c r="HF122" s="148"/>
      <c r="HG122" s="148"/>
      <c r="HH122" s="148"/>
      <c r="HI122" s="148"/>
      <c r="HJ122" s="148"/>
      <c r="HK122" s="148"/>
      <c r="HL122" s="148"/>
      <c r="HM122" s="148"/>
      <c r="HN122" s="148"/>
      <c r="HO122" s="148"/>
      <c r="HP122" s="148"/>
      <c r="HQ122" s="148"/>
      <c r="HR122" s="148"/>
      <c r="HS122" s="148"/>
      <c r="HT122" s="148"/>
      <c r="HU122" s="148"/>
      <c r="HV122" s="148"/>
      <c r="HW122" s="148"/>
      <c r="HX122" s="148"/>
      <c r="HY122" s="148"/>
      <c r="HZ122" s="148"/>
      <c r="IA122" s="148"/>
      <c r="IB122" s="148"/>
      <c r="IC122" s="148"/>
      <c r="ID122" s="148"/>
      <c r="IE122" s="148"/>
      <c r="IF122" s="148"/>
      <c r="IG122" s="148"/>
      <c r="IH122" s="148"/>
      <c r="II122" s="148"/>
      <c r="IJ122" s="148"/>
      <c r="IK122" s="148"/>
      <c r="IL122" s="148"/>
      <c r="IM122" s="148"/>
      <c r="IN122" s="148"/>
      <c r="IO122" s="148"/>
      <c r="IP122" s="148"/>
      <c r="IQ122" s="148"/>
      <c r="IR122" s="148"/>
      <c r="IS122" s="148"/>
      <c r="IT122" s="148"/>
      <c r="IU122" s="148"/>
      <c r="IV122" s="148"/>
      <c r="IW122" s="148"/>
      <c r="IX122" s="148"/>
      <c r="IY122" s="148"/>
      <c r="IZ122" s="148"/>
      <c r="JA122" s="148"/>
      <c r="JB122" s="148"/>
      <c r="JC122" s="148"/>
      <c r="JD122" s="148"/>
      <c r="JE122" s="148"/>
      <c r="JF122" s="148"/>
      <c r="JG122" s="148"/>
      <c r="JH122" s="148"/>
      <c r="JI122" s="148"/>
      <c r="JJ122" s="148"/>
      <c r="JK122" s="148"/>
      <c r="JL122" s="148"/>
      <c r="JM122" s="148"/>
      <c r="JN122" s="148"/>
      <c r="JO122" s="148"/>
      <c r="JP122" s="148"/>
      <c r="JQ122" s="148"/>
      <c r="JR122" s="148"/>
      <c r="JS122" s="148"/>
      <c r="JT122" s="148"/>
      <c r="JU122" s="148"/>
      <c r="JV122" s="148"/>
      <c r="JW122" s="148"/>
      <c r="JX122" s="148"/>
      <c r="JY122" s="148"/>
      <c r="JZ122" s="148"/>
      <c r="KA122" s="148"/>
      <c r="KB122" s="148"/>
      <c r="KC122" s="148"/>
      <c r="KD122" s="148"/>
      <c r="KE122" s="148"/>
      <c r="KF122" s="148"/>
      <c r="KG122" s="148"/>
      <c r="KH122" s="148"/>
      <c r="KI122" s="148"/>
      <c r="KJ122" s="148"/>
      <c r="KK122" s="148"/>
      <c r="KL122" s="148"/>
      <c r="KM122" s="148"/>
      <c r="KN122" s="148"/>
      <c r="KO122" s="148"/>
      <c r="KP122" s="148"/>
      <c r="KQ122" s="148"/>
      <c r="KR122" s="148"/>
      <c r="KS122" s="148"/>
      <c r="KT122" s="148"/>
      <c r="KU122" s="148"/>
      <c r="KV122" s="148"/>
      <c r="KW122" s="148"/>
      <c r="KX122" s="148"/>
      <c r="KY122" s="148"/>
      <c r="KZ122" s="148"/>
      <c r="LA122" s="148"/>
      <c r="LB122" s="148"/>
      <c r="LC122" s="148"/>
      <c r="LD122" s="148"/>
      <c r="LE122" s="148"/>
      <c r="LF122" s="148"/>
      <c r="LG122" s="148"/>
      <c r="LH122" s="148"/>
      <c r="LI122" s="148"/>
      <c r="LJ122" s="148"/>
      <c r="LK122" s="148"/>
      <c r="LL122" s="148"/>
      <c r="LM122" s="148"/>
      <c r="LN122" s="148"/>
      <c r="LO122" s="148"/>
      <c r="LP122" s="148"/>
      <c r="LQ122" s="148"/>
      <c r="LR122" s="148"/>
      <c r="LS122" s="148"/>
      <c r="LT122" s="148"/>
      <c r="LU122" s="148"/>
      <c r="LV122" s="148"/>
      <c r="LW122" s="148"/>
      <c r="LX122" s="148"/>
      <c r="LY122" s="148"/>
      <c r="LZ122" s="148"/>
      <c r="MA122" s="148"/>
      <c r="MB122" s="148"/>
      <c r="MC122" s="148"/>
      <c r="MD122" s="148"/>
      <c r="ME122" s="148"/>
      <c r="MF122" s="148"/>
      <c r="MG122" s="148"/>
      <c r="MH122" s="148"/>
      <c r="MI122" s="148"/>
      <c r="MJ122" s="148"/>
      <c r="MK122" s="148"/>
      <c r="ML122" s="148"/>
      <c r="MM122" s="148"/>
      <c r="MN122" s="148"/>
      <c r="MO122" s="148"/>
      <c r="MP122" s="148"/>
      <c r="MQ122" s="148"/>
      <c r="MR122" s="148"/>
      <c r="MS122" s="148"/>
      <c r="MT122" s="148"/>
      <c r="MU122" s="148"/>
      <c r="MV122" s="148"/>
      <c r="MW122" s="148"/>
      <c r="MX122" s="148"/>
      <c r="MY122" s="148"/>
      <c r="MZ122" s="148"/>
      <c r="NA122" s="148"/>
      <c r="NB122" s="148"/>
      <c r="NC122" s="148"/>
      <c r="ND122" s="148"/>
      <c r="NE122" s="148"/>
      <c r="NF122" s="148"/>
      <c r="NG122" s="148"/>
      <c r="NH122" s="148"/>
      <c r="NI122" s="148"/>
      <c r="NJ122" s="148"/>
      <c r="NK122" s="148"/>
      <c r="NL122" s="148"/>
      <c r="NM122" s="148"/>
      <c r="NN122" s="148"/>
      <c r="NO122" s="148"/>
      <c r="NP122" s="148"/>
      <c r="NQ122" s="148"/>
      <c r="NR122" s="148"/>
      <c r="NS122" s="148"/>
      <c r="NT122" s="148"/>
      <c r="NU122" s="148"/>
      <c r="NV122" s="148"/>
      <c r="NW122" s="148"/>
      <c r="NX122" s="148"/>
      <c r="NY122" s="148"/>
      <c r="NZ122" s="148"/>
      <c r="OA122" s="148"/>
      <c r="OB122" s="148"/>
      <c r="OC122" s="148"/>
      <c r="OD122" s="148"/>
      <c r="OE122" s="148"/>
      <c r="OF122" s="148"/>
      <c r="OG122" s="148"/>
      <c r="OH122" s="148"/>
      <c r="OI122" s="148"/>
      <c r="OJ122" s="148"/>
      <c r="OK122" s="148"/>
      <c r="OL122" s="148"/>
      <c r="OM122" s="148"/>
      <c r="ON122" s="148"/>
      <c r="OO122" s="148"/>
      <c r="OP122" s="148"/>
      <c r="OQ122" s="148"/>
      <c r="OR122" s="148"/>
      <c r="OS122" s="148"/>
      <c r="OT122" s="148"/>
      <c r="OU122" s="148"/>
      <c r="OV122" s="148"/>
      <c r="OW122" s="148"/>
      <c r="OX122" s="148"/>
      <c r="OY122" s="148"/>
      <c r="OZ122" s="148"/>
      <c r="PA122" s="148"/>
      <c r="PB122" s="148"/>
      <c r="PC122" s="148"/>
      <c r="PD122" s="148"/>
      <c r="PE122" s="148"/>
      <c r="PF122" s="148"/>
      <c r="PG122" s="148"/>
      <c r="PH122" s="148"/>
      <c r="PI122" s="148"/>
      <c r="PJ122" s="148"/>
      <c r="PK122" s="148"/>
      <c r="PL122" s="148"/>
      <c r="PM122" s="148"/>
      <c r="PN122" s="148"/>
      <c r="PO122" s="148"/>
      <c r="PP122" s="148"/>
      <c r="PQ122" s="148"/>
      <c r="PR122" s="148"/>
      <c r="PS122" s="148"/>
      <c r="PT122" s="148"/>
      <c r="PU122" s="148"/>
      <c r="PV122" s="148"/>
      <c r="PW122" s="148"/>
      <c r="PX122" s="148"/>
      <c r="PY122" s="148"/>
      <c r="PZ122" s="148"/>
      <c r="QA122" s="148"/>
      <c r="QB122" s="148"/>
      <c r="QC122" s="148"/>
      <c r="QD122" s="148"/>
      <c r="QE122" s="148"/>
      <c r="QF122" s="148"/>
      <c r="QG122" s="148"/>
      <c r="QH122" s="148"/>
      <c r="QI122" s="148"/>
      <c r="QJ122" s="148"/>
      <c r="QK122" s="148"/>
      <c r="QL122" s="148"/>
      <c r="QM122" s="148"/>
      <c r="QN122" s="148"/>
      <c r="QO122" s="148"/>
      <c r="QP122" s="148"/>
      <c r="QQ122" s="148"/>
      <c r="QR122" s="148"/>
      <c r="QS122" s="148"/>
      <c r="QT122" s="148"/>
      <c r="QU122" s="148"/>
      <c r="QV122" s="148"/>
      <c r="QW122" s="148"/>
      <c r="QX122" s="148"/>
      <c r="QY122" s="148"/>
      <c r="QZ122" s="148"/>
      <c r="RA122" s="148"/>
      <c r="RB122" s="148"/>
      <c r="RC122" s="148"/>
      <c r="RD122" s="148"/>
      <c r="RE122" s="148"/>
      <c r="RF122" s="148"/>
      <c r="RG122" s="148"/>
      <c r="RH122" s="148"/>
      <c r="RI122" s="148"/>
      <c r="RJ122" s="148"/>
      <c r="RK122" s="148"/>
      <c r="RL122" s="148"/>
      <c r="RM122" s="148"/>
      <c r="RN122" s="148"/>
      <c r="RO122" s="148"/>
      <c r="RP122" s="148"/>
      <c r="RQ122" s="148"/>
      <c r="RR122" s="148"/>
    </row>
    <row r="123" spans="1:486" s="15" customFormat="1" hidden="1" x14ac:dyDescent="0.25">
      <c r="A123" s="148"/>
      <c r="B123" s="350">
        <v>113</v>
      </c>
      <c r="C123" s="650"/>
      <c r="D123" s="16"/>
      <c r="E123" s="344"/>
      <c r="F123" s="344"/>
      <c r="G123" s="17"/>
      <c r="H123" s="317"/>
      <c r="I123" s="346"/>
      <c r="J123" s="341"/>
      <c r="K123" s="633"/>
      <c r="L123" s="633"/>
      <c r="M123" s="633"/>
      <c r="N123" s="633"/>
      <c r="O123" s="633"/>
      <c r="P123" s="633"/>
      <c r="Q123" s="633"/>
      <c r="R123" s="633"/>
      <c r="S123" s="633"/>
      <c r="T123" s="633"/>
      <c r="U123" s="633"/>
      <c r="V123" s="633"/>
      <c r="W123" s="633"/>
      <c r="X123" s="633"/>
      <c r="Y123" s="633">
        <f t="shared" si="3"/>
        <v>0</v>
      </c>
      <c r="Z123" s="310"/>
      <c r="AA123" s="19"/>
      <c r="AB123" s="315"/>
      <c r="AC123" s="315"/>
      <c r="AD123" s="652"/>
      <c r="AE123" s="20"/>
      <c r="AF123" s="21"/>
      <c r="AG123" s="23"/>
      <c r="AH123" s="637"/>
      <c r="AI123" s="19"/>
      <c r="AJ123" s="21"/>
      <c r="AK123" s="25"/>
      <c r="AL123" s="309"/>
      <c r="AM123" s="19"/>
      <c r="AN123" s="21"/>
      <c r="AO123" s="25"/>
      <c r="AP123" s="309"/>
      <c r="AQ123" s="19"/>
      <c r="AR123" s="21"/>
      <c r="AS123" s="25"/>
      <c r="AT123" s="638">
        <f t="shared" si="4"/>
        <v>0</v>
      </c>
      <c r="AU123" s="311">
        <f t="shared" si="0"/>
        <v>0</v>
      </c>
      <c r="AV123" s="148"/>
      <c r="AW123" s="148"/>
      <c r="AX123" s="148"/>
      <c r="AY123" s="148"/>
      <c r="AZ123" s="148"/>
      <c r="BA123" s="148"/>
      <c r="BB123" s="148"/>
      <c r="BC123" s="148"/>
      <c r="BD123" s="148"/>
      <c r="BE123" s="148"/>
      <c r="BF123" s="148"/>
      <c r="BG123" s="148"/>
      <c r="BH123" s="148"/>
      <c r="BI123" s="148"/>
      <c r="BJ123" s="148"/>
      <c r="BK123" s="148"/>
      <c r="BL123" s="148"/>
      <c r="BM123" s="148"/>
      <c r="BN123" s="148"/>
      <c r="BO123" s="148"/>
      <c r="BP123" s="148"/>
      <c r="BQ123" s="148"/>
      <c r="BR123" s="148"/>
      <c r="BS123" s="148"/>
      <c r="BT123" s="148"/>
      <c r="BU123" s="148"/>
      <c r="BV123" s="148"/>
      <c r="BW123" s="148"/>
      <c r="BX123" s="148"/>
      <c r="BY123" s="148"/>
      <c r="BZ123" s="148"/>
      <c r="CA123" s="148"/>
      <c r="CB123" s="148"/>
      <c r="CC123" s="148"/>
      <c r="CD123" s="148"/>
      <c r="CE123" s="148"/>
      <c r="CF123" s="148"/>
      <c r="CG123" s="148"/>
      <c r="CH123" s="148"/>
      <c r="CI123" s="148"/>
      <c r="CJ123" s="148"/>
      <c r="CK123" s="148"/>
      <c r="CL123" s="148"/>
      <c r="CM123" s="148"/>
      <c r="CN123" s="148"/>
      <c r="CO123" s="148"/>
      <c r="CP123" s="148"/>
      <c r="CQ123" s="148"/>
      <c r="CR123" s="148"/>
      <c r="CS123" s="148"/>
      <c r="CT123" s="148"/>
      <c r="CU123" s="148"/>
      <c r="CV123" s="148"/>
      <c r="CW123" s="148"/>
      <c r="CX123" s="148"/>
      <c r="CY123" s="148"/>
      <c r="CZ123" s="148"/>
      <c r="DA123" s="148"/>
      <c r="DB123" s="148"/>
      <c r="DC123" s="148"/>
      <c r="DD123" s="148"/>
      <c r="DE123" s="148"/>
      <c r="DF123" s="148"/>
      <c r="DG123" s="148"/>
      <c r="DH123" s="148"/>
      <c r="DI123" s="148"/>
      <c r="DJ123" s="148"/>
      <c r="DK123" s="148"/>
      <c r="DL123" s="148"/>
      <c r="DM123" s="148"/>
      <c r="DN123" s="148"/>
      <c r="DO123" s="148"/>
      <c r="DP123" s="148"/>
      <c r="DQ123" s="148"/>
      <c r="DR123" s="148"/>
      <c r="DS123" s="148"/>
      <c r="DT123" s="148"/>
      <c r="DU123" s="148"/>
      <c r="DV123" s="148"/>
      <c r="DW123" s="148"/>
      <c r="DX123" s="148"/>
      <c r="DY123" s="148"/>
      <c r="DZ123" s="148"/>
      <c r="EA123" s="148"/>
      <c r="EB123" s="148"/>
      <c r="EC123" s="148"/>
      <c r="ED123" s="148"/>
      <c r="EE123" s="148"/>
      <c r="EF123" s="148"/>
      <c r="EG123" s="148"/>
      <c r="EH123" s="148"/>
      <c r="EI123" s="148"/>
      <c r="EJ123" s="148"/>
      <c r="EK123" s="148"/>
      <c r="EL123" s="148"/>
      <c r="EM123" s="148"/>
      <c r="EN123" s="148"/>
      <c r="EO123" s="148"/>
      <c r="EP123" s="148"/>
      <c r="EQ123" s="148"/>
      <c r="ER123" s="148"/>
      <c r="ES123" s="148"/>
      <c r="ET123" s="148"/>
      <c r="EU123" s="148"/>
      <c r="EV123" s="148"/>
      <c r="EW123" s="148"/>
      <c r="EX123" s="148"/>
      <c r="EY123" s="148"/>
      <c r="EZ123" s="148"/>
      <c r="FA123" s="148"/>
      <c r="FB123" s="148"/>
      <c r="FC123" s="148"/>
      <c r="FD123" s="148"/>
      <c r="FE123" s="148"/>
      <c r="FF123" s="148"/>
      <c r="FG123" s="148"/>
      <c r="FH123" s="148"/>
      <c r="FI123" s="148"/>
      <c r="FJ123" s="148"/>
      <c r="FK123" s="148"/>
      <c r="FL123" s="148"/>
      <c r="FM123" s="148"/>
      <c r="FN123" s="148"/>
      <c r="FO123" s="148"/>
      <c r="FP123" s="148"/>
      <c r="FQ123" s="148"/>
      <c r="FR123" s="148"/>
      <c r="FS123" s="148"/>
      <c r="FT123" s="148"/>
      <c r="FU123" s="148"/>
      <c r="FV123" s="148"/>
      <c r="FW123" s="148"/>
      <c r="FX123" s="148"/>
      <c r="FY123" s="148"/>
      <c r="FZ123" s="148"/>
      <c r="GA123" s="148"/>
      <c r="GB123" s="148"/>
      <c r="GC123" s="148"/>
      <c r="GD123" s="148"/>
      <c r="GE123" s="148"/>
      <c r="GF123" s="148"/>
      <c r="GG123" s="148"/>
      <c r="GH123" s="148"/>
      <c r="GI123" s="148"/>
      <c r="GJ123" s="148"/>
      <c r="GK123" s="148"/>
      <c r="GL123" s="148"/>
      <c r="GM123" s="148"/>
      <c r="GN123" s="148"/>
      <c r="GO123" s="148"/>
      <c r="GP123" s="148"/>
      <c r="GQ123" s="148"/>
      <c r="GR123" s="148"/>
      <c r="GS123" s="148"/>
      <c r="GT123" s="148"/>
      <c r="GU123" s="148"/>
      <c r="GV123" s="148"/>
      <c r="GW123" s="148"/>
      <c r="GX123" s="148"/>
      <c r="GY123" s="148"/>
      <c r="GZ123" s="148"/>
      <c r="HA123" s="148"/>
      <c r="HB123" s="148"/>
      <c r="HC123" s="148"/>
      <c r="HD123" s="148"/>
      <c r="HE123" s="148"/>
      <c r="HF123" s="148"/>
      <c r="HG123" s="148"/>
      <c r="HH123" s="148"/>
      <c r="HI123" s="148"/>
      <c r="HJ123" s="148"/>
      <c r="HK123" s="148"/>
      <c r="HL123" s="148"/>
      <c r="HM123" s="148"/>
      <c r="HN123" s="148"/>
      <c r="HO123" s="148"/>
      <c r="HP123" s="148"/>
      <c r="HQ123" s="148"/>
      <c r="HR123" s="148"/>
      <c r="HS123" s="148"/>
      <c r="HT123" s="148"/>
      <c r="HU123" s="148"/>
      <c r="HV123" s="148"/>
      <c r="HW123" s="148"/>
      <c r="HX123" s="148"/>
      <c r="HY123" s="148"/>
      <c r="HZ123" s="148"/>
      <c r="IA123" s="148"/>
      <c r="IB123" s="148"/>
      <c r="IC123" s="148"/>
      <c r="ID123" s="148"/>
      <c r="IE123" s="148"/>
      <c r="IF123" s="148"/>
      <c r="IG123" s="148"/>
      <c r="IH123" s="148"/>
      <c r="II123" s="148"/>
      <c r="IJ123" s="148"/>
      <c r="IK123" s="148"/>
      <c r="IL123" s="148"/>
      <c r="IM123" s="148"/>
      <c r="IN123" s="148"/>
      <c r="IO123" s="148"/>
      <c r="IP123" s="148"/>
      <c r="IQ123" s="148"/>
      <c r="IR123" s="148"/>
      <c r="IS123" s="148"/>
      <c r="IT123" s="148"/>
      <c r="IU123" s="148"/>
      <c r="IV123" s="148"/>
      <c r="IW123" s="148"/>
      <c r="IX123" s="148"/>
      <c r="IY123" s="148"/>
      <c r="IZ123" s="148"/>
      <c r="JA123" s="148"/>
      <c r="JB123" s="148"/>
      <c r="JC123" s="148"/>
      <c r="JD123" s="148"/>
      <c r="JE123" s="148"/>
      <c r="JF123" s="148"/>
      <c r="JG123" s="148"/>
      <c r="JH123" s="148"/>
      <c r="JI123" s="148"/>
      <c r="JJ123" s="148"/>
      <c r="JK123" s="148"/>
      <c r="JL123" s="148"/>
      <c r="JM123" s="148"/>
      <c r="JN123" s="148"/>
      <c r="JO123" s="148"/>
      <c r="JP123" s="148"/>
      <c r="JQ123" s="148"/>
      <c r="JR123" s="148"/>
      <c r="JS123" s="148"/>
      <c r="JT123" s="148"/>
      <c r="JU123" s="148"/>
      <c r="JV123" s="148"/>
      <c r="JW123" s="148"/>
      <c r="JX123" s="148"/>
      <c r="JY123" s="148"/>
      <c r="JZ123" s="148"/>
      <c r="KA123" s="148"/>
      <c r="KB123" s="148"/>
      <c r="KC123" s="148"/>
      <c r="KD123" s="148"/>
      <c r="KE123" s="148"/>
      <c r="KF123" s="148"/>
      <c r="KG123" s="148"/>
      <c r="KH123" s="148"/>
      <c r="KI123" s="148"/>
      <c r="KJ123" s="148"/>
      <c r="KK123" s="148"/>
      <c r="KL123" s="148"/>
      <c r="KM123" s="148"/>
      <c r="KN123" s="148"/>
      <c r="KO123" s="148"/>
      <c r="KP123" s="148"/>
      <c r="KQ123" s="148"/>
      <c r="KR123" s="148"/>
      <c r="KS123" s="148"/>
      <c r="KT123" s="148"/>
      <c r="KU123" s="148"/>
      <c r="KV123" s="148"/>
      <c r="KW123" s="148"/>
      <c r="KX123" s="148"/>
      <c r="KY123" s="148"/>
      <c r="KZ123" s="148"/>
      <c r="LA123" s="148"/>
      <c r="LB123" s="148"/>
      <c r="LC123" s="148"/>
      <c r="LD123" s="148"/>
      <c r="LE123" s="148"/>
      <c r="LF123" s="148"/>
      <c r="LG123" s="148"/>
      <c r="LH123" s="148"/>
      <c r="LI123" s="148"/>
      <c r="LJ123" s="148"/>
      <c r="LK123" s="148"/>
      <c r="LL123" s="148"/>
      <c r="LM123" s="148"/>
      <c r="LN123" s="148"/>
      <c r="LO123" s="148"/>
      <c r="LP123" s="148"/>
      <c r="LQ123" s="148"/>
      <c r="LR123" s="148"/>
      <c r="LS123" s="148"/>
      <c r="LT123" s="148"/>
      <c r="LU123" s="148"/>
      <c r="LV123" s="148"/>
      <c r="LW123" s="148"/>
      <c r="LX123" s="148"/>
      <c r="LY123" s="148"/>
      <c r="LZ123" s="148"/>
      <c r="MA123" s="148"/>
      <c r="MB123" s="148"/>
      <c r="MC123" s="148"/>
      <c r="MD123" s="148"/>
      <c r="ME123" s="148"/>
      <c r="MF123" s="148"/>
      <c r="MG123" s="148"/>
      <c r="MH123" s="148"/>
      <c r="MI123" s="148"/>
      <c r="MJ123" s="148"/>
      <c r="MK123" s="148"/>
      <c r="ML123" s="148"/>
      <c r="MM123" s="148"/>
      <c r="MN123" s="148"/>
      <c r="MO123" s="148"/>
      <c r="MP123" s="148"/>
      <c r="MQ123" s="148"/>
      <c r="MR123" s="148"/>
      <c r="MS123" s="148"/>
      <c r="MT123" s="148"/>
      <c r="MU123" s="148"/>
      <c r="MV123" s="148"/>
      <c r="MW123" s="148"/>
      <c r="MX123" s="148"/>
      <c r="MY123" s="148"/>
      <c r="MZ123" s="148"/>
      <c r="NA123" s="148"/>
      <c r="NB123" s="148"/>
      <c r="NC123" s="148"/>
      <c r="ND123" s="148"/>
      <c r="NE123" s="148"/>
      <c r="NF123" s="148"/>
      <c r="NG123" s="148"/>
      <c r="NH123" s="148"/>
      <c r="NI123" s="148"/>
      <c r="NJ123" s="148"/>
      <c r="NK123" s="148"/>
      <c r="NL123" s="148"/>
      <c r="NM123" s="148"/>
      <c r="NN123" s="148"/>
      <c r="NO123" s="148"/>
      <c r="NP123" s="148"/>
      <c r="NQ123" s="148"/>
      <c r="NR123" s="148"/>
      <c r="NS123" s="148"/>
      <c r="NT123" s="148"/>
      <c r="NU123" s="148"/>
      <c r="NV123" s="148"/>
      <c r="NW123" s="148"/>
      <c r="NX123" s="148"/>
      <c r="NY123" s="148"/>
      <c r="NZ123" s="148"/>
      <c r="OA123" s="148"/>
      <c r="OB123" s="148"/>
      <c r="OC123" s="148"/>
      <c r="OD123" s="148"/>
      <c r="OE123" s="148"/>
      <c r="OF123" s="148"/>
      <c r="OG123" s="148"/>
      <c r="OH123" s="148"/>
      <c r="OI123" s="148"/>
      <c r="OJ123" s="148"/>
      <c r="OK123" s="148"/>
      <c r="OL123" s="148"/>
      <c r="OM123" s="148"/>
      <c r="ON123" s="148"/>
      <c r="OO123" s="148"/>
      <c r="OP123" s="148"/>
      <c r="OQ123" s="148"/>
      <c r="OR123" s="148"/>
      <c r="OS123" s="148"/>
      <c r="OT123" s="148"/>
      <c r="OU123" s="148"/>
      <c r="OV123" s="148"/>
      <c r="OW123" s="148"/>
      <c r="OX123" s="148"/>
      <c r="OY123" s="148"/>
      <c r="OZ123" s="148"/>
      <c r="PA123" s="148"/>
      <c r="PB123" s="148"/>
      <c r="PC123" s="148"/>
      <c r="PD123" s="148"/>
      <c r="PE123" s="148"/>
      <c r="PF123" s="148"/>
      <c r="PG123" s="148"/>
      <c r="PH123" s="148"/>
      <c r="PI123" s="148"/>
      <c r="PJ123" s="148"/>
      <c r="PK123" s="148"/>
      <c r="PL123" s="148"/>
      <c r="PM123" s="148"/>
      <c r="PN123" s="148"/>
      <c r="PO123" s="148"/>
      <c r="PP123" s="148"/>
      <c r="PQ123" s="148"/>
      <c r="PR123" s="148"/>
      <c r="PS123" s="148"/>
      <c r="PT123" s="148"/>
      <c r="PU123" s="148"/>
      <c r="PV123" s="148"/>
      <c r="PW123" s="148"/>
      <c r="PX123" s="148"/>
      <c r="PY123" s="148"/>
      <c r="PZ123" s="148"/>
      <c r="QA123" s="148"/>
      <c r="QB123" s="148"/>
      <c r="QC123" s="148"/>
      <c r="QD123" s="148"/>
      <c r="QE123" s="148"/>
      <c r="QF123" s="148"/>
      <c r="QG123" s="148"/>
      <c r="QH123" s="148"/>
      <c r="QI123" s="148"/>
      <c r="QJ123" s="148"/>
      <c r="QK123" s="148"/>
      <c r="QL123" s="148"/>
      <c r="QM123" s="148"/>
      <c r="QN123" s="148"/>
      <c r="QO123" s="148"/>
      <c r="QP123" s="148"/>
      <c r="QQ123" s="148"/>
      <c r="QR123" s="148"/>
      <c r="QS123" s="148"/>
      <c r="QT123" s="148"/>
      <c r="QU123" s="148"/>
      <c r="QV123" s="148"/>
      <c r="QW123" s="148"/>
      <c r="QX123" s="148"/>
      <c r="QY123" s="148"/>
      <c r="QZ123" s="148"/>
      <c r="RA123" s="148"/>
      <c r="RB123" s="148"/>
      <c r="RC123" s="148"/>
      <c r="RD123" s="148"/>
      <c r="RE123" s="148"/>
      <c r="RF123" s="148"/>
      <c r="RG123" s="148"/>
      <c r="RH123" s="148"/>
      <c r="RI123" s="148"/>
      <c r="RJ123" s="148"/>
      <c r="RK123" s="148"/>
      <c r="RL123" s="148"/>
      <c r="RM123" s="148"/>
      <c r="RN123" s="148"/>
      <c r="RO123" s="148"/>
      <c r="RP123" s="148"/>
      <c r="RQ123" s="148"/>
      <c r="RR123" s="148"/>
    </row>
    <row r="124" spans="1:486" s="15" customFormat="1" hidden="1" x14ac:dyDescent="0.25">
      <c r="A124" s="148"/>
      <c r="B124" s="350">
        <v>114</v>
      </c>
      <c r="C124" s="650"/>
      <c r="D124" s="16"/>
      <c r="E124" s="344"/>
      <c r="F124" s="344"/>
      <c r="G124" s="17"/>
      <c r="H124" s="317"/>
      <c r="I124" s="346"/>
      <c r="J124" s="341"/>
      <c r="K124" s="633"/>
      <c r="L124" s="633"/>
      <c r="M124" s="633"/>
      <c r="N124" s="633"/>
      <c r="O124" s="633"/>
      <c r="P124" s="633"/>
      <c r="Q124" s="633"/>
      <c r="R124" s="633"/>
      <c r="S124" s="633"/>
      <c r="T124" s="633"/>
      <c r="U124" s="633"/>
      <c r="V124" s="633"/>
      <c r="W124" s="633"/>
      <c r="X124" s="633"/>
      <c r="Y124" s="633">
        <f t="shared" si="3"/>
        <v>0</v>
      </c>
      <c r="Z124" s="310"/>
      <c r="AA124" s="19"/>
      <c r="AB124" s="315"/>
      <c r="AC124" s="315"/>
      <c r="AD124" s="652"/>
      <c r="AE124" s="20"/>
      <c r="AF124" s="21"/>
      <c r="AG124" s="23"/>
      <c r="AH124" s="637"/>
      <c r="AI124" s="19"/>
      <c r="AJ124" s="21"/>
      <c r="AK124" s="25"/>
      <c r="AL124" s="309"/>
      <c r="AM124" s="19"/>
      <c r="AN124" s="21"/>
      <c r="AO124" s="25"/>
      <c r="AP124" s="309"/>
      <c r="AQ124" s="19"/>
      <c r="AR124" s="21"/>
      <c r="AS124" s="25"/>
      <c r="AT124" s="638">
        <f t="shared" si="4"/>
        <v>0</v>
      </c>
      <c r="AU124" s="311">
        <f t="shared" si="0"/>
        <v>0</v>
      </c>
      <c r="AV124" s="148"/>
      <c r="AW124" s="148"/>
      <c r="AX124" s="148"/>
      <c r="AY124" s="148"/>
      <c r="AZ124" s="148"/>
      <c r="BA124" s="148"/>
      <c r="BB124" s="148"/>
      <c r="BC124" s="148"/>
      <c r="BD124" s="148"/>
      <c r="BE124" s="148"/>
      <c r="BF124" s="148"/>
      <c r="BG124" s="148"/>
      <c r="BH124" s="148"/>
      <c r="BI124" s="148"/>
      <c r="BJ124" s="148"/>
      <c r="BK124" s="148"/>
      <c r="BL124" s="148"/>
      <c r="BM124" s="148"/>
      <c r="BN124" s="148"/>
      <c r="BO124" s="148"/>
      <c r="BP124" s="148"/>
      <c r="BQ124" s="148"/>
      <c r="BR124" s="148"/>
      <c r="BS124" s="148"/>
      <c r="BT124" s="148"/>
      <c r="BU124" s="148"/>
      <c r="BV124" s="148"/>
      <c r="BW124" s="148"/>
      <c r="BX124" s="148"/>
      <c r="BY124" s="148"/>
      <c r="BZ124" s="148"/>
      <c r="CA124" s="148"/>
      <c r="CB124" s="148"/>
      <c r="CC124" s="148"/>
      <c r="CD124" s="148"/>
      <c r="CE124" s="148"/>
      <c r="CF124" s="148"/>
      <c r="CG124" s="148"/>
      <c r="CH124" s="148"/>
      <c r="CI124" s="148"/>
      <c r="CJ124" s="148"/>
      <c r="CK124" s="148"/>
      <c r="CL124" s="148"/>
      <c r="CM124" s="148"/>
      <c r="CN124" s="148"/>
      <c r="CO124" s="148"/>
      <c r="CP124" s="148"/>
      <c r="CQ124" s="148"/>
      <c r="CR124" s="148"/>
      <c r="CS124" s="148"/>
      <c r="CT124" s="148"/>
      <c r="CU124" s="148"/>
      <c r="CV124" s="148"/>
      <c r="CW124" s="148"/>
      <c r="CX124" s="148"/>
      <c r="CY124" s="148"/>
      <c r="CZ124" s="148"/>
      <c r="DA124" s="148"/>
      <c r="DB124" s="148"/>
      <c r="DC124" s="148"/>
      <c r="DD124" s="148"/>
      <c r="DE124" s="148"/>
      <c r="DF124" s="148"/>
      <c r="DG124" s="148"/>
      <c r="DH124" s="148"/>
      <c r="DI124" s="148"/>
      <c r="DJ124" s="148"/>
      <c r="DK124" s="148"/>
      <c r="DL124" s="148"/>
      <c r="DM124" s="148"/>
      <c r="DN124" s="148"/>
      <c r="DO124" s="148"/>
      <c r="DP124" s="148"/>
      <c r="DQ124" s="148"/>
      <c r="DR124" s="148"/>
      <c r="DS124" s="148"/>
      <c r="DT124" s="148"/>
      <c r="DU124" s="148"/>
      <c r="DV124" s="148"/>
      <c r="DW124" s="148"/>
      <c r="DX124" s="148"/>
      <c r="DY124" s="148"/>
      <c r="DZ124" s="148"/>
      <c r="EA124" s="148"/>
      <c r="EB124" s="148"/>
      <c r="EC124" s="148"/>
      <c r="ED124" s="148"/>
      <c r="EE124" s="148"/>
      <c r="EF124" s="148"/>
      <c r="EG124" s="148"/>
      <c r="EH124" s="148"/>
      <c r="EI124" s="148"/>
      <c r="EJ124" s="148"/>
      <c r="EK124" s="148"/>
      <c r="EL124" s="148"/>
      <c r="EM124" s="148"/>
      <c r="EN124" s="148"/>
      <c r="EO124" s="148"/>
      <c r="EP124" s="148"/>
      <c r="EQ124" s="148"/>
      <c r="ER124" s="148"/>
      <c r="ES124" s="148"/>
      <c r="ET124" s="148"/>
      <c r="EU124" s="148"/>
      <c r="EV124" s="148"/>
      <c r="EW124" s="148"/>
      <c r="EX124" s="148"/>
      <c r="EY124" s="148"/>
      <c r="EZ124" s="148"/>
      <c r="FA124" s="148"/>
      <c r="FB124" s="148"/>
      <c r="FC124" s="148"/>
      <c r="FD124" s="148"/>
      <c r="FE124" s="148"/>
      <c r="FF124" s="148"/>
      <c r="FG124" s="148"/>
      <c r="FH124" s="148"/>
      <c r="FI124" s="148"/>
      <c r="FJ124" s="148"/>
      <c r="FK124" s="148"/>
      <c r="FL124" s="148"/>
      <c r="FM124" s="148"/>
      <c r="FN124" s="148"/>
      <c r="FO124" s="148"/>
      <c r="FP124" s="148"/>
      <c r="FQ124" s="148"/>
      <c r="FR124" s="148"/>
      <c r="FS124" s="148"/>
      <c r="FT124" s="148"/>
      <c r="FU124" s="148"/>
      <c r="FV124" s="148"/>
      <c r="FW124" s="148"/>
      <c r="FX124" s="148"/>
      <c r="FY124" s="148"/>
      <c r="FZ124" s="148"/>
      <c r="GA124" s="148"/>
      <c r="GB124" s="148"/>
      <c r="GC124" s="148"/>
      <c r="GD124" s="148"/>
      <c r="GE124" s="148"/>
      <c r="GF124" s="148"/>
      <c r="GG124" s="148"/>
      <c r="GH124" s="148"/>
      <c r="GI124" s="148"/>
      <c r="GJ124" s="148"/>
      <c r="GK124" s="148"/>
      <c r="GL124" s="148"/>
      <c r="GM124" s="148"/>
      <c r="GN124" s="148"/>
      <c r="GO124" s="148"/>
      <c r="GP124" s="148"/>
      <c r="GQ124" s="148"/>
      <c r="GR124" s="148"/>
      <c r="GS124" s="148"/>
      <c r="GT124" s="148"/>
      <c r="GU124" s="148"/>
      <c r="GV124" s="148"/>
      <c r="GW124" s="148"/>
      <c r="GX124" s="148"/>
      <c r="GY124" s="148"/>
      <c r="GZ124" s="148"/>
      <c r="HA124" s="148"/>
      <c r="HB124" s="148"/>
      <c r="HC124" s="148"/>
      <c r="HD124" s="148"/>
      <c r="HE124" s="148"/>
      <c r="HF124" s="148"/>
      <c r="HG124" s="148"/>
      <c r="HH124" s="148"/>
      <c r="HI124" s="148"/>
      <c r="HJ124" s="148"/>
      <c r="HK124" s="148"/>
      <c r="HL124" s="148"/>
      <c r="HM124" s="148"/>
      <c r="HN124" s="148"/>
      <c r="HO124" s="148"/>
      <c r="HP124" s="148"/>
      <c r="HQ124" s="148"/>
      <c r="HR124" s="148"/>
      <c r="HS124" s="148"/>
      <c r="HT124" s="148"/>
      <c r="HU124" s="148"/>
      <c r="HV124" s="148"/>
      <c r="HW124" s="148"/>
      <c r="HX124" s="148"/>
      <c r="HY124" s="148"/>
      <c r="HZ124" s="148"/>
      <c r="IA124" s="148"/>
      <c r="IB124" s="148"/>
      <c r="IC124" s="148"/>
      <c r="ID124" s="148"/>
      <c r="IE124" s="148"/>
      <c r="IF124" s="148"/>
      <c r="IG124" s="148"/>
      <c r="IH124" s="148"/>
      <c r="II124" s="148"/>
      <c r="IJ124" s="148"/>
      <c r="IK124" s="148"/>
      <c r="IL124" s="148"/>
      <c r="IM124" s="148"/>
      <c r="IN124" s="148"/>
      <c r="IO124" s="148"/>
      <c r="IP124" s="148"/>
      <c r="IQ124" s="148"/>
      <c r="IR124" s="148"/>
      <c r="IS124" s="148"/>
      <c r="IT124" s="148"/>
      <c r="IU124" s="148"/>
      <c r="IV124" s="148"/>
      <c r="IW124" s="148"/>
      <c r="IX124" s="148"/>
      <c r="IY124" s="148"/>
      <c r="IZ124" s="148"/>
      <c r="JA124" s="148"/>
      <c r="JB124" s="148"/>
      <c r="JC124" s="148"/>
      <c r="JD124" s="148"/>
      <c r="JE124" s="148"/>
      <c r="JF124" s="148"/>
      <c r="JG124" s="148"/>
      <c r="JH124" s="148"/>
      <c r="JI124" s="148"/>
      <c r="JJ124" s="148"/>
      <c r="JK124" s="148"/>
      <c r="JL124" s="148"/>
      <c r="JM124" s="148"/>
      <c r="JN124" s="148"/>
      <c r="JO124" s="148"/>
      <c r="JP124" s="148"/>
      <c r="JQ124" s="148"/>
      <c r="JR124" s="148"/>
      <c r="JS124" s="148"/>
      <c r="JT124" s="148"/>
      <c r="JU124" s="148"/>
      <c r="JV124" s="148"/>
      <c r="JW124" s="148"/>
      <c r="JX124" s="148"/>
      <c r="JY124" s="148"/>
      <c r="JZ124" s="148"/>
      <c r="KA124" s="148"/>
      <c r="KB124" s="148"/>
      <c r="KC124" s="148"/>
      <c r="KD124" s="148"/>
      <c r="KE124" s="148"/>
      <c r="KF124" s="148"/>
      <c r="KG124" s="148"/>
      <c r="KH124" s="148"/>
      <c r="KI124" s="148"/>
      <c r="KJ124" s="148"/>
      <c r="KK124" s="148"/>
      <c r="KL124" s="148"/>
      <c r="KM124" s="148"/>
      <c r="KN124" s="148"/>
      <c r="KO124" s="148"/>
      <c r="KP124" s="148"/>
      <c r="KQ124" s="148"/>
      <c r="KR124" s="148"/>
      <c r="KS124" s="148"/>
      <c r="KT124" s="148"/>
      <c r="KU124" s="148"/>
      <c r="KV124" s="148"/>
      <c r="KW124" s="148"/>
      <c r="KX124" s="148"/>
      <c r="KY124" s="148"/>
      <c r="KZ124" s="148"/>
      <c r="LA124" s="148"/>
      <c r="LB124" s="148"/>
      <c r="LC124" s="148"/>
      <c r="LD124" s="148"/>
      <c r="LE124" s="148"/>
      <c r="LF124" s="148"/>
      <c r="LG124" s="148"/>
      <c r="LH124" s="148"/>
      <c r="LI124" s="148"/>
      <c r="LJ124" s="148"/>
      <c r="LK124" s="148"/>
      <c r="LL124" s="148"/>
      <c r="LM124" s="148"/>
      <c r="LN124" s="148"/>
      <c r="LO124" s="148"/>
      <c r="LP124" s="148"/>
      <c r="LQ124" s="148"/>
      <c r="LR124" s="148"/>
      <c r="LS124" s="148"/>
      <c r="LT124" s="148"/>
      <c r="LU124" s="148"/>
      <c r="LV124" s="148"/>
      <c r="LW124" s="148"/>
      <c r="LX124" s="148"/>
      <c r="LY124" s="148"/>
      <c r="LZ124" s="148"/>
      <c r="MA124" s="148"/>
      <c r="MB124" s="148"/>
      <c r="MC124" s="148"/>
      <c r="MD124" s="148"/>
      <c r="ME124" s="148"/>
      <c r="MF124" s="148"/>
      <c r="MG124" s="148"/>
      <c r="MH124" s="148"/>
      <c r="MI124" s="148"/>
      <c r="MJ124" s="148"/>
      <c r="MK124" s="148"/>
      <c r="ML124" s="148"/>
      <c r="MM124" s="148"/>
      <c r="MN124" s="148"/>
      <c r="MO124" s="148"/>
      <c r="MP124" s="148"/>
      <c r="MQ124" s="148"/>
      <c r="MR124" s="148"/>
      <c r="MS124" s="148"/>
      <c r="MT124" s="148"/>
      <c r="MU124" s="148"/>
      <c r="MV124" s="148"/>
      <c r="MW124" s="148"/>
      <c r="MX124" s="148"/>
      <c r="MY124" s="148"/>
      <c r="MZ124" s="148"/>
      <c r="NA124" s="148"/>
      <c r="NB124" s="148"/>
      <c r="NC124" s="148"/>
      <c r="ND124" s="148"/>
      <c r="NE124" s="148"/>
      <c r="NF124" s="148"/>
      <c r="NG124" s="148"/>
      <c r="NH124" s="148"/>
      <c r="NI124" s="148"/>
      <c r="NJ124" s="148"/>
      <c r="NK124" s="148"/>
      <c r="NL124" s="148"/>
      <c r="NM124" s="148"/>
      <c r="NN124" s="148"/>
      <c r="NO124" s="148"/>
      <c r="NP124" s="148"/>
      <c r="NQ124" s="148"/>
      <c r="NR124" s="148"/>
      <c r="NS124" s="148"/>
      <c r="NT124" s="148"/>
      <c r="NU124" s="148"/>
      <c r="NV124" s="148"/>
      <c r="NW124" s="148"/>
      <c r="NX124" s="148"/>
      <c r="NY124" s="148"/>
      <c r="NZ124" s="148"/>
      <c r="OA124" s="148"/>
      <c r="OB124" s="148"/>
      <c r="OC124" s="148"/>
      <c r="OD124" s="148"/>
      <c r="OE124" s="148"/>
      <c r="OF124" s="148"/>
      <c r="OG124" s="148"/>
      <c r="OH124" s="148"/>
      <c r="OI124" s="148"/>
      <c r="OJ124" s="148"/>
      <c r="OK124" s="148"/>
      <c r="OL124" s="148"/>
      <c r="OM124" s="148"/>
      <c r="ON124" s="148"/>
      <c r="OO124" s="148"/>
      <c r="OP124" s="148"/>
      <c r="OQ124" s="148"/>
      <c r="OR124" s="148"/>
      <c r="OS124" s="148"/>
      <c r="OT124" s="148"/>
      <c r="OU124" s="148"/>
      <c r="OV124" s="148"/>
      <c r="OW124" s="148"/>
      <c r="OX124" s="148"/>
      <c r="OY124" s="148"/>
      <c r="OZ124" s="148"/>
      <c r="PA124" s="148"/>
      <c r="PB124" s="148"/>
      <c r="PC124" s="148"/>
      <c r="PD124" s="148"/>
      <c r="PE124" s="148"/>
      <c r="PF124" s="148"/>
      <c r="PG124" s="148"/>
      <c r="PH124" s="148"/>
      <c r="PI124" s="148"/>
      <c r="PJ124" s="148"/>
      <c r="PK124" s="148"/>
      <c r="PL124" s="148"/>
      <c r="PM124" s="148"/>
      <c r="PN124" s="148"/>
      <c r="PO124" s="148"/>
      <c r="PP124" s="148"/>
      <c r="PQ124" s="148"/>
      <c r="PR124" s="148"/>
      <c r="PS124" s="148"/>
      <c r="PT124" s="148"/>
      <c r="PU124" s="148"/>
      <c r="PV124" s="148"/>
      <c r="PW124" s="148"/>
      <c r="PX124" s="148"/>
      <c r="PY124" s="148"/>
      <c r="PZ124" s="148"/>
      <c r="QA124" s="148"/>
      <c r="QB124" s="148"/>
      <c r="QC124" s="148"/>
      <c r="QD124" s="148"/>
      <c r="QE124" s="148"/>
      <c r="QF124" s="148"/>
      <c r="QG124" s="148"/>
      <c r="QH124" s="148"/>
      <c r="QI124" s="148"/>
      <c r="QJ124" s="148"/>
      <c r="QK124" s="148"/>
      <c r="QL124" s="148"/>
      <c r="QM124" s="148"/>
      <c r="QN124" s="148"/>
      <c r="QO124" s="148"/>
      <c r="QP124" s="148"/>
      <c r="QQ124" s="148"/>
      <c r="QR124" s="148"/>
      <c r="QS124" s="148"/>
      <c r="QT124" s="148"/>
      <c r="QU124" s="148"/>
      <c r="QV124" s="148"/>
      <c r="QW124" s="148"/>
      <c r="QX124" s="148"/>
      <c r="QY124" s="148"/>
      <c r="QZ124" s="148"/>
      <c r="RA124" s="148"/>
      <c r="RB124" s="148"/>
      <c r="RC124" s="148"/>
      <c r="RD124" s="148"/>
      <c r="RE124" s="148"/>
      <c r="RF124" s="148"/>
      <c r="RG124" s="148"/>
      <c r="RH124" s="148"/>
      <c r="RI124" s="148"/>
      <c r="RJ124" s="148"/>
      <c r="RK124" s="148"/>
      <c r="RL124" s="148"/>
      <c r="RM124" s="148"/>
      <c r="RN124" s="148"/>
      <c r="RO124" s="148"/>
      <c r="RP124" s="148"/>
      <c r="RQ124" s="148"/>
      <c r="RR124" s="148"/>
    </row>
    <row r="125" spans="1:486" s="15" customFormat="1" hidden="1" x14ac:dyDescent="0.25">
      <c r="A125" s="148"/>
      <c r="B125" s="350">
        <v>115</v>
      </c>
      <c r="C125" s="650"/>
      <c r="D125" s="16"/>
      <c r="E125" s="344"/>
      <c r="F125" s="344"/>
      <c r="G125" s="17"/>
      <c r="H125" s="317"/>
      <c r="I125" s="346"/>
      <c r="J125" s="341"/>
      <c r="K125" s="633"/>
      <c r="L125" s="633"/>
      <c r="M125" s="633"/>
      <c r="N125" s="633"/>
      <c r="O125" s="633"/>
      <c r="P125" s="633"/>
      <c r="Q125" s="633"/>
      <c r="R125" s="633"/>
      <c r="S125" s="633"/>
      <c r="T125" s="633"/>
      <c r="U125" s="633"/>
      <c r="V125" s="633"/>
      <c r="W125" s="633"/>
      <c r="X125" s="633"/>
      <c r="Y125" s="633">
        <f t="shared" si="3"/>
        <v>0</v>
      </c>
      <c r="Z125" s="310"/>
      <c r="AA125" s="19"/>
      <c r="AB125" s="315"/>
      <c r="AC125" s="315"/>
      <c r="AD125" s="652"/>
      <c r="AE125" s="20"/>
      <c r="AF125" s="21"/>
      <c r="AG125" s="23"/>
      <c r="AH125" s="637"/>
      <c r="AI125" s="19"/>
      <c r="AJ125" s="21"/>
      <c r="AK125" s="25"/>
      <c r="AL125" s="309"/>
      <c r="AM125" s="19"/>
      <c r="AN125" s="21"/>
      <c r="AO125" s="25"/>
      <c r="AP125" s="309"/>
      <c r="AQ125" s="19"/>
      <c r="AR125" s="21"/>
      <c r="AS125" s="25"/>
      <c r="AT125" s="638">
        <f t="shared" si="4"/>
        <v>0</v>
      </c>
      <c r="AU125" s="311">
        <f t="shared" si="0"/>
        <v>0</v>
      </c>
      <c r="AV125" s="148"/>
      <c r="AW125" s="148"/>
      <c r="AX125" s="148"/>
      <c r="AY125" s="148"/>
      <c r="AZ125" s="148"/>
      <c r="BA125" s="148"/>
      <c r="BB125" s="148"/>
      <c r="BC125" s="148"/>
      <c r="BD125" s="148"/>
      <c r="BE125" s="148"/>
      <c r="BF125" s="148"/>
      <c r="BG125" s="148"/>
      <c r="BH125" s="148"/>
      <c r="BI125" s="148"/>
      <c r="BJ125" s="148"/>
      <c r="BK125" s="148"/>
      <c r="BL125" s="148"/>
      <c r="BM125" s="148"/>
      <c r="BN125" s="148"/>
      <c r="BO125" s="148"/>
      <c r="BP125" s="148"/>
      <c r="BQ125" s="148"/>
      <c r="BR125" s="148"/>
      <c r="BS125" s="148"/>
      <c r="BT125" s="148"/>
      <c r="BU125" s="148"/>
      <c r="BV125" s="148"/>
      <c r="BW125" s="148"/>
      <c r="BX125" s="148"/>
      <c r="BY125" s="148"/>
      <c r="BZ125" s="148"/>
      <c r="CA125" s="148"/>
      <c r="CB125" s="148"/>
      <c r="CC125" s="148"/>
      <c r="CD125" s="148"/>
      <c r="CE125" s="148"/>
      <c r="CF125" s="148"/>
      <c r="CG125" s="148"/>
      <c r="CH125" s="148"/>
      <c r="CI125" s="148"/>
      <c r="CJ125" s="148"/>
      <c r="CK125" s="148"/>
      <c r="CL125" s="148"/>
      <c r="CM125" s="148"/>
      <c r="CN125" s="148"/>
      <c r="CO125" s="148"/>
      <c r="CP125" s="148"/>
      <c r="CQ125" s="148"/>
      <c r="CR125" s="148"/>
      <c r="CS125" s="148"/>
      <c r="CT125" s="148"/>
      <c r="CU125" s="148"/>
      <c r="CV125" s="148"/>
      <c r="CW125" s="148"/>
      <c r="CX125" s="148"/>
      <c r="CY125" s="148"/>
      <c r="CZ125" s="148"/>
      <c r="DA125" s="148"/>
      <c r="DB125" s="148"/>
      <c r="DC125" s="148"/>
      <c r="DD125" s="148"/>
      <c r="DE125" s="148"/>
      <c r="DF125" s="148"/>
      <c r="DG125" s="148"/>
      <c r="DH125" s="148"/>
      <c r="DI125" s="148"/>
      <c r="DJ125" s="148"/>
      <c r="DK125" s="148"/>
      <c r="DL125" s="148"/>
      <c r="DM125" s="148"/>
      <c r="DN125" s="148"/>
      <c r="DO125" s="148"/>
      <c r="DP125" s="148"/>
      <c r="DQ125" s="148"/>
      <c r="DR125" s="148"/>
      <c r="DS125" s="148"/>
      <c r="DT125" s="148"/>
      <c r="DU125" s="148"/>
      <c r="DV125" s="148"/>
      <c r="DW125" s="148"/>
      <c r="DX125" s="148"/>
      <c r="DY125" s="148"/>
      <c r="DZ125" s="148"/>
      <c r="EA125" s="148"/>
      <c r="EB125" s="148"/>
      <c r="EC125" s="148"/>
      <c r="ED125" s="148"/>
      <c r="EE125" s="148"/>
      <c r="EF125" s="148"/>
      <c r="EG125" s="148"/>
      <c r="EH125" s="148"/>
      <c r="EI125" s="148"/>
      <c r="EJ125" s="148"/>
      <c r="EK125" s="148"/>
      <c r="EL125" s="148"/>
      <c r="EM125" s="148"/>
      <c r="EN125" s="148"/>
      <c r="EO125" s="148"/>
      <c r="EP125" s="148"/>
      <c r="EQ125" s="148"/>
      <c r="ER125" s="148"/>
      <c r="ES125" s="148"/>
      <c r="ET125" s="148"/>
      <c r="EU125" s="148"/>
      <c r="EV125" s="148"/>
      <c r="EW125" s="148"/>
      <c r="EX125" s="148"/>
      <c r="EY125" s="148"/>
      <c r="EZ125" s="148"/>
      <c r="FA125" s="148"/>
      <c r="FB125" s="148"/>
      <c r="FC125" s="148"/>
      <c r="FD125" s="148"/>
      <c r="FE125" s="148"/>
      <c r="FF125" s="148"/>
      <c r="FG125" s="148"/>
      <c r="FH125" s="148"/>
      <c r="FI125" s="148"/>
      <c r="FJ125" s="148"/>
      <c r="FK125" s="148"/>
      <c r="FL125" s="148"/>
      <c r="FM125" s="148"/>
      <c r="FN125" s="148"/>
      <c r="FO125" s="148"/>
      <c r="FP125" s="148"/>
      <c r="FQ125" s="148"/>
      <c r="FR125" s="148"/>
      <c r="FS125" s="148"/>
      <c r="FT125" s="148"/>
      <c r="FU125" s="148"/>
      <c r="FV125" s="148"/>
      <c r="FW125" s="148"/>
      <c r="FX125" s="148"/>
      <c r="FY125" s="148"/>
      <c r="FZ125" s="148"/>
      <c r="GA125" s="148"/>
      <c r="GB125" s="148"/>
      <c r="GC125" s="148"/>
      <c r="GD125" s="148"/>
      <c r="GE125" s="148"/>
      <c r="GF125" s="148"/>
      <c r="GG125" s="148"/>
      <c r="GH125" s="148"/>
      <c r="GI125" s="148"/>
      <c r="GJ125" s="148"/>
      <c r="GK125" s="148"/>
      <c r="GL125" s="148"/>
      <c r="GM125" s="148"/>
      <c r="GN125" s="148"/>
      <c r="GO125" s="148"/>
      <c r="GP125" s="148"/>
      <c r="GQ125" s="148"/>
      <c r="GR125" s="148"/>
      <c r="GS125" s="148"/>
      <c r="GT125" s="148"/>
      <c r="GU125" s="148"/>
      <c r="GV125" s="148"/>
      <c r="GW125" s="148"/>
      <c r="GX125" s="148"/>
      <c r="GY125" s="148"/>
      <c r="GZ125" s="148"/>
      <c r="HA125" s="148"/>
      <c r="HB125" s="148"/>
      <c r="HC125" s="148"/>
      <c r="HD125" s="148"/>
      <c r="HE125" s="148"/>
      <c r="HF125" s="148"/>
      <c r="HG125" s="148"/>
      <c r="HH125" s="148"/>
      <c r="HI125" s="148"/>
      <c r="HJ125" s="148"/>
      <c r="HK125" s="148"/>
      <c r="HL125" s="148"/>
      <c r="HM125" s="148"/>
      <c r="HN125" s="148"/>
      <c r="HO125" s="148"/>
      <c r="HP125" s="148"/>
      <c r="HQ125" s="148"/>
      <c r="HR125" s="148"/>
      <c r="HS125" s="148"/>
      <c r="HT125" s="148"/>
      <c r="HU125" s="148"/>
      <c r="HV125" s="148"/>
      <c r="HW125" s="148"/>
      <c r="HX125" s="148"/>
      <c r="HY125" s="148"/>
      <c r="HZ125" s="148"/>
      <c r="IA125" s="148"/>
      <c r="IB125" s="148"/>
      <c r="IC125" s="148"/>
      <c r="ID125" s="148"/>
      <c r="IE125" s="148"/>
      <c r="IF125" s="148"/>
      <c r="IG125" s="148"/>
      <c r="IH125" s="148"/>
      <c r="II125" s="148"/>
      <c r="IJ125" s="148"/>
      <c r="IK125" s="148"/>
      <c r="IL125" s="148"/>
      <c r="IM125" s="148"/>
      <c r="IN125" s="148"/>
      <c r="IO125" s="148"/>
      <c r="IP125" s="148"/>
      <c r="IQ125" s="148"/>
      <c r="IR125" s="148"/>
      <c r="IS125" s="148"/>
      <c r="IT125" s="148"/>
      <c r="IU125" s="148"/>
      <c r="IV125" s="148"/>
      <c r="IW125" s="148"/>
      <c r="IX125" s="148"/>
      <c r="IY125" s="148"/>
      <c r="IZ125" s="148"/>
      <c r="JA125" s="148"/>
      <c r="JB125" s="148"/>
      <c r="JC125" s="148"/>
      <c r="JD125" s="148"/>
      <c r="JE125" s="148"/>
      <c r="JF125" s="148"/>
      <c r="JG125" s="148"/>
      <c r="JH125" s="148"/>
      <c r="JI125" s="148"/>
      <c r="JJ125" s="148"/>
      <c r="JK125" s="148"/>
      <c r="JL125" s="148"/>
      <c r="JM125" s="148"/>
      <c r="JN125" s="148"/>
      <c r="JO125" s="148"/>
      <c r="JP125" s="148"/>
      <c r="JQ125" s="148"/>
      <c r="JR125" s="148"/>
      <c r="JS125" s="148"/>
      <c r="JT125" s="148"/>
      <c r="JU125" s="148"/>
      <c r="JV125" s="148"/>
      <c r="JW125" s="148"/>
      <c r="JX125" s="148"/>
      <c r="JY125" s="148"/>
      <c r="JZ125" s="148"/>
      <c r="KA125" s="148"/>
      <c r="KB125" s="148"/>
      <c r="KC125" s="148"/>
      <c r="KD125" s="148"/>
      <c r="KE125" s="148"/>
      <c r="KF125" s="148"/>
      <c r="KG125" s="148"/>
      <c r="KH125" s="148"/>
      <c r="KI125" s="148"/>
      <c r="KJ125" s="148"/>
      <c r="KK125" s="148"/>
      <c r="KL125" s="148"/>
      <c r="KM125" s="148"/>
      <c r="KN125" s="148"/>
      <c r="KO125" s="148"/>
      <c r="KP125" s="148"/>
      <c r="KQ125" s="148"/>
      <c r="KR125" s="148"/>
      <c r="KS125" s="148"/>
      <c r="KT125" s="148"/>
      <c r="KU125" s="148"/>
      <c r="KV125" s="148"/>
      <c r="KW125" s="148"/>
      <c r="KX125" s="148"/>
      <c r="KY125" s="148"/>
      <c r="KZ125" s="148"/>
      <c r="LA125" s="148"/>
      <c r="LB125" s="148"/>
      <c r="LC125" s="148"/>
      <c r="LD125" s="148"/>
      <c r="LE125" s="148"/>
      <c r="LF125" s="148"/>
      <c r="LG125" s="148"/>
      <c r="LH125" s="148"/>
      <c r="LI125" s="148"/>
      <c r="LJ125" s="148"/>
      <c r="LK125" s="148"/>
      <c r="LL125" s="148"/>
      <c r="LM125" s="148"/>
      <c r="LN125" s="148"/>
      <c r="LO125" s="148"/>
      <c r="LP125" s="148"/>
      <c r="LQ125" s="148"/>
      <c r="LR125" s="148"/>
      <c r="LS125" s="148"/>
      <c r="LT125" s="148"/>
      <c r="LU125" s="148"/>
      <c r="LV125" s="148"/>
      <c r="LW125" s="148"/>
      <c r="LX125" s="148"/>
      <c r="LY125" s="148"/>
      <c r="LZ125" s="148"/>
      <c r="MA125" s="148"/>
      <c r="MB125" s="148"/>
      <c r="MC125" s="148"/>
      <c r="MD125" s="148"/>
      <c r="ME125" s="148"/>
      <c r="MF125" s="148"/>
      <c r="MG125" s="148"/>
      <c r="MH125" s="148"/>
      <c r="MI125" s="148"/>
      <c r="MJ125" s="148"/>
      <c r="MK125" s="148"/>
      <c r="ML125" s="148"/>
      <c r="MM125" s="148"/>
      <c r="MN125" s="148"/>
      <c r="MO125" s="148"/>
      <c r="MP125" s="148"/>
      <c r="MQ125" s="148"/>
      <c r="MR125" s="148"/>
      <c r="MS125" s="148"/>
      <c r="MT125" s="148"/>
      <c r="MU125" s="148"/>
      <c r="MV125" s="148"/>
      <c r="MW125" s="148"/>
      <c r="MX125" s="148"/>
      <c r="MY125" s="148"/>
      <c r="MZ125" s="148"/>
      <c r="NA125" s="148"/>
      <c r="NB125" s="148"/>
      <c r="NC125" s="148"/>
      <c r="ND125" s="148"/>
      <c r="NE125" s="148"/>
      <c r="NF125" s="148"/>
      <c r="NG125" s="148"/>
      <c r="NH125" s="148"/>
      <c r="NI125" s="148"/>
      <c r="NJ125" s="148"/>
      <c r="NK125" s="148"/>
      <c r="NL125" s="148"/>
      <c r="NM125" s="148"/>
      <c r="NN125" s="148"/>
      <c r="NO125" s="148"/>
      <c r="NP125" s="148"/>
      <c r="NQ125" s="148"/>
      <c r="NR125" s="148"/>
      <c r="NS125" s="148"/>
      <c r="NT125" s="148"/>
      <c r="NU125" s="148"/>
      <c r="NV125" s="148"/>
      <c r="NW125" s="148"/>
      <c r="NX125" s="148"/>
      <c r="NY125" s="148"/>
      <c r="NZ125" s="148"/>
      <c r="OA125" s="148"/>
      <c r="OB125" s="148"/>
      <c r="OC125" s="148"/>
      <c r="OD125" s="148"/>
      <c r="OE125" s="148"/>
      <c r="OF125" s="148"/>
      <c r="OG125" s="148"/>
      <c r="OH125" s="148"/>
      <c r="OI125" s="148"/>
      <c r="OJ125" s="148"/>
      <c r="OK125" s="148"/>
      <c r="OL125" s="148"/>
      <c r="OM125" s="148"/>
      <c r="ON125" s="148"/>
      <c r="OO125" s="148"/>
      <c r="OP125" s="148"/>
      <c r="OQ125" s="148"/>
      <c r="OR125" s="148"/>
      <c r="OS125" s="148"/>
      <c r="OT125" s="148"/>
      <c r="OU125" s="148"/>
      <c r="OV125" s="148"/>
      <c r="OW125" s="148"/>
      <c r="OX125" s="148"/>
      <c r="OY125" s="148"/>
      <c r="OZ125" s="148"/>
      <c r="PA125" s="148"/>
      <c r="PB125" s="148"/>
      <c r="PC125" s="148"/>
      <c r="PD125" s="148"/>
      <c r="PE125" s="148"/>
      <c r="PF125" s="148"/>
      <c r="PG125" s="148"/>
      <c r="PH125" s="148"/>
      <c r="PI125" s="148"/>
      <c r="PJ125" s="148"/>
      <c r="PK125" s="148"/>
      <c r="PL125" s="148"/>
      <c r="PM125" s="148"/>
      <c r="PN125" s="148"/>
      <c r="PO125" s="148"/>
      <c r="PP125" s="148"/>
      <c r="PQ125" s="148"/>
      <c r="PR125" s="148"/>
      <c r="PS125" s="148"/>
      <c r="PT125" s="148"/>
      <c r="PU125" s="148"/>
      <c r="PV125" s="148"/>
      <c r="PW125" s="148"/>
      <c r="PX125" s="148"/>
      <c r="PY125" s="148"/>
      <c r="PZ125" s="148"/>
      <c r="QA125" s="148"/>
      <c r="QB125" s="148"/>
      <c r="QC125" s="148"/>
      <c r="QD125" s="148"/>
      <c r="QE125" s="148"/>
      <c r="QF125" s="148"/>
      <c r="QG125" s="148"/>
      <c r="QH125" s="148"/>
      <c r="QI125" s="148"/>
      <c r="QJ125" s="148"/>
      <c r="QK125" s="148"/>
      <c r="QL125" s="148"/>
      <c r="QM125" s="148"/>
      <c r="QN125" s="148"/>
      <c r="QO125" s="148"/>
      <c r="QP125" s="148"/>
      <c r="QQ125" s="148"/>
      <c r="QR125" s="148"/>
      <c r="QS125" s="148"/>
      <c r="QT125" s="148"/>
      <c r="QU125" s="148"/>
      <c r="QV125" s="148"/>
      <c r="QW125" s="148"/>
      <c r="QX125" s="148"/>
      <c r="QY125" s="148"/>
      <c r="QZ125" s="148"/>
      <c r="RA125" s="148"/>
      <c r="RB125" s="148"/>
      <c r="RC125" s="148"/>
      <c r="RD125" s="148"/>
      <c r="RE125" s="148"/>
      <c r="RF125" s="148"/>
      <c r="RG125" s="148"/>
      <c r="RH125" s="148"/>
      <c r="RI125" s="148"/>
      <c r="RJ125" s="148"/>
      <c r="RK125" s="148"/>
      <c r="RL125" s="148"/>
      <c r="RM125" s="148"/>
      <c r="RN125" s="148"/>
      <c r="RO125" s="148"/>
      <c r="RP125" s="148"/>
      <c r="RQ125" s="148"/>
      <c r="RR125" s="148"/>
    </row>
    <row r="126" spans="1:486" s="15" customFormat="1" hidden="1" x14ac:dyDescent="0.25">
      <c r="A126" s="148"/>
      <c r="B126" s="350">
        <v>116</v>
      </c>
      <c r="C126" s="650"/>
      <c r="D126" s="16"/>
      <c r="E126" s="344"/>
      <c r="F126" s="344"/>
      <c r="G126" s="17"/>
      <c r="H126" s="317"/>
      <c r="I126" s="346"/>
      <c r="J126" s="341"/>
      <c r="K126" s="633"/>
      <c r="L126" s="633"/>
      <c r="M126" s="633"/>
      <c r="N126" s="633"/>
      <c r="O126" s="633"/>
      <c r="P126" s="633"/>
      <c r="Q126" s="633"/>
      <c r="R126" s="633"/>
      <c r="S126" s="633"/>
      <c r="T126" s="633"/>
      <c r="U126" s="633"/>
      <c r="V126" s="633"/>
      <c r="W126" s="633"/>
      <c r="X126" s="633"/>
      <c r="Y126" s="633">
        <f t="shared" si="3"/>
        <v>0</v>
      </c>
      <c r="Z126" s="310"/>
      <c r="AA126" s="19"/>
      <c r="AB126" s="315"/>
      <c r="AC126" s="315"/>
      <c r="AD126" s="652"/>
      <c r="AE126" s="20"/>
      <c r="AF126" s="21"/>
      <c r="AG126" s="23"/>
      <c r="AH126" s="637"/>
      <c r="AI126" s="19"/>
      <c r="AJ126" s="21"/>
      <c r="AK126" s="25"/>
      <c r="AL126" s="309"/>
      <c r="AM126" s="19"/>
      <c r="AN126" s="21"/>
      <c r="AO126" s="25"/>
      <c r="AP126" s="309"/>
      <c r="AQ126" s="19"/>
      <c r="AR126" s="21"/>
      <c r="AS126" s="25"/>
      <c r="AT126" s="638">
        <f t="shared" si="4"/>
        <v>0</v>
      </c>
      <c r="AU126" s="311">
        <f t="shared" si="0"/>
        <v>0</v>
      </c>
      <c r="AV126" s="148"/>
      <c r="AW126" s="148"/>
      <c r="AX126" s="148"/>
      <c r="AY126" s="148"/>
      <c r="AZ126" s="148"/>
      <c r="BA126" s="148"/>
      <c r="BB126" s="148"/>
      <c r="BC126" s="148"/>
      <c r="BD126" s="148"/>
      <c r="BE126" s="148"/>
      <c r="BF126" s="148"/>
      <c r="BG126" s="148"/>
      <c r="BH126" s="148"/>
      <c r="BI126" s="148"/>
      <c r="BJ126" s="148"/>
      <c r="BK126" s="148"/>
      <c r="BL126" s="148"/>
      <c r="BM126" s="148"/>
      <c r="BN126" s="148"/>
      <c r="BO126" s="148"/>
      <c r="BP126" s="148"/>
      <c r="BQ126" s="148"/>
      <c r="BR126" s="148"/>
      <c r="BS126" s="148"/>
      <c r="BT126" s="148"/>
      <c r="BU126" s="148"/>
      <c r="BV126" s="148"/>
      <c r="BW126" s="148"/>
      <c r="BX126" s="148"/>
      <c r="BY126" s="148"/>
      <c r="BZ126" s="148"/>
      <c r="CA126" s="148"/>
      <c r="CB126" s="148"/>
      <c r="CC126" s="148"/>
      <c r="CD126" s="148"/>
      <c r="CE126" s="148"/>
      <c r="CF126" s="148"/>
      <c r="CG126" s="148"/>
      <c r="CH126" s="148"/>
      <c r="CI126" s="148"/>
      <c r="CJ126" s="148"/>
      <c r="CK126" s="148"/>
      <c r="CL126" s="148"/>
      <c r="CM126" s="148"/>
      <c r="CN126" s="148"/>
      <c r="CO126" s="148"/>
      <c r="CP126" s="148"/>
      <c r="CQ126" s="148"/>
      <c r="CR126" s="148"/>
      <c r="CS126" s="148"/>
      <c r="CT126" s="148"/>
      <c r="CU126" s="148"/>
      <c r="CV126" s="148"/>
      <c r="CW126" s="148"/>
      <c r="CX126" s="148"/>
      <c r="CY126" s="148"/>
      <c r="CZ126" s="148"/>
      <c r="DA126" s="148"/>
      <c r="DB126" s="148"/>
      <c r="DC126" s="148"/>
      <c r="DD126" s="148"/>
      <c r="DE126" s="148"/>
      <c r="DF126" s="148"/>
      <c r="DG126" s="148"/>
      <c r="DH126" s="148"/>
      <c r="DI126" s="148"/>
      <c r="DJ126" s="148"/>
      <c r="DK126" s="148"/>
      <c r="DL126" s="148"/>
      <c r="DM126" s="148"/>
      <c r="DN126" s="148"/>
      <c r="DO126" s="148"/>
      <c r="DP126" s="148"/>
      <c r="DQ126" s="148"/>
      <c r="DR126" s="148"/>
      <c r="DS126" s="148"/>
      <c r="DT126" s="148"/>
      <c r="DU126" s="148"/>
      <c r="DV126" s="148"/>
      <c r="DW126" s="148"/>
      <c r="DX126" s="148"/>
      <c r="DY126" s="148"/>
      <c r="DZ126" s="148"/>
      <c r="EA126" s="148"/>
      <c r="EB126" s="148"/>
      <c r="EC126" s="148"/>
      <c r="ED126" s="148"/>
      <c r="EE126" s="148"/>
      <c r="EF126" s="148"/>
      <c r="EG126" s="148"/>
      <c r="EH126" s="148"/>
      <c r="EI126" s="148"/>
      <c r="EJ126" s="148"/>
      <c r="EK126" s="148"/>
      <c r="EL126" s="148"/>
      <c r="EM126" s="148"/>
      <c r="EN126" s="148"/>
      <c r="EO126" s="148"/>
      <c r="EP126" s="148"/>
      <c r="EQ126" s="148"/>
      <c r="ER126" s="148"/>
      <c r="ES126" s="148"/>
      <c r="ET126" s="148"/>
      <c r="EU126" s="148"/>
      <c r="EV126" s="148"/>
      <c r="EW126" s="148"/>
      <c r="EX126" s="148"/>
      <c r="EY126" s="148"/>
      <c r="EZ126" s="148"/>
      <c r="FA126" s="148"/>
      <c r="FB126" s="148"/>
      <c r="FC126" s="148"/>
      <c r="FD126" s="148"/>
      <c r="FE126" s="148"/>
      <c r="FF126" s="148"/>
      <c r="FG126" s="148"/>
      <c r="FH126" s="148"/>
      <c r="FI126" s="148"/>
      <c r="FJ126" s="148"/>
      <c r="FK126" s="148"/>
      <c r="FL126" s="148"/>
      <c r="FM126" s="148"/>
      <c r="FN126" s="148"/>
      <c r="FO126" s="148"/>
      <c r="FP126" s="148"/>
      <c r="FQ126" s="148"/>
      <c r="FR126" s="148"/>
      <c r="FS126" s="148"/>
      <c r="FT126" s="148"/>
      <c r="FU126" s="148"/>
      <c r="FV126" s="148"/>
      <c r="FW126" s="148"/>
      <c r="FX126" s="148"/>
      <c r="FY126" s="148"/>
      <c r="FZ126" s="148"/>
      <c r="GA126" s="148"/>
      <c r="GB126" s="148"/>
      <c r="GC126" s="148"/>
      <c r="GD126" s="148"/>
      <c r="GE126" s="148"/>
      <c r="GF126" s="148"/>
      <c r="GG126" s="148"/>
      <c r="GH126" s="148"/>
      <c r="GI126" s="148"/>
      <c r="GJ126" s="148"/>
      <c r="GK126" s="148"/>
      <c r="GL126" s="148"/>
      <c r="GM126" s="148"/>
      <c r="GN126" s="148"/>
      <c r="GO126" s="148"/>
      <c r="GP126" s="148"/>
      <c r="GQ126" s="148"/>
      <c r="GR126" s="148"/>
      <c r="GS126" s="148"/>
      <c r="GT126" s="148"/>
      <c r="GU126" s="148"/>
      <c r="GV126" s="148"/>
      <c r="GW126" s="148"/>
      <c r="GX126" s="148"/>
      <c r="GY126" s="148"/>
      <c r="GZ126" s="148"/>
      <c r="HA126" s="148"/>
      <c r="HB126" s="148"/>
      <c r="HC126" s="148"/>
      <c r="HD126" s="148"/>
      <c r="HE126" s="148"/>
      <c r="HF126" s="148"/>
      <c r="HG126" s="148"/>
      <c r="HH126" s="148"/>
      <c r="HI126" s="148"/>
      <c r="HJ126" s="148"/>
      <c r="HK126" s="148"/>
      <c r="HL126" s="148"/>
      <c r="HM126" s="148"/>
      <c r="HN126" s="148"/>
      <c r="HO126" s="148"/>
      <c r="HP126" s="148"/>
      <c r="HQ126" s="148"/>
      <c r="HR126" s="148"/>
      <c r="HS126" s="148"/>
      <c r="HT126" s="148"/>
      <c r="HU126" s="148"/>
      <c r="HV126" s="148"/>
      <c r="HW126" s="148"/>
      <c r="HX126" s="148"/>
      <c r="HY126" s="148"/>
      <c r="HZ126" s="148"/>
      <c r="IA126" s="148"/>
      <c r="IB126" s="148"/>
      <c r="IC126" s="148"/>
      <c r="ID126" s="148"/>
      <c r="IE126" s="148"/>
      <c r="IF126" s="148"/>
      <c r="IG126" s="148"/>
      <c r="IH126" s="148"/>
      <c r="II126" s="148"/>
      <c r="IJ126" s="148"/>
      <c r="IK126" s="148"/>
      <c r="IL126" s="148"/>
      <c r="IM126" s="148"/>
      <c r="IN126" s="148"/>
      <c r="IO126" s="148"/>
      <c r="IP126" s="148"/>
      <c r="IQ126" s="148"/>
      <c r="IR126" s="148"/>
      <c r="IS126" s="148"/>
      <c r="IT126" s="148"/>
      <c r="IU126" s="148"/>
      <c r="IV126" s="148"/>
      <c r="IW126" s="148"/>
      <c r="IX126" s="148"/>
      <c r="IY126" s="148"/>
      <c r="IZ126" s="148"/>
      <c r="JA126" s="148"/>
      <c r="JB126" s="148"/>
      <c r="JC126" s="148"/>
      <c r="JD126" s="148"/>
      <c r="JE126" s="148"/>
      <c r="JF126" s="148"/>
      <c r="JG126" s="148"/>
      <c r="JH126" s="148"/>
      <c r="JI126" s="148"/>
      <c r="JJ126" s="148"/>
      <c r="JK126" s="148"/>
      <c r="JL126" s="148"/>
      <c r="JM126" s="148"/>
      <c r="JN126" s="148"/>
      <c r="JO126" s="148"/>
      <c r="JP126" s="148"/>
      <c r="JQ126" s="148"/>
      <c r="JR126" s="148"/>
      <c r="JS126" s="148"/>
      <c r="JT126" s="148"/>
      <c r="JU126" s="148"/>
      <c r="JV126" s="148"/>
      <c r="JW126" s="148"/>
      <c r="JX126" s="148"/>
      <c r="JY126" s="148"/>
      <c r="JZ126" s="148"/>
      <c r="KA126" s="148"/>
      <c r="KB126" s="148"/>
      <c r="KC126" s="148"/>
      <c r="KD126" s="148"/>
      <c r="KE126" s="148"/>
      <c r="KF126" s="148"/>
      <c r="KG126" s="148"/>
      <c r="KH126" s="148"/>
      <c r="KI126" s="148"/>
      <c r="KJ126" s="148"/>
      <c r="KK126" s="148"/>
      <c r="KL126" s="148"/>
      <c r="KM126" s="148"/>
      <c r="KN126" s="148"/>
      <c r="KO126" s="148"/>
      <c r="KP126" s="148"/>
      <c r="KQ126" s="148"/>
      <c r="KR126" s="148"/>
      <c r="KS126" s="148"/>
      <c r="KT126" s="148"/>
      <c r="KU126" s="148"/>
      <c r="KV126" s="148"/>
      <c r="KW126" s="148"/>
      <c r="KX126" s="148"/>
      <c r="KY126" s="148"/>
      <c r="KZ126" s="148"/>
      <c r="LA126" s="148"/>
      <c r="LB126" s="148"/>
      <c r="LC126" s="148"/>
      <c r="LD126" s="148"/>
      <c r="LE126" s="148"/>
      <c r="LF126" s="148"/>
      <c r="LG126" s="148"/>
      <c r="LH126" s="148"/>
      <c r="LI126" s="148"/>
      <c r="LJ126" s="148"/>
      <c r="LK126" s="148"/>
      <c r="LL126" s="148"/>
      <c r="LM126" s="148"/>
      <c r="LN126" s="148"/>
      <c r="LO126" s="148"/>
      <c r="LP126" s="148"/>
      <c r="LQ126" s="148"/>
      <c r="LR126" s="148"/>
      <c r="LS126" s="148"/>
      <c r="LT126" s="148"/>
      <c r="LU126" s="148"/>
      <c r="LV126" s="148"/>
      <c r="LW126" s="148"/>
      <c r="LX126" s="148"/>
      <c r="LY126" s="148"/>
      <c r="LZ126" s="148"/>
      <c r="MA126" s="148"/>
      <c r="MB126" s="148"/>
      <c r="MC126" s="148"/>
      <c r="MD126" s="148"/>
      <c r="ME126" s="148"/>
      <c r="MF126" s="148"/>
      <c r="MG126" s="148"/>
      <c r="MH126" s="148"/>
      <c r="MI126" s="148"/>
      <c r="MJ126" s="148"/>
      <c r="MK126" s="148"/>
      <c r="ML126" s="148"/>
      <c r="MM126" s="148"/>
      <c r="MN126" s="148"/>
      <c r="MO126" s="148"/>
      <c r="MP126" s="148"/>
      <c r="MQ126" s="148"/>
      <c r="MR126" s="148"/>
      <c r="MS126" s="148"/>
      <c r="MT126" s="148"/>
      <c r="MU126" s="148"/>
      <c r="MV126" s="148"/>
      <c r="MW126" s="148"/>
      <c r="MX126" s="148"/>
      <c r="MY126" s="148"/>
      <c r="MZ126" s="148"/>
      <c r="NA126" s="148"/>
      <c r="NB126" s="148"/>
      <c r="NC126" s="148"/>
      <c r="ND126" s="148"/>
      <c r="NE126" s="148"/>
      <c r="NF126" s="148"/>
      <c r="NG126" s="148"/>
      <c r="NH126" s="148"/>
      <c r="NI126" s="148"/>
      <c r="NJ126" s="148"/>
      <c r="NK126" s="148"/>
      <c r="NL126" s="148"/>
      <c r="NM126" s="148"/>
      <c r="NN126" s="148"/>
      <c r="NO126" s="148"/>
      <c r="NP126" s="148"/>
      <c r="NQ126" s="148"/>
      <c r="NR126" s="148"/>
      <c r="NS126" s="148"/>
      <c r="NT126" s="148"/>
      <c r="NU126" s="148"/>
      <c r="NV126" s="148"/>
      <c r="NW126" s="148"/>
      <c r="NX126" s="148"/>
      <c r="NY126" s="148"/>
      <c r="NZ126" s="148"/>
      <c r="OA126" s="148"/>
      <c r="OB126" s="148"/>
      <c r="OC126" s="148"/>
      <c r="OD126" s="148"/>
      <c r="OE126" s="148"/>
      <c r="OF126" s="148"/>
      <c r="OG126" s="148"/>
      <c r="OH126" s="148"/>
      <c r="OI126" s="148"/>
      <c r="OJ126" s="148"/>
      <c r="OK126" s="148"/>
      <c r="OL126" s="148"/>
      <c r="OM126" s="148"/>
      <c r="ON126" s="148"/>
      <c r="OO126" s="148"/>
      <c r="OP126" s="148"/>
      <c r="OQ126" s="148"/>
      <c r="OR126" s="148"/>
      <c r="OS126" s="148"/>
      <c r="OT126" s="148"/>
      <c r="OU126" s="148"/>
      <c r="OV126" s="148"/>
      <c r="OW126" s="148"/>
      <c r="OX126" s="148"/>
      <c r="OY126" s="148"/>
      <c r="OZ126" s="148"/>
      <c r="PA126" s="148"/>
      <c r="PB126" s="148"/>
      <c r="PC126" s="148"/>
      <c r="PD126" s="148"/>
      <c r="PE126" s="148"/>
      <c r="PF126" s="148"/>
      <c r="PG126" s="148"/>
      <c r="PH126" s="148"/>
      <c r="PI126" s="148"/>
      <c r="PJ126" s="148"/>
      <c r="PK126" s="148"/>
      <c r="PL126" s="148"/>
      <c r="PM126" s="148"/>
      <c r="PN126" s="148"/>
      <c r="PO126" s="148"/>
      <c r="PP126" s="148"/>
      <c r="PQ126" s="148"/>
      <c r="PR126" s="148"/>
      <c r="PS126" s="148"/>
      <c r="PT126" s="148"/>
      <c r="PU126" s="148"/>
      <c r="PV126" s="148"/>
      <c r="PW126" s="148"/>
      <c r="PX126" s="148"/>
      <c r="PY126" s="148"/>
      <c r="PZ126" s="148"/>
      <c r="QA126" s="148"/>
      <c r="QB126" s="148"/>
      <c r="QC126" s="148"/>
      <c r="QD126" s="148"/>
      <c r="QE126" s="148"/>
      <c r="QF126" s="148"/>
      <c r="QG126" s="148"/>
      <c r="QH126" s="148"/>
      <c r="QI126" s="148"/>
      <c r="QJ126" s="148"/>
      <c r="QK126" s="148"/>
      <c r="QL126" s="148"/>
      <c r="QM126" s="148"/>
      <c r="QN126" s="148"/>
      <c r="QO126" s="148"/>
      <c r="QP126" s="148"/>
      <c r="QQ126" s="148"/>
      <c r="QR126" s="148"/>
      <c r="QS126" s="148"/>
      <c r="QT126" s="148"/>
      <c r="QU126" s="148"/>
      <c r="QV126" s="148"/>
      <c r="QW126" s="148"/>
      <c r="QX126" s="148"/>
      <c r="QY126" s="148"/>
      <c r="QZ126" s="148"/>
      <c r="RA126" s="148"/>
      <c r="RB126" s="148"/>
      <c r="RC126" s="148"/>
      <c r="RD126" s="148"/>
      <c r="RE126" s="148"/>
      <c r="RF126" s="148"/>
      <c r="RG126" s="148"/>
      <c r="RH126" s="148"/>
      <c r="RI126" s="148"/>
      <c r="RJ126" s="148"/>
      <c r="RK126" s="148"/>
      <c r="RL126" s="148"/>
      <c r="RM126" s="148"/>
      <c r="RN126" s="148"/>
      <c r="RO126" s="148"/>
      <c r="RP126" s="148"/>
      <c r="RQ126" s="148"/>
      <c r="RR126" s="148"/>
    </row>
    <row r="127" spans="1:486" s="15" customFormat="1" hidden="1" x14ac:dyDescent="0.25">
      <c r="A127" s="148"/>
      <c r="B127" s="350">
        <v>117</v>
      </c>
      <c r="C127" s="650"/>
      <c r="D127" s="16"/>
      <c r="E127" s="344"/>
      <c r="F127" s="344"/>
      <c r="G127" s="17"/>
      <c r="H127" s="317"/>
      <c r="I127" s="346"/>
      <c r="J127" s="341"/>
      <c r="K127" s="633"/>
      <c r="L127" s="633"/>
      <c r="M127" s="633"/>
      <c r="N127" s="633"/>
      <c r="O127" s="633"/>
      <c r="P127" s="633"/>
      <c r="Q127" s="633"/>
      <c r="R127" s="633"/>
      <c r="S127" s="633"/>
      <c r="T127" s="633"/>
      <c r="U127" s="633"/>
      <c r="V127" s="633"/>
      <c r="W127" s="633"/>
      <c r="X127" s="633"/>
      <c r="Y127" s="633">
        <f t="shared" si="3"/>
        <v>0</v>
      </c>
      <c r="Z127" s="310"/>
      <c r="AA127" s="19"/>
      <c r="AB127" s="21"/>
      <c r="AC127" s="23"/>
      <c r="AD127" s="652"/>
      <c r="AE127" s="20"/>
      <c r="AF127" s="21"/>
      <c r="AG127" s="23"/>
      <c r="AH127" s="637"/>
      <c r="AI127" s="19"/>
      <c r="AJ127" s="21"/>
      <c r="AK127" s="25"/>
      <c r="AL127" s="309"/>
      <c r="AM127" s="19"/>
      <c r="AN127" s="21"/>
      <c r="AO127" s="25"/>
      <c r="AP127" s="309"/>
      <c r="AQ127" s="19"/>
      <c r="AR127" s="21"/>
      <c r="AS127" s="25"/>
      <c r="AT127" s="638">
        <f t="shared" si="4"/>
        <v>0</v>
      </c>
      <c r="AU127" s="311">
        <f t="shared" si="0"/>
        <v>0</v>
      </c>
      <c r="AV127" s="148"/>
      <c r="AW127" s="148"/>
      <c r="AX127" s="148"/>
      <c r="AY127" s="148"/>
      <c r="AZ127" s="148"/>
      <c r="BA127" s="148"/>
      <c r="BB127" s="148"/>
      <c r="BC127" s="148"/>
      <c r="BD127" s="148"/>
      <c r="BE127" s="148"/>
      <c r="BF127" s="148"/>
      <c r="BG127" s="148"/>
      <c r="BH127" s="148"/>
      <c r="BI127" s="148"/>
      <c r="BJ127" s="148"/>
      <c r="BK127" s="148"/>
      <c r="BL127" s="148"/>
      <c r="BM127" s="148"/>
      <c r="BN127" s="148"/>
      <c r="BO127" s="148"/>
      <c r="BP127" s="148"/>
      <c r="BQ127" s="148"/>
      <c r="BR127" s="148"/>
      <c r="BS127" s="148"/>
      <c r="BT127" s="148"/>
      <c r="BU127" s="148"/>
      <c r="BV127" s="148"/>
      <c r="BW127" s="148"/>
      <c r="BX127" s="148"/>
      <c r="BY127" s="148"/>
      <c r="BZ127" s="148"/>
      <c r="CA127" s="148"/>
      <c r="CB127" s="148"/>
      <c r="CC127" s="148"/>
      <c r="CD127" s="148"/>
      <c r="CE127" s="148"/>
      <c r="CF127" s="148"/>
      <c r="CG127" s="148"/>
      <c r="CH127" s="148"/>
      <c r="CI127" s="148"/>
      <c r="CJ127" s="148"/>
      <c r="CK127" s="148"/>
      <c r="CL127" s="148"/>
      <c r="CM127" s="148"/>
      <c r="CN127" s="148"/>
      <c r="CO127" s="148"/>
      <c r="CP127" s="148"/>
      <c r="CQ127" s="148"/>
      <c r="CR127" s="148"/>
      <c r="CS127" s="148"/>
      <c r="CT127" s="148"/>
      <c r="CU127" s="148"/>
      <c r="CV127" s="148"/>
      <c r="CW127" s="148"/>
      <c r="CX127" s="148"/>
      <c r="CY127" s="148"/>
      <c r="CZ127" s="148"/>
      <c r="DA127" s="148"/>
      <c r="DB127" s="148"/>
      <c r="DC127" s="148"/>
      <c r="DD127" s="148"/>
      <c r="DE127" s="148"/>
      <c r="DF127" s="148"/>
      <c r="DG127" s="148"/>
      <c r="DH127" s="148"/>
      <c r="DI127" s="148"/>
      <c r="DJ127" s="148"/>
      <c r="DK127" s="148"/>
      <c r="DL127" s="148"/>
      <c r="DM127" s="148"/>
      <c r="DN127" s="148"/>
      <c r="DO127" s="148"/>
      <c r="DP127" s="148"/>
      <c r="DQ127" s="148"/>
      <c r="DR127" s="148"/>
      <c r="DS127" s="148"/>
      <c r="DT127" s="148"/>
      <c r="DU127" s="148"/>
      <c r="DV127" s="148"/>
      <c r="DW127" s="148"/>
      <c r="DX127" s="148"/>
      <c r="DY127" s="148"/>
      <c r="DZ127" s="148"/>
      <c r="EA127" s="148"/>
      <c r="EB127" s="148"/>
      <c r="EC127" s="148"/>
      <c r="ED127" s="148"/>
      <c r="EE127" s="148"/>
      <c r="EF127" s="148"/>
      <c r="EG127" s="148"/>
      <c r="EH127" s="148"/>
      <c r="EI127" s="148"/>
      <c r="EJ127" s="148"/>
      <c r="EK127" s="148"/>
      <c r="EL127" s="148"/>
      <c r="EM127" s="148"/>
      <c r="EN127" s="148"/>
      <c r="EO127" s="148"/>
      <c r="EP127" s="148"/>
      <c r="EQ127" s="148"/>
      <c r="ER127" s="148"/>
      <c r="ES127" s="148"/>
      <c r="ET127" s="148"/>
      <c r="EU127" s="148"/>
      <c r="EV127" s="148"/>
      <c r="EW127" s="148"/>
      <c r="EX127" s="148"/>
      <c r="EY127" s="148"/>
      <c r="EZ127" s="148"/>
      <c r="FA127" s="148"/>
      <c r="FB127" s="148"/>
      <c r="FC127" s="148"/>
      <c r="FD127" s="148"/>
      <c r="FE127" s="148"/>
      <c r="FF127" s="148"/>
      <c r="FG127" s="148"/>
      <c r="FH127" s="148"/>
      <c r="FI127" s="148"/>
      <c r="FJ127" s="148"/>
      <c r="FK127" s="148"/>
      <c r="FL127" s="148"/>
      <c r="FM127" s="148"/>
      <c r="FN127" s="148"/>
      <c r="FO127" s="148"/>
      <c r="FP127" s="148"/>
      <c r="FQ127" s="148"/>
      <c r="FR127" s="148"/>
      <c r="FS127" s="148"/>
      <c r="FT127" s="148"/>
      <c r="FU127" s="148"/>
      <c r="FV127" s="148"/>
      <c r="FW127" s="148"/>
      <c r="FX127" s="148"/>
      <c r="FY127" s="148"/>
      <c r="FZ127" s="148"/>
      <c r="GA127" s="148"/>
      <c r="GB127" s="148"/>
      <c r="GC127" s="148"/>
      <c r="GD127" s="148"/>
      <c r="GE127" s="148"/>
      <c r="GF127" s="148"/>
      <c r="GG127" s="148"/>
      <c r="GH127" s="148"/>
      <c r="GI127" s="148"/>
      <c r="GJ127" s="148"/>
      <c r="GK127" s="148"/>
      <c r="GL127" s="148"/>
      <c r="GM127" s="148"/>
      <c r="GN127" s="148"/>
      <c r="GO127" s="148"/>
      <c r="GP127" s="148"/>
      <c r="GQ127" s="148"/>
      <c r="GR127" s="148"/>
      <c r="GS127" s="148"/>
      <c r="GT127" s="148"/>
      <c r="GU127" s="148"/>
      <c r="GV127" s="148"/>
      <c r="GW127" s="148"/>
      <c r="GX127" s="148"/>
      <c r="GY127" s="148"/>
      <c r="GZ127" s="148"/>
      <c r="HA127" s="148"/>
      <c r="HB127" s="148"/>
      <c r="HC127" s="148"/>
      <c r="HD127" s="148"/>
      <c r="HE127" s="148"/>
      <c r="HF127" s="148"/>
      <c r="HG127" s="148"/>
      <c r="HH127" s="148"/>
      <c r="HI127" s="148"/>
      <c r="HJ127" s="148"/>
      <c r="HK127" s="148"/>
      <c r="HL127" s="148"/>
      <c r="HM127" s="148"/>
      <c r="HN127" s="148"/>
      <c r="HO127" s="148"/>
      <c r="HP127" s="148"/>
      <c r="HQ127" s="148"/>
      <c r="HR127" s="148"/>
      <c r="HS127" s="148"/>
      <c r="HT127" s="148"/>
      <c r="HU127" s="148"/>
      <c r="HV127" s="148"/>
      <c r="HW127" s="148"/>
      <c r="HX127" s="148"/>
      <c r="HY127" s="148"/>
      <c r="HZ127" s="148"/>
      <c r="IA127" s="148"/>
      <c r="IB127" s="148"/>
      <c r="IC127" s="148"/>
      <c r="ID127" s="148"/>
      <c r="IE127" s="148"/>
      <c r="IF127" s="148"/>
      <c r="IG127" s="148"/>
      <c r="IH127" s="148"/>
      <c r="II127" s="148"/>
      <c r="IJ127" s="148"/>
      <c r="IK127" s="148"/>
      <c r="IL127" s="148"/>
      <c r="IM127" s="148"/>
      <c r="IN127" s="148"/>
      <c r="IO127" s="148"/>
      <c r="IP127" s="148"/>
      <c r="IQ127" s="148"/>
      <c r="IR127" s="148"/>
      <c r="IS127" s="148"/>
      <c r="IT127" s="148"/>
      <c r="IU127" s="148"/>
      <c r="IV127" s="148"/>
      <c r="IW127" s="148"/>
      <c r="IX127" s="148"/>
      <c r="IY127" s="148"/>
      <c r="IZ127" s="148"/>
      <c r="JA127" s="148"/>
      <c r="JB127" s="148"/>
      <c r="JC127" s="148"/>
      <c r="JD127" s="148"/>
      <c r="JE127" s="148"/>
      <c r="JF127" s="148"/>
      <c r="JG127" s="148"/>
      <c r="JH127" s="148"/>
      <c r="JI127" s="148"/>
      <c r="JJ127" s="148"/>
      <c r="JK127" s="148"/>
      <c r="JL127" s="148"/>
      <c r="JM127" s="148"/>
      <c r="JN127" s="148"/>
      <c r="JO127" s="148"/>
      <c r="JP127" s="148"/>
      <c r="JQ127" s="148"/>
      <c r="JR127" s="148"/>
      <c r="JS127" s="148"/>
      <c r="JT127" s="148"/>
      <c r="JU127" s="148"/>
      <c r="JV127" s="148"/>
      <c r="JW127" s="148"/>
      <c r="JX127" s="148"/>
      <c r="JY127" s="148"/>
      <c r="JZ127" s="148"/>
      <c r="KA127" s="148"/>
      <c r="KB127" s="148"/>
      <c r="KC127" s="148"/>
      <c r="KD127" s="148"/>
      <c r="KE127" s="148"/>
      <c r="KF127" s="148"/>
      <c r="KG127" s="148"/>
      <c r="KH127" s="148"/>
      <c r="KI127" s="148"/>
      <c r="KJ127" s="148"/>
      <c r="KK127" s="148"/>
      <c r="KL127" s="148"/>
      <c r="KM127" s="148"/>
      <c r="KN127" s="148"/>
      <c r="KO127" s="148"/>
      <c r="KP127" s="148"/>
      <c r="KQ127" s="148"/>
      <c r="KR127" s="148"/>
      <c r="KS127" s="148"/>
      <c r="KT127" s="148"/>
      <c r="KU127" s="148"/>
      <c r="KV127" s="148"/>
      <c r="KW127" s="148"/>
      <c r="KX127" s="148"/>
      <c r="KY127" s="148"/>
      <c r="KZ127" s="148"/>
      <c r="LA127" s="148"/>
      <c r="LB127" s="148"/>
      <c r="LC127" s="148"/>
      <c r="LD127" s="148"/>
      <c r="LE127" s="148"/>
      <c r="LF127" s="148"/>
      <c r="LG127" s="148"/>
      <c r="LH127" s="148"/>
      <c r="LI127" s="148"/>
      <c r="LJ127" s="148"/>
      <c r="LK127" s="148"/>
      <c r="LL127" s="148"/>
      <c r="LM127" s="148"/>
      <c r="LN127" s="148"/>
      <c r="LO127" s="148"/>
      <c r="LP127" s="148"/>
      <c r="LQ127" s="148"/>
      <c r="LR127" s="148"/>
      <c r="LS127" s="148"/>
      <c r="LT127" s="148"/>
      <c r="LU127" s="148"/>
      <c r="LV127" s="148"/>
      <c r="LW127" s="148"/>
      <c r="LX127" s="148"/>
      <c r="LY127" s="148"/>
      <c r="LZ127" s="148"/>
      <c r="MA127" s="148"/>
      <c r="MB127" s="148"/>
      <c r="MC127" s="148"/>
      <c r="MD127" s="148"/>
      <c r="ME127" s="148"/>
      <c r="MF127" s="148"/>
      <c r="MG127" s="148"/>
      <c r="MH127" s="148"/>
      <c r="MI127" s="148"/>
      <c r="MJ127" s="148"/>
      <c r="MK127" s="148"/>
      <c r="ML127" s="148"/>
      <c r="MM127" s="148"/>
      <c r="MN127" s="148"/>
      <c r="MO127" s="148"/>
      <c r="MP127" s="148"/>
      <c r="MQ127" s="148"/>
      <c r="MR127" s="148"/>
      <c r="MS127" s="148"/>
      <c r="MT127" s="148"/>
      <c r="MU127" s="148"/>
      <c r="MV127" s="148"/>
      <c r="MW127" s="148"/>
      <c r="MX127" s="148"/>
      <c r="MY127" s="148"/>
      <c r="MZ127" s="148"/>
      <c r="NA127" s="148"/>
      <c r="NB127" s="148"/>
      <c r="NC127" s="148"/>
      <c r="ND127" s="148"/>
      <c r="NE127" s="148"/>
      <c r="NF127" s="148"/>
      <c r="NG127" s="148"/>
      <c r="NH127" s="148"/>
      <c r="NI127" s="148"/>
      <c r="NJ127" s="148"/>
      <c r="NK127" s="148"/>
      <c r="NL127" s="148"/>
      <c r="NM127" s="148"/>
      <c r="NN127" s="148"/>
      <c r="NO127" s="148"/>
      <c r="NP127" s="148"/>
      <c r="NQ127" s="148"/>
      <c r="NR127" s="148"/>
      <c r="NS127" s="148"/>
      <c r="NT127" s="148"/>
      <c r="NU127" s="148"/>
      <c r="NV127" s="148"/>
      <c r="NW127" s="148"/>
      <c r="NX127" s="148"/>
      <c r="NY127" s="148"/>
      <c r="NZ127" s="148"/>
      <c r="OA127" s="148"/>
      <c r="OB127" s="148"/>
      <c r="OC127" s="148"/>
      <c r="OD127" s="148"/>
      <c r="OE127" s="148"/>
      <c r="OF127" s="148"/>
      <c r="OG127" s="148"/>
      <c r="OH127" s="148"/>
      <c r="OI127" s="148"/>
      <c r="OJ127" s="148"/>
      <c r="OK127" s="148"/>
      <c r="OL127" s="148"/>
      <c r="OM127" s="148"/>
      <c r="ON127" s="148"/>
      <c r="OO127" s="148"/>
      <c r="OP127" s="148"/>
      <c r="OQ127" s="148"/>
      <c r="OR127" s="148"/>
      <c r="OS127" s="148"/>
      <c r="OT127" s="148"/>
      <c r="OU127" s="148"/>
      <c r="OV127" s="148"/>
      <c r="OW127" s="148"/>
      <c r="OX127" s="148"/>
      <c r="OY127" s="148"/>
      <c r="OZ127" s="148"/>
      <c r="PA127" s="148"/>
      <c r="PB127" s="148"/>
      <c r="PC127" s="148"/>
      <c r="PD127" s="148"/>
      <c r="PE127" s="148"/>
      <c r="PF127" s="148"/>
      <c r="PG127" s="148"/>
      <c r="PH127" s="148"/>
      <c r="PI127" s="148"/>
      <c r="PJ127" s="148"/>
      <c r="PK127" s="148"/>
      <c r="PL127" s="148"/>
      <c r="PM127" s="148"/>
      <c r="PN127" s="148"/>
      <c r="PO127" s="148"/>
      <c r="PP127" s="148"/>
      <c r="PQ127" s="148"/>
      <c r="PR127" s="148"/>
      <c r="PS127" s="148"/>
      <c r="PT127" s="148"/>
      <c r="PU127" s="148"/>
      <c r="PV127" s="148"/>
      <c r="PW127" s="148"/>
      <c r="PX127" s="148"/>
      <c r="PY127" s="148"/>
      <c r="PZ127" s="148"/>
      <c r="QA127" s="148"/>
      <c r="QB127" s="148"/>
      <c r="QC127" s="148"/>
      <c r="QD127" s="148"/>
      <c r="QE127" s="148"/>
      <c r="QF127" s="148"/>
      <c r="QG127" s="148"/>
      <c r="QH127" s="148"/>
      <c r="QI127" s="148"/>
      <c r="QJ127" s="148"/>
      <c r="QK127" s="148"/>
      <c r="QL127" s="148"/>
      <c r="QM127" s="148"/>
      <c r="QN127" s="148"/>
      <c r="QO127" s="148"/>
      <c r="QP127" s="148"/>
      <c r="QQ127" s="148"/>
      <c r="QR127" s="148"/>
      <c r="QS127" s="148"/>
      <c r="QT127" s="148"/>
      <c r="QU127" s="148"/>
      <c r="QV127" s="148"/>
      <c r="QW127" s="148"/>
      <c r="QX127" s="148"/>
      <c r="QY127" s="148"/>
      <c r="QZ127" s="148"/>
      <c r="RA127" s="148"/>
      <c r="RB127" s="148"/>
      <c r="RC127" s="148"/>
      <c r="RD127" s="148"/>
      <c r="RE127" s="148"/>
      <c r="RF127" s="148"/>
      <c r="RG127" s="148"/>
      <c r="RH127" s="148"/>
      <c r="RI127" s="148"/>
      <c r="RJ127" s="148"/>
      <c r="RK127" s="148"/>
      <c r="RL127" s="148"/>
      <c r="RM127" s="148"/>
      <c r="RN127" s="148"/>
      <c r="RO127" s="148"/>
      <c r="RP127" s="148"/>
      <c r="RQ127" s="148"/>
      <c r="RR127" s="148"/>
    </row>
    <row r="128" spans="1:486" s="15" customFormat="1" hidden="1" x14ac:dyDescent="0.25">
      <c r="A128" s="148"/>
      <c r="B128" s="350">
        <v>118</v>
      </c>
      <c r="C128" s="650"/>
      <c r="D128" s="16"/>
      <c r="E128" s="344"/>
      <c r="F128" s="344"/>
      <c r="G128" s="17"/>
      <c r="H128" s="317"/>
      <c r="I128" s="346"/>
      <c r="J128" s="341"/>
      <c r="K128" s="633"/>
      <c r="L128" s="633"/>
      <c r="M128" s="633"/>
      <c r="N128" s="633"/>
      <c r="O128" s="633"/>
      <c r="P128" s="633"/>
      <c r="Q128" s="633"/>
      <c r="R128" s="633"/>
      <c r="S128" s="633"/>
      <c r="T128" s="633"/>
      <c r="U128" s="633"/>
      <c r="V128" s="633"/>
      <c r="W128" s="633"/>
      <c r="X128" s="633"/>
      <c r="Y128" s="633">
        <f t="shared" si="3"/>
        <v>0</v>
      </c>
      <c r="Z128" s="637"/>
      <c r="AA128" s="19"/>
      <c r="AB128" s="315"/>
      <c r="AC128" s="315"/>
      <c r="AD128" s="652"/>
      <c r="AE128" s="20"/>
      <c r="AF128" s="21"/>
      <c r="AG128" s="23"/>
      <c r="AH128" s="637"/>
      <c r="AI128" s="19"/>
      <c r="AJ128" s="21"/>
      <c r="AK128" s="25"/>
      <c r="AL128" s="309"/>
      <c r="AM128" s="19"/>
      <c r="AN128" s="21"/>
      <c r="AO128" s="25"/>
      <c r="AP128" s="309"/>
      <c r="AQ128" s="19"/>
      <c r="AR128" s="21"/>
      <c r="AS128" s="25"/>
      <c r="AT128" s="638">
        <f t="shared" si="4"/>
        <v>0</v>
      </c>
      <c r="AU128" s="311">
        <f t="shared" si="0"/>
        <v>0</v>
      </c>
      <c r="AV128" s="148"/>
      <c r="AW128" s="148"/>
      <c r="AX128" s="148"/>
      <c r="AY128" s="148"/>
      <c r="AZ128" s="148"/>
      <c r="BA128" s="148"/>
      <c r="BB128" s="148"/>
      <c r="BC128" s="148"/>
      <c r="BD128" s="148"/>
      <c r="BE128" s="148"/>
      <c r="BF128" s="148"/>
      <c r="BG128" s="148"/>
      <c r="BH128" s="148"/>
      <c r="BI128" s="148"/>
      <c r="BJ128" s="148"/>
      <c r="BK128" s="148"/>
      <c r="BL128" s="148"/>
      <c r="BM128" s="148"/>
      <c r="BN128" s="148"/>
      <c r="BO128" s="148"/>
      <c r="BP128" s="148"/>
      <c r="BQ128" s="148"/>
      <c r="BR128" s="148"/>
      <c r="BS128" s="148"/>
      <c r="BT128" s="148"/>
      <c r="BU128" s="148"/>
      <c r="BV128" s="148"/>
      <c r="BW128" s="148"/>
      <c r="BX128" s="148"/>
      <c r="BY128" s="148"/>
      <c r="BZ128" s="148"/>
      <c r="CA128" s="148"/>
      <c r="CB128" s="148"/>
      <c r="CC128" s="148"/>
      <c r="CD128" s="148"/>
      <c r="CE128" s="148"/>
      <c r="CF128" s="148"/>
      <c r="CG128" s="148"/>
      <c r="CH128" s="148"/>
      <c r="CI128" s="148"/>
      <c r="CJ128" s="148"/>
      <c r="CK128" s="148"/>
      <c r="CL128" s="148"/>
      <c r="CM128" s="148"/>
      <c r="CN128" s="148"/>
      <c r="CO128" s="148"/>
      <c r="CP128" s="148"/>
      <c r="CQ128" s="148"/>
      <c r="CR128" s="148"/>
      <c r="CS128" s="148"/>
      <c r="CT128" s="148"/>
      <c r="CU128" s="148"/>
      <c r="CV128" s="148"/>
      <c r="CW128" s="148"/>
      <c r="CX128" s="148"/>
      <c r="CY128" s="148"/>
      <c r="CZ128" s="148"/>
      <c r="DA128" s="148"/>
      <c r="DB128" s="148"/>
      <c r="DC128" s="148"/>
      <c r="DD128" s="148"/>
      <c r="DE128" s="148"/>
      <c r="DF128" s="148"/>
      <c r="DG128" s="148"/>
      <c r="DH128" s="148"/>
      <c r="DI128" s="148"/>
      <c r="DJ128" s="148"/>
      <c r="DK128" s="148"/>
      <c r="DL128" s="148"/>
      <c r="DM128" s="148"/>
      <c r="DN128" s="148"/>
      <c r="DO128" s="148"/>
      <c r="DP128" s="148"/>
      <c r="DQ128" s="148"/>
      <c r="DR128" s="148"/>
      <c r="DS128" s="148"/>
      <c r="DT128" s="148"/>
      <c r="DU128" s="148"/>
      <c r="DV128" s="148"/>
      <c r="DW128" s="148"/>
      <c r="DX128" s="148"/>
      <c r="DY128" s="148"/>
      <c r="DZ128" s="148"/>
      <c r="EA128" s="148"/>
      <c r="EB128" s="148"/>
      <c r="EC128" s="148"/>
      <c r="ED128" s="148"/>
      <c r="EE128" s="148"/>
      <c r="EF128" s="148"/>
      <c r="EG128" s="148"/>
      <c r="EH128" s="148"/>
      <c r="EI128" s="148"/>
      <c r="EJ128" s="148"/>
      <c r="EK128" s="148"/>
      <c r="EL128" s="148"/>
      <c r="EM128" s="148"/>
      <c r="EN128" s="148"/>
      <c r="EO128" s="148"/>
      <c r="EP128" s="148"/>
      <c r="EQ128" s="148"/>
      <c r="ER128" s="148"/>
      <c r="ES128" s="148"/>
      <c r="ET128" s="148"/>
      <c r="EU128" s="148"/>
      <c r="EV128" s="148"/>
      <c r="EW128" s="148"/>
      <c r="EX128" s="148"/>
      <c r="EY128" s="148"/>
      <c r="EZ128" s="148"/>
      <c r="FA128" s="148"/>
      <c r="FB128" s="148"/>
      <c r="FC128" s="148"/>
      <c r="FD128" s="148"/>
      <c r="FE128" s="148"/>
      <c r="FF128" s="148"/>
      <c r="FG128" s="148"/>
      <c r="FH128" s="148"/>
      <c r="FI128" s="148"/>
      <c r="FJ128" s="148"/>
      <c r="FK128" s="148"/>
      <c r="FL128" s="148"/>
      <c r="FM128" s="148"/>
      <c r="FN128" s="148"/>
      <c r="FO128" s="148"/>
      <c r="FP128" s="148"/>
      <c r="FQ128" s="148"/>
      <c r="FR128" s="148"/>
      <c r="FS128" s="148"/>
      <c r="FT128" s="148"/>
      <c r="FU128" s="148"/>
      <c r="FV128" s="148"/>
      <c r="FW128" s="148"/>
      <c r="FX128" s="148"/>
      <c r="FY128" s="148"/>
      <c r="FZ128" s="148"/>
      <c r="GA128" s="148"/>
      <c r="GB128" s="148"/>
      <c r="GC128" s="148"/>
      <c r="GD128" s="148"/>
      <c r="GE128" s="148"/>
      <c r="GF128" s="148"/>
      <c r="GG128" s="148"/>
      <c r="GH128" s="148"/>
      <c r="GI128" s="148"/>
      <c r="GJ128" s="148"/>
      <c r="GK128" s="148"/>
      <c r="GL128" s="148"/>
      <c r="GM128" s="148"/>
      <c r="GN128" s="148"/>
      <c r="GO128" s="148"/>
      <c r="GP128" s="148"/>
      <c r="GQ128" s="148"/>
      <c r="GR128" s="148"/>
      <c r="GS128" s="148"/>
      <c r="GT128" s="148"/>
      <c r="GU128" s="148"/>
      <c r="GV128" s="148"/>
      <c r="GW128" s="148"/>
      <c r="GX128" s="148"/>
      <c r="GY128" s="148"/>
      <c r="GZ128" s="148"/>
      <c r="HA128" s="148"/>
      <c r="HB128" s="148"/>
      <c r="HC128" s="148"/>
      <c r="HD128" s="148"/>
      <c r="HE128" s="148"/>
      <c r="HF128" s="148"/>
      <c r="HG128" s="148"/>
      <c r="HH128" s="148"/>
      <c r="HI128" s="148"/>
      <c r="HJ128" s="148"/>
      <c r="HK128" s="148"/>
      <c r="HL128" s="148"/>
      <c r="HM128" s="148"/>
      <c r="HN128" s="148"/>
      <c r="HO128" s="148"/>
      <c r="HP128" s="148"/>
      <c r="HQ128" s="148"/>
      <c r="HR128" s="148"/>
      <c r="HS128" s="148"/>
      <c r="HT128" s="148"/>
      <c r="HU128" s="148"/>
      <c r="HV128" s="148"/>
      <c r="HW128" s="148"/>
      <c r="HX128" s="148"/>
      <c r="HY128" s="148"/>
      <c r="HZ128" s="148"/>
      <c r="IA128" s="148"/>
      <c r="IB128" s="148"/>
      <c r="IC128" s="148"/>
      <c r="ID128" s="148"/>
      <c r="IE128" s="148"/>
      <c r="IF128" s="148"/>
      <c r="IG128" s="148"/>
      <c r="IH128" s="148"/>
      <c r="II128" s="148"/>
      <c r="IJ128" s="148"/>
      <c r="IK128" s="148"/>
      <c r="IL128" s="148"/>
      <c r="IM128" s="148"/>
      <c r="IN128" s="148"/>
      <c r="IO128" s="148"/>
      <c r="IP128" s="148"/>
      <c r="IQ128" s="148"/>
      <c r="IR128" s="148"/>
      <c r="IS128" s="148"/>
      <c r="IT128" s="148"/>
      <c r="IU128" s="148"/>
      <c r="IV128" s="148"/>
      <c r="IW128" s="148"/>
      <c r="IX128" s="148"/>
      <c r="IY128" s="148"/>
      <c r="IZ128" s="148"/>
      <c r="JA128" s="148"/>
      <c r="JB128" s="148"/>
      <c r="JC128" s="148"/>
      <c r="JD128" s="148"/>
      <c r="JE128" s="148"/>
      <c r="JF128" s="148"/>
      <c r="JG128" s="148"/>
      <c r="JH128" s="148"/>
      <c r="JI128" s="148"/>
      <c r="JJ128" s="148"/>
      <c r="JK128" s="148"/>
      <c r="JL128" s="148"/>
      <c r="JM128" s="148"/>
      <c r="JN128" s="148"/>
      <c r="JO128" s="148"/>
      <c r="JP128" s="148"/>
      <c r="JQ128" s="148"/>
      <c r="JR128" s="148"/>
      <c r="JS128" s="148"/>
      <c r="JT128" s="148"/>
      <c r="JU128" s="148"/>
      <c r="JV128" s="148"/>
      <c r="JW128" s="148"/>
      <c r="JX128" s="148"/>
      <c r="JY128" s="148"/>
      <c r="JZ128" s="148"/>
      <c r="KA128" s="148"/>
      <c r="KB128" s="148"/>
      <c r="KC128" s="148"/>
      <c r="KD128" s="148"/>
      <c r="KE128" s="148"/>
      <c r="KF128" s="148"/>
      <c r="KG128" s="148"/>
      <c r="KH128" s="148"/>
      <c r="KI128" s="148"/>
      <c r="KJ128" s="148"/>
      <c r="KK128" s="148"/>
      <c r="KL128" s="148"/>
      <c r="KM128" s="148"/>
      <c r="KN128" s="148"/>
      <c r="KO128" s="148"/>
      <c r="KP128" s="148"/>
      <c r="KQ128" s="148"/>
      <c r="KR128" s="148"/>
      <c r="KS128" s="148"/>
      <c r="KT128" s="148"/>
      <c r="KU128" s="148"/>
      <c r="KV128" s="148"/>
      <c r="KW128" s="148"/>
      <c r="KX128" s="148"/>
      <c r="KY128" s="148"/>
      <c r="KZ128" s="148"/>
      <c r="LA128" s="148"/>
      <c r="LB128" s="148"/>
      <c r="LC128" s="148"/>
      <c r="LD128" s="148"/>
      <c r="LE128" s="148"/>
      <c r="LF128" s="148"/>
      <c r="LG128" s="148"/>
      <c r="LH128" s="148"/>
      <c r="LI128" s="148"/>
      <c r="LJ128" s="148"/>
      <c r="LK128" s="148"/>
      <c r="LL128" s="148"/>
      <c r="LM128" s="148"/>
      <c r="LN128" s="148"/>
      <c r="LO128" s="148"/>
      <c r="LP128" s="148"/>
      <c r="LQ128" s="148"/>
      <c r="LR128" s="148"/>
      <c r="LS128" s="148"/>
      <c r="LT128" s="148"/>
      <c r="LU128" s="148"/>
      <c r="LV128" s="148"/>
      <c r="LW128" s="148"/>
      <c r="LX128" s="148"/>
      <c r="LY128" s="148"/>
      <c r="LZ128" s="148"/>
      <c r="MA128" s="148"/>
      <c r="MB128" s="148"/>
      <c r="MC128" s="148"/>
      <c r="MD128" s="148"/>
      <c r="ME128" s="148"/>
      <c r="MF128" s="148"/>
      <c r="MG128" s="148"/>
      <c r="MH128" s="148"/>
      <c r="MI128" s="148"/>
      <c r="MJ128" s="148"/>
      <c r="MK128" s="148"/>
      <c r="ML128" s="148"/>
      <c r="MM128" s="148"/>
      <c r="MN128" s="148"/>
      <c r="MO128" s="148"/>
      <c r="MP128" s="148"/>
      <c r="MQ128" s="148"/>
      <c r="MR128" s="148"/>
      <c r="MS128" s="148"/>
      <c r="MT128" s="148"/>
      <c r="MU128" s="148"/>
      <c r="MV128" s="148"/>
      <c r="MW128" s="148"/>
      <c r="MX128" s="148"/>
      <c r="MY128" s="148"/>
      <c r="MZ128" s="148"/>
      <c r="NA128" s="148"/>
      <c r="NB128" s="148"/>
      <c r="NC128" s="148"/>
      <c r="ND128" s="148"/>
      <c r="NE128" s="148"/>
      <c r="NF128" s="148"/>
      <c r="NG128" s="148"/>
      <c r="NH128" s="148"/>
      <c r="NI128" s="148"/>
      <c r="NJ128" s="148"/>
      <c r="NK128" s="148"/>
      <c r="NL128" s="148"/>
      <c r="NM128" s="148"/>
      <c r="NN128" s="148"/>
      <c r="NO128" s="148"/>
      <c r="NP128" s="148"/>
      <c r="NQ128" s="148"/>
      <c r="NR128" s="148"/>
      <c r="NS128" s="148"/>
      <c r="NT128" s="148"/>
      <c r="NU128" s="148"/>
      <c r="NV128" s="148"/>
      <c r="NW128" s="148"/>
      <c r="NX128" s="148"/>
      <c r="NY128" s="148"/>
      <c r="NZ128" s="148"/>
      <c r="OA128" s="148"/>
      <c r="OB128" s="148"/>
      <c r="OC128" s="148"/>
      <c r="OD128" s="148"/>
      <c r="OE128" s="148"/>
      <c r="OF128" s="148"/>
      <c r="OG128" s="148"/>
      <c r="OH128" s="148"/>
      <c r="OI128" s="148"/>
      <c r="OJ128" s="148"/>
      <c r="OK128" s="148"/>
      <c r="OL128" s="148"/>
      <c r="OM128" s="148"/>
      <c r="ON128" s="148"/>
      <c r="OO128" s="148"/>
      <c r="OP128" s="148"/>
      <c r="OQ128" s="148"/>
      <c r="OR128" s="148"/>
      <c r="OS128" s="148"/>
      <c r="OT128" s="148"/>
      <c r="OU128" s="148"/>
      <c r="OV128" s="148"/>
      <c r="OW128" s="148"/>
      <c r="OX128" s="148"/>
      <c r="OY128" s="148"/>
      <c r="OZ128" s="148"/>
      <c r="PA128" s="148"/>
      <c r="PB128" s="148"/>
      <c r="PC128" s="148"/>
      <c r="PD128" s="148"/>
      <c r="PE128" s="148"/>
      <c r="PF128" s="148"/>
      <c r="PG128" s="148"/>
      <c r="PH128" s="148"/>
      <c r="PI128" s="148"/>
      <c r="PJ128" s="148"/>
      <c r="PK128" s="148"/>
      <c r="PL128" s="148"/>
      <c r="PM128" s="148"/>
      <c r="PN128" s="148"/>
      <c r="PO128" s="148"/>
      <c r="PP128" s="148"/>
      <c r="PQ128" s="148"/>
      <c r="PR128" s="148"/>
      <c r="PS128" s="148"/>
      <c r="PT128" s="148"/>
      <c r="PU128" s="148"/>
      <c r="PV128" s="148"/>
      <c r="PW128" s="148"/>
      <c r="PX128" s="148"/>
      <c r="PY128" s="148"/>
      <c r="PZ128" s="148"/>
      <c r="QA128" s="148"/>
      <c r="QB128" s="148"/>
      <c r="QC128" s="148"/>
      <c r="QD128" s="148"/>
      <c r="QE128" s="148"/>
      <c r="QF128" s="148"/>
      <c r="QG128" s="148"/>
      <c r="QH128" s="148"/>
      <c r="QI128" s="148"/>
      <c r="QJ128" s="148"/>
      <c r="QK128" s="148"/>
      <c r="QL128" s="148"/>
      <c r="QM128" s="148"/>
      <c r="QN128" s="148"/>
      <c r="QO128" s="148"/>
      <c r="QP128" s="148"/>
      <c r="QQ128" s="148"/>
      <c r="QR128" s="148"/>
      <c r="QS128" s="148"/>
      <c r="QT128" s="148"/>
      <c r="QU128" s="148"/>
      <c r="QV128" s="148"/>
      <c r="QW128" s="148"/>
      <c r="QX128" s="148"/>
      <c r="QY128" s="148"/>
      <c r="QZ128" s="148"/>
      <c r="RA128" s="148"/>
      <c r="RB128" s="148"/>
      <c r="RC128" s="148"/>
      <c r="RD128" s="148"/>
      <c r="RE128" s="148"/>
      <c r="RF128" s="148"/>
      <c r="RG128" s="148"/>
      <c r="RH128" s="148"/>
      <c r="RI128" s="148"/>
      <c r="RJ128" s="148"/>
      <c r="RK128" s="148"/>
      <c r="RL128" s="148"/>
      <c r="RM128" s="148"/>
      <c r="RN128" s="148"/>
      <c r="RO128" s="148"/>
      <c r="RP128" s="148"/>
      <c r="RQ128" s="148"/>
      <c r="RR128" s="148"/>
    </row>
    <row r="129" spans="1:486" s="15" customFormat="1" hidden="1" x14ac:dyDescent="0.25">
      <c r="A129" s="148"/>
      <c r="B129" s="350">
        <v>119</v>
      </c>
      <c r="C129" s="650"/>
      <c r="D129" s="16"/>
      <c r="E129" s="344"/>
      <c r="F129" s="344"/>
      <c r="G129" s="17"/>
      <c r="H129" s="317"/>
      <c r="I129" s="346"/>
      <c r="J129" s="341"/>
      <c r="K129" s="633"/>
      <c r="L129" s="633"/>
      <c r="M129" s="633"/>
      <c r="N129" s="633"/>
      <c r="O129" s="633"/>
      <c r="P129" s="633"/>
      <c r="Q129" s="633"/>
      <c r="R129" s="633"/>
      <c r="S129" s="633"/>
      <c r="T129" s="633"/>
      <c r="U129" s="633"/>
      <c r="V129" s="633"/>
      <c r="W129" s="633"/>
      <c r="X129" s="633"/>
      <c r="Y129" s="633">
        <f t="shared" si="3"/>
        <v>0</v>
      </c>
      <c r="Z129" s="637"/>
      <c r="AA129" s="19"/>
      <c r="AB129" s="315"/>
      <c r="AC129" s="315"/>
      <c r="AD129" s="652"/>
      <c r="AE129" s="20"/>
      <c r="AF129" s="21"/>
      <c r="AG129" s="23"/>
      <c r="AH129" s="637"/>
      <c r="AI129" s="19"/>
      <c r="AJ129" s="21"/>
      <c r="AK129" s="25"/>
      <c r="AL129" s="309"/>
      <c r="AM129" s="19"/>
      <c r="AN129" s="21"/>
      <c r="AO129" s="25"/>
      <c r="AP129" s="309"/>
      <c r="AQ129" s="19"/>
      <c r="AR129" s="21"/>
      <c r="AS129" s="25"/>
      <c r="AT129" s="638">
        <f t="shared" si="4"/>
        <v>0</v>
      </c>
      <c r="AU129" s="311">
        <f t="shared" si="0"/>
        <v>0</v>
      </c>
      <c r="AV129" s="148"/>
      <c r="AW129" s="148"/>
      <c r="AX129" s="148"/>
      <c r="AY129" s="148"/>
      <c r="AZ129" s="148"/>
      <c r="BA129" s="148"/>
      <c r="BB129" s="148"/>
      <c r="BC129" s="148"/>
      <c r="BD129" s="148"/>
      <c r="BE129" s="148"/>
      <c r="BF129" s="148"/>
      <c r="BG129" s="148"/>
      <c r="BH129" s="148"/>
      <c r="BI129" s="148"/>
      <c r="BJ129" s="148"/>
      <c r="BK129" s="148"/>
      <c r="BL129" s="148"/>
      <c r="BM129" s="148"/>
      <c r="BN129" s="148"/>
      <c r="BO129" s="148"/>
      <c r="BP129" s="148"/>
      <c r="BQ129" s="148"/>
      <c r="BR129" s="148"/>
      <c r="BS129" s="148"/>
      <c r="BT129" s="148"/>
      <c r="BU129" s="148"/>
      <c r="BV129" s="148"/>
      <c r="BW129" s="148"/>
      <c r="BX129" s="148"/>
      <c r="BY129" s="148"/>
      <c r="BZ129" s="148"/>
      <c r="CA129" s="148"/>
      <c r="CB129" s="148"/>
      <c r="CC129" s="148"/>
      <c r="CD129" s="148"/>
      <c r="CE129" s="148"/>
      <c r="CF129" s="148"/>
      <c r="CG129" s="148"/>
      <c r="CH129" s="148"/>
      <c r="CI129" s="148"/>
      <c r="CJ129" s="148"/>
      <c r="CK129" s="148"/>
      <c r="CL129" s="148"/>
      <c r="CM129" s="148"/>
      <c r="CN129" s="148"/>
      <c r="CO129" s="148"/>
      <c r="CP129" s="148"/>
      <c r="CQ129" s="148"/>
      <c r="CR129" s="148"/>
      <c r="CS129" s="148"/>
      <c r="CT129" s="148"/>
      <c r="CU129" s="148"/>
      <c r="CV129" s="148"/>
      <c r="CW129" s="148"/>
      <c r="CX129" s="148"/>
      <c r="CY129" s="148"/>
      <c r="CZ129" s="148"/>
      <c r="DA129" s="148"/>
      <c r="DB129" s="148"/>
      <c r="DC129" s="148"/>
      <c r="DD129" s="148"/>
      <c r="DE129" s="148"/>
      <c r="DF129" s="148"/>
      <c r="DG129" s="148"/>
      <c r="DH129" s="148"/>
      <c r="DI129" s="148"/>
      <c r="DJ129" s="148"/>
      <c r="DK129" s="148"/>
      <c r="DL129" s="148"/>
      <c r="DM129" s="148"/>
      <c r="DN129" s="148"/>
      <c r="DO129" s="148"/>
      <c r="DP129" s="148"/>
      <c r="DQ129" s="148"/>
      <c r="DR129" s="148"/>
      <c r="DS129" s="148"/>
      <c r="DT129" s="148"/>
      <c r="DU129" s="148"/>
      <c r="DV129" s="148"/>
      <c r="DW129" s="148"/>
      <c r="DX129" s="148"/>
      <c r="DY129" s="148"/>
      <c r="DZ129" s="148"/>
      <c r="EA129" s="148"/>
      <c r="EB129" s="148"/>
      <c r="EC129" s="148"/>
      <c r="ED129" s="148"/>
      <c r="EE129" s="148"/>
      <c r="EF129" s="148"/>
      <c r="EG129" s="148"/>
      <c r="EH129" s="148"/>
      <c r="EI129" s="148"/>
      <c r="EJ129" s="148"/>
      <c r="EK129" s="148"/>
      <c r="EL129" s="148"/>
      <c r="EM129" s="148"/>
      <c r="EN129" s="148"/>
      <c r="EO129" s="148"/>
      <c r="EP129" s="148"/>
      <c r="EQ129" s="148"/>
      <c r="ER129" s="148"/>
      <c r="ES129" s="148"/>
      <c r="ET129" s="148"/>
      <c r="EU129" s="148"/>
      <c r="EV129" s="148"/>
      <c r="EW129" s="148"/>
      <c r="EX129" s="148"/>
      <c r="EY129" s="148"/>
      <c r="EZ129" s="148"/>
      <c r="FA129" s="148"/>
      <c r="FB129" s="148"/>
      <c r="FC129" s="148"/>
      <c r="FD129" s="148"/>
      <c r="FE129" s="148"/>
      <c r="FF129" s="148"/>
      <c r="FG129" s="148"/>
      <c r="FH129" s="148"/>
      <c r="FI129" s="148"/>
      <c r="FJ129" s="148"/>
      <c r="FK129" s="148"/>
      <c r="FL129" s="148"/>
      <c r="FM129" s="148"/>
      <c r="FN129" s="148"/>
      <c r="FO129" s="148"/>
      <c r="FP129" s="148"/>
      <c r="FQ129" s="148"/>
      <c r="FR129" s="148"/>
      <c r="FS129" s="148"/>
      <c r="FT129" s="148"/>
      <c r="FU129" s="148"/>
      <c r="FV129" s="148"/>
      <c r="FW129" s="148"/>
      <c r="FX129" s="148"/>
      <c r="FY129" s="148"/>
      <c r="FZ129" s="148"/>
      <c r="GA129" s="148"/>
      <c r="GB129" s="148"/>
      <c r="GC129" s="148"/>
      <c r="GD129" s="148"/>
      <c r="GE129" s="148"/>
      <c r="GF129" s="148"/>
      <c r="GG129" s="148"/>
      <c r="GH129" s="148"/>
      <c r="GI129" s="148"/>
      <c r="GJ129" s="148"/>
      <c r="GK129" s="148"/>
      <c r="GL129" s="148"/>
      <c r="GM129" s="148"/>
      <c r="GN129" s="148"/>
      <c r="GO129" s="148"/>
      <c r="GP129" s="148"/>
      <c r="GQ129" s="148"/>
      <c r="GR129" s="148"/>
      <c r="GS129" s="148"/>
      <c r="GT129" s="148"/>
      <c r="GU129" s="148"/>
      <c r="GV129" s="148"/>
      <c r="GW129" s="148"/>
      <c r="GX129" s="148"/>
      <c r="GY129" s="148"/>
      <c r="GZ129" s="148"/>
      <c r="HA129" s="148"/>
      <c r="HB129" s="148"/>
      <c r="HC129" s="148"/>
      <c r="HD129" s="148"/>
      <c r="HE129" s="148"/>
      <c r="HF129" s="148"/>
      <c r="HG129" s="148"/>
      <c r="HH129" s="148"/>
      <c r="HI129" s="148"/>
      <c r="HJ129" s="148"/>
      <c r="HK129" s="148"/>
      <c r="HL129" s="148"/>
      <c r="HM129" s="148"/>
      <c r="HN129" s="148"/>
      <c r="HO129" s="148"/>
      <c r="HP129" s="148"/>
      <c r="HQ129" s="148"/>
      <c r="HR129" s="148"/>
      <c r="HS129" s="148"/>
      <c r="HT129" s="148"/>
      <c r="HU129" s="148"/>
      <c r="HV129" s="148"/>
      <c r="HW129" s="148"/>
      <c r="HX129" s="148"/>
      <c r="HY129" s="148"/>
      <c r="HZ129" s="148"/>
      <c r="IA129" s="148"/>
      <c r="IB129" s="148"/>
      <c r="IC129" s="148"/>
      <c r="ID129" s="148"/>
      <c r="IE129" s="148"/>
      <c r="IF129" s="148"/>
      <c r="IG129" s="148"/>
      <c r="IH129" s="148"/>
      <c r="II129" s="148"/>
      <c r="IJ129" s="148"/>
      <c r="IK129" s="148"/>
      <c r="IL129" s="148"/>
      <c r="IM129" s="148"/>
      <c r="IN129" s="148"/>
      <c r="IO129" s="148"/>
      <c r="IP129" s="148"/>
      <c r="IQ129" s="148"/>
      <c r="IR129" s="148"/>
      <c r="IS129" s="148"/>
      <c r="IT129" s="148"/>
      <c r="IU129" s="148"/>
      <c r="IV129" s="148"/>
      <c r="IW129" s="148"/>
      <c r="IX129" s="148"/>
      <c r="IY129" s="148"/>
      <c r="IZ129" s="148"/>
      <c r="JA129" s="148"/>
      <c r="JB129" s="148"/>
      <c r="JC129" s="148"/>
      <c r="JD129" s="148"/>
      <c r="JE129" s="148"/>
      <c r="JF129" s="148"/>
      <c r="JG129" s="148"/>
      <c r="JH129" s="148"/>
      <c r="JI129" s="148"/>
      <c r="JJ129" s="148"/>
      <c r="JK129" s="148"/>
      <c r="JL129" s="148"/>
      <c r="JM129" s="148"/>
      <c r="JN129" s="148"/>
      <c r="JO129" s="148"/>
      <c r="JP129" s="148"/>
      <c r="JQ129" s="148"/>
      <c r="JR129" s="148"/>
      <c r="JS129" s="148"/>
      <c r="JT129" s="148"/>
      <c r="JU129" s="148"/>
      <c r="JV129" s="148"/>
      <c r="JW129" s="148"/>
      <c r="JX129" s="148"/>
      <c r="JY129" s="148"/>
      <c r="JZ129" s="148"/>
      <c r="KA129" s="148"/>
      <c r="KB129" s="148"/>
      <c r="KC129" s="148"/>
      <c r="KD129" s="148"/>
      <c r="KE129" s="148"/>
      <c r="KF129" s="148"/>
      <c r="KG129" s="148"/>
      <c r="KH129" s="148"/>
      <c r="KI129" s="148"/>
      <c r="KJ129" s="148"/>
      <c r="KK129" s="148"/>
      <c r="KL129" s="148"/>
      <c r="KM129" s="148"/>
      <c r="KN129" s="148"/>
      <c r="KO129" s="148"/>
      <c r="KP129" s="148"/>
      <c r="KQ129" s="148"/>
      <c r="KR129" s="148"/>
      <c r="KS129" s="148"/>
      <c r="KT129" s="148"/>
      <c r="KU129" s="148"/>
      <c r="KV129" s="148"/>
      <c r="KW129" s="148"/>
      <c r="KX129" s="148"/>
      <c r="KY129" s="148"/>
      <c r="KZ129" s="148"/>
      <c r="LA129" s="148"/>
      <c r="LB129" s="148"/>
      <c r="LC129" s="148"/>
      <c r="LD129" s="148"/>
      <c r="LE129" s="148"/>
      <c r="LF129" s="148"/>
      <c r="LG129" s="148"/>
      <c r="LH129" s="148"/>
      <c r="LI129" s="148"/>
      <c r="LJ129" s="148"/>
      <c r="LK129" s="148"/>
      <c r="LL129" s="148"/>
      <c r="LM129" s="148"/>
      <c r="LN129" s="148"/>
      <c r="LO129" s="148"/>
      <c r="LP129" s="148"/>
      <c r="LQ129" s="148"/>
      <c r="LR129" s="148"/>
      <c r="LS129" s="148"/>
      <c r="LT129" s="148"/>
      <c r="LU129" s="148"/>
      <c r="LV129" s="148"/>
      <c r="LW129" s="148"/>
      <c r="LX129" s="148"/>
      <c r="LY129" s="148"/>
      <c r="LZ129" s="148"/>
      <c r="MA129" s="148"/>
      <c r="MB129" s="148"/>
      <c r="MC129" s="148"/>
      <c r="MD129" s="148"/>
      <c r="ME129" s="148"/>
      <c r="MF129" s="148"/>
      <c r="MG129" s="148"/>
      <c r="MH129" s="148"/>
      <c r="MI129" s="148"/>
      <c r="MJ129" s="148"/>
      <c r="MK129" s="148"/>
      <c r="ML129" s="148"/>
      <c r="MM129" s="148"/>
      <c r="MN129" s="148"/>
      <c r="MO129" s="148"/>
      <c r="MP129" s="148"/>
      <c r="MQ129" s="148"/>
      <c r="MR129" s="148"/>
      <c r="MS129" s="148"/>
      <c r="MT129" s="148"/>
      <c r="MU129" s="148"/>
      <c r="MV129" s="148"/>
      <c r="MW129" s="148"/>
      <c r="MX129" s="148"/>
      <c r="MY129" s="148"/>
      <c r="MZ129" s="148"/>
      <c r="NA129" s="148"/>
      <c r="NB129" s="148"/>
      <c r="NC129" s="148"/>
      <c r="ND129" s="148"/>
      <c r="NE129" s="148"/>
      <c r="NF129" s="148"/>
      <c r="NG129" s="148"/>
      <c r="NH129" s="148"/>
      <c r="NI129" s="148"/>
      <c r="NJ129" s="148"/>
      <c r="NK129" s="148"/>
      <c r="NL129" s="148"/>
      <c r="NM129" s="148"/>
      <c r="NN129" s="148"/>
      <c r="NO129" s="148"/>
      <c r="NP129" s="148"/>
      <c r="NQ129" s="148"/>
      <c r="NR129" s="148"/>
      <c r="NS129" s="148"/>
      <c r="NT129" s="148"/>
      <c r="NU129" s="148"/>
      <c r="NV129" s="148"/>
      <c r="NW129" s="148"/>
      <c r="NX129" s="148"/>
      <c r="NY129" s="148"/>
      <c r="NZ129" s="148"/>
      <c r="OA129" s="148"/>
      <c r="OB129" s="148"/>
      <c r="OC129" s="148"/>
      <c r="OD129" s="148"/>
      <c r="OE129" s="148"/>
      <c r="OF129" s="148"/>
      <c r="OG129" s="148"/>
      <c r="OH129" s="148"/>
      <c r="OI129" s="148"/>
      <c r="OJ129" s="148"/>
      <c r="OK129" s="148"/>
      <c r="OL129" s="148"/>
      <c r="OM129" s="148"/>
      <c r="ON129" s="148"/>
      <c r="OO129" s="148"/>
      <c r="OP129" s="148"/>
      <c r="OQ129" s="148"/>
      <c r="OR129" s="148"/>
      <c r="OS129" s="148"/>
      <c r="OT129" s="148"/>
      <c r="OU129" s="148"/>
      <c r="OV129" s="148"/>
      <c r="OW129" s="148"/>
      <c r="OX129" s="148"/>
      <c r="OY129" s="148"/>
      <c r="OZ129" s="148"/>
      <c r="PA129" s="148"/>
      <c r="PB129" s="148"/>
      <c r="PC129" s="148"/>
      <c r="PD129" s="148"/>
      <c r="PE129" s="148"/>
      <c r="PF129" s="148"/>
      <c r="PG129" s="148"/>
      <c r="PH129" s="148"/>
      <c r="PI129" s="148"/>
      <c r="PJ129" s="148"/>
      <c r="PK129" s="148"/>
      <c r="PL129" s="148"/>
      <c r="PM129" s="148"/>
      <c r="PN129" s="148"/>
      <c r="PO129" s="148"/>
      <c r="PP129" s="148"/>
      <c r="PQ129" s="148"/>
      <c r="PR129" s="148"/>
      <c r="PS129" s="148"/>
      <c r="PT129" s="148"/>
      <c r="PU129" s="148"/>
      <c r="PV129" s="148"/>
      <c r="PW129" s="148"/>
      <c r="PX129" s="148"/>
      <c r="PY129" s="148"/>
      <c r="PZ129" s="148"/>
      <c r="QA129" s="148"/>
      <c r="QB129" s="148"/>
      <c r="QC129" s="148"/>
      <c r="QD129" s="148"/>
      <c r="QE129" s="148"/>
      <c r="QF129" s="148"/>
      <c r="QG129" s="148"/>
      <c r="QH129" s="148"/>
      <c r="QI129" s="148"/>
      <c r="QJ129" s="148"/>
      <c r="QK129" s="148"/>
      <c r="QL129" s="148"/>
      <c r="QM129" s="148"/>
      <c r="QN129" s="148"/>
      <c r="QO129" s="148"/>
      <c r="QP129" s="148"/>
      <c r="QQ129" s="148"/>
      <c r="QR129" s="148"/>
      <c r="QS129" s="148"/>
      <c r="QT129" s="148"/>
      <c r="QU129" s="148"/>
      <c r="QV129" s="148"/>
      <c r="QW129" s="148"/>
      <c r="QX129" s="148"/>
      <c r="QY129" s="148"/>
      <c r="QZ129" s="148"/>
      <c r="RA129" s="148"/>
      <c r="RB129" s="148"/>
      <c r="RC129" s="148"/>
      <c r="RD129" s="148"/>
      <c r="RE129" s="148"/>
      <c r="RF129" s="148"/>
      <c r="RG129" s="148"/>
      <c r="RH129" s="148"/>
      <c r="RI129" s="148"/>
      <c r="RJ129" s="148"/>
      <c r="RK129" s="148"/>
      <c r="RL129" s="148"/>
      <c r="RM129" s="148"/>
      <c r="RN129" s="148"/>
      <c r="RO129" s="148"/>
      <c r="RP129" s="148"/>
      <c r="RQ129" s="148"/>
      <c r="RR129" s="148"/>
    </row>
    <row r="130" spans="1:486" s="15" customFormat="1" hidden="1" x14ac:dyDescent="0.25">
      <c r="A130" s="148"/>
      <c r="B130" s="350">
        <v>120</v>
      </c>
      <c r="C130" s="650"/>
      <c r="D130" s="16"/>
      <c r="E130" s="344"/>
      <c r="F130" s="344"/>
      <c r="G130" s="17"/>
      <c r="H130" s="317"/>
      <c r="I130" s="346"/>
      <c r="J130" s="341"/>
      <c r="K130" s="633"/>
      <c r="L130" s="633"/>
      <c r="M130" s="633"/>
      <c r="N130" s="633"/>
      <c r="O130" s="633"/>
      <c r="P130" s="633"/>
      <c r="Q130" s="633"/>
      <c r="R130" s="633"/>
      <c r="S130" s="633"/>
      <c r="T130" s="633"/>
      <c r="U130" s="633"/>
      <c r="V130" s="633"/>
      <c r="W130" s="633"/>
      <c r="X130" s="633"/>
      <c r="Y130" s="633">
        <f t="shared" si="3"/>
        <v>0</v>
      </c>
      <c r="Z130" s="637"/>
      <c r="AA130" s="19"/>
      <c r="AB130" s="315"/>
      <c r="AC130" s="315"/>
      <c r="AD130" s="652"/>
      <c r="AE130" s="20"/>
      <c r="AF130" s="21"/>
      <c r="AG130" s="23"/>
      <c r="AH130" s="637"/>
      <c r="AI130" s="19"/>
      <c r="AJ130" s="21"/>
      <c r="AK130" s="25"/>
      <c r="AL130" s="309"/>
      <c r="AM130" s="19"/>
      <c r="AN130" s="21"/>
      <c r="AO130" s="25"/>
      <c r="AP130" s="309"/>
      <c r="AQ130" s="19"/>
      <c r="AR130" s="21"/>
      <c r="AS130" s="25"/>
      <c r="AT130" s="638">
        <f t="shared" si="4"/>
        <v>0</v>
      </c>
      <c r="AU130" s="311">
        <f t="shared" si="0"/>
        <v>0</v>
      </c>
      <c r="AV130" s="148"/>
      <c r="AW130" s="148"/>
      <c r="AX130" s="148"/>
      <c r="AY130" s="148"/>
      <c r="AZ130" s="148"/>
      <c r="BA130" s="148"/>
      <c r="BB130" s="148"/>
      <c r="BC130" s="148"/>
      <c r="BD130" s="148"/>
      <c r="BE130" s="148"/>
      <c r="BF130" s="148"/>
      <c r="BG130" s="148"/>
      <c r="BH130" s="148"/>
      <c r="BI130" s="148"/>
      <c r="BJ130" s="148"/>
      <c r="BK130" s="148"/>
      <c r="BL130" s="148"/>
      <c r="BM130" s="148"/>
      <c r="BN130" s="148"/>
      <c r="BO130" s="148"/>
      <c r="BP130" s="148"/>
      <c r="BQ130" s="148"/>
      <c r="BR130" s="148"/>
      <c r="BS130" s="148"/>
      <c r="BT130" s="148"/>
      <c r="BU130" s="148"/>
      <c r="BV130" s="148"/>
      <c r="BW130" s="148"/>
      <c r="BX130" s="148"/>
      <c r="BY130" s="148"/>
      <c r="BZ130" s="148"/>
      <c r="CA130" s="148"/>
      <c r="CB130" s="148"/>
      <c r="CC130" s="148"/>
      <c r="CD130" s="148"/>
      <c r="CE130" s="148"/>
      <c r="CF130" s="148"/>
      <c r="CG130" s="148"/>
      <c r="CH130" s="148"/>
      <c r="CI130" s="148"/>
      <c r="CJ130" s="148"/>
      <c r="CK130" s="148"/>
      <c r="CL130" s="148"/>
      <c r="CM130" s="148"/>
      <c r="CN130" s="148"/>
      <c r="CO130" s="148"/>
      <c r="CP130" s="148"/>
      <c r="CQ130" s="148"/>
      <c r="CR130" s="148"/>
      <c r="CS130" s="148"/>
      <c r="CT130" s="148"/>
      <c r="CU130" s="148"/>
      <c r="CV130" s="148"/>
      <c r="CW130" s="148"/>
      <c r="CX130" s="148"/>
      <c r="CY130" s="148"/>
      <c r="CZ130" s="148"/>
      <c r="DA130" s="148"/>
      <c r="DB130" s="148"/>
      <c r="DC130" s="148"/>
      <c r="DD130" s="148"/>
      <c r="DE130" s="148"/>
      <c r="DF130" s="148"/>
      <c r="DG130" s="148"/>
      <c r="DH130" s="148"/>
      <c r="DI130" s="148"/>
      <c r="DJ130" s="148"/>
      <c r="DK130" s="148"/>
      <c r="DL130" s="148"/>
      <c r="DM130" s="148"/>
      <c r="DN130" s="148"/>
      <c r="DO130" s="148"/>
      <c r="DP130" s="148"/>
      <c r="DQ130" s="148"/>
      <c r="DR130" s="148"/>
      <c r="DS130" s="148"/>
      <c r="DT130" s="148"/>
      <c r="DU130" s="148"/>
      <c r="DV130" s="148"/>
      <c r="DW130" s="148"/>
      <c r="DX130" s="148"/>
      <c r="DY130" s="148"/>
      <c r="DZ130" s="148"/>
      <c r="EA130" s="148"/>
      <c r="EB130" s="148"/>
      <c r="EC130" s="148"/>
      <c r="ED130" s="148"/>
      <c r="EE130" s="148"/>
      <c r="EF130" s="148"/>
      <c r="EG130" s="148"/>
      <c r="EH130" s="148"/>
      <c r="EI130" s="148"/>
      <c r="EJ130" s="148"/>
      <c r="EK130" s="148"/>
      <c r="EL130" s="148"/>
      <c r="EM130" s="148"/>
      <c r="EN130" s="148"/>
      <c r="EO130" s="148"/>
      <c r="EP130" s="148"/>
      <c r="EQ130" s="148"/>
      <c r="ER130" s="148"/>
      <c r="ES130" s="148"/>
      <c r="ET130" s="148"/>
      <c r="EU130" s="148"/>
      <c r="EV130" s="148"/>
      <c r="EW130" s="148"/>
      <c r="EX130" s="148"/>
      <c r="EY130" s="148"/>
      <c r="EZ130" s="148"/>
      <c r="FA130" s="148"/>
      <c r="FB130" s="148"/>
      <c r="FC130" s="148"/>
      <c r="FD130" s="148"/>
      <c r="FE130" s="148"/>
      <c r="FF130" s="148"/>
      <c r="FG130" s="148"/>
      <c r="FH130" s="148"/>
      <c r="FI130" s="148"/>
      <c r="FJ130" s="148"/>
      <c r="FK130" s="148"/>
      <c r="FL130" s="148"/>
      <c r="FM130" s="148"/>
      <c r="FN130" s="148"/>
      <c r="FO130" s="148"/>
      <c r="FP130" s="148"/>
      <c r="FQ130" s="148"/>
      <c r="FR130" s="148"/>
      <c r="FS130" s="148"/>
      <c r="FT130" s="148"/>
      <c r="FU130" s="148"/>
      <c r="FV130" s="148"/>
      <c r="FW130" s="148"/>
      <c r="FX130" s="148"/>
      <c r="FY130" s="148"/>
      <c r="FZ130" s="148"/>
      <c r="GA130" s="148"/>
      <c r="GB130" s="148"/>
      <c r="GC130" s="148"/>
      <c r="GD130" s="148"/>
      <c r="GE130" s="148"/>
      <c r="GF130" s="148"/>
      <c r="GG130" s="148"/>
      <c r="GH130" s="148"/>
      <c r="GI130" s="148"/>
      <c r="GJ130" s="148"/>
      <c r="GK130" s="148"/>
      <c r="GL130" s="148"/>
      <c r="GM130" s="148"/>
      <c r="GN130" s="148"/>
      <c r="GO130" s="148"/>
      <c r="GP130" s="148"/>
      <c r="GQ130" s="148"/>
      <c r="GR130" s="148"/>
      <c r="GS130" s="148"/>
      <c r="GT130" s="148"/>
      <c r="GU130" s="148"/>
      <c r="GV130" s="148"/>
      <c r="GW130" s="148"/>
      <c r="GX130" s="148"/>
      <c r="GY130" s="148"/>
      <c r="GZ130" s="148"/>
      <c r="HA130" s="148"/>
      <c r="HB130" s="148"/>
      <c r="HC130" s="148"/>
      <c r="HD130" s="148"/>
      <c r="HE130" s="148"/>
      <c r="HF130" s="148"/>
      <c r="HG130" s="148"/>
      <c r="HH130" s="148"/>
      <c r="HI130" s="148"/>
      <c r="HJ130" s="148"/>
      <c r="HK130" s="148"/>
      <c r="HL130" s="148"/>
      <c r="HM130" s="148"/>
      <c r="HN130" s="148"/>
      <c r="HO130" s="148"/>
      <c r="HP130" s="148"/>
      <c r="HQ130" s="148"/>
      <c r="HR130" s="148"/>
      <c r="HS130" s="148"/>
      <c r="HT130" s="148"/>
      <c r="HU130" s="148"/>
      <c r="HV130" s="148"/>
      <c r="HW130" s="148"/>
      <c r="HX130" s="148"/>
      <c r="HY130" s="148"/>
      <c r="HZ130" s="148"/>
      <c r="IA130" s="148"/>
      <c r="IB130" s="148"/>
      <c r="IC130" s="148"/>
      <c r="ID130" s="148"/>
      <c r="IE130" s="148"/>
      <c r="IF130" s="148"/>
      <c r="IG130" s="148"/>
      <c r="IH130" s="148"/>
      <c r="II130" s="148"/>
      <c r="IJ130" s="148"/>
      <c r="IK130" s="148"/>
      <c r="IL130" s="148"/>
      <c r="IM130" s="148"/>
      <c r="IN130" s="148"/>
      <c r="IO130" s="148"/>
      <c r="IP130" s="148"/>
      <c r="IQ130" s="148"/>
      <c r="IR130" s="148"/>
      <c r="IS130" s="148"/>
      <c r="IT130" s="148"/>
      <c r="IU130" s="148"/>
      <c r="IV130" s="148"/>
      <c r="IW130" s="148"/>
      <c r="IX130" s="148"/>
      <c r="IY130" s="148"/>
      <c r="IZ130" s="148"/>
      <c r="JA130" s="148"/>
      <c r="JB130" s="148"/>
      <c r="JC130" s="148"/>
      <c r="JD130" s="148"/>
      <c r="JE130" s="148"/>
      <c r="JF130" s="148"/>
      <c r="JG130" s="148"/>
      <c r="JH130" s="148"/>
      <c r="JI130" s="148"/>
      <c r="JJ130" s="148"/>
      <c r="JK130" s="148"/>
      <c r="JL130" s="148"/>
      <c r="JM130" s="148"/>
      <c r="JN130" s="148"/>
      <c r="JO130" s="148"/>
      <c r="JP130" s="148"/>
      <c r="JQ130" s="148"/>
      <c r="JR130" s="148"/>
      <c r="JS130" s="148"/>
      <c r="JT130" s="148"/>
      <c r="JU130" s="148"/>
      <c r="JV130" s="148"/>
      <c r="JW130" s="148"/>
      <c r="JX130" s="148"/>
      <c r="JY130" s="148"/>
      <c r="JZ130" s="148"/>
      <c r="KA130" s="148"/>
      <c r="KB130" s="148"/>
      <c r="KC130" s="148"/>
      <c r="KD130" s="148"/>
      <c r="KE130" s="148"/>
      <c r="KF130" s="148"/>
      <c r="KG130" s="148"/>
      <c r="KH130" s="148"/>
      <c r="KI130" s="148"/>
      <c r="KJ130" s="148"/>
      <c r="KK130" s="148"/>
      <c r="KL130" s="148"/>
      <c r="KM130" s="148"/>
      <c r="KN130" s="148"/>
      <c r="KO130" s="148"/>
      <c r="KP130" s="148"/>
      <c r="KQ130" s="148"/>
      <c r="KR130" s="148"/>
      <c r="KS130" s="148"/>
      <c r="KT130" s="148"/>
      <c r="KU130" s="148"/>
      <c r="KV130" s="148"/>
      <c r="KW130" s="148"/>
      <c r="KX130" s="148"/>
      <c r="KY130" s="148"/>
      <c r="KZ130" s="148"/>
      <c r="LA130" s="148"/>
      <c r="LB130" s="148"/>
      <c r="LC130" s="148"/>
      <c r="LD130" s="148"/>
      <c r="LE130" s="148"/>
      <c r="LF130" s="148"/>
      <c r="LG130" s="148"/>
      <c r="LH130" s="148"/>
      <c r="LI130" s="148"/>
      <c r="LJ130" s="148"/>
      <c r="LK130" s="148"/>
      <c r="LL130" s="148"/>
      <c r="LM130" s="148"/>
      <c r="LN130" s="148"/>
      <c r="LO130" s="148"/>
      <c r="LP130" s="148"/>
      <c r="LQ130" s="148"/>
      <c r="LR130" s="148"/>
      <c r="LS130" s="148"/>
      <c r="LT130" s="148"/>
      <c r="LU130" s="148"/>
      <c r="LV130" s="148"/>
      <c r="LW130" s="148"/>
      <c r="LX130" s="148"/>
      <c r="LY130" s="148"/>
      <c r="LZ130" s="148"/>
      <c r="MA130" s="148"/>
      <c r="MB130" s="148"/>
      <c r="MC130" s="148"/>
      <c r="MD130" s="148"/>
      <c r="ME130" s="148"/>
      <c r="MF130" s="148"/>
      <c r="MG130" s="148"/>
      <c r="MH130" s="148"/>
      <c r="MI130" s="148"/>
      <c r="MJ130" s="148"/>
      <c r="MK130" s="148"/>
      <c r="ML130" s="148"/>
      <c r="MM130" s="148"/>
      <c r="MN130" s="148"/>
      <c r="MO130" s="148"/>
      <c r="MP130" s="148"/>
      <c r="MQ130" s="148"/>
      <c r="MR130" s="148"/>
      <c r="MS130" s="148"/>
      <c r="MT130" s="148"/>
      <c r="MU130" s="148"/>
      <c r="MV130" s="148"/>
      <c r="MW130" s="148"/>
      <c r="MX130" s="148"/>
      <c r="MY130" s="148"/>
      <c r="MZ130" s="148"/>
      <c r="NA130" s="148"/>
      <c r="NB130" s="148"/>
      <c r="NC130" s="148"/>
      <c r="ND130" s="148"/>
      <c r="NE130" s="148"/>
      <c r="NF130" s="148"/>
      <c r="NG130" s="148"/>
      <c r="NH130" s="148"/>
      <c r="NI130" s="148"/>
      <c r="NJ130" s="148"/>
      <c r="NK130" s="148"/>
      <c r="NL130" s="148"/>
      <c r="NM130" s="148"/>
      <c r="NN130" s="148"/>
      <c r="NO130" s="148"/>
      <c r="NP130" s="148"/>
      <c r="NQ130" s="148"/>
      <c r="NR130" s="148"/>
      <c r="NS130" s="148"/>
      <c r="NT130" s="148"/>
      <c r="NU130" s="148"/>
      <c r="NV130" s="148"/>
      <c r="NW130" s="148"/>
      <c r="NX130" s="148"/>
      <c r="NY130" s="148"/>
      <c r="NZ130" s="148"/>
      <c r="OA130" s="148"/>
      <c r="OB130" s="148"/>
      <c r="OC130" s="148"/>
      <c r="OD130" s="148"/>
      <c r="OE130" s="148"/>
      <c r="OF130" s="148"/>
      <c r="OG130" s="148"/>
      <c r="OH130" s="148"/>
      <c r="OI130" s="148"/>
      <c r="OJ130" s="148"/>
      <c r="OK130" s="148"/>
      <c r="OL130" s="148"/>
      <c r="OM130" s="148"/>
      <c r="ON130" s="148"/>
      <c r="OO130" s="148"/>
      <c r="OP130" s="148"/>
      <c r="OQ130" s="148"/>
      <c r="OR130" s="148"/>
      <c r="OS130" s="148"/>
      <c r="OT130" s="148"/>
      <c r="OU130" s="148"/>
      <c r="OV130" s="148"/>
      <c r="OW130" s="148"/>
      <c r="OX130" s="148"/>
      <c r="OY130" s="148"/>
      <c r="OZ130" s="148"/>
      <c r="PA130" s="148"/>
      <c r="PB130" s="148"/>
      <c r="PC130" s="148"/>
      <c r="PD130" s="148"/>
      <c r="PE130" s="148"/>
      <c r="PF130" s="148"/>
      <c r="PG130" s="148"/>
      <c r="PH130" s="148"/>
      <c r="PI130" s="148"/>
      <c r="PJ130" s="148"/>
      <c r="PK130" s="148"/>
      <c r="PL130" s="148"/>
      <c r="PM130" s="148"/>
      <c r="PN130" s="148"/>
      <c r="PO130" s="148"/>
      <c r="PP130" s="148"/>
      <c r="PQ130" s="148"/>
      <c r="PR130" s="148"/>
      <c r="PS130" s="148"/>
      <c r="PT130" s="148"/>
      <c r="PU130" s="148"/>
      <c r="PV130" s="148"/>
      <c r="PW130" s="148"/>
      <c r="PX130" s="148"/>
      <c r="PY130" s="148"/>
      <c r="PZ130" s="148"/>
      <c r="QA130" s="148"/>
      <c r="QB130" s="148"/>
      <c r="QC130" s="148"/>
      <c r="QD130" s="148"/>
      <c r="QE130" s="148"/>
      <c r="QF130" s="148"/>
      <c r="QG130" s="148"/>
      <c r="QH130" s="148"/>
      <c r="QI130" s="148"/>
      <c r="QJ130" s="148"/>
      <c r="QK130" s="148"/>
      <c r="QL130" s="148"/>
      <c r="QM130" s="148"/>
      <c r="QN130" s="148"/>
      <c r="QO130" s="148"/>
      <c r="QP130" s="148"/>
      <c r="QQ130" s="148"/>
      <c r="QR130" s="148"/>
      <c r="QS130" s="148"/>
      <c r="QT130" s="148"/>
      <c r="QU130" s="148"/>
      <c r="QV130" s="148"/>
      <c r="QW130" s="148"/>
      <c r="QX130" s="148"/>
      <c r="QY130" s="148"/>
      <c r="QZ130" s="148"/>
      <c r="RA130" s="148"/>
      <c r="RB130" s="148"/>
      <c r="RC130" s="148"/>
      <c r="RD130" s="148"/>
      <c r="RE130" s="148"/>
      <c r="RF130" s="148"/>
      <c r="RG130" s="148"/>
      <c r="RH130" s="148"/>
      <c r="RI130" s="148"/>
      <c r="RJ130" s="148"/>
      <c r="RK130" s="148"/>
      <c r="RL130" s="148"/>
      <c r="RM130" s="148"/>
      <c r="RN130" s="148"/>
      <c r="RO130" s="148"/>
      <c r="RP130" s="148"/>
      <c r="RQ130" s="148"/>
      <c r="RR130" s="148"/>
    </row>
    <row r="131" spans="1:486" s="15" customFormat="1" hidden="1" x14ac:dyDescent="0.25">
      <c r="A131" s="148"/>
      <c r="B131" s="350">
        <v>121</v>
      </c>
      <c r="C131" s="650"/>
      <c r="D131" s="16"/>
      <c r="E131" s="344"/>
      <c r="F131" s="344"/>
      <c r="G131" s="17"/>
      <c r="H131" s="317"/>
      <c r="I131" s="346"/>
      <c r="J131" s="341"/>
      <c r="K131" s="633"/>
      <c r="L131" s="633"/>
      <c r="M131" s="633"/>
      <c r="N131" s="633"/>
      <c r="O131" s="633"/>
      <c r="P131" s="633"/>
      <c r="Q131" s="633"/>
      <c r="R131" s="633"/>
      <c r="S131" s="633"/>
      <c r="T131" s="633"/>
      <c r="U131" s="633"/>
      <c r="V131" s="633"/>
      <c r="W131" s="633"/>
      <c r="X131" s="633"/>
      <c r="Y131" s="633">
        <f t="shared" si="3"/>
        <v>0</v>
      </c>
      <c r="Z131" s="637"/>
      <c r="AA131" s="19"/>
      <c r="AB131" s="315"/>
      <c r="AC131" s="315"/>
      <c r="AD131" s="652"/>
      <c r="AE131" s="20"/>
      <c r="AF131" s="21"/>
      <c r="AG131" s="23"/>
      <c r="AH131" s="637"/>
      <c r="AI131" s="19"/>
      <c r="AJ131" s="21"/>
      <c r="AK131" s="25"/>
      <c r="AL131" s="309"/>
      <c r="AM131" s="19"/>
      <c r="AN131" s="21"/>
      <c r="AO131" s="25"/>
      <c r="AP131" s="309"/>
      <c r="AQ131" s="19"/>
      <c r="AR131" s="21"/>
      <c r="AS131" s="25"/>
      <c r="AT131" s="638">
        <f t="shared" si="4"/>
        <v>0</v>
      </c>
      <c r="AU131" s="311">
        <f t="shared" si="0"/>
        <v>0</v>
      </c>
      <c r="AV131" s="148"/>
      <c r="AW131" s="148"/>
      <c r="AX131" s="148"/>
      <c r="AY131" s="148"/>
      <c r="AZ131" s="148"/>
      <c r="BA131" s="148"/>
      <c r="BB131" s="148"/>
      <c r="BC131" s="148"/>
      <c r="BD131" s="148"/>
      <c r="BE131" s="148"/>
      <c r="BF131" s="148"/>
      <c r="BG131" s="148"/>
      <c r="BH131" s="148"/>
      <c r="BI131" s="148"/>
      <c r="BJ131" s="148"/>
      <c r="BK131" s="148"/>
      <c r="BL131" s="148"/>
      <c r="BM131" s="148"/>
      <c r="BN131" s="148"/>
      <c r="BO131" s="148"/>
      <c r="BP131" s="148"/>
      <c r="BQ131" s="148"/>
      <c r="BR131" s="148"/>
      <c r="BS131" s="148"/>
      <c r="BT131" s="148"/>
      <c r="BU131" s="148"/>
      <c r="BV131" s="148"/>
      <c r="BW131" s="148"/>
      <c r="BX131" s="148"/>
      <c r="BY131" s="148"/>
      <c r="BZ131" s="148"/>
      <c r="CA131" s="148"/>
      <c r="CB131" s="148"/>
      <c r="CC131" s="148"/>
      <c r="CD131" s="148"/>
      <c r="CE131" s="148"/>
      <c r="CF131" s="148"/>
      <c r="CG131" s="148"/>
      <c r="CH131" s="148"/>
      <c r="CI131" s="148"/>
      <c r="CJ131" s="148"/>
      <c r="CK131" s="148"/>
      <c r="CL131" s="148"/>
      <c r="CM131" s="148"/>
      <c r="CN131" s="148"/>
      <c r="CO131" s="148"/>
      <c r="CP131" s="148"/>
      <c r="CQ131" s="148"/>
      <c r="CR131" s="148"/>
      <c r="CS131" s="148"/>
      <c r="CT131" s="148"/>
      <c r="CU131" s="148"/>
      <c r="CV131" s="148"/>
      <c r="CW131" s="148"/>
      <c r="CX131" s="148"/>
      <c r="CY131" s="148"/>
      <c r="CZ131" s="148"/>
      <c r="DA131" s="148"/>
      <c r="DB131" s="148"/>
      <c r="DC131" s="148"/>
      <c r="DD131" s="148"/>
      <c r="DE131" s="148"/>
      <c r="DF131" s="148"/>
      <c r="DG131" s="148"/>
      <c r="DH131" s="148"/>
      <c r="DI131" s="148"/>
      <c r="DJ131" s="148"/>
      <c r="DK131" s="148"/>
      <c r="DL131" s="148"/>
      <c r="DM131" s="148"/>
      <c r="DN131" s="148"/>
      <c r="DO131" s="148"/>
      <c r="DP131" s="148"/>
      <c r="DQ131" s="148"/>
      <c r="DR131" s="148"/>
      <c r="DS131" s="148"/>
      <c r="DT131" s="148"/>
      <c r="DU131" s="148"/>
      <c r="DV131" s="148"/>
      <c r="DW131" s="148"/>
      <c r="DX131" s="148"/>
      <c r="DY131" s="148"/>
      <c r="DZ131" s="148"/>
      <c r="EA131" s="148"/>
      <c r="EB131" s="148"/>
      <c r="EC131" s="148"/>
      <c r="ED131" s="148"/>
      <c r="EE131" s="148"/>
      <c r="EF131" s="148"/>
      <c r="EG131" s="148"/>
      <c r="EH131" s="148"/>
      <c r="EI131" s="148"/>
      <c r="EJ131" s="148"/>
      <c r="EK131" s="148"/>
      <c r="EL131" s="148"/>
      <c r="EM131" s="148"/>
      <c r="EN131" s="148"/>
      <c r="EO131" s="148"/>
      <c r="EP131" s="148"/>
      <c r="EQ131" s="148"/>
      <c r="ER131" s="148"/>
      <c r="ES131" s="148"/>
      <c r="ET131" s="148"/>
      <c r="EU131" s="148"/>
      <c r="EV131" s="148"/>
      <c r="EW131" s="148"/>
      <c r="EX131" s="148"/>
      <c r="EY131" s="148"/>
      <c r="EZ131" s="148"/>
      <c r="FA131" s="148"/>
      <c r="FB131" s="148"/>
      <c r="FC131" s="148"/>
      <c r="FD131" s="148"/>
      <c r="FE131" s="148"/>
      <c r="FF131" s="148"/>
      <c r="FG131" s="148"/>
      <c r="FH131" s="148"/>
      <c r="FI131" s="148"/>
      <c r="FJ131" s="148"/>
      <c r="FK131" s="148"/>
      <c r="FL131" s="148"/>
      <c r="FM131" s="148"/>
      <c r="FN131" s="148"/>
      <c r="FO131" s="148"/>
      <c r="FP131" s="148"/>
      <c r="FQ131" s="148"/>
      <c r="FR131" s="148"/>
      <c r="FS131" s="148"/>
      <c r="FT131" s="148"/>
      <c r="FU131" s="148"/>
      <c r="FV131" s="148"/>
      <c r="FW131" s="148"/>
      <c r="FX131" s="148"/>
      <c r="FY131" s="148"/>
      <c r="FZ131" s="148"/>
      <c r="GA131" s="148"/>
      <c r="GB131" s="148"/>
      <c r="GC131" s="148"/>
      <c r="GD131" s="148"/>
      <c r="GE131" s="148"/>
      <c r="GF131" s="148"/>
      <c r="GG131" s="148"/>
      <c r="GH131" s="148"/>
      <c r="GI131" s="148"/>
      <c r="GJ131" s="148"/>
      <c r="GK131" s="148"/>
      <c r="GL131" s="148"/>
      <c r="GM131" s="148"/>
      <c r="GN131" s="148"/>
      <c r="GO131" s="148"/>
      <c r="GP131" s="148"/>
      <c r="GQ131" s="148"/>
      <c r="GR131" s="148"/>
      <c r="GS131" s="148"/>
      <c r="GT131" s="148"/>
      <c r="GU131" s="148"/>
      <c r="GV131" s="148"/>
      <c r="GW131" s="148"/>
      <c r="GX131" s="148"/>
      <c r="GY131" s="148"/>
      <c r="GZ131" s="148"/>
      <c r="HA131" s="148"/>
      <c r="HB131" s="148"/>
      <c r="HC131" s="148"/>
      <c r="HD131" s="148"/>
      <c r="HE131" s="148"/>
      <c r="HF131" s="148"/>
      <c r="HG131" s="148"/>
      <c r="HH131" s="148"/>
      <c r="HI131" s="148"/>
      <c r="HJ131" s="148"/>
      <c r="HK131" s="148"/>
      <c r="HL131" s="148"/>
      <c r="HM131" s="148"/>
      <c r="HN131" s="148"/>
      <c r="HO131" s="148"/>
      <c r="HP131" s="148"/>
      <c r="HQ131" s="148"/>
      <c r="HR131" s="148"/>
      <c r="HS131" s="148"/>
      <c r="HT131" s="148"/>
      <c r="HU131" s="148"/>
      <c r="HV131" s="148"/>
      <c r="HW131" s="148"/>
      <c r="HX131" s="148"/>
      <c r="HY131" s="148"/>
      <c r="HZ131" s="148"/>
      <c r="IA131" s="148"/>
      <c r="IB131" s="148"/>
      <c r="IC131" s="148"/>
      <c r="ID131" s="148"/>
      <c r="IE131" s="148"/>
      <c r="IF131" s="148"/>
      <c r="IG131" s="148"/>
      <c r="IH131" s="148"/>
      <c r="II131" s="148"/>
      <c r="IJ131" s="148"/>
      <c r="IK131" s="148"/>
      <c r="IL131" s="148"/>
      <c r="IM131" s="148"/>
      <c r="IN131" s="148"/>
      <c r="IO131" s="148"/>
      <c r="IP131" s="148"/>
      <c r="IQ131" s="148"/>
      <c r="IR131" s="148"/>
      <c r="IS131" s="148"/>
      <c r="IT131" s="148"/>
      <c r="IU131" s="148"/>
      <c r="IV131" s="148"/>
      <c r="IW131" s="148"/>
      <c r="IX131" s="148"/>
      <c r="IY131" s="148"/>
      <c r="IZ131" s="148"/>
      <c r="JA131" s="148"/>
      <c r="JB131" s="148"/>
      <c r="JC131" s="148"/>
      <c r="JD131" s="148"/>
      <c r="JE131" s="148"/>
      <c r="JF131" s="148"/>
      <c r="JG131" s="148"/>
      <c r="JH131" s="148"/>
      <c r="JI131" s="148"/>
      <c r="JJ131" s="148"/>
      <c r="JK131" s="148"/>
      <c r="JL131" s="148"/>
      <c r="JM131" s="148"/>
      <c r="JN131" s="148"/>
      <c r="JO131" s="148"/>
      <c r="JP131" s="148"/>
      <c r="JQ131" s="148"/>
      <c r="JR131" s="148"/>
      <c r="JS131" s="148"/>
      <c r="JT131" s="148"/>
      <c r="JU131" s="148"/>
      <c r="JV131" s="148"/>
      <c r="JW131" s="148"/>
      <c r="JX131" s="148"/>
      <c r="JY131" s="148"/>
      <c r="JZ131" s="148"/>
      <c r="KA131" s="148"/>
      <c r="KB131" s="148"/>
      <c r="KC131" s="148"/>
      <c r="KD131" s="148"/>
      <c r="KE131" s="148"/>
      <c r="KF131" s="148"/>
      <c r="KG131" s="148"/>
      <c r="KH131" s="148"/>
      <c r="KI131" s="148"/>
      <c r="KJ131" s="148"/>
      <c r="KK131" s="148"/>
      <c r="KL131" s="148"/>
      <c r="KM131" s="148"/>
      <c r="KN131" s="148"/>
      <c r="KO131" s="148"/>
      <c r="KP131" s="148"/>
      <c r="KQ131" s="148"/>
      <c r="KR131" s="148"/>
      <c r="KS131" s="148"/>
      <c r="KT131" s="148"/>
      <c r="KU131" s="148"/>
      <c r="KV131" s="148"/>
      <c r="KW131" s="148"/>
      <c r="KX131" s="148"/>
      <c r="KY131" s="148"/>
      <c r="KZ131" s="148"/>
      <c r="LA131" s="148"/>
      <c r="LB131" s="148"/>
      <c r="LC131" s="148"/>
      <c r="LD131" s="148"/>
      <c r="LE131" s="148"/>
      <c r="LF131" s="148"/>
      <c r="LG131" s="148"/>
      <c r="LH131" s="148"/>
      <c r="LI131" s="148"/>
      <c r="LJ131" s="148"/>
      <c r="LK131" s="148"/>
      <c r="LL131" s="148"/>
      <c r="LM131" s="148"/>
      <c r="LN131" s="148"/>
      <c r="LO131" s="148"/>
      <c r="LP131" s="148"/>
      <c r="LQ131" s="148"/>
      <c r="LR131" s="148"/>
      <c r="LS131" s="148"/>
      <c r="LT131" s="148"/>
      <c r="LU131" s="148"/>
      <c r="LV131" s="148"/>
      <c r="LW131" s="148"/>
      <c r="LX131" s="148"/>
      <c r="LY131" s="148"/>
      <c r="LZ131" s="148"/>
      <c r="MA131" s="148"/>
      <c r="MB131" s="148"/>
      <c r="MC131" s="148"/>
      <c r="MD131" s="148"/>
      <c r="ME131" s="148"/>
      <c r="MF131" s="148"/>
      <c r="MG131" s="148"/>
      <c r="MH131" s="148"/>
      <c r="MI131" s="148"/>
      <c r="MJ131" s="148"/>
      <c r="MK131" s="148"/>
      <c r="ML131" s="148"/>
      <c r="MM131" s="148"/>
      <c r="MN131" s="148"/>
      <c r="MO131" s="148"/>
      <c r="MP131" s="148"/>
      <c r="MQ131" s="148"/>
      <c r="MR131" s="148"/>
      <c r="MS131" s="148"/>
      <c r="MT131" s="148"/>
      <c r="MU131" s="148"/>
      <c r="MV131" s="148"/>
      <c r="MW131" s="148"/>
      <c r="MX131" s="148"/>
      <c r="MY131" s="148"/>
      <c r="MZ131" s="148"/>
      <c r="NA131" s="148"/>
      <c r="NB131" s="148"/>
      <c r="NC131" s="148"/>
      <c r="ND131" s="148"/>
      <c r="NE131" s="148"/>
      <c r="NF131" s="148"/>
      <c r="NG131" s="148"/>
      <c r="NH131" s="148"/>
      <c r="NI131" s="148"/>
      <c r="NJ131" s="148"/>
      <c r="NK131" s="148"/>
      <c r="NL131" s="148"/>
      <c r="NM131" s="148"/>
      <c r="NN131" s="148"/>
      <c r="NO131" s="148"/>
      <c r="NP131" s="148"/>
      <c r="NQ131" s="148"/>
      <c r="NR131" s="148"/>
      <c r="NS131" s="148"/>
      <c r="NT131" s="148"/>
      <c r="NU131" s="148"/>
      <c r="NV131" s="148"/>
      <c r="NW131" s="148"/>
      <c r="NX131" s="148"/>
      <c r="NY131" s="148"/>
      <c r="NZ131" s="148"/>
      <c r="OA131" s="148"/>
      <c r="OB131" s="148"/>
      <c r="OC131" s="148"/>
      <c r="OD131" s="148"/>
      <c r="OE131" s="148"/>
      <c r="OF131" s="148"/>
      <c r="OG131" s="148"/>
      <c r="OH131" s="148"/>
      <c r="OI131" s="148"/>
      <c r="OJ131" s="148"/>
      <c r="OK131" s="148"/>
      <c r="OL131" s="148"/>
      <c r="OM131" s="148"/>
      <c r="ON131" s="148"/>
      <c r="OO131" s="148"/>
      <c r="OP131" s="148"/>
      <c r="OQ131" s="148"/>
      <c r="OR131" s="148"/>
      <c r="OS131" s="148"/>
      <c r="OT131" s="148"/>
      <c r="OU131" s="148"/>
      <c r="OV131" s="148"/>
      <c r="OW131" s="148"/>
      <c r="OX131" s="148"/>
      <c r="OY131" s="148"/>
      <c r="OZ131" s="148"/>
      <c r="PA131" s="148"/>
      <c r="PB131" s="148"/>
      <c r="PC131" s="148"/>
      <c r="PD131" s="148"/>
      <c r="PE131" s="148"/>
      <c r="PF131" s="148"/>
      <c r="PG131" s="148"/>
      <c r="PH131" s="148"/>
      <c r="PI131" s="148"/>
      <c r="PJ131" s="148"/>
      <c r="PK131" s="148"/>
      <c r="PL131" s="148"/>
      <c r="PM131" s="148"/>
      <c r="PN131" s="148"/>
      <c r="PO131" s="148"/>
      <c r="PP131" s="148"/>
      <c r="PQ131" s="148"/>
      <c r="PR131" s="148"/>
      <c r="PS131" s="148"/>
      <c r="PT131" s="148"/>
      <c r="PU131" s="148"/>
      <c r="PV131" s="148"/>
      <c r="PW131" s="148"/>
      <c r="PX131" s="148"/>
      <c r="PY131" s="148"/>
      <c r="PZ131" s="148"/>
      <c r="QA131" s="148"/>
      <c r="QB131" s="148"/>
      <c r="QC131" s="148"/>
      <c r="QD131" s="148"/>
      <c r="QE131" s="148"/>
      <c r="QF131" s="148"/>
      <c r="QG131" s="148"/>
      <c r="QH131" s="148"/>
      <c r="QI131" s="148"/>
      <c r="QJ131" s="148"/>
      <c r="QK131" s="148"/>
      <c r="QL131" s="148"/>
      <c r="QM131" s="148"/>
      <c r="QN131" s="148"/>
      <c r="QO131" s="148"/>
      <c r="QP131" s="148"/>
      <c r="QQ131" s="148"/>
      <c r="QR131" s="148"/>
      <c r="QS131" s="148"/>
      <c r="QT131" s="148"/>
      <c r="QU131" s="148"/>
      <c r="QV131" s="148"/>
      <c r="QW131" s="148"/>
      <c r="QX131" s="148"/>
      <c r="QY131" s="148"/>
      <c r="QZ131" s="148"/>
      <c r="RA131" s="148"/>
      <c r="RB131" s="148"/>
      <c r="RC131" s="148"/>
      <c r="RD131" s="148"/>
      <c r="RE131" s="148"/>
      <c r="RF131" s="148"/>
      <c r="RG131" s="148"/>
      <c r="RH131" s="148"/>
      <c r="RI131" s="148"/>
      <c r="RJ131" s="148"/>
      <c r="RK131" s="148"/>
      <c r="RL131" s="148"/>
      <c r="RM131" s="148"/>
      <c r="RN131" s="148"/>
      <c r="RO131" s="148"/>
      <c r="RP131" s="148"/>
      <c r="RQ131" s="148"/>
      <c r="RR131" s="148"/>
    </row>
    <row r="132" spans="1:486" s="15" customFormat="1" hidden="1" x14ac:dyDescent="0.25">
      <c r="A132" s="148"/>
      <c r="B132" s="350">
        <v>122</v>
      </c>
      <c r="C132" s="650"/>
      <c r="D132" s="16"/>
      <c r="E132" s="344"/>
      <c r="F132" s="344"/>
      <c r="G132" s="17"/>
      <c r="H132" s="317"/>
      <c r="I132" s="346"/>
      <c r="J132" s="341"/>
      <c r="K132" s="633"/>
      <c r="L132" s="633"/>
      <c r="M132" s="633"/>
      <c r="N132" s="633"/>
      <c r="O132" s="633"/>
      <c r="P132" s="633"/>
      <c r="Q132" s="633"/>
      <c r="R132" s="633"/>
      <c r="S132" s="633"/>
      <c r="T132" s="633"/>
      <c r="U132" s="633"/>
      <c r="V132" s="633"/>
      <c r="W132" s="633"/>
      <c r="X132" s="633"/>
      <c r="Y132" s="633">
        <f t="shared" si="3"/>
        <v>0</v>
      </c>
      <c r="Z132" s="637"/>
      <c r="AA132" s="19"/>
      <c r="AB132" s="21"/>
      <c r="AC132" s="23"/>
      <c r="AD132" s="652"/>
      <c r="AE132" s="20"/>
      <c r="AF132" s="21"/>
      <c r="AG132" s="23"/>
      <c r="AH132" s="637"/>
      <c r="AI132" s="19"/>
      <c r="AJ132" s="21"/>
      <c r="AK132" s="25"/>
      <c r="AL132" s="309"/>
      <c r="AM132" s="19"/>
      <c r="AN132" s="21"/>
      <c r="AO132" s="25"/>
      <c r="AP132" s="309"/>
      <c r="AQ132" s="19"/>
      <c r="AR132" s="21"/>
      <c r="AS132" s="25"/>
      <c r="AT132" s="638">
        <f t="shared" si="4"/>
        <v>0</v>
      </c>
      <c r="AU132" s="311">
        <f t="shared" si="0"/>
        <v>0</v>
      </c>
      <c r="AV132" s="148"/>
      <c r="AW132" s="148"/>
      <c r="AX132" s="148"/>
      <c r="AY132" s="148"/>
      <c r="AZ132" s="148"/>
      <c r="BA132" s="148"/>
      <c r="BB132" s="148"/>
      <c r="BC132" s="148"/>
      <c r="BD132" s="148"/>
      <c r="BE132" s="148"/>
      <c r="BF132" s="148"/>
      <c r="BG132" s="148"/>
      <c r="BH132" s="148"/>
      <c r="BI132" s="148"/>
      <c r="BJ132" s="148"/>
      <c r="BK132" s="148"/>
      <c r="BL132" s="148"/>
      <c r="BM132" s="148"/>
      <c r="BN132" s="148"/>
      <c r="BO132" s="148"/>
      <c r="BP132" s="148"/>
      <c r="BQ132" s="148"/>
      <c r="BR132" s="148"/>
      <c r="BS132" s="148"/>
      <c r="BT132" s="148"/>
      <c r="BU132" s="148"/>
      <c r="BV132" s="148"/>
      <c r="BW132" s="148"/>
      <c r="BX132" s="148"/>
      <c r="BY132" s="148"/>
      <c r="BZ132" s="148"/>
      <c r="CA132" s="148"/>
      <c r="CB132" s="148"/>
      <c r="CC132" s="148"/>
      <c r="CD132" s="148"/>
      <c r="CE132" s="148"/>
      <c r="CF132" s="148"/>
      <c r="CG132" s="148"/>
      <c r="CH132" s="148"/>
      <c r="CI132" s="148"/>
      <c r="CJ132" s="148"/>
      <c r="CK132" s="148"/>
      <c r="CL132" s="148"/>
      <c r="CM132" s="148"/>
      <c r="CN132" s="148"/>
      <c r="CO132" s="148"/>
      <c r="CP132" s="148"/>
      <c r="CQ132" s="148"/>
      <c r="CR132" s="148"/>
      <c r="CS132" s="148"/>
      <c r="CT132" s="148"/>
      <c r="CU132" s="148"/>
      <c r="CV132" s="148"/>
      <c r="CW132" s="148"/>
      <c r="CX132" s="148"/>
      <c r="CY132" s="148"/>
      <c r="CZ132" s="148"/>
      <c r="DA132" s="148"/>
      <c r="DB132" s="148"/>
      <c r="DC132" s="148"/>
      <c r="DD132" s="148"/>
      <c r="DE132" s="148"/>
      <c r="DF132" s="148"/>
      <c r="DG132" s="148"/>
      <c r="DH132" s="148"/>
      <c r="DI132" s="148"/>
      <c r="DJ132" s="148"/>
      <c r="DK132" s="148"/>
      <c r="DL132" s="148"/>
      <c r="DM132" s="148"/>
      <c r="DN132" s="148"/>
      <c r="DO132" s="148"/>
      <c r="DP132" s="148"/>
      <c r="DQ132" s="148"/>
      <c r="DR132" s="148"/>
      <c r="DS132" s="148"/>
      <c r="DT132" s="148"/>
      <c r="DU132" s="148"/>
      <c r="DV132" s="148"/>
      <c r="DW132" s="148"/>
      <c r="DX132" s="148"/>
      <c r="DY132" s="148"/>
      <c r="DZ132" s="148"/>
      <c r="EA132" s="148"/>
      <c r="EB132" s="148"/>
      <c r="EC132" s="148"/>
      <c r="ED132" s="148"/>
      <c r="EE132" s="148"/>
      <c r="EF132" s="148"/>
      <c r="EG132" s="148"/>
      <c r="EH132" s="148"/>
      <c r="EI132" s="148"/>
      <c r="EJ132" s="148"/>
      <c r="EK132" s="148"/>
      <c r="EL132" s="148"/>
      <c r="EM132" s="148"/>
      <c r="EN132" s="148"/>
      <c r="EO132" s="148"/>
      <c r="EP132" s="148"/>
      <c r="EQ132" s="148"/>
      <c r="ER132" s="148"/>
      <c r="ES132" s="148"/>
      <c r="ET132" s="148"/>
      <c r="EU132" s="148"/>
      <c r="EV132" s="148"/>
      <c r="EW132" s="148"/>
      <c r="EX132" s="148"/>
      <c r="EY132" s="148"/>
      <c r="EZ132" s="148"/>
      <c r="FA132" s="148"/>
      <c r="FB132" s="148"/>
      <c r="FC132" s="148"/>
      <c r="FD132" s="148"/>
      <c r="FE132" s="148"/>
      <c r="FF132" s="148"/>
      <c r="FG132" s="148"/>
      <c r="FH132" s="148"/>
      <c r="FI132" s="148"/>
      <c r="FJ132" s="148"/>
      <c r="FK132" s="148"/>
      <c r="FL132" s="148"/>
      <c r="FM132" s="148"/>
      <c r="FN132" s="148"/>
      <c r="FO132" s="148"/>
      <c r="FP132" s="148"/>
      <c r="FQ132" s="148"/>
      <c r="FR132" s="148"/>
      <c r="FS132" s="148"/>
      <c r="FT132" s="148"/>
      <c r="FU132" s="148"/>
      <c r="FV132" s="148"/>
      <c r="FW132" s="148"/>
      <c r="FX132" s="148"/>
      <c r="FY132" s="148"/>
      <c r="FZ132" s="148"/>
      <c r="GA132" s="148"/>
      <c r="GB132" s="148"/>
      <c r="GC132" s="148"/>
      <c r="GD132" s="148"/>
      <c r="GE132" s="148"/>
      <c r="GF132" s="148"/>
      <c r="GG132" s="148"/>
      <c r="GH132" s="148"/>
      <c r="GI132" s="148"/>
      <c r="GJ132" s="148"/>
      <c r="GK132" s="148"/>
      <c r="GL132" s="148"/>
      <c r="GM132" s="148"/>
      <c r="GN132" s="148"/>
      <c r="GO132" s="148"/>
      <c r="GP132" s="148"/>
      <c r="GQ132" s="148"/>
      <c r="GR132" s="148"/>
      <c r="GS132" s="148"/>
      <c r="GT132" s="148"/>
      <c r="GU132" s="148"/>
      <c r="GV132" s="148"/>
      <c r="GW132" s="148"/>
      <c r="GX132" s="148"/>
      <c r="GY132" s="148"/>
      <c r="GZ132" s="148"/>
      <c r="HA132" s="148"/>
      <c r="HB132" s="148"/>
      <c r="HC132" s="148"/>
      <c r="HD132" s="148"/>
      <c r="HE132" s="148"/>
      <c r="HF132" s="148"/>
      <c r="HG132" s="148"/>
      <c r="HH132" s="148"/>
      <c r="HI132" s="148"/>
      <c r="HJ132" s="148"/>
      <c r="HK132" s="148"/>
      <c r="HL132" s="148"/>
      <c r="HM132" s="148"/>
      <c r="HN132" s="148"/>
      <c r="HO132" s="148"/>
      <c r="HP132" s="148"/>
      <c r="HQ132" s="148"/>
      <c r="HR132" s="148"/>
      <c r="HS132" s="148"/>
      <c r="HT132" s="148"/>
      <c r="HU132" s="148"/>
      <c r="HV132" s="148"/>
      <c r="HW132" s="148"/>
      <c r="HX132" s="148"/>
      <c r="HY132" s="148"/>
      <c r="HZ132" s="148"/>
      <c r="IA132" s="148"/>
      <c r="IB132" s="148"/>
      <c r="IC132" s="148"/>
      <c r="ID132" s="148"/>
      <c r="IE132" s="148"/>
      <c r="IF132" s="148"/>
      <c r="IG132" s="148"/>
      <c r="IH132" s="148"/>
      <c r="II132" s="148"/>
      <c r="IJ132" s="148"/>
      <c r="IK132" s="148"/>
      <c r="IL132" s="148"/>
      <c r="IM132" s="148"/>
      <c r="IN132" s="148"/>
      <c r="IO132" s="148"/>
      <c r="IP132" s="148"/>
      <c r="IQ132" s="148"/>
      <c r="IR132" s="148"/>
      <c r="IS132" s="148"/>
      <c r="IT132" s="148"/>
      <c r="IU132" s="148"/>
      <c r="IV132" s="148"/>
      <c r="IW132" s="148"/>
      <c r="IX132" s="148"/>
      <c r="IY132" s="148"/>
      <c r="IZ132" s="148"/>
      <c r="JA132" s="148"/>
      <c r="JB132" s="148"/>
      <c r="JC132" s="148"/>
      <c r="JD132" s="148"/>
      <c r="JE132" s="148"/>
      <c r="JF132" s="148"/>
      <c r="JG132" s="148"/>
      <c r="JH132" s="148"/>
      <c r="JI132" s="148"/>
      <c r="JJ132" s="148"/>
      <c r="JK132" s="148"/>
      <c r="JL132" s="148"/>
      <c r="JM132" s="148"/>
      <c r="JN132" s="148"/>
      <c r="JO132" s="148"/>
      <c r="JP132" s="148"/>
      <c r="JQ132" s="148"/>
      <c r="JR132" s="148"/>
      <c r="JS132" s="148"/>
      <c r="JT132" s="148"/>
      <c r="JU132" s="148"/>
      <c r="JV132" s="148"/>
      <c r="JW132" s="148"/>
      <c r="JX132" s="148"/>
      <c r="JY132" s="148"/>
      <c r="JZ132" s="148"/>
      <c r="KA132" s="148"/>
      <c r="KB132" s="148"/>
      <c r="KC132" s="148"/>
      <c r="KD132" s="148"/>
      <c r="KE132" s="148"/>
      <c r="KF132" s="148"/>
      <c r="KG132" s="148"/>
      <c r="KH132" s="148"/>
      <c r="KI132" s="148"/>
      <c r="KJ132" s="148"/>
      <c r="KK132" s="148"/>
      <c r="KL132" s="148"/>
      <c r="KM132" s="148"/>
      <c r="KN132" s="148"/>
      <c r="KO132" s="148"/>
      <c r="KP132" s="148"/>
      <c r="KQ132" s="148"/>
      <c r="KR132" s="148"/>
      <c r="KS132" s="148"/>
      <c r="KT132" s="148"/>
      <c r="KU132" s="148"/>
      <c r="KV132" s="148"/>
      <c r="KW132" s="148"/>
      <c r="KX132" s="148"/>
      <c r="KY132" s="148"/>
      <c r="KZ132" s="148"/>
      <c r="LA132" s="148"/>
      <c r="LB132" s="148"/>
      <c r="LC132" s="148"/>
      <c r="LD132" s="148"/>
      <c r="LE132" s="148"/>
      <c r="LF132" s="148"/>
      <c r="LG132" s="148"/>
      <c r="LH132" s="148"/>
      <c r="LI132" s="148"/>
      <c r="LJ132" s="148"/>
      <c r="LK132" s="148"/>
      <c r="LL132" s="148"/>
      <c r="LM132" s="148"/>
      <c r="LN132" s="148"/>
      <c r="LO132" s="148"/>
      <c r="LP132" s="148"/>
      <c r="LQ132" s="148"/>
      <c r="LR132" s="148"/>
      <c r="LS132" s="148"/>
      <c r="LT132" s="148"/>
      <c r="LU132" s="148"/>
      <c r="LV132" s="148"/>
      <c r="LW132" s="148"/>
      <c r="LX132" s="148"/>
      <c r="LY132" s="148"/>
      <c r="LZ132" s="148"/>
      <c r="MA132" s="148"/>
      <c r="MB132" s="148"/>
      <c r="MC132" s="148"/>
      <c r="MD132" s="148"/>
      <c r="ME132" s="148"/>
      <c r="MF132" s="148"/>
      <c r="MG132" s="148"/>
      <c r="MH132" s="148"/>
      <c r="MI132" s="148"/>
      <c r="MJ132" s="148"/>
      <c r="MK132" s="148"/>
      <c r="ML132" s="148"/>
      <c r="MM132" s="148"/>
      <c r="MN132" s="148"/>
      <c r="MO132" s="148"/>
      <c r="MP132" s="148"/>
      <c r="MQ132" s="148"/>
      <c r="MR132" s="148"/>
      <c r="MS132" s="148"/>
      <c r="MT132" s="148"/>
      <c r="MU132" s="148"/>
      <c r="MV132" s="148"/>
      <c r="MW132" s="148"/>
      <c r="MX132" s="148"/>
      <c r="MY132" s="148"/>
      <c r="MZ132" s="148"/>
      <c r="NA132" s="148"/>
      <c r="NB132" s="148"/>
      <c r="NC132" s="148"/>
      <c r="ND132" s="148"/>
      <c r="NE132" s="148"/>
      <c r="NF132" s="148"/>
      <c r="NG132" s="148"/>
      <c r="NH132" s="148"/>
      <c r="NI132" s="148"/>
      <c r="NJ132" s="148"/>
      <c r="NK132" s="148"/>
      <c r="NL132" s="148"/>
      <c r="NM132" s="148"/>
      <c r="NN132" s="148"/>
      <c r="NO132" s="148"/>
      <c r="NP132" s="148"/>
      <c r="NQ132" s="148"/>
      <c r="NR132" s="148"/>
      <c r="NS132" s="148"/>
      <c r="NT132" s="148"/>
      <c r="NU132" s="148"/>
      <c r="NV132" s="148"/>
      <c r="NW132" s="148"/>
      <c r="NX132" s="148"/>
      <c r="NY132" s="148"/>
      <c r="NZ132" s="148"/>
      <c r="OA132" s="148"/>
      <c r="OB132" s="148"/>
      <c r="OC132" s="148"/>
      <c r="OD132" s="148"/>
      <c r="OE132" s="148"/>
      <c r="OF132" s="148"/>
      <c r="OG132" s="148"/>
      <c r="OH132" s="148"/>
      <c r="OI132" s="148"/>
      <c r="OJ132" s="148"/>
      <c r="OK132" s="148"/>
      <c r="OL132" s="148"/>
      <c r="OM132" s="148"/>
      <c r="ON132" s="148"/>
      <c r="OO132" s="148"/>
      <c r="OP132" s="148"/>
      <c r="OQ132" s="148"/>
      <c r="OR132" s="148"/>
      <c r="OS132" s="148"/>
      <c r="OT132" s="148"/>
      <c r="OU132" s="148"/>
      <c r="OV132" s="148"/>
      <c r="OW132" s="148"/>
      <c r="OX132" s="148"/>
      <c r="OY132" s="148"/>
      <c r="OZ132" s="148"/>
      <c r="PA132" s="148"/>
      <c r="PB132" s="148"/>
      <c r="PC132" s="148"/>
      <c r="PD132" s="148"/>
      <c r="PE132" s="148"/>
      <c r="PF132" s="148"/>
      <c r="PG132" s="148"/>
      <c r="PH132" s="148"/>
      <c r="PI132" s="148"/>
      <c r="PJ132" s="148"/>
      <c r="PK132" s="148"/>
      <c r="PL132" s="148"/>
      <c r="PM132" s="148"/>
      <c r="PN132" s="148"/>
      <c r="PO132" s="148"/>
      <c r="PP132" s="148"/>
      <c r="PQ132" s="148"/>
      <c r="PR132" s="148"/>
      <c r="PS132" s="148"/>
      <c r="PT132" s="148"/>
      <c r="PU132" s="148"/>
      <c r="PV132" s="148"/>
      <c r="PW132" s="148"/>
      <c r="PX132" s="148"/>
      <c r="PY132" s="148"/>
      <c r="PZ132" s="148"/>
      <c r="QA132" s="148"/>
      <c r="QB132" s="148"/>
      <c r="QC132" s="148"/>
      <c r="QD132" s="148"/>
      <c r="QE132" s="148"/>
      <c r="QF132" s="148"/>
      <c r="QG132" s="148"/>
      <c r="QH132" s="148"/>
      <c r="QI132" s="148"/>
      <c r="QJ132" s="148"/>
      <c r="QK132" s="148"/>
      <c r="QL132" s="148"/>
      <c r="QM132" s="148"/>
      <c r="QN132" s="148"/>
      <c r="QO132" s="148"/>
      <c r="QP132" s="148"/>
      <c r="QQ132" s="148"/>
      <c r="QR132" s="148"/>
      <c r="QS132" s="148"/>
      <c r="QT132" s="148"/>
      <c r="QU132" s="148"/>
      <c r="QV132" s="148"/>
      <c r="QW132" s="148"/>
      <c r="QX132" s="148"/>
      <c r="QY132" s="148"/>
      <c r="QZ132" s="148"/>
      <c r="RA132" s="148"/>
      <c r="RB132" s="148"/>
      <c r="RC132" s="148"/>
      <c r="RD132" s="148"/>
      <c r="RE132" s="148"/>
      <c r="RF132" s="148"/>
      <c r="RG132" s="148"/>
      <c r="RH132" s="148"/>
      <c r="RI132" s="148"/>
      <c r="RJ132" s="148"/>
      <c r="RK132" s="148"/>
      <c r="RL132" s="148"/>
      <c r="RM132" s="148"/>
      <c r="RN132" s="148"/>
      <c r="RO132" s="148"/>
      <c r="RP132" s="148"/>
      <c r="RQ132" s="148"/>
      <c r="RR132" s="148"/>
    </row>
    <row r="133" spans="1:486" s="15" customFormat="1" hidden="1" x14ac:dyDescent="0.25">
      <c r="A133" s="148"/>
      <c r="B133" s="350">
        <v>123</v>
      </c>
      <c r="C133" s="650"/>
      <c r="D133" s="16"/>
      <c r="E133" s="344"/>
      <c r="F133" s="344"/>
      <c r="G133" s="17"/>
      <c r="H133" s="317"/>
      <c r="I133" s="346"/>
      <c r="J133" s="341"/>
      <c r="K133" s="633"/>
      <c r="L133" s="633"/>
      <c r="M133" s="633"/>
      <c r="N133" s="633"/>
      <c r="O133" s="633"/>
      <c r="P133" s="633"/>
      <c r="Q133" s="633"/>
      <c r="R133" s="633"/>
      <c r="S133" s="633"/>
      <c r="T133" s="633"/>
      <c r="U133" s="633"/>
      <c r="V133" s="633"/>
      <c r="W133" s="633"/>
      <c r="X133" s="633"/>
      <c r="Y133" s="633">
        <f t="shared" si="3"/>
        <v>0</v>
      </c>
      <c r="Z133" s="637"/>
      <c r="AA133" s="19"/>
      <c r="AB133" s="21"/>
      <c r="AC133" s="23"/>
      <c r="AD133" s="652"/>
      <c r="AE133" s="20"/>
      <c r="AF133" s="21"/>
      <c r="AG133" s="23"/>
      <c r="AH133" s="637"/>
      <c r="AI133" s="19"/>
      <c r="AJ133" s="21"/>
      <c r="AK133" s="25"/>
      <c r="AL133" s="309"/>
      <c r="AM133" s="19"/>
      <c r="AN133" s="21"/>
      <c r="AO133" s="25"/>
      <c r="AP133" s="309"/>
      <c r="AQ133" s="19"/>
      <c r="AR133" s="21"/>
      <c r="AS133" s="25"/>
      <c r="AT133" s="638">
        <f t="shared" si="4"/>
        <v>0</v>
      </c>
      <c r="AU133" s="311">
        <f t="shared" ref="AU133:AU184" si="5">+AT133-Y133</f>
        <v>0</v>
      </c>
      <c r="AV133" s="148"/>
      <c r="AW133" s="148"/>
      <c r="AX133" s="148"/>
      <c r="AY133" s="148"/>
      <c r="AZ133" s="148"/>
      <c r="BA133" s="148"/>
      <c r="BB133" s="148"/>
      <c r="BC133" s="148"/>
      <c r="BD133" s="148"/>
      <c r="BE133" s="148"/>
      <c r="BF133" s="148"/>
      <c r="BG133" s="148"/>
      <c r="BH133" s="148"/>
      <c r="BI133" s="148"/>
      <c r="BJ133" s="148"/>
      <c r="BK133" s="148"/>
      <c r="BL133" s="148"/>
      <c r="BM133" s="148"/>
      <c r="BN133" s="148"/>
      <c r="BO133" s="148"/>
      <c r="BP133" s="148"/>
      <c r="BQ133" s="148"/>
      <c r="BR133" s="148"/>
      <c r="BS133" s="148"/>
      <c r="BT133" s="148"/>
      <c r="BU133" s="148"/>
      <c r="BV133" s="148"/>
      <c r="BW133" s="148"/>
      <c r="BX133" s="148"/>
      <c r="BY133" s="148"/>
      <c r="BZ133" s="148"/>
      <c r="CA133" s="148"/>
      <c r="CB133" s="148"/>
      <c r="CC133" s="148"/>
      <c r="CD133" s="148"/>
      <c r="CE133" s="148"/>
      <c r="CF133" s="148"/>
      <c r="CG133" s="148"/>
      <c r="CH133" s="148"/>
      <c r="CI133" s="148"/>
      <c r="CJ133" s="148"/>
      <c r="CK133" s="148"/>
      <c r="CL133" s="148"/>
      <c r="CM133" s="148"/>
      <c r="CN133" s="148"/>
      <c r="CO133" s="148"/>
      <c r="CP133" s="148"/>
      <c r="CQ133" s="148"/>
      <c r="CR133" s="148"/>
      <c r="CS133" s="148"/>
      <c r="CT133" s="148"/>
      <c r="CU133" s="148"/>
      <c r="CV133" s="148"/>
      <c r="CW133" s="148"/>
      <c r="CX133" s="148"/>
      <c r="CY133" s="148"/>
      <c r="CZ133" s="148"/>
      <c r="DA133" s="148"/>
      <c r="DB133" s="148"/>
      <c r="DC133" s="148"/>
      <c r="DD133" s="148"/>
      <c r="DE133" s="148"/>
      <c r="DF133" s="148"/>
      <c r="DG133" s="148"/>
      <c r="DH133" s="148"/>
      <c r="DI133" s="148"/>
      <c r="DJ133" s="148"/>
      <c r="DK133" s="148"/>
      <c r="DL133" s="148"/>
      <c r="DM133" s="148"/>
      <c r="DN133" s="148"/>
      <c r="DO133" s="148"/>
      <c r="DP133" s="148"/>
      <c r="DQ133" s="148"/>
      <c r="DR133" s="148"/>
      <c r="DS133" s="148"/>
      <c r="DT133" s="148"/>
      <c r="DU133" s="148"/>
      <c r="DV133" s="148"/>
      <c r="DW133" s="148"/>
      <c r="DX133" s="148"/>
      <c r="DY133" s="148"/>
      <c r="DZ133" s="148"/>
      <c r="EA133" s="148"/>
      <c r="EB133" s="148"/>
      <c r="EC133" s="148"/>
      <c r="ED133" s="148"/>
      <c r="EE133" s="148"/>
      <c r="EF133" s="148"/>
      <c r="EG133" s="148"/>
      <c r="EH133" s="148"/>
      <c r="EI133" s="148"/>
      <c r="EJ133" s="148"/>
      <c r="EK133" s="148"/>
      <c r="EL133" s="148"/>
      <c r="EM133" s="148"/>
      <c r="EN133" s="148"/>
      <c r="EO133" s="148"/>
      <c r="EP133" s="148"/>
      <c r="EQ133" s="148"/>
      <c r="ER133" s="148"/>
      <c r="ES133" s="148"/>
      <c r="ET133" s="148"/>
      <c r="EU133" s="148"/>
      <c r="EV133" s="148"/>
      <c r="EW133" s="148"/>
      <c r="EX133" s="148"/>
      <c r="EY133" s="148"/>
      <c r="EZ133" s="148"/>
      <c r="FA133" s="148"/>
      <c r="FB133" s="148"/>
      <c r="FC133" s="148"/>
      <c r="FD133" s="148"/>
      <c r="FE133" s="148"/>
      <c r="FF133" s="148"/>
      <c r="FG133" s="148"/>
      <c r="FH133" s="148"/>
      <c r="FI133" s="148"/>
      <c r="FJ133" s="148"/>
      <c r="FK133" s="148"/>
      <c r="FL133" s="148"/>
      <c r="FM133" s="148"/>
      <c r="FN133" s="148"/>
      <c r="FO133" s="148"/>
      <c r="FP133" s="148"/>
      <c r="FQ133" s="148"/>
      <c r="FR133" s="148"/>
      <c r="FS133" s="148"/>
      <c r="FT133" s="148"/>
      <c r="FU133" s="148"/>
      <c r="FV133" s="148"/>
      <c r="FW133" s="148"/>
      <c r="FX133" s="148"/>
      <c r="FY133" s="148"/>
      <c r="FZ133" s="148"/>
      <c r="GA133" s="148"/>
      <c r="GB133" s="148"/>
      <c r="GC133" s="148"/>
      <c r="GD133" s="148"/>
      <c r="GE133" s="148"/>
      <c r="GF133" s="148"/>
      <c r="GG133" s="148"/>
      <c r="GH133" s="148"/>
      <c r="GI133" s="148"/>
      <c r="GJ133" s="148"/>
      <c r="GK133" s="148"/>
      <c r="GL133" s="148"/>
      <c r="GM133" s="148"/>
      <c r="GN133" s="148"/>
      <c r="GO133" s="148"/>
      <c r="GP133" s="148"/>
      <c r="GQ133" s="148"/>
      <c r="GR133" s="148"/>
      <c r="GS133" s="148"/>
      <c r="GT133" s="148"/>
      <c r="GU133" s="148"/>
      <c r="GV133" s="148"/>
      <c r="GW133" s="148"/>
      <c r="GX133" s="148"/>
      <c r="GY133" s="148"/>
      <c r="GZ133" s="148"/>
      <c r="HA133" s="148"/>
      <c r="HB133" s="148"/>
      <c r="HC133" s="148"/>
      <c r="HD133" s="148"/>
      <c r="HE133" s="148"/>
      <c r="HF133" s="148"/>
      <c r="HG133" s="148"/>
      <c r="HH133" s="148"/>
      <c r="HI133" s="148"/>
      <c r="HJ133" s="148"/>
      <c r="HK133" s="148"/>
      <c r="HL133" s="148"/>
      <c r="HM133" s="148"/>
      <c r="HN133" s="148"/>
      <c r="HO133" s="148"/>
      <c r="HP133" s="148"/>
      <c r="HQ133" s="148"/>
      <c r="HR133" s="148"/>
      <c r="HS133" s="148"/>
      <c r="HT133" s="148"/>
      <c r="HU133" s="148"/>
      <c r="HV133" s="148"/>
      <c r="HW133" s="148"/>
      <c r="HX133" s="148"/>
      <c r="HY133" s="148"/>
      <c r="HZ133" s="148"/>
      <c r="IA133" s="148"/>
      <c r="IB133" s="148"/>
      <c r="IC133" s="148"/>
      <c r="ID133" s="148"/>
      <c r="IE133" s="148"/>
      <c r="IF133" s="148"/>
      <c r="IG133" s="148"/>
      <c r="IH133" s="148"/>
      <c r="II133" s="148"/>
      <c r="IJ133" s="148"/>
      <c r="IK133" s="148"/>
      <c r="IL133" s="148"/>
      <c r="IM133" s="148"/>
      <c r="IN133" s="148"/>
      <c r="IO133" s="148"/>
      <c r="IP133" s="148"/>
      <c r="IQ133" s="148"/>
      <c r="IR133" s="148"/>
      <c r="IS133" s="148"/>
      <c r="IT133" s="148"/>
      <c r="IU133" s="148"/>
      <c r="IV133" s="148"/>
      <c r="IW133" s="148"/>
      <c r="IX133" s="148"/>
      <c r="IY133" s="148"/>
      <c r="IZ133" s="148"/>
      <c r="JA133" s="148"/>
      <c r="JB133" s="148"/>
      <c r="JC133" s="148"/>
      <c r="JD133" s="148"/>
      <c r="JE133" s="148"/>
      <c r="JF133" s="148"/>
      <c r="JG133" s="148"/>
      <c r="JH133" s="148"/>
      <c r="JI133" s="148"/>
      <c r="JJ133" s="148"/>
      <c r="JK133" s="148"/>
      <c r="JL133" s="148"/>
      <c r="JM133" s="148"/>
      <c r="JN133" s="148"/>
      <c r="JO133" s="148"/>
      <c r="JP133" s="148"/>
      <c r="JQ133" s="148"/>
      <c r="JR133" s="148"/>
      <c r="JS133" s="148"/>
      <c r="JT133" s="148"/>
      <c r="JU133" s="148"/>
      <c r="JV133" s="148"/>
      <c r="JW133" s="148"/>
      <c r="JX133" s="148"/>
      <c r="JY133" s="148"/>
      <c r="JZ133" s="148"/>
      <c r="KA133" s="148"/>
      <c r="KB133" s="148"/>
      <c r="KC133" s="148"/>
      <c r="KD133" s="148"/>
      <c r="KE133" s="148"/>
      <c r="KF133" s="148"/>
      <c r="KG133" s="148"/>
      <c r="KH133" s="148"/>
      <c r="KI133" s="148"/>
      <c r="KJ133" s="148"/>
      <c r="KK133" s="148"/>
      <c r="KL133" s="148"/>
      <c r="KM133" s="148"/>
      <c r="KN133" s="148"/>
      <c r="KO133" s="148"/>
      <c r="KP133" s="148"/>
      <c r="KQ133" s="148"/>
      <c r="KR133" s="148"/>
      <c r="KS133" s="148"/>
      <c r="KT133" s="148"/>
      <c r="KU133" s="148"/>
      <c r="KV133" s="148"/>
      <c r="KW133" s="148"/>
      <c r="KX133" s="148"/>
      <c r="KY133" s="148"/>
      <c r="KZ133" s="148"/>
      <c r="LA133" s="148"/>
      <c r="LB133" s="148"/>
      <c r="LC133" s="148"/>
      <c r="LD133" s="148"/>
      <c r="LE133" s="148"/>
      <c r="LF133" s="148"/>
      <c r="LG133" s="148"/>
      <c r="LH133" s="148"/>
      <c r="LI133" s="148"/>
      <c r="LJ133" s="148"/>
      <c r="LK133" s="148"/>
      <c r="LL133" s="148"/>
      <c r="LM133" s="148"/>
      <c r="LN133" s="148"/>
      <c r="LO133" s="148"/>
      <c r="LP133" s="148"/>
      <c r="LQ133" s="148"/>
      <c r="LR133" s="148"/>
      <c r="LS133" s="148"/>
      <c r="LT133" s="148"/>
      <c r="LU133" s="148"/>
      <c r="LV133" s="148"/>
      <c r="LW133" s="148"/>
      <c r="LX133" s="148"/>
      <c r="LY133" s="148"/>
      <c r="LZ133" s="148"/>
      <c r="MA133" s="148"/>
      <c r="MB133" s="148"/>
      <c r="MC133" s="148"/>
      <c r="MD133" s="148"/>
      <c r="ME133" s="148"/>
      <c r="MF133" s="148"/>
      <c r="MG133" s="148"/>
      <c r="MH133" s="148"/>
      <c r="MI133" s="148"/>
      <c r="MJ133" s="148"/>
      <c r="MK133" s="148"/>
      <c r="ML133" s="148"/>
      <c r="MM133" s="148"/>
      <c r="MN133" s="148"/>
      <c r="MO133" s="148"/>
      <c r="MP133" s="148"/>
      <c r="MQ133" s="148"/>
      <c r="MR133" s="148"/>
      <c r="MS133" s="148"/>
      <c r="MT133" s="148"/>
      <c r="MU133" s="148"/>
      <c r="MV133" s="148"/>
      <c r="MW133" s="148"/>
      <c r="MX133" s="148"/>
      <c r="MY133" s="148"/>
      <c r="MZ133" s="148"/>
      <c r="NA133" s="148"/>
      <c r="NB133" s="148"/>
      <c r="NC133" s="148"/>
      <c r="ND133" s="148"/>
      <c r="NE133" s="148"/>
      <c r="NF133" s="148"/>
      <c r="NG133" s="148"/>
      <c r="NH133" s="148"/>
      <c r="NI133" s="148"/>
      <c r="NJ133" s="148"/>
      <c r="NK133" s="148"/>
      <c r="NL133" s="148"/>
      <c r="NM133" s="148"/>
      <c r="NN133" s="148"/>
      <c r="NO133" s="148"/>
      <c r="NP133" s="148"/>
      <c r="NQ133" s="148"/>
      <c r="NR133" s="148"/>
      <c r="NS133" s="148"/>
      <c r="NT133" s="148"/>
      <c r="NU133" s="148"/>
      <c r="NV133" s="148"/>
      <c r="NW133" s="148"/>
      <c r="NX133" s="148"/>
      <c r="NY133" s="148"/>
      <c r="NZ133" s="148"/>
      <c r="OA133" s="148"/>
      <c r="OB133" s="148"/>
      <c r="OC133" s="148"/>
      <c r="OD133" s="148"/>
      <c r="OE133" s="148"/>
      <c r="OF133" s="148"/>
      <c r="OG133" s="148"/>
      <c r="OH133" s="148"/>
      <c r="OI133" s="148"/>
      <c r="OJ133" s="148"/>
      <c r="OK133" s="148"/>
      <c r="OL133" s="148"/>
      <c r="OM133" s="148"/>
      <c r="ON133" s="148"/>
      <c r="OO133" s="148"/>
      <c r="OP133" s="148"/>
      <c r="OQ133" s="148"/>
      <c r="OR133" s="148"/>
      <c r="OS133" s="148"/>
      <c r="OT133" s="148"/>
      <c r="OU133" s="148"/>
      <c r="OV133" s="148"/>
      <c r="OW133" s="148"/>
      <c r="OX133" s="148"/>
      <c r="OY133" s="148"/>
      <c r="OZ133" s="148"/>
      <c r="PA133" s="148"/>
      <c r="PB133" s="148"/>
      <c r="PC133" s="148"/>
      <c r="PD133" s="148"/>
      <c r="PE133" s="148"/>
      <c r="PF133" s="148"/>
      <c r="PG133" s="148"/>
      <c r="PH133" s="148"/>
      <c r="PI133" s="148"/>
      <c r="PJ133" s="148"/>
      <c r="PK133" s="148"/>
      <c r="PL133" s="148"/>
      <c r="PM133" s="148"/>
      <c r="PN133" s="148"/>
      <c r="PO133" s="148"/>
      <c r="PP133" s="148"/>
      <c r="PQ133" s="148"/>
      <c r="PR133" s="148"/>
      <c r="PS133" s="148"/>
      <c r="PT133" s="148"/>
      <c r="PU133" s="148"/>
      <c r="PV133" s="148"/>
      <c r="PW133" s="148"/>
      <c r="PX133" s="148"/>
      <c r="PY133" s="148"/>
      <c r="PZ133" s="148"/>
      <c r="QA133" s="148"/>
      <c r="QB133" s="148"/>
      <c r="QC133" s="148"/>
      <c r="QD133" s="148"/>
      <c r="QE133" s="148"/>
      <c r="QF133" s="148"/>
      <c r="QG133" s="148"/>
      <c r="QH133" s="148"/>
      <c r="QI133" s="148"/>
      <c r="QJ133" s="148"/>
      <c r="QK133" s="148"/>
      <c r="QL133" s="148"/>
      <c r="QM133" s="148"/>
      <c r="QN133" s="148"/>
      <c r="QO133" s="148"/>
      <c r="QP133" s="148"/>
      <c r="QQ133" s="148"/>
      <c r="QR133" s="148"/>
      <c r="QS133" s="148"/>
      <c r="QT133" s="148"/>
      <c r="QU133" s="148"/>
      <c r="QV133" s="148"/>
      <c r="QW133" s="148"/>
      <c r="QX133" s="148"/>
      <c r="QY133" s="148"/>
      <c r="QZ133" s="148"/>
      <c r="RA133" s="148"/>
      <c r="RB133" s="148"/>
      <c r="RC133" s="148"/>
      <c r="RD133" s="148"/>
      <c r="RE133" s="148"/>
      <c r="RF133" s="148"/>
      <c r="RG133" s="148"/>
      <c r="RH133" s="148"/>
      <c r="RI133" s="148"/>
      <c r="RJ133" s="148"/>
      <c r="RK133" s="148"/>
      <c r="RL133" s="148"/>
      <c r="RM133" s="148"/>
      <c r="RN133" s="148"/>
      <c r="RO133" s="148"/>
      <c r="RP133" s="148"/>
      <c r="RQ133" s="148"/>
      <c r="RR133" s="148"/>
    </row>
    <row r="134" spans="1:486" s="15" customFormat="1" hidden="1" x14ac:dyDescent="0.25">
      <c r="A134" s="148"/>
      <c r="B134" s="350">
        <v>124</v>
      </c>
      <c r="C134" s="650"/>
      <c r="D134" s="16"/>
      <c r="E134" s="344"/>
      <c r="F134" s="344"/>
      <c r="G134" s="17"/>
      <c r="H134" s="317"/>
      <c r="I134" s="346"/>
      <c r="J134" s="341"/>
      <c r="K134" s="633"/>
      <c r="L134" s="633"/>
      <c r="M134" s="633"/>
      <c r="N134" s="633"/>
      <c r="O134" s="633"/>
      <c r="P134" s="633"/>
      <c r="Q134" s="633"/>
      <c r="R134" s="633"/>
      <c r="S134" s="633"/>
      <c r="T134" s="633"/>
      <c r="U134" s="633"/>
      <c r="V134" s="633"/>
      <c r="W134" s="633"/>
      <c r="X134" s="633"/>
      <c r="Y134" s="633">
        <f t="shared" si="3"/>
        <v>0</v>
      </c>
      <c r="Z134" s="637"/>
      <c r="AA134" s="19"/>
      <c r="AB134" s="21"/>
      <c r="AC134" s="23"/>
      <c r="AD134" s="652"/>
      <c r="AE134" s="20"/>
      <c r="AF134" s="21"/>
      <c r="AG134" s="23"/>
      <c r="AH134" s="637"/>
      <c r="AI134" s="19"/>
      <c r="AJ134" s="21"/>
      <c r="AK134" s="25"/>
      <c r="AL134" s="309"/>
      <c r="AM134" s="19"/>
      <c r="AN134" s="21"/>
      <c r="AO134" s="25"/>
      <c r="AP134" s="309"/>
      <c r="AQ134" s="19"/>
      <c r="AR134" s="21"/>
      <c r="AS134" s="25"/>
      <c r="AT134" s="638">
        <f t="shared" si="4"/>
        <v>0</v>
      </c>
      <c r="AU134" s="311">
        <f t="shared" si="5"/>
        <v>0</v>
      </c>
      <c r="AV134" s="148"/>
      <c r="AW134" s="148"/>
      <c r="AX134" s="148"/>
      <c r="AY134" s="148"/>
      <c r="AZ134" s="148"/>
      <c r="BA134" s="148"/>
      <c r="BB134" s="148"/>
      <c r="BC134" s="148"/>
      <c r="BD134" s="148"/>
      <c r="BE134" s="148"/>
      <c r="BF134" s="148"/>
      <c r="BG134" s="148"/>
      <c r="BH134" s="148"/>
      <c r="BI134" s="148"/>
      <c r="BJ134" s="148"/>
      <c r="BK134" s="148"/>
      <c r="BL134" s="148"/>
      <c r="BM134" s="148"/>
      <c r="BN134" s="148"/>
      <c r="BO134" s="148"/>
      <c r="BP134" s="148"/>
      <c r="BQ134" s="148"/>
      <c r="BR134" s="148"/>
      <c r="BS134" s="148"/>
      <c r="BT134" s="148"/>
      <c r="BU134" s="148"/>
      <c r="BV134" s="148"/>
      <c r="BW134" s="148"/>
      <c r="BX134" s="148"/>
      <c r="BY134" s="148"/>
      <c r="BZ134" s="148"/>
      <c r="CA134" s="148"/>
      <c r="CB134" s="148"/>
      <c r="CC134" s="148"/>
      <c r="CD134" s="148"/>
      <c r="CE134" s="148"/>
      <c r="CF134" s="148"/>
      <c r="CG134" s="148"/>
      <c r="CH134" s="148"/>
      <c r="CI134" s="148"/>
      <c r="CJ134" s="148"/>
      <c r="CK134" s="148"/>
      <c r="CL134" s="148"/>
      <c r="CM134" s="148"/>
      <c r="CN134" s="148"/>
      <c r="CO134" s="148"/>
      <c r="CP134" s="148"/>
      <c r="CQ134" s="148"/>
      <c r="CR134" s="148"/>
      <c r="CS134" s="148"/>
      <c r="CT134" s="148"/>
      <c r="CU134" s="148"/>
      <c r="CV134" s="148"/>
      <c r="CW134" s="148"/>
      <c r="CX134" s="148"/>
      <c r="CY134" s="148"/>
      <c r="CZ134" s="148"/>
      <c r="DA134" s="148"/>
      <c r="DB134" s="148"/>
      <c r="DC134" s="148"/>
      <c r="DD134" s="148"/>
      <c r="DE134" s="148"/>
      <c r="DF134" s="148"/>
      <c r="DG134" s="148"/>
      <c r="DH134" s="148"/>
      <c r="DI134" s="148"/>
      <c r="DJ134" s="148"/>
      <c r="DK134" s="148"/>
      <c r="DL134" s="148"/>
      <c r="DM134" s="148"/>
      <c r="DN134" s="148"/>
      <c r="DO134" s="148"/>
      <c r="DP134" s="148"/>
      <c r="DQ134" s="148"/>
      <c r="DR134" s="148"/>
      <c r="DS134" s="148"/>
      <c r="DT134" s="148"/>
      <c r="DU134" s="148"/>
      <c r="DV134" s="148"/>
      <c r="DW134" s="148"/>
      <c r="DX134" s="148"/>
      <c r="DY134" s="148"/>
      <c r="DZ134" s="148"/>
      <c r="EA134" s="148"/>
      <c r="EB134" s="148"/>
      <c r="EC134" s="148"/>
      <c r="ED134" s="148"/>
      <c r="EE134" s="148"/>
      <c r="EF134" s="148"/>
      <c r="EG134" s="148"/>
      <c r="EH134" s="148"/>
      <c r="EI134" s="148"/>
      <c r="EJ134" s="148"/>
      <c r="EK134" s="148"/>
      <c r="EL134" s="148"/>
      <c r="EM134" s="148"/>
      <c r="EN134" s="148"/>
      <c r="EO134" s="148"/>
      <c r="EP134" s="148"/>
      <c r="EQ134" s="148"/>
      <c r="ER134" s="148"/>
      <c r="ES134" s="148"/>
      <c r="ET134" s="148"/>
      <c r="EU134" s="148"/>
      <c r="EV134" s="148"/>
      <c r="EW134" s="148"/>
      <c r="EX134" s="148"/>
      <c r="EY134" s="148"/>
      <c r="EZ134" s="148"/>
      <c r="FA134" s="148"/>
      <c r="FB134" s="148"/>
      <c r="FC134" s="148"/>
      <c r="FD134" s="148"/>
      <c r="FE134" s="148"/>
      <c r="FF134" s="148"/>
      <c r="FG134" s="148"/>
      <c r="FH134" s="148"/>
      <c r="FI134" s="148"/>
      <c r="FJ134" s="148"/>
      <c r="FK134" s="148"/>
      <c r="FL134" s="148"/>
      <c r="FM134" s="148"/>
      <c r="FN134" s="148"/>
      <c r="FO134" s="148"/>
      <c r="FP134" s="148"/>
      <c r="FQ134" s="148"/>
      <c r="FR134" s="148"/>
      <c r="FS134" s="148"/>
      <c r="FT134" s="148"/>
      <c r="FU134" s="148"/>
      <c r="FV134" s="148"/>
      <c r="FW134" s="148"/>
      <c r="FX134" s="148"/>
      <c r="FY134" s="148"/>
      <c r="FZ134" s="148"/>
      <c r="GA134" s="148"/>
      <c r="GB134" s="148"/>
      <c r="GC134" s="148"/>
      <c r="GD134" s="148"/>
      <c r="GE134" s="148"/>
      <c r="GF134" s="148"/>
      <c r="GG134" s="148"/>
      <c r="GH134" s="148"/>
      <c r="GI134" s="148"/>
      <c r="GJ134" s="148"/>
      <c r="GK134" s="148"/>
      <c r="GL134" s="148"/>
      <c r="GM134" s="148"/>
      <c r="GN134" s="148"/>
      <c r="GO134" s="148"/>
      <c r="GP134" s="148"/>
      <c r="GQ134" s="148"/>
      <c r="GR134" s="148"/>
      <c r="GS134" s="148"/>
      <c r="GT134" s="148"/>
      <c r="GU134" s="148"/>
      <c r="GV134" s="148"/>
      <c r="GW134" s="148"/>
      <c r="GX134" s="148"/>
      <c r="GY134" s="148"/>
      <c r="GZ134" s="148"/>
      <c r="HA134" s="148"/>
      <c r="HB134" s="148"/>
      <c r="HC134" s="148"/>
      <c r="HD134" s="148"/>
      <c r="HE134" s="148"/>
      <c r="HF134" s="148"/>
      <c r="HG134" s="148"/>
      <c r="HH134" s="148"/>
      <c r="HI134" s="148"/>
      <c r="HJ134" s="148"/>
      <c r="HK134" s="148"/>
      <c r="HL134" s="148"/>
      <c r="HM134" s="148"/>
      <c r="HN134" s="148"/>
      <c r="HO134" s="148"/>
      <c r="HP134" s="148"/>
      <c r="HQ134" s="148"/>
      <c r="HR134" s="148"/>
      <c r="HS134" s="148"/>
      <c r="HT134" s="148"/>
      <c r="HU134" s="148"/>
      <c r="HV134" s="148"/>
      <c r="HW134" s="148"/>
      <c r="HX134" s="148"/>
      <c r="HY134" s="148"/>
      <c r="HZ134" s="148"/>
      <c r="IA134" s="148"/>
      <c r="IB134" s="148"/>
      <c r="IC134" s="148"/>
      <c r="ID134" s="148"/>
      <c r="IE134" s="148"/>
      <c r="IF134" s="148"/>
      <c r="IG134" s="148"/>
      <c r="IH134" s="148"/>
      <c r="II134" s="148"/>
      <c r="IJ134" s="148"/>
      <c r="IK134" s="148"/>
      <c r="IL134" s="148"/>
      <c r="IM134" s="148"/>
      <c r="IN134" s="148"/>
      <c r="IO134" s="148"/>
      <c r="IP134" s="148"/>
      <c r="IQ134" s="148"/>
      <c r="IR134" s="148"/>
      <c r="IS134" s="148"/>
      <c r="IT134" s="148"/>
      <c r="IU134" s="148"/>
      <c r="IV134" s="148"/>
      <c r="IW134" s="148"/>
      <c r="IX134" s="148"/>
      <c r="IY134" s="148"/>
      <c r="IZ134" s="148"/>
      <c r="JA134" s="148"/>
      <c r="JB134" s="148"/>
      <c r="JC134" s="148"/>
      <c r="JD134" s="148"/>
      <c r="JE134" s="148"/>
      <c r="JF134" s="148"/>
      <c r="JG134" s="148"/>
      <c r="JH134" s="148"/>
      <c r="JI134" s="148"/>
      <c r="JJ134" s="148"/>
      <c r="JK134" s="148"/>
      <c r="JL134" s="148"/>
      <c r="JM134" s="148"/>
      <c r="JN134" s="148"/>
      <c r="JO134" s="148"/>
      <c r="JP134" s="148"/>
      <c r="JQ134" s="148"/>
      <c r="JR134" s="148"/>
      <c r="JS134" s="148"/>
      <c r="JT134" s="148"/>
      <c r="JU134" s="148"/>
      <c r="JV134" s="148"/>
      <c r="JW134" s="148"/>
      <c r="JX134" s="148"/>
      <c r="JY134" s="148"/>
      <c r="JZ134" s="148"/>
      <c r="KA134" s="148"/>
      <c r="KB134" s="148"/>
      <c r="KC134" s="148"/>
      <c r="KD134" s="148"/>
      <c r="KE134" s="148"/>
      <c r="KF134" s="148"/>
      <c r="KG134" s="148"/>
      <c r="KH134" s="148"/>
      <c r="KI134" s="148"/>
      <c r="KJ134" s="148"/>
      <c r="KK134" s="148"/>
      <c r="KL134" s="148"/>
      <c r="KM134" s="148"/>
      <c r="KN134" s="148"/>
      <c r="KO134" s="148"/>
      <c r="KP134" s="148"/>
      <c r="KQ134" s="148"/>
      <c r="KR134" s="148"/>
      <c r="KS134" s="148"/>
      <c r="KT134" s="148"/>
      <c r="KU134" s="148"/>
      <c r="KV134" s="148"/>
      <c r="KW134" s="148"/>
      <c r="KX134" s="148"/>
      <c r="KY134" s="148"/>
      <c r="KZ134" s="148"/>
      <c r="LA134" s="148"/>
      <c r="LB134" s="148"/>
      <c r="LC134" s="148"/>
      <c r="LD134" s="148"/>
      <c r="LE134" s="148"/>
      <c r="LF134" s="148"/>
      <c r="LG134" s="148"/>
      <c r="LH134" s="148"/>
      <c r="LI134" s="148"/>
      <c r="LJ134" s="148"/>
      <c r="LK134" s="148"/>
      <c r="LL134" s="148"/>
      <c r="LM134" s="148"/>
      <c r="LN134" s="148"/>
      <c r="LO134" s="148"/>
      <c r="LP134" s="148"/>
      <c r="LQ134" s="148"/>
      <c r="LR134" s="148"/>
      <c r="LS134" s="148"/>
      <c r="LT134" s="148"/>
      <c r="LU134" s="148"/>
      <c r="LV134" s="148"/>
      <c r="LW134" s="148"/>
      <c r="LX134" s="148"/>
      <c r="LY134" s="148"/>
      <c r="LZ134" s="148"/>
      <c r="MA134" s="148"/>
      <c r="MB134" s="148"/>
      <c r="MC134" s="148"/>
      <c r="MD134" s="148"/>
      <c r="ME134" s="148"/>
      <c r="MF134" s="148"/>
      <c r="MG134" s="148"/>
      <c r="MH134" s="148"/>
      <c r="MI134" s="148"/>
      <c r="MJ134" s="148"/>
      <c r="MK134" s="148"/>
      <c r="ML134" s="148"/>
      <c r="MM134" s="148"/>
      <c r="MN134" s="148"/>
      <c r="MO134" s="148"/>
      <c r="MP134" s="148"/>
      <c r="MQ134" s="148"/>
      <c r="MR134" s="148"/>
      <c r="MS134" s="148"/>
      <c r="MT134" s="148"/>
      <c r="MU134" s="148"/>
      <c r="MV134" s="148"/>
      <c r="MW134" s="148"/>
      <c r="MX134" s="148"/>
      <c r="MY134" s="148"/>
      <c r="MZ134" s="148"/>
      <c r="NA134" s="148"/>
      <c r="NB134" s="148"/>
      <c r="NC134" s="148"/>
      <c r="ND134" s="148"/>
      <c r="NE134" s="148"/>
      <c r="NF134" s="148"/>
      <c r="NG134" s="148"/>
      <c r="NH134" s="148"/>
      <c r="NI134" s="148"/>
      <c r="NJ134" s="148"/>
      <c r="NK134" s="148"/>
      <c r="NL134" s="148"/>
      <c r="NM134" s="148"/>
      <c r="NN134" s="148"/>
      <c r="NO134" s="148"/>
      <c r="NP134" s="148"/>
      <c r="NQ134" s="148"/>
      <c r="NR134" s="148"/>
      <c r="NS134" s="148"/>
      <c r="NT134" s="148"/>
      <c r="NU134" s="148"/>
      <c r="NV134" s="148"/>
      <c r="NW134" s="148"/>
      <c r="NX134" s="148"/>
      <c r="NY134" s="148"/>
      <c r="NZ134" s="148"/>
      <c r="OA134" s="148"/>
      <c r="OB134" s="148"/>
      <c r="OC134" s="148"/>
      <c r="OD134" s="148"/>
      <c r="OE134" s="148"/>
      <c r="OF134" s="148"/>
      <c r="OG134" s="148"/>
      <c r="OH134" s="148"/>
      <c r="OI134" s="148"/>
      <c r="OJ134" s="148"/>
      <c r="OK134" s="148"/>
      <c r="OL134" s="148"/>
      <c r="OM134" s="148"/>
      <c r="ON134" s="148"/>
      <c r="OO134" s="148"/>
      <c r="OP134" s="148"/>
      <c r="OQ134" s="148"/>
      <c r="OR134" s="148"/>
      <c r="OS134" s="148"/>
      <c r="OT134" s="148"/>
      <c r="OU134" s="148"/>
      <c r="OV134" s="148"/>
      <c r="OW134" s="148"/>
      <c r="OX134" s="148"/>
      <c r="OY134" s="148"/>
      <c r="OZ134" s="148"/>
      <c r="PA134" s="148"/>
      <c r="PB134" s="148"/>
      <c r="PC134" s="148"/>
      <c r="PD134" s="148"/>
      <c r="PE134" s="148"/>
      <c r="PF134" s="148"/>
      <c r="PG134" s="148"/>
      <c r="PH134" s="148"/>
      <c r="PI134" s="148"/>
      <c r="PJ134" s="148"/>
      <c r="PK134" s="148"/>
      <c r="PL134" s="148"/>
      <c r="PM134" s="148"/>
      <c r="PN134" s="148"/>
      <c r="PO134" s="148"/>
      <c r="PP134" s="148"/>
      <c r="PQ134" s="148"/>
      <c r="PR134" s="148"/>
      <c r="PS134" s="148"/>
      <c r="PT134" s="148"/>
      <c r="PU134" s="148"/>
      <c r="PV134" s="148"/>
      <c r="PW134" s="148"/>
      <c r="PX134" s="148"/>
      <c r="PY134" s="148"/>
      <c r="PZ134" s="148"/>
      <c r="QA134" s="148"/>
      <c r="QB134" s="148"/>
      <c r="QC134" s="148"/>
      <c r="QD134" s="148"/>
      <c r="QE134" s="148"/>
      <c r="QF134" s="148"/>
      <c r="QG134" s="148"/>
      <c r="QH134" s="148"/>
      <c r="QI134" s="148"/>
      <c r="QJ134" s="148"/>
      <c r="QK134" s="148"/>
      <c r="QL134" s="148"/>
      <c r="QM134" s="148"/>
      <c r="QN134" s="148"/>
      <c r="QO134" s="148"/>
      <c r="QP134" s="148"/>
      <c r="QQ134" s="148"/>
      <c r="QR134" s="148"/>
      <c r="QS134" s="148"/>
      <c r="QT134" s="148"/>
      <c r="QU134" s="148"/>
      <c r="QV134" s="148"/>
      <c r="QW134" s="148"/>
      <c r="QX134" s="148"/>
      <c r="QY134" s="148"/>
      <c r="QZ134" s="148"/>
      <c r="RA134" s="148"/>
      <c r="RB134" s="148"/>
      <c r="RC134" s="148"/>
      <c r="RD134" s="148"/>
      <c r="RE134" s="148"/>
      <c r="RF134" s="148"/>
      <c r="RG134" s="148"/>
      <c r="RH134" s="148"/>
      <c r="RI134" s="148"/>
      <c r="RJ134" s="148"/>
      <c r="RK134" s="148"/>
      <c r="RL134" s="148"/>
      <c r="RM134" s="148"/>
      <c r="RN134" s="148"/>
      <c r="RO134" s="148"/>
      <c r="RP134" s="148"/>
      <c r="RQ134" s="148"/>
      <c r="RR134" s="148"/>
    </row>
    <row r="135" spans="1:486" s="15" customFormat="1" hidden="1" x14ac:dyDescent="0.25">
      <c r="A135" s="148"/>
      <c r="B135" s="350">
        <v>125</v>
      </c>
      <c r="C135" s="650"/>
      <c r="D135" s="16"/>
      <c r="E135" s="344"/>
      <c r="F135" s="344"/>
      <c r="G135" s="17"/>
      <c r="H135" s="317"/>
      <c r="I135" s="346"/>
      <c r="J135" s="341"/>
      <c r="K135" s="633"/>
      <c r="L135" s="633"/>
      <c r="M135" s="633"/>
      <c r="N135" s="633"/>
      <c r="O135" s="633"/>
      <c r="P135" s="633"/>
      <c r="Q135" s="633"/>
      <c r="R135" s="633"/>
      <c r="S135" s="633"/>
      <c r="T135" s="633"/>
      <c r="U135" s="633"/>
      <c r="V135" s="633"/>
      <c r="W135" s="633"/>
      <c r="X135" s="633"/>
      <c r="Y135" s="633">
        <f t="shared" si="3"/>
        <v>0</v>
      </c>
      <c r="Z135" s="637"/>
      <c r="AA135" s="19"/>
      <c r="AB135" s="21"/>
      <c r="AC135" s="23"/>
      <c r="AD135" s="652"/>
      <c r="AE135" s="20"/>
      <c r="AF135" s="21"/>
      <c r="AG135" s="23"/>
      <c r="AH135" s="637"/>
      <c r="AI135" s="19"/>
      <c r="AJ135" s="21"/>
      <c r="AK135" s="25"/>
      <c r="AL135" s="309"/>
      <c r="AM135" s="19"/>
      <c r="AN135" s="21"/>
      <c r="AO135" s="25"/>
      <c r="AP135" s="309"/>
      <c r="AQ135" s="19"/>
      <c r="AR135" s="21"/>
      <c r="AS135" s="25"/>
      <c r="AT135" s="638">
        <f t="shared" si="4"/>
        <v>0</v>
      </c>
      <c r="AU135" s="311">
        <f t="shared" si="5"/>
        <v>0</v>
      </c>
      <c r="AV135" s="148"/>
      <c r="AW135" s="148"/>
      <c r="AX135" s="148"/>
      <c r="AY135" s="148"/>
      <c r="AZ135" s="148"/>
      <c r="BA135" s="148"/>
      <c r="BB135" s="148"/>
      <c r="BC135" s="148"/>
      <c r="BD135" s="148"/>
      <c r="BE135" s="148"/>
      <c r="BF135" s="148"/>
      <c r="BG135" s="148"/>
      <c r="BH135" s="148"/>
      <c r="BI135" s="148"/>
      <c r="BJ135" s="148"/>
      <c r="BK135" s="148"/>
      <c r="BL135" s="148"/>
      <c r="BM135" s="148"/>
      <c r="BN135" s="148"/>
      <c r="BO135" s="148"/>
      <c r="BP135" s="148"/>
      <c r="BQ135" s="148"/>
      <c r="BR135" s="148"/>
      <c r="BS135" s="148"/>
      <c r="BT135" s="148"/>
      <c r="BU135" s="148"/>
      <c r="BV135" s="148"/>
      <c r="BW135" s="148"/>
      <c r="BX135" s="148"/>
      <c r="BY135" s="148"/>
      <c r="BZ135" s="148"/>
      <c r="CA135" s="148"/>
      <c r="CB135" s="148"/>
      <c r="CC135" s="148"/>
      <c r="CD135" s="148"/>
      <c r="CE135" s="148"/>
      <c r="CF135" s="148"/>
      <c r="CG135" s="148"/>
      <c r="CH135" s="148"/>
      <c r="CI135" s="148"/>
      <c r="CJ135" s="148"/>
      <c r="CK135" s="148"/>
      <c r="CL135" s="148"/>
      <c r="CM135" s="148"/>
      <c r="CN135" s="148"/>
      <c r="CO135" s="148"/>
      <c r="CP135" s="148"/>
      <c r="CQ135" s="148"/>
      <c r="CR135" s="148"/>
      <c r="CS135" s="148"/>
      <c r="CT135" s="148"/>
      <c r="CU135" s="148"/>
      <c r="CV135" s="148"/>
      <c r="CW135" s="148"/>
      <c r="CX135" s="148"/>
      <c r="CY135" s="148"/>
      <c r="CZ135" s="148"/>
      <c r="DA135" s="148"/>
      <c r="DB135" s="148"/>
      <c r="DC135" s="148"/>
      <c r="DD135" s="148"/>
      <c r="DE135" s="148"/>
      <c r="DF135" s="148"/>
      <c r="DG135" s="148"/>
      <c r="DH135" s="148"/>
      <c r="DI135" s="148"/>
      <c r="DJ135" s="148"/>
      <c r="DK135" s="148"/>
      <c r="DL135" s="148"/>
      <c r="DM135" s="148"/>
      <c r="DN135" s="148"/>
      <c r="DO135" s="148"/>
      <c r="DP135" s="148"/>
      <c r="DQ135" s="148"/>
      <c r="DR135" s="148"/>
      <c r="DS135" s="148"/>
      <c r="DT135" s="148"/>
      <c r="DU135" s="148"/>
      <c r="DV135" s="148"/>
      <c r="DW135" s="148"/>
      <c r="DX135" s="148"/>
      <c r="DY135" s="148"/>
      <c r="DZ135" s="148"/>
      <c r="EA135" s="148"/>
      <c r="EB135" s="148"/>
      <c r="EC135" s="148"/>
      <c r="ED135" s="148"/>
      <c r="EE135" s="148"/>
      <c r="EF135" s="148"/>
      <c r="EG135" s="148"/>
      <c r="EH135" s="148"/>
      <c r="EI135" s="148"/>
      <c r="EJ135" s="148"/>
      <c r="EK135" s="148"/>
      <c r="EL135" s="148"/>
      <c r="EM135" s="148"/>
      <c r="EN135" s="148"/>
      <c r="EO135" s="148"/>
      <c r="EP135" s="148"/>
      <c r="EQ135" s="148"/>
      <c r="ER135" s="148"/>
      <c r="ES135" s="148"/>
      <c r="ET135" s="148"/>
      <c r="EU135" s="148"/>
      <c r="EV135" s="148"/>
      <c r="EW135" s="148"/>
      <c r="EX135" s="148"/>
      <c r="EY135" s="148"/>
      <c r="EZ135" s="148"/>
      <c r="FA135" s="148"/>
      <c r="FB135" s="148"/>
      <c r="FC135" s="148"/>
      <c r="FD135" s="148"/>
      <c r="FE135" s="148"/>
      <c r="FF135" s="148"/>
      <c r="FG135" s="148"/>
      <c r="FH135" s="148"/>
      <c r="FI135" s="148"/>
      <c r="FJ135" s="148"/>
      <c r="FK135" s="148"/>
      <c r="FL135" s="148"/>
      <c r="FM135" s="148"/>
      <c r="FN135" s="148"/>
      <c r="FO135" s="148"/>
      <c r="FP135" s="148"/>
      <c r="FQ135" s="148"/>
      <c r="FR135" s="148"/>
      <c r="FS135" s="148"/>
      <c r="FT135" s="148"/>
      <c r="FU135" s="148"/>
      <c r="FV135" s="148"/>
      <c r="FW135" s="148"/>
      <c r="FX135" s="148"/>
      <c r="FY135" s="148"/>
      <c r="FZ135" s="148"/>
      <c r="GA135" s="148"/>
      <c r="GB135" s="148"/>
      <c r="GC135" s="148"/>
      <c r="GD135" s="148"/>
      <c r="GE135" s="148"/>
      <c r="GF135" s="148"/>
      <c r="GG135" s="148"/>
      <c r="GH135" s="148"/>
      <c r="GI135" s="148"/>
      <c r="GJ135" s="148"/>
      <c r="GK135" s="148"/>
      <c r="GL135" s="148"/>
      <c r="GM135" s="148"/>
      <c r="GN135" s="148"/>
      <c r="GO135" s="148"/>
      <c r="GP135" s="148"/>
      <c r="GQ135" s="148"/>
      <c r="GR135" s="148"/>
      <c r="GS135" s="148"/>
      <c r="GT135" s="148"/>
      <c r="GU135" s="148"/>
      <c r="GV135" s="148"/>
      <c r="GW135" s="148"/>
      <c r="GX135" s="148"/>
      <c r="GY135" s="148"/>
      <c r="GZ135" s="148"/>
      <c r="HA135" s="148"/>
      <c r="HB135" s="148"/>
      <c r="HC135" s="148"/>
      <c r="HD135" s="148"/>
      <c r="HE135" s="148"/>
      <c r="HF135" s="148"/>
      <c r="HG135" s="148"/>
      <c r="HH135" s="148"/>
      <c r="HI135" s="148"/>
      <c r="HJ135" s="148"/>
      <c r="HK135" s="148"/>
      <c r="HL135" s="148"/>
      <c r="HM135" s="148"/>
      <c r="HN135" s="148"/>
      <c r="HO135" s="148"/>
      <c r="HP135" s="148"/>
      <c r="HQ135" s="148"/>
      <c r="HR135" s="148"/>
      <c r="HS135" s="148"/>
      <c r="HT135" s="148"/>
      <c r="HU135" s="148"/>
      <c r="HV135" s="148"/>
      <c r="HW135" s="148"/>
      <c r="HX135" s="148"/>
      <c r="HY135" s="148"/>
      <c r="HZ135" s="148"/>
      <c r="IA135" s="148"/>
      <c r="IB135" s="148"/>
      <c r="IC135" s="148"/>
      <c r="ID135" s="148"/>
      <c r="IE135" s="148"/>
      <c r="IF135" s="148"/>
      <c r="IG135" s="148"/>
      <c r="IH135" s="148"/>
      <c r="II135" s="148"/>
      <c r="IJ135" s="148"/>
      <c r="IK135" s="148"/>
      <c r="IL135" s="148"/>
      <c r="IM135" s="148"/>
      <c r="IN135" s="148"/>
      <c r="IO135" s="148"/>
      <c r="IP135" s="148"/>
      <c r="IQ135" s="148"/>
      <c r="IR135" s="148"/>
      <c r="IS135" s="148"/>
      <c r="IT135" s="148"/>
      <c r="IU135" s="148"/>
      <c r="IV135" s="148"/>
      <c r="IW135" s="148"/>
      <c r="IX135" s="148"/>
      <c r="IY135" s="148"/>
      <c r="IZ135" s="148"/>
      <c r="JA135" s="148"/>
      <c r="JB135" s="148"/>
      <c r="JC135" s="148"/>
      <c r="JD135" s="148"/>
      <c r="JE135" s="148"/>
      <c r="JF135" s="148"/>
      <c r="JG135" s="148"/>
      <c r="JH135" s="148"/>
      <c r="JI135" s="148"/>
      <c r="JJ135" s="148"/>
      <c r="JK135" s="148"/>
      <c r="JL135" s="148"/>
      <c r="JM135" s="148"/>
      <c r="JN135" s="148"/>
      <c r="JO135" s="148"/>
      <c r="JP135" s="148"/>
      <c r="JQ135" s="148"/>
      <c r="JR135" s="148"/>
      <c r="JS135" s="148"/>
      <c r="JT135" s="148"/>
      <c r="JU135" s="148"/>
      <c r="JV135" s="148"/>
      <c r="JW135" s="148"/>
      <c r="JX135" s="148"/>
      <c r="JY135" s="148"/>
      <c r="JZ135" s="148"/>
      <c r="KA135" s="148"/>
      <c r="KB135" s="148"/>
      <c r="KC135" s="148"/>
      <c r="KD135" s="148"/>
      <c r="KE135" s="148"/>
      <c r="KF135" s="148"/>
      <c r="KG135" s="148"/>
      <c r="KH135" s="148"/>
      <c r="KI135" s="148"/>
      <c r="KJ135" s="148"/>
      <c r="KK135" s="148"/>
      <c r="KL135" s="148"/>
      <c r="KM135" s="148"/>
      <c r="KN135" s="148"/>
      <c r="KO135" s="148"/>
      <c r="KP135" s="148"/>
      <c r="KQ135" s="148"/>
      <c r="KR135" s="148"/>
      <c r="KS135" s="148"/>
      <c r="KT135" s="148"/>
      <c r="KU135" s="148"/>
      <c r="KV135" s="148"/>
      <c r="KW135" s="148"/>
      <c r="KX135" s="148"/>
      <c r="KY135" s="148"/>
      <c r="KZ135" s="148"/>
      <c r="LA135" s="148"/>
      <c r="LB135" s="148"/>
      <c r="LC135" s="148"/>
      <c r="LD135" s="148"/>
      <c r="LE135" s="148"/>
      <c r="LF135" s="148"/>
      <c r="LG135" s="148"/>
      <c r="LH135" s="148"/>
      <c r="LI135" s="148"/>
      <c r="LJ135" s="148"/>
      <c r="LK135" s="148"/>
      <c r="LL135" s="148"/>
      <c r="LM135" s="148"/>
      <c r="LN135" s="148"/>
      <c r="LO135" s="148"/>
      <c r="LP135" s="148"/>
      <c r="LQ135" s="148"/>
      <c r="LR135" s="148"/>
      <c r="LS135" s="148"/>
      <c r="LT135" s="148"/>
      <c r="LU135" s="148"/>
      <c r="LV135" s="148"/>
      <c r="LW135" s="148"/>
      <c r="LX135" s="148"/>
      <c r="LY135" s="148"/>
      <c r="LZ135" s="148"/>
      <c r="MA135" s="148"/>
      <c r="MB135" s="148"/>
      <c r="MC135" s="148"/>
      <c r="MD135" s="148"/>
      <c r="ME135" s="148"/>
      <c r="MF135" s="148"/>
      <c r="MG135" s="148"/>
      <c r="MH135" s="148"/>
      <c r="MI135" s="148"/>
      <c r="MJ135" s="148"/>
      <c r="MK135" s="148"/>
      <c r="ML135" s="148"/>
      <c r="MM135" s="148"/>
      <c r="MN135" s="148"/>
      <c r="MO135" s="148"/>
      <c r="MP135" s="148"/>
      <c r="MQ135" s="148"/>
      <c r="MR135" s="148"/>
      <c r="MS135" s="148"/>
      <c r="MT135" s="148"/>
      <c r="MU135" s="148"/>
      <c r="MV135" s="148"/>
      <c r="MW135" s="148"/>
      <c r="MX135" s="148"/>
      <c r="MY135" s="148"/>
      <c r="MZ135" s="148"/>
      <c r="NA135" s="148"/>
      <c r="NB135" s="148"/>
      <c r="NC135" s="148"/>
      <c r="ND135" s="148"/>
      <c r="NE135" s="148"/>
      <c r="NF135" s="148"/>
      <c r="NG135" s="148"/>
      <c r="NH135" s="148"/>
      <c r="NI135" s="148"/>
      <c r="NJ135" s="148"/>
      <c r="NK135" s="148"/>
      <c r="NL135" s="148"/>
      <c r="NM135" s="148"/>
      <c r="NN135" s="148"/>
      <c r="NO135" s="148"/>
      <c r="NP135" s="148"/>
      <c r="NQ135" s="148"/>
      <c r="NR135" s="148"/>
      <c r="NS135" s="148"/>
      <c r="NT135" s="148"/>
      <c r="NU135" s="148"/>
      <c r="NV135" s="148"/>
      <c r="NW135" s="148"/>
      <c r="NX135" s="148"/>
      <c r="NY135" s="148"/>
      <c r="NZ135" s="148"/>
      <c r="OA135" s="148"/>
      <c r="OB135" s="148"/>
      <c r="OC135" s="148"/>
      <c r="OD135" s="148"/>
      <c r="OE135" s="148"/>
      <c r="OF135" s="148"/>
      <c r="OG135" s="148"/>
      <c r="OH135" s="148"/>
      <c r="OI135" s="148"/>
      <c r="OJ135" s="148"/>
      <c r="OK135" s="148"/>
      <c r="OL135" s="148"/>
      <c r="OM135" s="148"/>
      <c r="ON135" s="148"/>
      <c r="OO135" s="148"/>
      <c r="OP135" s="148"/>
      <c r="OQ135" s="148"/>
      <c r="OR135" s="148"/>
      <c r="OS135" s="148"/>
      <c r="OT135" s="148"/>
      <c r="OU135" s="148"/>
      <c r="OV135" s="148"/>
      <c r="OW135" s="148"/>
      <c r="OX135" s="148"/>
      <c r="OY135" s="148"/>
      <c r="OZ135" s="148"/>
      <c r="PA135" s="148"/>
      <c r="PB135" s="148"/>
      <c r="PC135" s="148"/>
      <c r="PD135" s="148"/>
      <c r="PE135" s="148"/>
      <c r="PF135" s="148"/>
      <c r="PG135" s="148"/>
      <c r="PH135" s="148"/>
      <c r="PI135" s="148"/>
      <c r="PJ135" s="148"/>
      <c r="PK135" s="148"/>
      <c r="PL135" s="148"/>
      <c r="PM135" s="148"/>
      <c r="PN135" s="148"/>
      <c r="PO135" s="148"/>
      <c r="PP135" s="148"/>
      <c r="PQ135" s="148"/>
      <c r="PR135" s="148"/>
      <c r="PS135" s="148"/>
      <c r="PT135" s="148"/>
      <c r="PU135" s="148"/>
      <c r="PV135" s="148"/>
      <c r="PW135" s="148"/>
      <c r="PX135" s="148"/>
      <c r="PY135" s="148"/>
      <c r="PZ135" s="148"/>
      <c r="QA135" s="148"/>
      <c r="QB135" s="148"/>
      <c r="QC135" s="148"/>
      <c r="QD135" s="148"/>
      <c r="QE135" s="148"/>
      <c r="QF135" s="148"/>
      <c r="QG135" s="148"/>
      <c r="QH135" s="148"/>
      <c r="QI135" s="148"/>
      <c r="QJ135" s="148"/>
      <c r="QK135" s="148"/>
      <c r="QL135" s="148"/>
      <c r="QM135" s="148"/>
      <c r="QN135" s="148"/>
      <c r="QO135" s="148"/>
      <c r="QP135" s="148"/>
      <c r="QQ135" s="148"/>
      <c r="QR135" s="148"/>
      <c r="QS135" s="148"/>
      <c r="QT135" s="148"/>
      <c r="QU135" s="148"/>
      <c r="QV135" s="148"/>
      <c r="QW135" s="148"/>
      <c r="QX135" s="148"/>
      <c r="QY135" s="148"/>
      <c r="QZ135" s="148"/>
      <c r="RA135" s="148"/>
      <c r="RB135" s="148"/>
      <c r="RC135" s="148"/>
      <c r="RD135" s="148"/>
      <c r="RE135" s="148"/>
      <c r="RF135" s="148"/>
      <c r="RG135" s="148"/>
      <c r="RH135" s="148"/>
      <c r="RI135" s="148"/>
      <c r="RJ135" s="148"/>
      <c r="RK135" s="148"/>
      <c r="RL135" s="148"/>
      <c r="RM135" s="148"/>
      <c r="RN135" s="148"/>
      <c r="RO135" s="148"/>
      <c r="RP135" s="148"/>
      <c r="RQ135" s="148"/>
      <c r="RR135" s="148"/>
    </row>
    <row r="136" spans="1:486" s="15" customFormat="1" hidden="1" x14ac:dyDescent="0.25">
      <c r="A136" s="148"/>
      <c r="B136" s="350">
        <v>126</v>
      </c>
      <c r="C136" s="650"/>
      <c r="D136" s="16"/>
      <c r="E136" s="344"/>
      <c r="F136" s="344"/>
      <c r="G136" s="17"/>
      <c r="H136" s="317"/>
      <c r="I136" s="346"/>
      <c r="J136" s="341"/>
      <c r="K136" s="633"/>
      <c r="L136" s="633"/>
      <c r="M136" s="633"/>
      <c r="N136" s="633"/>
      <c r="O136" s="633"/>
      <c r="P136" s="633"/>
      <c r="Q136" s="633"/>
      <c r="R136" s="633"/>
      <c r="S136" s="633"/>
      <c r="T136" s="633"/>
      <c r="U136" s="633"/>
      <c r="V136" s="633"/>
      <c r="W136" s="633"/>
      <c r="X136" s="633"/>
      <c r="Y136" s="633">
        <f t="shared" si="3"/>
        <v>0</v>
      </c>
      <c r="Z136" s="637"/>
      <c r="AA136" s="19"/>
      <c r="AB136" s="21"/>
      <c r="AC136" s="23"/>
      <c r="AD136" s="652"/>
      <c r="AE136" s="20"/>
      <c r="AF136" s="21"/>
      <c r="AG136" s="23"/>
      <c r="AH136" s="637"/>
      <c r="AI136" s="19"/>
      <c r="AJ136" s="21"/>
      <c r="AK136" s="25"/>
      <c r="AL136" s="309"/>
      <c r="AM136" s="19"/>
      <c r="AN136" s="21"/>
      <c r="AO136" s="25"/>
      <c r="AP136" s="309"/>
      <c r="AQ136" s="19"/>
      <c r="AR136" s="21"/>
      <c r="AS136" s="25"/>
      <c r="AT136" s="638">
        <f t="shared" si="4"/>
        <v>0</v>
      </c>
      <c r="AU136" s="311">
        <f t="shared" si="5"/>
        <v>0</v>
      </c>
      <c r="AV136" s="148"/>
      <c r="AW136" s="148"/>
      <c r="AX136" s="148"/>
      <c r="AY136" s="148"/>
      <c r="AZ136" s="148"/>
      <c r="BA136" s="148"/>
      <c r="BB136" s="148"/>
      <c r="BC136" s="148"/>
      <c r="BD136" s="148"/>
      <c r="BE136" s="148"/>
      <c r="BF136" s="148"/>
      <c r="BG136" s="148"/>
      <c r="BH136" s="148"/>
      <c r="BI136" s="148"/>
      <c r="BJ136" s="148"/>
      <c r="BK136" s="148"/>
      <c r="BL136" s="148"/>
      <c r="BM136" s="148"/>
      <c r="BN136" s="148"/>
      <c r="BO136" s="148"/>
      <c r="BP136" s="148"/>
      <c r="BQ136" s="148"/>
      <c r="BR136" s="148"/>
      <c r="BS136" s="148"/>
      <c r="BT136" s="148"/>
      <c r="BU136" s="148"/>
      <c r="BV136" s="148"/>
      <c r="BW136" s="148"/>
      <c r="BX136" s="148"/>
      <c r="BY136" s="148"/>
      <c r="BZ136" s="148"/>
      <c r="CA136" s="148"/>
      <c r="CB136" s="148"/>
      <c r="CC136" s="148"/>
      <c r="CD136" s="148"/>
      <c r="CE136" s="148"/>
      <c r="CF136" s="148"/>
      <c r="CG136" s="148"/>
      <c r="CH136" s="148"/>
      <c r="CI136" s="148"/>
      <c r="CJ136" s="148"/>
      <c r="CK136" s="148"/>
      <c r="CL136" s="148"/>
      <c r="CM136" s="148"/>
      <c r="CN136" s="148"/>
      <c r="CO136" s="148"/>
      <c r="CP136" s="148"/>
      <c r="CQ136" s="148"/>
      <c r="CR136" s="148"/>
      <c r="CS136" s="148"/>
      <c r="CT136" s="148"/>
      <c r="CU136" s="148"/>
      <c r="CV136" s="148"/>
      <c r="CW136" s="148"/>
      <c r="CX136" s="148"/>
      <c r="CY136" s="148"/>
      <c r="CZ136" s="148"/>
      <c r="DA136" s="148"/>
      <c r="DB136" s="148"/>
      <c r="DC136" s="148"/>
      <c r="DD136" s="148"/>
      <c r="DE136" s="148"/>
      <c r="DF136" s="148"/>
      <c r="DG136" s="148"/>
      <c r="DH136" s="148"/>
      <c r="DI136" s="148"/>
      <c r="DJ136" s="148"/>
      <c r="DK136" s="148"/>
      <c r="DL136" s="148"/>
      <c r="DM136" s="148"/>
      <c r="DN136" s="148"/>
      <c r="DO136" s="148"/>
      <c r="DP136" s="148"/>
      <c r="DQ136" s="148"/>
      <c r="DR136" s="148"/>
      <c r="DS136" s="148"/>
      <c r="DT136" s="148"/>
      <c r="DU136" s="148"/>
      <c r="DV136" s="148"/>
      <c r="DW136" s="148"/>
      <c r="DX136" s="148"/>
      <c r="DY136" s="148"/>
      <c r="DZ136" s="148"/>
      <c r="EA136" s="148"/>
      <c r="EB136" s="148"/>
      <c r="EC136" s="148"/>
      <c r="ED136" s="148"/>
      <c r="EE136" s="148"/>
      <c r="EF136" s="148"/>
      <c r="EG136" s="148"/>
      <c r="EH136" s="148"/>
      <c r="EI136" s="148"/>
      <c r="EJ136" s="148"/>
      <c r="EK136" s="148"/>
      <c r="EL136" s="148"/>
      <c r="EM136" s="148"/>
      <c r="EN136" s="148"/>
      <c r="EO136" s="148"/>
      <c r="EP136" s="148"/>
      <c r="EQ136" s="148"/>
      <c r="ER136" s="148"/>
      <c r="ES136" s="148"/>
      <c r="ET136" s="148"/>
      <c r="EU136" s="148"/>
      <c r="EV136" s="148"/>
      <c r="EW136" s="148"/>
      <c r="EX136" s="148"/>
      <c r="EY136" s="148"/>
      <c r="EZ136" s="148"/>
      <c r="FA136" s="148"/>
      <c r="FB136" s="148"/>
      <c r="FC136" s="148"/>
      <c r="FD136" s="148"/>
      <c r="FE136" s="148"/>
      <c r="FF136" s="148"/>
      <c r="FG136" s="148"/>
      <c r="FH136" s="148"/>
      <c r="FI136" s="148"/>
      <c r="FJ136" s="148"/>
      <c r="FK136" s="148"/>
      <c r="FL136" s="148"/>
      <c r="FM136" s="148"/>
      <c r="FN136" s="148"/>
      <c r="FO136" s="148"/>
      <c r="FP136" s="148"/>
      <c r="FQ136" s="148"/>
      <c r="FR136" s="148"/>
      <c r="FS136" s="148"/>
      <c r="FT136" s="148"/>
      <c r="FU136" s="148"/>
      <c r="FV136" s="148"/>
      <c r="FW136" s="148"/>
      <c r="FX136" s="148"/>
      <c r="FY136" s="148"/>
      <c r="FZ136" s="148"/>
      <c r="GA136" s="148"/>
      <c r="GB136" s="148"/>
      <c r="GC136" s="148"/>
      <c r="GD136" s="148"/>
      <c r="GE136" s="148"/>
      <c r="GF136" s="148"/>
      <c r="GG136" s="148"/>
      <c r="GH136" s="148"/>
      <c r="GI136" s="148"/>
      <c r="GJ136" s="148"/>
      <c r="GK136" s="148"/>
      <c r="GL136" s="148"/>
      <c r="GM136" s="148"/>
      <c r="GN136" s="148"/>
      <c r="GO136" s="148"/>
      <c r="GP136" s="148"/>
      <c r="GQ136" s="148"/>
      <c r="GR136" s="148"/>
      <c r="GS136" s="148"/>
      <c r="GT136" s="148"/>
      <c r="GU136" s="148"/>
      <c r="GV136" s="148"/>
      <c r="GW136" s="148"/>
      <c r="GX136" s="148"/>
      <c r="GY136" s="148"/>
      <c r="GZ136" s="148"/>
      <c r="HA136" s="148"/>
      <c r="HB136" s="148"/>
      <c r="HC136" s="148"/>
      <c r="HD136" s="148"/>
      <c r="HE136" s="148"/>
      <c r="HF136" s="148"/>
      <c r="HG136" s="148"/>
      <c r="HH136" s="148"/>
      <c r="HI136" s="148"/>
      <c r="HJ136" s="148"/>
      <c r="HK136" s="148"/>
      <c r="HL136" s="148"/>
      <c r="HM136" s="148"/>
      <c r="HN136" s="148"/>
      <c r="HO136" s="148"/>
      <c r="HP136" s="148"/>
      <c r="HQ136" s="148"/>
      <c r="HR136" s="148"/>
      <c r="HS136" s="148"/>
      <c r="HT136" s="148"/>
      <c r="HU136" s="148"/>
      <c r="HV136" s="148"/>
      <c r="HW136" s="148"/>
      <c r="HX136" s="148"/>
      <c r="HY136" s="148"/>
      <c r="HZ136" s="148"/>
      <c r="IA136" s="148"/>
      <c r="IB136" s="148"/>
      <c r="IC136" s="148"/>
      <c r="ID136" s="148"/>
      <c r="IE136" s="148"/>
      <c r="IF136" s="148"/>
      <c r="IG136" s="148"/>
      <c r="IH136" s="148"/>
      <c r="II136" s="148"/>
      <c r="IJ136" s="148"/>
      <c r="IK136" s="148"/>
      <c r="IL136" s="148"/>
      <c r="IM136" s="148"/>
      <c r="IN136" s="148"/>
      <c r="IO136" s="148"/>
      <c r="IP136" s="148"/>
      <c r="IQ136" s="148"/>
      <c r="IR136" s="148"/>
      <c r="IS136" s="148"/>
      <c r="IT136" s="148"/>
      <c r="IU136" s="148"/>
      <c r="IV136" s="148"/>
      <c r="IW136" s="148"/>
      <c r="IX136" s="148"/>
      <c r="IY136" s="148"/>
      <c r="IZ136" s="148"/>
      <c r="JA136" s="148"/>
      <c r="JB136" s="148"/>
      <c r="JC136" s="148"/>
      <c r="JD136" s="148"/>
      <c r="JE136" s="148"/>
      <c r="JF136" s="148"/>
      <c r="JG136" s="148"/>
      <c r="JH136" s="148"/>
      <c r="JI136" s="148"/>
      <c r="JJ136" s="148"/>
      <c r="JK136" s="148"/>
      <c r="JL136" s="148"/>
      <c r="JM136" s="148"/>
      <c r="JN136" s="148"/>
      <c r="JO136" s="148"/>
      <c r="JP136" s="148"/>
      <c r="JQ136" s="148"/>
      <c r="JR136" s="148"/>
      <c r="JS136" s="148"/>
      <c r="JT136" s="148"/>
      <c r="JU136" s="148"/>
      <c r="JV136" s="148"/>
      <c r="JW136" s="148"/>
      <c r="JX136" s="148"/>
      <c r="JY136" s="148"/>
      <c r="JZ136" s="148"/>
      <c r="KA136" s="148"/>
      <c r="KB136" s="148"/>
      <c r="KC136" s="148"/>
      <c r="KD136" s="148"/>
      <c r="KE136" s="148"/>
      <c r="KF136" s="148"/>
      <c r="KG136" s="148"/>
      <c r="KH136" s="148"/>
      <c r="KI136" s="148"/>
      <c r="KJ136" s="148"/>
      <c r="KK136" s="148"/>
      <c r="KL136" s="148"/>
      <c r="KM136" s="148"/>
      <c r="KN136" s="148"/>
      <c r="KO136" s="148"/>
      <c r="KP136" s="148"/>
      <c r="KQ136" s="148"/>
      <c r="KR136" s="148"/>
      <c r="KS136" s="148"/>
      <c r="KT136" s="148"/>
      <c r="KU136" s="148"/>
      <c r="KV136" s="148"/>
      <c r="KW136" s="148"/>
      <c r="KX136" s="148"/>
      <c r="KY136" s="148"/>
      <c r="KZ136" s="148"/>
      <c r="LA136" s="148"/>
      <c r="LB136" s="148"/>
      <c r="LC136" s="148"/>
      <c r="LD136" s="148"/>
      <c r="LE136" s="148"/>
      <c r="LF136" s="148"/>
      <c r="LG136" s="148"/>
      <c r="LH136" s="148"/>
      <c r="LI136" s="148"/>
      <c r="LJ136" s="148"/>
      <c r="LK136" s="148"/>
      <c r="LL136" s="148"/>
      <c r="LM136" s="148"/>
      <c r="LN136" s="148"/>
      <c r="LO136" s="148"/>
      <c r="LP136" s="148"/>
      <c r="LQ136" s="148"/>
      <c r="LR136" s="148"/>
      <c r="LS136" s="148"/>
      <c r="LT136" s="148"/>
      <c r="LU136" s="148"/>
      <c r="LV136" s="148"/>
      <c r="LW136" s="148"/>
      <c r="LX136" s="148"/>
      <c r="LY136" s="148"/>
      <c r="LZ136" s="148"/>
      <c r="MA136" s="148"/>
      <c r="MB136" s="148"/>
      <c r="MC136" s="148"/>
      <c r="MD136" s="148"/>
      <c r="ME136" s="148"/>
      <c r="MF136" s="148"/>
      <c r="MG136" s="148"/>
      <c r="MH136" s="148"/>
      <c r="MI136" s="148"/>
      <c r="MJ136" s="148"/>
      <c r="MK136" s="148"/>
      <c r="ML136" s="148"/>
      <c r="MM136" s="148"/>
      <c r="MN136" s="148"/>
      <c r="MO136" s="148"/>
      <c r="MP136" s="148"/>
      <c r="MQ136" s="148"/>
      <c r="MR136" s="148"/>
      <c r="MS136" s="148"/>
      <c r="MT136" s="148"/>
      <c r="MU136" s="148"/>
      <c r="MV136" s="148"/>
      <c r="MW136" s="148"/>
      <c r="MX136" s="148"/>
      <c r="MY136" s="148"/>
      <c r="MZ136" s="148"/>
      <c r="NA136" s="148"/>
      <c r="NB136" s="148"/>
      <c r="NC136" s="148"/>
      <c r="ND136" s="148"/>
      <c r="NE136" s="148"/>
      <c r="NF136" s="148"/>
      <c r="NG136" s="148"/>
      <c r="NH136" s="148"/>
      <c r="NI136" s="148"/>
      <c r="NJ136" s="148"/>
      <c r="NK136" s="148"/>
      <c r="NL136" s="148"/>
      <c r="NM136" s="148"/>
      <c r="NN136" s="148"/>
      <c r="NO136" s="148"/>
      <c r="NP136" s="148"/>
      <c r="NQ136" s="148"/>
      <c r="NR136" s="148"/>
      <c r="NS136" s="148"/>
      <c r="NT136" s="148"/>
      <c r="NU136" s="148"/>
      <c r="NV136" s="148"/>
      <c r="NW136" s="148"/>
      <c r="NX136" s="148"/>
      <c r="NY136" s="148"/>
      <c r="NZ136" s="148"/>
      <c r="OA136" s="148"/>
      <c r="OB136" s="148"/>
      <c r="OC136" s="148"/>
      <c r="OD136" s="148"/>
      <c r="OE136" s="148"/>
      <c r="OF136" s="148"/>
      <c r="OG136" s="148"/>
      <c r="OH136" s="148"/>
      <c r="OI136" s="148"/>
      <c r="OJ136" s="148"/>
      <c r="OK136" s="148"/>
      <c r="OL136" s="148"/>
      <c r="OM136" s="148"/>
      <c r="ON136" s="148"/>
      <c r="OO136" s="148"/>
      <c r="OP136" s="148"/>
      <c r="OQ136" s="148"/>
      <c r="OR136" s="148"/>
      <c r="OS136" s="148"/>
      <c r="OT136" s="148"/>
      <c r="OU136" s="148"/>
      <c r="OV136" s="148"/>
      <c r="OW136" s="148"/>
      <c r="OX136" s="148"/>
      <c r="OY136" s="148"/>
      <c r="OZ136" s="148"/>
      <c r="PA136" s="148"/>
      <c r="PB136" s="148"/>
      <c r="PC136" s="148"/>
      <c r="PD136" s="148"/>
      <c r="PE136" s="148"/>
      <c r="PF136" s="148"/>
      <c r="PG136" s="148"/>
      <c r="PH136" s="148"/>
      <c r="PI136" s="148"/>
      <c r="PJ136" s="148"/>
      <c r="PK136" s="148"/>
      <c r="PL136" s="148"/>
      <c r="PM136" s="148"/>
      <c r="PN136" s="148"/>
      <c r="PO136" s="148"/>
      <c r="PP136" s="148"/>
      <c r="PQ136" s="148"/>
      <c r="PR136" s="148"/>
      <c r="PS136" s="148"/>
      <c r="PT136" s="148"/>
      <c r="PU136" s="148"/>
      <c r="PV136" s="148"/>
      <c r="PW136" s="148"/>
      <c r="PX136" s="148"/>
      <c r="PY136" s="148"/>
      <c r="PZ136" s="148"/>
      <c r="QA136" s="148"/>
      <c r="QB136" s="148"/>
      <c r="QC136" s="148"/>
      <c r="QD136" s="148"/>
      <c r="QE136" s="148"/>
      <c r="QF136" s="148"/>
      <c r="QG136" s="148"/>
      <c r="QH136" s="148"/>
      <c r="QI136" s="148"/>
      <c r="QJ136" s="148"/>
      <c r="QK136" s="148"/>
      <c r="QL136" s="148"/>
      <c r="QM136" s="148"/>
      <c r="QN136" s="148"/>
      <c r="QO136" s="148"/>
      <c r="QP136" s="148"/>
      <c r="QQ136" s="148"/>
      <c r="QR136" s="148"/>
      <c r="QS136" s="148"/>
      <c r="QT136" s="148"/>
      <c r="QU136" s="148"/>
      <c r="QV136" s="148"/>
      <c r="QW136" s="148"/>
      <c r="QX136" s="148"/>
      <c r="QY136" s="148"/>
      <c r="QZ136" s="148"/>
      <c r="RA136" s="148"/>
      <c r="RB136" s="148"/>
      <c r="RC136" s="148"/>
      <c r="RD136" s="148"/>
      <c r="RE136" s="148"/>
      <c r="RF136" s="148"/>
      <c r="RG136" s="148"/>
      <c r="RH136" s="148"/>
      <c r="RI136" s="148"/>
      <c r="RJ136" s="148"/>
      <c r="RK136" s="148"/>
      <c r="RL136" s="148"/>
      <c r="RM136" s="148"/>
      <c r="RN136" s="148"/>
      <c r="RO136" s="148"/>
      <c r="RP136" s="148"/>
      <c r="RQ136" s="148"/>
      <c r="RR136" s="148"/>
    </row>
    <row r="137" spans="1:486" s="15" customFormat="1" hidden="1" x14ac:dyDescent="0.25">
      <c r="A137" s="148"/>
      <c r="B137" s="350">
        <v>127</v>
      </c>
      <c r="C137" s="650"/>
      <c r="D137" s="16"/>
      <c r="E137" s="344"/>
      <c r="F137" s="344"/>
      <c r="G137" s="17"/>
      <c r="H137" s="317"/>
      <c r="I137" s="346"/>
      <c r="J137" s="341"/>
      <c r="K137" s="633"/>
      <c r="L137" s="633"/>
      <c r="M137" s="633"/>
      <c r="N137" s="633"/>
      <c r="O137" s="633"/>
      <c r="P137" s="633"/>
      <c r="Q137" s="633"/>
      <c r="R137" s="633"/>
      <c r="S137" s="633"/>
      <c r="T137" s="633"/>
      <c r="U137" s="633"/>
      <c r="V137" s="633"/>
      <c r="W137" s="633"/>
      <c r="X137" s="633"/>
      <c r="Y137" s="633">
        <f t="shared" si="3"/>
        <v>0</v>
      </c>
      <c r="Z137" s="637"/>
      <c r="AA137" s="19"/>
      <c r="AB137" s="21"/>
      <c r="AC137" s="23"/>
      <c r="AD137" s="652"/>
      <c r="AE137" s="20"/>
      <c r="AF137" s="21"/>
      <c r="AG137" s="23"/>
      <c r="AH137" s="637"/>
      <c r="AI137" s="19"/>
      <c r="AJ137" s="21"/>
      <c r="AK137" s="25"/>
      <c r="AL137" s="309"/>
      <c r="AM137" s="19"/>
      <c r="AN137" s="21"/>
      <c r="AO137" s="25"/>
      <c r="AP137" s="309"/>
      <c r="AQ137" s="19"/>
      <c r="AR137" s="21"/>
      <c r="AS137" s="25"/>
      <c r="AT137" s="638">
        <f t="shared" si="4"/>
        <v>0</v>
      </c>
      <c r="AU137" s="311">
        <f t="shared" si="5"/>
        <v>0</v>
      </c>
      <c r="AV137" s="148"/>
      <c r="AW137" s="148"/>
      <c r="AX137" s="148"/>
      <c r="AY137" s="148"/>
      <c r="AZ137" s="148"/>
      <c r="BA137" s="148"/>
      <c r="BB137" s="148"/>
      <c r="BC137" s="148"/>
      <c r="BD137" s="148"/>
      <c r="BE137" s="148"/>
      <c r="BF137" s="148"/>
      <c r="BG137" s="148"/>
      <c r="BH137" s="148"/>
      <c r="BI137" s="148"/>
      <c r="BJ137" s="148"/>
      <c r="BK137" s="148"/>
      <c r="BL137" s="148"/>
      <c r="BM137" s="148"/>
      <c r="BN137" s="148"/>
      <c r="BO137" s="148"/>
      <c r="BP137" s="148"/>
      <c r="BQ137" s="148"/>
      <c r="BR137" s="148"/>
      <c r="BS137" s="148"/>
      <c r="BT137" s="148"/>
      <c r="BU137" s="148"/>
      <c r="BV137" s="148"/>
      <c r="BW137" s="148"/>
      <c r="BX137" s="148"/>
      <c r="BY137" s="148"/>
      <c r="BZ137" s="148"/>
      <c r="CA137" s="148"/>
      <c r="CB137" s="148"/>
      <c r="CC137" s="148"/>
      <c r="CD137" s="148"/>
      <c r="CE137" s="148"/>
      <c r="CF137" s="148"/>
      <c r="CG137" s="148"/>
      <c r="CH137" s="148"/>
      <c r="CI137" s="148"/>
      <c r="CJ137" s="148"/>
      <c r="CK137" s="148"/>
      <c r="CL137" s="148"/>
      <c r="CM137" s="148"/>
      <c r="CN137" s="148"/>
      <c r="CO137" s="148"/>
      <c r="CP137" s="148"/>
      <c r="CQ137" s="148"/>
      <c r="CR137" s="148"/>
      <c r="CS137" s="148"/>
      <c r="CT137" s="148"/>
      <c r="CU137" s="148"/>
      <c r="CV137" s="148"/>
      <c r="CW137" s="148"/>
      <c r="CX137" s="148"/>
      <c r="CY137" s="148"/>
      <c r="CZ137" s="148"/>
      <c r="DA137" s="148"/>
      <c r="DB137" s="148"/>
      <c r="DC137" s="148"/>
      <c r="DD137" s="148"/>
      <c r="DE137" s="148"/>
      <c r="DF137" s="148"/>
      <c r="DG137" s="148"/>
      <c r="DH137" s="148"/>
      <c r="DI137" s="148"/>
      <c r="DJ137" s="148"/>
      <c r="DK137" s="148"/>
      <c r="DL137" s="148"/>
      <c r="DM137" s="148"/>
      <c r="DN137" s="148"/>
      <c r="DO137" s="148"/>
      <c r="DP137" s="148"/>
      <c r="DQ137" s="148"/>
      <c r="DR137" s="148"/>
      <c r="DS137" s="148"/>
      <c r="DT137" s="148"/>
      <c r="DU137" s="148"/>
      <c r="DV137" s="148"/>
      <c r="DW137" s="148"/>
      <c r="DX137" s="148"/>
      <c r="DY137" s="148"/>
      <c r="DZ137" s="148"/>
      <c r="EA137" s="148"/>
      <c r="EB137" s="148"/>
      <c r="EC137" s="148"/>
      <c r="ED137" s="148"/>
      <c r="EE137" s="148"/>
      <c r="EF137" s="148"/>
      <c r="EG137" s="148"/>
      <c r="EH137" s="148"/>
      <c r="EI137" s="148"/>
      <c r="EJ137" s="148"/>
      <c r="EK137" s="148"/>
      <c r="EL137" s="148"/>
      <c r="EM137" s="148"/>
      <c r="EN137" s="148"/>
      <c r="EO137" s="148"/>
      <c r="EP137" s="148"/>
      <c r="EQ137" s="148"/>
      <c r="ER137" s="148"/>
      <c r="ES137" s="148"/>
      <c r="ET137" s="148"/>
      <c r="EU137" s="148"/>
      <c r="EV137" s="148"/>
      <c r="EW137" s="148"/>
      <c r="EX137" s="148"/>
      <c r="EY137" s="148"/>
      <c r="EZ137" s="148"/>
      <c r="FA137" s="148"/>
      <c r="FB137" s="148"/>
      <c r="FC137" s="148"/>
      <c r="FD137" s="148"/>
      <c r="FE137" s="148"/>
      <c r="FF137" s="148"/>
      <c r="FG137" s="148"/>
      <c r="FH137" s="148"/>
      <c r="FI137" s="148"/>
      <c r="FJ137" s="148"/>
      <c r="FK137" s="148"/>
      <c r="FL137" s="148"/>
      <c r="FM137" s="148"/>
      <c r="FN137" s="148"/>
      <c r="FO137" s="148"/>
      <c r="FP137" s="148"/>
      <c r="FQ137" s="148"/>
      <c r="FR137" s="148"/>
      <c r="FS137" s="148"/>
      <c r="FT137" s="148"/>
      <c r="FU137" s="148"/>
      <c r="FV137" s="148"/>
      <c r="FW137" s="148"/>
      <c r="FX137" s="148"/>
      <c r="FY137" s="148"/>
      <c r="FZ137" s="148"/>
      <c r="GA137" s="148"/>
      <c r="GB137" s="148"/>
      <c r="GC137" s="148"/>
      <c r="GD137" s="148"/>
      <c r="GE137" s="148"/>
      <c r="GF137" s="148"/>
      <c r="GG137" s="148"/>
      <c r="GH137" s="148"/>
      <c r="GI137" s="148"/>
      <c r="GJ137" s="148"/>
      <c r="GK137" s="148"/>
      <c r="GL137" s="148"/>
      <c r="GM137" s="148"/>
      <c r="GN137" s="148"/>
      <c r="GO137" s="148"/>
      <c r="GP137" s="148"/>
      <c r="GQ137" s="148"/>
      <c r="GR137" s="148"/>
      <c r="GS137" s="148"/>
      <c r="GT137" s="148"/>
      <c r="GU137" s="148"/>
      <c r="GV137" s="148"/>
      <c r="GW137" s="148"/>
      <c r="GX137" s="148"/>
      <c r="GY137" s="148"/>
      <c r="GZ137" s="148"/>
      <c r="HA137" s="148"/>
      <c r="HB137" s="148"/>
      <c r="HC137" s="148"/>
      <c r="HD137" s="148"/>
      <c r="HE137" s="148"/>
      <c r="HF137" s="148"/>
      <c r="HG137" s="148"/>
      <c r="HH137" s="148"/>
      <c r="HI137" s="148"/>
      <c r="HJ137" s="148"/>
      <c r="HK137" s="148"/>
      <c r="HL137" s="148"/>
      <c r="HM137" s="148"/>
      <c r="HN137" s="148"/>
      <c r="HO137" s="148"/>
      <c r="HP137" s="148"/>
      <c r="HQ137" s="148"/>
      <c r="HR137" s="148"/>
      <c r="HS137" s="148"/>
      <c r="HT137" s="148"/>
      <c r="HU137" s="148"/>
      <c r="HV137" s="148"/>
      <c r="HW137" s="148"/>
      <c r="HX137" s="148"/>
      <c r="HY137" s="148"/>
      <c r="HZ137" s="148"/>
      <c r="IA137" s="148"/>
      <c r="IB137" s="148"/>
      <c r="IC137" s="148"/>
      <c r="ID137" s="148"/>
      <c r="IE137" s="148"/>
      <c r="IF137" s="148"/>
      <c r="IG137" s="148"/>
      <c r="IH137" s="148"/>
      <c r="II137" s="148"/>
      <c r="IJ137" s="148"/>
      <c r="IK137" s="148"/>
      <c r="IL137" s="148"/>
      <c r="IM137" s="148"/>
      <c r="IN137" s="148"/>
      <c r="IO137" s="148"/>
      <c r="IP137" s="148"/>
      <c r="IQ137" s="148"/>
      <c r="IR137" s="148"/>
      <c r="IS137" s="148"/>
      <c r="IT137" s="148"/>
      <c r="IU137" s="148"/>
      <c r="IV137" s="148"/>
      <c r="IW137" s="148"/>
      <c r="IX137" s="148"/>
      <c r="IY137" s="148"/>
      <c r="IZ137" s="148"/>
      <c r="JA137" s="148"/>
      <c r="JB137" s="148"/>
      <c r="JC137" s="148"/>
      <c r="JD137" s="148"/>
      <c r="JE137" s="148"/>
      <c r="JF137" s="148"/>
      <c r="JG137" s="148"/>
      <c r="JH137" s="148"/>
      <c r="JI137" s="148"/>
      <c r="JJ137" s="148"/>
      <c r="JK137" s="148"/>
      <c r="JL137" s="148"/>
      <c r="JM137" s="148"/>
      <c r="JN137" s="148"/>
      <c r="JO137" s="148"/>
      <c r="JP137" s="148"/>
      <c r="JQ137" s="148"/>
      <c r="JR137" s="148"/>
      <c r="JS137" s="148"/>
      <c r="JT137" s="148"/>
      <c r="JU137" s="148"/>
      <c r="JV137" s="148"/>
      <c r="JW137" s="148"/>
      <c r="JX137" s="148"/>
      <c r="JY137" s="148"/>
      <c r="JZ137" s="148"/>
      <c r="KA137" s="148"/>
      <c r="KB137" s="148"/>
      <c r="KC137" s="148"/>
      <c r="KD137" s="148"/>
      <c r="KE137" s="148"/>
      <c r="KF137" s="148"/>
      <c r="KG137" s="148"/>
      <c r="KH137" s="148"/>
      <c r="KI137" s="148"/>
      <c r="KJ137" s="148"/>
      <c r="KK137" s="148"/>
      <c r="KL137" s="148"/>
      <c r="KM137" s="148"/>
      <c r="KN137" s="148"/>
      <c r="KO137" s="148"/>
      <c r="KP137" s="148"/>
      <c r="KQ137" s="148"/>
      <c r="KR137" s="148"/>
      <c r="KS137" s="148"/>
      <c r="KT137" s="148"/>
      <c r="KU137" s="148"/>
      <c r="KV137" s="148"/>
      <c r="KW137" s="148"/>
      <c r="KX137" s="148"/>
      <c r="KY137" s="148"/>
      <c r="KZ137" s="148"/>
      <c r="LA137" s="148"/>
      <c r="LB137" s="148"/>
      <c r="LC137" s="148"/>
      <c r="LD137" s="148"/>
      <c r="LE137" s="148"/>
      <c r="LF137" s="148"/>
      <c r="LG137" s="148"/>
      <c r="LH137" s="148"/>
      <c r="LI137" s="148"/>
      <c r="LJ137" s="148"/>
      <c r="LK137" s="148"/>
      <c r="LL137" s="148"/>
      <c r="LM137" s="148"/>
      <c r="LN137" s="148"/>
      <c r="LO137" s="148"/>
      <c r="LP137" s="148"/>
      <c r="LQ137" s="148"/>
      <c r="LR137" s="148"/>
      <c r="LS137" s="148"/>
      <c r="LT137" s="148"/>
      <c r="LU137" s="148"/>
      <c r="LV137" s="148"/>
      <c r="LW137" s="148"/>
      <c r="LX137" s="148"/>
      <c r="LY137" s="148"/>
      <c r="LZ137" s="148"/>
      <c r="MA137" s="148"/>
      <c r="MB137" s="148"/>
      <c r="MC137" s="148"/>
      <c r="MD137" s="148"/>
      <c r="ME137" s="148"/>
      <c r="MF137" s="148"/>
      <c r="MG137" s="148"/>
      <c r="MH137" s="148"/>
      <c r="MI137" s="148"/>
      <c r="MJ137" s="148"/>
      <c r="MK137" s="148"/>
      <c r="ML137" s="148"/>
      <c r="MM137" s="148"/>
      <c r="MN137" s="148"/>
      <c r="MO137" s="148"/>
      <c r="MP137" s="148"/>
      <c r="MQ137" s="148"/>
      <c r="MR137" s="148"/>
      <c r="MS137" s="148"/>
      <c r="MT137" s="148"/>
      <c r="MU137" s="148"/>
      <c r="MV137" s="148"/>
      <c r="MW137" s="148"/>
      <c r="MX137" s="148"/>
      <c r="MY137" s="148"/>
      <c r="MZ137" s="148"/>
      <c r="NA137" s="148"/>
      <c r="NB137" s="148"/>
      <c r="NC137" s="148"/>
      <c r="ND137" s="148"/>
      <c r="NE137" s="148"/>
      <c r="NF137" s="148"/>
      <c r="NG137" s="148"/>
      <c r="NH137" s="148"/>
      <c r="NI137" s="148"/>
      <c r="NJ137" s="148"/>
      <c r="NK137" s="148"/>
      <c r="NL137" s="148"/>
      <c r="NM137" s="148"/>
      <c r="NN137" s="148"/>
      <c r="NO137" s="148"/>
      <c r="NP137" s="148"/>
      <c r="NQ137" s="148"/>
      <c r="NR137" s="148"/>
      <c r="NS137" s="148"/>
      <c r="NT137" s="148"/>
      <c r="NU137" s="148"/>
      <c r="NV137" s="148"/>
      <c r="NW137" s="148"/>
      <c r="NX137" s="148"/>
      <c r="NY137" s="148"/>
      <c r="NZ137" s="148"/>
      <c r="OA137" s="148"/>
      <c r="OB137" s="148"/>
      <c r="OC137" s="148"/>
      <c r="OD137" s="148"/>
      <c r="OE137" s="148"/>
      <c r="OF137" s="148"/>
      <c r="OG137" s="148"/>
      <c r="OH137" s="148"/>
      <c r="OI137" s="148"/>
      <c r="OJ137" s="148"/>
      <c r="OK137" s="148"/>
      <c r="OL137" s="148"/>
      <c r="OM137" s="148"/>
      <c r="ON137" s="148"/>
      <c r="OO137" s="148"/>
      <c r="OP137" s="148"/>
      <c r="OQ137" s="148"/>
      <c r="OR137" s="148"/>
      <c r="OS137" s="148"/>
      <c r="OT137" s="148"/>
      <c r="OU137" s="148"/>
      <c r="OV137" s="148"/>
      <c r="OW137" s="148"/>
      <c r="OX137" s="148"/>
      <c r="OY137" s="148"/>
      <c r="OZ137" s="148"/>
      <c r="PA137" s="148"/>
      <c r="PB137" s="148"/>
      <c r="PC137" s="148"/>
      <c r="PD137" s="148"/>
      <c r="PE137" s="148"/>
      <c r="PF137" s="148"/>
      <c r="PG137" s="148"/>
      <c r="PH137" s="148"/>
      <c r="PI137" s="148"/>
      <c r="PJ137" s="148"/>
      <c r="PK137" s="148"/>
      <c r="PL137" s="148"/>
      <c r="PM137" s="148"/>
      <c r="PN137" s="148"/>
      <c r="PO137" s="148"/>
      <c r="PP137" s="148"/>
      <c r="PQ137" s="148"/>
      <c r="PR137" s="148"/>
      <c r="PS137" s="148"/>
      <c r="PT137" s="148"/>
      <c r="PU137" s="148"/>
      <c r="PV137" s="148"/>
      <c r="PW137" s="148"/>
      <c r="PX137" s="148"/>
      <c r="PY137" s="148"/>
      <c r="PZ137" s="148"/>
      <c r="QA137" s="148"/>
      <c r="QB137" s="148"/>
      <c r="QC137" s="148"/>
      <c r="QD137" s="148"/>
      <c r="QE137" s="148"/>
      <c r="QF137" s="148"/>
      <c r="QG137" s="148"/>
      <c r="QH137" s="148"/>
      <c r="QI137" s="148"/>
      <c r="QJ137" s="148"/>
      <c r="QK137" s="148"/>
      <c r="QL137" s="148"/>
      <c r="QM137" s="148"/>
      <c r="QN137" s="148"/>
      <c r="QO137" s="148"/>
      <c r="QP137" s="148"/>
      <c r="QQ137" s="148"/>
      <c r="QR137" s="148"/>
      <c r="QS137" s="148"/>
      <c r="QT137" s="148"/>
      <c r="QU137" s="148"/>
      <c r="QV137" s="148"/>
      <c r="QW137" s="148"/>
      <c r="QX137" s="148"/>
      <c r="QY137" s="148"/>
      <c r="QZ137" s="148"/>
      <c r="RA137" s="148"/>
      <c r="RB137" s="148"/>
      <c r="RC137" s="148"/>
      <c r="RD137" s="148"/>
      <c r="RE137" s="148"/>
      <c r="RF137" s="148"/>
      <c r="RG137" s="148"/>
      <c r="RH137" s="148"/>
      <c r="RI137" s="148"/>
      <c r="RJ137" s="148"/>
      <c r="RK137" s="148"/>
      <c r="RL137" s="148"/>
      <c r="RM137" s="148"/>
      <c r="RN137" s="148"/>
      <c r="RO137" s="148"/>
      <c r="RP137" s="148"/>
      <c r="RQ137" s="148"/>
      <c r="RR137" s="148"/>
    </row>
    <row r="138" spans="1:486" s="15" customFormat="1" hidden="1" x14ac:dyDescent="0.25">
      <c r="A138" s="148"/>
      <c r="B138" s="350">
        <v>128</v>
      </c>
      <c r="C138" s="650"/>
      <c r="D138" s="16"/>
      <c r="E138" s="344"/>
      <c r="F138" s="344"/>
      <c r="G138" s="17"/>
      <c r="H138" s="317"/>
      <c r="I138" s="346"/>
      <c r="J138" s="341"/>
      <c r="K138" s="633"/>
      <c r="L138" s="633"/>
      <c r="M138" s="633"/>
      <c r="N138" s="633"/>
      <c r="O138" s="633"/>
      <c r="P138" s="633"/>
      <c r="Q138" s="633"/>
      <c r="R138" s="633"/>
      <c r="S138" s="633"/>
      <c r="T138" s="633"/>
      <c r="U138" s="633"/>
      <c r="V138" s="633"/>
      <c r="W138" s="633"/>
      <c r="X138" s="633"/>
      <c r="Y138" s="633">
        <f t="shared" si="3"/>
        <v>0</v>
      </c>
      <c r="Z138" s="637"/>
      <c r="AA138" s="19"/>
      <c r="AB138" s="315"/>
      <c r="AC138" s="315"/>
      <c r="AD138" s="652"/>
      <c r="AE138" s="20"/>
      <c r="AF138" s="21"/>
      <c r="AG138" s="23"/>
      <c r="AH138" s="637"/>
      <c r="AI138" s="19"/>
      <c r="AJ138" s="21"/>
      <c r="AK138" s="25"/>
      <c r="AL138" s="309"/>
      <c r="AM138" s="19"/>
      <c r="AN138" s="21"/>
      <c r="AO138" s="25"/>
      <c r="AP138" s="309"/>
      <c r="AQ138" s="19"/>
      <c r="AR138" s="21"/>
      <c r="AS138" s="25"/>
      <c r="AT138" s="638">
        <f t="shared" si="4"/>
        <v>0</v>
      </c>
      <c r="AU138" s="311">
        <f t="shared" si="5"/>
        <v>0</v>
      </c>
      <c r="AV138" s="148"/>
      <c r="AW138" s="148"/>
      <c r="AX138" s="148"/>
      <c r="AY138" s="148"/>
      <c r="AZ138" s="148"/>
      <c r="BA138" s="148"/>
      <c r="BB138" s="148"/>
      <c r="BC138" s="148"/>
      <c r="BD138" s="148"/>
      <c r="BE138" s="148"/>
      <c r="BF138" s="148"/>
      <c r="BG138" s="148"/>
      <c r="BH138" s="148"/>
      <c r="BI138" s="148"/>
      <c r="BJ138" s="148"/>
      <c r="BK138" s="148"/>
      <c r="BL138" s="148"/>
      <c r="BM138" s="148"/>
      <c r="BN138" s="148"/>
      <c r="BO138" s="148"/>
      <c r="BP138" s="148"/>
      <c r="BQ138" s="148"/>
      <c r="BR138" s="148"/>
      <c r="BS138" s="148"/>
      <c r="BT138" s="148"/>
      <c r="BU138" s="148"/>
      <c r="BV138" s="148"/>
      <c r="BW138" s="148"/>
      <c r="BX138" s="148"/>
      <c r="BY138" s="148"/>
      <c r="BZ138" s="148"/>
      <c r="CA138" s="148"/>
      <c r="CB138" s="148"/>
      <c r="CC138" s="148"/>
      <c r="CD138" s="148"/>
      <c r="CE138" s="148"/>
      <c r="CF138" s="148"/>
      <c r="CG138" s="148"/>
      <c r="CH138" s="148"/>
      <c r="CI138" s="148"/>
      <c r="CJ138" s="148"/>
      <c r="CK138" s="148"/>
      <c r="CL138" s="148"/>
      <c r="CM138" s="148"/>
      <c r="CN138" s="148"/>
      <c r="CO138" s="148"/>
      <c r="CP138" s="148"/>
      <c r="CQ138" s="148"/>
      <c r="CR138" s="148"/>
      <c r="CS138" s="148"/>
      <c r="CT138" s="148"/>
      <c r="CU138" s="148"/>
      <c r="CV138" s="148"/>
      <c r="CW138" s="148"/>
      <c r="CX138" s="148"/>
      <c r="CY138" s="148"/>
      <c r="CZ138" s="148"/>
      <c r="DA138" s="148"/>
      <c r="DB138" s="148"/>
      <c r="DC138" s="148"/>
      <c r="DD138" s="148"/>
      <c r="DE138" s="148"/>
      <c r="DF138" s="148"/>
      <c r="DG138" s="148"/>
      <c r="DH138" s="148"/>
      <c r="DI138" s="148"/>
      <c r="DJ138" s="148"/>
      <c r="DK138" s="148"/>
      <c r="DL138" s="148"/>
      <c r="DM138" s="148"/>
      <c r="DN138" s="148"/>
      <c r="DO138" s="148"/>
      <c r="DP138" s="148"/>
      <c r="DQ138" s="148"/>
      <c r="DR138" s="148"/>
      <c r="DS138" s="148"/>
      <c r="DT138" s="148"/>
      <c r="DU138" s="148"/>
      <c r="DV138" s="148"/>
      <c r="DW138" s="148"/>
      <c r="DX138" s="148"/>
      <c r="DY138" s="148"/>
      <c r="DZ138" s="148"/>
      <c r="EA138" s="148"/>
      <c r="EB138" s="148"/>
      <c r="EC138" s="148"/>
      <c r="ED138" s="148"/>
      <c r="EE138" s="148"/>
      <c r="EF138" s="148"/>
      <c r="EG138" s="148"/>
      <c r="EH138" s="148"/>
      <c r="EI138" s="148"/>
      <c r="EJ138" s="148"/>
      <c r="EK138" s="148"/>
      <c r="EL138" s="148"/>
      <c r="EM138" s="148"/>
      <c r="EN138" s="148"/>
      <c r="EO138" s="148"/>
      <c r="EP138" s="148"/>
      <c r="EQ138" s="148"/>
      <c r="ER138" s="148"/>
      <c r="ES138" s="148"/>
      <c r="ET138" s="148"/>
      <c r="EU138" s="148"/>
      <c r="EV138" s="148"/>
      <c r="EW138" s="148"/>
      <c r="EX138" s="148"/>
      <c r="EY138" s="148"/>
      <c r="EZ138" s="148"/>
      <c r="FA138" s="148"/>
      <c r="FB138" s="148"/>
      <c r="FC138" s="148"/>
      <c r="FD138" s="148"/>
      <c r="FE138" s="148"/>
      <c r="FF138" s="148"/>
      <c r="FG138" s="148"/>
      <c r="FH138" s="148"/>
      <c r="FI138" s="148"/>
      <c r="FJ138" s="148"/>
      <c r="FK138" s="148"/>
      <c r="FL138" s="148"/>
      <c r="FM138" s="148"/>
      <c r="FN138" s="148"/>
      <c r="FO138" s="148"/>
      <c r="FP138" s="148"/>
      <c r="FQ138" s="148"/>
      <c r="FR138" s="148"/>
      <c r="FS138" s="148"/>
      <c r="FT138" s="148"/>
      <c r="FU138" s="148"/>
      <c r="FV138" s="148"/>
      <c r="FW138" s="148"/>
      <c r="FX138" s="148"/>
      <c r="FY138" s="148"/>
      <c r="FZ138" s="148"/>
      <c r="GA138" s="148"/>
      <c r="GB138" s="148"/>
      <c r="GC138" s="148"/>
      <c r="GD138" s="148"/>
      <c r="GE138" s="148"/>
      <c r="GF138" s="148"/>
      <c r="GG138" s="148"/>
      <c r="GH138" s="148"/>
      <c r="GI138" s="148"/>
      <c r="GJ138" s="148"/>
      <c r="GK138" s="148"/>
      <c r="GL138" s="148"/>
      <c r="GM138" s="148"/>
      <c r="GN138" s="148"/>
      <c r="GO138" s="148"/>
      <c r="GP138" s="148"/>
      <c r="GQ138" s="148"/>
      <c r="GR138" s="148"/>
      <c r="GS138" s="148"/>
      <c r="GT138" s="148"/>
      <c r="GU138" s="148"/>
      <c r="GV138" s="148"/>
      <c r="GW138" s="148"/>
      <c r="GX138" s="148"/>
      <c r="GY138" s="148"/>
      <c r="GZ138" s="148"/>
      <c r="HA138" s="148"/>
      <c r="HB138" s="148"/>
      <c r="HC138" s="148"/>
      <c r="HD138" s="148"/>
      <c r="HE138" s="148"/>
      <c r="HF138" s="148"/>
      <c r="HG138" s="148"/>
      <c r="HH138" s="148"/>
      <c r="HI138" s="148"/>
      <c r="HJ138" s="148"/>
      <c r="HK138" s="148"/>
      <c r="HL138" s="148"/>
      <c r="HM138" s="148"/>
      <c r="HN138" s="148"/>
      <c r="HO138" s="148"/>
      <c r="HP138" s="148"/>
      <c r="HQ138" s="148"/>
      <c r="HR138" s="148"/>
      <c r="HS138" s="148"/>
      <c r="HT138" s="148"/>
      <c r="HU138" s="148"/>
      <c r="HV138" s="148"/>
      <c r="HW138" s="148"/>
      <c r="HX138" s="148"/>
      <c r="HY138" s="148"/>
      <c r="HZ138" s="148"/>
      <c r="IA138" s="148"/>
      <c r="IB138" s="148"/>
      <c r="IC138" s="148"/>
      <c r="ID138" s="148"/>
      <c r="IE138" s="148"/>
      <c r="IF138" s="148"/>
      <c r="IG138" s="148"/>
      <c r="IH138" s="148"/>
      <c r="II138" s="148"/>
      <c r="IJ138" s="148"/>
      <c r="IK138" s="148"/>
      <c r="IL138" s="148"/>
      <c r="IM138" s="148"/>
      <c r="IN138" s="148"/>
      <c r="IO138" s="148"/>
      <c r="IP138" s="148"/>
      <c r="IQ138" s="148"/>
      <c r="IR138" s="148"/>
      <c r="IS138" s="148"/>
      <c r="IT138" s="148"/>
      <c r="IU138" s="148"/>
      <c r="IV138" s="148"/>
      <c r="IW138" s="148"/>
      <c r="IX138" s="148"/>
      <c r="IY138" s="148"/>
      <c r="IZ138" s="148"/>
      <c r="JA138" s="148"/>
      <c r="JB138" s="148"/>
      <c r="JC138" s="148"/>
      <c r="JD138" s="148"/>
      <c r="JE138" s="148"/>
      <c r="JF138" s="148"/>
      <c r="JG138" s="148"/>
      <c r="JH138" s="148"/>
      <c r="JI138" s="148"/>
      <c r="JJ138" s="148"/>
      <c r="JK138" s="148"/>
      <c r="JL138" s="148"/>
      <c r="JM138" s="148"/>
      <c r="JN138" s="148"/>
      <c r="JO138" s="148"/>
      <c r="JP138" s="148"/>
      <c r="JQ138" s="148"/>
      <c r="JR138" s="148"/>
      <c r="JS138" s="148"/>
      <c r="JT138" s="148"/>
      <c r="JU138" s="148"/>
      <c r="JV138" s="148"/>
      <c r="JW138" s="148"/>
      <c r="JX138" s="148"/>
      <c r="JY138" s="148"/>
      <c r="JZ138" s="148"/>
      <c r="KA138" s="148"/>
      <c r="KB138" s="148"/>
      <c r="KC138" s="148"/>
      <c r="KD138" s="148"/>
      <c r="KE138" s="148"/>
      <c r="KF138" s="148"/>
      <c r="KG138" s="148"/>
      <c r="KH138" s="148"/>
      <c r="KI138" s="148"/>
      <c r="KJ138" s="148"/>
      <c r="KK138" s="148"/>
      <c r="KL138" s="148"/>
      <c r="KM138" s="148"/>
      <c r="KN138" s="148"/>
      <c r="KO138" s="148"/>
      <c r="KP138" s="148"/>
      <c r="KQ138" s="148"/>
      <c r="KR138" s="148"/>
      <c r="KS138" s="148"/>
      <c r="KT138" s="148"/>
      <c r="KU138" s="148"/>
      <c r="KV138" s="148"/>
      <c r="KW138" s="148"/>
      <c r="KX138" s="148"/>
      <c r="KY138" s="148"/>
      <c r="KZ138" s="148"/>
      <c r="LA138" s="148"/>
      <c r="LB138" s="148"/>
      <c r="LC138" s="148"/>
      <c r="LD138" s="148"/>
      <c r="LE138" s="148"/>
      <c r="LF138" s="148"/>
      <c r="LG138" s="148"/>
      <c r="LH138" s="148"/>
      <c r="LI138" s="148"/>
      <c r="LJ138" s="148"/>
      <c r="LK138" s="148"/>
      <c r="LL138" s="148"/>
      <c r="LM138" s="148"/>
      <c r="LN138" s="148"/>
      <c r="LO138" s="148"/>
      <c r="LP138" s="148"/>
      <c r="LQ138" s="148"/>
      <c r="LR138" s="148"/>
      <c r="LS138" s="148"/>
      <c r="LT138" s="148"/>
      <c r="LU138" s="148"/>
      <c r="LV138" s="148"/>
      <c r="LW138" s="148"/>
      <c r="LX138" s="148"/>
      <c r="LY138" s="148"/>
      <c r="LZ138" s="148"/>
      <c r="MA138" s="148"/>
      <c r="MB138" s="148"/>
      <c r="MC138" s="148"/>
      <c r="MD138" s="148"/>
      <c r="ME138" s="148"/>
      <c r="MF138" s="148"/>
      <c r="MG138" s="148"/>
      <c r="MH138" s="148"/>
      <c r="MI138" s="148"/>
      <c r="MJ138" s="148"/>
      <c r="MK138" s="148"/>
      <c r="ML138" s="148"/>
      <c r="MM138" s="148"/>
      <c r="MN138" s="148"/>
      <c r="MO138" s="148"/>
      <c r="MP138" s="148"/>
      <c r="MQ138" s="148"/>
      <c r="MR138" s="148"/>
      <c r="MS138" s="148"/>
      <c r="MT138" s="148"/>
      <c r="MU138" s="148"/>
      <c r="MV138" s="148"/>
      <c r="MW138" s="148"/>
      <c r="MX138" s="148"/>
      <c r="MY138" s="148"/>
      <c r="MZ138" s="148"/>
      <c r="NA138" s="148"/>
      <c r="NB138" s="148"/>
      <c r="NC138" s="148"/>
      <c r="ND138" s="148"/>
      <c r="NE138" s="148"/>
      <c r="NF138" s="148"/>
      <c r="NG138" s="148"/>
      <c r="NH138" s="148"/>
      <c r="NI138" s="148"/>
      <c r="NJ138" s="148"/>
      <c r="NK138" s="148"/>
      <c r="NL138" s="148"/>
      <c r="NM138" s="148"/>
      <c r="NN138" s="148"/>
      <c r="NO138" s="148"/>
      <c r="NP138" s="148"/>
      <c r="NQ138" s="148"/>
      <c r="NR138" s="148"/>
      <c r="NS138" s="148"/>
      <c r="NT138" s="148"/>
      <c r="NU138" s="148"/>
      <c r="NV138" s="148"/>
      <c r="NW138" s="148"/>
      <c r="NX138" s="148"/>
      <c r="NY138" s="148"/>
      <c r="NZ138" s="148"/>
      <c r="OA138" s="148"/>
      <c r="OB138" s="148"/>
      <c r="OC138" s="148"/>
      <c r="OD138" s="148"/>
      <c r="OE138" s="148"/>
      <c r="OF138" s="148"/>
      <c r="OG138" s="148"/>
      <c r="OH138" s="148"/>
      <c r="OI138" s="148"/>
      <c r="OJ138" s="148"/>
      <c r="OK138" s="148"/>
      <c r="OL138" s="148"/>
      <c r="OM138" s="148"/>
      <c r="ON138" s="148"/>
      <c r="OO138" s="148"/>
      <c r="OP138" s="148"/>
      <c r="OQ138" s="148"/>
      <c r="OR138" s="148"/>
      <c r="OS138" s="148"/>
      <c r="OT138" s="148"/>
      <c r="OU138" s="148"/>
      <c r="OV138" s="148"/>
      <c r="OW138" s="148"/>
      <c r="OX138" s="148"/>
      <c r="OY138" s="148"/>
      <c r="OZ138" s="148"/>
      <c r="PA138" s="148"/>
      <c r="PB138" s="148"/>
      <c r="PC138" s="148"/>
      <c r="PD138" s="148"/>
      <c r="PE138" s="148"/>
      <c r="PF138" s="148"/>
      <c r="PG138" s="148"/>
      <c r="PH138" s="148"/>
      <c r="PI138" s="148"/>
      <c r="PJ138" s="148"/>
      <c r="PK138" s="148"/>
      <c r="PL138" s="148"/>
      <c r="PM138" s="148"/>
      <c r="PN138" s="148"/>
      <c r="PO138" s="148"/>
      <c r="PP138" s="148"/>
      <c r="PQ138" s="148"/>
      <c r="PR138" s="148"/>
      <c r="PS138" s="148"/>
      <c r="PT138" s="148"/>
      <c r="PU138" s="148"/>
      <c r="PV138" s="148"/>
      <c r="PW138" s="148"/>
      <c r="PX138" s="148"/>
      <c r="PY138" s="148"/>
      <c r="PZ138" s="148"/>
      <c r="QA138" s="148"/>
      <c r="QB138" s="148"/>
      <c r="QC138" s="148"/>
      <c r="QD138" s="148"/>
      <c r="QE138" s="148"/>
      <c r="QF138" s="148"/>
      <c r="QG138" s="148"/>
      <c r="QH138" s="148"/>
      <c r="QI138" s="148"/>
      <c r="QJ138" s="148"/>
      <c r="QK138" s="148"/>
      <c r="QL138" s="148"/>
      <c r="QM138" s="148"/>
      <c r="QN138" s="148"/>
      <c r="QO138" s="148"/>
      <c r="QP138" s="148"/>
      <c r="QQ138" s="148"/>
      <c r="QR138" s="148"/>
      <c r="QS138" s="148"/>
      <c r="QT138" s="148"/>
      <c r="QU138" s="148"/>
      <c r="QV138" s="148"/>
      <c r="QW138" s="148"/>
      <c r="QX138" s="148"/>
      <c r="QY138" s="148"/>
      <c r="QZ138" s="148"/>
      <c r="RA138" s="148"/>
      <c r="RB138" s="148"/>
      <c r="RC138" s="148"/>
      <c r="RD138" s="148"/>
      <c r="RE138" s="148"/>
      <c r="RF138" s="148"/>
      <c r="RG138" s="148"/>
      <c r="RH138" s="148"/>
      <c r="RI138" s="148"/>
      <c r="RJ138" s="148"/>
      <c r="RK138" s="148"/>
      <c r="RL138" s="148"/>
      <c r="RM138" s="148"/>
      <c r="RN138" s="148"/>
      <c r="RO138" s="148"/>
      <c r="RP138" s="148"/>
      <c r="RQ138" s="148"/>
      <c r="RR138" s="148"/>
    </row>
    <row r="139" spans="1:486" s="15" customFormat="1" hidden="1" x14ac:dyDescent="0.25">
      <c r="A139" s="148"/>
      <c r="B139" s="350">
        <v>129</v>
      </c>
      <c r="C139" s="650"/>
      <c r="D139" s="16"/>
      <c r="E139" s="344"/>
      <c r="F139" s="344"/>
      <c r="G139" s="17"/>
      <c r="H139" s="317"/>
      <c r="I139" s="346"/>
      <c r="J139" s="341"/>
      <c r="K139" s="633"/>
      <c r="L139" s="633"/>
      <c r="M139" s="633"/>
      <c r="N139" s="633"/>
      <c r="O139" s="633"/>
      <c r="P139" s="633"/>
      <c r="Q139" s="633"/>
      <c r="R139" s="633"/>
      <c r="S139" s="633"/>
      <c r="T139" s="633"/>
      <c r="U139" s="633"/>
      <c r="V139" s="633"/>
      <c r="W139" s="633"/>
      <c r="X139" s="633"/>
      <c r="Y139" s="633">
        <f t="shared" si="3"/>
        <v>0</v>
      </c>
      <c r="Z139" s="637"/>
      <c r="AA139" s="19"/>
      <c r="AB139" s="315"/>
      <c r="AC139" s="315"/>
      <c r="AD139" s="652"/>
      <c r="AE139" s="20"/>
      <c r="AF139" s="21"/>
      <c r="AG139" s="23"/>
      <c r="AH139" s="637"/>
      <c r="AI139" s="19"/>
      <c r="AJ139" s="21"/>
      <c r="AK139" s="25"/>
      <c r="AL139" s="309"/>
      <c r="AM139" s="19"/>
      <c r="AN139" s="21"/>
      <c r="AO139" s="25"/>
      <c r="AP139" s="309"/>
      <c r="AQ139" s="19"/>
      <c r="AR139" s="21"/>
      <c r="AS139" s="25"/>
      <c r="AT139" s="638">
        <f t="shared" si="4"/>
        <v>0</v>
      </c>
      <c r="AU139" s="311">
        <f t="shared" si="5"/>
        <v>0</v>
      </c>
      <c r="AV139" s="148"/>
      <c r="AW139" s="148"/>
      <c r="AX139" s="148"/>
      <c r="AY139" s="148"/>
      <c r="AZ139" s="148"/>
      <c r="BA139" s="148"/>
      <c r="BB139" s="148"/>
      <c r="BC139" s="148"/>
      <c r="BD139" s="148"/>
      <c r="BE139" s="148"/>
      <c r="BF139" s="148"/>
      <c r="BG139" s="148"/>
      <c r="BH139" s="148"/>
      <c r="BI139" s="148"/>
      <c r="BJ139" s="148"/>
      <c r="BK139" s="148"/>
      <c r="BL139" s="148"/>
      <c r="BM139" s="148"/>
      <c r="BN139" s="148"/>
      <c r="BO139" s="148"/>
      <c r="BP139" s="148"/>
      <c r="BQ139" s="148"/>
      <c r="BR139" s="148"/>
      <c r="BS139" s="148"/>
      <c r="BT139" s="148"/>
      <c r="BU139" s="148"/>
      <c r="BV139" s="148"/>
      <c r="BW139" s="148"/>
      <c r="BX139" s="148"/>
      <c r="BY139" s="148"/>
      <c r="BZ139" s="148"/>
      <c r="CA139" s="148"/>
      <c r="CB139" s="148"/>
      <c r="CC139" s="148"/>
      <c r="CD139" s="148"/>
      <c r="CE139" s="148"/>
      <c r="CF139" s="148"/>
      <c r="CG139" s="148"/>
      <c r="CH139" s="148"/>
      <c r="CI139" s="148"/>
      <c r="CJ139" s="148"/>
      <c r="CK139" s="148"/>
      <c r="CL139" s="148"/>
      <c r="CM139" s="148"/>
      <c r="CN139" s="148"/>
      <c r="CO139" s="148"/>
      <c r="CP139" s="148"/>
      <c r="CQ139" s="148"/>
      <c r="CR139" s="148"/>
      <c r="CS139" s="148"/>
      <c r="CT139" s="148"/>
      <c r="CU139" s="148"/>
      <c r="CV139" s="148"/>
      <c r="CW139" s="148"/>
      <c r="CX139" s="148"/>
      <c r="CY139" s="148"/>
      <c r="CZ139" s="148"/>
      <c r="DA139" s="148"/>
      <c r="DB139" s="148"/>
      <c r="DC139" s="148"/>
      <c r="DD139" s="148"/>
      <c r="DE139" s="148"/>
      <c r="DF139" s="148"/>
      <c r="DG139" s="148"/>
      <c r="DH139" s="148"/>
      <c r="DI139" s="148"/>
      <c r="DJ139" s="148"/>
      <c r="DK139" s="148"/>
      <c r="DL139" s="148"/>
      <c r="DM139" s="148"/>
      <c r="DN139" s="148"/>
      <c r="DO139" s="148"/>
      <c r="DP139" s="148"/>
      <c r="DQ139" s="148"/>
      <c r="DR139" s="148"/>
      <c r="DS139" s="148"/>
      <c r="DT139" s="148"/>
      <c r="DU139" s="148"/>
      <c r="DV139" s="148"/>
      <c r="DW139" s="148"/>
      <c r="DX139" s="148"/>
      <c r="DY139" s="148"/>
      <c r="DZ139" s="148"/>
      <c r="EA139" s="148"/>
      <c r="EB139" s="148"/>
      <c r="EC139" s="148"/>
      <c r="ED139" s="148"/>
      <c r="EE139" s="148"/>
      <c r="EF139" s="148"/>
      <c r="EG139" s="148"/>
      <c r="EH139" s="148"/>
      <c r="EI139" s="148"/>
      <c r="EJ139" s="148"/>
      <c r="EK139" s="148"/>
      <c r="EL139" s="148"/>
      <c r="EM139" s="148"/>
      <c r="EN139" s="148"/>
      <c r="EO139" s="148"/>
      <c r="EP139" s="148"/>
      <c r="EQ139" s="148"/>
      <c r="ER139" s="148"/>
      <c r="ES139" s="148"/>
      <c r="ET139" s="148"/>
      <c r="EU139" s="148"/>
      <c r="EV139" s="148"/>
      <c r="EW139" s="148"/>
      <c r="EX139" s="148"/>
      <c r="EY139" s="148"/>
      <c r="EZ139" s="148"/>
      <c r="FA139" s="148"/>
      <c r="FB139" s="148"/>
      <c r="FC139" s="148"/>
      <c r="FD139" s="148"/>
      <c r="FE139" s="148"/>
      <c r="FF139" s="148"/>
      <c r="FG139" s="148"/>
      <c r="FH139" s="148"/>
      <c r="FI139" s="148"/>
      <c r="FJ139" s="148"/>
      <c r="FK139" s="148"/>
      <c r="FL139" s="148"/>
      <c r="FM139" s="148"/>
      <c r="FN139" s="148"/>
      <c r="FO139" s="148"/>
      <c r="FP139" s="148"/>
      <c r="FQ139" s="148"/>
      <c r="FR139" s="148"/>
      <c r="FS139" s="148"/>
      <c r="FT139" s="148"/>
      <c r="FU139" s="148"/>
      <c r="FV139" s="148"/>
      <c r="FW139" s="148"/>
      <c r="FX139" s="148"/>
      <c r="FY139" s="148"/>
      <c r="FZ139" s="148"/>
      <c r="GA139" s="148"/>
      <c r="GB139" s="148"/>
      <c r="GC139" s="148"/>
      <c r="GD139" s="148"/>
      <c r="GE139" s="148"/>
      <c r="GF139" s="148"/>
      <c r="GG139" s="148"/>
      <c r="GH139" s="148"/>
      <c r="GI139" s="148"/>
      <c r="GJ139" s="148"/>
      <c r="GK139" s="148"/>
      <c r="GL139" s="148"/>
      <c r="GM139" s="148"/>
      <c r="GN139" s="148"/>
      <c r="GO139" s="148"/>
      <c r="GP139" s="148"/>
      <c r="GQ139" s="148"/>
      <c r="GR139" s="148"/>
      <c r="GS139" s="148"/>
      <c r="GT139" s="148"/>
      <c r="GU139" s="148"/>
      <c r="GV139" s="148"/>
      <c r="GW139" s="148"/>
      <c r="GX139" s="148"/>
      <c r="GY139" s="148"/>
      <c r="GZ139" s="148"/>
      <c r="HA139" s="148"/>
      <c r="HB139" s="148"/>
      <c r="HC139" s="148"/>
      <c r="HD139" s="148"/>
      <c r="HE139" s="148"/>
      <c r="HF139" s="148"/>
      <c r="HG139" s="148"/>
      <c r="HH139" s="148"/>
      <c r="HI139" s="148"/>
      <c r="HJ139" s="148"/>
      <c r="HK139" s="148"/>
      <c r="HL139" s="148"/>
      <c r="HM139" s="148"/>
      <c r="HN139" s="148"/>
      <c r="HO139" s="148"/>
      <c r="HP139" s="148"/>
      <c r="HQ139" s="148"/>
      <c r="HR139" s="148"/>
      <c r="HS139" s="148"/>
      <c r="HT139" s="148"/>
      <c r="HU139" s="148"/>
      <c r="HV139" s="148"/>
      <c r="HW139" s="148"/>
      <c r="HX139" s="148"/>
      <c r="HY139" s="148"/>
      <c r="HZ139" s="148"/>
      <c r="IA139" s="148"/>
      <c r="IB139" s="148"/>
      <c r="IC139" s="148"/>
      <c r="ID139" s="148"/>
      <c r="IE139" s="148"/>
      <c r="IF139" s="148"/>
      <c r="IG139" s="148"/>
      <c r="IH139" s="148"/>
      <c r="II139" s="148"/>
      <c r="IJ139" s="148"/>
      <c r="IK139" s="148"/>
      <c r="IL139" s="148"/>
      <c r="IM139" s="148"/>
      <c r="IN139" s="148"/>
      <c r="IO139" s="148"/>
      <c r="IP139" s="148"/>
      <c r="IQ139" s="148"/>
      <c r="IR139" s="148"/>
      <c r="IS139" s="148"/>
      <c r="IT139" s="148"/>
      <c r="IU139" s="148"/>
      <c r="IV139" s="148"/>
      <c r="IW139" s="148"/>
      <c r="IX139" s="148"/>
      <c r="IY139" s="148"/>
      <c r="IZ139" s="148"/>
      <c r="JA139" s="148"/>
      <c r="JB139" s="148"/>
      <c r="JC139" s="148"/>
      <c r="JD139" s="148"/>
      <c r="JE139" s="148"/>
      <c r="JF139" s="148"/>
      <c r="JG139" s="148"/>
      <c r="JH139" s="148"/>
      <c r="JI139" s="148"/>
      <c r="JJ139" s="148"/>
      <c r="JK139" s="148"/>
      <c r="JL139" s="148"/>
      <c r="JM139" s="148"/>
      <c r="JN139" s="148"/>
      <c r="JO139" s="148"/>
      <c r="JP139" s="148"/>
      <c r="JQ139" s="148"/>
      <c r="JR139" s="148"/>
      <c r="JS139" s="148"/>
      <c r="JT139" s="148"/>
      <c r="JU139" s="148"/>
      <c r="JV139" s="148"/>
      <c r="JW139" s="148"/>
      <c r="JX139" s="148"/>
      <c r="JY139" s="148"/>
      <c r="JZ139" s="148"/>
      <c r="KA139" s="148"/>
      <c r="KB139" s="148"/>
      <c r="KC139" s="148"/>
      <c r="KD139" s="148"/>
      <c r="KE139" s="148"/>
      <c r="KF139" s="148"/>
      <c r="KG139" s="148"/>
      <c r="KH139" s="148"/>
      <c r="KI139" s="148"/>
      <c r="KJ139" s="148"/>
      <c r="KK139" s="148"/>
      <c r="KL139" s="148"/>
      <c r="KM139" s="148"/>
      <c r="KN139" s="148"/>
      <c r="KO139" s="148"/>
      <c r="KP139" s="148"/>
      <c r="KQ139" s="148"/>
      <c r="KR139" s="148"/>
      <c r="KS139" s="148"/>
      <c r="KT139" s="148"/>
      <c r="KU139" s="148"/>
      <c r="KV139" s="148"/>
      <c r="KW139" s="148"/>
      <c r="KX139" s="148"/>
      <c r="KY139" s="148"/>
      <c r="KZ139" s="148"/>
      <c r="LA139" s="148"/>
      <c r="LB139" s="148"/>
      <c r="LC139" s="148"/>
      <c r="LD139" s="148"/>
      <c r="LE139" s="148"/>
      <c r="LF139" s="148"/>
      <c r="LG139" s="148"/>
      <c r="LH139" s="148"/>
      <c r="LI139" s="148"/>
      <c r="LJ139" s="148"/>
      <c r="LK139" s="148"/>
      <c r="LL139" s="148"/>
      <c r="LM139" s="148"/>
      <c r="LN139" s="148"/>
      <c r="LO139" s="148"/>
      <c r="LP139" s="148"/>
      <c r="LQ139" s="148"/>
      <c r="LR139" s="148"/>
      <c r="LS139" s="148"/>
      <c r="LT139" s="148"/>
      <c r="LU139" s="148"/>
      <c r="LV139" s="148"/>
      <c r="LW139" s="148"/>
      <c r="LX139" s="148"/>
      <c r="LY139" s="148"/>
      <c r="LZ139" s="148"/>
      <c r="MA139" s="148"/>
      <c r="MB139" s="148"/>
      <c r="MC139" s="148"/>
      <c r="MD139" s="148"/>
      <c r="ME139" s="148"/>
      <c r="MF139" s="148"/>
      <c r="MG139" s="148"/>
      <c r="MH139" s="148"/>
      <c r="MI139" s="148"/>
      <c r="MJ139" s="148"/>
      <c r="MK139" s="148"/>
      <c r="ML139" s="148"/>
      <c r="MM139" s="148"/>
      <c r="MN139" s="148"/>
      <c r="MO139" s="148"/>
      <c r="MP139" s="148"/>
      <c r="MQ139" s="148"/>
      <c r="MR139" s="148"/>
      <c r="MS139" s="148"/>
      <c r="MT139" s="148"/>
      <c r="MU139" s="148"/>
      <c r="MV139" s="148"/>
      <c r="MW139" s="148"/>
      <c r="MX139" s="148"/>
      <c r="MY139" s="148"/>
      <c r="MZ139" s="148"/>
      <c r="NA139" s="148"/>
      <c r="NB139" s="148"/>
      <c r="NC139" s="148"/>
      <c r="ND139" s="148"/>
      <c r="NE139" s="148"/>
      <c r="NF139" s="148"/>
      <c r="NG139" s="148"/>
      <c r="NH139" s="148"/>
      <c r="NI139" s="148"/>
      <c r="NJ139" s="148"/>
      <c r="NK139" s="148"/>
      <c r="NL139" s="148"/>
      <c r="NM139" s="148"/>
      <c r="NN139" s="148"/>
      <c r="NO139" s="148"/>
      <c r="NP139" s="148"/>
      <c r="NQ139" s="148"/>
      <c r="NR139" s="148"/>
      <c r="NS139" s="148"/>
      <c r="NT139" s="148"/>
      <c r="NU139" s="148"/>
      <c r="NV139" s="148"/>
      <c r="NW139" s="148"/>
      <c r="NX139" s="148"/>
      <c r="NY139" s="148"/>
      <c r="NZ139" s="148"/>
      <c r="OA139" s="148"/>
      <c r="OB139" s="148"/>
      <c r="OC139" s="148"/>
      <c r="OD139" s="148"/>
      <c r="OE139" s="148"/>
      <c r="OF139" s="148"/>
      <c r="OG139" s="148"/>
      <c r="OH139" s="148"/>
      <c r="OI139" s="148"/>
      <c r="OJ139" s="148"/>
      <c r="OK139" s="148"/>
      <c r="OL139" s="148"/>
      <c r="OM139" s="148"/>
      <c r="ON139" s="148"/>
      <c r="OO139" s="148"/>
      <c r="OP139" s="148"/>
      <c r="OQ139" s="148"/>
      <c r="OR139" s="148"/>
      <c r="OS139" s="148"/>
      <c r="OT139" s="148"/>
      <c r="OU139" s="148"/>
      <c r="OV139" s="148"/>
      <c r="OW139" s="148"/>
      <c r="OX139" s="148"/>
      <c r="OY139" s="148"/>
      <c r="OZ139" s="148"/>
      <c r="PA139" s="148"/>
      <c r="PB139" s="148"/>
      <c r="PC139" s="148"/>
      <c r="PD139" s="148"/>
      <c r="PE139" s="148"/>
      <c r="PF139" s="148"/>
      <c r="PG139" s="148"/>
      <c r="PH139" s="148"/>
      <c r="PI139" s="148"/>
      <c r="PJ139" s="148"/>
      <c r="PK139" s="148"/>
      <c r="PL139" s="148"/>
      <c r="PM139" s="148"/>
      <c r="PN139" s="148"/>
      <c r="PO139" s="148"/>
      <c r="PP139" s="148"/>
      <c r="PQ139" s="148"/>
      <c r="PR139" s="148"/>
      <c r="PS139" s="148"/>
      <c r="PT139" s="148"/>
      <c r="PU139" s="148"/>
      <c r="PV139" s="148"/>
      <c r="PW139" s="148"/>
      <c r="PX139" s="148"/>
      <c r="PY139" s="148"/>
      <c r="PZ139" s="148"/>
      <c r="QA139" s="148"/>
      <c r="QB139" s="148"/>
      <c r="QC139" s="148"/>
      <c r="QD139" s="148"/>
      <c r="QE139" s="148"/>
      <c r="QF139" s="148"/>
      <c r="QG139" s="148"/>
      <c r="QH139" s="148"/>
      <c r="QI139" s="148"/>
      <c r="QJ139" s="148"/>
      <c r="QK139" s="148"/>
      <c r="QL139" s="148"/>
      <c r="QM139" s="148"/>
      <c r="QN139" s="148"/>
      <c r="QO139" s="148"/>
      <c r="QP139" s="148"/>
      <c r="QQ139" s="148"/>
      <c r="QR139" s="148"/>
      <c r="QS139" s="148"/>
      <c r="QT139" s="148"/>
      <c r="QU139" s="148"/>
      <c r="QV139" s="148"/>
      <c r="QW139" s="148"/>
      <c r="QX139" s="148"/>
      <c r="QY139" s="148"/>
      <c r="QZ139" s="148"/>
      <c r="RA139" s="148"/>
      <c r="RB139" s="148"/>
      <c r="RC139" s="148"/>
      <c r="RD139" s="148"/>
      <c r="RE139" s="148"/>
      <c r="RF139" s="148"/>
      <c r="RG139" s="148"/>
      <c r="RH139" s="148"/>
      <c r="RI139" s="148"/>
      <c r="RJ139" s="148"/>
      <c r="RK139" s="148"/>
      <c r="RL139" s="148"/>
      <c r="RM139" s="148"/>
      <c r="RN139" s="148"/>
      <c r="RO139" s="148"/>
      <c r="RP139" s="148"/>
      <c r="RQ139" s="148"/>
      <c r="RR139" s="148"/>
    </row>
    <row r="140" spans="1:486" s="15" customFormat="1" hidden="1" x14ac:dyDescent="0.25">
      <c r="A140" s="148"/>
      <c r="B140" s="350">
        <v>130</v>
      </c>
      <c r="C140" s="650"/>
      <c r="D140" s="16"/>
      <c r="E140" s="344"/>
      <c r="F140" s="344"/>
      <c r="G140" s="17"/>
      <c r="H140" s="317"/>
      <c r="I140" s="346"/>
      <c r="J140" s="341"/>
      <c r="K140" s="633"/>
      <c r="L140" s="633"/>
      <c r="M140" s="633"/>
      <c r="N140" s="633"/>
      <c r="O140" s="633"/>
      <c r="P140" s="633"/>
      <c r="Q140" s="633"/>
      <c r="R140" s="633"/>
      <c r="S140" s="633"/>
      <c r="T140" s="633"/>
      <c r="U140" s="633"/>
      <c r="V140" s="633"/>
      <c r="W140" s="633"/>
      <c r="X140" s="633"/>
      <c r="Y140" s="633">
        <f t="shared" si="3"/>
        <v>0</v>
      </c>
      <c r="Z140" s="637"/>
      <c r="AA140" s="19"/>
      <c r="AB140" s="315"/>
      <c r="AC140" s="315"/>
      <c r="AD140" s="652"/>
      <c r="AE140" s="20"/>
      <c r="AF140" s="21"/>
      <c r="AG140" s="23"/>
      <c r="AH140" s="637"/>
      <c r="AI140" s="19"/>
      <c r="AJ140" s="21"/>
      <c r="AK140" s="25"/>
      <c r="AL140" s="309"/>
      <c r="AM140" s="19"/>
      <c r="AN140" s="21"/>
      <c r="AO140" s="25"/>
      <c r="AP140" s="309"/>
      <c r="AQ140" s="19"/>
      <c r="AR140" s="21"/>
      <c r="AS140" s="25"/>
      <c r="AT140" s="638">
        <f t="shared" si="4"/>
        <v>0</v>
      </c>
      <c r="AU140" s="311">
        <f t="shared" si="5"/>
        <v>0</v>
      </c>
      <c r="AV140" s="148"/>
      <c r="AW140" s="148"/>
      <c r="AX140" s="148"/>
      <c r="AY140" s="148"/>
      <c r="AZ140" s="148"/>
      <c r="BA140" s="148"/>
      <c r="BB140" s="148"/>
      <c r="BC140" s="148"/>
      <c r="BD140" s="148"/>
      <c r="BE140" s="148"/>
      <c r="BF140" s="148"/>
      <c r="BG140" s="148"/>
      <c r="BH140" s="148"/>
      <c r="BI140" s="148"/>
      <c r="BJ140" s="148"/>
      <c r="BK140" s="148"/>
      <c r="BL140" s="148"/>
      <c r="BM140" s="148"/>
      <c r="BN140" s="148"/>
      <c r="BO140" s="148"/>
      <c r="BP140" s="148"/>
      <c r="BQ140" s="148"/>
      <c r="BR140" s="148"/>
      <c r="BS140" s="148"/>
      <c r="BT140" s="148"/>
      <c r="BU140" s="148"/>
      <c r="BV140" s="148"/>
      <c r="BW140" s="148"/>
      <c r="BX140" s="148"/>
      <c r="BY140" s="148"/>
      <c r="BZ140" s="148"/>
      <c r="CA140" s="148"/>
      <c r="CB140" s="148"/>
      <c r="CC140" s="148"/>
      <c r="CD140" s="148"/>
      <c r="CE140" s="148"/>
      <c r="CF140" s="148"/>
      <c r="CG140" s="148"/>
      <c r="CH140" s="148"/>
      <c r="CI140" s="148"/>
      <c r="CJ140" s="148"/>
      <c r="CK140" s="148"/>
      <c r="CL140" s="148"/>
      <c r="CM140" s="148"/>
      <c r="CN140" s="148"/>
      <c r="CO140" s="148"/>
      <c r="CP140" s="148"/>
      <c r="CQ140" s="148"/>
      <c r="CR140" s="148"/>
      <c r="CS140" s="148"/>
      <c r="CT140" s="148"/>
      <c r="CU140" s="148"/>
      <c r="CV140" s="148"/>
      <c r="CW140" s="148"/>
      <c r="CX140" s="148"/>
      <c r="CY140" s="148"/>
      <c r="CZ140" s="148"/>
      <c r="DA140" s="148"/>
      <c r="DB140" s="148"/>
      <c r="DC140" s="148"/>
      <c r="DD140" s="148"/>
      <c r="DE140" s="148"/>
      <c r="DF140" s="148"/>
      <c r="DG140" s="148"/>
      <c r="DH140" s="148"/>
      <c r="DI140" s="148"/>
      <c r="DJ140" s="148"/>
      <c r="DK140" s="148"/>
      <c r="DL140" s="148"/>
      <c r="DM140" s="148"/>
      <c r="DN140" s="148"/>
      <c r="DO140" s="148"/>
      <c r="DP140" s="148"/>
      <c r="DQ140" s="148"/>
      <c r="DR140" s="148"/>
      <c r="DS140" s="148"/>
      <c r="DT140" s="148"/>
      <c r="DU140" s="148"/>
      <c r="DV140" s="148"/>
      <c r="DW140" s="148"/>
      <c r="DX140" s="148"/>
      <c r="DY140" s="148"/>
      <c r="DZ140" s="148"/>
      <c r="EA140" s="148"/>
      <c r="EB140" s="148"/>
      <c r="EC140" s="148"/>
      <c r="ED140" s="148"/>
      <c r="EE140" s="148"/>
      <c r="EF140" s="148"/>
      <c r="EG140" s="148"/>
      <c r="EH140" s="148"/>
      <c r="EI140" s="148"/>
      <c r="EJ140" s="148"/>
      <c r="EK140" s="148"/>
      <c r="EL140" s="148"/>
      <c r="EM140" s="148"/>
      <c r="EN140" s="148"/>
      <c r="EO140" s="148"/>
      <c r="EP140" s="148"/>
      <c r="EQ140" s="148"/>
      <c r="ER140" s="148"/>
      <c r="ES140" s="148"/>
      <c r="ET140" s="148"/>
      <c r="EU140" s="148"/>
      <c r="EV140" s="148"/>
      <c r="EW140" s="148"/>
      <c r="EX140" s="148"/>
      <c r="EY140" s="148"/>
      <c r="EZ140" s="148"/>
      <c r="FA140" s="148"/>
      <c r="FB140" s="148"/>
      <c r="FC140" s="148"/>
      <c r="FD140" s="148"/>
      <c r="FE140" s="148"/>
      <c r="FF140" s="148"/>
      <c r="FG140" s="148"/>
      <c r="FH140" s="148"/>
      <c r="FI140" s="148"/>
      <c r="FJ140" s="148"/>
      <c r="FK140" s="148"/>
      <c r="FL140" s="148"/>
      <c r="FM140" s="148"/>
      <c r="FN140" s="148"/>
      <c r="FO140" s="148"/>
      <c r="FP140" s="148"/>
      <c r="FQ140" s="148"/>
      <c r="FR140" s="148"/>
      <c r="FS140" s="148"/>
      <c r="FT140" s="148"/>
      <c r="FU140" s="148"/>
      <c r="FV140" s="148"/>
      <c r="FW140" s="148"/>
      <c r="FX140" s="148"/>
      <c r="FY140" s="148"/>
      <c r="FZ140" s="148"/>
      <c r="GA140" s="148"/>
      <c r="GB140" s="148"/>
      <c r="GC140" s="148"/>
      <c r="GD140" s="148"/>
      <c r="GE140" s="148"/>
      <c r="GF140" s="148"/>
      <c r="GG140" s="148"/>
      <c r="GH140" s="148"/>
      <c r="GI140" s="148"/>
      <c r="GJ140" s="148"/>
      <c r="GK140" s="148"/>
      <c r="GL140" s="148"/>
      <c r="GM140" s="148"/>
      <c r="GN140" s="148"/>
      <c r="GO140" s="148"/>
      <c r="GP140" s="148"/>
      <c r="GQ140" s="148"/>
      <c r="GR140" s="148"/>
      <c r="GS140" s="148"/>
      <c r="GT140" s="148"/>
      <c r="GU140" s="148"/>
      <c r="GV140" s="148"/>
      <c r="GW140" s="148"/>
      <c r="GX140" s="148"/>
      <c r="GY140" s="148"/>
      <c r="GZ140" s="148"/>
      <c r="HA140" s="148"/>
      <c r="HB140" s="148"/>
      <c r="HC140" s="148"/>
      <c r="HD140" s="148"/>
      <c r="HE140" s="148"/>
      <c r="HF140" s="148"/>
      <c r="HG140" s="148"/>
      <c r="HH140" s="148"/>
      <c r="HI140" s="148"/>
      <c r="HJ140" s="148"/>
      <c r="HK140" s="148"/>
      <c r="HL140" s="148"/>
      <c r="HM140" s="148"/>
      <c r="HN140" s="148"/>
      <c r="HO140" s="148"/>
      <c r="HP140" s="148"/>
      <c r="HQ140" s="148"/>
      <c r="HR140" s="148"/>
      <c r="HS140" s="148"/>
      <c r="HT140" s="148"/>
      <c r="HU140" s="148"/>
      <c r="HV140" s="148"/>
      <c r="HW140" s="148"/>
      <c r="HX140" s="148"/>
      <c r="HY140" s="148"/>
      <c r="HZ140" s="148"/>
      <c r="IA140" s="148"/>
      <c r="IB140" s="148"/>
      <c r="IC140" s="148"/>
      <c r="ID140" s="148"/>
      <c r="IE140" s="148"/>
      <c r="IF140" s="148"/>
      <c r="IG140" s="148"/>
      <c r="IH140" s="148"/>
      <c r="II140" s="148"/>
      <c r="IJ140" s="148"/>
      <c r="IK140" s="148"/>
      <c r="IL140" s="148"/>
      <c r="IM140" s="148"/>
      <c r="IN140" s="148"/>
      <c r="IO140" s="148"/>
      <c r="IP140" s="148"/>
      <c r="IQ140" s="148"/>
      <c r="IR140" s="148"/>
      <c r="IS140" s="148"/>
      <c r="IT140" s="148"/>
      <c r="IU140" s="148"/>
      <c r="IV140" s="148"/>
      <c r="IW140" s="148"/>
      <c r="IX140" s="148"/>
      <c r="IY140" s="148"/>
      <c r="IZ140" s="148"/>
      <c r="JA140" s="148"/>
      <c r="JB140" s="148"/>
      <c r="JC140" s="148"/>
      <c r="JD140" s="148"/>
      <c r="JE140" s="148"/>
      <c r="JF140" s="148"/>
      <c r="JG140" s="148"/>
      <c r="JH140" s="148"/>
      <c r="JI140" s="148"/>
      <c r="JJ140" s="148"/>
      <c r="JK140" s="148"/>
      <c r="JL140" s="148"/>
      <c r="JM140" s="148"/>
      <c r="JN140" s="148"/>
      <c r="JO140" s="148"/>
      <c r="JP140" s="148"/>
      <c r="JQ140" s="148"/>
      <c r="JR140" s="148"/>
      <c r="JS140" s="148"/>
      <c r="JT140" s="148"/>
      <c r="JU140" s="148"/>
      <c r="JV140" s="148"/>
      <c r="JW140" s="148"/>
      <c r="JX140" s="148"/>
      <c r="JY140" s="148"/>
      <c r="JZ140" s="148"/>
      <c r="KA140" s="148"/>
      <c r="KB140" s="148"/>
      <c r="KC140" s="148"/>
      <c r="KD140" s="148"/>
      <c r="KE140" s="148"/>
      <c r="KF140" s="148"/>
      <c r="KG140" s="148"/>
      <c r="KH140" s="148"/>
      <c r="KI140" s="148"/>
      <c r="KJ140" s="148"/>
      <c r="KK140" s="148"/>
      <c r="KL140" s="148"/>
      <c r="KM140" s="148"/>
      <c r="KN140" s="148"/>
      <c r="KO140" s="148"/>
      <c r="KP140" s="148"/>
      <c r="KQ140" s="148"/>
      <c r="KR140" s="148"/>
      <c r="KS140" s="148"/>
      <c r="KT140" s="148"/>
      <c r="KU140" s="148"/>
      <c r="KV140" s="148"/>
      <c r="KW140" s="148"/>
      <c r="KX140" s="148"/>
      <c r="KY140" s="148"/>
      <c r="KZ140" s="148"/>
      <c r="LA140" s="148"/>
      <c r="LB140" s="148"/>
      <c r="LC140" s="148"/>
      <c r="LD140" s="148"/>
      <c r="LE140" s="148"/>
      <c r="LF140" s="148"/>
      <c r="LG140" s="148"/>
      <c r="LH140" s="148"/>
      <c r="LI140" s="148"/>
      <c r="LJ140" s="148"/>
      <c r="LK140" s="148"/>
      <c r="LL140" s="148"/>
      <c r="LM140" s="148"/>
      <c r="LN140" s="148"/>
      <c r="LO140" s="148"/>
      <c r="LP140" s="148"/>
      <c r="LQ140" s="148"/>
      <c r="LR140" s="148"/>
      <c r="LS140" s="148"/>
      <c r="LT140" s="148"/>
      <c r="LU140" s="148"/>
      <c r="LV140" s="148"/>
      <c r="LW140" s="148"/>
      <c r="LX140" s="148"/>
      <c r="LY140" s="148"/>
      <c r="LZ140" s="148"/>
      <c r="MA140" s="148"/>
      <c r="MB140" s="148"/>
      <c r="MC140" s="148"/>
      <c r="MD140" s="148"/>
      <c r="ME140" s="148"/>
      <c r="MF140" s="148"/>
      <c r="MG140" s="148"/>
      <c r="MH140" s="148"/>
      <c r="MI140" s="148"/>
      <c r="MJ140" s="148"/>
      <c r="MK140" s="148"/>
      <c r="ML140" s="148"/>
      <c r="MM140" s="148"/>
      <c r="MN140" s="148"/>
      <c r="MO140" s="148"/>
      <c r="MP140" s="148"/>
      <c r="MQ140" s="148"/>
      <c r="MR140" s="148"/>
      <c r="MS140" s="148"/>
      <c r="MT140" s="148"/>
      <c r="MU140" s="148"/>
      <c r="MV140" s="148"/>
      <c r="MW140" s="148"/>
      <c r="MX140" s="148"/>
      <c r="MY140" s="148"/>
      <c r="MZ140" s="148"/>
      <c r="NA140" s="148"/>
      <c r="NB140" s="148"/>
      <c r="NC140" s="148"/>
      <c r="ND140" s="148"/>
      <c r="NE140" s="148"/>
      <c r="NF140" s="148"/>
      <c r="NG140" s="148"/>
      <c r="NH140" s="148"/>
      <c r="NI140" s="148"/>
      <c r="NJ140" s="148"/>
      <c r="NK140" s="148"/>
      <c r="NL140" s="148"/>
      <c r="NM140" s="148"/>
      <c r="NN140" s="148"/>
      <c r="NO140" s="148"/>
      <c r="NP140" s="148"/>
      <c r="NQ140" s="148"/>
      <c r="NR140" s="148"/>
      <c r="NS140" s="148"/>
      <c r="NT140" s="148"/>
      <c r="NU140" s="148"/>
      <c r="NV140" s="148"/>
      <c r="NW140" s="148"/>
      <c r="NX140" s="148"/>
      <c r="NY140" s="148"/>
      <c r="NZ140" s="148"/>
      <c r="OA140" s="148"/>
      <c r="OB140" s="148"/>
      <c r="OC140" s="148"/>
      <c r="OD140" s="148"/>
      <c r="OE140" s="148"/>
      <c r="OF140" s="148"/>
      <c r="OG140" s="148"/>
      <c r="OH140" s="148"/>
      <c r="OI140" s="148"/>
      <c r="OJ140" s="148"/>
      <c r="OK140" s="148"/>
      <c r="OL140" s="148"/>
      <c r="OM140" s="148"/>
      <c r="ON140" s="148"/>
      <c r="OO140" s="148"/>
      <c r="OP140" s="148"/>
      <c r="OQ140" s="148"/>
      <c r="OR140" s="148"/>
      <c r="OS140" s="148"/>
      <c r="OT140" s="148"/>
      <c r="OU140" s="148"/>
      <c r="OV140" s="148"/>
      <c r="OW140" s="148"/>
      <c r="OX140" s="148"/>
      <c r="OY140" s="148"/>
      <c r="OZ140" s="148"/>
      <c r="PA140" s="148"/>
      <c r="PB140" s="148"/>
      <c r="PC140" s="148"/>
      <c r="PD140" s="148"/>
      <c r="PE140" s="148"/>
      <c r="PF140" s="148"/>
      <c r="PG140" s="148"/>
      <c r="PH140" s="148"/>
      <c r="PI140" s="148"/>
      <c r="PJ140" s="148"/>
      <c r="PK140" s="148"/>
      <c r="PL140" s="148"/>
      <c r="PM140" s="148"/>
      <c r="PN140" s="148"/>
      <c r="PO140" s="148"/>
      <c r="PP140" s="148"/>
      <c r="PQ140" s="148"/>
      <c r="PR140" s="148"/>
      <c r="PS140" s="148"/>
      <c r="PT140" s="148"/>
      <c r="PU140" s="148"/>
      <c r="PV140" s="148"/>
      <c r="PW140" s="148"/>
      <c r="PX140" s="148"/>
      <c r="PY140" s="148"/>
      <c r="PZ140" s="148"/>
      <c r="QA140" s="148"/>
      <c r="QB140" s="148"/>
      <c r="QC140" s="148"/>
      <c r="QD140" s="148"/>
      <c r="QE140" s="148"/>
      <c r="QF140" s="148"/>
      <c r="QG140" s="148"/>
      <c r="QH140" s="148"/>
      <c r="QI140" s="148"/>
      <c r="QJ140" s="148"/>
      <c r="QK140" s="148"/>
      <c r="QL140" s="148"/>
      <c r="QM140" s="148"/>
      <c r="QN140" s="148"/>
      <c r="QO140" s="148"/>
      <c r="QP140" s="148"/>
      <c r="QQ140" s="148"/>
      <c r="QR140" s="148"/>
      <c r="QS140" s="148"/>
      <c r="QT140" s="148"/>
      <c r="QU140" s="148"/>
      <c r="QV140" s="148"/>
      <c r="QW140" s="148"/>
      <c r="QX140" s="148"/>
      <c r="QY140" s="148"/>
      <c r="QZ140" s="148"/>
      <c r="RA140" s="148"/>
      <c r="RB140" s="148"/>
      <c r="RC140" s="148"/>
      <c r="RD140" s="148"/>
      <c r="RE140" s="148"/>
      <c r="RF140" s="148"/>
      <c r="RG140" s="148"/>
      <c r="RH140" s="148"/>
      <c r="RI140" s="148"/>
      <c r="RJ140" s="148"/>
      <c r="RK140" s="148"/>
      <c r="RL140" s="148"/>
      <c r="RM140" s="148"/>
      <c r="RN140" s="148"/>
      <c r="RO140" s="148"/>
      <c r="RP140" s="148"/>
      <c r="RQ140" s="148"/>
      <c r="RR140" s="148"/>
    </row>
    <row r="141" spans="1:486" s="15" customFormat="1" hidden="1" x14ac:dyDescent="0.25">
      <c r="A141" s="148"/>
      <c r="B141" s="350">
        <v>131</v>
      </c>
      <c r="C141" s="650"/>
      <c r="D141" s="16"/>
      <c r="E141" s="344"/>
      <c r="F141" s="344"/>
      <c r="G141" s="17"/>
      <c r="H141" s="317"/>
      <c r="I141" s="346"/>
      <c r="J141" s="341"/>
      <c r="K141" s="633"/>
      <c r="L141" s="633"/>
      <c r="M141" s="633"/>
      <c r="N141" s="633"/>
      <c r="O141" s="633"/>
      <c r="P141" s="633"/>
      <c r="Q141" s="633"/>
      <c r="R141" s="633"/>
      <c r="S141" s="633"/>
      <c r="T141" s="633"/>
      <c r="U141" s="633"/>
      <c r="V141" s="633"/>
      <c r="W141" s="633"/>
      <c r="X141" s="633"/>
      <c r="Y141" s="633">
        <f t="shared" si="3"/>
        <v>0</v>
      </c>
      <c r="Z141" s="310"/>
      <c r="AA141" s="19"/>
      <c r="AB141" s="315"/>
      <c r="AC141" s="315"/>
      <c r="AD141" s="652"/>
      <c r="AE141" s="20"/>
      <c r="AF141" s="21"/>
      <c r="AG141" s="23"/>
      <c r="AH141" s="637"/>
      <c r="AI141" s="19"/>
      <c r="AJ141" s="21"/>
      <c r="AK141" s="25"/>
      <c r="AL141" s="309"/>
      <c r="AM141" s="19"/>
      <c r="AN141" s="21"/>
      <c r="AO141" s="25"/>
      <c r="AP141" s="309"/>
      <c r="AQ141" s="19"/>
      <c r="AR141" s="21"/>
      <c r="AS141" s="25"/>
      <c r="AT141" s="638">
        <f t="shared" si="4"/>
        <v>0</v>
      </c>
      <c r="AU141" s="311">
        <f t="shared" si="5"/>
        <v>0</v>
      </c>
      <c r="AV141" s="148"/>
      <c r="AW141" s="148"/>
      <c r="AX141" s="148"/>
      <c r="AY141" s="148"/>
      <c r="AZ141" s="148"/>
      <c r="BA141" s="148"/>
      <c r="BB141" s="148"/>
      <c r="BC141" s="148"/>
      <c r="BD141" s="148"/>
      <c r="BE141" s="148"/>
      <c r="BF141" s="148"/>
      <c r="BG141" s="148"/>
      <c r="BH141" s="148"/>
      <c r="BI141" s="148"/>
      <c r="BJ141" s="148"/>
      <c r="BK141" s="148"/>
      <c r="BL141" s="148"/>
      <c r="BM141" s="148"/>
      <c r="BN141" s="148"/>
      <c r="BO141" s="148"/>
      <c r="BP141" s="148"/>
      <c r="BQ141" s="148"/>
      <c r="BR141" s="148"/>
      <c r="BS141" s="148"/>
      <c r="BT141" s="148"/>
      <c r="BU141" s="148"/>
      <c r="BV141" s="148"/>
      <c r="BW141" s="148"/>
      <c r="BX141" s="148"/>
      <c r="BY141" s="148"/>
      <c r="BZ141" s="148"/>
      <c r="CA141" s="148"/>
      <c r="CB141" s="148"/>
      <c r="CC141" s="148"/>
      <c r="CD141" s="148"/>
      <c r="CE141" s="148"/>
      <c r="CF141" s="148"/>
      <c r="CG141" s="148"/>
      <c r="CH141" s="148"/>
      <c r="CI141" s="148"/>
      <c r="CJ141" s="148"/>
      <c r="CK141" s="148"/>
      <c r="CL141" s="148"/>
      <c r="CM141" s="148"/>
      <c r="CN141" s="148"/>
      <c r="CO141" s="148"/>
      <c r="CP141" s="148"/>
      <c r="CQ141" s="148"/>
      <c r="CR141" s="148"/>
      <c r="CS141" s="148"/>
      <c r="CT141" s="148"/>
      <c r="CU141" s="148"/>
      <c r="CV141" s="148"/>
      <c r="CW141" s="148"/>
      <c r="CX141" s="148"/>
      <c r="CY141" s="148"/>
      <c r="CZ141" s="148"/>
      <c r="DA141" s="148"/>
      <c r="DB141" s="148"/>
      <c r="DC141" s="148"/>
      <c r="DD141" s="148"/>
      <c r="DE141" s="148"/>
      <c r="DF141" s="148"/>
      <c r="DG141" s="148"/>
      <c r="DH141" s="148"/>
      <c r="DI141" s="148"/>
      <c r="DJ141" s="148"/>
      <c r="DK141" s="148"/>
      <c r="DL141" s="148"/>
      <c r="DM141" s="148"/>
      <c r="DN141" s="148"/>
      <c r="DO141" s="148"/>
      <c r="DP141" s="148"/>
      <c r="DQ141" s="148"/>
      <c r="DR141" s="148"/>
      <c r="DS141" s="148"/>
      <c r="DT141" s="148"/>
      <c r="DU141" s="148"/>
      <c r="DV141" s="148"/>
      <c r="DW141" s="148"/>
      <c r="DX141" s="148"/>
      <c r="DY141" s="148"/>
      <c r="DZ141" s="148"/>
      <c r="EA141" s="148"/>
      <c r="EB141" s="148"/>
      <c r="EC141" s="148"/>
      <c r="ED141" s="148"/>
      <c r="EE141" s="148"/>
      <c r="EF141" s="148"/>
      <c r="EG141" s="148"/>
      <c r="EH141" s="148"/>
      <c r="EI141" s="148"/>
      <c r="EJ141" s="148"/>
      <c r="EK141" s="148"/>
      <c r="EL141" s="148"/>
      <c r="EM141" s="148"/>
      <c r="EN141" s="148"/>
      <c r="EO141" s="148"/>
      <c r="EP141" s="148"/>
      <c r="EQ141" s="148"/>
      <c r="ER141" s="148"/>
      <c r="ES141" s="148"/>
      <c r="ET141" s="148"/>
      <c r="EU141" s="148"/>
      <c r="EV141" s="148"/>
      <c r="EW141" s="148"/>
      <c r="EX141" s="148"/>
      <c r="EY141" s="148"/>
      <c r="EZ141" s="148"/>
      <c r="FA141" s="148"/>
      <c r="FB141" s="148"/>
      <c r="FC141" s="148"/>
      <c r="FD141" s="148"/>
      <c r="FE141" s="148"/>
      <c r="FF141" s="148"/>
      <c r="FG141" s="148"/>
      <c r="FH141" s="148"/>
      <c r="FI141" s="148"/>
      <c r="FJ141" s="148"/>
      <c r="FK141" s="148"/>
      <c r="FL141" s="148"/>
      <c r="FM141" s="148"/>
      <c r="FN141" s="148"/>
      <c r="FO141" s="148"/>
      <c r="FP141" s="148"/>
      <c r="FQ141" s="148"/>
      <c r="FR141" s="148"/>
      <c r="FS141" s="148"/>
      <c r="FT141" s="148"/>
      <c r="FU141" s="148"/>
      <c r="FV141" s="148"/>
      <c r="FW141" s="148"/>
      <c r="FX141" s="148"/>
      <c r="FY141" s="148"/>
      <c r="FZ141" s="148"/>
      <c r="GA141" s="148"/>
      <c r="GB141" s="148"/>
      <c r="GC141" s="148"/>
      <c r="GD141" s="148"/>
      <c r="GE141" s="148"/>
      <c r="GF141" s="148"/>
      <c r="GG141" s="148"/>
      <c r="GH141" s="148"/>
      <c r="GI141" s="148"/>
      <c r="GJ141" s="148"/>
      <c r="GK141" s="148"/>
      <c r="GL141" s="148"/>
      <c r="GM141" s="148"/>
      <c r="GN141" s="148"/>
      <c r="GO141" s="148"/>
      <c r="GP141" s="148"/>
      <c r="GQ141" s="148"/>
      <c r="GR141" s="148"/>
      <c r="GS141" s="148"/>
      <c r="GT141" s="148"/>
      <c r="GU141" s="148"/>
      <c r="GV141" s="148"/>
      <c r="GW141" s="148"/>
      <c r="GX141" s="148"/>
      <c r="GY141" s="148"/>
      <c r="GZ141" s="148"/>
      <c r="HA141" s="148"/>
      <c r="HB141" s="148"/>
      <c r="HC141" s="148"/>
      <c r="HD141" s="148"/>
      <c r="HE141" s="148"/>
      <c r="HF141" s="148"/>
      <c r="HG141" s="148"/>
      <c r="HH141" s="148"/>
      <c r="HI141" s="148"/>
      <c r="HJ141" s="148"/>
      <c r="HK141" s="148"/>
      <c r="HL141" s="148"/>
      <c r="HM141" s="148"/>
      <c r="HN141" s="148"/>
      <c r="HO141" s="148"/>
      <c r="HP141" s="148"/>
      <c r="HQ141" s="148"/>
      <c r="HR141" s="148"/>
      <c r="HS141" s="148"/>
      <c r="HT141" s="148"/>
      <c r="HU141" s="148"/>
      <c r="HV141" s="148"/>
      <c r="HW141" s="148"/>
      <c r="HX141" s="148"/>
      <c r="HY141" s="148"/>
      <c r="HZ141" s="148"/>
      <c r="IA141" s="148"/>
      <c r="IB141" s="148"/>
      <c r="IC141" s="148"/>
      <c r="ID141" s="148"/>
      <c r="IE141" s="148"/>
      <c r="IF141" s="148"/>
      <c r="IG141" s="148"/>
      <c r="IH141" s="148"/>
      <c r="II141" s="148"/>
      <c r="IJ141" s="148"/>
      <c r="IK141" s="148"/>
      <c r="IL141" s="148"/>
      <c r="IM141" s="148"/>
      <c r="IN141" s="148"/>
      <c r="IO141" s="148"/>
      <c r="IP141" s="148"/>
      <c r="IQ141" s="148"/>
      <c r="IR141" s="148"/>
      <c r="IS141" s="148"/>
      <c r="IT141" s="148"/>
      <c r="IU141" s="148"/>
      <c r="IV141" s="148"/>
      <c r="IW141" s="148"/>
      <c r="IX141" s="148"/>
      <c r="IY141" s="148"/>
      <c r="IZ141" s="148"/>
      <c r="JA141" s="148"/>
      <c r="JB141" s="148"/>
      <c r="JC141" s="148"/>
      <c r="JD141" s="148"/>
      <c r="JE141" s="148"/>
      <c r="JF141" s="148"/>
      <c r="JG141" s="148"/>
      <c r="JH141" s="148"/>
      <c r="JI141" s="148"/>
      <c r="JJ141" s="148"/>
      <c r="JK141" s="148"/>
      <c r="JL141" s="148"/>
      <c r="JM141" s="148"/>
      <c r="JN141" s="148"/>
      <c r="JO141" s="148"/>
      <c r="JP141" s="148"/>
      <c r="JQ141" s="148"/>
      <c r="JR141" s="148"/>
      <c r="JS141" s="148"/>
      <c r="JT141" s="148"/>
      <c r="JU141" s="148"/>
      <c r="JV141" s="148"/>
      <c r="JW141" s="148"/>
      <c r="JX141" s="148"/>
      <c r="JY141" s="148"/>
      <c r="JZ141" s="148"/>
      <c r="KA141" s="148"/>
      <c r="KB141" s="148"/>
      <c r="KC141" s="148"/>
      <c r="KD141" s="148"/>
      <c r="KE141" s="148"/>
      <c r="KF141" s="148"/>
      <c r="KG141" s="148"/>
      <c r="KH141" s="148"/>
      <c r="KI141" s="148"/>
      <c r="KJ141" s="148"/>
      <c r="KK141" s="148"/>
      <c r="KL141" s="148"/>
      <c r="KM141" s="148"/>
      <c r="KN141" s="148"/>
      <c r="KO141" s="148"/>
      <c r="KP141" s="148"/>
      <c r="KQ141" s="148"/>
      <c r="KR141" s="148"/>
      <c r="KS141" s="148"/>
      <c r="KT141" s="148"/>
      <c r="KU141" s="148"/>
      <c r="KV141" s="148"/>
      <c r="KW141" s="148"/>
      <c r="KX141" s="148"/>
      <c r="KY141" s="148"/>
      <c r="KZ141" s="148"/>
      <c r="LA141" s="148"/>
      <c r="LB141" s="148"/>
      <c r="LC141" s="148"/>
      <c r="LD141" s="148"/>
      <c r="LE141" s="148"/>
      <c r="LF141" s="148"/>
      <c r="LG141" s="148"/>
      <c r="LH141" s="148"/>
      <c r="LI141" s="148"/>
      <c r="LJ141" s="148"/>
      <c r="LK141" s="148"/>
      <c r="LL141" s="148"/>
      <c r="LM141" s="148"/>
      <c r="LN141" s="148"/>
      <c r="LO141" s="148"/>
      <c r="LP141" s="148"/>
      <c r="LQ141" s="148"/>
      <c r="LR141" s="148"/>
      <c r="LS141" s="148"/>
      <c r="LT141" s="148"/>
      <c r="LU141" s="148"/>
      <c r="LV141" s="148"/>
      <c r="LW141" s="148"/>
      <c r="LX141" s="148"/>
      <c r="LY141" s="148"/>
      <c r="LZ141" s="148"/>
      <c r="MA141" s="148"/>
      <c r="MB141" s="148"/>
      <c r="MC141" s="148"/>
      <c r="MD141" s="148"/>
      <c r="ME141" s="148"/>
      <c r="MF141" s="148"/>
      <c r="MG141" s="148"/>
      <c r="MH141" s="148"/>
      <c r="MI141" s="148"/>
      <c r="MJ141" s="148"/>
      <c r="MK141" s="148"/>
      <c r="ML141" s="148"/>
      <c r="MM141" s="148"/>
      <c r="MN141" s="148"/>
      <c r="MO141" s="148"/>
      <c r="MP141" s="148"/>
      <c r="MQ141" s="148"/>
      <c r="MR141" s="148"/>
      <c r="MS141" s="148"/>
      <c r="MT141" s="148"/>
      <c r="MU141" s="148"/>
      <c r="MV141" s="148"/>
      <c r="MW141" s="148"/>
      <c r="MX141" s="148"/>
      <c r="MY141" s="148"/>
      <c r="MZ141" s="148"/>
      <c r="NA141" s="148"/>
      <c r="NB141" s="148"/>
      <c r="NC141" s="148"/>
      <c r="ND141" s="148"/>
      <c r="NE141" s="148"/>
      <c r="NF141" s="148"/>
      <c r="NG141" s="148"/>
      <c r="NH141" s="148"/>
      <c r="NI141" s="148"/>
      <c r="NJ141" s="148"/>
      <c r="NK141" s="148"/>
      <c r="NL141" s="148"/>
      <c r="NM141" s="148"/>
      <c r="NN141" s="148"/>
      <c r="NO141" s="148"/>
      <c r="NP141" s="148"/>
      <c r="NQ141" s="148"/>
      <c r="NR141" s="148"/>
      <c r="NS141" s="148"/>
      <c r="NT141" s="148"/>
      <c r="NU141" s="148"/>
      <c r="NV141" s="148"/>
      <c r="NW141" s="148"/>
      <c r="NX141" s="148"/>
      <c r="NY141" s="148"/>
      <c r="NZ141" s="148"/>
      <c r="OA141" s="148"/>
      <c r="OB141" s="148"/>
      <c r="OC141" s="148"/>
      <c r="OD141" s="148"/>
      <c r="OE141" s="148"/>
      <c r="OF141" s="148"/>
      <c r="OG141" s="148"/>
      <c r="OH141" s="148"/>
      <c r="OI141" s="148"/>
      <c r="OJ141" s="148"/>
      <c r="OK141" s="148"/>
      <c r="OL141" s="148"/>
      <c r="OM141" s="148"/>
      <c r="ON141" s="148"/>
      <c r="OO141" s="148"/>
      <c r="OP141" s="148"/>
      <c r="OQ141" s="148"/>
      <c r="OR141" s="148"/>
      <c r="OS141" s="148"/>
      <c r="OT141" s="148"/>
      <c r="OU141" s="148"/>
      <c r="OV141" s="148"/>
      <c r="OW141" s="148"/>
      <c r="OX141" s="148"/>
      <c r="OY141" s="148"/>
      <c r="OZ141" s="148"/>
      <c r="PA141" s="148"/>
      <c r="PB141" s="148"/>
      <c r="PC141" s="148"/>
      <c r="PD141" s="148"/>
      <c r="PE141" s="148"/>
      <c r="PF141" s="148"/>
      <c r="PG141" s="148"/>
      <c r="PH141" s="148"/>
      <c r="PI141" s="148"/>
      <c r="PJ141" s="148"/>
      <c r="PK141" s="148"/>
      <c r="PL141" s="148"/>
      <c r="PM141" s="148"/>
      <c r="PN141" s="148"/>
      <c r="PO141" s="148"/>
      <c r="PP141" s="148"/>
      <c r="PQ141" s="148"/>
      <c r="PR141" s="148"/>
      <c r="PS141" s="148"/>
      <c r="PT141" s="148"/>
      <c r="PU141" s="148"/>
      <c r="PV141" s="148"/>
      <c r="PW141" s="148"/>
      <c r="PX141" s="148"/>
      <c r="PY141" s="148"/>
      <c r="PZ141" s="148"/>
      <c r="QA141" s="148"/>
      <c r="QB141" s="148"/>
      <c r="QC141" s="148"/>
      <c r="QD141" s="148"/>
      <c r="QE141" s="148"/>
      <c r="QF141" s="148"/>
      <c r="QG141" s="148"/>
      <c r="QH141" s="148"/>
      <c r="QI141" s="148"/>
      <c r="QJ141" s="148"/>
      <c r="QK141" s="148"/>
      <c r="QL141" s="148"/>
      <c r="QM141" s="148"/>
      <c r="QN141" s="148"/>
      <c r="QO141" s="148"/>
      <c r="QP141" s="148"/>
      <c r="QQ141" s="148"/>
      <c r="QR141" s="148"/>
      <c r="QS141" s="148"/>
      <c r="QT141" s="148"/>
      <c r="QU141" s="148"/>
      <c r="QV141" s="148"/>
      <c r="QW141" s="148"/>
      <c r="QX141" s="148"/>
      <c r="QY141" s="148"/>
      <c r="QZ141" s="148"/>
      <c r="RA141" s="148"/>
      <c r="RB141" s="148"/>
      <c r="RC141" s="148"/>
      <c r="RD141" s="148"/>
      <c r="RE141" s="148"/>
      <c r="RF141" s="148"/>
      <c r="RG141" s="148"/>
      <c r="RH141" s="148"/>
      <c r="RI141" s="148"/>
      <c r="RJ141" s="148"/>
      <c r="RK141" s="148"/>
      <c r="RL141" s="148"/>
      <c r="RM141" s="148"/>
      <c r="RN141" s="148"/>
      <c r="RO141" s="148"/>
      <c r="RP141" s="148"/>
      <c r="RQ141" s="148"/>
      <c r="RR141" s="148"/>
    </row>
    <row r="142" spans="1:486" s="15" customFormat="1" hidden="1" x14ac:dyDescent="0.25">
      <c r="A142" s="148"/>
      <c r="B142" s="350">
        <v>132</v>
      </c>
      <c r="C142" s="650"/>
      <c r="D142" s="16"/>
      <c r="E142" s="344"/>
      <c r="F142" s="344"/>
      <c r="G142" s="17"/>
      <c r="H142" s="317"/>
      <c r="I142" s="346"/>
      <c r="J142" s="341"/>
      <c r="K142" s="633"/>
      <c r="L142" s="633"/>
      <c r="M142" s="633"/>
      <c r="N142" s="633"/>
      <c r="O142" s="633"/>
      <c r="P142" s="633"/>
      <c r="Q142" s="633"/>
      <c r="R142" s="633"/>
      <c r="S142" s="633"/>
      <c r="T142" s="633"/>
      <c r="U142" s="633"/>
      <c r="V142" s="633"/>
      <c r="W142" s="633"/>
      <c r="X142" s="633"/>
      <c r="Y142" s="633">
        <f t="shared" si="3"/>
        <v>0</v>
      </c>
      <c r="Z142" s="310"/>
      <c r="AA142" s="19"/>
      <c r="AB142" s="315"/>
      <c r="AC142" s="315"/>
      <c r="AD142" s="652"/>
      <c r="AE142" s="20"/>
      <c r="AF142" s="21"/>
      <c r="AG142" s="23"/>
      <c r="AH142" s="637"/>
      <c r="AI142" s="19"/>
      <c r="AJ142" s="21"/>
      <c r="AK142" s="25"/>
      <c r="AL142" s="309"/>
      <c r="AM142" s="19"/>
      <c r="AN142" s="21"/>
      <c r="AO142" s="25"/>
      <c r="AP142" s="309"/>
      <c r="AQ142" s="19"/>
      <c r="AR142" s="21"/>
      <c r="AS142" s="25"/>
      <c r="AT142" s="638">
        <f t="shared" si="4"/>
        <v>0</v>
      </c>
      <c r="AU142" s="311">
        <f t="shared" si="5"/>
        <v>0</v>
      </c>
      <c r="AV142" s="148"/>
      <c r="AW142" s="148"/>
      <c r="AX142" s="148"/>
      <c r="AY142" s="148"/>
      <c r="AZ142" s="148"/>
      <c r="BA142" s="148"/>
      <c r="BB142" s="148"/>
      <c r="BC142" s="148"/>
      <c r="BD142" s="148"/>
      <c r="BE142" s="148"/>
      <c r="BF142" s="148"/>
      <c r="BG142" s="148"/>
      <c r="BH142" s="148"/>
      <c r="BI142" s="148"/>
      <c r="BJ142" s="148"/>
      <c r="BK142" s="148"/>
      <c r="BL142" s="148"/>
      <c r="BM142" s="148"/>
      <c r="BN142" s="148"/>
      <c r="BO142" s="148"/>
      <c r="BP142" s="148"/>
      <c r="BQ142" s="148"/>
      <c r="BR142" s="148"/>
      <c r="BS142" s="148"/>
      <c r="BT142" s="148"/>
      <c r="BU142" s="148"/>
      <c r="BV142" s="148"/>
      <c r="BW142" s="148"/>
      <c r="BX142" s="148"/>
      <c r="BY142" s="148"/>
      <c r="BZ142" s="148"/>
      <c r="CA142" s="148"/>
      <c r="CB142" s="148"/>
      <c r="CC142" s="148"/>
      <c r="CD142" s="148"/>
      <c r="CE142" s="148"/>
      <c r="CF142" s="148"/>
      <c r="CG142" s="148"/>
      <c r="CH142" s="148"/>
      <c r="CI142" s="148"/>
      <c r="CJ142" s="148"/>
      <c r="CK142" s="148"/>
      <c r="CL142" s="148"/>
      <c r="CM142" s="148"/>
      <c r="CN142" s="148"/>
      <c r="CO142" s="148"/>
      <c r="CP142" s="148"/>
      <c r="CQ142" s="148"/>
      <c r="CR142" s="148"/>
      <c r="CS142" s="148"/>
      <c r="CT142" s="148"/>
      <c r="CU142" s="148"/>
      <c r="CV142" s="148"/>
      <c r="CW142" s="148"/>
      <c r="CX142" s="148"/>
      <c r="CY142" s="148"/>
      <c r="CZ142" s="148"/>
      <c r="DA142" s="148"/>
      <c r="DB142" s="148"/>
      <c r="DC142" s="148"/>
      <c r="DD142" s="148"/>
      <c r="DE142" s="148"/>
      <c r="DF142" s="148"/>
      <c r="DG142" s="148"/>
      <c r="DH142" s="148"/>
      <c r="DI142" s="148"/>
      <c r="DJ142" s="148"/>
      <c r="DK142" s="148"/>
      <c r="DL142" s="148"/>
      <c r="DM142" s="148"/>
      <c r="DN142" s="148"/>
      <c r="DO142" s="148"/>
      <c r="DP142" s="148"/>
      <c r="DQ142" s="148"/>
      <c r="DR142" s="148"/>
      <c r="DS142" s="148"/>
      <c r="DT142" s="148"/>
      <c r="DU142" s="148"/>
      <c r="DV142" s="148"/>
      <c r="DW142" s="148"/>
      <c r="DX142" s="148"/>
      <c r="DY142" s="148"/>
      <c r="DZ142" s="148"/>
      <c r="EA142" s="148"/>
      <c r="EB142" s="148"/>
      <c r="EC142" s="148"/>
      <c r="ED142" s="148"/>
      <c r="EE142" s="148"/>
      <c r="EF142" s="148"/>
      <c r="EG142" s="148"/>
      <c r="EH142" s="148"/>
      <c r="EI142" s="148"/>
      <c r="EJ142" s="148"/>
      <c r="EK142" s="148"/>
      <c r="EL142" s="148"/>
      <c r="EM142" s="148"/>
      <c r="EN142" s="148"/>
      <c r="EO142" s="148"/>
      <c r="EP142" s="148"/>
      <c r="EQ142" s="148"/>
      <c r="ER142" s="148"/>
      <c r="ES142" s="148"/>
      <c r="ET142" s="148"/>
      <c r="EU142" s="148"/>
      <c r="EV142" s="148"/>
      <c r="EW142" s="148"/>
      <c r="EX142" s="148"/>
      <c r="EY142" s="148"/>
      <c r="EZ142" s="148"/>
      <c r="FA142" s="148"/>
      <c r="FB142" s="148"/>
      <c r="FC142" s="148"/>
      <c r="FD142" s="148"/>
      <c r="FE142" s="148"/>
      <c r="FF142" s="148"/>
      <c r="FG142" s="148"/>
      <c r="FH142" s="148"/>
      <c r="FI142" s="148"/>
      <c r="FJ142" s="148"/>
      <c r="FK142" s="148"/>
      <c r="FL142" s="148"/>
      <c r="FM142" s="148"/>
      <c r="FN142" s="148"/>
      <c r="FO142" s="148"/>
      <c r="FP142" s="148"/>
      <c r="FQ142" s="148"/>
      <c r="FR142" s="148"/>
      <c r="FS142" s="148"/>
      <c r="FT142" s="148"/>
      <c r="FU142" s="148"/>
      <c r="FV142" s="148"/>
      <c r="FW142" s="148"/>
      <c r="FX142" s="148"/>
      <c r="FY142" s="148"/>
      <c r="FZ142" s="148"/>
      <c r="GA142" s="148"/>
      <c r="GB142" s="148"/>
      <c r="GC142" s="148"/>
      <c r="GD142" s="148"/>
      <c r="GE142" s="148"/>
      <c r="GF142" s="148"/>
      <c r="GG142" s="148"/>
      <c r="GH142" s="148"/>
      <c r="GI142" s="148"/>
      <c r="GJ142" s="148"/>
      <c r="GK142" s="148"/>
      <c r="GL142" s="148"/>
      <c r="GM142" s="148"/>
      <c r="GN142" s="148"/>
      <c r="GO142" s="148"/>
      <c r="GP142" s="148"/>
      <c r="GQ142" s="148"/>
      <c r="GR142" s="148"/>
      <c r="GS142" s="148"/>
      <c r="GT142" s="148"/>
      <c r="GU142" s="148"/>
      <c r="GV142" s="148"/>
      <c r="GW142" s="148"/>
      <c r="GX142" s="148"/>
      <c r="GY142" s="148"/>
      <c r="GZ142" s="148"/>
      <c r="HA142" s="148"/>
      <c r="HB142" s="148"/>
      <c r="HC142" s="148"/>
      <c r="HD142" s="148"/>
      <c r="HE142" s="148"/>
      <c r="HF142" s="148"/>
      <c r="HG142" s="148"/>
      <c r="HH142" s="148"/>
      <c r="HI142" s="148"/>
      <c r="HJ142" s="148"/>
      <c r="HK142" s="148"/>
      <c r="HL142" s="148"/>
      <c r="HM142" s="148"/>
      <c r="HN142" s="148"/>
      <c r="HO142" s="148"/>
      <c r="HP142" s="148"/>
      <c r="HQ142" s="148"/>
      <c r="HR142" s="148"/>
      <c r="HS142" s="148"/>
      <c r="HT142" s="148"/>
      <c r="HU142" s="148"/>
      <c r="HV142" s="148"/>
      <c r="HW142" s="148"/>
      <c r="HX142" s="148"/>
      <c r="HY142" s="148"/>
      <c r="HZ142" s="148"/>
      <c r="IA142" s="148"/>
      <c r="IB142" s="148"/>
      <c r="IC142" s="148"/>
      <c r="ID142" s="148"/>
      <c r="IE142" s="148"/>
      <c r="IF142" s="148"/>
      <c r="IG142" s="148"/>
      <c r="IH142" s="148"/>
      <c r="II142" s="148"/>
      <c r="IJ142" s="148"/>
      <c r="IK142" s="148"/>
      <c r="IL142" s="148"/>
      <c r="IM142" s="148"/>
      <c r="IN142" s="148"/>
      <c r="IO142" s="148"/>
      <c r="IP142" s="148"/>
      <c r="IQ142" s="148"/>
      <c r="IR142" s="148"/>
      <c r="IS142" s="148"/>
      <c r="IT142" s="148"/>
      <c r="IU142" s="148"/>
      <c r="IV142" s="148"/>
      <c r="IW142" s="148"/>
      <c r="IX142" s="148"/>
      <c r="IY142" s="148"/>
      <c r="IZ142" s="148"/>
      <c r="JA142" s="148"/>
      <c r="JB142" s="148"/>
      <c r="JC142" s="148"/>
      <c r="JD142" s="148"/>
      <c r="JE142" s="148"/>
      <c r="JF142" s="148"/>
      <c r="JG142" s="148"/>
      <c r="JH142" s="148"/>
      <c r="JI142" s="148"/>
      <c r="JJ142" s="148"/>
      <c r="JK142" s="148"/>
      <c r="JL142" s="148"/>
      <c r="JM142" s="148"/>
      <c r="JN142" s="148"/>
      <c r="JO142" s="148"/>
      <c r="JP142" s="148"/>
      <c r="JQ142" s="148"/>
      <c r="JR142" s="148"/>
      <c r="JS142" s="148"/>
      <c r="JT142" s="148"/>
      <c r="JU142" s="148"/>
      <c r="JV142" s="148"/>
      <c r="JW142" s="148"/>
      <c r="JX142" s="148"/>
      <c r="JY142" s="148"/>
      <c r="JZ142" s="148"/>
      <c r="KA142" s="148"/>
      <c r="KB142" s="148"/>
      <c r="KC142" s="148"/>
      <c r="KD142" s="148"/>
      <c r="KE142" s="148"/>
      <c r="KF142" s="148"/>
      <c r="KG142" s="148"/>
      <c r="KH142" s="148"/>
      <c r="KI142" s="148"/>
      <c r="KJ142" s="148"/>
      <c r="KK142" s="148"/>
      <c r="KL142" s="148"/>
      <c r="KM142" s="148"/>
      <c r="KN142" s="148"/>
      <c r="KO142" s="148"/>
      <c r="KP142" s="148"/>
      <c r="KQ142" s="148"/>
      <c r="KR142" s="148"/>
      <c r="KS142" s="148"/>
      <c r="KT142" s="148"/>
      <c r="KU142" s="148"/>
      <c r="KV142" s="148"/>
      <c r="KW142" s="148"/>
      <c r="KX142" s="148"/>
      <c r="KY142" s="148"/>
      <c r="KZ142" s="148"/>
      <c r="LA142" s="148"/>
      <c r="LB142" s="148"/>
      <c r="LC142" s="148"/>
      <c r="LD142" s="148"/>
      <c r="LE142" s="148"/>
      <c r="LF142" s="148"/>
      <c r="LG142" s="148"/>
      <c r="LH142" s="148"/>
      <c r="LI142" s="148"/>
      <c r="LJ142" s="148"/>
      <c r="LK142" s="148"/>
      <c r="LL142" s="148"/>
      <c r="LM142" s="148"/>
      <c r="LN142" s="148"/>
      <c r="LO142" s="148"/>
      <c r="LP142" s="148"/>
      <c r="LQ142" s="148"/>
      <c r="LR142" s="148"/>
      <c r="LS142" s="148"/>
      <c r="LT142" s="148"/>
      <c r="LU142" s="148"/>
      <c r="LV142" s="148"/>
      <c r="LW142" s="148"/>
      <c r="LX142" s="148"/>
      <c r="LY142" s="148"/>
      <c r="LZ142" s="148"/>
      <c r="MA142" s="148"/>
      <c r="MB142" s="148"/>
      <c r="MC142" s="148"/>
      <c r="MD142" s="148"/>
      <c r="ME142" s="148"/>
      <c r="MF142" s="148"/>
      <c r="MG142" s="148"/>
      <c r="MH142" s="148"/>
      <c r="MI142" s="148"/>
      <c r="MJ142" s="148"/>
      <c r="MK142" s="148"/>
      <c r="ML142" s="148"/>
      <c r="MM142" s="148"/>
      <c r="MN142" s="148"/>
      <c r="MO142" s="148"/>
      <c r="MP142" s="148"/>
      <c r="MQ142" s="148"/>
      <c r="MR142" s="148"/>
      <c r="MS142" s="148"/>
      <c r="MT142" s="148"/>
      <c r="MU142" s="148"/>
      <c r="MV142" s="148"/>
      <c r="MW142" s="148"/>
      <c r="MX142" s="148"/>
      <c r="MY142" s="148"/>
      <c r="MZ142" s="148"/>
      <c r="NA142" s="148"/>
      <c r="NB142" s="148"/>
      <c r="NC142" s="148"/>
      <c r="ND142" s="148"/>
      <c r="NE142" s="148"/>
      <c r="NF142" s="148"/>
      <c r="NG142" s="148"/>
      <c r="NH142" s="148"/>
      <c r="NI142" s="148"/>
      <c r="NJ142" s="148"/>
      <c r="NK142" s="148"/>
      <c r="NL142" s="148"/>
      <c r="NM142" s="148"/>
      <c r="NN142" s="148"/>
      <c r="NO142" s="148"/>
      <c r="NP142" s="148"/>
      <c r="NQ142" s="148"/>
      <c r="NR142" s="148"/>
      <c r="NS142" s="148"/>
      <c r="NT142" s="148"/>
      <c r="NU142" s="148"/>
      <c r="NV142" s="148"/>
      <c r="NW142" s="148"/>
      <c r="NX142" s="148"/>
      <c r="NY142" s="148"/>
      <c r="NZ142" s="148"/>
      <c r="OA142" s="148"/>
      <c r="OB142" s="148"/>
      <c r="OC142" s="148"/>
      <c r="OD142" s="148"/>
      <c r="OE142" s="148"/>
      <c r="OF142" s="148"/>
      <c r="OG142" s="148"/>
      <c r="OH142" s="148"/>
      <c r="OI142" s="148"/>
      <c r="OJ142" s="148"/>
      <c r="OK142" s="148"/>
      <c r="OL142" s="148"/>
      <c r="OM142" s="148"/>
      <c r="ON142" s="148"/>
      <c r="OO142" s="148"/>
      <c r="OP142" s="148"/>
      <c r="OQ142" s="148"/>
      <c r="OR142" s="148"/>
      <c r="OS142" s="148"/>
      <c r="OT142" s="148"/>
      <c r="OU142" s="148"/>
      <c r="OV142" s="148"/>
      <c r="OW142" s="148"/>
      <c r="OX142" s="148"/>
      <c r="OY142" s="148"/>
      <c r="OZ142" s="148"/>
      <c r="PA142" s="148"/>
      <c r="PB142" s="148"/>
      <c r="PC142" s="148"/>
      <c r="PD142" s="148"/>
      <c r="PE142" s="148"/>
      <c r="PF142" s="148"/>
      <c r="PG142" s="148"/>
      <c r="PH142" s="148"/>
      <c r="PI142" s="148"/>
      <c r="PJ142" s="148"/>
      <c r="PK142" s="148"/>
      <c r="PL142" s="148"/>
      <c r="PM142" s="148"/>
      <c r="PN142" s="148"/>
      <c r="PO142" s="148"/>
      <c r="PP142" s="148"/>
      <c r="PQ142" s="148"/>
      <c r="PR142" s="148"/>
      <c r="PS142" s="148"/>
      <c r="PT142" s="148"/>
      <c r="PU142" s="148"/>
      <c r="PV142" s="148"/>
      <c r="PW142" s="148"/>
      <c r="PX142" s="148"/>
      <c r="PY142" s="148"/>
      <c r="PZ142" s="148"/>
      <c r="QA142" s="148"/>
      <c r="QB142" s="148"/>
      <c r="QC142" s="148"/>
      <c r="QD142" s="148"/>
      <c r="QE142" s="148"/>
      <c r="QF142" s="148"/>
      <c r="QG142" s="148"/>
      <c r="QH142" s="148"/>
      <c r="QI142" s="148"/>
      <c r="QJ142" s="148"/>
      <c r="QK142" s="148"/>
      <c r="QL142" s="148"/>
      <c r="QM142" s="148"/>
      <c r="QN142" s="148"/>
      <c r="QO142" s="148"/>
      <c r="QP142" s="148"/>
      <c r="QQ142" s="148"/>
      <c r="QR142" s="148"/>
      <c r="QS142" s="148"/>
      <c r="QT142" s="148"/>
      <c r="QU142" s="148"/>
      <c r="QV142" s="148"/>
      <c r="QW142" s="148"/>
      <c r="QX142" s="148"/>
      <c r="QY142" s="148"/>
      <c r="QZ142" s="148"/>
      <c r="RA142" s="148"/>
      <c r="RB142" s="148"/>
      <c r="RC142" s="148"/>
      <c r="RD142" s="148"/>
      <c r="RE142" s="148"/>
      <c r="RF142" s="148"/>
      <c r="RG142" s="148"/>
      <c r="RH142" s="148"/>
      <c r="RI142" s="148"/>
      <c r="RJ142" s="148"/>
      <c r="RK142" s="148"/>
      <c r="RL142" s="148"/>
      <c r="RM142" s="148"/>
      <c r="RN142" s="148"/>
      <c r="RO142" s="148"/>
      <c r="RP142" s="148"/>
      <c r="RQ142" s="148"/>
      <c r="RR142" s="148"/>
    </row>
    <row r="143" spans="1:486" s="15" customFormat="1" hidden="1" x14ac:dyDescent="0.25">
      <c r="A143" s="148"/>
      <c r="B143" s="350">
        <v>133</v>
      </c>
      <c r="C143" s="650"/>
      <c r="D143" s="16"/>
      <c r="E143" s="344"/>
      <c r="F143" s="344"/>
      <c r="G143" s="17"/>
      <c r="H143" s="317"/>
      <c r="I143" s="346"/>
      <c r="J143" s="341"/>
      <c r="K143" s="633"/>
      <c r="L143" s="633"/>
      <c r="M143" s="633"/>
      <c r="N143" s="633"/>
      <c r="O143" s="633"/>
      <c r="P143" s="633"/>
      <c r="Q143" s="633"/>
      <c r="R143" s="633"/>
      <c r="S143" s="633"/>
      <c r="T143" s="633"/>
      <c r="U143" s="633"/>
      <c r="V143" s="633"/>
      <c r="W143" s="633"/>
      <c r="X143" s="633"/>
      <c r="Y143" s="633">
        <f t="shared" si="3"/>
        <v>0</v>
      </c>
      <c r="Z143" s="310"/>
      <c r="AA143" s="19"/>
      <c r="AB143" s="315"/>
      <c r="AC143" s="315"/>
      <c r="AD143" s="652"/>
      <c r="AE143" s="20"/>
      <c r="AF143" s="21"/>
      <c r="AG143" s="23"/>
      <c r="AH143" s="637"/>
      <c r="AI143" s="19"/>
      <c r="AJ143" s="21"/>
      <c r="AK143" s="25"/>
      <c r="AL143" s="309"/>
      <c r="AM143" s="19"/>
      <c r="AN143" s="21"/>
      <c r="AO143" s="25"/>
      <c r="AP143" s="309"/>
      <c r="AQ143" s="19"/>
      <c r="AR143" s="21"/>
      <c r="AS143" s="25"/>
      <c r="AT143" s="638">
        <f t="shared" si="4"/>
        <v>0</v>
      </c>
      <c r="AU143" s="311">
        <f t="shared" si="5"/>
        <v>0</v>
      </c>
      <c r="AV143" s="148"/>
      <c r="AW143" s="148"/>
      <c r="AX143" s="148"/>
      <c r="AY143" s="148"/>
      <c r="AZ143" s="148"/>
      <c r="BA143" s="148"/>
      <c r="BB143" s="148"/>
      <c r="BC143" s="148"/>
      <c r="BD143" s="148"/>
      <c r="BE143" s="148"/>
      <c r="BF143" s="148"/>
      <c r="BG143" s="148"/>
      <c r="BH143" s="148"/>
      <c r="BI143" s="148"/>
      <c r="BJ143" s="148"/>
      <c r="BK143" s="148"/>
      <c r="BL143" s="148"/>
      <c r="BM143" s="148"/>
      <c r="BN143" s="148"/>
      <c r="BO143" s="148"/>
      <c r="BP143" s="148"/>
      <c r="BQ143" s="148"/>
      <c r="BR143" s="148"/>
      <c r="BS143" s="148"/>
      <c r="BT143" s="148"/>
      <c r="BU143" s="148"/>
      <c r="BV143" s="148"/>
      <c r="BW143" s="148"/>
      <c r="BX143" s="148"/>
      <c r="BY143" s="148"/>
      <c r="BZ143" s="148"/>
      <c r="CA143" s="148"/>
      <c r="CB143" s="148"/>
      <c r="CC143" s="148"/>
      <c r="CD143" s="148"/>
      <c r="CE143" s="148"/>
      <c r="CF143" s="148"/>
      <c r="CG143" s="148"/>
      <c r="CH143" s="148"/>
      <c r="CI143" s="148"/>
      <c r="CJ143" s="148"/>
      <c r="CK143" s="148"/>
      <c r="CL143" s="148"/>
      <c r="CM143" s="148"/>
      <c r="CN143" s="148"/>
      <c r="CO143" s="148"/>
      <c r="CP143" s="148"/>
      <c r="CQ143" s="148"/>
      <c r="CR143" s="148"/>
      <c r="CS143" s="148"/>
      <c r="CT143" s="148"/>
      <c r="CU143" s="148"/>
      <c r="CV143" s="148"/>
      <c r="CW143" s="148"/>
      <c r="CX143" s="148"/>
      <c r="CY143" s="148"/>
      <c r="CZ143" s="148"/>
      <c r="DA143" s="148"/>
      <c r="DB143" s="148"/>
      <c r="DC143" s="148"/>
      <c r="DD143" s="148"/>
      <c r="DE143" s="148"/>
      <c r="DF143" s="148"/>
      <c r="DG143" s="148"/>
      <c r="DH143" s="148"/>
      <c r="DI143" s="148"/>
      <c r="DJ143" s="148"/>
      <c r="DK143" s="148"/>
      <c r="DL143" s="148"/>
      <c r="DM143" s="148"/>
      <c r="DN143" s="148"/>
      <c r="DO143" s="148"/>
      <c r="DP143" s="148"/>
      <c r="DQ143" s="148"/>
      <c r="DR143" s="148"/>
      <c r="DS143" s="148"/>
      <c r="DT143" s="148"/>
      <c r="DU143" s="148"/>
      <c r="DV143" s="148"/>
      <c r="DW143" s="148"/>
      <c r="DX143" s="148"/>
      <c r="DY143" s="148"/>
      <c r="DZ143" s="148"/>
      <c r="EA143" s="148"/>
      <c r="EB143" s="148"/>
      <c r="EC143" s="148"/>
      <c r="ED143" s="148"/>
      <c r="EE143" s="148"/>
      <c r="EF143" s="148"/>
      <c r="EG143" s="148"/>
      <c r="EH143" s="148"/>
      <c r="EI143" s="148"/>
      <c r="EJ143" s="148"/>
      <c r="EK143" s="148"/>
      <c r="EL143" s="148"/>
      <c r="EM143" s="148"/>
      <c r="EN143" s="148"/>
      <c r="EO143" s="148"/>
      <c r="EP143" s="148"/>
      <c r="EQ143" s="148"/>
      <c r="ER143" s="148"/>
      <c r="ES143" s="148"/>
      <c r="ET143" s="148"/>
      <c r="EU143" s="148"/>
      <c r="EV143" s="148"/>
      <c r="EW143" s="148"/>
      <c r="EX143" s="148"/>
      <c r="EY143" s="148"/>
      <c r="EZ143" s="148"/>
      <c r="FA143" s="148"/>
      <c r="FB143" s="148"/>
      <c r="FC143" s="148"/>
      <c r="FD143" s="148"/>
      <c r="FE143" s="148"/>
      <c r="FF143" s="148"/>
      <c r="FG143" s="148"/>
      <c r="FH143" s="148"/>
      <c r="FI143" s="148"/>
      <c r="FJ143" s="148"/>
      <c r="FK143" s="148"/>
      <c r="FL143" s="148"/>
      <c r="FM143" s="148"/>
      <c r="FN143" s="148"/>
      <c r="FO143" s="148"/>
      <c r="FP143" s="148"/>
      <c r="FQ143" s="148"/>
      <c r="FR143" s="148"/>
      <c r="FS143" s="148"/>
      <c r="FT143" s="148"/>
      <c r="FU143" s="148"/>
      <c r="FV143" s="148"/>
      <c r="FW143" s="148"/>
      <c r="FX143" s="148"/>
      <c r="FY143" s="148"/>
      <c r="FZ143" s="148"/>
      <c r="GA143" s="148"/>
      <c r="GB143" s="148"/>
      <c r="GC143" s="148"/>
      <c r="GD143" s="148"/>
      <c r="GE143" s="148"/>
      <c r="GF143" s="148"/>
      <c r="GG143" s="148"/>
      <c r="GH143" s="148"/>
      <c r="GI143" s="148"/>
      <c r="GJ143" s="148"/>
      <c r="GK143" s="148"/>
      <c r="GL143" s="148"/>
      <c r="GM143" s="148"/>
      <c r="GN143" s="148"/>
      <c r="GO143" s="148"/>
      <c r="GP143" s="148"/>
      <c r="GQ143" s="148"/>
      <c r="GR143" s="148"/>
      <c r="GS143" s="148"/>
      <c r="GT143" s="148"/>
      <c r="GU143" s="148"/>
      <c r="GV143" s="148"/>
      <c r="GW143" s="148"/>
      <c r="GX143" s="148"/>
      <c r="GY143" s="148"/>
      <c r="GZ143" s="148"/>
      <c r="HA143" s="148"/>
      <c r="HB143" s="148"/>
      <c r="HC143" s="148"/>
      <c r="HD143" s="148"/>
      <c r="HE143" s="148"/>
      <c r="HF143" s="148"/>
      <c r="HG143" s="148"/>
      <c r="HH143" s="148"/>
      <c r="HI143" s="148"/>
      <c r="HJ143" s="148"/>
      <c r="HK143" s="148"/>
      <c r="HL143" s="148"/>
      <c r="HM143" s="148"/>
      <c r="HN143" s="148"/>
      <c r="HO143" s="148"/>
      <c r="HP143" s="148"/>
      <c r="HQ143" s="148"/>
      <c r="HR143" s="148"/>
      <c r="HS143" s="148"/>
      <c r="HT143" s="148"/>
      <c r="HU143" s="148"/>
      <c r="HV143" s="148"/>
      <c r="HW143" s="148"/>
      <c r="HX143" s="148"/>
      <c r="HY143" s="148"/>
      <c r="HZ143" s="148"/>
      <c r="IA143" s="148"/>
      <c r="IB143" s="148"/>
      <c r="IC143" s="148"/>
      <c r="ID143" s="148"/>
      <c r="IE143" s="148"/>
      <c r="IF143" s="148"/>
      <c r="IG143" s="148"/>
      <c r="IH143" s="148"/>
      <c r="II143" s="148"/>
      <c r="IJ143" s="148"/>
      <c r="IK143" s="148"/>
      <c r="IL143" s="148"/>
      <c r="IM143" s="148"/>
      <c r="IN143" s="148"/>
      <c r="IO143" s="148"/>
      <c r="IP143" s="148"/>
      <c r="IQ143" s="148"/>
      <c r="IR143" s="148"/>
      <c r="IS143" s="148"/>
      <c r="IT143" s="148"/>
      <c r="IU143" s="148"/>
      <c r="IV143" s="148"/>
      <c r="IW143" s="148"/>
      <c r="IX143" s="148"/>
      <c r="IY143" s="148"/>
      <c r="IZ143" s="148"/>
      <c r="JA143" s="148"/>
      <c r="JB143" s="148"/>
      <c r="JC143" s="148"/>
      <c r="JD143" s="148"/>
      <c r="JE143" s="148"/>
      <c r="JF143" s="148"/>
      <c r="JG143" s="148"/>
      <c r="JH143" s="148"/>
      <c r="JI143" s="148"/>
      <c r="JJ143" s="148"/>
      <c r="JK143" s="148"/>
      <c r="JL143" s="148"/>
      <c r="JM143" s="148"/>
      <c r="JN143" s="148"/>
      <c r="JO143" s="148"/>
      <c r="JP143" s="148"/>
      <c r="JQ143" s="148"/>
      <c r="JR143" s="148"/>
      <c r="JS143" s="148"/>
      <c r="JT143" s="148"/>
      <c r="JU143" s="148"/>
      <c r="JV143" s="148"/>
      <c r="JW143" s="148"/>
      <c r="JX143" s="148"/>
      <c r="JY143" s="148"/>
      <c r="JZ143" s="148"/>
      <c r="KA143" s="148"/>
      <c r="KB143" s="148"/>
      <c r="KC143" s="148"/>
      <c r="KD143" s="148"/>
      <c r="KE143" s="148"/>
      <c r="KF143" s="148"/>
      <c r="KG143" s="148"/>
      <c r="KH143" s="148"/>
      <c r="KI143" s="148"/>
      <c r="KJ143" s="148"/>
      <c r="KK143" s="148"/>
      <c r="KL143" s="148"/>
      <c r="KM143" s="148"/>
      <c r="KN143" s="148"/>
      <c r="KO143" s="148"/>
      <c r="KP143" s="148"/>
      <c r="KQ143" s="148"/>
      <c r="KR143" s="148"/>
      <c r="KS143" s="148"/>
      <c r="KT143" s="148"/>
      <c r="KU143" s="148"/>
      <c r="KV143" s="148"/>
      <c r="KW143" s="148"/>
      <c r="KX143" s="148"/>
      <c r="KY143" s="148"/>
      <c r="KZ143" s="148"/>
      <c r="LA143" s="148"/>
      <c r="LB143" s="148"/>
      <c r="LC143" s="148"/>
      <c r="LD143" s="148"/>
      <c r="LE143" s="148"/>
      <c r="LF143" s="148"/>
      <c r="LG143" s="148"/>
      <c r="LH143" s="148"/>
      <c r="LI143" s="148"/>
      <c r="LJ143" s="148"/>
      <c r="LK143" s="148"/>
      <c r="LL143" s="148"/>
      <c r="LM143" s="148"/>
      <c r="LN143" s="148"/>
      <c r="LO143" s="148"/>
      <c r="LP143" s="148"/>
      <c r="LQ143" s="148"/>
      <c r="LR143" s="148"/>
      <c r="LS143" s="148"/>
      <c r="LT143" s="148"/>
      <c r="LU143" s="148"/>
      <c r="LV143" s="148"/>
      <c r="LW143" s="148"/>
      <c r="LX143" s="148"/>
      <c r="LY143" s="148"/>
      <c r="LZ143" s="148"/>
      <c r="MA143" s="148"/>
      <c r="MB143" s="148"/>
      <c r="MC143" s="148"/>
      <c r="MD143" s="148"/>
      <c r="ME143" s="148"/>
      <c r="MF143" s="148"/>
      <c r="MG143" s="148"/>
      <c r="MH143" s="148"/>
      <c r="MI143" s="148"/>
      <c r="MJ143" s="148"/>
      <c r="MK143" s="148"/>
      <c r="ML143" s="148"/>
      <c r="MM143" s="148"/>
      <c r="MN143" s="148"/>
      <c r="MO143" s="148"/>
      <c r="MP143" s="148"/>
      <c r="MQ143" s="148"/>
      <c r="MR143" s="148"/>
      <c r="MS143" s="148"/>
      <c r="MT143" s="148"/>
      <c r="MU143" s="148"/>
      <c r="MV143" s="148"/>
      <c r="MW143" s="148"/>
      <c r="MX143" s="148"/>
      <c r="MY143" s="148"/>
      <c r="MZ143" s="148"/>
      <c r="NA143" s="148"/>
      <c r="NB143" s="148"/>
      <c r="NC143" s="148"/>
      <c r="ND143" s="148"/>
      <c r="NE143" s="148"/>
      <c r="NF143" s="148"/>
      <c r="NG143" s="148"/>
      <c r="NH143" s="148"/>
      <c r="NI143" s="148"/>
      <c r="NJ143" s="148"/>
      <c r="NK143" s="148"/>
      <c r="NL143" s="148"/>
      <c r="NM143" s="148"/>
      <c r="NN143" s="148"/>
      <c r="NO143" s="148"/>
      <c r="NP143" s="148"/>
      <c r="NQ143" s="148"/>
      <c r="NR143" s="148"/>
      <c r="NS143" s="148"/>
      <c r="NT143" s="148"/>
      <c r="NU143" s="148"/>
      <c r="NV143" s="148"/>
      <c r="NW143" s="148"/>
      <c r="NX143" s="148"/>
      <c r="NY143" s="148"/>
      <c r="NZ143" s="148"/>
      <c r="OA143" s="148"/>
      <c r="OB143" s="148"/>
      <c r="OC143" s="148"/>
      <c r="OD143" s="148"/>
      <c r="OE143" s="148"/>
      <c r="OF143" s="148"/>
      <c r="OG143" s="148"/>
      <c r="OH143" s="148"/>
      <c r="OI143" s="148"/>
      <c r="OJ143" s="148"/>
      <c r="OK143" s="148"/>
      <c r="OL143" s="148"/>
      <c r="OM143" s="148"/>
      <c r="ON143" s="148"/>
      <c r="OO143" s="148"/>
      <c r="OP143" s="148"/>
      <c r="OQ143" s="148"/>
      <c r="OR143" s="148"/>
      <c r="OS143" s="148"/>
      <c r="OT143" s="148"/>
      <c r="OU143" s="148"/>
      <c r="OV143" s="148"/>
      <c r="OW143" s="148"/>
      <c r="OX143" s="148"/>
      <c r="OY143" s="148"/>
      <c r="OZ143" s="148"/>
      <c r="PA143" s="148"/>
      <c r="PB143" s="148"/>
      <c r="PC143" s="148"/>
      <c r="PD143" s="148"/>
      <c r="PE143" s="148"/>
      <c r="PF143" s="148"/>
      <c r="PG143" s="148"/>
      <c r="PH143" s="148"/>
      <c r="PI143" s="148"/>
      <c r="PJ143" s="148"/>
      <c r="PK143" s="148"/>
      <c r="PL143" s="148"/>
      <c r="PM143" s="148"/>
      <c r="PN143" s="148"/>
      <c r="PO143" s="148"/>
      <c r="PP143" s="148"/>
      <c r="PQ143" s="148"/>
      <c r="PR143" s="148"/>
      <c r="PS143" s="148"/>
      <c r="PT143" s="148"/>
      <c r="PU143" s="148"/>
      <c r="PV143" s="148"/>
      <c r="PW143" s="148"/>
      <c r="PX143" s="148"/>
      <c r="PY143" s="148"/>
      <c r="PZ143" s="148"/>
      <c r="QA143" s="148"/>
      <c r="QB143" s="148"/>
      <c r="QC143" s="148"/>
      <c r="QD143" s="148"/>
      <c r="QE143" s="148"/>
      <c r="QF143" s="148"/>
      <c r="QG143" s="148"/>
      <c r="QH143" s="148"/>
      <c r="QI143" s="148"/>
      <c r="QJ143" s="148"/>
      <c r="QK143" s="148"/>
      <c r="QL143" s="148"/>
      <c r="QM143" s="148"/>
      <c r="QN143" s="148"/>
      <c r="QO143" s="148"/>
      <c r="QP143" s="148"/>
      <c r="QQ143" s="148"/>
      <c r="QR143" s="148"/>
      <c r="QS143" s="148"/>
      <c r="QT143" s="148"/>
      <c r="QU143" s="148"/>
      <c r="QV143" s="148"/>
      <c r="QW143" s="148"/>
      <c r="QX143" s="148"/>
      <c r="QY143" s="148"/>
      <c r="QZ143" s="148"/>
      <c r="RA143" s="148"/>
      <c r="RB143" s="148"/>
      <c r="RC143" s="148"/>
      <c r="RD143" s="148"/>
      <c r="RE143" s="148"/>
      <c r="RF143" s="148"/>
      <c r="RG143" s="148"/>
      <c r="RH143" s="148"/>
      <c r="RI143" s="148"/>
      <c r="RJ143" s="148"/>
      <c r="RK143" s="148"/>
      <c r="RL143" s="148"/>
      <c r="RM143" s="148"/>
      <c r="RN143" s="148"/>
      <c r="RO143" s="148"/>
      <c r="RP143" s="148"/>
      <c r="RQ143" s="148"/>
      <c r="RR143" s="148"/>
    </row>
    <row r="144" spans="1:486" s="15" customFormat="1" hidden="1" x14ac:dyDescent="0.25">
      <c r="A144" s="148"/>
      <c r="B144" s="350">
        <v>134</v>
      </c>
      <c r="C144" s="650"/>
      <c r="D144" s="16"/>
      <c r="E144" s="344"/>
      <c r="F144" s="344"/>
      <c r="G144" s="17"/>
      <c r="H144" s="317"/>
      <c r="I144" s="346"/>
      <c r="J144" s="341"/>
      <c r="K144" s="633"/>
      <c r="L144" s="633"/>
      <c r="M144" s="633"/>
      <c r="N144" s="633"/>
      <c r="O144" s="633"/>
      <c r="P144" s="633"/>
      <c r="Q144" s="633"/>
      <c r="R144" s="633"/>
      <c r="S144" s="633"/>
      <c r="T144" s="633"/>
      <c r="U144" s="633"/>
      <c r="V144" s="633"/>
      <c r="W144" s="633"/>
      <c r="X144" s="633"/>
      <c r="Y144" s="633">
        <f t="shared" si="3"/>
        <v>0</v>
      </c>
      <c r="Z144" s="310"/>
      <c r="AA144" s="19"/>
      <c r="AB144" s="21"/>
      <c r="AC144" s="23"/>
      <c r="AD144" s="652"/>
      <c r="AE144" s="20"/>
      <c r="AF144" s="21"/>
      <c r="AG144" s="23"/>
      <c r="AH144" s="637"/>
      <c r="AI144" s="19"/>
      <c r="AJ144" s="21"/>
      <c r="AK144" s="25"/>
      <c r="AL144" s="309"/>
      <c r="AM144" s="19"/>
      <c r="AN144" s="21"/>
      <c r="AO144" s="25"/>
      <c r="AP144" s="309"/>
      <c r="AQ144" s="19"/>
      <c r="AR144" s="21"/>
      <c r="AS144" s="25"/>
      <c r="AT144" s="638">
        <f t="shared" si="4"/>
        <v>0</v>
      </c>
      <c r="AU144" s="311">
        <f t="shared" si="5"/>
        <v>0</v>
      </c>
      <c r="AV144" s="148"/>
      <c r="AW144" s="148"/>
      <c r="AX144" s="148"/>
      <c r="AY144" s="148"/>
      <c r="AZ144" s="148"/>
      <c r="BA144" s="148"/>
      <c r="BB144" s="148"/>
      <c r="BC144" s="148"/>
      <c r="BD144" s="148"/>
      <c r="BE144" s="148"/>
      <c r="BF144" s="148"/>
      <c r="BG144" s="148"/>
      <c r="BH144" s="148"/>
      <c r="BI144" s="148"/>
      <c r="BJ144" s="148"/>
      <c r="BK144" s="148"/>
      <c r="BL144" s="148"/>
      <c r="BM144" s="148"/>
      <c r="BN144" s="148"/>
      <c r="BO144" s="148"/>
      <c r="BP144" s="148"/>
      <c r="BQ144" s="148"/>
      <c r="BR144" s="148"/>
      <c r="BS144" s="148"/>
      <c r="BT144" s="148"/>
      <c r="BU144" s="148"/>
      <c r="BV144" s="148"/>
      <c r="BW144" s="148"/>
      <c r="BX144" s="148"/>
      <c r="BY144" s="148"/>
      <c r="BZ144" s="148"/>
      <c r="CA144" s="148"/>
      <c r="CB144" s="148"/>
      <c r="CC144" s="148"/>
      <c r="CD144" s="148"/>
      <c r="CE144" s="148"/>
      <c r="CF144" s="148"/>
      <c r="CG144" s="148"/>
      <c r="CH144" s="148"/>
      <c r="CI144" s="148"/>
      <c r="CJ144" s="148"/>
      <c r="CK144" s="148"/>
      <c r="CL144" s="148"/>
      <c r="CM144" s="148"/>
      <c r="CN144" s="148"/>
      <c r="CO144" s="148"/>
      <c r="CP144" s="148"/>
      <c r="CQ144" s="148"/>
      <c r="CR144" s="148"/>
      <c r="CS144" s="148"/>
      <c r="CT144" s="148"/>
      <c r="CU144" s="148"/>
      <c r="CV144" s="148"/>
      <c r="CW144" s="148"/>
      <c r="CX144" s="148"/>
      <c r="CY144" s="148"/>
      <c r="CZ144" s="148"/>
      <c r="DA144" s="148"/>
      <c r="DB144" s="148"/>
      <c r="DC144" s="148"/>
      <c r="DD144" s="148"/>
      <c r="DE144" s="148"/>
      <c r="DF144" s="148"/>
      <c r="DG144" s="148"/>
      <c r="DH144" s="148"/>
      <c r="DI144" s="148"/>
      <c r="DJ144" s="148"/>
      <c r="DK144" s="148"/>
      <c r="DL144" s="148"/>
      <c r="DM144" s="148"/>
      <c r="DN144" s="148"/>
      <c r="DO144" s="148"/>
      <c r="DP144" s="148"/>
      <c r="DQ144" s="148"/>
      <c r="DR144" s="148"/>
      <c r="DS144" s="148"/>
      <c r="DT144" s="148"/>
      <c r="DU144" s="148"/>
      <c r="DV144" s="148"/>
      <c r="DW144" s="148"/>
      <c r="DX144" s="148"/>
      <c r="DY144" s="148"/>
      <c r="DZ144" s="148"/>
      <c r="EA144" s="148"/>
      <c r="EB144" s="148"/>
      <c r="EC144" s="148"/>
      <c r="ED144" s="148"/>
      <c r="EE144" s="148"/>
      <c r="EF144" s="148"/>
      <c r="EG144" s="148"/>
      <c r="EH144" s="148"/>
      <c r="EI144" s="148"/>
      <c r="EJ144" s="148"/>
      <c r="EK144" s="148"/>
      <c r="EL144" s="148"/>
      <c r="EM144" s="148"/>
      <c r="EN144" s="148"/>
      <c r="EO144" s="148"/>
      <c r="EP144" s="148"/>
      <c r="EQ144" s="148"/>
      <c r="ER144" s="148"/>
      <c r="ES144" s="148"/>
      <c r="ET144" s="148"/>
      <c r="EU144" s="148"/>
      <c r="EV144" s="148"/>
      <c r="EW144" s="148"/>
      <c r="EX144" s="148"/>
      <c r="EY144" s="148"/>
      <c r="EZ144" s="148"/>
      <c r="FA144" s="148"/>
      <c r="FB144" s="148"/>
      <c r="FC144" s="148"/>
      <c r="FD144" s="148"/>
      <c r="FE144" s="148"/>
      <c r="FF144" s="148"/>
      <c r="FG144" s="148"/>
      <c r="FH144" s="148"/>
      <c r="FI144" s="148"/>
      <c r="FJ144" s="148"/>
      <c r="FK144" s="148"/>
      <c r="FL144" s="148"/>
      <c r="FM144" s="148"/>
      <c r="FN144" s="148"/>
      <c r="FO144" s="148"/>
      <c r="FP144" s="148"/>
      <c r="FQ144" s="148"/>
      <c r="FR144" s="148"/>
      <c r="FS144" s="148"/>
      <c r="FT144" s="148"/>
      <c r="FU144" s="148"/>
      <c r="FV144" s="148"/>
      <c r="FW144" s="148"/>
      <c r="FX144" s="148"/>
      <c r="FY144" s="148"/>
      <c r="FZ144" s="148"/>
      <c r="GA144" s="148"/>
      <c r="GB144" s="148"/>
      <c r="GC144" s="148"/>
      <c r="GD144" s="148"/>
      <c r="GE144" s="148"/>
      <c r="GF144" s="148"/>
      <c r="GG144" s="148"/>
      <c r="GH144" s="148"/>
      <c r="GI144" s="148"/>
      <c r="GJ144" s="148"/>
      <c r="GK144" s="148"/>
      <c r="GL144" s="148"/>
      <c r="GM144" s="148"/>
      <c r="GN144" s="148"/>
      <c r="GO144" s="148"/>
      <c r="GP144" s="148"/>
      <c r="GQ144" s="148"/>
      <c r="GR144" s="148"/>
      <c r="GS144" s="148"/>
      <c r="GT144" s="148"/>
      <c r="GU144" s="148"/>
      <c r="GV144" s="148"/>
      <c r="GW144" s="148"/>
      <c r="GX144" s="148"/>
      <c r="GY144" s="148"/>
      <c r="GZ144" s="148"/>
      <c r="HA144" s="148"/>
      <c r="HB144" s="148"/>
      <c r="HC144" s="148"/>
      <c r="HD144" s="148"/>
      <c r="HE144" s="148"/>
      <c r="HF144" s="148"/>
      <c r="HG144" s="148"/>
      <c r="HH144" s="148"/>
      <c r="HI144" s="148"/>
      <c r="HJ144" s="148"/>
      <c r="HK144" s="148"/>
      <c r="HL144" s="148"/>
      <c r="HM144" s="148"/>
      <c r="HN144" s="148"/>
      <c r="HO144" s="148"/>
      <c r="HP144" s="148"/>
      <c r="HQ144" s="148"/>
      <c r="HR144" s="148"/>
      <c r="HS144" s="148"/>
      <c r="HT144" s="148"/>
      <c r="HU144" s="148"/>
      <c r="HV144" s="148"/>
      <c r="HW144" s="148"/>
      <c r="HX144" s="148"/>
      <c r="HY144" s="148"/>
      <c r="HZ144" s="148"/>
      <c r="IA144" s="148"/>
      <c r="IB144" s="148"/>
      <c r="IC144" s="148"/>
      <c r="ID144" s="148"/>
      <c r="IE144" s="148"/>
      <c r="IF144" s="148"/>
      <c r="IG144" s="148"/>
      <c r="IH144" s="148"/>
      <c r="II144" s="148"/>
      <c r="IJ144" s="148"/>
      <c r="IK144" s="148"/>
      <c r="IL144" s="148"/>
      <c r="IM144" s="148"/>
      <c r="IN144" s="148"/>
      <c r="IO144" s="148"/>
      <c r="IP144" s="148"/>
      <c r="IQ144" s="148"/>
      <c r="IR144" s="148"/>
      <c r="IS144" s="148"/>
      <c r="IT144" s="148"/>
      <c r="IU144" s="148"/>
      <c r="IV144" s="148"/>
      <c r="IW144" s="148"/>
      <c r="IX144" s="148"/>
      <c r="IY144" s="148"/>
      <c r="IZ144" s="148"/>
      <c r="JA144" s="148"/>
      <c r="JB144" s="148"/>
      <c r="JC144" s="148"/>
      <c r="JD144" s="148"/>
      <c r="JE144" s="148"/>
      <c r="JF144" s="148"/>
      <c r="JG144" s="148"/>
      <c r="JH144" s="148"/>
      <c r="JI144" s="148"/>
      <c r="JJ144" s="148"/>
      <c r="JK144" s="148"/>
      <c r="JL144" s="148"/>
      <c r="JM144" s="148"/>
      <c r="JN144" s="148"/>
      <c r="JO144" s="148"/>
      <c r="JP144" s="148"/>
      <c r="JQ144" s="148"/>
      <c r="JR144" s="148"/>
      <c r="JS144" s="148"/>
      <c r="JT144" s="148"/>
      <c r="JU144" s="148"/>
      <c r="JV144" s="148"/>
      <c r="JW144" s="148"/>
      <c r="JX144" s="148"/>
      <c r="JY144" s="148"/>
      <c r="JZ144" s="148"/>
      <c r="KA144" s="148"/>
      <c r="KB144" s="148"/>
      <c r="KC144" s="148"/>
      <c r="KD144" s="148"/>
      <c r="KE144" s="148"/>
      <c r="KF144" s="148"/>
      <c r="KG144" s="148"/>
      <c r="KH144" s="148"/>
      <c r="KI144" s="148"/>
      <c r="KJ144" s="148"/>
      <c r="KK144" s="148"/>
      <c r="KL144" s="148"/>
      <c r="KM144" s="148"/>
      <c r="KN144" s="148"/>
      <c r="KO144" s="148"/>
      <c r="KP144" s="148"/>
      <c r="KQ144" s="148"/>
      <c r="KR144" s="148"/>
      <c r="KS144" s="148"/>
      <c r="KT144" s="148"/>
      <c r="KU144" s="148"/>
      <c r="KV144" s="148"/>
      <c r="KW144" s="148"/>
      <c r="KX144" s="148"/>
      <c r="KY144" s="148"/>
      <c r="KZ144" s="148"/>
      <c r="LA144" s="148"/>
      <c r="LB144" s="148"/>
      <c r="LC144" s="148"/>
      <c r="LD144" s="148"/>
      <c r="LE144" s="148"/>
      <c r="LF144" s="148"/>
      <c r="LG144" s="148"/>
      <c r="LH144" s="148"/>
      <c r="LI144" s="148"/>
      <c r="LJ144" s="148"/>
      <c r="LK144" s="148"/>
      <c r="LL144" s="148"/>
      <c r="LM144" s="148"/>
      <c r="LN144" s="148"/>
      <c r="LO144" s="148"/>
      <c r="LP144" s="148"/>
      <c r="LQ144" s="148"/>
      <c r="LR144" s="148"/>
      <c r="LS144" s="148"/>
      <c r="LT144" s="148"/>
      <c r="LU144" s="148"/>
      <c r="LV144" s="148"/>
      <c r="LW144" s="148"/>
      <c r="LX144" s="148"/>
      <c r="LY144" s="148"/>
      <c r="LZ144" s="148"/>
      <c r="MA144" s="148"/>
      <c r="MB144" s="148"/>
      <c r="MC144" s="148"/>
      <c r="MD144" s="148"/>
      <c r="ME144" s="148"/>
      <c r="MF144" s="148"/>
      <c r="MG144" s="148"/>
      <c r="MH144" s="148"/>
      <c r="MI144" s="148"/>
      <c r="MJ144" s="148"/>
      <c r="MK144" s="148"/>
      <c r="ML144" s="148"/>
      <c r="MM144" s="148"/>
      <c r="MN144" s="148"/>
      <c r="MO144" s="148"/>
      <c r="MP144" s="148"/>
      <c r="MQ144" s="148"/>
      <c r="MR144" s="148"/>
      <c r="MS144" s="148"/>
      <c r="MT144" s="148"/>
      <c r="MU144" s="148"/>
      <c r="MV144" s="148"/>
      <c r="MW144" s="148"/>
      <c r="MX144" s="148"/>
      <c r="MY144" s="148"/>
      <c r="MZ144" s="148"/>
      <c r="NA144" s="148"/>
      <c r="NB144" s="148"/>
      <c r="NC144" s="148"/>
      <c r="ND144" s="148"/>
      <c r="NE144" s="148"/>
      <c r="NF144" s="148"/>
      <c r="NG144" s="148"/>
      <c r="NH144" s="148"/>
      <c r="NI144" s="148"/>
      <c r="NJ144" s="148"/>
      <c r="NK144" s="148"/>
      <c r="NL144" s="148"/>
      <c r="NM144" s="148"/>
      <c r="NN144" s="148"/>
      <c r="NO144" s="148"/>
      <c r="NP144" s="148"/>
      <c r="NQ144" s="148"/>
      <c r="NR144" s="148"/>
      <c r="NS144" s="148"/>
      <c r="NT144" s="148"/>
      <c r="NU144" s="148"/>
      <c r="NV144" s="148"/>
      <c r="NW144" s="148"/>
      <c r="NX144" s="148"/>
      <c r="NY144" s="148"/>
      <c r="NZ144" s="148"/>
      <c r="OA144" s="148"/>
      <c r="OB144" s="148"/>
      <c r="OC144" s="148"/>
      <c r="OD144" s="148"/>
      <c r="OE144" s="148"/>
      <c r="OF144" s="148"/>
      <c r="OG144" s="148"/>
      <c r="OH144" s="148"/>
      <c r="OI144" s="148"/>
      <c r="OJ144" s="148"/>
      <c r="OK144" s="148"/>
      <c r="OL144" s="148"/>
      <c r="OM144" s="148"/>
      <c r="ON144" s="148"/>
      <c r="OO144" s="148"/>
      <c r="OP144" s="148"/>
      <c r="OQ144" s="148"/>
      <c r="OR144" s="148"/>
      <c r="OS144" s="148"/>
      <c r="OT144" s="148"/>
      <c r="OU144" s="148"/>
      <c r="OV144" s="148"/>
      <c r="OW144" s="148"/>
      <c r="OX144" s="148"/>
      <c r="OY144" s="148"/>
      <c r="OZ144" s="148"/>
      <c r="PA144" s="148"/>
      <c r="PB144" s="148"/>
      <c r="PC144" s="148"/>
      <c r="PD144" s="148"/>
      <c r="PE144" s="148"/>
      <c r="PF144" s="148"/>
      <c r="PG144" s="148"/>
      <c r="PH144" s="148"/>
      <c r="PI144" s="148"/>
      <c r="PJ144" s="148"/>
      <c r="PK144" s="148"/>
      <c r="PL144" s="148"/>
      <c r="PM144" s="148"/>
      <c r="PN144" s="148"/>
      <c r="PO144" s="148"/>
      <c r="PP144" s="148"/>
      <c r="PQ144" s="148"/>
      <c r="PR144" s="148"/>
      <c r="PS144" s="148"/>
      <c r="PT144" s="148"/>
      <c r="PU144" s="148"/>
      <c r="PV144" s="148"/>
      <c r="PW144" s="148"/>
      <c r="PX144" s="148"/>
      <c r="PY144" s="148"/>
      <c r="PZ144" s="148"/>
      <c r="QA144" s="148"/>
      <c r="QB144" s="148"/>
      <c r="QC144" s="148"/>
      <c r="QD144" s="148"/>
      <c r="QE144" s="148"/>
      <c r="QF144" s="148"/>
      <c r="QG144" s="148"/>
      <c r="QH144" s="148"/>
      <c r="QI144" s="148"/>
      <c r="QJ144" s="148"/>
      <c r="QK144" s="148"/>
      <c r="QL144" s="148"/>
      <c r="QM144" s="148"/>
      <c r="QN144" s="148"/>
      <c r="QO144" s="148"/>
      <c r="QP144" s="148"/>
      <c r="QQ144" s="148"/>
      <c r="QR144" s="148"/>
      <c r="QS144" s="148"/>
      <c r="QT144" s="148"/>
      <c r="QU144" s="148"/>
      <c r="QV144" s="148"/>
      <c r="QW144" s="148"/>
      <c r="QX144" s="148"/>
      <c r="QY144" s="148"/>
      <c r="QZ144" s="148"/>
      <c r="RA144" s="148"/>
      <c r="RB144" s="148"/>
      <c r="RC144" s="148"/>
      <c r="RD144" s="148"/>
      <c r="RE144" s="148"/>
      <c r="RF144" s="148"/>
      <c r="RG144" s="148"/>
      <c r="RH144" s="148"/>
      <c r="RI144" s="148"/>
      <c r="RJ144" s="148"/>
      <c r="RK144" s="148"/>
      <c r="RL144" s="148"/>
      <c r="RM144" s="148"/>
      <c r="RN144" s="148"/>
      <c r="RO144" s="148"/>
      <c r="RP144" s="148"/>
      <c r="RQ144" s="148"/>
      <c r="RR144" s="148"/>
    </row>
    <row r="145" spans="1:486" s="15" customFormat="1" hidden="1" x14ac:dyDescent="0.25">
      <c r="A145" s="148"/>
      <c r="B145" s="350">
        <v>135</v>
      </c>
      <c r="C145" s="650"/>
      <c r="D145" s="16"/>
      <c r="E145" s="344"/>
      <c r="F145" s="344"/>
      <c r="G145" s="17"/>
      <c r="H145" s="317"/>
      <c r="I145" s="346"/>
      <c r="J145" s="341"/>
      <c r="K145" s="633"/>
      <c r="L145" s="633"/>
      <c r="M145" s="633"/>
      <c r="N145" s="633"/>
      <c r="O145" s="633"/>
      <c r="P145" s="633"/>
      <c r="Q145" s="633"/>
      <c r="R145" s="633"/>
      <c r="S145" s="633"/>
      <c r="T145" s="633"/>
      <c r="U145" s="633"/>
      <c r="V145" s="633"/>
      <c r="W145" s="633"/>
      <c r="X145" s="633"/>
      <c r="Y145" s="633">
        <f t="shared" ref="Y145:Y184" si="6">SUM(M145:X145)</f>
        <v>0</v>
      </c>
      <c r="Z145" s="310"/>
      <c r="AA145" s="19"/>
      <c r="AB145" s="21"/>
      <c r="AC145" s="23"/>
      <c r="AD145" s="652"/>
      <c r="AE145" s="20"/>
      <c r="AF145" s="21"/>
      <c r="AG145" s="23"/>
      <c r="AH145" s="637"/>
      <c r="AI145" s="19"/>
      <c r="AJ145" s="21"/>
      <c r="AK145" s="25"/>
      <c r="AL145" s="309"/>
      <c r="AM145" s="19"/>
      <c r="AN145" s="21"/>
      <c r="AO145" s="25"/>
      <c r="AP145" s="309"/>
      <c r="AQ145" s="19"/>
      <c r="AR145" s="21"/>
      <c r="AS145" s="25"/>
      <c r="AT145" s="638">
        <f t="shared" ref="AT145:AT184" si="7">+Z145+AD145+AH145+AL145+AP145</f>
        <v>0</v>
      </c>
      <c r="AU145" s="311">
        <f t="shared" si="5"/>
        <v>0</v>
      </c>
      <c r="AV145" s="148"/>
      <c r="AW145" s="148"/>
      <c r="AX145" s="148"/>
      <c r="AY145" s="148"/>
      <c r="AZ145" s="148"/>
      <c r="BA145" s="148"/>
      <c r="BB145" s="148"/>
      <c r="BC145" s="148"/>
      <c r="BD145" s="148"/>
      <c r="BE145" s="148"/>
      <c r="BF145" s="148"/>
      <c r="BG145" s="148"/>
      <c r="BH145" s="148"/>
      <c r="BI145" s="148"/>
      <c r="BJ145" s="148"/>
      <c r="BK145" s="148"/>
      <c r="BL145" s="148"/>
      <c r="BM145" s="148"/>
      <c r="BN145" s="148"/>
      <c r="BO145" s="148"/>
      <c r="BP145" s="148"/>
      <c r="BQ145" s="148"/>
      <c r="BR145" s="148"/>
      <c r="BS145" s="148"/>
      <c r="BT145" s="148"/>
      <c r="BU145" s="148"/>
      <c r="BV145" s="148"/>
      <c r="BW145" s="148"/>
      <c r="BX145" s="148"/>
      <c r="BY145" s="148"/>
      <c r="BZ145" s="148"/>
      <c r="CA145" s="148"/>
      <c r="CB145" s="148"/>
      <c r="CC145" s="148"/>
      <c r="CD145" s="148"/>
      <c r="CE145" s="148"/>
      <c r="CF145" s="148"/>
      <c r="CG145" s="148"/>
      <c r="CH145" s="148"/>
      <c r="CI145" s="148"/>
      <c r="CJ145" s="148"/>
      <c r="CK145" s="148"/>
      <c r="CL145" s="148"/>
      <c r="CM145" s="148"/>
      <c r="CN145" s="148"/>
      <c r="CO145" s="148"/>
      <c r="CP145" s="148"/>
      <c r="CQ145" s="148"/>
      <c r="CR145" s="148"/>
      <c r="CS145" s="148"/>
      <c r="CT145" s="148"/>
      <c r="CU145" s="148"/>
      <c r="CV145" s="148"/>
      <c r="CW145" s="148"/>
      <c r="CX145" s="148"/>
      <c r="CY145" s="148"/>
      <c r="CZ145" s="148"/>
      <c r="DA145" s="148"/>
      <c r="DB145" s="148"/>
      <c r="DC145" s="148"/>
      <c r="DD145" s="148"/>
      <c r="DE145" s="148"/>
      <c r="DF145" s="148"/>
      <c r="DG145" s="148"/>
      <c r="DH145" s="148"/>
      <c r="DI145" s="148"/>
      <c r="DJ145" s="148"/>
      <c r="DK145" s="148"/>
      <c r="DL145" s="148"/>
      <c r="DM145" s="148"/>
      <c r="DN145" s="148"/>
      <c r="DO145" s="148"/>
      <c r="DP145" s="148"/>
      <c r="DQ145" s="148"/>
      <c r="DR145" s="148"/>
      <c r="DS145" s="148"/>
      <c r="DT145" s="148"/>
      <c r="DU145" s="148"/>
      <c r="DV145" s="148"/>
      <c r="DW145" s="148"/>
      <c r="DX145" s="148"/>
      <c r="DY145" s="148"/>
      <c r="DZ145" s="148"/>
      <c r="EA145" s="148"/>
      <c r="EB145" s="148"/>
      <c r="EC145" s="148"/>
      <c r="ED145" s="148"/>
      <c r="EE145" s="148"/>
      <c r="EF145" s="148"/>
      <c r="EG145" s="148"/>
      <c r="EH145" s="148"/>
      <c r="EI145" s="148"/>
      <c r="EJ145" s="148"/>
      <c r="EK145" s="148"/>
      <c r="EL145" s="148"/>
      <c r="EM145" s="148"/>
      <c r="EN145" s="148"/>
      <c r="EO145" s="148"/>
      <c r="EP145" s="148"/>
      <c r="EQ145" s="148"/>
      <c r="ER145" s="148"/>
      <c r="ES145" s="148"/>
      <c r="ET145" s="148"/>
      <c r="EU145" s="148"/>
      <c r="EV145" s="148"/>
      <c r="EW145" s="148"/>
      <c r="EX145" s="148"/>
      <c r="EY145" s="148"/>
      <c r="EZ145" s="148"/>
      <c r="FA145" s="148"/>
      <c r="FB145" s="148"/>
      <c r="FC145" s="148"/>
      <c r="FD145" s="148"/>
      <c r="FE145" s="148"/>
      <c r="FF145" s="148"/>
      <c r="FG145" s="148"/>
      <c r="FH145" s="148"/>
      <c r="FI145" s="148"/>
      <c r="FJ145" s="148"/>
      <c r="FK145" s="148"/>
      <c r="FL145" s="148"/>
      <c r="FM145" s="148"/>
      <c r="FN145" s="148"/>
      <c r="FO145" s="148"/>
      <c r="FP145" s="148"/>
      <c r="FQ145" s="148"/>
      <c r="FR145" s="148"/>
      <c r="FS145" s="148"/>
      <c r="FT145" s="148"/>
      <c r="FU145" s="148"/>
      <c r="FV145" s="148"/>
      <c r="FW145" s="148"/>
      <c r="FX145" s="148"/>
      <c r="FY145" s="148"/>
      <c r="FZ145" s="148"/>
      <c r="GA145" s="148"/>
      <c r="GB145" s="148"/>
      <c r="GC145" s="148"/>
      <c r="GD145" s="148"/>
      <c r="GE145" s="148"/>
      <c r="GF145" s="148"/>
      <c r="GG145" s="148"/>
      <c r="GH145" s="148"/>
      <c r="GI145" s="148"/>
      <c r="GJ145" s="148"/>
      <c r="GK145" s="148"/>
      <c r="GL145" s="148"/>
      <c r="GM145" s="148"/>
      <c r="GN145" s="148"/>
      <c r="GO145" s="148"/>
      <c r="GP145" s="148"/>
      <c r="GQ145" s="148"/>
      <c r="GR145" s="148"/>
      <c r="GS145" s="148"/>
      <c r="GT145" s="148"/>
      <c r="GU145" s="148"/>
      <c r="GV145" s="148"/>
      <c r="GW145" s="148"/>
      <c r="GX145" s="148"/>
      <c r="GY145" s="148"/>
      <c r="GZ145" s="148"/>
      <c r="HA145" s="148"/>
      <c r="HB145" s="148"/>
      <c r="HC145" s="148"/>
      <c r="HD145" s="148"/>
      <c r="HE145" s="148"/>
      <c r="HF145" s="148"/>
      <c r="HG145" s="148"/>
      <c r="HH145" s="148"/>
      <c r="HI145" s="148"/>
      <c r="HJ145" s="148"/>
      <c r="HK145" s="148"/>
      <c r="HL145" s="148"/>
      <c r="HM145" s="148"/>
      <c r="HN145" s="148"/>
      <c r="HO145" s="148"/>
      <c r="HP145" s="148"/>
      <c r="HQ145" s="148"/>
      <c r="HR145" s="148"/>
      <c r="HS145" s="148"/>
      <c r="HT145" s="148"/>
      <c r="HU145" s="148"/>
      <c r="HV145" s="148"/>
      <c r="HW145" s="148"/>
      <c r="HX145" s="148"/>
      <c r="HY145" s="148"/>
      <c r="HZ145" s="148"/>
      <c r="IA145" s="148"/>
      <c r="IB145" s="148"/>
      <c r="IC145" s="148"/>
      <c r="ID145" s="148"/>
      <c r="IE145" s="148"/>
      <c r="IF145" s="148"/>
      <c r="IG145" s="148"/>
      <c r="IH145" s="148"/>
      <c r="II145" s="148"/>
      <c r="IJ145" s="148"/>
      <c r="IK145" s="148"/>
      <c r="IL145" s="148"/>
      <c r="IM145" s="148"/>
      <c r="IN145" s="148"/>
      <c r="IO145" s="148"/>
      <c r="IP145" s="148"/>
      <c r="IQ145" s="148"/>
      <c r="IR145" s="148"/>
      <c r="IS145" s="148"/>
      <c r="IT145" s="148"/>
      <c r="IU145" s="148"/>
      <c r="IV145" s="148"/>
      <c r="IW145" s="148"/>
      <c r="IX145" s="148"/>
      <c r="IY145" s="148"/>
      <c r="IZ145" s="148"/>
      <c r="JA145" s="148"/>
      <c r="JB145" s="148"/>
      <c r="JC145" s="148"/>
      <c r="JD145" s="148"/>
      <c r="JE145" s="148"/>
      <c r="JF145" s="148"/>
      <c r="JG145" s="148"/>
      <c r="JH145" s="148"/>
      <c r="JI145" s="148"/>
      <c r="JJ145" s="148"/>
      <c r="JK145" s="148"/>
      <c r="JL145" s="148"/>
      <c r="JM145" s="148"/>
      <c r="JN145" s="148"/>
      <c r="JO145" s="148"/>
      <c r="JP145" s="148"/>
      <c r="JQ145" s="148"/>
      <c r="JR145" s="148"/>
      <c r="JS145" s="148"/>
      <c r="JT145" s="148"/>
      <c r="JU145" s="148"/>
      <c r="JV145" s="148"/>
      <c r="JW145" s="148"/>
      <c r="JX145" s="148"/>
      <c r="JY145" s="148"/>
      <c r="JZ145" s="148"/>
      <c r="KA145" s="148"/>
      <c r="KB145" s="148"/>
      <c r="KC145" s="148"/>
      <c r="KD145" s="148"/>
      <c r="KE145" s="148"/>
      <c r="KF145" s="148"/>
      <c r="KG145" s="148"/>
      <c r="KH145" s="148"/>
      <c r="KI145" s="148"/>
      <c r="KJ145" s="148"/>
      <c r="KK145" s="148"/>
      <c r="KL145" s="148"/>
      <c r="KM145" s="148"/>
      <c r="KN145" s="148"/>
      <c r="KO145" s="148"/>
      <c r="KP145" s="148"/>
      <c r="KQ145" s="148"/>
      <c r="KR145" s="148"/>
      <c r="KS145" s="148"/>
      <c r="KT145" s="148"/>
      <c r="KU145" s="148"/>
      <c r="KV145" s="148"/>
      <c r="KW145" s="148"/>
      <c r="KX145" s="148"/>
      <c r="KY145" s="148"/>
      <c r="KZ145" s="148"/>
      <c r="LA145" s="148"/>
      <c r="LB145" s="148"/>
      <c r="LC145" s="148"/>
      <c r="LD145" s="148"/>
      <c r="LE145" s="148"/>
      <c r="LF145" s="148"/>
      <c r="LG145" s="148"/>
      <c r="LH145" s="148"/>
      <c r="LI145" s="148"/>
      <c r="LJ145" s="148"/>
      <c r="LK145" s="148"/>
      <c r="LL145" s="148"/>
      <c r="LM145" s="148"/>
      <c r="LN145" s="148"/>
      <c r="LO145" s="148"/>
      <c r="LP145" s="148"/>
      <c r="LQ145" s="148"/>
      <c r="LR145" s="148"/>
      <c r="LS145" s="148"/>
      <c r="LT145" s="148"/>
      <c r="LU145" s="148"/>
      <c r="LV145" s="148"/>
      <c r="LW145" s="148"/>
      <c r="LX145" s="148"/>
      <c r="LY145" s="148"/>
      <c r="LZ145" s="148"/>
      <c r="MA145" s="148"/>
      <c r="MB145" s="148"/>
      <c r="MC145" s="148"/>
      <c r="MD145" s="148"/>
      <c r="ME145" s="148"/>
      <c r="MF145" s="148"/>
      <c r="MG145" s="148"/>
      <c r="MH145" s="148"/>
      <c r="MI145" s="148"/>
      <c r="MJ145" s="148"/>
      <c r="MK145" s="148"/>
      <c r="ML145" s="148"/>
      <c r="MM145" s="148"/>
      <c r="MN145" s="148"/>
      <c r="MO145" s="148"/>
      <c r="MP145" s="148"/>
      <c r="MQ145" s="148"/>
      <c r="MR145" s="148"/>
      <c r="MS145" s="148"/>
      <c r="MT145" s="148"/>
      <c r="MU145" s="148"/>
      <c r="MV145" s="148"/>
      <c r="MW145" s="148"/>
      <c r="MX145" s="148"/>
      <c r="MY145" s="148"/>
      <c r="MZ145" s="148"/>
      <c r="NA145" s="148"/>
      <c r="NB145" s="148"/>
      <c r="NC145" s="148"/>
      <c r="ND145" s="148"/>
      <c r="NE145" s="148"/>
      <c r="NF145" s="148"/>
      <c r="NG145" s="148"/>
      <c r="NH145" s="148"/>
      <c r="NI145" s="148"/>
      <c r="NJ145" s="148"/>
      <c r="NK145" s="148"/>
      <c r="NL145" s="148"/>
      <c r="NM145" s="148"/>
      <c r="NN145" s="148"/>
      <c r="NO145" s="148"/>
      <c r="NP145" s="148"/>
      <c r="NQ145" s="148"/>
      <c r="NR145" s="148"/>
      <c r="NS145" s="148"/>
      <c r="NT145" s="148"/>
      <c r="NU145" s="148"/>
      <c r="NV145" s="148"/>
      <c r="NW145" s="148"/>
      <c r="NX145" s="148"/>
      <c r="NY145" s="148"/>
      <c r="NZ145" s="148"/>
      <c r="OA145" s="148"/>
      <c r="OB145" s="148"/>
      <c r="OC145" s="148"/>
      <c r="OD145" s="148"/>
      <c r="OE145" s="148"/>
      <c r="OF145" s="148"/>
      <c r="OG145" s="148"/>
      <c r="OH145" s="148"/>
      <c r="OI145" s="148"/>
      <c r="OJ145" s="148"/>
      <c r="OK145" s="148"/>
      <c r="OL145" s="148"/>
      <c r="OM145" s="148"/>
      <c r="ON145" s="148"/>
      <c r="OO145" s="148"/>
      <c r="OP145" s="148"/>
      <c r="OQ145" s="148"/>
      <c r="OR145" s="148"/>
      <c r="OS145" s="148"/>
      <c r="OT145" s="148"/>
      <c r="OU145" s="148"/>
      <c r="OV145" s="148"/>
      <c r="OW145" s="148"/>
      <c r="OX145" s="148"/>
      <c r="OY145" s="148"/>
      <c r="OZ145" s="148"/>
      <c r="PA145" s="148"/>
      <c r="PB145" s="148"/>
      <c r="PC145" s="148"/>
      <c r="PD145" s="148"/>
      <c r="PE145" s="148"/>
      <c r="PF145" s="148"/>
      <c r="PG145" s="148"/>
      <c r="PH145" s="148"/>
      <c r="PI145" s="148"/>
      <c r="PJ145" s="148"/>
      <c r="PK145" s="148"/>
      <c r="PL145" s="148"/>
      <c r="PM145" s="148"/>
      <c r="PN145" s="148"/>
      <c r="PO145" s="148"/>
      <c r="PP145" s="148"/>
      <c r="PQ145" s="148"/>
      <c r="PR145" s="148"/>
      <c r="PS145" s="148"/>
      <c r="PT145" s="148"/>
      <c r="PU145" s="148"/>
      <c r="PV145" s="148"/>
      <c r="PW145" s="148"/>
      <c r="PX145" s="148"/>
      <c r="PY145" s="148"/>
      <c r="PZ145" s="148"/>
      <c r="QA145" s="148"/>
      <c r="QB145" s="148"/>
      <c r="QC145" s="148"/>
      <c r="QD145" s="148"/>
      <c r="QE145" s="148"/>
      <c r="QF145" s="148"/>
      <c r="QG145" s="148"/>
      <c r="QH145" s="148"/>
      <c r="QI145" s="148"/>
      <c r="QJ145" s="148"/>
      <c r="QK145" s="148"/>
      <c r="QL145" s="148"/>
      <c r="QM145" s="148"/>
      <c r="QN145" s="148"/>
      <c r="QO145" s="148"/>
      <c r="QP145" s="148"/>
      <c r="QQ145" s="148"/>
      <c r="QR145" s="148"/>
      <c r="QS145" s="148"/>
      <c r="QT145" s="148"/>
      <c r="QU145" s="148"/>
      <c r="QV145" s="148"/>
      <c r="QW145" s="148"/>
      <c r="QX145" s="148"/>
      <c r="QY145" s="148"/>
      <c r="QZ145" s="148"/>
      <c r="RA145" s="148"/>
      <c r="RB145" s="148"/>
      <c r="RC145" s="148"/>
      <c r="RD145" s="148"/>
      <c r="RE145" s="148"/>
      <c r="RF145" s="148"/>
      <c r="RG145" s="148"/>
      <c r="RH145" s="148"/>
      <c r="RI145" s="148"/>
      <c r="RJ145" s="148"/>
      <c r="RK145" s="148"/>
      <c r="RL145" s="148"/>
      <c r="RM145" s="148"/>
      <c r="RN145" s="148"/>
      <c r="RO145" s="148"/>
      <c r="RP145" s="148"/>
      <c r="RQ145" s="148"/>
      <c r="RR145" s="148"/>
    </row>
    <row r="146" spans="1:486" s="15" customFormat="1" hidden="1" x14ac:dyDescent="0.25">
      <c r="A146" s="148"/>
      <c r="B146" s="350">
        <v>136</v>
      </c>
      <c r="C146" s="650"/>
      <c r="D146" s="16"/>
      <c r="E146" s="344"/>
      <c r="F146" s="344"/>
      <c r="G146" s="17"/>
      <c r="H146" s="317"/>
      <c r="I146" s="346"/>
      <c r="J146" s="341"/>
      <c r="K146" s="633"/>
      <c r="L146" s="633"/>
      <c r="M146" s="633"/>
      <c r="N146" s="633"/>
      <c r="O146" s="633"/>
      <c r="P146" s="633"/>
      <c r="Q146" s="633"/>
      <c r="R146" s="633"/>
      <c r="S146" s="633"/>
      <c r="T146" s="633"/>
      <c r="U146" s="633"/>
      <c r="V146" s="633"/>
      <c r="W146" s="633"/>
      <c r="X146" s="633"/>
      <c r="Y146" s="633">
        <f t="shared" si="6"/>
        <v>0</v>
      </c>
      <c r="Z146" s="310"/>
      <c r="AA146" s="19"/>
      <c r="AB146" s="21"/>
      <c r="AC146" s="23"/>
      <c r="AD146" s="652"/>
      <c r="AE146" s="20"/>
      <c r="AF146" s="21"/>
      <c r="AG146" s="23"/>
      <c r="AH146" s="637"/>
      <c r="AI146" s="19"/>
      <c r="AJ146" s="21"/>
      <c r="AK146" s="25"/>
      <c r="AL146" s="309"/>
      <c r="AM146" s="19"/>
      <c r="AN146" s="21"/>
      <c r="AO146" s="25"/>
      <c r="AP146" s="309"/>
      <c r="AQ146" s="19"/>
      <c r="AR146" s="21"/>
      <c r="AS146" s="25"/>
      <c r="AT146" s="638">
        <f t="shared" si="7"/>
        <v>0</v>
      </c>
      <c r="AU146" s="311">
        <f t="shared" si="5"/>
        <v>0</v>
      </c>
      <c r="AV146" s="148"/>
      <c r="AW146" s="148"/>
      <c r="AX146" s="148"/>
      <c r="AY146" s="148"/>
      <c r="AZ146" s="148"/>
      <c r="BA146" s="148"/>
      <c r="BB146" s="148"/>
      <c r="BC146" s="148"/>
      <c r="BD146" s="148"/>
      <c r="BE146" s="148"/>
      <c r="BF146" s="148"/>
      <c r="BG146" s="148"/>
      <c r="BH146" s="148"/>
      <c r="BI146" s="148"/>
      <c r="BJ146" s="148"/>
      <c r="BK146" s="148"/>
      <c r="BL146" s="148"/>
      <c r="BM146" s="148"/>
      <c r="BN146" s="148"/>
      <c r="BO146" s="148"/>
      <c r="BP146" s="148"/>
      <c r="BQ146" s="148"/>
      <c r="BR146" s="148"/>
      <c r="BS146" s="148"/>
      <c r="BT146" s="148"/>
      <c r="BU146" s="148"/>
      <c r="BV146" s="148"/>
      <c r="BW146" s="148"/>
      <c r="BX146" s="148"/>
      <c r="BY146" s="148"/>
      <c r="BZ146" s="148"/>
      <c r="CA146" s="148"/>
      <c r="CB146" s="148"/>
      <c r="CC146" s="148"/>
      <c r="CD146" s="148"/>
      <c r="CE146" s="148"/>
      <c r="CF146" s="148"/>
      <c r="CG146" s="148"/>
      <c r="CH146" s="148"/>
      <c r="CI146" s="148"/>
      <c r="CJ146" s="148"/>
      <c r="CK146" s="148"/>
      <c r="CL146" s="148"/>
      <c r="CM146" s="148"/>
      <c r="CN146" s="148"/>
      <c r="CO146" s="148"/>
      <c r="CP146" s="148"/>
      <c r="CQ146" s="148"/>
      <c r="CR146" s="148"/>
      <c r="CS146" s="148"/>
      <c r="CT146" s="148"/>
      <c r="CU146" s="148"/>
      <c r="CV146" s="148"/>
      <c r="CW146" s="148"/>
      <c r="CX146" s="148"/>
      <c r="CY146" s="148"/>
      <c r="CZ146" s="148"/>
      <c r="DA146" s="148"/>
      <c r="DB146" s="148"/>
      <c r="DC146" s="148"/>
      <c r="DD146" s="148"/>
      <c r="DE146" s="148"/>
      <c r="DF146" s="148"/>
      <c r="DG146" s="148"/>
      <c r="DH146" s="148"/>
      <c r="DI146" s="148"/>
      <c r="DJ146" s="148"/>
      <c r="DK146" s="148"/>
      <c r="DL146" s="148"/>
      <c r="DM146" s="148"/>
      <c r="DN146" s="148"/>
      <c r="DO146" s="148"/>
      <c r="DP146" s="148"/>
      <c r="DQ146" s="148"/>
      <c r="DR146" s="148"/>
      <c r="DS146" s="148"/>
      <c r="DT146" s="148"/>
      <c r="DU146" s="148"/>
      <c r="DV146" s="148"/>
      <c r="DW146" s="148"/>
      <c r="DX146" s="148"/>
      <c r="DY146" s="148"/>
      <c r="DZ146" s="148"/>
      <c r="EA146" s="148"/>
      <c r="EB146" s="148"/>
      <c r="EC146" s="148"/>
      <c r="ED146" s="148"/>
      <c r="EE146" s="148"/>
      <c r="EF146" s="148"/>
      <c r="EG146" s="148"/>
      <c r="EH146" s="148"/>
      <c r="EI146" s="148"/>
      <c r="EJ146" s="148"/>
      <c r="EK146" s="148"/>
      <c r="EL146" s="148"/>
      <c r="EM146" s="148"/>
      <c r="EN146" s="148"/>
      <c r="EO146" s="148"/>
      <c r="EP146" s="148"/>
      <c r="EQ146" s="148"/>
      <c r="ER146" s="148"/>
      <c r="ES146" s="148"/>
      <c r="ET146" s="148"/>
      <c r="EU146" s="148"/>
      <c r="EV146" s="148"/>
      <c r="EW146" s="148"/>
      <c r="EX146" s="148"/>
      <c r="EY146" s="148"/>
      <c r="EZ146" s="148"/>
      <c r="FA146" s="148"/>
      <c r="FB146" s="148"/>
      <c r="FC146" s="148"/>
      <c r="FD146" s="148"/>
      <c r="FE146" s="148"/>
      <c r="FF146" s="148"/>
      <c r="FG146" s="148"/>
      <c r="FH146" s="148"/>
      <c r="FI146" s="148"/>
      <c r="FJ146" s="148"/>
      <c r="FK146" s="148"/>
      <c r="FL146" s="148"/>
      <c r="FM146" s="148"/>
      <c r="FN146" s="148"/>
      <c r="FO146" s="148"/>
      <c r="FP146" s="148"/>
      <c r="FQ146" s="148"/>
      <c r="FR146" s="148"/>
      <c r="FS146" s="148"/>
      <c r="FT146" s="148"/>
      <c r="FU146" s="148"/>
      <c r="FV146" s="148"/>
      <c r="FW146" s="148"/>
      <c r="FX146" s="148"/>
      <c r="FY146" s="148"/>
      <c r="FZ146" s="148"/>
      <c r="GA146" s="148"/>
      <c r="GB146" s="148"/>
      <c r="GC146" s="148"/>
      <c r="GD146" s="148"/>
      <c r="GE146" s="148"/>
      <c r="GF146" s="148"/>
      <c r="GG146" s="148"/>
      <c r="GH146" s="148"/>
      <c r="GI146" s="148"/>
      <c r="GJ146" s="148"/>
      <c r="GK146" s="148"/>
      <c r="GL146" s="148"/>
      <c r="GM146" s="148"/>
      <c r="GN146" s="148"/>
      <c r="GO146" s="148"/>
      <c r="GP146" s="148"/>
      <c r="GQ146" s="148"/>
      <c r="GR146" s="148"/>
      <c r="GS146" s="148"/>
      <c r="GT146" s="148"/>
      <c r="GU146" s="148"/>
      <c r="GV146" s="148"/>
      <c r="GW146" s="148"/>
      <c r="GX146" s="148"/>
      <c r="GY146" s="148"/>
      <c r="GZ146" s="148"/>
      <c r="HA146" s="148"/>
      <c r="HB146" s="148"/>
      <c r="HC146" s="148"/>
      <c r="HD146" s="148"/>
      <c r="HE146" s="148"/>
      <c r="HF146" s="148"/>
      <c r="HG146" s="148"/>
      <c r="HH146" s="148"/>
      <c r="HI146" s="148"/>
      <c r="HJ146" s="148"/>
      <c r="HK146" s="148"/>
      <c r="HL146" s="148"/>
      <c r="HM146" s="148"/>
      <c r="HN146" s="148"/>
      <c r="HO146" s="148"/>
      <c r="HP146" s="148"/>
      <c r="HQ146" s="148"/>
      <c r="HR146" s="148"/>
      <c r="HS146" s="148"/>
      <c r="HT146" s="148"/>
      <c r="HU146" s="148"/>
      <c r="HV146" s="148"/>
      <c r="HW146" s="148"/>
      <c r="HX146" s="148"/>
      <c r="HY146" s="148"/>
      <c r="HZ146" s="148"/>
      <c r="IA146" s="148"/>
      <c r="IB146" s="148"/>
      <c r="IC146" s="148"/>
      <c r="ID146" s="148"/>
      <c r="IE146" s="148"/>
      <c r="IF146" s="148"/>
      <c r="IG146" s="148"/>
      <c r="IH146" s="148"/>
      <c r="II146" s="148"/>
      <c r="IJ146" s="148"/>
      <c r="IK146" s="148"/>
      <c r="IL146" s="148"/>
      <c r="IM146" s="148"/>
      <c r="IN146" s="148"/>
      <c r="IO146" s="148"/>
      <c r="IP146" s="148"/>
      <c r="IQ146" s="148"/>
      <c r="IR146" s="148"/>
      <c r="IS146" s="148"/>
      <c r="IT146" s="148"/>
      <c r="IU146" s="148"/>
      <c r="IV146" s="148"/>
      <c r="IW146" s="148"/>
      <c r="IX146" s="148"/>
      <c r="IY146" s="148"/>
      <c r="IZ146" s="148"/>
      <c r="JA146" s="148"/>
      <c r="JB146" s="148"/>
      <c r="JC146" s="148"/>
      <c r="JD146" s="148"/>
      <c r="JE146" s="148"/>
      <c r="JF146" s="148"/>
      <c r="JG146" s="148"/>
      <c r="JH146" s="148"/>
      <c r="JI146" s="148"/>
      <c r="JJ146" s="148"/>
      <c r="JK146" s="148"/>
      <c r="JL146" s="148"/>
      <c r="JM146" s="148"/>
      <c r="JN146" s="148"/>
      <c r="JO146" s="148"/>
      <c r="JP146" s="148"/>
      <c r="JQ146" s="148"/>
      <c r="JR146" s="148"/>
      <c r="JS146" s="148"/>
      <c r="JT146" s="148"/>
      <c r="JU146" s="148"/>
      <c r="JV146" s="148"/>
      <c r="JW146" s="148"/>
      <c r="JX146" s="148"/>
      <c r="JY146" s="148"/>
      <c r="JZ146" s="148"/>
      <c r="KA146" s="148"/>
      <c r="KB146" s="148"/>
      <c r="KC146" s="148"/>
      <c r="KD146" s="148"/>
      <c r="KE146" s="148"/>
      <c r="KF146" s="148"/>
      <c r="KG146" s="148"/>
      <c r="KH146" s="148"/>
      <c r="KI146" s="148"/>
      <c r="KJ146" s="148"/>
      <c r="KK146" s="148"/>
      <c r="KL146" s="148"/>
      <c r="KM146" s="148"/>
      <c r="KN146" s="148"/>
      <c r="KO146" s="148"/>
      <c r="KP146" s="148"/>
      <c r="KQ146" s="148"/>
      <c r="KR146" s="148"/>
      <c r="KS146" s="148"/>
      <c r="KT146" s="148"/>
      <c r="KU146" s="148"/>
      <c r="KV146" s="148"/>
      <c r="KW146" s="148"/>
      <c r="KX146" s="148"/>
      <c r="KY146" s="148"/>
      <c r="KZ146" s="148"/>
      <c r="LA146" s="148"/>
      <c r="LB146" s="148"/>
      <c r="LC146" s="148"/>
      <c r="LD146" s="148"/>
      <c r="LE146" s="148"/>
      <c r="LF146" s="148"/>
      <c r="LG146" s="148"/>
      <c r="LH146" s="148"/>
      <c r="LI146" s="148"/>
      <c r="LJ146" s="148"/>
      <c r="LK146" s="148"/>
      <c r="LL146" s="148"/>
      <c r="LM146" s="148"/>
      <c r="LN146" s="148"/>
      <c r="LO146" s="148"/>
      <c r="LP146" s="148"/>
      <c r="LQ146" s="148"/>
      <c r="LR146" s="148"/>
      <c r="LS146" s="148"/>
      <c r="LT146" s="148"/>
      <c r="LU146" s="148"/>
      <c r="LV146" s="148"/>
      <c r="LW146" s="148"/>
      <c r="LX146" s="148"/>
      <c r="LY146" s="148"/>
      <c r="LZ146" s="148"/>
      <c r="MA146" s="148"/>
      <c r="MB146" s="148"/>
      <c r="MC146" s="148"/>
      <c r="MD146" s="148"/>
      <c r="ME146" s="148"/>
      <c r="MF146" s="148"/>
      <c r="MG146" s="148"/>
      <c r="MH146" s="148"/>
      <c r="MI146" s="148"/>
      <c r="MJ146" s="148"/>
      <c r="MK146" s="148"/>
      <c r="ML146" s="148"/>
      <c r="MM146" s="148"/>
      <c r="MN146" s="148"/>
      <c r="MO146" s="148"/>
      <c r="MP146" s="148"/>
      <c r="MQ146" s="148"/>
      <c r="MR146" s="148"/>
      <c r="MS146" s="148"/>
      <c r="MT146" s="148"/>
      <c r="MU146" s="148"/>
      <c r="MV146" s="148"/>
      <c r="MW146" s="148"/>
      <c r="MX146" s="148"/>
      <c r="MY146" s="148"/>
      <c r="MZ146" s="148"/>
      <c r="NA146" s="148"/>
      <c r="NB146" s="148"/>
      <c r="NC146" s="148"/>
      <c r="ND146" s="148"/>
      <c r="NE146" s="148"/>
      <c r="NF146" s="148"/>
      <c r="NG146" s="148"/>
      <c r="NH146" s="148"/>
      <c r="NI146" s="148"/>
      <c r="NJ146" s="148"/>
      <c r="NK146" s="148"/>
      <c r="NL146" s="148"/>
      <c r="NM146" s="148"/>
      <c r="NN146" s="148"/>
      <c r="NO146" s="148"/>
      <c r="NP146" s="148"/>
      <c r="NQ146" s="148"/>
      <c r="NR146" s="148"/>
      <c r="NS146" s="148"/>
      <c r="NT146" s="148"/>
      <c r="NU146" s="148"/>
      <c r="NV146" s="148"/>
      <c r="NW146" s="148"/>
      <c r="NX146" s="148"/>
      <c r="NY146" s="148"/>
      <c r="NZ146" s="148"/>
      <c r="OA146" s="148"/>
      <c r="OB146" s="148"/>
      <c r="OC146" s="148"/>
      <c r="OD146" s="148"/>
      <c r="OE146" s="148"/>
      <c r="OF146" s="148"/>
      <c r="OG146" s="148"/>
      <c r="OH146" s="148"/>
      <c r="OI146" s="148"/>
      <c r="OJ146" s="148"/>
      <c r="OK146" s="148"/>
      <c r="OL146" s="148"/>
      <c r="OM146" s="148"/>
      <c r="ON146" s="148"/>
      <c r="OO146" s="148"/>
      <c r="OP146" s="148"/>
      <c r="OQ146" s="148"/>
      <c r="OR146" s="148"/>
      <c r="OS146" s="148"/>
      <c r="OT146" s="148"/>
      <c r="OU146" s="148"/>
      <c r="OV146" s="148"/>
      <c r="OW146" s="148"/>
      <c r="OX146" s="148"/>
      <c r="OY146" s="148"/>
      <c r="OZ146" s="148"/>
      <c r="PA146" s="148"/>
      <c r="PB146" s="148"/>
      <c r="PC146" s="148"/>
      <c r="PD146" s="148"/>
      <c r="PE146" s="148"/>
      <c r="PF146" s="148"/>
      <c r="PG146" s="148"/>
      <c r="PH146" s="148"/>
      <c r="PI146" s="148"/>
      <c r="PJ146" s="148"/>
      <c r="PK146" s="148"/>
      <c r="PL146" s="148"/>
      <c r="PM146" s="148"/>
      <c r="PN146" s="148"/>
      <c r="PO146" s="148"/>
      <c r="PP146" s="148"/>
      <c r="PQ146" s="148"/>
      <c r="PR146" s="148"/>
      <c r="PS146" s="148"/>
      <c r="PT146" s="148"/>
      <c r="PU146" s="148"/>
      <c r="PV146" s="148"/>
      <c r="PW146" s="148"/>
      <c r="PX146" s="148"/>
      <c r="PY146" s="148"/>
      <c r="PZ146" s="148"/>
      <c r="QA146" s="148"/>
      <c r="QB146" s="148"/>
      <c r="QC146" s="148"/>
      <c r="QD146" s="148"/>
      <c r="QE146" s="148"/>
      <c r="QF146" s="148"/>
      <c r="QG146" s="148"/>
      <c r="QH146" s="148"/>
      <c r="QI146" s="148"/>
      <c r="QJ146" s="148"/>
      <c r="QK146" s="148"/>
      <c r="QL146" s="148"/>
      <c r="QM146" s="148"/>
      <c r="QN146" s="148"/>
      <c r="QO146" s="148"/>
      <c r="QP146" s="148"/>
      <c r="QQ146" s="148"/>
      <c r="QR146" s="148"/>
      <c r="QS146" s="148"/>
      <c r="QT146" s="148"/>
      <c r="QU146" s="148"/>
      <c r="QV146" s="148"/>
      <c r="QW146" s="148"/>
      <c r="QX146" s="148"/>
      <c r="QY146" s="148"/>
      <c r="QZ146" s="148"/>
      <c r="RA146" s="148"/>
      <c r="RB146" s="148"/>
      <c r="RC146" s="148"/>
      <c r="RD146" s="148"/>
      <c r="RE146" s="148"/>
      <c r="RF146" s="148"/>
      <c r="RG146" s="148"/>
      <c r="RH146" s="148"/>
      <c r="RI146" s="148"/>
      <c r="RJ146" s="148"/>
      <c r="RK146" s="148"/>
      <c r="RL146" s="148"/>
      <c r="RM146" s="148"/>
      <c r="RN146" s="148"/>
      <c r="RO146" s="148"/>
      <c r="RP146" s="148"/>
      <c r="RQ146" s="148"/>
      <c r="RR146" s="148"/>
    </row>
    <row r="147" spans="1:486" s="15" customFormat="1" hidden="1" x14ac:dyDescent="0.25">
      <c r="A147" s="148"/>
      <c r="B147" s="350">
        <v>137</v>
      </c>
      <c r="C147" s="650"/>
      <c r="D147" s="16"/>
      <c r="E147" s="344"/>
      <c r="F147" s="344"/>
      <c r="G147" s="17"/>
      <c r="H147" s="317"/>
      <c r="I147" s="346"/>
      <c r="J147" s="341"/>
      <c r="K147" s="633"/>
      <c r="L147" s="633"/>
      <c r="M147" s="633"/>
      <c r="N147" s="633"/>
      <c r="O147" s="633"/>
      <c r="P147" s="633"/>
      <c r="Q147" s="633"/>
      <c r="R147" s="633"/>
      <c r="S147" s="633"/>
      <c r="T147" s="633"/>
      <c r="U147" s="633"/>
      <c r="V147" s="633"/>
      <c r="W147" s="633"/>
      <c r="X147" s="633"/>
      <c r="Y147" s="633">
        <f t="shared" si="6"/>
        <v>0</v>
      </c>
      <c r="Z147" s="310"/>
      <c r="AA147" s="19"/>
      <c r="AB147" s="21"/>
      <c r="AC147" s="23"/>
      <c r="AD147" s="652"/>
      <c r="AE147" s="20"/>
      <c r="AF147" s="21"/>
      <c r="AG147" s="23"/>
      <c r="AH147" s="637"/>
      <c r="AI147" s="19"/>
      <c r="AJ147" s="21"/>
      <c r="AK147" s="25"/>
      <c r="AL147" s="309"/>
      <c r="AM147" s="19"/>
      <c r="AN147" s="21"/>
      <c r="AO147" s="25"/>
      <c r="AP147" s="309"/>
      <c r="AQ147" s="19"/>
      <c r="AR147" s="21"/>
      <c r="AS147" s="25"/>
      <c r="AT147" s="638">
        <f t="shared" si="7"/>
        <v>0</v>
      </c>
      <c r="AU147" s="311">
        <f t="shared" si="5"/>
        <v>0</v>
      </c>
      <c r="AV147" s="148"/>
      <c r="AW147" s="148"/>
      <c r="AX147" s="148"/>
      <c r="AY147" s="148"/>
      <c r="AZ147" s="148"/>
      <c r="BA147" s="148"/>
      <c r="BB147" s="148"/>
      <c r="BC147" s="148"/>
      <c r="BD147" s="148"/>
      <c r="BE147" s="148"/>
      <c r="BF147" s="148"/>
      <c r="BG147" s="148"/>
      <c r="BH147" s="148"/>
      <c r="BI147" s="148"/>
      <c r="BJ147" s="148"/>
      <c r="BK147" s="148"/>
      <c r="BL147" s="148"/>
      <c r="BM147" s="148"/>
      <c r="BN147" s="148"/>
      <c r="BO147" s="148"/>
      <c r="BP147" s="148"/>
      <c r="BQ147" s="148"/>
      <c r="BR147" s="148"/>
      <c r="BS147" s="148"/>
      <c r="BT147" s="148"/>
      <c r="BU147" s="148"/>
      <c r="BV147" s="148"/>
      <c r="BW147" s="148"/>
      <c r="BX147" s="148"/>
      <c r="BY147" s="148"/>
      <c r="BZ147" s="148"/>
      <c r="CA147" s="148"/>
      <c r="CB147" s="148"/>
      <c r="CC147" s="148"/>
      <c r="CD147" s="148"/>
      <c r="CE147" s="148"/>
      <c r="CF147" s="148"/>
      <c r="CG147" s="148"/>
      <c r="CH147" s="148"/>
      <c r="CI147" s="148"/>
      <c r="CJ147" s="148"/>
      <c r="CK147" s="148"/>
      <c r="CL147" s="148"/>
      <c r="CM147" s="148"/>
      <c r="CN147" s="148"/>
      <c r="CO147" s="148"/>
      <c r="CP147" s="148"/>
      <c r="CQ147" s="148"/>
      <c r="CR147" s="148"/>
      <c r="CS147" s="148"/>
      <c r="CT147" s="148"/>
      <c r="CU147" s="148"/>
      <c r="CV147" s="148"/>
      <c r="CW147" s="148"/>
      <c r="CX147" s="148"/>
      <c r="CY147" s="148"/>
      <c r="CZ147" s="148"/>
      <c r="DA147" s="148"/>
      <c r="DB147" s="148"/>
      <c r="DC147" s="148"/>
      <c r="DD147" s="148"/>
      <c r="DE147" s="148"/>
      <c r="DF147" s="148"/>
      <c r="DG147" s="148"/>
      <c r="DH147" s="148"/>
      <c r="DI147" s="148"/>
      <c r="DJ147" s="148"/>
      <c r="DK147" s="148"/>
      <c r="DL147" s="148"/>
      <c r="DM147" s="148"/>
      <c r="DN147" s="148"/>
      <c r="DO147" s="148"/>
      <c r="DP147" s="148"/>
      <c r="DQ147" s="148"/>
      <c r="DR147" s="148"/>
      <c r="DS147" s="148"/>
      <c r="DT147" s="148"/>
      <c r="DU147" s="148"/>
      <c r="DV147" s="148"/>
      <c r="DW147" s="148"/>
      <c r="DX147" s="148"/>
      <c r="DY147" s="148"/>
      <c r="DZ147" s="148"/>
      <c r="EA147" s="148"/>
      <c r="EB147" s="148"/>
      <c r="EC147" s="148"/>
      <c r="ED147" s="148"/>
      <c r="EE147" s="148"/>
      <c r="EF147" s="148"/>
      <c r="EG147" s="148"/>
      <c r="EH147" s="148"/>
      <c r="EI147" s="148"/>
      <c r="EJ147" s="148"/>
      <c r="EK147" s="148"/>
      <c r="EL147" s="148"/>
      <c r="EM147" s="148"/>
      <c r="EN147" s="148"/>
      <c r="EO147" s="148"/>
      <c r="EP147" s="148"/>
      <c r="EQ147" s="148"/>
      <c r="ER147" s="148"/>
      <c r="ES147" s="148"/>
      <c r="ET147" s="148"/>
      <c r="EU147" s="148"/>
      <c r="EV147" s="148"/>
      <c r="EW147" s="148"/>
      <c r="EX147" s="148"/>
      <c r="EY147" s="148"/>
      <c r="EZ147" s="148"/>
      <c r="FA147" s="148"/>
      <c r="FB147" s="148"/>
      <c r="FC147" s="148"/>
      <c r="FD147" s="148"/>
      <c r="FE147" s="148"/>
      <c r="FF147" s="148"/>
      <c r="FG147" s="148"/>
      <c r="FH147" s="148"/>
      <c r="FI147" s="148"/>
      <c r="FJ147" s="148"/>
      <c r="FK147" s="148"/>
      <c r="FL147" s="148"/>
      <c r="FM147" s="148"/>
      <c r="FN147" s="148"/>
      <c r="FO147" s="148"/>
      <c r="FP147" s="148"/>
      <c r="FQ147" s="148"/>
      <c r="FR147" s="148"/>
      <c r="FS147" s="148"/>
      <c r="FT147" s="148"/>
      <c r="FU147" s="148"/>
      <c r="FV147" s="148"/>
      <c r="FW147" s="148"/>
      <c r="FX147" s="148"/>
      <c r="FY147" s="148"/>
      <c r="FZ147" s="148"/>
      <c r="GA147" s="148"/>
      <c r="GB147" s="148"/>
      <c r="GC147" s="148"/>
      <c r="GD147" s="148"/>
      <c r="GE147" s="148"/>
      <c r="GF147" s="148"/>
      <c r="GG147" s="148"/>
      <c r="GH147" s="148"/>
      <c r="GI147" s="148"/>
      <c r="GJ147" s="148"/>
      <c r="GK147" s="148"/>
      <c r="GL147" s="148"/>
      <c r="GM147" s="148"/>
      <c r="GN147" s="148"/>
      <c r="GO147" s="148"/>
      <c r="GP147" s="148"/>
      <c r="GQ147" s="148"/>
      <c r="GR147" s="148"/>
      <c r="GS147" s="148"/>
      <c r="GT147" s="148"/>
      <c r="GU147" s="148"/>
      <c r="GV147" s="148"/>
      <c r="GW147" s="148"/>
      <c r="GX147" s="148"/>
      <c r="GY147" s="148"/>
      <c r="GZ147" s="148"/>
      <c r="HA147" s="148"/>
      <c r="HB147" s="148"/>
      <c r="HC147" s="148"/>
      <c r="HD147" s="148"/>
      <c r="HE147" s="148"/>
      <c r="HF147" s="148"/>
      <c r="HG147" s="148"/>
      <c r="HH147" s="148"/>
      <c r="HI147" s="148"/>
      <c r="HJ147" s="148"/>
      <c r="HK147" s="148"/>
      <c r="HL147" s="148"/>
      <c r="HM147" s="148"/>
      <c r="HN147" s="148"/>
      <c r="HO147" s="148"/>
      <c r="HP147" s="148"/>
      <c r="HQ147" s="148"/>
      <c r="HR147" s="148"/>
      <c r="HS147" s="148"/>
      <c r="HT147" s="148"/>
      <c r="HU147" s="148"/>
      <c r="HV147" s="148"/>
      <c r="HW147" s="148"/>
      <c r="HX147" s="148"/>
      <c r="HY147" s="148"/>
      <c r="HZ147" s="148"/>
      <c r="IA147" s="148"/>
      <c r="IB147" s="148"/>
      <c r="IC147" s="148"/>
      <c r="ID147" s="148"/>
      <c r="IE147" s="148"/>
      <c r="IF147" s="148"/>
      <c r="IG147" s="148"/>
      <c r="IH147" s="148"/>
      <c r="II147" s="148"/>
      <c r="IJ147" s="148"/>
      <c r="IK147" s="148"/>
      <c r="IL147" s="148"/>
      <c r="IM147" s="148"/>
      <c r="IN147" s="148"/>
      <c r="IO147" s="148"/>
      <c r="IP147" s="148"/>
      <c r="IQ147" s="148"/>
      <c r="IR147" s="148"/>
      <c r="IS147" s="148"/>
      <c r="IT147" s="148"/>
      <c r="IU147" s="148"/>
      <c r="IV147" s="148"/>
      <c r="IW147" s="148"/>
      <c r="IX147" s="148"/>
      <c r="IY147" s="148"/>
      <c r="IZ147" s="148"/>
      <c r="JA147" s="148"/>
      <c r="JB147" s="148"/>
      <c r="JC147" s="148"/>
      <c r="JD147" s="148"/>
      <c r="JE147" s="148"/>
      <c r="JF147" s="148"/>
      <c r="JG147" s="148"/>
      <c r="JH147" s="148"/>
      <c r="JI147" s="148"/>
      <c r="JJ147" s="148"/>
      <c r="JK147" s="148"/>
      <c r="JL147" s="148"/>
      <c r="JM147" s="148"/>
      <c r="JN147" s="148"/>
      <c r="JO147" s="148"/>
      <c r="JP147" s="148"/>
      <c r="JQ147" s="148"/>
      <c r="JR147" s="148"/>
      <c r="JS147" s="148"/>
      <c r="JT147" s="148"/>
      <c r="JU147" s="148"/>
      <c r="JV147" s="148"/>
      <c r="JW147" s="148"/>
      <c r="JX147" s="148"/>
      <c r="JY147" s="148"/>
      <c r="JZ147" s="148"/>
      <c r="KA147" s="148"/>
      <c r="KB147" s="148"/>
      <c r="KC147" s="148"/>
      <c r="KD147" s="148"/>
      <c r="KE147" s="148"/>
      <c r="KF147" s="148"/>
      <c r="KG147" s="148"/>
      <c r="KH147" s="148"/>
      <c r="KI147" s="148"/>
      <c r="KJ147" s="148"/>
      <c r="KK147" s="148"/>
      <c r="KL147" s="148"/>
      <c r="KM147" s="148"/>
      <c r="KN147" s="148"/>
      <c r="KO147" s="148"/>
      <c r="KP147" s="148"/>
      <c r="KQ147" s="148"/>
      <c r="KR147" s="148"/>
      <c r="KS147" s="148"/>
      <c r="KT147" s="148"/>
      <c r="KU147" s="148"/>
      <c r="KV147" s="148"/>
      <c r="KW147" s="148"/>
      <c r="KX147" s="148"/>
      <c r="KY147" s="148"/>
      <c r="KZ147" s="148"/>
      <c r="LA147" s="148"/>
      <c r="LB147" s="148"/>
      <c r="LC147" s="148"/>
      <c r="LD147" s="148"/>
      <c r="LE147" s="148"/>
      <c r="LF147" s="148"/>
      <c r="LG147" s="148"/>
      <c r="LH147" s="148"/>
      <c r="LI147" s="148"/>
      <c r="LJ147" s="148"/>
      <c r="LK147" s="148"/>
      <c r="LL147" s="148"/>
      <c r="LM147" s="148"/>
      <c r="LN147" s="148"/>
      <c r="LO147" s="148"/>
      <c r="LP147" s="148"/>
      <c r="LQ147" s="148"/>
      <c r="LR147" s="148"/>
      <c r="LS147" s="148"/>
      <c r="LT147" s="148"/>
      <c r="LU147" s="148"/>
      <c r="LV147" s="148"/>
      <c r="LW147" s="148"/>
      <c r="LX147" s="148"/>
      <c r="LY147" s="148"/>
      <c r="LZ147" s="148"/>
      <c r="MA147" s="148"/>
      <c r="MB147" s="148"/>
      <c r="MC147" s="148"/>
      <c r="MD147" s="148"/>
      <c r="ME147" s="148"/>
      <c r="MF147" s="148"/>
      <c r="MG147" s="148"/>
      <c r="MH147" s="148"/>
      <c r="MI147" s="148"/>
      <c r="MJ147" s="148"/>
      <c r="MK147" s="148"/>
      <c r="ML147" s="148"/>
      <c r="MM147" s="148"/>
      <c r="MN147" s="148"/>
      <c r="MO147" s="148"/>
      <c r="MP147" s="148"/>
      <c r="MQ147" s="148"/>
      <c r="MR147" s="148"/>
      <c r="MS147" s="148"/>
      <c r="MT147" s="148"/>
      <c r="MU147" s="148"/>
      <c r="MV147" s="148"/>
      <c r="MW147" s="148"/>
      <c r="MX147" s="148"/>
      <c r="MY147" s="148"/>
      <c r="MZ147" s="148"/>
      <c r="NA147" s="148"/>
      <c r="NB147" s="148"/>
      <c r="NC147" s="148"/>
      <c r="ND147" s="148"/>
      <c r="NE147" s="148"/>
      <c r="NF147" s="148"/>
      <c r="NG147" s="148"/>
      <c r="NH147" s="148"/>
      <c r="NI147" s="148"/>
      <c r="NJ147" s="148"/>
      <c r="NK147" s="148"/>
      <c r="NL147" s="148"/>
      <c r="NM147" s="148"/>
      <c r="NN147" s="148"/>
      <c r="NO147" s="148"/>
      <c r="NP147" s="148"/>
      <c r="NQ147" s="148"/>
      <c r="NR147" s="148"/>
      <c r="NS147" s="148"/>
      <c r="NT147" s="148"/>
      <c r="NU147" s="148"/>
      <c r="NV147" s="148"/>
      <c r="NW147" s="148"/>
      <c r="NX147" s="148"/>
      <c r="NY147" s="148"/>
      <c r="NZ147" s="148"/>
      <c r="OA147" s="148"/>
      <c r="OB147" s="148"/>
      <c r="OC147" s="148"/>
      <c r="OD147" s="148"/>
      <c r="OE147" s="148"/>
      <c r="OF147" s="148"/>
      <c r="OG147" s="148"/>
      <c r="OH147" s="148"/>
      <c r="OI147" s="148"/>
      <c r="OJ147" s="148"/>
      <c r="OK147" s="148"/>
      <c r="OL147" s="148"/>
      <c r="OM147" s="148"/>
      <c r="ON147" s="148"/>
      <c r="OO147" s="148"/>
      <c r="OP147" s="148"/>
      <c r="OQ147" s="148"/>
      <c r="OR147" s="148"/>
      <c r="OS147" s="148"/>
      <c r="OT147" s="148"/>
      <c r="OU147" s="148"/>
      <c r="OV147" s="148"/>
      <c r="OW147" s="148"/>
      <c r="OX147" s="148"/>
      <c r="OY147" s="148"/>
      <c r="OZ147" s="148"/>
      <c r="PA147" s="148"/>
      <c r="PB147" s="148"/>
      <c r="PC147" s="148"/>
      <c r="PD147" s="148"/>
      <c r="PE147" s="148"/>
      <c r="PF147" s="148"/>
      <c r="PG147" s="148"/>
      <c r="PH147" s="148"/>
      <c r="PI147" s="148"/>
      <c r="PJ147" s="148"/>
      <c r="PK147" s="148"/>
      <c r="PL147" s="148"/>
      <c r="PM147" s="148"/>
      <c r="PN147" s="148"/>
      <c r="PO147" s="148"/>
      <c r="PP147" s="148"/>
      <c r="PQ147" s="148"/>
      <c r="PR147" s="148"/>
      <c r="PS147" s="148"/>
      <c r="PT147" s="148"/>
      <c r="PU147" s="148"/>
      <c r="PV147" s="148"/>
      <c r="PW147" s="148"/>
      <c r="PX147" s="148"/>
      <c r="PY147" s="148"/>
      <c r="PZ147" s="148"/>
      <c r="QA147" s="148"/>
      <c r="QB147" s="148"/>
      <c r="QC147" s="148"/>
      <c r="QD147" s="148"/>
      <c r="QE147" s="148"/>
      <c r="QF147" s="148"/>
      <c r="QG147" s="148"/>
      <c r="QH147" s="148"/>
      <c r="QI147" s="148"/>
      <c r="QJ147" s="148"/>
      <c r="QK147" s="148"/>
      <c r="QL147" s="148"/>
      <c r="QM147" s="148"/>
      <c r="QN147" s="148"/>
      <c r="QO147" s="148"/>
      <c r="QP147" s="148"/>
      <c r="QQ147" s="148"/>
      <c r="QR147" s="148"/>
      <c r="QS147" s="148"/>
      <c r="QT147" s="148"/>
      <c r="QU147" s="148"/>
      <c r="QV147" s="148"/>
      <c r="QW147" s="148"/>
      <c r="QX147" s="148"/>
      <c r="QY147" s="148"/>
      <c r="QZ147" s="148"/>
      <c r="RA147" s="148"/>
      <c r="RB147" s="148"/>
      <c r="RC147" s="148"/>
      <c r="RD147" s="148"/>
      <c r="RE147" s="148"/>
      <c r="RF147" s="148"/>
      <c r="RG147" s="148"/>
      <c r="RH147" s="148"/>
      <c r="RI147" s="148"/>
      <c r="RJ147" s="148"/>
      <c r="RK147" s="148"/>
      <c r="RL147" s="148"/>
      <c r="RM147" s="148"/>
      <c r="RN147" s="148"/>
      <c r="RO147" s="148"/>
      <c r="RP147" s="148"/>
      <c r="RQ147" s="148"/>
      <c r="RR147" s="148"/>
    </row>
    <row r="148" spans="1:486" s="15" customFormat="1" hidden="1" x14ac:dyDescent="0.25">
      <c r="A148" s="148"/>
      <c r="B148" s="350">
        <v>138</v>
      </c>
      <c r="C148" s="650"/>
      <c r="D148" s="16"/>
      <c r="E148" s="344"/>
      <c r="F148" s="344"/>
      <c r="G148" s="17"/>
      <c r="H148" s="317"/>
      <c r="I148" s="346"/>
      <c r="J148" s="341"/>
      <c r="K148" s="633"/>
      <c r="L148" s="633"/>
      <c r="M148" s="633"/>
      <c r="N148" s="633"/>
      <c r="O148" s="633"/>
      <c r="P148" s="633"/>
      <c r="Q148" s="633"/>
      <c r="R148" s="633"/>
      <c r="S148" s="633"/>
      <c r="T148" s="633"/>
      <c r="U148" s="633"/>
      <c r="V148" s="633"/>
      <c r="W148" s="633"/>
      <c r="X148" s="633"/>
      <c r="Y148" s="633">
        <f t="shared" si="6"/>
        <v>0</v>
      </c>
      <c r="Z148" s="310"/>
      <c r="AA148" s="19"/>
      <c r="AB148" s="21"/>
      <c r="AC148" s="23"/>
      <c r="AD148" s="652"/>
      <c r="AE148" s="20"/>
      <c r="AF148" s="21"/>
      <c r="AG148" s="23"/>
      <c r="AH148" s="637"/>
      <c r="AI148" s="19"/>
      <c r="AJ148" s="21"/>
      <c r="AK148" s="25"/>
      <c r="AL148" s="309"/>
      <c r="AM148" s="19"/>
      <c r="AN148" s="21"/>
      <c r="AO148" s="25"/>
      <c r="AP148" s="309"/>
      <c r="AQ148" s="19"/>
      <c r="AR148" s="21"/>
      <c r="AS148" s="25"/>
      <c r="AT148" s="638">
        <f t="shared" si="7"/>
        <v>0</v>
      </c>
      <c r="AU148" s="311">
        <f t="shared" si="5"/>
        <v>0</v>
      </c>
      <c r="AV148" s="148"/>
      <c r="AW148" s="148"/>
      <c r="AX148" s="148"/>
      <c r="AY148" s="148"/>
      <c r="AZ148" s="148"/>
      <c r="BA148" s="148"/>
      <c r="BB148" s="148"/>
      <c r="BC148" s="148"/>
      <c r="BD148" s="148"/>
      <c r="BE148" s="148"/>
      <c r="BF148" s="148"/>
      <c r="BG148" s="148"/>
      <c r="BH148" s="148"/>
      <c r="BI148" s="148"/>
      <c r="BJ148" s="148"/>
      <c r="BK148" s="148"/>
      <c r="BL148" s="148"/>
      <c r="BM148" s="148"/>
      <c r="BN148" s="148"/>
      <c r="BO148" s="148"/>
      <c r="BP148" s="148"/>
      <c r="BQ148" s="148"/>
      <c r="BR148" s="148"/>
      <c r="BS148" s="148"/>
      <c r="BT148" s="148"/>
      <c r="BU148" s="148"/>
      <c r="BV148" s="148"/>
      <c r="BW148" s="148"/>
      <c r="BX148" s="148"/>
      <c r="BY148" s="148"/>
      <c r="BZ148" s="148"/>
      <c r="CA148" s="148"/>
      <c r="CB148" s="148"/>
      <c r="CC148" s="148"/>
      <c r="CD148" s="148"/>
      <c r="CE148" s="148"/>
      <c r="CF148" s="148"/>
      <c r="CG148" s="148"/>
      <c r="CH148" s="148"/>
      <c r="CI148" s="148"/>
      <c r="CJ148" s="148"/>
      <c r="CK148" s="148"/>
      <c r="CL148" s="148"/>
      <c r="CM148" s="148"/>
      <c r="CN148" s="148"/>
      <c r="CO148" s="148"/>
      <c r="CP148" s="148"/>
      <c r="CQ148" s="148"/>
      <c r="CR148" s="148"/>
      <c r="CS148" s="148"/>
      <c r="CT148" s="148"/>
      <c r="CU148" s="148"/>
      <c r="CV148" s="148"/>
      <c r="CW148" s="148"/>
      <c r="CX148" s="148"/>
      <c r="CY148" s="148"/>
      <c r="CZ148" s="148"/>
      <c r="DA148" s="148"/>
      <c r="DB148" s="148"/>
      <c r="DC148" s="148"/>
      <c r="DD148" s="148"/>
      <c r="DE148" s="148"/>
      <c r="DF148" s="148"/>
      <c r="DG148" s="148"/>
      <c r="DH148" s="148"/>
      <c r="DI148" s="148"/>
      <c r="DJ148" s="148"/>
      <c r="DK148" s="148"/>
      <c r="DL148" s="148"/>
      <c r="DM148" s="148"/>
      <c r="DN148" s="148"/>
      <c r="DO148" s="148"/>
      <c r="DP148" s="148"/>
      <c r="DQ148" s="148"/>
      <c r="DR148" s="148"/>
      <c r="DS148" s="148"/>
      <c r="DT148" s="148"/>
      <c r="DU148" s="148"/>
      <c r="DV148" s="148"/>
      <c r="DW148" s="148"/>
      <c r="DX148" s="148"/>
      <c r="DY148" s="148"/>
      <c r="DZ148" s="148"/>
      <c r="EA148" s="148"/>
      <c r="EB148" s="148"/>
      <c r="EC148" s="148"/>
      <c r="ED148" s="148"/>
      <c r="EE148" s="148"/>
      <c r="EF148" s="148"/>
      <c r="EG148" s="148"/>
      <c r="EH148" s="148"/>
      <c r="EI148" s="148"/>
      <c r="EJ148" s="148"/>
      <c r="EK148" s="148"/>
      <c r="EL148" s="148"/>
      <c r="EM148" s="148"/>
      <c r="EN148" s="148"/>
      <c r="EO148" s="148"/>
      <c r="EP148" s="148"/>
      <c r="EQ148" s="148"/>
      <c r="ER148" s="148"/>
      <c r="ES148" s="148"/>
      <c r="ET148" s="148"/>
      <c r="EU148" s="148"/>
      <c r="EV148" s="148"/>
      <c r="EW148" s="148"/>
      <c r="EX148" s="148"/>
      <c r="EY148" s="148"/>
      <c r="EZ148" s="148"/>
      <c r="FA148" s="148"/>
      <c r="FB148" s="148"/>
      <c r="FC148" s="148"/>
      <c r="FD148" s="148"/>
      <c r="FE148" s="148"/>
      <c r="FF148" s="148"/>
      <c r="FG148" s="148"/>
      <c r="FH148" s="148"/>
      <c r="FI148" s="148"/>
      <c r="FJ148" s="148"/>
      <c r="FK148" s="148"/>
      <c r="FL148" s="148"/>
      <c r="FM148" s="148"/>
      <c r="FN148" s="148"/>
      <c r="FO148" s="148"/>
      <c r="FP148" s="148"/>
      <c r="FQ148" s="148"/>
      <c r="FR148" s="148"/>
      <c r="FS148" s="148"/>
      <c r="FT148" s="148"/>
      <c r="FU148" s="148"/>
      <c r="FV148" s="148"/>
      <c r="FW148" s="148"/>
      <c r="FX148" s="148"/>
      <c r="FY148" s="148"/>
      <c r="FZ148" s="148"/>
      <c r="GA148" s="148"/>
      <c r="GB148" s="148"/>
      <c r="GC148" s="148"/>
      <c r="GD148" s="148"/>
      <c r="GE148" s="148"/>
      <c r="GF148" s="148"/>
      <c r="GG148" s="148"/>
      <c r="GH148" s="148"/>
      <c r="GI148" s="148"/>
      <c r="GJ148" s="148"/>
      <c r="GK148" s="148"/>
      <c r="GL148" s="148"/>
      <c r="GM148" s="148"/>
      <c r="GN148" s="148"/>
      <c r="GO148" s="148"/>
      <c r="GP148" s="148"/>
      <c r="GQ148" s="148"/>
      <c r="GR148" s="148"/>
      <c r="GS148" s="148"/>
      <c r="GT148" s="148"/>
      <c r="GU148" s="148"/>
      <c r="GV148" s="148"/>
      <c r="GW148" s="148"/>
      <c r="GX148" s="148"/>
      <c r="GY148" s="148"/>
      <c r="GZ148" s="148"/>
      <c r="HA148" s="148"/>
      <c r="HB148" s="148"/>
      <c r="HC148" s="148"/>
      <c r="HD148" s="148"/>
      <c r="HE148" s="148"/>
      <c r="HF148" s="148"/>
      <c r="HG148" s="148"/>
      <c r="HH148" s="148"/>
      <c r="HI148" s="148"/>
      <c r="HJ148" s="148"/>
      <c r="HK148" s="148"/>
      <c r="HL148" s="148"/>
      <c r="HM148" s="148"/>
      <c r="HN148" s="148"/>
      <c r="HO148" s="148"/>
      <c r="HP148" s="148"/>
      <c r="HQ148" s="148"/>
      <c r="HR148" s="148"/>
      <c r="HS148" s="148"/>
      <c r="HT148" s="148"/>
      <c r="HU148" s="148"/>
      <c r="HV148" s="148"/>
      <c r="HW148" s="148"/>
      <c r="HX148" s="148"/>
      <c r="HY148" s="148"/>
      <c r="HZ148" s="148"/>
      <c r="IA148" s="148"/>
      <c r="IB148" s="148"/>
      <c r="IC148" s="148"/>
      <c r="ID148" s="148"/>
      <c r="IE148" s="148"/>
      <c r="IF148" s="148"/>
      <c r="IG148" s="148"/>
      <c r="IH148" s="148"/>
      <c r="II148" s="148"/>
      <c r="IJ148" s="148"/>
      <c r="IK148" s="148"/>
      <c r="IL148" s="148"/>
      <c r="IM148" s="148"/>
      <c r="IN148" s="148"/>
      <c r="IO148" s="148"/>
      <c r="IP148" s="148"/>
      <c r="IQ148" s="148"/>
      <c r="IR148" s="148"/>
      <c r="IS148" s="148"/>
      <c r="IT148" s="148"/>
      <c r="IU148" s="148"/>
      <c r="IV148" s="148"/>
      <c r="IW148" s="148"/>
      <c r="IX148" s="148"/>
      <c r="IY148" s="148"/>
      <c r="IZ148" s="148"/>
      <c r="JA148" s="148"/>
      <c r="JB148" s="148"/>
      <c r="JC148" s="148"/>
      <c r="JD148" s="148"/>
      <c r="JE148" s="148"/>
      <c r="JF148" s="148"/>
      <c r="JG148" s="148"/>
      <c r="JH148" s="148"/>
      <c r="JI148" s="148"/>
      <c r="JJ148" s="148"/>
      <c r="JK148" s="148"/>
      <c r="JL148" s="148"/>
      <c r="JM148" s="148"/>
      <c r="JN148" s="148"/>
      <c r="JO148" s="148"/>
      <c r="JP148" s="148"/>
      <c r="JQ148" s="148"/>
      <c r="JR148" s="148"/>
      <c r="JS148" s="148"/>
      <c r="JT148" s="148"/>
      <c r="JU148" s="148"/>
      <c r="JV148" s="148"/>
      <c r="JW148" s="148"/>
      <c r="JX148" s="148"/>
      <c r="JY148" s="148"/>
      <c r="JZ148" s="148"/>
      <c r="KA148" s="148"/>
      <c r="KB148" s="148"/>
      <c r="KC148" s="148"/>
      <c r="KD148" s="148"/>
      <c r="KE148" s="148"/>
      <c r="KF148" s="148"/>
      <c r="KG148" s="148"/>
      <c r="KH148" s="148"/>
      <c r="KI148" s="148"/>
      <c r="KJ148" s="148"/>
      <c r="KK148" s="148"/>
      <c r="KL148" s="148"/>
      <c r="KM148" s="148"/>
      <c r="KN148" s="148"/>
      <c r="KO148" s="148"/>
      <c r="KP148" s="148"/>
      <c r="KQ148" s="148"/>
      <c r="KR148" s="148"/>
      <c r="KS148" s="148"/>
      <c r="KT148" s="148"/>
      <c r="KU148" s="148"/>
      <c r="KV148" s="148"/>
      <c r="KW148" s="148"/>
      <c r="KX148" s="148"/>
      <c r="KY148" s="148"/>
      <c r="KZ148" s="148"/>
      <c r="LA148" s="148"/>
      <c r="LB148" s="148"/>
      <c r="LC148" s="148"/>
      <c r="LD148" s="148"/>
      <c r="LE148" s="148"/>
      <c r="LF148" s="148"/>
      <c r="LG148" s="148"/>
      <c r="LH148" s="148"/>
      <c r="LI148" s="148"/>
      <c r="LJ148" s="148"/>
      <c r="LK148" s="148"/>
      <c r="LL148" s="148"/>
      <c r="LM148" s="148"/>
      <c r="LN148" s="148"/>
      <c r="LO148" s="148"/>
      <c r="LP148" s="148"/>
      <c r="LQ148" s="148"/>
      <c r="LR148" s="148"/>
      <c r="LS148" s="148"/>
      <c r="LT148" s="148"/>
      <c r="LU148" s="148"/>
      <c r="LV148" s="148"/>
      <c r="LW148" s="148"/>
      <c r="LX148" s="148"/>
      <c r="LY148" s="148"/>
      <c r="LZ148" s="148"/>
      <c r="MA148" s="148"/>
      <c r="MB148" s="148"/>
      <c r="MC148" s="148"/>
      <c r="MD148" s="148"/>
      <c r="ME148" s="148"/>
      <c r="MF148" s="148"/>
      <c r="MG148" s="148"/>
      <c r="MH148" s="148"/>
      <c r="MI148" s="148"/>
      <c r="MJ148" s="148"/>
      <c r="MK148" s="148"/>
      <c r="ML148" s="148"/>
      <c r="MM148" s="148"/>
      <c r="MN148" s="148"/>
      <c r="MO148" s="148"/>
      <c r="MP148" s="148"/>
      <c r="MQ148" s="148"/>
      <c r="MR148" s="148"/>
      <c r="MS148" s="148"/>
      <c r="MT148" s="148"/>
      <c r="MU148" s="148"/>
      <c r="MV148" s="148"/>
      <c r="MW148" s="148"/>
      <c r="MX148" s="148"/>
      <c r="MY148" s="148"/>
      <c r="MZ148" s="148"/>
      <c r="NA148" s="148"/>
      <c r="NB148" s="148"/>
      <c r="NC148" s="148"/>
      <c r="ND148" s="148"/>
      <c r="NE148" s="148"/>
      <c r="NF148" s="148"/>
      <c r="NG148" s="148"/>
      <c r="NH148" s="148"/>
      <c r="NI148" s="148"/>
      <c r="NJ148" s="148"/>
      <c r="NK148" s="148"/>
      <c r="NL148" s="148"/>
      <c r="NM148" s="148"/>
      <c r="NN148" s="148"/>
      <c r="NO148" s="148"/>
      <c r="NP148" s="148"/>
      <c r="NQ148" s="148"/>
      <c r="NR148" s="148"/>
      <c r="NS148" s="148"/>
      <c r="NT148" s="148"/>
      <c r="NU148" s="148"/>
      <c r="NV148" s="148"/>
      <c r="NW148" s="148"/>
      <c r="NX148" s="148"/>
      <c r="NY148" s="148"/>
      <c r="NZ148" s="148"/>
      <c r="OA148" s="148"/>
      <c r="OB148" s="148"/>
      <c r="OC148" s="148"/>
      <c r="OD148" s="148"/>
      <c r="OE148" s="148"/>
      <c r="OF148" s="148"/>
      <c r="OG148" s="148"/>
      <c r="OH148" s="148"/>
      <c r="OI148" s="148"/>
      <c r="OJ148" s="148"/>
      <c r="OK148" s="148"/>
      <c r="OL148" s="148"/>
      <c r="OM148" s="148"/>
      <c r="ON148" s="148"/>
      <c r="OO148" s="148"/>
      <c r="OP148" s="148"/>
      <c r="OQ148" s="148"/>
      <c r="OR148" s="148"/>
      <c r="OS148" s="148"/>
      <c r="OT148" s="148"/>
      <c r="OU148" s="148"/>
      <c r="OV148" s="148"/>
      <c r="OW148" s="148"/>
      <c r="OX148" s="148"/>
      <c r="OY148" s="148"/>
      <c r="OZ148" s="148"/>
      <c r="PA148" s="148"/>
      <c r="PB148" s="148"/>
      <c r="PC148" s="148"/>
      <c r="PD148" s="148"/>
      <c r="PE148" s="148"/>
      <c r="PF148" s="148"/>
      <c r="PG148" s="148"/>
      <c r="PH148" s="148"/>
      <c r="PI148" s="148"/>
      <c r="PJ148" s="148"/>
      <c r="PK148" s="148"/>
      <c r="PL148" s="148"/>
      <c r="PM148" s="148"/>
      <c r="PN148" s="148"/>
      <c r="PO148" s="148"/>
      <c r="PP148" s="148"/>
      <c r="PQ148" s="148"/>
      <c r="PR148" s="148"/>
      <c r="PS148" s="148"/>
      <c r="PT148" s="148"/>
      <c r="PU148" s="148"/>
      <c r="PV148" s="148"/>
      <c r="PW148" s="148"/>
      <c r="PX148" s="148"/>
      <c r="PY148" s="148"/>
      <c r="PZ148" s="148"/>
      <c r="QA148" s="148"/>
      <c r="QB148" s="148"/>
      <c r="QC148" s="148"/>
      <c r="QD148" s="148"/>
      <c r="QE148" s="148"/>
      <c r="QF148" s="148"/>
      <c r="QG148" s="148"/>
      <c r="QH148" s="148"/>
      <c r="QI148" s="148"/>
      <c r="QJ148" s="148"/>
      <c r="QK148" s="148"/>
      <c r="QL148" s="148"/>
      <c r="QM148" s="148"/>
      <c r="QN148" s="148"/>
      <c r="QO148" s="148"/>
      <c r="QP148" s="148"/>
      <c r="QQ148" s="148"/>
      <c r="QR148" s="148"/>
      <c r="QS148" s="148"/>
      <c r="QT148" s="148"/>
      <c r="QU148" s="148"/>
      <c r="QV148" s="148"/>
      <c r="QW148" s="148"/>
      <c r="QX148" s="148"/>
      <c r="QY148" s="148"/>
      <c r="QZ148" s="148"/>
      <c r="RA148" s="148"/>
      <c r="RB148" s="148"/>
      <c r="RC148" s="148"/>
      <c r="RD148" s="148"/>
      <c r="RE148" s="148"/>
      <c r="RF148" s="148"/>
      <c r="RG148" s="148"/>
      <c r="RH148" s="148"/>
      <c r="RI148" s="148"/>
      <c r="RJ148" s="148"/>
      <c r="RK148" s="148"/>
      <c r="RL148" s="148"/>
      <c r="RM148" s="148"/>
      <c r="RN148" s="148"/>
      <c r="RO148" s="148"/>
      <c r="RP148" s="148"/>
      <c r="RQ148" s="148"/>
      <c r="RR148" s="148"/>
    </row>
    <row r="149" spans="1:486" s="15" customFormat="1" hidden="1" x14ac:dyDescent="0.25">
      <c r="A149" s="148"/>
      <c r="B149" s="350">
        <v>139</v>
      </c>
      <c r="C149" s="650"/>
      <c r="D149" s="16"/>
      <c r="E149" s="344"/>
      <c r="F149" s="344"/>
      <c r="G149" s="17"/>
      <c r="H149" s="317"/>
      <c r="I149" s="346"/>
      <c r="J149" s="341"/>
      <c r="K149" s="633"/>
      <c r="L149" s="633"/>
      <c r="M149" s="633"/>
      <c r="N149" s="633"/>
      <c r="O149" s="633"/>
      <c r="P149" s="633"/>
      <c r="Q149" s="633"/>
      <c r="R149" s="633"/>
      <c r="S149" s="633"/>
      <c r="T149" s="633"/>
      <c r="U149" s="633"/>
      <c r="V149" s="633"/>
      <c r="W149" s="633"/>
      <c r="X149" s="633"/>
      <c r="Y149" s="633">
        <f t="shared" si="6"/>
        <v>0</v>
      </c>
      <c r="Z149" s="310"/>
      <c r="AA149" s="19"/>
      <c r="AB149" s="315"/>
      <c r="AC149" s="315"/>
      <c r="AD149" s="652"/>
      <c r="AE149" s="20"/>
      <c r="AF149" s="21"/>
      <c r="AG149" s="23"/>
      <c r="AH149" s="637"/>
      <c r="AI149" s="19"/>
      <c r="AJ149" s="21"/>
      <c r="AK149" s="25"/>
      <c r="AL149" s="309"/>
      <c r="AM149" s="19"/>
      <c r="AN149" s="21"/>
      <c r="AO149" s="25"/>
      <c r="AP149" s="309"/>
      <c r="AQ149" s="19"/>
      <c r="AR149" s="21"/>
      <c r="AS149" s="25"/>
      <c r="AT149" s="638">
        <f t="shared" si="7"/>
        <v>0</v>
      </c>
      <c r="AU149" s="311">
        <f t="shared" si="5"/>
        <v>0</v>
      </c>
      <c r="AV149" s="148"/>
      <c r="AW149" s="148"/>
      <c r="AX149" s="148"/>
      <c r="AY149" s="148"/>
      <c r="AZ149" s="148"/>
      <c r="BA149" s="148"/>
      <c r="BB149" s="148"/>
      <c r="BC149" s="148"/>
      <c r="BD149" s="148"/>
      <c r="BE149" s="148"/>
      <c r="BF149" s="148"/>
      <c r="BG149" s="148"/>
      <c r="BH149" s="148"/>
      <c r="BI149" s="148"/>
      <c r="BJ149" s="148"/>
      <c r="BK149" s="148"/>
      <c r="BL149" s="148"/>
      <c r="BM149" s="148"/>
      <c r="BN149" s="148"/>
      <c r="BO149" s="148"/>
      <c r="BP149" s="148"/>
      <c r="BQ149" s="148"/>
      <c r="BR149" s="148"/>
      <c r="BS149" s="148"/>
      <c r="BT149" s="148"/>
      <c r="BU149" s="148"/>
      <c r="BV149" s="148"/>
      <c r="BW149" s="148"/>
      <c r="BX149" s="148"/>
      <c r="BY149" s="148"/>
      <c r="BZ149" s="148"/>
      <c r="CA149" s="148"/>
      <c r="CB149" s="148"/>
      <c r="CC149" s="148"/>
      <c r="CD149" s="148"/>
      <c r="CE149" s="148"/>
      <c r="CF149" s="148"/>
      <c r="CG149" s="148"/>
      <c r="CH149" s="148"/>
      <c r="CI149" s="148"/>
      <c r="CJ149" s="148"/>
      <c r="CK149" s="148"/>
      <c r="CL149" s="148"/>
      <c r="CM149" s="148"/>
      <c r="CN149" s="148"/>
      <c r="CO149" s="148"/>
      <c r="CP149" s="148"/>
      <c r="CQ149" s="148"/>
      <c r="CR149" s="148"/>
      <c r="CS149" s="148"/>
      <c r="CT149" s="148"/>
      <c r="CU149" s="148"/>
      <c r="CV149" s="148"/>
      <c r="CW149" s="148"/>
      <c r="CX149" s="148"/>
      <c r="CY149" s="148"/>
      <c r="CZ149" s="148"/>
      <c r="DA149" s="148"/>
      <c r="DB149" s="148"/>
      <c r="DC149" s="148"/>
      <c r="DD149" s="148"/>
      <c r="DE149" s="148"/>
      <c r="DF149" s="148"/>
      <c r="DG149" s="148"/>
      <c r="DH149" s="148"/>
      <c r="DI149" s="148"/>
      <c r="DJ149" s="148"/>
      <c r="DK149" s="148"/>
      <c r="DL149" s="148"/>
      <c r="DM149" s="148"/>
      <c r="DN149" s="148"/>
      <c r="DO149" s="148"/>
      <c r="DP149" s="148"/>
      <c r="DQ149" s="148"/>
      <c r="DR149" s="148"/>
      <c r="DS149" s="148"/>
      <c r="DT149" s="148"/>
      <c r="DU149" s="148"/>
      <c r="DV149" s="148"/>
      <c r="DW149" s="148"/>
      <c r="DX149" s="148"/>
      <c r="DY149" s="148"/>
      <c r="DZ149" s="148"/>
      <c r="EA149" s="148"/>
      <c r="EB149" s="148"/>
      <c r="EC149" s="148"/>
      <c r="ED149" s="148"/>
      <c r="EE149" s="148"/>
      <c r="EF149" s="148"/>
      <c r="EG149" s="148"/>
      <c r="EH149" s="148"/>
      <c r="EI149" s="148"/>
      <c r="EJ149" s="148"/>
      <c r="EK149" s="148"/>
      <c r="EL149" s="148"/>
      <c r="EM149" s="148"/>
      <c r="EN149" s="148"/>
      <c r="EO149" s="148"/>
      <c r="EP149" s="148"/>
      <c r="EQ149" s="148"/>
      <c r="ER149" s="148"/>
      <c r="ES149" s="148"/>
      <c r="ET149" s="148"/>
      <c r="EU149" s="148"/>
      <c r="EV149" s="148"/>
      <c r="EW149" s="148"/>
      <c r="EX149" s="148"/>
      <c r="EY149" s="148"/>
      <c r="EZ149" s="148"/>
      <c r="FA149" s="148"/>
      <c r="FB149" s="148"/>
      <c r="FC149" s="148"/>
      <c r="FD149" s="148"/>
      <c r="FE149" s="148"/>
      <c r="FF149" s="148"/>
      <c r="FG149" s="148"/>
      <c r="FH149" s="148"/>
      <c r="FI149" s="148"/>
      <c r="FJ149" s="148"/>
      <c r="FK149" s="148"/>
      <c r="FL149" s="148"/>
      <c r="FM149" s="148"/>
      <c r="FN149" s="148"/>
      <c r="FO149" s="148"/>
      <c r="FP149" s="148"/>
      <c r="FQ149" s="148"/>
      <c r="FR149" s="148"/>
      <c r="FS149" s="148"/>
      <c r="FT149" s="148"/>
      <c r="FU149" s="148"/>
      <c r="FV149" s="148"/>
      <c r="FW149" s="148"/>
      <c r="FX149" s="148"/>
      <c r="FY149" s="148"/>
      <c r="FZ149" s="148"/>
      <c r="GA149" s="148"/>
      <c r="GB149" s="148"/>
      <c r="GC149" s="148"/>
      <c r="GD149" s="148"/>
      <c r="GE149" s="148"/>
      <c r="GF149" s="148"/>
      <c r="GG149" s="148"/>
      <c r="GH149" s="148"/>
      <c r="GI149" s="148"/>
      <c r="GJ149" s="148"/>
      <c r="GK149" s="148"/>
      <c r="GL149" s="148"/>
      <c r="GM149" s="148"/>
      <c r="GN149" s="148"/>
      <c r="GO149" s="148"/>
      <c r="GP149" s="148"/>
      <c r="GQ149" s="148"/>
      <c r="GR149" s="148"/>
      <c r="GS149" s="148"/>
      <c r="GT149" s="148"/>
      <c r="GU149" s="148"/>
      <c r="GV149" s="148"/>
      <c r="GW149" s="148"/>
      <c r="GX149" s="148"/>
      <c r="GY149" s="148"/>
      <c r="GZ149" s="148"/>
      <c r="HA149" s="148"/>
      <c r="HB149" s="148"/>
      <c r="HC149" s="148"/>
      <c r="HD149" s="148"/>
      <c r="HE149" s="148"/>
      <c r="HF149" s="148"/>
      <c r="HG149" s="148"/>
      <c r="HH149" s="148"/>
      <c r="HI149" s="148"/>
      <c r="HJ149" s="148"/>
      <c r="HK149" s="148"/>
      <c r="HL149" s="148"/>
      <c r="HM149" s="148"/>
      <c r="HN149" s="148"/>
      <c r="HO149" s="148"/>
      <c r="HP149" s="148"/>
      <c r="HQ149" s="148"/>
      <c r="HR149" s="148"/>
      <c r="HS149" s="148"/>
      <c r="HT149" s="148"/>
      <c r="HU149" s="148"/>
      <c r="HV149" s="148"/>
      <c r="HW149" s="148"/>
      <c r="HX149" s="148"/>
      <c r="HY149" s="148"/>
      <c r="HZ149" s="148"/>
      <c r="IA149" s="148"/>
      <c r="IB149" s="148"/>
      <c r="IC149" s="148"/>
      <c r="ID149" s="148"/>
      <c r="IE149" s="148"/>
      <c r="IF149" s="148"/>
      <c r="IG149" s="148"/>
      <c r="IH149" s="148"/>
      <c r="II149" s="148"/>
      <c r="IJ149" s="148"/>
      <c r="IK149" s="148"/>
      <c r="IL149" s="148"/>
      <c r="IM149" s="148"/>
      <c r="IN149" s="148"/>
      <c r="IO149" s="148"/>
      <c r="IP149" s="148"/>
      <c r="IQ149" s="148"/>
      <c r="IR149" s="148"/>
      <c r="IS149" s="148"/>
      <c r="IT149" s="148"/>
      <c r="IU149" s="148"/>
      <c r="IV149" s="148"/>
      <c r="IW149" s="148"/>
      <c r="IX149" s="148"/>
      <c r="IY149" s="148"/>
      <c r="IZ149" s="148"/>
      <c r="JA149" s="148"/>
      <c r="JB149" s="148"/>
      <c r="JC149" s="148"/>
      <c r="JD149" s="148"/>
      <c r="JE149" s="148"/>
      <c r="JF149" s="148"/>
      <c r="JG149" s="148"/>
      <c r="JH149" s="148"/>
      <c r="JI149" s="148"/>
      <c r="JJ149" s="148"/>
      <c r="JK149" s="148"/>
      <c r="JL149" s="148"/>
      <c r="JM149" s="148"/>
      <c r="JN149" s="148"/>
      <c r="JO149" s="148"/>
      <c r="JP149" s="148"/>
      <c r="JQ149" s="148"/>
      <c r="JR149" s="148"/>
      <c r="JS149" s="148"/>
      <c r="JT149" s="148"/>
      <c r="JU149" s="148"/>
      <c r="JV149" s="148"/>
      <c r="JW149" s="148"/>
      <c r="JX149" s="148"/>
      <c r="JY149" s="148"/>
      <c r="JZ149" s="148"/>
      <c r="KA149" s="148"/>
      <c r="KB149" s="148"/>
      <c r="KC149" s="148"/>
      <c r="KD149" s="148"/>
      <c r="KE149" s="148"/>
      <c r="KF149" s="148"/>
      <c r="KG149" s="148"/>
      <c r="KH149" s="148"/>
      <c r="KI149" s="148"/>
      <c r="KJ149" s="148"/>
      <c r="KK149" s="148"/>
      <c r="KL149" s="148"/>
      <c r="KM149" s="148"/>
      <c r="KN149" s="148"/>
      <c r="KO149" s="148"/>
      <c r="KP149" s="148"/>
      <c r="KQ149" s="148"/>
      <c r="KR149" s="148"/>
      <c r="KS149" s="148"/>
      <c r="KT149" s="148"/>
      <c r="KU149" s="148"/>
      <c r="KV149" s="148"/>
      <c r="KW149" s="148"/>
      <c r="KX149" s="148"/>
      <c r="KY149" s="148"/>
      <c r="KZ149" s="148"/>
      <c r="LA149" s="148"/>
      <c r="LB149" s="148"/>
      <c r="LC149" s="148"/>
      <c r="LD149" s="148"/>
      <c r="LE149" s="148"/>
      <c r="LF149" s="148"/>
      <c r="LG149" s="148"/>
      <c r="LH149" s="148"/>
      <c r="LI149" s="148"/>
      <c r="LJ149" s="148"/>
      <c r="LK149" s="148"/>
      <c r="LL149" s="148"/>
      <c r="LM149" s="148"/>
      <c r="LN149" s="148"/>
      <c r="LO149" s="148"/>
      <c r="LP149" s="148"/>
      <c r="LQ149" s="148"/>
      <c r="LR149" s="148"/>
      <c r="LS149" s="148"/>
      <c r="LT149" s="148"/>
      <c r="LU149" s="148"/>
      <c r="LV149" s="148"/>
      <c r="LW149" s="148"/>
      <c r="LX149" s="148"/>
      <c r="LY149" s="148"/>
      <c r="LZ149" s="148"/>
      <c r="MA149" s="148"/>
      <c r="MB149" s="148"/>
      <c r="MC149" s="148"/>
      <c r="MD149" s="148"/>
      <c r="ME149" s="148"/>
      <c r="MF149" s="148"/>
      <c r="MG149" s="148"/>
      <c r="MH149" s="148"/>
      <c r="MI149" s="148"/>
      <c r="MJ149" s="148"/>
      <c r="MK149" s="148"/>
      <c r="ML149" s="148"/>
      <c r="MM149" s="148"/>
      <c r="MN149" s="148"/>
      <c r="MO149" s="148"/>
      <c r="MP149" s="148"/>
      <c r="MQ149" s="148"/>
      <c r="MR149" s="148"/>
      <c r="MS149" s="148"/>
      <c r="MT149" s="148"/>
      <c r="MU149" s="148"/>
      <c r="MV149" s="148"/>
      <c r="MW149" s="148"/>
      <c r="MX149" s="148"/>
      <c r="MY149" s="148"/>
      <c r="MZ149" s="148"/>
      <c r="NA149" s="148"/>
      <c r="NB149" s="148"/>
      <c r="NC149" s="148"/>
      <c r="ND149" s="148"/>
      <c r="NE149" s="148"/>
      <c r="NF149" s="148"/>
      <c r="NG149" s="148"/>
      <c r="NH149" s="148"/>
      <c r="NI149" s="148"/>
      <c r="NJ149" s="148"/>
      <c r="NK149" s="148"/>
      <c r="NL149" s="148"/>
      <c r="NM149" s="148"/>
      <c r="NN149" s="148"/>
      <c r="NO149" s="148"/>
      <c r="NP149" s="148"/>
      <c r="NQ149" s="148"/>
      <c r="NR149" s="148"/>
      <c r="NS149" s="148"/>
      <c r="NT149" s="148"/>
      <c r="NU149" s="148"/>
      <c r="NV149" s="148"/>
      <c r="NW149" s="148"/>
      <c r="NX149" s="148"/>
      <c r="NY149" s="148"/>
      <c r="NZ149" s="148"/>
      <c r="OA149" s="148"/>
      <c r="OB149" s="148"/>
      <c r="OC149" s="148"/>
      <c r="OD149" s="148"/>
      <c r="OE149" s="148"/>
      <c r="OF149" s="148"/>
      <c r="OG149" s="148"/>
      <c r="OH149" s="148"/>
      <c r="OI149" s="148"/>
      <c r="OJ149" s="148"/>
      <c r="OK149" s="148"/>
      <c r="OL149" s="148"/>
      <c r="OM149" s="148"/>
      <c r="ON149" s="148"/>
      <c r="OO149" s="148"/>
      <c r="OP149" s="148"/>
      <c r="OQ149" s="148"/>
      <c r="OR149" s="148"/>
      <c r="OS149" s="148"/>
      <c r="OT149" s="148"/>
      <c r="OU149" s="148"/>
      <c r="OV149" s="148"/>
      <c r="OW149" s="148"/>
      <c r="OX149" s="148"/>
      <c r="OY149" s="148"/>
      <c r="OZ149" s="148"/>
      <c r="PA149" s="148"/>
      <c r="PB149" s="148"/>
      <c r="PC149" s="148"/>
      <c r="PD149" s="148"/>
      <c r="PE149" s="148"/>
      <c r="PF149" s="148"/>
      <c r="PG149" s="148"/>
      <c r="PH149" s="148"/>
      <c r="PI149" s="148"/>
      <c r="PJ149" s="148"/>
      <c r="PK149" s="148"/>
      <c r="PL149" s="148"/>
      <c r="PM149" s="148"/>
      <c r="PN149" s="148"/>
      <c r="PO149" s="148"/>
      <c r="PP149" s="148"/>
      <c r="PQ149" s="148"/>
      <c r="PR149" s="148"/>
      <c r="PS149" s="148"/>
      <c r="PT149" s="148"/>
      <c r="PU149" s="148"/>
      <c r="PV149" s="148"/>
      <c r="PW149" s="148"/>
      <c r="PX149" s="148"/>
      <c r="PY149" s="148"/>
      <c r="PZ149" s="148"/>
      <c r="QA149" s="148"/>
      <c r="QB149" s="148"/>
      <c r="QC149" s="148"/>
      <c r="QD149" s="148"/>
      <c r="QE149" s="148"/>
      <c r="QF149" s="148"/>
      <c r="QG149" s="148"/>
      <c r="QH149" s="148"/>
      <c r="QI149" s="148"/>
      <c r="QJ149" s="148"/>
      <c r="QK149" s="148"/>
      <c r="QL149" s="148"/>
      <c r="QM149" s="148"/>
      <c r="QN149" s="148"/>
      <c r="QO149" s="148"/>
      <c r="QP149" s="148"/>
      <c r="QQ149" s="148"/>
      <c r="QR149" s="148"/>
      <c r="QS149" s="148"/>
      <c r="QT149" s="148"/>
      <c r="QU149" s="148"/>
      <c r="QV149" s="148"/>
      <c r="QW149" s="148"/>
      <c r="QX149" s="148"/>
      <c r="QY149" s="148"/>
      <c r="QZ149" s="148"/>
      <c r="RA149" s="148"/>
      <c r="RB149" s="148"/>
      <c r="RC149" s="148"/>
      <c r="RD149" s="148"/>
      <c r="RE149" s="148"/>
      <c r="RF149" s="148"/>
      <c r="RG149" s="148"/>
      <c r="RH149" s="148"/>
      <c r="RI149" s="148"/>
      <c r="RJ149" s="148"/>
      <c r="RK149" s="148"/>
      <c r="RL149" s="148"/>
      <c r="RM149" s="148"/>
      <c r="RN149" s="148"/>
      <c r="RO149" s="148"/>
      <c r="RP149" s="148"/>
      <c r="RQ149" s="148"/>
      <c r="RR149" s="148"/>
    </row>
    <row r="150" spans="1:486" s="15" customFormat="1" hidden="1" x14ac:dyDescent="0.25">
      <c r="A150" s="148"/>
      <c r="B150" s="350">
        <v>140</v>
      </c>
      <c r="C150" s="650"/>
      <c r="D150" s="16"/>
      <c r="E150" s="344"/>
      <c r="F150" s="344"/>
      <c r="G150" s="17"/>
      <c r="H150" s="317"/>
      <c r="I150" s="346"/>
      <c r="J150" s="341"/>
      <c r="K150" s="633"/>
      <c r="L150" s="633"/>
      <c r="M150" s="633"/>
      <c r="N150" s="633"/>
      <c r="O150" s="633"/>
      <c r="P150" s="633"/>
      <c r="Q150" s="633"/>
      <c r="R150" s="633"/>
      <c r="S150" s="633"/>
      <c r="T150" s="633"/>
      <c r="U150" s="633"/>
      <c r="V150" s="633"/>
      <c r="W150" s="633"/>
      <c r="X150" s="633"/>
      <c r="Y150" s="633">
        <f t="shared" si="6"/>
        <v>0</v>
      </c>
      <c r="Z150" s="310"/>
      <c r="AA150" s="19"/>
      <c r="AB150" s="315"/>
      <c r="AC150" s="315"/>
      <c r="AD150" s="652"/>
      <c r="AE150" s="20"/>
      <c r="AF150" s="21"/>
      <c r="AG150" s="23"/>
      <c r="AH150" s="637"/>
      <c r="AI150" s="19"/>
      <c r="AJ150" s="21"/>
      <c r="AK150" s="25"/>
      <c r="AL150" s="309"/>
      <c r="AM150" s="19"/>
      <c r="AN150" s="21"/>
      <c r="AO150" s="25"/>
      <c r="AP150" s="309"/>
      <c r="AQ150" s="19"/>
      <c r="AR150" s="21"/>
      <c r="AS150" s="25"/>
      <c r="AT150" s="638">
        <f t="shared" si="7"/>
        <v>0</v>
      </c>
      <c r="AU150" s="311">
        <f t="shared" si="5"/>
        <v>0</v>
      </c>
      <c r="AV150" s="148"/>
      <c r="AW150" s="148"/>
      <c r="AX150" s="148"/>
      <c r="AY150" s="148"/>
      <c r="AZ150" s="148"/>
      <c r="BA150" s="148"/>
      <c r="BB150" s="148"/>
      <c r="BC150" s="148"/>
      <c r="BD150" s="148"/>
      <c r="BE150" s="148"/>
      <c r="BF150" s="148"/>
      <c r="BG150" s="148"/>
      <c r="BH150" s="148"/>
      <c r="BI150" s="148"/>
      <c r="BJ150" s="148"/>
      <c r="BK150" s="148"/>
      <c r="BL150" s="148"/>
      <c r="BM150" s="148"/>
      <c r="BN150" s="148"/>
      <c r="BO150" s="148"/>
      <c r="BP150" s="148"/>
      <c r="BQ150" s="148"/>
      <c r="BR150" s="148"/>
      <c r="BS150" s="148"/>
      <c r="BT150" s="148"/>
      <c r="BU150" s="148"/>
      <c r="BV150" s="148"/>
      <c r="BW150" s="148"/>
      <c r="BX150" s="148"/>
      <c r="BY150" s="148"/>
      <c r="BZ150" s="148"/>
      <c r="CA150" s="148"/>
      <c r="CB150" s="148"/>
      <c r="CC150" s="148"/>
      <c r="CD150" s="148"/>
      <c r="CE150" s="148"/>
      <c r="CF150" s="148"/>
      <c r="CG150" s="148"/>
      <c r="CH150" s="148"/>
      <c r="CI150" s="148"/>
      <c r="CJ150" s="148"/>
      <c r="CK150" s="148"/>
      <c r="CL150" s="148"/>
      <c r="CM150" s="148"/>
      <c r="CN150" s="148"/>
      <c r="CO150" s="148"/>
      <c r="CP150" s="148"/>
      <c r="CQ150" s="148"/>
      <c r="CR150" s="148"/>
      <c r="CS150" s="148"/>
      <c r="CT150" s="148"/>
      <c r="CU150" s="148"/>
      <c r="CV150" s="148"/>
      <c r="CW150" s="148"/>
      <c r="CX150" s="148"/>
      <c r="CY150" s="148"/>
      <c r="CZ150" s="148"/>
      <c r="DA150" s="148"/>
      <c r="DB150" s="148"/>
      <c r="DC150" s="148"/>
      <c r="DD150" s="148"/>
      <c r="DE150" s="148"/>
      <c r="DF150" s="148"/>
      <c r="DG150" s="148"/>
      <c r="DH150" s="148"/>
      <c r="DI150" s="148"/>
      <c r="DJ150" s="148"/>
      <c r="DK150" s="148"/>
      <c r="DL150" s="148"/>
      <c r="DM150" s="148"/>
      <c r="DN150" s="148"/>
      <c r="DO150" s="148"/>
      <c r="DP150" s="148"/>
      <c r="DQ150" s="148"/>
      <c r="DR150" s="148"/>
      <c r="DS150" s="148"/>
      <c r="DT150" s="148"/>
      <c r="DU150" s="148"/>
      <c r="DV150" s="148"/>
      <c r="DW150" s="148"/>
      <c r="DX150" s="148"/>
      <c r="DY150" s="148"/>
      <c r="DZ150" s="148"/>
      <c r="EA150" s="148"/>
      <c r="EB150" s="148"/>
      <c r="EC150" s="148"/>
      <c r="ED150" s="148"/>
      <c r="EE150" s="148"/>
      <c r="EF150" s="148"/>
      <c r="EG150" s="148"/>
      <c r="EH150" s="148"/>
      <c r="EI150" s="148"/>
      <c r="EJ150" s="148"/>
      <c r="EK150" s="148"/>
      <c r="EL150" s="148"/>
      <c r="EM150" s="148"/>
      <c r="EN150" s="148"/>
      <c r="EO150" s="148"/>
      <c r="EP150" s="148"/>
      <c r="EQ150" s="148"/>
      <c r="ER150" s="148"/>
      <c r="ES150" s="148"/>
      <c r="ET150" s="148"/>
      <c r="EU150" s="148"/>
      <c r="EV150" s="148"/>
      <c r="EW150" s="148"/>
      <c r="EX150" s="148"/>
      <c r="EY150" s="148"/>
      <c r="EZ150" s="148"/>
      <c r="FA150" s="148"/>
      <c r="FB150" s="148"/>
      <c r="FC150" s="148"/>
      <c r="FD150" s="148"/>
      <c r="FE150" s="148"/>
      <c r="FF150" s="148"/>
      <c r="FG150" s="148"/>
      <c r="FH150" s="148"/>
      <c r="FI150" s="148"/>
      <c r="FJ150" s="148"/>
      <c r="FK150" s="148"/>
      <c r="FL150" s="148"/>
      <c r="FM150" s="148"/>
      <c r="FN150" s="148"/>
      <c r="FO150" s="148"/>
      <c r="FP150" s="148"/>
      <c r="FQ150" s="148"/>
      <c r="FR150" s="148"/>
      <c r="FS150" s="148"/>
      <c r="FT150" s="148"/>
      <c r="FU150" s="148"/>
      <c r="FV150" s="148"/>
      <c r="FW150" s="148"/>
      <c r="FX150" s="148"/>
      <c r="FY150" s="148"/>
      <c r="FZ150" s="148"/>
      <c r="GA150" s="148"/>
      <c r="GB150" s="148"/>
      <c r="GC150" s="148"/>
      <c r="GD150" s="148"/>
      <c r="GE150" s="148"/>
      <c r="GF150" s="148"/>
      <c r="GG150" s="148"/>
      <c r="GH150" s="148"/>
      <c r="GI150" s="148"/>
      <c r="GJ150" s="148"/>
      <c r="GK150" s="148"/>
      <c r="GL150" s="148"/>
      <c r="GM150" s="148"/>
      <c r="GN150" s="148"/>
      <c r="GO150" s="148"/>
      <c r="GP150" s="148"/>
      <c r="GQ150" s="148"/>
      <c r="GR150" s="148"/>
      <c r="GS150" s="148"/>
      <c r="GT150" s="148"/>
      <c r="GU150" s="148"/>
      <c r="GV150" s="148"/>
      <c r="GW150" s="148"/>
      <c r="GX150" s="148"/>
      <c r="GY150" s="148"/>
      <c r="GZ150" s="148"/>
      <c r="HA150" s="148"/>
      <c r="HB150" s="148"/>
      <c r="HC150" s="148"/>
      <c r="HD150" s="148"/>
      <c r="HE150" s="148"/>
      <c r="HF150" s="148"/>
      <c r="HG150" s="148"/>
      <c r="HH150" s="148"/>
      <c r="HI150" s="148"/>
      <c r="HJ150" s="148"/>
      <c r="HK150" s="148"/>
      <c r="HL150" s="148"/>
      <c r="HM150" s="148"/>
      <c r="HN150" s="148"/>
      <c r="HO150" s="148"/>
      <c r="HP150" s="148"/>
      <c r="HQ150" s="148"/>
      <c r="HR150" s="148"/>
      <c r="HS150" s="148"/>
      <c r="HT150" s="148"/>
      <c r="HU150" s="148"/>
      <c r="HV150" s="148"/>
      <c r="HW150" s="148"/>
      <c r="HX150" s="148"/>
      <c r="HY150" s="148"/>
      <c r="HZ150" s="148"/>
      <c r="IA150" s="148"/>
      <c r="IB150" s="148"/>
      <c r="IC150" s="148"/>
      <c r="ID150" s="148"/>
      <c r="IE150" s="148"/>
      <c r="IF150" s="148"/>
      <c r="IG150" s="148"/>
      <c r="IH150" s="148"/>
      <c r="II150" s="148"/>
      <c r="IJ150" s="148"/>
      <c r="IK150" s="148"/>
      <c r="IL150" s="148"/>
      <c r="IM150" s="148"/>
      <c r="IN150" s="148"/>
      <c r="IO150" s="148"/>
      <c r="IP150" s="148"/>
      <c r="IQ150" s="148"/>
      <c r="IR150" s="148"/>
      <c r="IS150" s="148"/>
      <c r="IT150" s="148"/>
      <c r="IU150" s="148"/>
      <c r="IV150" s="148"/>
      <c r="IW150" s="148"/>
      <c r="IX150" s="148"/>
      <c r="IY150" s="148"/>
      <c r="IZ150" s="148"/>
      <c r="JA150" s="148"/>
      <c r="JB150" s="148"/>
      <c r="JC150" s="148"/>
      <c r="JD150" s="148"/>
      <c r="JE150" s="148"/>
      <c r="JF150" s="148"/>
      <c r="JG150" s="148"/>
      <c r="JH150" s="148"/>
      <c r="JI150" s="148"/>
      <c r="JJ150" s="148"/>
      <c r="JK150" s="148"/>
      <c r="JL150" s="148"/>
      <c r="JM150" s="148"/>
      <c r="JN150" s="148"/>
      <c r="JO150" s="148"/>
      <c r="JP150" s="148"/>
      <c r="JQ150" s="148"/>
      <c r="JR150" s="148"/>
      <c r="JS150" s="148"/>
      <c r="JT150" s="148"/>
      <c r="JU150" s="148"/>
      <c r="JV150" s="148"/>
      <c r="JW150" s="148"/>
      <c r="JX150" s="148"/>
      <c r="JY150" s="148"/>
      <c r="JZ150" s="148"/>
      <c r="KA150" s="148"/>
      <c r="KB150" s="148"/>
      <c r="KC150" s="148"/>
      <c r="KD150" s="148"/>
      <c r="KE150" s="148"/>
      <c r="KF150" s="148"/>
      <c r="KG150" s="148"/>
      <c r="KH150" s="148"/>
      <c r="KI150" s="148"/>
      <c r="KJ150" s="148"/>
      <c r="KK150" s="148"/>
      <c r="KL150" s="148"/>
      <c r="KM150" s="148"/>
      <c r="KN150" s="148"/>
      <c r="KO150" s="148"/>
      <c r="KP150" s="148"/>
      <c r="KQ150" s="148"/>
      <c r="KR150" s="148"/>
      <c r="KS150" s="148"/>
      <c r="KT150" s="148"/>
      <c r="KU150" s="148"/>
      <c r="KV150" s="148"/>
      <c r="KW150" s="148"/>
      <c r="KX150" s="148"/>
      <c r="KY150" s="148"/>
      <c r="KZ150" s="148"/>
      <c r="LA150" s="148"/>
      <c r="LB150" s="148"/>
      <c r="LC150" s="148"/>
      <c r="LD150" s="148"/>
      <c r="LE150" s="148"/>
      <c r="LF150" s="148"/>
      <c r="LG150" s="148"/>
      <c r="LH150" s="148"/>
      <c r="LI150" s="148"/>
      <c r="LJ150" s="148"/>
      <c r="LK150" s="148"/>
      <c r="LL150" s="148"/>
      <c r="LM150" s="148"/>
      <c r="LN150" s="148"/>
      <c r="LO150" s="148"/>
      <c r="LP150" s="148"/>
      <c r="LQ150" s="148"/>
      <c r="LR150" s="148"/>
      <c r="LS150" s="148"/>
      <c r="LT150" s="148"/>
      <c r="LU150" s="148"/>
      <c r="LV150" s="148"/>
      <c r="LW150" s="148"/>
      <c r="LX150" s="148"/>
      <c r="LY150" s="148"/>
      <c r="LZ150" s="148"/>
      <c r="MA150" s="148"/>
      <c r="MB150" s="148"/>
      <c r="MC150" s="148"/>
      <c r="MD150" s="148"/>
      <c r="ME150" s="148"/>
      <c r="MF150" s="148"/>
      <c r="MG150" s="148"/>
      <c r="MH150" s="148"/>
      <c r="MI150" s="148"/>
      <c r="MJ150" s="148"/>
      <c r="MK150" s="148"/>
      <c r="ML150" s="148"/>
      <c r="MM150" s="148"/>
      <c r="MN150" s="148"/>
      <c r="MO150" s="148"/>
      <c r="MP150" s="148"/>
      <c r="MQ150" s="148"/>
      <c r="MR150" s="148"/>
      <c r="MS150" s="148"/>
      <c r="MT150" s="148"/>
      <c r="MU150" s="148"/>
      <c r="MV150" s="148"/>
      <c r="MW150" s="148"/>
      <c r="MX150" s="148"/>
      <c r="MY150" s="148"/>
      <c r="MZ150" s="148"/>
      <c r="NA150" s="148"/>
      <c r="NB150" s="148"/>
      <c r="NC150" s="148"/>
      <c r="ND150" s="148"/>
      <c r="NE150" s="148"/>
      <c r="NF150" s="148"/>
      <c r="NG150" s="148"/>
      <c r="NH150" s="148"/>
      <c r="NI150" s="148"/>
      <c r="NJ150" s="148"/>
      <c r="NK150" s="148"/>
      <c r="NL150" s="148"/>
      <c r="NM150" s="148"/>
      <c r="NN150" s="148"/>
      <c r="NO150" s="148"/>
      <c r="NP150" s="148"/>
      <c r="NQ150" s="148"/>
      <c r="NR150" s="148"/>
      <c r="NS150" s="148"/>
      <c r="NT150" s="148"/>
      <c r="NU150" s="148"/>
      <c r="NV150" s="148"/>
      <c r="NW150" s="148"/>
      <c r="NX150" s="148"/>
      <c r="NY150" s="148"/>
      <c r="NZ150" s="148"/>
      <c r="OA150" s="148"/>
      <c r="OB150" s="148"/>
      <c r="OC150" s="148"/>
      <c r="OD150" s="148"/>
      <c r="OE150" s="148"/>
      <c r="OF150" s="148"/>
      <c r="OG150" s="148"/>
      <c r="OH150" s="148"/>
      <c r="OI150" s="148"/>
      <c r="OJ150" s="148"/>
      <c r="OK150" s="148"/>
      <c r="OL150" s="148"/>
      <c r="OM150" s="148"/>
      <c r="ON150" s="148"/>
      <c r="OO150" s="148"/>
      <c r="OP150" s="148"/>
      <c r="OQ150" s="148"/>
      <c r="OR150" s="148"/>
      <c r="OS150" s="148"/>
      <c r="OT150" s="148"/>
      <c r="OU150" s="148"/>
      <c r="OV150" s="148"/>
      <c r="OW150" s="148"/>
      <c r="OX150" s="148"/>
      <c r="OY150" s="148"/>
      <c r="OZ150" s="148"/>
      <c r="PA150" s="148"/>
      <c r="PB150" s="148"/>
      <c r="PC150" s="148"/>
      <c r="PD150" s="148"/>
      <c r="PE150" s="148"/>
      <c r="PF150" s="148"/>
      <c r="PG150" s="148"/>
      <c r="PH150" s="148"/>
      <c r="PI150" s="148"/>
      <c r="PJ150" s="148"/>
      <c r="PK150" s="148"/>
      <c r="PL150" s="148"/>
      <c r="PM150" s="148"/>
      <c r="PN150" s="148"/>
      <c r="PO150" s="148"/>
      <c r="PP150" s="148"/>
      <c r="PQ150" s="148"/>
      <c r="PR150" s="148"/>
      <c r="PS150" s="148"/>
      <c r="PT150" s="148"/>
      <c r="PU150" s="148"/>
      <c r="PV150" s="148"/>
      <c r="PW150" s="148"/>
      <c r="PX150" s="148"/>
      <c r="PY150" s="148"/>
      <c r="PZ150" s="148"/>
      <c r="QA150" s="148"/>
      <c r="QB150" s="148"/>
      <c r="QC150" s="148"/>
      <c r="QD150" s="148"/>
      <c r="QE150" s="148"/>
      <c r="QF150" s="148"/>
      <c r="QG150" s="148"/>
      <c r="QH150" s="148"/>
      <c r="QI150" s="148"/>
      <c r="QJ150" s="148"/>
      <c r="QK150" s="148"/>
      <c r="QL150" s="148"/>
      <c r="QM150" s="148"/>
      <c r="QN150" s="148"/>
      <c r="QO150" s="148"/>
      <c r="QP150" s="148"/>
      <c r="QQ150" s="148"/>
      <c r="QR150" s="148"/>
      <c r="QS150" s="148"/>
      <c r="QT150" s="148"/>
      <c r="QU150" s="148"/>
      <c r="QV150" s="148"/>
      <c r="QW150" s="148"/>
      <c r="QX150" s="148"/>
      <c r="QY150" s="148"/>
      <c r="QZ150" s="148"/>
      <c r="RA150" s="148"/>
      <c r="RB150" s="148"/>
      <c r="RC150" s="148"/>
      <c r="RD150" s="148"/>
      <c r="RE150" s="148"/>
      <c r="RF150" s="148"/>
      <c r="RG150" s="148"/>
      <c r="RH150" s="148"/>
      <c r="RI150" s="148"/>
      <c r="RJ150" s="148"/>
      <c r="RK150" s="148"/>
      <c r="RL150" s="148"/>
      <c r="RM150" s="148"/>
      <c r="RN150" s="148"/>
      <c r="RO150" s="148"/>
      <c r="RP150" s="148"/>
      <c r="RQ150" s="148"/>
      <c r="RR150" s="148"/>
    </row>
    <row r="151" spans="1:486" s="15" customFormat="1" hidden="1" x14ac:dyDescent="0.25">
      <c r="A151" s="148"/>
      <c r="B151" s="350">
        <v>141</v>
      </c>
      <c r="C151" s="650"/>
      <c r="D151" s="16"/>
      <c r="E151" s="344"/>
      <c r="F151" s="344"/>
      <c r="G151" s="17"/>
      <c r="H151" s="317"/>
      <c r="I151" s="346"/>
      <c r="J151" s="341"/>
      <c r="K151" s="633"/>
      <c r="L151" s="633"/>
      <c r="M151" s="633"/>
      <c r="N151" s="633"/>
      <c r="O151" s="633"/>
      <c r="P151" s="633"/>
      <c r="Q151" s="633"/>
      <c r="R151" s="633"/>
      <c r="S151" s="633"/>
      <c r="T151" s="633"/>
      <c r="U151" s="633"/>
      <c r="V151" s="633"/>
      <c r="W151" s="633"/>
      <c r="X151" s="633"/>
      <c r="Y151" s="633">
        <f t="shared" si="6"/>
        <v>0</v>
      </c>
      <c r="Z151" s="310"/>
      <c r="AA151" s="19"/>
      <c r="AB151" s="315"/>
      <c r="AC151" s="315"/>
      <c r="AD151" s="652"/>
      <c r="AE151" s="20"/>
      <c r="AF151" s="21"/>
      <c r="AG151" s="23"/>
      <c r="AH151" s="637"/>
      <c r="AI151" s="19"/>
      <c r="AJ151" s="21"/>
      <c r="AK151" s="25"/>
      <c r="AL151" s="309"/>
      <c r="AM151" s="19"/>
      <c r="AN151" s="21"/>
      <c r="AO151" s="25"/>
      <c r="AP151" s="309"/>
      <c r="AQ151" s="19"/>
      <c r="AR151" s="21"/>
      <c r="AS151" s="25"/>
      <c r="AT151" s="638">
        <f t="shared" si="7"/>
        <v>0</v>
      </c>
      <c r="AU151" s="311">
        <f t="shared" si="5"/>
        <v>0</v>
      </c>
      <c r="AV151" s="148"/>
      <c r="AW151" s="148"/>
      <c r="AX151" s="148"/>
      <c r="AY151" s="148"/>
      <c r="AZ151" s="148"/>
      <c r="BA151" s="148"/>
      <c r="BB151" s="148"/>
      <c r="BC151" s="148"/>
      <c r="BD151" s="148"/>
      <c r="BE151" s="148"/>
      <c r="BF151" s="148"/>
      <c r="BG151" s="148"/>
      <c r="BH151" s="148"/>
      <c r="BI151" s="148"/>
      <c r="BJ151" s="148"/>
      <c r="BK151" s="148"/>
      <c r="BL151" s="148"/>
      <c r="BM151" s="148"/>
      <c r="BN151" s="148"/>
      <c r="BO151" s="148"/>
      <c r="BP151" s="148"/>
      <c r="BQ151" s="148"/>
      <c r="BR151" s="148"/>
      <c r="BS151" s="148"/>
      <c r="BT151" s="148"/>
      <c r="BU151" s="148"/>
      <c r="BV151" s="148"/>
      <c r="BW151" s="148"/>
      <c r="BX151" s="148"/>
      <c r="BY151" s="148"/>
      <c r="BZ151" s="148"/>
      <c r="CA151" s="148"/>
      <c r="CB151" s="148"/>
      <c r="CC151" s="148"/>
      <c r="CD151" s="148"/>
      <c r="CE151" s="148"/>
      <c r="CF151" s="148"/>
      <c r="CG151" s="148"/>
      <c r="CH151" s="148"/>
      <c r="CI151" s="148"/>
      <c r="CJ151" s="148"/>
      <c r="CK151" s="148"/>
      <c r="CL151" s="148"/>
      <c r="CM151" s="148"/>
      <c r="CN151" s="148"/>
      <c r="CO151" s="148"/>
      <c r="CP151" s="148"/>
      <c r="CQ151" s="148"/>
      <c r="CR151" s="148"/>
      <c r="CS151" s="148"/>
      <c r="CT151" s="148"/>
      <c r="CU151" s="148"/>
      <c r="CV151" s="148"/>
      <c r="CW151" s="148"/>
      <c r="CX151" s="148"/>
      <c r="CY151" s="148"/>
      <c r="CZ151" s="148"/>
      <c r="DA151" s="148"/>
      <c r="DB151" s="148"/>
      <c r="DC151" s="148"/>
      <c r="DD151" s="148"/>
      <c r="DE151" s="148"/>
      <c r="DF151" s="148"/>
      <c r="DG151" s="148"/>
      <c r="DH151" s="148"/>
      <c r="DI151" s="148"/>
      <c r="DJ151" s="148"/>
      <c r="DK151" s="148"/>
      <c r="DL151" s="148"/>
      <c r="DM151" s="148"/>
      <c r="DN151" s="148"/>
      <c r="DO151" s="148"/>
      <c r="DP151" s="148"/>
      <c r="DQ151" s="148"/>
      <c r="DR151" s="148"/>
      <c r="DS151" s="148"/>
      <c r="DT151" s="148"/>
      <c r="DU151" s="148"/>
      <c r="DV151" s="148"/>
      <c r="DW151" s="148"/>
      <c r="DX151" s="148"/>
      <c r="DY151" s="148"/>
      <c r="DZ151" s="148"/>
      <c r="EA151" s="148"/>
      <c r="EB151" s="148"/>
      <c r="EC151" s="148"/>
      <c r="ED151" s="148"/>
      <c r="EE151" s="148"/>
      <c r="EF151" s="148"/>
      <c r="EG151" s="148"/>
      <c r="EH151" s="148"/>
      <c r="EI151" s="148"/>
      <c r="EJ151" s="148"/>
      <c r="EK151" s="148"/>
      <c r="EL151" s="148"/>
      <c r="EM151" s="148"/>
      <c r="EN151" s="148"/>
      <c r="EO151" s="148"/>
      <c r="EP151" s="148"/>
      <c r="EQ151" s="148"/>
      <c r="ER151" s="148"/>
      <c r="ES151" s="148"/>
      <c r="ET151" s="148"/>
      <c r="EU151" s="148"/>
      <c r="EV151" s="148"/>
      <c r="EW151" s="148"/>
      <c r="EX151" s="148"/>
      <c r="EY151" s="148"/>
      <c r="EZ151" s="148"/>
      <c r="FA151" s="148"/>
      <c r="FB151" s="148"/>
      <c r="FC151" s="148"/>
      <c r="FD151" s="148"/>
      <c r="FE151" s="148"/>
      <c r="FF151" s="148"/>
      <c r="FG151" s="148"/>
      <c r="FH151" s="148"/>
      <c r="FI151" s="148"/>
      <c r="FJ151" s="148"/>
      <c r="FK151" s="148"/>
      <c r="FL151" s="148"/>
      <c r="FM151" s="148"/>
      <c r="FN151" s="148"/>
      <c r="FO151" s="148"/>
      <c r="FP151" s="148"/>
      <c r="FQ151" s="148"/>
      <c r="FR151" s="148"/>
      <c r="FS151" s="148"/>
      <c r="FT151" s="148"/>
      <c r="FU151" s="148"/>
      <c r="FV151" s="148"/>
      <c r="FW151" s="148"/>
      <c r="FX151" s="148"/>
      <c r="FY151" s="148"/>
      <c r="FZ151" s="148"/>
      <c r="GA151" s="148"/>
      <c r="GB151" s="148"/>
      <c r="GC151" s="148"/>
      <c r="GD151" s="148"/>
      <c r="GE151" s="148"/>
      <c r="GF151" s="148"/>
      <c r="GG151" s="148"/>
      <c r="GH151" s="148"/>
      <c r="GI151" s="148"/>
      <c r="GJ151" s="148"/>
      <c r="GK151" s="148"/>
      <c r="GL151" s="148"/>
      <c r="GM151" s="148"/>
      <c r="GN151" s="148"/>
      <c r="GO151" s="148"/>
      <c r="GP151" s="148"/>
      <c r="GQ151" s="148"/>
      <c r="GR151" s="148"/>
      <c r="GS151" s="148"/>
      <c r="GT151" s="148"/>
      <c r="GU151" s="148"/>
      <c r="GV151" s="148"/>
      <c r="GW151" s="148"/>
      <c r="GX151" s="148"/>
      <c r="GY151" s="148"/>
      <c r="GZ151" s="148"/>
      <c r="HA151" s="148"/>
      <c r="HB151" s="148"/>
      <c r="HC151" s="148"/>
      <c r="HD151" s="148"/>
      <c r="HE151" s="148"/>
      <c r="HF151" s="148"/>
      <c r="HG151" s="148"/>
      <c r="HH151" s="148"/>
      <c r="HI151" s="148"/>
      <c r="HJ151" s="148"/>
      <c r="HK151" s="148"/>
      <c r="HL151" s="148"/>
      <c r="HM151" s="148"/>
      <c r="HN151" s="148"/>
      <c r="HO151" s="148"/>
      <c r="HP151" s="148"/>
      <c r="HQ151" s="148"/>
      <c r="HR151" s="148"/>
      <c r="HS151" s="148"/>
      <c r="HT151" s="148"/>
      <c r="HU151" s="148"/>
      <c r="HV151" s="148"/>
      <c r="HW151" s="148"/>
      <c r="HX151" s="148"/>
      <c r="HY151" s="148"/>
      <c r="HZ151" s="148"/>
      <c r="IA151" s="148"/>
      <c r="IB151" s="148"/>
      <c r="IC151" s="148"/>
      <c r="ID151" s="148"/>
      <c r="IE151" s="148"/>
      <c r="IF151" s="148"/>
      <c r="IG151" s="148"/>
      <c r="IH151" s="148"/>
      <c r="II151" s="148"/>
      <c r="IJ151" s="148"/>
      <c r="IK151" s="148"/>
      <c r="IL151" s="148"/>
      <c r="IM151" s="148"/>
      <c r="IN151" s="148"/>
      <c r="IO151" s="148"/>
      <c r="IP151" s="148"/>
      <c r="IQ151" s="148"/>
      <c r="IR151" s="148"/>
      <c r="IS151" s="148"/>
      <c r="IT151" s="148"/>
      <c r="IU151" s="148"/>
      <c r="IV151" s="148"/>
      <c r="IW151" s="148"/>
      <c r="IX151" s="148"/>
      <c r="IY151" s="148"/>
      <c r="IZ151" s="148"/>
      <c r="JA151" s="148"/>
      <c r="JB151" s="148"/>
      <c r="JC151" s="148"/>
      <c r="JD151" s="148"/>
      <c r="JE151" s="148"/>
      <c r="JF151" s="148"/>
      <c r="JG151" s="148"/>
      <c r="JH151" s="148"/>
      <c r="JI151" s="148"/>
      <c r="JJ151" s="148"/>
      <c r="JK151" s="148"/>
      <c r="JL151" s="148"/>
      <c r="JM151" s="148"/>
      <c r="JN151" s="148"/>
      <c r="JO151" s="148"/>
      <c r="JP151" s="148"/>
      <c r="JQ151" s="148"/>
      <c r="JR151" s="148"/>
      <c r="JS151" s="148"/>
      <c r="JT151" s="148"/>
      <c r="JU151" s="148"/>
      <c r="JV151" s="148"/>
      <c r="JW151" s="148"/>
      <c r="JX151" s="148"/>
      <c r="JY151" s="148"/>
      <c r="JZ151" s="148"/>
      <c r="KA151" s="148"/>
      <c r="KB151" s="148"/>
      <c r="KC151" s="148"/>
      <c r="KD151" s="148"/>
      <c r="KE151" s="148"/>
      <c r="KF151" s="148"/>
      <c r="KG151" s="148"/>
      <c r="KH151" s="148"/>
      <c r="KI151" s="148"/>
      <c r="KJ151" s="148"/>
      <c r="KK151" s="148"/>
      <c r="KL151" s="148"/>
      <c r="KM151" s="148"/>
      <c r="KN151" s="148"/>
      <c r="KO151" s="148"/>
      <c r="KP151" s="148"/>
      <c r="KQ151" s="148"/>
      <c r="KR151" s="148"/>
      <c r="KS151" s="148"/>
      <c r="KT151" s="148"/>
      <c r="KU151" s="148"/>
      <c r="KV151" s="148"/>
      <c r="KW151" s="148"/>
      <c r="KX151" s="148"/>
      <c r="KY151" s="148"/>
      <c r="KZ151" s="148"/>
      <c r="LA151" s="148"/>
      <c r="LB151" s="148"/>
      <c r="LC151" s="148"/>
      <c r="LD151" s="148"/>
      <c r="LE151" s="148"/>
      <c r="LF151" s="148"/>
      <c r="LG151" s="148"/>
      <c r="LH151" s="148"/>
      <c r="LI151" s="148"/>
      <c r="LJ151" s="148"/>
      <c r="LK151" s="148"/>
      <c r="LL151" s="148"/>
      <c r="LM151" s="148"/>
      <c r="LN151" s="148"/>
      <c r="LO151" s="148"/>
      <c r="LP151" s="148"/>
      <c r="LQ151" s="148"/>
      <c r="LR151" s="148"/>
      <c r="LS151" s="148"/>
      <c r="LT151" s="148"/>
      <c r="LU151" s="148"/>
      <c r="LV151" s="148"/>
      <c r="LW151" s="148"/>
      <c r="LX151" s="148"/>
      <c r="LY151" s="148"/>
      <c r="LZ151" s="148"/>
      <c r="MA151" s="148"/>
      <c r="MB151" s="148"/>
      <c r="MC151" s="148"/>
      <c r="MD151" s="148"/>
      <c r="ME151" s="148"/>
      <c r="MF151" s="148"/>
      <c r="MG151" s="148"/>
      <c r="MH151" s="148"/>
      <c r="MI151" s="148"/>
      <c r="MJ151" s="148"/>
      <c r="MK151" s="148"/>
      <c r="ML151" s="148"/>
      <c r="MM151" s="148"/>
      <c r="MN151" s="148"/>
      <c r="MO151" s="148"/>
      <c r="MP151" s="148"/>
      <c r="MQ151" s="148"/>
      <c r="MR151" s="148"/>
      <c r="MS151" s="148"/>
      <c r="MT151" s="148"/>
      <c r="MU151" s="148"/>
      <c r="MV151" s="148"/>
      <c r="MW151" s="148"/>
      <c r="MX151" s="148"/>
      <c r="MY151" s="148"/>
      <c r="MZ151" s="148"/>
      <c r="NA151" s="148"/>
      <c r="NB151" s="148"/>
      <c r="NC151" s="148"/>
      <c r="ND151" s="148"/>
      <c r="NE151" s="148"/>
      <c r="NF151" s="148"/>
      <c r="NG151" s="148"/>
      <c r="NH151" s="148"/>
      <c r="NI151" s="148"/>
      <c r="NJ151" s="148"/>
      <c r="NK151" s="148"/>
      <c r="NL151" s="148"/>
      <c r="NM151" s="148"/>
      <c r="NN151" s="148"/>
      <c r="NO151" s="148"/>
      <c r="NP151" s="148"/>
      <c r="NQ151" s="148"/>
      <c r="NR151" s="148"/>
      <c r="NS151" s="148"/>
      <c r="NT151" s="148"/>
      <c r="NU151" s="148"/>
      <c r="NV151" s="148"/>
      <c r="NW151" s="148"/>
      <c r="NX151" s="148"/>
      <c r="NY151" s="148"/>
      <c r="NZ151" s="148"/>
      <c r="OA151" s="148"/>
      <c r="OB151" s="148"/>
      <c r="OC151" s="148"/>
      <c r="OD151" s="148"/>
      <c r="OE151" s="148"/>
      <c r="OF151" s="148"/>
      <c r="OG151" s="148"/>
      <c r="OH151" s="148"/>
      <c r="OI151" s="148"/>
      <c r="OJ151" s="148"/>
      <c r="OK151" s="148"/>
      <c r="OL151" s="148"/>
      <c r="OM151" s="148"/>
      <c r="ON151" s="148"/>
      <c r="OO151" s="148"/>
      <c r="OP151" s="148"/>
      <c r="OQ151" s="148"/>
      <c r="OR151" s="148"/>
      <c r="OS151" s="148"/>
      <c r="OT151" s="148"/>
      <c r="OU151" s="148"/>
      <c r="OV151" s="148"/>
      <c r="OW151" s="148"/>
      <c r="OX151" s="148"/>
      <c r="OY151" s="148"/>
      <c r="OZ151" s="148"/>
      <c r="PA151" s="148"/>
      <c r="PB151" s="148"/>
      <c r="PC151" s="148"/>
      <c r="PD151" s="148"/>
      <c r="PE151" s="148"/>
      <c r="PF151" s="148"/>
      <c r="PG151" s="148"/>
      <c r="PH151" s="148"/>
      <c r="PI151" s="148"/>
      <c r="PJ151" s="148"/>
      <c r="PK151" s="148"/>
      <c r="PL151" s="148"/>
      <c r="PM151" s="148"/>
      <c r="PN151" s="148"/>
      <c r="PO151" s="148"/>
      <c r="PP151" s="148"/>
      <c r="PQ151" s="148"/>
      <c r="PR151" s="148"/>
      <c r="PS151" s="148"/>
      <c r="PT151" s="148"/>
      <c r="PU151" s="148"/>
      <c r="PV151" s="148"/>
      <c r="PW151" s="148"/>
      <c r="PX151" s="148"/>
      <c r="PY151" s="148"/>
      <c r="PZ151" s="148"/>
      <c r="QA151" s="148"/>
      <c r="QB151" s="148"/>
      <c r="QC151" s="148"/>
      <c r="QD151" s="148"/>
      <c r="QE151" s="148"/>
      <c r="QF151" s="148"/>
      <c r="QG151" s="148"/>
      <c r="QH151" s="148"/>
      <c r="QI151" s="148"/>
      <c r="QJ151" s="148"/>
      <c r="QK151" s="148"/>
      <c r="QL151" s="148"/>
      <c r="QM151" s="148"/>
      <c r="QN151" s="148"/>
      <c r="QO151" s="148"/>
      <c r="QP151" s="148"/>
      <c r="QQ151" s="148"/>
      <c r="QR151" s="148"/>
      <c r="QS151" s="148"/>
      <c r="QT151" s="148"/>
      <c r="QU151" s="148"/>
      <c r="QV151" s="148"/>
      <c r="QW151" s="148"/>
      <c r="QX151" s="148"/>
      <c r="QY151" s="148"/>
      <c r="QZ151" s="148"/>
      <c r="RA151" s="148"/>
      <c r="RB151" s="148"/>
      <c r="RC151" s="148"/>
      <c r="RD151" s="148"/>
      <c r="RE151" s="148"/>
      <c r="RF151" s="148"/>
      <c r="RG151" s="148"/>
      <c r="RH151" s="148"/>
      <c r="RI151" s="148"/>
      <c r="RJ151" s="148"/>
      <c r="RK151" s="148"/>
      <c r="RL151" s="148"/>
      <c r="RM151" s="148"/>
      <c r="RN151" s="148"/>
      <c r="RO151" s="148"/>
      <c r="RP151" s="148"/>
      <c r="RQ151" s="148"/>
      <c r="RR151" s="148"/>
    </row>
    <row r="152" spans="1:486" s="15" customFormat="1" hidden="1" x14ac:dyDescent="0.25">
      <c r="A152" s="148"/>
      <c r="B152" s="350">
        <v>142</v>
      </c>
      <c r="C152" s="650"/>
      <c r="D152" s="16"/>
      <c r="E152" s="344"/>
      <c r="F152" s="344"/>
      <c r="G152" s="17"/>
      <c r="H152" s="317"/>
      <c r="I152" s="346"/>
      <c r="J152" s="341"/>
      <c r="K152" s="633"/>
      <c r="L152" s="633"/>
      <c r="M152" s="633"/>
      <c r="N152" s="633"/>
      <c r="O152" s="633"/>
      <c r="P152" s="633"/>
      <c r="Q152" s="633"/>
      <c r="R152" s="633"/>
      <c r="S152" s="633"/>
      <c r="T152" s="633"/>
      <c r="U152" s="633"/>
      <c r="V152" s="633"/>
      <c r="W152" s="633"/>
      <c r="X152" s="633"/>
      <c r="Y152" s="633">
        <f t="shared" si="6"/>
        <v>0</v>
      </c>
      <c r="Z152" s="310"/>
      <c r="AA152" s="19"/>
      <c r="AB152" s="315"/>
      <c r="AC152" s="315"/>
      <c r="AD152" s="652"/>
      <c r="AE152" s="20"/>
      <c r="AF152" s="21"/>
      <c r="AG152" s="23"/>
      <c r="AH152" s="637"/>
      <c r="AI152" s="19"/>
      <c r="AJ152" s="21"/>
      <c r="AK152" s="25"/>
      <c r="AL152" s="309"/>
      <c r="AM152" s="19"/>
      <c r="AN152" s="21"/>
      <c r="AO152" s="25"/>
      <c r="AP152" s="309"/>
      <c r="AQ152" s="19"/>
      <c r="AR152" s="21"/>
      <c r="AS152" s="25"/>
      <c r="AT152" s="638">
        <f t="shared" si="7"/>
        <v>0</v>
      </c>
      <c r="AU152" s="311">
        <f t="shared" si="5"/>
        <v>0</v>
      </c>
      <c r="AV152" s="148"/>
      <c r="AW152" s="148"/>
      <c r="AX152" s="148"/>
      <c r="AY152" s="148"/>
      <c r="AZ152" s="148"/>
      <c r="BA152" s="148"/>
      <c r="BB152" s="148"/>
      <c r="BC152" s="148"/>
      <c r="BD152" s="148"/>
      <c r="BE152" s="148"/>
      <c r="BF152" s="148"/>
      <c r="BG152" s="148"/>
      <c r="BH152" s="148"/>
      <c r="BI152" s="148"/>
      <c r="BJ152" s="148"/>
      <c r="BK152" s="148"/>
      <c r="BL152" s="148"/>
      <c r="BM152" s="148"/>
      <c r="BN152" s="148"/>
      <c r="BO152" s="148"/>
      <c r="BP152" s="148"/>
      <c r="BQ152" s="148"/>
      <c r="BR152" s="148"/>
      <c r="BS152" s="148"/>
      <c r="BT152" s="148"/>
      <c r="BU152" s="148"/>
      <c r="BV152" s="148"/>
      <c r="BW152" s="148"/>
      <c r="BX152" s="148"/>
      <c r="BY152" s="148"/>
      <c r="BZ152" s="148"/>
      <c r="CA152" s="148"/>
      <c r="CB152" s="148"/>
      <c r="CC152" s="148"/>
      <c r="CD152" s="148"/>
      <c r="CE152" s="148"/>
      <c r="CF152" s="148"/>
      <c r="CG152" s="148"/>
      <c r="CH152" s="148"/>
      <c r="CI152" s="148"/>
      <c r="CJ152" s="148"/>
      <c r="CK152" s="148"/>
      <c r="CL152" s="148"/>
      <c r="CM152" s="148"/>
      <c r="CN152" s="148"/>
      <c r="CO152" s="148"/>
      <c r="CP152" s="148"/>
      <c r="CQ152" s="148"/>
      <c r="CR152" s="148"/>
      <c r="CS152" s="148"/>
      <c r="CT152" s="148"/>
      <c r="CU152" s="148"/>
      <c r="CV152" s="148"/>
      <c r="CW152" s="148"/>
      <c r="CX152" s="148"/>
      <c r="CY152" s="148"/>
      <c r="CZ152" s="148"/>
      <c r="DA152" s="148"/>
      <c r="DB152" s="148"/>
      <c r="DC152" s="148"/>
      <c r="DD152" s="148"/>
      <c r="DE152" s="148"/>
      <c r="DF152" s="148"/>
      <c r="DG152" s="148"/>
      <c r="DH152" s="148"/>
      <c r="DI152" s="148"/>
      <c r="DJ152" s="148"/>
      <c r="DK152" s="148"/>
      <c r="DL152" s="148"/>
      <c r="DM152" s="148"/>
      <c r="DN152" s="148"/>
      <c r="DO152" s="148"/>
      <c r="DP152" s="148"/>
      <c r="DQ152" s="148"/>
      <c r="DR152" s="148"/>
      <c r="DS152" s="148"/>
      <c r="DT152" s="148"/>
      <c r="DU152" s="148"/>
      <c r="DV152" s="148"/>
      <c r="DW152" s="148"/>
      <c r="DX152" s="148"/>
      <c r="DY152" s="148"/>
      <c r="DZ152" s="148"/>
      <c r="EA152" s="148"/>
      <c r="EB152" s="148"/>
      <c r="EC152" s="148"/>
      <c r="ED152" s="148"/>
      <c r="EE152" s="148"/>
      <c r="EF152" s="148"/>
      <c r="EG152" s="148"/>
      <c r="EH152" s="148"/>
      <c r="EI152" s="148"/>
      <c r="EJ152" s="148"/>
      <c r="EK152" s="148"/>
      <c r="EL152" s="148"/>
      <c r="EM152" s="148"/>
      <c r="EN152" s="148"/>
      <c r="EO152" s="148"/>
      <c r="EP152" s="148"/>
      <c r="EQ152" s="148"/>
      <c r="ER152" s="148"/>
      <c r="ES152" s="148"/>
      <c r="ET152" s="148"/>
      <c r="EU152" s="148"/>
      <c r="EV152" s="148"/>
      <c r="EW152" s="148"/>
      <c r="EX152" s="148"/>
      <c r="EY152" s="148"/>
      <c r="EZ152" s="148"/>
      <c r="FA152" s="148"/>
      <c r="FB152" s="148"/>
      <c r="FC152" s="148"/>
      <c r="FD152" s="148"/>
      <c r="FE152" s="148"/>
      <c r="FF152" s="148"/>
      <c r="FG152" s="148"/>
      <c r="FH152" s="148"/>
      <c r="FI152" s="148"/>
      <c r="FJ152" s="148"/>
      <c r="FK152" s="148"/>
      <c r="FL152" s="148"/>
      <c r="FM152" s="148"/>
      <c r="FN152" s="148"/>
      <c r="FO152" s="148"/>
      <c r="FP152" s="148"/>
      <c r="FQ152" s="148"/>
      <c r="FR152" s="148"/>
      <c r="FS152" s="148"/>
      <c r="FT152" s="148"/>
      <c r="FU152" s="148"/>
      <c r="FV152" s="148"/>
      <c r="FW152" s="148"/>
      <c r="FX152" s="148"/>
      <c r="FY152" s="148"/>
      <c r="FZ152" s="148"/>
      <c r="GA152" s="148"/>
      <c r="GB152" s="148"/>
      <c r="GC152" s="148"/>
      <c r="GD152" s="148"/>
      <c r="GE152" s="148"/>
      <c r="GF152" s="148"/>
      <c r="GG152" s="148"/>
      <c r="GH152" s="148"/>
      <c r="GI152" s="148"/>
      <c r="GJ152" s="148"/>
      <c r="GK152" s="148"/>
      <c r="GL152" s="148"/>
      <c r="GM152" s="148"/>
      <c r="GN152" s="148"/>
      <c r="GO152" s="148"/>
      <c r="GP152" s="148"/>
      <c r="GQ152" s="148"/>
      <c r="GR152" s="148"/>
      <c r="GS152" s="148"/>
      <c r="GT152" s="148"/>
      <c r="GU152" s="148"/>
      <c r="GV152" s="148"/>
      <c r="GW152" s="148"/>
      <c r="GX152" s="148"/>
      <c r="GY152" s="148"/>
      <c r="GZ152" s="148"/>
      <c r="HA152" s="148"/>
      <c r="HB152" s="148"/>
      <c r="HC152" s="148"/>
      <c r="HD152" s="148"/>
      <c r="HE152" s="148"/>
      <c r="HF152" s="148"/>
      <c r="HG152" s="148"/>
      <c r="HH152" s="148"/>
      <c r="HI152" s="148"/>
      <c r="HJ152" s="148"/>
      <c r="HK152" s="148"/>
      <c r="HL152" s="148"/>
      <c r="HM152" s="148"/>
      <c r="HN152" s="148"/>
      <c r="HO152" s="148"/>
      <c r="HP152" s="148"/>
      <c r="HQ152" s="148"/>
      <c r="HR152" s="148"/>
      <c r="HS152" s="148"/>
      <c r="HT152" s="148"/>
      <c r="HU152" s="148"/>
      <c r="HV152" s="148"/>
      <c r="HW152" s="148"/>
      <c r="HX152" s="148"/>
      <c r="HY152" s="148"/>
      <c r="HZ152" s="148"/>
      <c r="IA152" s="148"/>
      <c r="IB152" s="148"/>
      <c r="IC152" s="148"/>
      <c r="ID152" s="148"/>
      <c r="IE152" s="148"/>
      <c r="IF152" s="148"/>
      <c r="IG152" s="148"/>
      <c r="IH152" s="148"/>
      <c r="II152" s="148"/>
      <c r="IJ152" s="148"/>
      <c r="IK152" s="148"/>
      <c r="IL152" s="148"/>
      <c r="IM152" s="148"/>
      <c r="IN152" s="148"/>
      <c r="IO152" s="148"/>
      <c r="IP152" s="148"/>
      <c r="IQ152" s="148"/>
      <c r="IR152" s="148"/>
      <c r="IS152" s="148"/>
      <c r="IT152" s="148"/>
      <c r="IU152" s="148"/>
      <c r="IV152" s="148"/>
      <c r="IW152" s="148"/>
      <c r="IX152" s="148"/>
      <c r="IY152" s="148"/>
      <c r="IZ152" s="148"/>
      <c r="JA152" s="148"/>
      <c r="JB152" s="148"/>
      <c r="JC152" s="148"/>
      <c r="JD152" s="148"/>
      <c r="JE152" s="148"/>
      <c r="JF152" s="148"/>
      <c r="JG152" s="148"/>
      <c r="JH152" s="148"/>
      <c r="JI152" s="148"/>
      <c r="JJ152" s="148"/>
      <c r="JK152" s="148"/>
      <c r="JL152" s="148"/>
      <c r="JM152" s="148"/>
      <c r="JN152" s="148"/>
      <c r="JO152" s="148"/>
      <c r="JP152" s="148"/>
      <c r="JQ152" s="148"/>
      <c r="JR152" s="148"/>
      <c r="JS152" s="148"/>
      <c r="JT152" s="148"/>
      <c r="JU152" s="148"/>
      <c r="JV152" s="148"/>
      <c r="JW152" s="148"/>
      <c r="JX152" s="148"/>
      <c r="JY152" s="148"/>
      <c r="JZ152" s="148"/>
      <c r="KA152" s="148"/>
      <c r="KB152" s="148"/>
      <c r="KC152" s="148"/>
      <c r="KD152" s="148"/>
      <c r="KE152" s="148"/>
      <c r="KF152" s="148"/>
      <c r="KG152" s="148"/>
      <c r="KH152" s="148"/>
      <c r="KI152" s="148"/>
      <c r="KJ152" s="148"/>
      <c r="KK152" s="148"/>
      <c r="KL152" s="148"/>
      <c r="KM152" s="148"/>
      <c r="KN152" s="148"/>
      <c r="KO152" s="148"/>
      <c r="KP152" s="148"/>
      <c r="KQ152" s="148"/>
      <c r="KR152" s="148"/>
      <c r="KS152" s="148"/>
      <c r="KT152" s="148"/>
      <c r="KU152" s="148"/>
      <c r="KV152" s="148"/>
      <c r="KW152" s="148"/>
      <c r="KX152" s="148"/>
      <c r="KY152" s="148"/>
      <c r="KZ152" s="148"/>
      <c r="LA152" s="148"/>
      <c r="LB152" s="148"/>
      <c r="LC152" s="148"/>
      <c r="LD152" s="148"/>
      <c r="LE152" s="148"/>
      <c r="LF152" s="148"/>
      <c r="LG152" s="148"/>
      <c r="LH152" s="148"/>
      <c r="LI152" s="148"/>
      <c r="LJ152" s="148"/>
      <c r="LK152" s="148"/>
      <c r="LL152" s="148"/>
      <c r="LM152" s="148"/>
      <c r="LN152" s="148"/>
      <c r="LO152" s="148"/>
      <c r="LP152" s="148"/>
      <c r="LQ152" s="148"/>
      <c r="LR152" s="148"/>
      <c r="LS152" s="148"/>
      <c r="LT152" s="148"/>
      <c r="LU152" s="148"/>
      <c r="LV152" s="148"/>
      <c r="LW152" s="148"/>
      <c r="LX152" s="148"/>
      <c r="LY152" s="148"/>
      <c r="LZ152" s="148"/>
      <c r="MA152" s="148"/>
      <c r="MB152" s="148"/>
      <c r="MC152" s="148"/>
      <c r="MD152" s="148"/>
      <c r="ME152" s="148"/>
      <c r="MF152" s="148"/>
      <c r="MG152" s="148"/>
      <c r="MH152" s="148"/>
      <c r="MI152" s="148"/>
      <c r="MJ152" s="148"/>
      <c r="MK152" s="148"/>
      <c r="ML152" s="148"/>
      <c r="MM152" s="148"/>
      <c r="MN152" s="148"/>
      <c r="MO152" s="148"/>
      <c r="MP152" s="148"/>
      <c r="MQ152" s="148"/>
      <c r="MR152" s="148"/>
      <c r="MS152" s="148"/>
      <c r="MT152" s="148"/>
      <c r="MU152" s="148"/>
      <c r="MV152" s="148"/>
      <c r="MW152" s="148"/>
      <c r="MX152" s="148"/>
      <c r="MY152" s="148"/>
      <c r="MZ152" s="148"/>
      <c r="NA152" s="148"/>
      <c r="NB152" s="148"/>
      <c r="NC152" s="148"/>
      <c r="ND152" s="148"/>
      <c r="NE152" s="148"/>
      <c r="NF152" s="148"/>
      <c r="NG152" s="148"/>
      <c r="NH152" s="148"/>
      <c r="NI152" s="148"/>
      <c r="NJ152" s="148"/>
      <c r="NK152" s="148"/>
      <c r="NL152" s="148"/>
      <c r="NM152" s="148"/>
      <c r="NN152" s="148"/>
      <c r="NO152" s="148"/>
      <c r="NP152" s="148"/>
      <c r="NQ152" s="148"/>
      <c r="NR152" s="148"/>
      <c r="NS152" s="148"/>
      <c r="NT152" s="148"/>
      <c r="NU152" s="148"/>
      <c r="NV152" s="148"/>
      <c r="NW152" s="148"/>
      <c r="NX152" s="148"/>
      <c r="NY152" s="148"/>
      <c r="NZ152" s="148"/>
      <c r="OA152" s="148"/>
      <c r="OB152" s="148"/>
      <c r="OC152" s="148"/>
      <c r="OD152" s="148"/>
      <c r="OE152" s="148"/>
      <c r="OF152" s="148"/>
      <c r="OG152" s="148"/>
      <c r="OH152" s="148"/>
      <c r="OI152" s="148"/>
      <c r="OJ152" s="148"/>
      <c r="OK152" s="148"/>
      <c r="OL152" s="148"/>
      <c r="OM152" s="148"/>
      <c r="ON152" s="148"/>
      <c r="OO152" s="148"/>
      <c r="OP152" s="148"/>
      <c r="OQ152" s="148"/>
      <c r="OR152" s="148"/>
      <c r="OS152" s="148"/>
      <c r="OT152" s="148"/>
      <c r="OU152" s="148"/>
      <c r="OV152" s="148"/>
      <c r="OW152" s="148"/>
      <c r="OX152" s="148"/>
      <c r="OY152" s="148"/>
      <c r="OZ152" s="148"/>
      <c r="PA152" s="148"/>
      <c r="PB152" s="148"/>
      <c r="PC152" s="148"/>
      <c r="PD152" s="148"/>
      <c r="PE152" s="148"/>
      <c r="PF152" s="148"/>
      <c r="PG152" s="148"/>
      <c r="PH152" s="148"/>
      <c r="PI152" s="148"/>
      <c r="PJ152" s="148"/>
      <c r="PK152" s="148"/>
      <c r="PL152" s="148"/>
      <c r="PM152" s="148"/>
      <c r="PN152" s="148"/>
      <c r="PO152" s="148"/>
      <c r="PP152" s="148"/>
      <c r="PQ152" s="148"/>
      <c r="PR152" s="148"/>
      <c r="PS152" s="148"/>
      <c r="PT152" s="148"/>
      <c r="PU152" s="148"/>
      <c r="PV152" s="148"/>
      <c r="PW152" s="148"/>
      <c r="PX152" s="148"/>
      <c r="PY152" s="148"/>
      <c r="PZ152" s="148"/>
      <c r="QA152" s="148"/>
      <c r="QB152" s="148"/>
      <c r="QC152" s="148"/>
      <c r="QD152" s="148"/>
      <c r="QE152" s="148"/>
      <c r="QF152" s="148"/>
      <c r="QG152" s="148"/>
      <c r="QH152" s="148"/>
      <c r="QI152" s="148"/>
      <c r="QJ152" s="148"/>
      <c r="QK152" s="148"/>
      <c r="QL152" s="148"/>
      <c r="QM152" s="148"/>
      <c r="QN152" s="148"/>
      <c r="QO152" s="148"/>
      <c r="QP152" s="148"/>
      <c r="QQ152" s="148"/>
      <c r="QR152" s="148"/>
      <c r="QS152" s="148"/>
      <c r="QT152" s="148"/>
      <c r="QU152" s="148"/>
      <c r="QV152" s="148"/>
      <c r="QW152" s="148"/>
      <c r="QX152" s="148"/>
      <c r="QY152" s="148"/>
      <c r="QZ152" s="148"/>
      <c r="RA152" s="148"/>
      <c r="RB152" s="148"/>
      <c r="RC152" s="148"/>
      <c r="RD152" s="148"/>
      <c r="RE152" s="148"/>
      <c r="RF152" s="148"/>
      <c r="RG152" s="148"/>
      <c r="RH152" s="148"/>
      <c r="RI152" s="148"/>
      <c r="RJ152" s="148"/>
      <c r="RK152" s="148"/>
      <c r="RL152" s="148"/>
      <c r="RM152" s="148"/>
      <c r="RN152" s="148"/>
      <c r="RO152" s="148"/>
      <c r="RP152" s="148"/>
      <c r="RQ152" s="148"/>
      <c r="RR152" s="148"/>
    </row>
    <row r="153" spans="1:486" s="15" customFormat="1" hidden="1" x14ac:dyDescent="0.25">
      <c r="A153" s="148"/>
      <c r="B153" s="350">
        <v>143</v>
      </c>
      <c r="C153" s="650"/>
      <c r="D153" s="16"/>
      <c r="E153" s="344"/>
      <c r="F153" s="344"/>
      <c r="G153" s="17"/>
      <c r="H153" s="317"/>
      <c r="I153" s="346"/>
      <c r="J153" s="341"/>
      <c r="K153" s="633"/>
      <c r="L153" s="633"/>
      <c r="M153" s="633"/>
      <c r="N153" s="633"/>
      <c r="O153" s="633"/>
      <c r="P153" s="633"/>
      <c r="Q153" s="633"/>
      <c r="R153" s="633"/>
      <c r="S153" s="633"/>
      <c r="T153" s="633"/>
      <c r="U153" s="633"/>
      <c r="V153" s="633"/>
      <c r="W153" s="633"/>
      <c r="X153" s="633"/>
      <c r="Y153" s="633">
        <f t="shared" si="6"/>
        <v>0</v>
      </c>
      <c r="Z153" s="310"/>
      <c r="AA153" s="19"/>
      <c r="AB153" s="315"/>
      <c r="AC153" s="315"/>
      <c r="AD153" s="652"/>
      <c r="AE153" s="20"/>
      <c r="AF153" s="21"/>
      <c r="AG153" s="23"/>
      <c r="AH153" s="637"/>
      <c r="AI153" s="19"/>
      <c r="AJ153" s="21"/>
      <c r="AK153" s="25"/>
      <c r="AL153" s="309"/>
      <c r="AM153" s="19"/>
      <c r="AN153" s="21"/>
      <c r="AO153" s="25"/>
      <c r="AP153" s="309"/>
      <c r="AQ153" s="19"/>
      <c r="AR153" s="21"/>
      <c r="AS153" s="25"/>
      <c r="AT153" s="638">
        <f t="shared" si="7"/>
        <v>0</v>
      </c>
      <c r="AU153" s="311">
        <f t="shared" si="5"/>
        <v>0</v>
      </c>
      <c r="AV153" s="148"/>
      <c r="AW153" s="148"/>
      <c r="AX153" s="148"/>
      <c r="AY153" s="148"/>
      <c r="AZ153" s="148"/>
      <c r="BA153" s="148"/>
      <c r="BB153" s="148"/>
      <c r="BC153" s="148"/>
      <c r="BD153" s="148"/>
      <c r="BE153" s="148"/>
      <c r="BF153" s="148"/>
      <c r="BG153" s="148"/>
      <c r="BH153" s="148"/>
      <c r="BI153" s="148"/>
      <c r="BJ153" s="148"/>
      <c r="BK153" s="148"/>
      <c r="BL153" s="148"/>
      <c r="BM153" s="148"/>
      <c r="BN153" s="148"/>
      <c r="BO153" s="148"/>
      <c r="BP153" s="148"/>
      <c r="BQ153" s="148"/>
      <c r="BR153" s="148"/>
      <c r="BS153" s="148"/>
      <c r="BT153" s="148"/>
      <c r="BU153" s="148"/>
      <c r="BV153" s="148"/>
      <c r="BW153" s="148"/>
      <c r="BX153" s="148"/>
      <c r="BY153" s="148"/>
      <c r="BZ153" s="148"/>
      <c r="CA153" s="148"/>
      <c r="CB153" s="148"/>
      <c r="CC153" s="148"/>
      <c r="CD153" s="148"/>
      <c r="CE153" s="148"/>
      <c r="CF153" s="148"/>
      <c r="CG153" s="148"/>
      <c r="CH153" s="148"/>
      <c r="CI153" s="148"/>
      <c r="CJ153" s="148"/>
      <c r="CK153" s="148"/>
      <c r="CL153" s="148"/>
      <c r="CM153" s="148"/>
      <c r="CN153" s="148"/>
      <c r="CO153" s="148"/>
      <c r="CP153" s="148"/>
      <c r="CQ153" s="148"/>
      <c r="CR153" s="148"/>
      <c r="CS153" s="148"/>
      <c r="CT153" s="148"/>
      <c r="CU153" s="148"/>
      <c r="CV153" s="148"/>
      <c r="CW153" s="148"/>
      <c r="CX153" s="148"/>
      <c r="CY153" s="148"/>
      <c r="CZ153" s="148"/>
      <c r="DA153" s="148"/>
      <c r="DB153" s="148"/>
      <c r="DC153" s="148"/>
      <c r="DD153" s="148"/>
      <c r="DE153" s="148"/>
      <c r="DF153" s="148"/>
      <c r="DG153" s="148"/>
      <c r="DH153" s="148"/>
      <c r="DI153" s="148"/>
      <c r="DJ153" s="148"/>
      <c r="DK153" s="148"/>
      <c r="DL153" s="148"/>
      <c r="DM153" s="148"/>
      <c r="DN153" s="148"/>
      <c r="DO153" s="148"/>
      <c r="DP153" s="148"/>
      <c r="DQ153" s="148"/>
      <c r="DR153" s="148"/>
      <c r="DS153" s="148"/>
      <c r="DT153" s="148"/>
      <c r="DU153" s="148"/>
      <c r="DV153" s="148"/>
      <c r="DW153" s="148"/>
      <c r="DX153" s="148"/>
      <c r="DY153" s="148"/>
      <c r="DZ153" s="148"/>
      <c r="EA153" s="148"/>
      <c r="EB153" s="148"/>
      <c r="EC153" s="148"/>
      <c r="ED153" s="148"/>
      <c r="EE153" s="148"/>
      <c r="EF153" s="148"/>
      <c r="EG153" s="148"/>
      <c r="EH153" s="148"/>
      <c r="EI153" s="148"/>
      <c r="EJ153" s="148"/>
      <c r="EK153" s="148"/>
      <c r="EL153" s="148"/>
      <c r="EM153" s="148"/>
      <c r="EN153" s="148"/>
      <c r="EO153" s="148"/>
      <c r="EP153" s="148"/>
      <c r="EQ153" s="148"/>
      <c r="ER153" s="148"/>
      <c r="ES153" s="148"/>
      <c r="ET153" s="148"/>
      <c r="EU153" s="148"/>
      <c r="EV153" s="148"/>
      <c r="EW153" s="148"/>
      <c r="EX153" s="148"/>
      <c r="EY153" s="148"/>
      <c r="EZ153" s="148"/>
      <c r="FA153" s="148"/>
      <c r="FB153" s="148"/>
      <c r="FC153" s="148"/>
      <c r="FD153" s="148"/>
      <c r="FE153" s="148"/>
      <c r="FF153" s="148"/>
      <c r="FG153" s="148"/>
      <c r="FH153" s="148"/>
      <c r="FI153" s="148"/>
      <c r="FJ153" s="148"/>
      <c r="FK153" s="148"/>
      <c r="FL153" s="148"/>
      <c r="FM153" s="148"/>
      <c r="FN153" s="148"/>
      <c r="FO153" s="148"/>
      <c r="FP153" s="148"/>
      <c r="FQ153" s="148"/>
      <c r="FR153" s="148"/>
      <c r="FS153" s="148"/>
      <c r="FT153" s="148"/>
      <c r="FU153" s="148"/>
      <c r="FV153" s="148"/>
      <c r="FW153" s="148"/>
      <c r="FX153" s="148"/>
      <c r="FY153" s="148"/>
      <c r="FZ153" s="148"/>
      <c r="GA153" s="148"/>
      <c r="GB153" s="148"/>
      <c r="GC153" s="148"/>
      <c r="GD153" s="148"/>
      <c r="GE153" s="148"/>
      <c r="GF153" s="148"/>
      <c r="GG153" s="148"/>
      <c r="GH153" s="148"/>
      <c r="GI153" s="148"/>
      <c r="GJ153" s="148"/>
      <c r="GK153" s="148"/>
      <c r="GL153" s="148"/>
      <c r="GM153" s="148"/>
      <c r="GN153" s="148"/>
      <c r="GO153" s="148"/>
      <c r="GP153" s="148"/>
      <c r="GQ153" s="148"/>
      <c r="GR153" s="148"/>
      <c r="GS153" s="148"/>
      <c r="GT153" s="148"/>
      <c r="GU153" s="148"/>
      <c r="GV153" s="148"/>
      <c r="GW153" s="148"/>
      <c r="GX153" s="148"/>
      <c r="GY153" s="148"/>
      <c r="GZ153" s="148"/>
      <c r="HA153" s="148"/>
      <c r="HB153" s="148"/>
      <c r="HC153" s="148"/>
      <c r="HD153" s="148"/>
      <c r="HE153" s="148"/>
      <c r="HF153" s="148"/>
      <c r="HG153" s="148"/>
      <c r="HH153" s="148"/>
      <c r="HI153" s="148"/>
      <c r="HJ153" s="148"/>
      <c r="HK153" s="148"/>
      <c r="HL153" s="148"/>
      <c r="HM153" s="148"/>
      <c r="HN153" s="148"/>
      <c r="HO153" s="148"/>
      <c r="HP153" s="148"/>
      <c r="HQ153" s="148"/>
      <c r="HR153" s="148"/>
      <c r="HS153" s="148"/>
      <c r="HT153" s="148"/>
      <c r="HU153" s="148"/>
      <c r="HV153" s="148"/>
      <c r="HW153" s="148"/>
      <c r="HX153" s="148"/>
      <c r="HY153" s="148"/>
      <c r="HZ153" s="148"/>
      <c r="IA153" s="148"/>
      <c r="IB153" s="148"/>
      <c r="IC153" s="148"/>
      <c r="ID153" s="148"/>
      <c r="IE153" s="148"/>
      <c r="IF153" s="148"/>
      <c r="IG153" s="148"/>
      <c r="IH153" s="148"/>
      <c r="II153" s="148"/>
      <c r="IJ153" s="148"/>
      <c r="IK153" s="148"/>
      <c r="IL153" s="148"/>
      <c r="IM153" s="148"/>
      <c r="IN153" s="148"/>
      <c r="IO153" s="148"/>
      <c r="IP153" s="148"/>
      <c r="IQ153" s="148"/>
      <c r="IR153" s="148"/>
      <c r="IS153" s="148"/>
      <c r="IT153" s="148"/>
      <c r="IU153" s="148"/>
      <c r="IV153" s="148"/>
      <c r="IW153" s="148"/>
      <c r="IX153" s="148"/>
      <c r="IY153" s="148"/>
      <c r="IZ153" s="148"/>
      <c r="JA153" s="148"/>
      <c r="JB153" s="148"/>
      <c r="JC153" s="148"/>
      <c r="JD153" s="148"/>
      <c r="JE153" s="148"/>
      <c r="JF153" s="148"/>
      <c r="JG153" s="148"/>
      <c r="JH153" s="148"/>
      <c r="JI153" s="148"/>
      <c r="JJ153" s="148"/>
      <c r="JK153" s="148"/>
      <c r="JL153" s="148"/>
      <c r="JM153" s="148"/>
      <c r="JN153" s="148"/>
      <c r="JO153" s="148"/>
      <c r="JP153" s="148"/>
      <c r="JQ153" s="148"/>
      <c r="JR153" s="148"/>
      <c r="JS153" s="148"/>
      <c r="JT153" s="148"/>
      <c r="JU153" s="148"/>
      <c r="JV153" s="148"/>
      <c r="JW153" s="148"/>
      <c r="JX153" s="148"/>
      <c r="JY153" s="148"/>
      <c r="JZ153" s="148"/>
      <c r="KA153" s="148"/>
      <c r="KB153" s="148"/>
      <c r="KC153" s="148"/>
      <c r="KD153" s="148"/>
      <c r="KE153" s="148"/>
      <c r="KF153" s="148"/>
      <c r="KG153" s="148"/>
      <c r="KH153" s="148"/>
      <c r="KI153" s="148"/>
      <c r="KJ153" s="148"/>
      <c r="KK153" s="148"/>
      <c r="KL153" s="148"/>
      <c r="KM153" s="148"/>
      <c r="KN153" s="148"/>
      <c r="KO153" s="148"/>
      <c r="KP153" s="148"/>
      <c r="KQ153" s="148"/>
      <c r="KR153" s="148"/>
      <c r="KS153" s="148"/>
      <c r="KT153" s="148"/>
      <c r="KU153" s="148"/>
      <c r="KV153" s="148"/>
      <c r="KW153" s="148"/>
      <c r="KX153" s="148"/>
      <c r="KY153" s="148"/>
      <c r="KZ153" s="148"/>
      <c r="LA153" s="148"/>
      <c r="LB153" s="148"/>
      <c r="LC153" s="148"/>
      <c r="LD153" s="148"/>
      <c r="LE153" s="148"/>
      <c r="LF153" s="148"/>
      <c r="LG153" s="148"/>
      <c r="LH153" s="148"/>
      <c r="LI153" s="148"/>
      <c r="LJ153" s="148"/>
      <c r="LK153" s="148"/>
      <c r="LL153" s="148"/>
      <c r="LM153" s="148"/>
      <c r="LN153" s="148"/>
      <c r="LO153" s="148"/>
      <c r="LP153" s="148"/>
      <c r="LQ153" s="148"/>
      <c r="LR153" s="148"/>
      <c r="LS153" s="148"/>
      <c r="LT153" s="148"/>
      <c r="LU153" s="148"/>
      <c r="LV153" s="148"/>
      <c r="LW153" s="148"/>
      <c r="LX153" s="148"/>
      <c r="LY153" s="148"/>
      <c r="LZ153" s="148"/>
      <c r="MA153" s="148"/>
      <c r="MB153" s="148"/>
      <c r="MC153" s="148"/>
      <c r="MD153" s="148"/>
      <c r="ME153" s="148"/>
      <c r="MF153" s="148"/>
      <c r="MG153" s="148"/>
      <c r="MH153" s="148"/>
      <c r="MI153" s="148"/>
      <c r="MJ153" s="148"/>
      <c r="MK153" s="148"/>
      <c r="ML153" s="148"/>
      <c r="MM153" s="148"/>
      <c r="MN153" s="148"/>
      <c r="MO153" s="148"/>
      <c r="MP153" s="148"/>
      <c r="MQ153" s="148"/>
      <c r="MR153" s="148"/>
      <c r="MS153" s="148"/>
      <c r="MT153" s="148"/>
      <c r="MU153" s="148"/>
      <c r="MV153" s="148"/>
      <c r="MW153" s="148"/>
      <c r="MX153" s="148"/>
      <c r="MY153" s="148"/>
      <c r="MZ153" s="148"/>
      <c r="NA153" s="148"/>
      <c r="NB153" s="148"/>
      <c r="NC153" s="148"/>
      <c r="ND153" s="148"/>
      <c r="NE153" s="148"/>
      <c r="NF153" s="148"/>
      <c r="NG153" s="148"/>
      <c r="NH153" s="148"/>
      <c r="NI153" s="148"/>
      <c r="NJ153" s="148"/>
      <c r="NK153" s="148"/>
      <c r="NL153" s="148"/>
      <c r="NM153" s="148"/>
      <c r="NN153" s="148"/>
      <c r="NO153" s="148"/>
      <c r="NP153" s="148"/>
      <c r="NQ153" s="148"/>
      <c r="NR153" s="148"/>
      <c r="NS153" s="148"/>
      <c r="NT153" s="148"/>
      <c r="NU153" s="148"/>
      <c r="NV153" s="148"/>
      <c r="NW153" s="148"/>
      <c r="NX153" s="148"/>
      <c r="NY153" s="148"/>
      <c r="NZ153" s="148"/>
      <c r="OA153" s="148"/>
      <c r="OB153" s="148"/>
      <c r="OC153" s="148"/>
      <c r="OD153" s="148"/>
      <c r="OE153" s="148"/>
      <c r="OF153" s="148"/>
      <c r="OG153" s="148"/>
      <c r="OH153" s="148"/>
      <c r="OI153" s="148"/>
      <c r="OJ153" s="148"/>
      <c r="OK153" s="148"/>
      <c r="OL153" s="148"/>
      <c r="OM153" s="148"/>
      <c r="ON153" s="148"/>
      <c r="OO153" s="148"/>
      <c r="OP153" s="148"/>
      <c r="OQ153" s="148"/>
      <c r="OR153" s="148"/>
      <c r="OS153" s="148"/>
      <c r="OT153" s="148"/>
      <c r="OU153" s="148"/>
      <c r="OV153" s="148"/>
      <c r="OW153" s="148"/>
      <c r="OX153" s="148"/>
      <c r="OY153" s="148"/>
      <c r="OZ153" s="148"/>
      <c r="PA153" s="148"/>
      <c r="PB153" s="148"/>
      <c r="PC153" s="148"/>
      <c r="PD153" s="148"/>
      <c r="PE153" s="148"/>
      <c r="PF153" s="148"/>
      <c r="PG153" s="148"/>
      <c r="PH153" s="148"/>
      <c r="PI153" s="148"/>
      <c r="PJ153" s="148"/>
      <c r="PK153" s="148"/>
      <c r="PL153" s="148"/>
      <c r="PM153" s="148"/>
      <c r="PN153" s="148"/>
      <c r="PO153" s="148"/>
      <c r="PP153" s="148"/>
      <c r="PQ153" s="148"/>
      <c r="PR153" s="148"/>
      <c r="PS153" s="148"/>
      <c r="PT153" s="148"/>
      <c r="PU153" s="148"/>
      <c r="PV153" s="148"/>
      <c r="PW153" s="148"/>
      <c r="PX153" s="148"/>
      <c r="PY153" s="148"/>
      <c r="PZ153" s="148"/>
      <c r="QA153" s="148"/>
      <c r="QB153" s="148"/>
      <c r="QC153" s="148"/>
      <c r="QD153" s="148"/>
      <c r="QE153" s="148"/>
      <c r="QF153" s="148"/>
      <c r="QG153" s="148"/>
      <c r="QH153" s="148"/>
      <c r="QI153" s="148"/>
      <c r="QJ153" s="148"/>
      <c r="QK153" s="148"/>
      <c r="QL153" s="148"/>
      <c r="QM153" s="148"/>
      <c r="QN153" s="148"/>
      <c r="QO153" s="148"/>
      <c r="QP153" s="148"/>
      <c r="QQ153" s="148"/>
      <c r="QR153" s="148"/>
      <c r="QS153" s="148"/>
      <c r="QT153" s="148"/>
      <c r="QU153" s="148"/>
      <c r="QV153" s="148"/>
      <c r="QW153" s="148"/>
      <c r="QX153" s="148"/>
      <c r="QY153" s="148"/>
      <c r="QZ153" s="148"/>
      <c r="RA153" s="148"/>
      <c r="RB153" s="148"/>
      <c r="RC153" s="148"/>
      <c r="RD153" s="148"/>
      <c r="RE153" s="148"/>
      <c r="RF153" s="148"/>
      <c r="RG153" s="148"/>
      <c r="RH153" s="148"/>
      <c r="RI153" s="148"/>
      <c r="RJ153" s="148"/>
      <c r="RK153" s="148"/>
      <c r="RL153" s="148"/>
      <c r="RM153" s="148"/>
      <c r="RN153" s="148"/>
      <c r="RO153" s="148"/>
      <c r="RP153" s="148"/>
      <c r="RQ153" s="148"/>
      <c r="RR153" s="148"/>
    </row>
    <row r="154" spans="1:486" s="15" customFormat="1" hidden="1" x14ac:dyDescent="0.25">
      <c r="A154" s="148"/>
      <c r="B154" s="350">
        <v>144</v>
      </c>
      <c r="C154" s="650"/>
      <c r="D154" s="16"/>
      <c r="E154" s="344"/>
      <c r="F154" s="344"/>
      <c r="G154" s="17"/>
      <c r="H154" s="317"/>
      <c r="I154" s="346"/>
      <c r="J154" s="341"/>
      <c r="K154" s="633"/>
      <c r="L154" s="633"/>
      <c r="M154" s="633"/>
      <c r="N154" s="633"/>
      <c r="O154" s="633"/>
      <c r="P154" s="633"/>
      <c r="Q154" s="633"/>
      <c r="R154" s="633"/>
      <c r="S154" s="633"/>
      <c r="T154" s="633"/>
      <c r="U154" s="633"/>
      <c r="V154" s="633"/>
      <c r="W154" s="633"/>
      <c r="X154" s="633"/>
      <c r="Y154" s="633">
        <f t="shared" si="6"/>
        <v>0</v>
      </c>
      <c r="Z154" s="310"/>
      <c r="AA154" s="19"/>
      <c r="AB154" s="315"/>
      <c r="AC154" s="315"/>
      <c r="AD154" s="652"/>
      <c r="AE154" s="20"/>
      <c r="AF154" s="21"/>
      <c r="AG154" s="23"/>
      <c r="AH154" s="637"/>
      <c r="AI154" s="19"/>
      <c r="AJ154" s="21"/>
      <c r="AK154" s="25"/>
      <c r="AL154" s="309"/>
      <c r="AM154" s="19"/>
      <c r="AN154" s="21"/>
      <c r="AO154" s="25"/>
      <c r="AP154" s="309"/>
      <c r="AQ154" s="19"/>
      <c r="AR154" s="21"/>
      <c r="AS154" s="25"/>
      <c r="AT154" s="638">
        <f t="shared" si="7"/>
        <v>0</v>
      </c>
      <c r="AU154" s="311">
        <f t="shared" si="5"/>
        <v>0</v>
      </c>
      <c r="AV154" s="148"/>
      <c r="AW154" s="148"/>
      <c r="AX154" s="148"/>
      <c r="AY154" s="148"/>
      <c r="AZ154" s="148"/>
      <c r="BA154" s="148"/>
      <c r="BB154" s="148"/>
      <c r="BC154" s="148"/>
      <c r="BD154" s="148"/>
      <c r="BE154" s="148"/>
      <c r="BF154" s="148"/>
      <c r="BG154" s="148"/>
      <c r="BH154" s="148"/>
      <c r="BI154" s="148"/>
      <c r="BJ154" s="148"/>
      <c r="BK154" s="148"/>
      <c r="BL154" s="148"/>
      <c r="BM154" s="148"/>
      <c r="BN154" s="148"/>
      <c r="BO154" s="148"/>
      <c r="BP154" s="148"/>
      <c r="BQ154" s="148"/>
      <c r="BR154" s="148"/>
      <c r="BS154" s="148"/>
      <c r="BT154" s="148"/>
      <c r="BU154" s="148"/>
      <c r="BV154" s="148"/>
      <c r="BW154" s="148"/>
      <c r="BX154" s="148"/>
      <c r="BY154" s="148"/>
      <c r="BZ154" s="148"/>
      <c r="CA154" s="148"/>
      <c r="CB154" s="148"/>
      <c r="CC154" s="148"/>
      <c r="CD154" s="148"/>
      <c r="CE154" s="148"/>
      <c r="CF154" s="148"/>
      <c r="CG154" s="148"/>
      <c r="CH154" s="148"/>
      <c r="CI154" s="148"/>
      <c r="CJ154" s="148"/>
      <c r="CK154" s="148"/>
      <c r="CL154" s="148"/>
      <c r="CM154" s="148"/>
      <c r="CN154" s="148"/>
      <c r="CO154" s="148"/>
      <c r="CP154" s="148"/>
      <c r="CQ154" s="148"/>
      <c r="CR154" s="148"/>
      <c r="CS154" s="148"/>
      <c r="CT154" s="148"/>
      <c r="CU154" s="148"/>
      <c r="CV154" s="148"/>
      <c r="CW154" s="148"/>
      <c r="CX154" s="148"/>
      <c r="CY154" s="148"/>
      <c r="CZ154" s="148"/>
      <c r="DA154" s="148"/>
      <c r="DB154" s="148"/>
      <c r="DC154" s="148"/>
      <c r="DD154" s="148"/>
      <c r="DE154" s="148"/>
      <c r="DF154" s="148"/>
      <c r="DG154" s="148"/>
      <c r="DH154" s="148"/>
      <c r="DI154" s="148"/>
      <c r="DJ154" s="148"/>
      <c r="DK154" s="148"/>
      <c r="DL154" s="148"/>
      <c r="DM154" s="148"/>
      <c r="DN154" s="148"/>
      <c r="DO154" s="148"/>
      <c r="DP154" s="148"/>
      <c r="DQ154" s="148"/>
      <c r="DR154" s="148"/>
      <c r="DS154" s="148"/>
      <c r="DT154" s="148"/>
      <c r="DU154" s="148"/>
      <c r="DV154" s="148"/>
      <c r="DW154" s="148"/>
      <c r="DX154" s="148"/>
      <c r="DY154" s="148"/>
      <c r="DZ154" s="148"/>
      <c r="EA154" s="148"/>
      <c r="EB154" s="148"/>
      <c r="EC154" s="148"/>
      <c r="ED154" s="148"/>
      <c r="EE154" s="148"/>
      <c r="EF154" s="148"/>
      <c r="EG154" s="148"/>
      <c r="EH154" s="148"/>
      <c r="EI154" s="148"/>
      <c r="EJ154" s="148"/>
      <c r="EK154" s="148"/>
      <c r="EL154" s="148"/>
      <c r="EM154" s="148"/>
      <c r="EN154" s="148"/>
      <c r="EO154" s="148"/>
      <c r="EP154" s="148"/>
      <c r="EQ154" s="148"/>
      <c r="ER154" s="148"/>
      <c r="ES154" s="148"/>
      <c r="ET154" s="148"/>
      <c r="EU154" s="148"/>
      <c r="EV154" s="148"/>
      <c r="EW154" s="148"/>
      <c r="EX154" s="148"/>
      <c r="EY154" s="148"/>
      <c r="EZ154" s="148"/>
      <c r="FA154" s="148"/>
      <c r="FB154" s="148"/>
      <c r="FC154" s="148"/>
      <c r="FD154" s="148"/>
      <c r="FE154" s="148"/>
      <c r="FF154" s="148"/>
      <c r="FG154" s="148"/>
      <c r="FH154" s="148"/>
      <c r="FI154" s="148"/>
      <c r="FJ154" s="148"/>
      <c r="FK154" s="148"/>
      <c r="FL154" s="148"/>
      <c r="FM154" s="148"/>
      <c r="FN154" s="148"/>
      <c r="FO154" s="148"/>
      <c r="FP154" s="148"/>
      <c r="FQ154" s="148"/>
      <c r="FR154" s="148"/>
      <c r="FS154" s="148"/>
      <c r="FT154" s="148"/>
      <c r="FU154" s="148"/>
      <c r="FV154" s="148"/>
      <c r="FW154" s="148"/>
      <c r="FX154" s="148"/>
      <c r="FY154" s="148"/>
      <c r="FZ154" s="148"/>
      <c r="GA154" s="148"/>
      <c r="GB154" s="148"/>
      <c r="GC154" s="148"/>
      <c r="GD154" s="148"/>
      <c r="GE154" s="148"/>
      <c r="GF154" s="148"/>
      <c r="GG154" s="148"/>
      <c r="GH154" s="148"/>
      <c r="GI154" s="148"/>
      <c r="GJ154" s="148"/>
      <c r="GK154" s="148"/>
      <c r="GL154" s="148"/>
      <c r="GM154" s="148"/>
      <c r="GN154" s="148"/>
      <c r="GO154" s="148"/>
      <c r="GP154" s="148"/>
      <c r="GQ154" s="148"/>
      <c r="GR154" s="148"/>
      <c r="GS154" s="148"/>
      <c r="GT154" s="148"/>
      <c r="GU154" s="148"/>
      <c r="GV154" s="148"/>
      <c r="GW154" s="148"/>
      <c r="GX154" s="148"/>
      <c r="GY154" s="148"/>
      <c r="GZ154" s="148"/>
      <c r="HA154" s="148"/>
      <c r="HB154" s="148"/>
      <c r="HC154" s="148"/>
      <c r="HD154" s="148"/>
      <c r="HE154" s="148"/>
      <c r="HF154" s="148"/>
      <c r="HG154" s="148"/>
      <c r="HH154" s="148"/>
      <c r="HI154" s="148"/>
      <c r="HJ154" s="148"/>
      <c r="HK154" s="148"/>
      <c r="HL154" s="148"/>
      <c r="HM154" s="148"/>
      <c r="HN154" s="148"/>
      <c r="HO154" s="148"/>
      <c r="HP154" s="148"/>
      <c r="HQ154" s="148"/>
      <c r="HR154" s="148"/>
      <c r="HS154" s="148"/>
      <c r="HT154" s="148"/>
      <c r="HU154" s="148"/>
      <c r="HV154" s="148"/>
      <c r="HW154" s="148"/>
      <c r="HX154" s="148"/>
      <c r="HY154" s="148"/>
      <c r="HZ154" s="148"/>
      <c r="IA154" s="148"/>
      <c r="IB154" s="148"/>
      <c r="IC154" s="148"/>
      <c r="ID154" s="148"/>
      <c r="IE154" s="148"/>
      <c r="IF154" s="148"/>
      <c r="IG154" s="148"/>
      <c r="IH154" s="148"/>
      <c r="II154" s="148"/>
      <c r="IJ154" s="148"/>
      <c r="IK154" s="148"/>
      <c r="IL154" s="148"/>
      <c r="IM154" s="148"/>
      <c r="IN154" s="148"/>
      <c r="IO154" s="148"/>
      <c r="IP154" s="148"/>
      <c r="IQ154" s="148"/>
      <c r="IR154" s="148"/>
      <c r="IS154" s="148"/>
      <c r="IT154" s="148"/>
      <c r="IU154" s="148"/>
      <c r="IV154" s="148"/>
      <c r="IW154" s="148"/>
      <c r="IX154" s="148"/>
      <c r="IY154" s="148"/>
      <c r="IZ154" s="148"/>
      <c r="JA154" s="148"/>
      <c r="JB154" s="148"/>
      <c r="JC154" s="148"/>
      <c r="JD154" s="148"/>
      <c r="JE154" s="148"/>
      <c r="JF154" s="148"/>
      <c r="JG154" s="148"/>
      <c r="JH154" s="148"/>
      <c r="JI154" s="148"/>
      <c r="JJ154" s="148"/>
      <c r="JK154" s="148"/>
      <c r="JL154" s="148"/>
      <c r="JM154" s="148"/>
      <c r="JN154" s="148"/>
      <c r="JO154" s="148"/>
      <c r="JP154" s="148"/>
      <c r="JQ154" s="148"/>
      <c r="JR154" s="148"/>
      <c r="JS154" s="148"/>
      <c r="JT154" s="148"/>
      <c r="JU154" s="148"/>
      <c r="JV154" s="148"/>
      <c r="JW154" s="148"/>
      <c r="JX154" s="148"/>
      <c r="JY154" s="148"/>
      <c r="JZ154" s="148"/>
      <c r="KA154" s="148"/>
      <c r="KB154" s="148"/>
      <c r="KC154" s="148"/>
      <c r="KD154" s="148"/>
      <c r="KE154" s="148"/>
      <c r="KF154" s="148"/>
      <c r="KG154" s="148"/>
      <c r="KH154" s="148"/>
      <c r="KI154" s="148"/>
      <c r="KJ154" s="148"/>
      <c r="KK154" s="148"/>
      <c r="KL154" s="148"/>
      <c r="KM154" s="148"/>
      <c r="KN154" s="148"/>
      <c r="KO154" s="148"/>
      <c r="KP154" s="148"/>
      <c r="KQ154" s="148"/>
      <c r="KR154" s="148"/>
      <c r="KS154" s="148"/>
      <c r="KT154" s="148"/>
      <c r="KU154" s="148"/>
      <c r="KV154" s="148"/>
      <c r="KW154" s="148"/>
      <c r="KX154" s="148"/>
      <c r="KY154" s="148"/>
      <c r="KZ154" s="148"/>
      <c r="LA154" s="148"/>
      <c r="LB154" s="148"/>
      <c r="LC154" s="148"/>
      <c r="LD154" s="148"/>
      <c r="LE154" s="148"/>
      <c r="LF154" s="148"/>
      <c r="LG154" s="148"/>
      <c r="LH154" s="148"/>
      <c r="LI154" s="148"/>
      <c r="LJ154" s="148"/>
      <c r="LK154" s="148"/>
      <c r="LL154" s="148"/>
      <c r="LM154" s="148"/>
      <c r="LN154" s="148"/>
      <c r="LO154" s="148"/>
      <c r="LP154" s="148"/>
      <c r="LQ154" s="148"/>
      <c r="LR154" s="148"/>
      <c r="LS154" s="148"/>
      <c r="LT154" s="148"/>
      <c r="LU154" s="148"/>
      <c r="LV154" s="148"/>
      <c r="LW154" s="148"/>
      <c r="LX154" s="148"/>
      <c r="LY154" s="148"/>
      <c r="LZ154" s="148"/>
      <c r="MA154" s="148"/>
      <c r="MB154" s="148"/>
      <c r="MC154" s="148"/>
      <c r="MD154" s="148"/>
      <c r="ME154" s="148"/>
      <c r="MF154" s="148"/>
      <c r="MG154" s="148"/>
      <c r="MH154" s="148"/>
      <c r="MI154" s="148"/>
      <c r="MJ154" s="148"/>
      <c r="MK154" s="148"/>
      <c r="ML154" s="148"/>
      <c r="MM154" s="148"/>
      <c r="MN154" s="148"/>
      <c r="MO154" s="148"/>
      <c r="MP154" s="148"/>
      <c r="MQ154" s="148"/>
      <c r="MR154" s="148"/>
      <c r="MS154" s="148"/>
      <c r="MT154" s="148"/>
      <c r="MU154" s="148"/>
      <c r="MV154" s="148"/>
      <c r="MW154" s="148"/>
      <c r="MX154" s="148"/>
      <c r="MY154" s="148"/>
      <c r="MZ154" s="148"/>
      <c r="NA154" s="148"/>
      <c r="NB154" s="148"/>
      <c r="NC154" s="148"/>
      <c r="ND154" s="148"/>
      <c r="NE154" s="148"/>
      <c r="NF154" s="148"/>
      <c r="NG154" s="148"/>
      <c r="NH154" s="148"/>
      <c r="NI154" s="148"/>
      <c r="NJ154" s="148"/>
      <c r="NK154" s="148"/>
      <c r="NL154" s="148"/>
      <c r="NM154" s="148"/>
      <c r="NN154" s="148"/>
      <c r="NO154" s="148"/>
      <c r="NP154" s="148"/>
      <c r="NQ154" s="148"/>
      <c r="NR154" s="148"/>
      <c r="NS154" s="148"/>
      <c r="NT154" s="148"/>
      <c r="NU154" s="148"/>
      <c r="NV154" s="148"/>
      <c r="NW154" s="148"/>
      <c r="NX154" s="148"/>
      <c r="NY154" s="148"/>
      <c r="NZ154" s="148"/>
      <c r="OA154" s="148"/>
      <c r="OB154" s="148"/>
      <c r="OC154" s="148"/>
      <c r="OD154" s="148"/>
      <c r="OE154" s="148"/>
      <c r="OF154" s="148"/>
      <c r="OG154" s="148"/>
      <c r="OH154" s="148"/>
      <c r="OI154" s="148"/>
      <c r="OJ154" s="148"/>
      <c r="OK154" s="148"/>
      <c r="OL154" s="148"/>
      <c r="OM154" s="148"/>
      <c r="ON154" s="148"/>
      <c r="OO154" s="148"/>
      <c r="OP154" s="148"/>
      <c r="OQ154" s="148"/>
      <c r="OR154" s="148"/>
      <c r="OS154" s="148"/>
      <c r="OT154" s="148"/>
      <c r="OU154" s="148"/>
      <c r="OV154" s="148"/>
      <c r="OW154" s="148"/>
      <c r="OX154" s="148"/>
      <c r="OY154" s="148"/>
      <c r="OZ154" s="148"/>
      <c r="PA154" s="148"/>
      <c r="PB154" s="148"/>
      <c r="PC154" s="148"/>
      <c r="PD154" s="148"/>
      <c r="PE154" s="148"/>
      <c r="PF154" s="148"/>
      <c r="PG154" s="148"/>
      <c r="PH154" s="148"/>
      <c r="PI154" s="148"/>
      <c r="PJ154" s="148"/>
      <c r="PK154" s="148"/>
      <c r="PL154" s="148"/>
      <c r="PM154" s="148"/>
      <c r="PN154" s="148"/>
      <c r="PO154" s="148"/>
      <c r="PP154" s="148"/>
      <c r="PQ154" s="148"/>
      <c r="PR154" s="148"/>
      <c r="PS154" s="148"/>
      <c r="PT154" s="148"/>
      <c r="PU154" s="148"/>
      <c r="PV154" s="148"/>
      <c r="PW154" s="148"/>
      <c r="PX154" s="148"/>
      <c r="PY154" s="148"/>
      <c r="PZ154" s="148"/>
      <c r="QA154" s="148"/>
      <c r="QB154" s="148"/>
      <c r="QC154" s="148"/>
      <c r="QD154" s="148"/>
      <c r="QE154" s="148"/>
      <c r="QF154" s="148"/>
      <c r="QG154" s="148"/>
      <c r="QH154" s="148"/>
      <c r="QI154" s="148"/>
      <c r="QJ154" s="148"/>
      <c r="QK154" s="148"/>
      <c r="QL154" s="148"/>
      <c r="QM154" s="148"/>
      <c r="QN154" s="148"/>
      <c r="QO154" s="148"/>
      <c r="QP154" s="148"/>
      <c r="QQ154" s="148"/>
      <c r="QR154" s="148"/>
      <c r="QS154" s="148"/>
      <c r="QT154" s="148"/>
      <c r="QU154" s="148"/>
      <c r="QV154" s="148"/>
      <c r="QW154" s="148"/>
      <c r="QX154" s="148"/>
      <c r="QY154" s="148"/>
      <c r="QZ154" s="148"/>
      <c r="RA154" s="148"/>
      <c r="RB154" s="148"/>
      <c r="RC154" s="148"/>
      <c r="RD154" s="148"/>
      <c r="RE154" s="148"/>
      <c r="RF154" s="148"/>
      <c r="RG154" s="148"/>
      <c r="RH154" s="148"/>
      <c r="RI154" s="148"/>
      <c r="RJ154" s="148"/>
      <c r="RK154" s="148"/>
      <c r="RL154" s="148"/>
      <c r="RM154" s="148"/>
      <c r="RN154" s="148"/>
      <c r="RO154" s="148"/>
      <c r="RP154" s="148"/>
      <c r="RQ154" s="148"/>
      <c r="RR154" s="148"/>
    </row>
    <row r="155" spans="1:486" s="15" customFormat="1" hidden="1" x14ac:dyDescent="0.25">
      <c r="A155" s="148"/>
      <c r="B155" s="350">
        <v>145</v>
      </c>
      <c r="C155" s="650"/>
      <c r="D155" s="16"/>
      <c r="E155" s="344"/>
      <c r="F155" s="344"/>
      <c r="G155" s="17"/>
      <c r="H155" s="317"/>
      <c r="I155" s="346"/>
      <c r="J155" s="341"/>
      <c r="K155" s="633"/>
      <c r="L155" s="633"/>
      <c r="M155" s="633"/>
      <c r="N155" s="633"/>
      <c r="O155" s="633"/>
      <c r="P155" s="633"/>
      <c r="Q155" s="633"/>
      <c r="R155" s="633"/>
      <c r="S155" s="633"/>
      <c r="T155" s="633"/>
      <c r="U155" s="633"/>
      <c r="V155" s="633"/>
      <c r="W155" s="633"/>
      <c r="X155" s="633"/>
      <c r="Y155" s="633">
        <f t="shared" si="6"/>
        <v>0</v>
      </c>
      <c r="Z155" s="310"/>
      <c r="AA155" s="19"/>
      <c r="AB155" s="21"/>
      <c r="AC155" s="23"/>
      <c r="AD155" s="652"/>
      <c r="AE155" s="20"/>
      <c r="AF155" s="21"/>
      <c r="AG155" s="23"/>
      <c r="AH155" s="637"/>
      <c r="AI155" s="19"/>
      <c r="AJ155" s="21"/>
      <c r="AK155" s="25"/>
      <c r="AL155" s="309"/>
      <c r="AM155" s="19"/>
      <c r="AN155" s="21"/>
      <c r="AO155" s="25"/>
      <c r="AP155" s="309"/>
      <c r="AQ155" s="19"/>
      <c r="AR155" s="21"/>
      <c r="AS155" s="25"/>
      <c r="AT155" s="638">
        <f t="shared" si="7"/>
        <v>0</v>
      </c>
      <c r="AU155" s="311">
        <f t="shared" si="5"/>
        <v>0</v>
      </c>
      <c r="AV155" s="148"/>
      <c r="AW155" s="148"/>
      <c r="AX155" s="148"/>
      <c r="AY155" s="148"/>
      <c r="AZ155" s="148"/>
      <c r="BA155" s="148"/>
      <c r="BB155" s="148"/>
      <c r="BC155" s="148"/>
      <c r="BD155" s="148"/>
      <c r="BE155" s="148"/>
      <c r="BF155" s="148"/>
      <c r="BG155" s="148"/>
      <c r="BH155" s="148"/>
      <c r="BI155" s="148"/>
      <c r="BJ155" s="148"/>
      <c r="BK155" s="148"/>
      <c r="BL155" s="148"/>
      <c r="BM155" s="148"/>
      <c r="BN155" s="148"/>
      <c r="BO155" s="148"/>
      <c r="BP155" s="148"/>
      <c r="BQ155" s="148"/>
      <c r="BR155" s="148"/>
      <c r="BS155" s="148"/>
      <c r="BT155" s="148"/>
      <c r="BU155" s="148"/>
      <c r="BV155" s="148"/>
      <c r="BW155" s="148"/>
      <c r="BX155" s="148"/>
      <c r="BY155" s="148"/>
      <c r="BZ155" s="148"/>
      <c r="CA155" s="148"/>
      <c r="CB155" s="148"/>
      <c r="CC155" s="148"/>
      <c r="CD155" s="148"/>
      <c r="CE155" s="148"/>
      <c r="CF155" s="148"/>
      <c r="CG155" s="148"/>
      <c r="CH155" s="148"/>
      <c r="CI155" s="148"/>
      <c r="CJ155" s="148"/>
      <c r="CK155" s="148"/>
      <c r="CL155" s="148"/>
      <c r="CM155" s="148"/>
      <c r="CN155" s="148"/>
      <c r="CO155" s="148"/>
      <c r="CP155" s="148"/>
      <c r="CQ155" s="148"/>
      <c r="CR155" s="148"/>
      <c r="CS155" s="148"/>
      <c r="CT155" s="148"/>
      <c r="CU155" s="148"/>
      <c r="CV155" s="148"/>
      <c r="CW155" s="148"/>
      <c r="CX155" s="148"/>
      <c r="CY155" s="148"/>
      <c r="CZ155" s="148"/>
      <c r="DA155" s="148"/>
      <c r="DB155" s="148"/>
      <c r="DC155" s="148"/>
      <c r="DD155" s="148"/>
      <c r="DE155" s="148"/>
      <c r="DF155" s="148"/>
      <c r="DG155" s="148"/>
      <c r="DH155" s="148"/>
      <c r="DI155" s="148"/>
      <c r="DJ155" s="148"/>
      <c r="DK155" s="148"/>
      <c r="DL155" s="148"/>
      <c r="DM155" s="148"/>
      <c r="DN155" s="148"/>
      <c r="DO155" s="148"/>
      <c r="DP155" s="148"/>
      <c r="DQ155" s="148"/>
      <c r="DR155" s="148"/>
      <c r="DS155" s="148"/>
      <c r="DT155" s="148"/>
      <c r="DU155" s="148"/>
      <c r="DV155" s="148"/>
      <c r="DW155" s="148"/>
      <c r="DX155" s="148"/>
      <c r="DY155" s="148"/>
      <c r="DZ155" s="148"/>
      <c r="EA155" s="148"/>
      <c r="EB155" s="148"/>
      <c r="EC155" s="148"/>
      <c r="ED155" s="148"/>
      <c r="EE155" s="148"/>
      <c r="EF155" s="148"/>
      <c r="EG155" s="148"/>
      <c r="EH155" s="148"/>
      <c r="EI155" s="148"/>
      <c r="EJ155" s="148"/>
      <c r="EK155" s="148"/>
      <c r="EL155" s="148"/>
      <c r="EM155" s="148"/>
      <c r="EN155" s="148"/>
      <c r="EO155" s="148"/>
      <c r="EP155" s="148"/>
      <c r="EQ155" s="148"/>
      <c r="ER155" s="148"/>
      <c r="ES155" s="148"/>
      <c r="ET155" s="148"/>
      <c r="EU155" s="148"/>
      <c r="EV155" s="148"/>
      <c r="EW155" s="148"/>
      <c r="EX155" s="148"/>
      <c r="EY155" s="148"/>
      <c r="EZ155" s="148"/>
      <c r="FA155" s="148"/>
      <c r="FB155" s="148"/>
      <c r="FC155" s="148"/>
      <c r="FD155" s="148"/>
      <c r="FE155" s="148"/>
      <c r="FF155" s="148"/>
      <c r="FG155" s="148"/>
      <c r="FH155" s="148"/>
      <c r="FI155" s="148"/>
      <c r="FJ155" s="148"/>
      <c r="FK155" s="148"/>
      <c r="FL155" s="148"/>
      <c r="FM155" s="148"/>
      <c r="FN155" s="148"/>
      <c r="FO155" s="148"/>
      <c r="FP155" s="148"/>
      <c r="FQ155" s="148"/>
      <c r="FR155" s="148"/>
      <c r="FS155" s="148"/>
      <c r="FT155" s="148"/>
      <c r="FU155" s="148"/>
      <c r="FV155" s="148"/>
      <c r="FW155" s="148"/>
      <c r="FX155" s="148"/>
      <c r="FY155" s="148"/>
      <c r="FZ155" s="148"/>
      <c r="GA155" s="148"/>
      <c r="GB155" s="148"/>
      <c r="GC155" s="148"/>
      <c r="GD155" s="148"/>
      <c r="GE155" s="148"/>
      <c r="GF155" s="148"/>
      <c r="GG155" s="148"/>
      <c r="GH155" s="148"/>
      <c r="GI155" s="148"/>
      <c r="GJ155" s="148"/>
      <c r="GK155" s="148"/>
      <c r="GL155" s="148"/>
      <c r="GM155" s="148"/>
      <c r="GN155" s="148"/>
      <c r="GO155" s="148"/>
      <c r="GP155" s="148"/>
      <c r="GQ155" s="148"/>
      <c r="GR155" s="148"/>
      <c r="GS155" s="148"/>
      <c r="GT155" s="148"/>
      <c r="GU155" s="148"/>
      <c r="GV155" s="148"/>
      <c r="GW155" s="148"/>
      <c r="GX155" s="148"/>
      <c r="GY155" s="148"/>
      <c r="GZ155" s="148"/>
      <c r="HA155" s="148"/>
      <c r="HB155" s="148"/>
      <c r="HC155" s="148"/>
      <c r="HD155" s="148"/>
      <c r="HE155" s="148"/>
      <c r="HF155" s="148"/>
      <c r="HG155" s="148"/>
      <c r="HH155" s="148"/>
      <c r="HI155" s="148"/>
      <c r="HJ155" s="148"/>
      <c r="HK155" s="148"/>
      <c r="HL155" s="148"/>
      <c r="HM155" s="148"/>
      <c r="HN155" s="148"/>
      <c r="HO155" s="148"/>
      <c r="HP155" s="148"/>
      <c r="HQ155" s="148"/>
      <c r="HR155" s="148"/>
      <c r="HS155" s="148"/>
      <c r="HT155" s="148"/>
      <c r="HU155" s="148"/>
      <c r="HV155" s="148"/>
      <c r="HW155" s="148"/>
      <c r="HX155" s="148"/>
      <c r="HY155" s="148"/>
      <c r="HZ155" s="148"/>
      <c r="IA155" s="148"/>
      <c r="IB155" s="148"/>
      <c r="IC155" s="148"/>
      <c r="ID155" s="148"/>
      <c r="IE155" s="148"/>
      <c r="IF155" s="148"/>
      <c r="IG155" s="148"/>
      <c r="IH155" s="148"/>
      <c r="II155" s="148"/>
      <c r="IJ155" s="148"/>
      <c r="IK155" s="148"/>
      <c r="IL155" s="148"/>
      <c r="IM155" s="148"/>
      <c r="IN155" s="148"/>
      <c r="IO155" s="148"/>
      <c r="IP155" s="148"/>
      <c r="IQ155" s="148"/>
      <c r="IR155" s="148"/>
      <c r="IS155" s="148"/>
      <c r="IT155" s="148"/>
      <c r="IU155" s="148"/>
      <c r="IV155" s="148"/>
      <c r="IW155" s="148"/>
      <c r="IX155" s="148"/>
      <c r="IY155" s="148"/>
      <c r="IZ155" s="148"/>
      <c r="JA155" s="148"/>
      <c r="JB155" s="148"/>
      <c r="JC155" s="148"/>
      <c r="JD155" s="148"/>
      <c r="JE155" s="148"/>
      <c r="JF155" s="148"/>
      <c r="JG155" s="148"/>
      <c r="JH155" s="148"/>
      <c r="JI155" s="148"/>
      <c r="JJ155" s="148"/>
      <c r="JK155" s="148"/>
      <c r="JL155" s="148"/>
      <c r="JM155" s="148"/>
      <c r="JN155" s="148"/>
      <c r="JO155" s="148"/>
      <c r="JP155" s="148"/>
      <c r="JQ155" s="148"/>
      <c r="JR155" s="148"/>
      <c r="JS155" s="148"/>
      <c r="JT155" s="148"/>
      <c r="JU155" s="148"/>
      <c r="JV155" s="148"/>
      <c r="JW155" s="148"/>
      <c r="JX155" s="148"/>
      <c r="JY155" s="148"/>
      <c r="JZ155" s="148"/>
      <c r="KA155" s="148"/>
      <c r="KB155" s="148"/>
      <c r="KC155" s="148"/>
      <c r="KD155" s="148"/>
      <c r="KE155" s="148"/>
      <c r="KF155" s="148"/>
      <c r="KG155" s="148"/>
      <c r="KH155" s="148"/>
      <c r="KI155" s="148"/>
      <c r="KJ155" s="148"/>
      <c r="KK155" s="148"/>
      <c r="KL155" s="148"/>
      <c r="KM155" s="148"/>
      <c r="KN155" s="148"/>
      <c r="KO155" s="148"/>
      <c r="KP155" s="148"/>
      <c r="KQ155" s="148"/>
      <c r="KR155" s="148"/>
      <c r="KS155" s="148"/>
      <c r="KT155" s="148"/>
      <c r="KU155" s="148"/>
      <c r="KV155" s="148"/>
      <c r="KW155" s="148"/>
      <c r="KX155" s="148"/>
      <c r="KY155" s="148"/>
      <c r="KZ155" s="148"/>
      <c r="LA155" s="148"/>
      <c r="LB155" s="148"/>
      <c r="LC155" s="148"/>
      <c r="LD155" s="148"/>
      <c r="LE155" s="148"/>
      <c r="LF155" s="148"/>
      <c r="LG155" s="148"/>
      <c r="LH155" s="148"/>
      <c r="LI155" s="148"/>
      <c r="LJ155" s="148"/>
      <c r="LK155" s="148"/>
      <c r="LL155" s="148"/>
      <c r="LM155" s="148"/>
      <c r="LN155" s="148"/>
      <c r="LO155" s="148"/>
      <c r="LP155" s="148"/>
      <c r="LQ155" s="148"/>
      <c r="LR155" s="148"/>
      <c r="LS155" s="148"/>
      <c r="LT155" s="148"/>
      <c r="LU155" s="148"/>
      <c r="LV155" s="148"/>
      <c r="LW155" s="148"/>
      <c r="LX155" s="148"/>
      <c r="LY155" s="148"/>
      <c r="LZ155" s="148"/>
      <c r="MA155" s="148"/>
      <c r="MB155" s="148"/>
      <c r="MC155" s="148"/>
      <c r="MD155" s="148"/>
      <c r="ME155" s="148"/>
      <c r="MF155" s="148"/>
      <c r="MG155" s="148"/>
      <c r="MH155" s="148"/>
      <c r="MI155" s="148"/>
      <c r="MJ155" s="148"/>
      <c r="MK155" s="148"/>
      <c r="ML155" s="148"/>
      <c r="MM155" s="148"/>
      <c r="MN155" s="148"/>
      <c r="MO155" s="148"/>
      <c r="MP155" s="148"/>
      <c r="MQ155" s="148"/>
      <c r="MR155" s="148"/>
      <c r="MS155" s="148"/>
      <c r="MT155" s="148"/>
      <c r="MU155" s="148"/>
      <c r="MV155" s="148"/>
      <c r="MW155" s="148"/>
      <c r="MX155" s="148"/>
      <c r="MY155" s="148"/>
      <c r="MZ155" s="148"/>
      <c r="NA155" s="148"/>
      <c r="NB155" s="148"/>
      <c r="NC155" s="148"/>
      <c r="ND155" s="148"/>
      <c r="NE155" s="148"/>
      <c r="NF155" s="148"/>
      <c r="NG155" s="148"/>
      <c r="NH155" s="148"/>
      <c r="NI155" s="148"/>
      <c r="NJ155" s="148"/>
      <c r="NK155" s="148"/>
      <c r="NL155" s="148"/>
      <c r="NM155" s="148"/>
      <c r="NN155" s="148"/>
      <c r="NO155" s="148"/>
      <c r="NP155" s="148"/>
      <c r="NQ155" s="148"/>
      <c r="NR155" s="148"/>
      <c r="NS155" s="148"/>
      <c r="NT155" s="148"/>
      <c r="NU155" s="148"/>
      <c r="NV155" s="148"/>
      <c r="NW155" s="148"/>
      <c r="NX155" s="148"/>
      <c r="NY155" s="148"/>
      <c r="NZ155" s="148"/>
      <c r="OA155" s="148"/>
      <c r="OB155" s="148"/>
      <c r="OC155" s="148"/>
      <c r="OD155" s="148"/>
      <c r="OE155" s="148"/>
      <c r="OF155" s="148"/>
      <c r="OG155" s="148"/>
      <c r="OH155" s="148"/>
      <c r="OI155" s="148"/>
      <c r="OJ155" s="148"/>
      <c r="OK155" s="148"/>
      <c r="OL155" s="148"/>
      <c r="OM155" s="148"/>
      <c r="ON155" s="148"/>
      <c r="OO155" s="148"/>
      <c r="OP155" s="148"/>
      <c r="OQ155" s="148"/>
      <c r="OR155" s="148"/>
      <c r="OS155" s="148"/>
      <c r="OT155" s="148"/>
      <c r="OU155" s="148"/>
      <c r="OV155" s="148"/>
      <c r="OW155" s="148"/>
      <c r="OX155" s="148"/>
      <c r="OY155" s="148"/>
      <c r="OZ155" s="148"/>
      <c r="PA155" s="148"/>
      <c r="PB155" s="148"/>
      <c r="PC155" s="148"/>
      <c r="PD155" s="148"/>
      <c r="PE155" s="148"/>
      <c r="PF155" s="148"/>
      <c r="PG155" s="148"/>
      <c r="PH155" s="148"/>
      <c r="PI155" s="148"/>
      <c r="PJ155" s="148"/>
      <c r="PK155" s="148"/>
      <c r="PL155" s="148"/>
      <c r="PM155" s="148"/>
      <c r="PN155" s="148"/>
      <c r="PO155" s="148"/>
      <c r="PP155" s="148"/>
      <c r="PQ155" s="148"/>
      <c r="PR155" s="148"/>
      <c r="PS155" s="148"/>
      <c r="PT155" s="148"/>
      <c r="PU155" s="148"/>
      <c r="PV155" s="148"/>
      <c r="PW155" s="148"/>
      <c r="PX155" s="148"/>
      <c r="PY155" s="148"/>
      <c r="PZ155" s="148"/>
      <c r="QA155" s="148"/>
      <c r="QB155" s="148"/>
      <c r="QC155" s="148"/>
      <c r="QD155" s="148"/>
      <c r="QE155" s="148"/>
      <c r="QF155" s="148"/>
      <c r="QG155" s="148"/>
      <c r="QH155" s="148"/>
      <c r="QI155" s="148"/>
      <c r="QJ155" s="148"/>
      <c r="QK155" s="148"/>
      <c r="QL155" s="148"/>
      <c r="QM155" s="148"/>
      <c r="QN155" s="148"/>
      <c r="QO155" s="148"/>
      <c r="QP155" s="148"/>
      <c r="QQ155" s="148"/>
      <c r="QR155" s="148"/>
      <c r="QS155" s="148"/>
      <c r="QT155" s="148"/>
      <c r="QU155" s="148"/>
      <c r="QV155" s="148"/>
      <c r="QW155" s="148"/>
      <c r="QX155" s="148"/>
      <c r="QY155" s="148"/>
      <c r="QZ155" s="148"/>
      <c r="RA155" s="148"/>
      <c r="RB155" s="148"/>
      <c r="RC155" s="148"/>
      <c r="RD155" s="148"/>
      <c r="RE155" s="148"/>
      <c r="RF155" s="148"/>
      <c r="RG155" s="148"/>
      <c r="RH155" s="148"/>
      <c r="RI155" s="148"/>
      <c r="RJ155" s="148"/>
      <c r="RK155" s="148"/>
      <c r="RL155" s="148"/>
      <c r="RM155" s="148"/>
      <c r="RN155" s="148"/>
      <c r="RO155" s="148"/>
      <c r="RP155" s="148"/>
      <c r="RQ155" s="148"/>
      <c r="RR155" s="148"/>
    </row>
    <row r="156" spans="1:486" s="15" customFormat="1" hidden="1" x14ac:dyDescent="0.25">
      <c r="A156" s="148"/>
      <c r="B156" s="350">
        <v>146</v>
      </c>
      <c r="C156" s="650"/>
      <c r="D156" s="16"/>
      <c r="E156" s="344"/>
      <c r="F156" s="344"/>
      <c r="G156" s="17"/>
      <c r="H156" s="317"/>
      <c r="I156" s="346"/>
      <c r="J156" s="341"/>
      <c r="K156" s="633"/>
      <c r="L156" s="633"/>
      <c r="M156" s="633"/>
      <c r="N156" s="633"/>
      <c r="O156" s="633"/>
      <c r="P156" s="633"/>
      <c r="Q156" s="633"/>
      <c r="R156" s="633"/>
      <c r="S156" s="633"/>
      <c r="T156" s="633"/>
      <c r="U156" s="633"/>
      <c r="V156" s="633"/>
      <c r="W156" s="633"/>
      <c r="X156" s="633"/>
      <c r="Y156" s="633">
        <f t="shared" si="6"/>
        <v>0</v>
      </c>
      <c r="Z156" s="310"/>
      <c r="AA156" s="19"/>
      <c r="AB156" s="21"/>
      <c r="AC156" s="23"/>
      <c r="AD156" s="652"/>
      <c r="AE156" s="20"/>
      <c r="AF156" s="21"/>
      <c r="AG156" s="23"/>
      <c r="AH156" s="637"/>
      <c r="AI156" s="19"/>
      <c r="AJ156" s="21"/>
      <c r="AK156" s="25"/>
      <c r="AL156" s="309"/>
      <c r="AM156" s="19"/>
      <c r="AN156" s="21"/>
      <c r="AO156" s="25"/>
      <c r="AP156" s="309"/>
      <c r="AQ156" s="19"/>
      <c r="AR156" s="21"/>
      <c r="AS156" s="25"/>
      <c r="AT156" s="638">
        <f t="shared" si="7"/>
        <v>0</v>
      </c>
      <c r="AU156" s="311">
        <f t="shared" si="5"/>
        <v>0</v>
      </c>
      <c r="AV156" s="148"/>
      <c r="AW156" s="148"/>
      <c r="AX156" s="148"/>
      <c r="AY156" s="148"/>
      <c r="AZ156" s="148"/>
      <c r="BA156" s="148"/>
      <c r="BB156" s="148"/>
      <c r="BC156" s="148"/>
      <c r="BD156" s="148"/>
      <c r="BE156" s="148"/>
      <c r="BF156" s="148"/>
      <c r="BG156" s="148"/>
      <c r="BH156" s="148"/>
      <c r="BI156" s="148"/>
      <c r="BJ156" s="148"/>
      <c r="BK156" s="148"/>
      <c r="BL156" s="148"/>
      <c r="BM156" s="148"/>
      <c r="BN156" s="148"/>
      <c r="BO156" s="148"/>
      <c r="BP156" s="148"/>
      <c r="BQ156" s="148"/>
      <c r="BR156" s="148"/>
      <c r="BS156" s="148"/>
      <c r="BT156" s="148"/>
      <c r="BU156" s="148"/>
      <c r="BV156" s="148"/>
      <c r="BW156" s="148"/>
      <c r="BX156" s="148"/>
      <c r="BY156" s="148"/>
      <c r="BZ156" s="148"/>
      <c r="CA156" s="148"/>
      <c r="CB156" s="148"/>
      <c r="CC156" s="148"/>
      <c r="CD156" s="148"/>
      <c r="CE156" s="148"/>
      <c r="CF156" s="148"/>
      <c r="CG156" s="148"/>
      <c r="CH156" s="148"/>
      <c r="CI156" s="148"/>
      <c r="CJ156" s="148"/>
      <c r="CK156" s="148"/>
      <c r="CL156" s="148"/>
      <c r="CM156" s="148"/>
      <c r="CN156" s="148"/>
      <c r="CO156" s="148"/>
      <c r="CP156" s="148"/>
      <c r="CQ156" s="148"/>
      <c r="CR156" s="148"/>
      <c r="CS156" s="148"/>
      <c r="CT156" s="148"/>
      <c r="CU156" s="148"/>
      <c r="CV156" s="148"/>
      <c r="CW156" s="148"/>
      <c r="CX156" s="148"/>
      <c r="CY156" s="148"/>
      <c r="CZ156" s="148"/>
      <c r="DA156" s="148"/>
      <c r="DB156" s="148"/>
      <c r="DC156" s="148"/>
      <c r="DD156" s="148"/>
      <c r="DE156" s="148"/>
      <c r="DF156" s="148"/>
      <c r="DG156" s="148"/>
      <c r="DH156" s="148"/>
      <c r="DI156" s="148"/>
      <c r="DJ156" s="148"/>
      <c r="DK156" s="148"/>
      <c r="DL156" s="148"/>
      <c r="DM156" s="148"/>
      <c r="DN156" s="148"/>
      <c r="DO156" s="148"/>
      <c r="DP156" s="148"/>
      <c r="DQ156" s="148"/>
      <c r="DR156" s="148"/>
      <c r="DS156" s="148"/>
      <c r="DT156" s="148"/>
      <c r="DU156" s="148"/>
      <c r="DV156" s="148"/>
      <c r="DW156" s="148"/>
      <c r="DX156" s="148"/>
      <c r="DY156" s="148"/>
      <c r="DZ156" s="148"/>
      <c r="EA156" s="148"/>
      <c r="EB156" s="148"/>
      <c r="EC156" s="148"/>
      <c r="ED156" s="148"/>
      <c r="EE156" s="148"/>
      <c r="EF156" s="148"/>
      <c r="EG156" s="148"/>
      <c r="EH156" s="148"/>
      <c r="EI156" s="148"/>
      <c r="EJ156" s="148"/>
      <c r="EK156" s="148"/>
      <c r="EL156" s="148"/>
      <c r="EM156" s="148"/>
      <c r="EN156" s="148"/>
      <c r="EO156" s="148"/>
      <c r="EP156" s="148"/>
      <c r="EQ156" s="148"/>
      <c r="ER156" s="148"/>
      <c r="ES156" s="148"/>
      <c r="ET156" s="148"/>
      <c r="EU156" s="148"/>
      <c r="EV156" s="148"/>
      <c r="EW156" s="148"/>
      <c r="EX156" s="148"/>
      <c r="EY156" s="148"/>
      <c r="EZ156" s="148"/>
      <c r="FA156" s="148"/>
      <c r="FB156" s="148"/>
      <c r="FC156" s="148"/>
      <c r="FD156" s="148"/>
      <c r="FE156" s="148"/>
      <c r="FF156" s="148"/>
      <c r="FG156" s="148"/>
      <c r="FH156" s="148"/>
      <c r="FI156" s="148"/>
      <c r="FJ156" s="148"/>
      <c r="FK156" s="148"/>
      <c r="FL156" s="148"/>
      <c r="FM156" s="148"/>
      <c r="FN156" s="148"/>
      <c r="FO156" s="148"/>
      <c r="FP156" s="148"/>
      <c r="FQ156" s="148"/>
      <c r="FR156" s="148"/>
      <c r="FS156" s="148"/>
      <c r="FT156" s="148"/>
      <c r="FU156" s="148"/>
      <c r="FV156" s="148"/>
      <c r="FW156" s="148"/>
      <c r="FX156" s="148"/>
      <c r="FY156" s="148"/>
      <c r="FZ156" s="148"/>
      <c r="GA156" s="148"/>
      <c r="GB156" s="148"/>
      <c r="GC156" s="148"/>
      <c r="GD156" s="148"/>
      <c r="GE156" s="148"/>
      <c r="GF156" s="148"/>
      <c r="GG156" s="148"/>
      <c r="GH156" s="148"/>
      <c r="GI156" s="148"/>
      <c r="GJ156" s="148"/>
      <c r="GK156" s="148"/>
      <c r="GL156" s="148"/>
      <c r="GM156" s="148"/>
      <c r="GN156" s="148"/>
      <c r="GO156" s="148"/>
      <c r="GP156" s="148"/>
      <c r="GQ156" s="148"/>
      <c r="GR156" s="148"/>
      <c r="GS156" s="148"/>
      <c r="GT156" s="148"/>
      <c r="GU156" s="148"/>
      <c r="GV156" s="148"/>
      <c r="GW156" s="148"/>
      <c r="GX156" s="148"/>
      <c r="GY156" s="148"/>
      <c r="GZ156" s="148"/>
      <c r="HA156" s="148"/>
      <c r="HB156" s="148"/>
      <c r="HC156" s="148"/>
      <c r="HD156" s="148"/>
      <c r="HE156" s="148"/>
      <c r="HF156" s="148"/>
      <c r="HG156" s="148"/>
      <c r="HH156" s="148"/>
      <c r="HI156" s="148"/>
      <c r="HJ156" s="148"/>
      <c r="HK156" s="148"/>
      <c r="HL156" s="148"/>
      <c r="HM156" s="148"/>
      <c r="HN156" s="148"/>
      <c r="HO156" s="148"/>
      <c r="HP156" s="148"/>
      <c r="HQ156" s="148"/>
      <c r="HR156" s="148"/>
      <c r="HS156" s="148"/>
      <c r="HT156" s="148"/>
      <c r="HU156" s="148"/>
      <c r="HV156" s="148"/>
      <c r="HW156" s="148"/>
      <c r="HX156" s="148"/>
      <c r="HY156" s="148"/>
      <c r="HZ156" s="148"/>
      <c r="IA156" s="148"/>
      <c r="IB156" s="148"/>
      <c r="IC156" s="148"/>
      <c r="ID156" s="148"/>
      <c r="IE156" s="148"/>
      <c r="IF156" s="148"/>
      <c r="IG156" s="148"/>
      <c r="IH156" s="148"/>
      <c r="II156" s="148"/>
      <c r="IJ156" s="148"/>
      <c r="IK156" s="148"/>
      <c r="IL156" s="148"/>
      <c r="IM156" s="148"/>
      <c r="IN156" s="148"/>
      <c r="IO156" s="148"/>
      <c r="IP156" s="148"/>
      <c r="IQ156" s="148"/>
      <c r="IR156" s="148"/>
      <c r="IS156" s="148"/>
      <c r="IT156" s="148"/>
      <c r="IU156" s="148"/>
      <c r="IV156" s="148"/>
      <c r="IW156" s="148"/>
      <c r="IX156" s="148"/>
      <c r="IY156" s="148"/>
      <c r="IZ156" s="148"/>
      <c r="JA156" s="148"/>
      <c r="JB156" s="148"/>
      <c r="JC156" s="148"/>
      <c r="JD156" s="148"/>
      <c r="JE156" s="148"/>
      <c r="JF156" s="148"/>
      <c r="JG156" s="148"/>
      <c r="JH156" s="148"/>
      <c r="JI156" s="148"/>
      <c r="JJ156" s="148"/>
      <c r="JK156" s="148"/>
      <c r="JL156" s="148"/>
      <c r="JM156" s="148"/>
      <c r="JN156" s="148"/>
      <c r="JO156" s="148"/>
      <c r="JP156" s="148"/>
      <c r="JQ156" s="148"/>
      <c r="JR156" s="148"/>
      <c r="JS156" s="148"/>
      <c r="JT156" s="148"/>
      <c r="JU156" s="148"/>
      <c r="JV156" s="148"/>
      <c r="JW156" s="148"/>
      <c r="JX156" s="148"/>
      <c r="JY156" s="148"/>
      <c r="JZ156" s="148"/>
      <c r="KA156" s="148"/>
      <c r="KB156" s="148"/>
      <c r="KC156" s="148"/>
      <c r="KD156" s="148"/>
      <c r="KE156" s="148"/>
      <c r="KF156" s="148"/>
      <c r="KG156" s="148"/>
      <c r="KH156" s="148"/>
      <c r="KI156" s="148"/>
      <c r="KJ156" s="148"/>
      <c r="KK156" s="148"/>
      <c r="KL156" s="148"/>
      <c r="KM156" s="148"/>
      <c r="KN156" s="148"/>
      <c r="KO156" s="148"/>
      <c r="KP156" s="148"/>
      <c r="KQ156" s="148"/>
      <c r="KR156" s="148"/>
      <c r="KS156" s="148"/>
      <c r="KT156" s="148"/>
      <c r="KU156" s="148"/>
      <c r="KV156" s="148"/>
      <c r="KW156" s="148"/>
      <c r="KX156" s="148"/>
      <c r="KY156" s="148"/>
      <c r="KZ156" s="148"/>
      <c r="LA156" s="148"/>
      <c r="LB156" s="148"/>
      <c r="LC156" s="148"/>
      <c r="LD156" s="148"/>
      <c r="LE156" s="148"/>
      <c r="LF156" s="148"/>
      <c r="LG156" s="148"/>
      <c r="LH156" s="148"/>
      <c r="LI156" s="148"/>
      <c r="LJ156" s="148"/>
      <c r="LK156" s="148"/>
      <c r="LL156" s="148"/>
      <c r="LM156" s="148"/>
      <c r="LN156" s="148"/>
      <c r="LO156" s="148"/>
      <c r="LP156" s="148"/>
      <c r="LQ156" s="148"/>
      <c r="LR156" s="148"/>
      <c r="LS156" s="148"/>
      <c r="LT156" s="148"/>
      <c r="LU156" s="148"/>
      <c r="LV156" s="148"/>
      <c r="LW156" s="148"/>
      <c r="LX156" s="148"/>
      <c r="LY156" s="148"/>
      <c r="LZ156" s="148"/>
      <c r="MA156" s="148"/>
      <c r="MB156" s="148"/>
      <c r="MC156" s="148"/>
      <c r="MD156" s="148"/>
      <c r="ME156" s="148"/>
      <c r="MF156" s="148"/>
      <c r="MG156" s="148"/>
      <c r="MH156" s="148"/>
      <c r="MI156" s="148"/>
      <c r="MJ156" s="148"/>
      <c r="MK156" s="148"/>
      <c r="ML156" s="148"/>
      <c r="MM156" s="148"/>
      <c r="MN156" s="148"/>
      <c r="MO156" s="148"/>
      <c r="MP156" s="148"/>
      <c r="MQ156" s="148"/>
      <c r="MR156" s="148"/>
      <c r="MS156" s="148"/>
      <c r="MT156" s="148"/>
      <c r="MU156" s="148"/>
      <c r="MV156" s="148"/>
      <c r="MW156" s="148"/>
      <c r="MX156" s="148"/>
      <c r="MY156" s="148"/>
      <c r="MZ156" s="148"/>
      <c r="NA156" s="148"/>
      <c r="NB156" s="148"/>
      <c r="NC156" s="148"/>
      <c r="ND156" s="148"/>
      <c r="NE156" s="148"/>
      <c r="NF156" s="148"/>
      <c r="NG156" s="148"/>
      <c r="NH156" s="148"/>
      <c r="NI156" s="148"/>
      <c r="NJ156" s="148"/>
      <c r="NK156" s="148"/>
      <c r="NL156" s="148"/>
      <c r="NM156" s="148"/>
      <c r="NN156" s="148"/>
      <c r="NO156" s="148"/>
      <c r="NP156" s="148"/>
      <c r="NQ156" s="148"/>
      <c r="NR156" s="148"/>
      <c r="NS156" s="148"/>
      <c r="NT156" s="148"/>
      <c r="NU156" s="148"/>
      <c r="NV156" s="148"/>
      <c r="NW156" s="148"/>
      <c r="NX156" s="148"/>
      <c r="NY156" s="148"/>
      <c r="NZ156" s="148"/>
      <c r="OA156" s="148"/>
      <c r="OB156" s="148"/>
      <c r="OC156" s="148"/>
      <c r="OD156" s="148"/>
      <c r="OE156" s="148"/>
      <c r="OF156" s="148"/>
      <c r="OG156" s="148"/>
      <c r="OH156" s="148"/>
      <c r="OI156" s="148"/>
      <c r="OJ156" s="148"/>
      <c r="OK156" s="148"/>
      <c r="OL156" s="148"/>
      <c r="OM156" s="148"/>
      <c r="ON156" s="148"/>
      <c r="OO156" s="148"/>
      <c r="OP156" s="148"/>
      <c r="OQ156" s="148"/>
      <c r="OR156" s="148"/>
      <c r="OS156" s="148"/>
      <c r="OT156" s="148"/>
      <c r="OU156" s="148"/>
      <c r="OV156" s="148"/>
      <c r="OW156" s="148"/>
      <c r="OX156" s="148"/>
      <c r="OY156" s="148"/>
      <c r="OZ156" s="148"/>
      <c r="PA156" s="148"/>
      <c r="PB156" s="148"/>
      <c r="PC156" s="148"/>
      <c r="PD156" s="148"/>
      <c r="PE156" s="148"/>
      <c r="PF156" s="148"/>
      <c r="PG156" s="148"/>
      <c r="PH156" s="148"/>
      <c r="PI156" s="148"/>
      <c r="PJ156" s="148"/>
      <c r="PK156" s="148"/>
      <c r="PL156" s="148"/>
      <c r="PM156" s="148"/>
      <c r="PN156" s="148"/>
      <c r="PO156" s="148"/>
      <c r="PP156" s="148"/>
      <c r="PQ156" s="148"/>
      <c r="PR156" s="148"/>
      <c r="PS156" s="148"/>
      <c r="PT156" s="148"/>
      <c r="PU156" s="148"/>
      <c r="PV156" s="148"/>
      <c r="PW156" s="148"/>
      <c r="PX156" s="148"/>
      <c r="PY156" s="148"/>
      <c r="PZ156" s="148"/>
      <c r="QA156" s="148"/>
      <c r="QB156" s="148"/>
      <c r="QC156" s="148"/>
      <c r="QD156" s="148"/>
      <c r="QE156" s="148"/>
      <c r="QF156" s="148"/>
      <c r="QG156" s="148"/>
      <c r="QH156" s="148"/>
      <c r="QI156" s="148"/>
      <c r="QJ156" s="148"/>
      <c r="QK156" s="148"/>
      <c r="QL156" s="148"/>
      <c r="QM156" s="148"/>
      <c r="QN156" s="148"/>
      <c r="QO156" s="148"/>
      <c r="QP156" s="148"/>
      <c r="QQ156" s="148"/>
      <c r="QR156" s="148"/>
      <c r="QS156" s="148"/>
      <c r="QT156" s="148"/>
      <c r="QU156" s="148"/>
      <c r="QV156" s="148"/>
      <c r="QW156" s="148"/>
      <c r="QX156" s="148"/>
      <c r="QY156" s="148"/>
      <c r="QZ156" s="148"/>
      <c r="RA156" s="148"/>
      <c r="RB156" s="148"/>
      <c r="RC156" s="148"/>
      <c r="RD156" s="148"/>
      <c r="RE156" s="148"/>
      <c r="RF156" s="148"/>
      <c r="RG156" s="148"/>
      <c r="RH156" s="148"/>
      <c r="RI156" s="148"/>
      <c r="RJ156" s="148"/>
      <c r="RK156" s="148"/>
      <c r="RL156" s="148"/>
      <c r="RM156" s="148"/>
      <c r="RN156" s="148"/>
      <c r="RO156" s="148"/>
      <c r="RP156" s="148"/>
      <c r="RQ156" s="148"/>
      <c r="RR156" s="148"/>
    </row>
    <row r="157" spans="1:486" s="15" customFormat="1" hidden="1" x14ac:dyDescent="0.25">
      <c r="A157" s="148"/>
      <c r="B157" s="350">
        <v>147</v>
      </c>
      <c r="C157" s="650"/>
      <c r="D157" s="16"/>
      <c r="E157" s="344"/>
      <c r="F157" s="344"/>
      <c r="G157" s="17"/>
      <c r="H157" s="317"/>
      <c r="I157" s="346"/>
      <c r="J157" s="341"/>
      <c r="K157" s="633"/>
      <c r="L157" s="633"/>
      <c r="M157" s="633"/>
      <c r="N157" s="633"/>
      <c r="O157" s="633"/>
      <c r="P157" s="633"/>
      <c r="Q157" s="633"/>
      <c r="R157" s="633"/>
      <c r="S157" s="633"/>
      <c r="T157" s="633"/>
      <c r="U157" s="633"/>
      <c r="V157" s="633"/>
      <c r="W157" s="633"/>
      <c r="X157" s="633"/>
      <c r="Y157" s="633">
        <f t="shared" si="6"/>
        <v>0</v>
      </c>
      <c r="Z157" s="637"/>
      <c r="AA157" s="19"/>
      <c r="AB157" s="315"/>
      <c r="AC157" s="315"/>
      <c r="AD157" s="652"/>
      <c r="AE157" s="20"/>
      <c r="AF157" s="21"/>
      <c r="AG157" s="23"/>
      <c r="AH157" s="637"/>
      <c r="AI157" s="19"/>
      <c r="AJ157" s="21"/>
      <c r="AK157" s="25"/>
      <c r="AL157" s="309"/>
      <c r="AM157" s="19"/>
      <c r="AN157" s="21"/>
      <c r="AO157" s="25"/>
      <c r="AP157" s="309"/>
      <c r="AQ157" s="19"/>
      <c r="AR157" s="21"/>
      <c r="AS157" s="25"/>
      <c r="AT157" s="638">
        <f t="shared" si="7"/>
        <v>0</v>
      </c>
      <c r="AU157" s="311">
        <f t="shared" si="5"/>
        <v>0</v>
      </c>
      <c r="AV157" s="148"/>
      <c r="AW157" s="148"/>
      <c r="AX157" s="148"/>
      <c r="AY157" s="148"/>
      <c r="AZ157" s="148"/>
      <c r="BA157" s="148"/>
      <c r="BB157" s="148"/>
      <c r="BC157" s="148"/>
      <c r="BD157" s="148"/>
      <c r="BE157" s="148"/>
      <c r="BF157" s="148"/>
      <c r="BG157" s="148"/>
      <c r="BH157" s="148"/>
      <c r="BI157" s="148"/>
      <c r="BJ157" s="148"/>
      <c r="BK157" s="148"/>
      <c r="BL157" s="148"/>
      <c r="BM157" s="148"/>
      <c r="BN157" s="148"/>
      <c r="BO157" s="148"/>
      <c r="BP157" s="148"/>
      <c r="BQ157" s="148"/>
      <c r="BR157" s="148"/>
      <c r="BS157" s="148"/>
      <c r="BT157" s="148"/>
      <c r="BU157" s="148"/>
      <c r="BV157" s="148"/>
      <c r="BW157" s="148"/>
      <c r="BX157" s="148"/>
      <c r="BY157" s="148"/>
      <c r="BZ157" s="148"/>
      <c r="CA157" s="148"/>
      <c r="CB157" s="148"/>
      <c r="CC157" s="148"/>
      <c r="CD157" s="148"/>
      <c r="CE157" s="148"/>
      <c r="CF157" s="148"/>
      <c r="CG157" s="148"/>
      <c r="CH157" s="148"/>
      <c r="CI157" s="148"/>
      <c r="CJ157" s="148"/>
      <c r="CK157" s="148"/>
      <c r="CL157" s="148"/>
      <c r="CM157" s="148"/>
      <c r="CN157" s="148"/>
      <c r="CO157" s="148"/>
      <c r="CP157" s="148"/>
      <c r="CQ157" s="148"/>
      <c r="CR157" s="148"/>
      <c r="CS157" s="148"/>
      <c r="CT157" s="148"/>
      <c r="CU157" s="148"/>
      <c r="CV157" s="148"/>
      <c r="CW157" s="148"/>
      <c r="CX157" s="148"/>
      <c r="CY157" s="148"/>
      <c r="CZ157" s="148"/>
      <c r="DA157" s="148"/>
      <c r="DB157" s="148"/>
      <c r="DC157" s="148"/>
      <c r="DD157" s="148"/>
      <c r="DE157" s="148"/>
      <c r="DF157" s="148"/>
      <c r="DG157" s="148"/>
      <c r="DH157" s="148"/>
      <c r="DI157" s="148"/>
      <c r="DJ157" s="148"/>
      <c r="DK157" s="148"/>
      <c r="DL157" s="148"/>
      <c r="DM157" s="148"/>
      <c r="DN157" s="148"/>
      <c r="DO157" s="148"/>
      <c r="DP157" s="148"/>
      <c r="DQ157" s="148"/>
      <c r="DR157" s="148"/>
      <c r="DS157" s="148"/>
      <c r="DT157" s="148"/>
      <c r="DU157" s="148"/>
      <c r="DV157" s="148"/>
      <c r="DW157" s="148"/>
      <c r="DX157" s="148"/>
      <c r="DY157" s="148"/>
      <c r="DZ157" s="148"/>
      <c r="EA157" s="148"/>
      <c r="EB157" s="148"/>
      <c r="EC157" s="148"/>
      <c r="ED157" s="148"/>
      <c r="EE157" s="148"/>
      <c r="EF157" s="148"/>
      <c r="EG157" s="148"/>
      <c r="EH157" s="148"/>
      <c r="EI157" s="148"/>
      <c r="EJ157" s="148"/>
      <c r="EK157" s="148"/>
      <c r="EL157" s="148"/>
      <c r="EM157" s="148"/>
      <c r="EN157" s="148"/>
      <c r="EO157" s="148"/>
      <c r="EP157" s="148"/>
      <c r="EQ157" s="148"/>
      <c r="ER157" s="148"/>
      <c r="ES157" s="148"/>
      <c r="ET157" s="148"/>
      <c r="EU157" s="148"/>
      <c r="EV157" s="148"/>
      <c r="EW157" s="148"/>
      <c r="EX157" s="148"/>
      <c r="EY157" s="148"/>
      <c r="EZ157" s="148"/>
      <c r="FA157" s="148"/>
      <c r="FB157" s="148"/>
      <c r="FC157" s="148"/>
      <c r="FD157" s="148"/>
      <c r="FE157" s="148"/>
      <c r="FF157" s="148"/>
      <c r="FG157" s="148"/>
      <c r="FH157" s="148"/>
      <c r="FI157" s="148"/>
      <c r="FJ157" s="148"/>
      <c r="FK157" s="148"/>
      <c r="FL157" s="148"/>
      <c r="FM157" s="148"/>
      <c r="FN157" s="148"/>
      <c r="FO157" s="148"/>
      <c r="FP157" s="148"/>
      <c r="FQ157" s="148"/>
      <c r="FR157" s="148"/>
      <c r="FS157" s="148"/>
      <c r="FT157" s="148"/>
      <c r="FU157" s="148"/>
      <c r="FV157" s="148"/>
      <c r="FW157" s="148"/>
      <c r="FX157" s="148"/>
      <c r="FY157" s="148"/>
      <c r="FZ157" s="148"/>
      <c r="GA157" s="148"/>
      <c r="GB157" s="148"/>
      <c r="GC157" s="148"/>
      <c r="GD157" s="148"/>
      <c r="GE157" s="148"/>
      <c r="GF157" s="148"/>
      <c r="GG157" s="148"/>
      <c r="GH157" s="148"/>
      <c r="GI157" s="148"/>
      <c r="GJ157" s="148"/>
      <c r="GK157" s="148"/>
      <c r="GL157" s="148"/>
      <c r="GM157" s="148"/>
      <c r="GN157" s="148"/>
      <c r="GO157" s="148"/>
      <c r="GP157" s="148"/>
      <c r="GQ157" s="148"/>
      <c r="GR157" s="148"/>
      <c r="GS157" s="148"/>
      <c r="GT157" s="148"/>
      <c r="GU157" s="148"/>
      <c r="GV157" s="148"/>
      <c r="GW157" s="148"/>
      <c r="GX157" s="148"/>
      <c r="GY157" s="148"/>
      <c r="GZ157" s="148"/>
      <c r="HA157" s="148"/>
      <c r="HB157" s="148"/>
      <c r="HC157" s="148"/>
      <c r="HD157" s="148"/>
      <c r="HE157" s="148"/>
      <c r="HF157" s="148"/>
      <c r="HG157" s="148"/>
      <c r="HH157" s="148"/>
      <c r="HI157" s="148"/>
      <c r="HJ157" s="148"/>
      <c r="HK157" s="148"/>
      <c r="HL157" s="148"/>
      <c r="HM157" s="148"/>
      <c r="HN157" s="148"/>
      <c r="HO157" s="148"/>
      <c r="HP157" s="148"/>
      <c r="HQ157" s="148"/>
      <c r="HR157" s="148"/>
      <c r="HS157" s="148"/>
      <c r="HT157" s="148"/>
      <c r="HU157" s="148"/>
      <c r="HV157" s="148"/>
      <c r="HW157" s="148"/>
      <c r="HX157" s="148"/>
      <c r="HY157" s="148"/>
      <c r="HZ157" s="148"/>
      <c r="IA157" s="148"/>
      <c r="IB157" s="148"/>
      <c r="IC157" s="148"/>
      <c r="ID157" s="148"/>
      <c r="IE157" s="148"/>
      <c r="IF157" s="148"/>
      <c r="IG157" s="148"/>
      <c r="IH157" s="148"/>
      <c r="II157" s="148"/>
      <c r="IJ157" s="148"/>
      <c r="IK157" s="148"/>
      <c r="IL157" s="148"/>
      <c r="IM157" s="148"/>
      <c r="IN157" s="148"/>
      <c r="IO157" s="148"/>
      <c r="IP157" s="148"/>
      <c r="IQ157" s="148"/>
      <c r="IR157" s="148"/>
      <c r="IS157" s="148"/>
      <c r="IT157" s="148"/>
      <c r="IU157" s="148"/>
      <c r="IV157" s="148"/>
      <c r="IW157" s="148"/>
      <c r="IX157" s="148"/>
      <c r="IY157" s="148"/>
      <c r="IZ157" s="148"/>
      <c r="JA157" s="148"/>
      <c r="JB157" s="148"/>
      <c r="JC157" s="148"/>
      <c r="JD157" s="148"/>
      <c r="JE157" s="148"/>
      <c r="JF157" s="148"/>
      <c r="JG157" s="148"/>
      <c r="JH157" s="148"/>
      <c r="JI157" s="148"/>
      <c r="JJ157" s="148"/>
      <c r="JK157" s="148"/>
      <c r="JL157" s="148"/>
      <c r="JM157" s="148"/>
      <c r="JN157" s="148"/>
      <c r="JO157" s="148"/>
      <c r="JP157" s="148"/>
      <c r="JQ157" s="148"/>
      <c r="JR157" s="148"/>
      <c r="JS157" s="148"/>
      <c r="JT157" s="148"/>
      <c r="JU157" s="148"/>
      <c r="JV157" s="148"/>
      <c r="JW157" s="148"/>
      <c r="JX157" s="148"/>
      <c r="JY157" s="148"/>
      <c r="JZ157" s="148"/>
      <c r="KA157" s="148"/>
      <c r="KB157" s="148"/>
      <c r="KC157" s="148"/>
      <c r="KD157" s="148"/>
      <c r="KE157" s="148"/>
      <c r="KF157" s="148"/>
      <c r="KG157" s="148"/>
      <c r="KH157" s="148"/>
      <c r="KI157" s="148"/>
      <c r="KJ157" s="148"/>
      <c r="KK157" s="148"/>
      <c r="KL157" s="148"/>
      <c r="KM157" s="148"/>
      <c r="KN157" s="148"/>
      <c r="KO157" s="148"/>
      <c r="KP157" s="148"/>
      <c r="KQ157" s="148"/>
      <c r="KR157" s="148"/>
      <c r="KS157" s="148"/>
      <c r="KT157" s="148"/>
      <c r="KU157" s="148"/>
      <c r="KV157" s="148"/>
      <c r="KW157" s="148"/>
      <c r="KX157" s="148"/>
      <c r="KY157" s="148"/>
      <c r="KZ157" s="148"/>
      <c r="LA157" s="148"/>
      <c r="LB157" s="148"/>
      <c r="LC157" s="148"/>
      <c r="LD157" s="148"/>
      <c r="LE157" s="148"/>
      <c r="LF157" s="148"/>
      <c r="LG157" s="148"/>
      <c r="LH157" s="148"/>
      <c r="LI157" s="148"/>
      <c r="LJ157" s="148"/>
      <c r="LK157" s="148"/>
      <c r="LL157" s="148"/>
      <c r="LM157" s="148"/>
      <c r="LN157" s="148"/>
      <c r="LO157" s="148"/>
      <c r="LP157" s="148"/>
      <c r="LQ157" s="148"/>
      <c r="LR157" s="148"/>
      <c r="LS157" s="148"/>
      <c r="LT157" s="148"/>
      <c r="LU157" s="148"/>
      <c r="LV157" s="148"/>
      <c r="LW157" s="148"/>
      <c r="LX157" s="148"/>
      <c r="LY157" s="148"/>
      <c r="LZ157" s="148"/>
      <c r="MA157" s="148"/>
      <c r="MB157" s="148"/>
      <c r="MC157" s="148"/>
      <c r="MD157" s="148"/>
      <c r="ME157" s="148"/>
      <c r="MF157" s="148"/>
      <c r="MG157" s="148"/>
      <c r="MH157" s="148"/>
      <c r="MI157" s="148"/>
      <c r="MJ157" s="148"/>
      <c r="MK157" s="148"/>
      <c r="ML157" s="148"/>
      <c r="MM157" s="148"/>
      <c r="MN157" s="148"/>
      <c r="MO157" s="148"/>
      <c r="MP157" s="148"/>
      <c r="MQ157" s="148"/>
      <c r="MR157" s="148"/>
      <c r="MS157" s="148"/>
      <c r="MT157" s="148"/>
      <c r="MU157" s="148"/>
      <c r="MV157" s="148"/>
      <c r="MW157" s="148"/>
      <c r="MX157" s="148"/>
      <c r="MY157" s="148"/>
      <c r="MZ157" s="148"/>
      <c r="NA157" s="148"/>
      <c r="NB157" s="148"/>
      <c r="NC157" s="148"/>
      <c r="ND157" s="148"/>
      <c r="NE157" s="148"/>
      <c r="NF157" s="148"/>
      <c r="NG157" s="148"/>
      <c r="NH157" s="148"/>
      <c r="NI157" s="148"/>
      <c r="NJ157" s="148"/>
      <c r="NK157" s="148"/>
      <c r="NL157" s="148"/>
      <c r="NM157" s="148"/>
      <c r="NN157" s="148"/>
      <c r="NO157" s="148"/>
      <c r="NP157" s="148"/>
      <c r="NQ157" s="148"/>
      <c r="NR157" s="148"/>
      <c r="NS157" s="148"/>
      <c r="NT157" s="148"/>
      <c r="NU157" s="148"/>
      <c r="NV157" s="148"/>
      <c r="NW157" s="148"/>
      <c r="NX157" s="148"/>
      <c r="NY157" s="148"/>
      <c r="NZ157" s="148"/>
      <c r="OA157" s="148"/>
      <c r="OB157" s="148"/>
      <c r="OC157" s="148"/>
      <c r="OD157" s="148"/>
      <c r="OE157" s="148"/>
      <c r="OF157" s="148"/>
      <c r="OG157" s="148"/>
      <c r="OH157" s="148"/>
      <c r="OI157" s="148"/>
      <c r="OJ157" s="148"/>
      <c r="OK157" s="148"/>
      <c r="OL157" s="148"/>
      <c r="OM157" s="148"/>
      <c r="ON157" s="148"/>
      <c r="OO157" s="148"/>
      <c r="OP157" s="148"/>
      <c r="OQ157" s="148"/>
      <c r="OR157" s="148"/>
      <c r="OS157" s="148"/>
      <c r="OT157" s="148"/>
      <c r="OU157" s="148"/>
      <c r="OV157" s="148"/>
      <c r="OW157" s="148"/>
      <c r="OX157" s="148"/>
      <c r="OY157" s="148"/>
      <c r="OZ157" s="148"/>
      <c r="PA157" s="148"/>
      <c r="PB157" s="148"/>
      <c r="PC157" s="148"/>
      <c r="PD157" s="148"/>
      <c r="PE157" s="148"/>
      <c r="PF157" s="148"/>
      <c r="PG157" s="148"/>
      <c r="PH157" s="148"/>
      <c r="PI157" s="148"/>
      <c r="PJ157" s="148"/>
      <c r="PK157" s="148"/>
      <c r="PL157" s="148"/>
      <c r="PM157" s="148"/>
      <c r="PN157" s="148"/>
      <c r="PO157" s="148"/>
      <c r="PP157" s="148"/>
      <c r="PQ157" s="148"/>
      <c r="PR157" s="148"/>
      <c r="PS157" s="148"/>
      <c r="PT157" s="148"/>
      <c r="PU157" s="148"/>
      <c r="PV157" s="148"/>
      <c r="PW157" s="148"/>
      <c r="PX157" s="148"/>
      <c r="PY157" s="148"/>
      <c r="PZ157" s="148"/>
      <c r="QA157" s="148"/>
      <c r="QB157" s="148"/>
      <c r="QC157" s="148"/>
      <c r="QD157" s="148"/>
      <c r="QE157" s="148"/>
      <c r="QF157" s="148"/>
      <c r="QG157" s="148"/>
      <c r="QH157" s="148"/>
      <c r="QI157" s="148"/>
      <c r="QJ157" s="148"/>
      <c r="QK157" s="148"/>
      <c r="QL157" s="148"/>
      <c r="QM157" s="148"/>
      <c r="QN157" s="148"/>
      <c r="QO157" s="148"/>
      <c r="QP157" s="148"/>
      <c r="QQ157" s="148"/>
      <c r="QR157" s="148"/>
      <c r="QS157" s="148"/>
      <c r="QT157" s="148"/>
      <c r="QU157" s="148"/>
      <c r="QV157" s="148"/>
      <c r="QW157" s="148"/>
      <c r="QX157" s="148"/>
      <c r="QY157" s="148"/>
      <c r="QZ157" s="148"/>
      <c r="RA157" s="148"/>
      <c r="RB157" s="148"/>
      <c r="RC157" s="148"/>
      <c r="RD157" s="148"/>
      <c r="RE157" s="148"/>
      <c r="RF157" s="148"/>
      <c r="RG157" s="148"/>
      <c r="RH157" s="148"/>
      <c r="RI157" s="148"/>
      <c r="RJ157" s="148"/>
      <c r="RK157" s="148"/>
      <c r="RL157" s="148"/>
      <c r="RM157" s="148"/>
      <c r="RN157" s="148"/>
      <c r="RO157" s="148"/>
      <c r="RP157" s="148"/>
      <c r="RQ157" s="148"/>
      <c r="RR157" s="148"/>
    </row>
    <row r="158" spans="1:486" s="15" customFormat="1" hidden="1" x14ac:dyDescent="0.25">
      <c r="A158" s="148"/>
      <c r="B158" s="350">
        <v>148</v>
      </c>
      <c r="C158" s="650"/>
      <c r="D158" s="16"/>
      <c r="E158" s="344"/>
      <c r="F158" s="344"/>
      <c r="G158" s="17"/>
      <c r="H158" s="317"/>
      <c r="I158" s="346"/>
      <c r="J158" s="341"/>
      <c r="K158" s="633"/>
      <c r="L158" s="633"/>
      <c r="M158" s="633"/>
      <c r="N158" s="633"/>
      <c r="O158" s="633"/>
      <c r="P158" s="633"/>
      <c r="Q158" s="633"/>
      <c r="R158" s="633"/>
      <c r="S158" s="633"/>
      <c r="T158" s="633"/>
      <c r="U158" s="633"/>
      <c r="V158" s="633"/>
      <c r="W158" s="633"/>
      <c r="X158" s="633"/>
      <c r="Y158" s="633">
        <f t="shared" si="6"/>
        <v>0</v>
      </c>
      <c r="Z158" s="637"/>
      <c r="AA158" s="19"/>
      <c r="AB158" s="315"/>
      <c r="AC158" s="315"/>
      <c r="AD158" s="652"/>
      <c r="AE158" s="20"/>
      <c r="AF158" s="21"/>
      <c r="AG158" s="23"/>
      <c r="AH158" s="637"/>
      <c r="AI158" s="19"/>
      <c r="AJ158" s="21"/>
      <c r="AK158" s="25"/>
      <c r="AL158" s="309"/>
      <c r="AM158" s="19"/>
      <c r="AN158" s="21"/>
      <c r="AO158" s="25"/>
      <c r="AP158" s="309"/>
      <c r="AQ158" s="19"/>
      <c r="AR158" s="21"/>
      <c r="AS158" s="25"/>
      <c r="AT158" s="638">
        <f t="shared" si="7"/>
        <v>0</v>
      </c>
      <c r="AU158" s="311">
        <f t="shared" si="5"/>
        <v>0</v>
      </c>
      <c r="AV158" s="148"/>
      <c r="AW158" s="148"/>
      <c r="AX158" s="148"/>
      <c r="AY158" s="148"/>
      <c r="AZ158" s="148"/>
      <c r="BA158" s="148"/>
      <c r="BB158" s="148"/>
      <c r="BC158" s="148"/>
      <c r="BD158" s="148"/>
      <c r="BE158" s="148"/>
      <c r="BF158" s="148"/>
      <c r="BG158" s="148"/>
      <c r="BH158" s="148"/>
      <c r="BI158" s="148"/>
      <c r="BJ158" s="148"/>
      <c r="BK158" s="148"/>
      <c r="BL158" s="148"/>
      <c r="BM158" s="148"/>
      <c r="BN158" s="148"/>
      <c r="BO158" s="148"/>
      <c r="BP158" s="148"/>
      <c r="BQ158" s="148"/>
      <c r="BR158" s="148"/>
      <c r="BS158" s="148"/>
      <c r="BT158" s="148"/>
      <c r="BU158" s="148"/>
      <c r="BV158" s="148"/>
      <c r="BW158" s="148"/>
      <c r="BX158" s="148"/>
      <c r="BY158" s="148"/>
      <c r="BZ158" s="148"/>
      <c r="CA158" s="148"/>
      <c r="CB158" s="148"/>
      <c r="CC158" s="148"/>
      <c r="CD158" s="148"/>
      <c r="CE158" s="148"/>
      <c r="CF158" s="148"/>
      <c r="CG158" s="148"/>
      <c r="CH158" s="148"/>
      <c r="CI158" s="148"/>
      <c r="CJ158" s="148"/>
      <c r="CK158" s="148"/>
      <c r="CL158" s="148"/>
      <c r="CM158" s="148"/>
      <c r="CN158" s="148"/>
      <c r="CO158" s="148"/>
      <c r="CP158" s="148"/>
      <c r="CQ158" s="148"/>
      <c r="CR158" s="148"/>
      <c r="CS158" s="148"/>
      <c r="CT158" s="148"/>
      <c r="CU158" s="148"/>
      <c r="CV158" s="148"/>
      <c r="CW158" s="148"/>
      <c r="CX158" s="148"/>
      <c r="CY158" s="148"/>
      <c r="CZ158" s="148"/>
      <c r="DA158" s="148"/>
      <c r="DB158" s="148"/>
      <c r="DC158" s="148"/>
      <c r="DD158" s="148"/>
      <c r="DE158" s="148"/>
      <c r="DF158" s="148"/>
      <c r="DG158" s="148"/>
      <c r="DH158" s="148"/>
      <c r="DI158" s="148"/>
      <c r="DJ158" s="148"/>
      <c r="DK158" s="148"/>
      <c r="DL158" s="148"/>
      <c r="DM158" s="148"/>
      <c r="DN158" s="148"/>
      <c r="DO158" s="148"/>
      <c r="DP158" s="148"/>
      <c r="DQ158" s="148"/>
      <c r="DR158" s="148"/>
      <c r="DS158" s="148"/>
      <c r="DT158" s="148"/>
      <c r="DU158" s="148"/>
      <c r="DV158" s="148"/>
      <c r="DW158" s="148"/>
      <c r="DX158" s="148"/>
      <c r="DY158" s="148"/>
      <c r="DZ158" s="148"/>
      <c r="EA158" s="148"/>
      <c r="EB158" s="148"/>
      <c r="EC158" s="148"/>
      <c r="ED158" s="148"/>
      <c r="EE158" s="148"/>
      <c r="EF158" s="148"/>
      <c r="EG158" s="148"/>
      <c r="EH158" s="148"/>
      <c r="EI158" s="148"/>
      <c r="EJ158" s="148"/>
      <c r="EK158" s="148"/>
      <c r="EL158" s="148"/>
      <c r="EM158" s="148"/>
      <c r="EN158" s="148"/>
      <c r="EO158" s="148"/>
      <c r="EP158" s="148"/>
      <c r="EQ158" s="148"/>
      <c r="ER158" s="148"/>
      <c r="ES158" s="148"/>
      <c r="ET158" s="148"/>
      <c r="EU158" s="148"/>
      <c r="EV158" s="148"/>
      <c r="EW158" s="148"/>
      <c r="EX158" s="148"/>
      <c r="EY158" s="148"/>
      <c r="EZ158" s="148"/>
      <c r="FA158" s="148"/>
      <c r="FB158" s="148"/>
      <c r="FC158" s="148"/>
      <c r="FD158" s="148"/>
      <c r="FE158" s="148"/>
      <c r="FF158" s="148"/>
      <c r="FG158" s="148"/>
      <c r="FH158" s="148"/>
      <c r="FI158" s="148"/>
      <c r="FJ158" s="148"/>
      <c r="FK158" s="148"/>
      <c r="FL158" s="148"/>
      <c r="FM158" s="148"/>
      <c r="FN158" s="148"/>
      <c r="FO158" s="148"/>
      <c r="FP158" s="148"/>
      <c r="FQ158" s="148"/>
      <c r="FR158" s="148"/>
      <c r="FS158" s="148"/>
      <c r="FT158" s="148"/>
      <c r="FU158" s="148"/>
      <c r="FV158" s="148"/>
      <c r="FW158" s="148"/>
      <c r="FX158" s="148"/>
      <c r="FY158" s="148"/>
      <c r="FZ158" s="148"/>
      <c r="GA158" s="148"/>
      <c r="GB158" s="148"/>
      <c r="GC158" s="148"/>
      <c r="GD158" s="148"/>
      <c r="GE158" s="148"/>
      <c r="GF158" s="148"/>
      <c r="GG158" s="148"/>
      <c r="GH158" s="148"/>
      <c r="GI158" s="148"/>
      <c r="GJ158" s="148"/>
      <c r="GK158" s="148"/>
      <c r="GL158" s="148"/>
      <c r="GM158" s="148"/>
      <c r="GN158" s="148"/>
      <c r="GO158" s="148"/>
      <c r="GP158" s="148"/>
      <c r="GQ158" s="148"/>
      <c r="GR158" s="148"/>
      <c r="GS158" s="148"/>
      <c r="GT158" s="148"/>
      <c r="GU158" s="148"/>
      <c r="GV158" s="148"/>
      <c r="GW158" s="148"/>
      <c r="GX158" s="148"/>
      <c r="GY158" s="148"/>
      <c r="GZ158" s="148"/>
      <c r="HA158" s="148"/>
      <c r="HB158" s="148"/>
      <c r="HC158" s="148"/>
      <c r="HD158" s="148"/>
      <c r="HE158" s="148"/>
      <c r="HF158" s="148"/>
      <c r="HG158" s="148"/>
      <c r="HH158" s="148"/>
      <c r="HI158" s="148"/>
      <c r="HJ158" s="148"/>
      <c r="HK158" s="148"/>
      <c r="HL158" s="148"/>
      <c r="HM158" s="148"/>
      <c r="HN158" s="148"/>
      <c r="HO158" s="148"/>
      <c r="HP158" s="148"/>
      <c r="HQ158" s="148"/>
      <c r="HR158" s="148"/>
      <c r="HS158" s="148"/>
      <c r="HT158" s="148"/>
      <c r="HU158" s="148"/>
      <c r="HV158" s="148"/>
      <c r="HW158" s="148"/>
      <c r="HX158" s="148"/>
      <c r="HY158" s="148"/>
      <c r="HZ158" s="148"/>
      <c r="IA158" s="148"/>
      <c r="IB158" s="148"/>
      <c r="IC158" s="148"/>
      <c r="ID158" s="148"/>
      <c r="IE158" s="148"/>
      <c r="IF158" s="148"/>
      <c r="IG158" s="148"/>
      <c r="IH158" s="148"/>
      <c r="II158" s="148"/>
      <c r="IJ158" s="148"/>
      <c r="IK158" s="148"/>
      <c r="IL158" s="148"/>
      <c r="IM158" s="148"/>
      <c r="IN158" s="148"/>
      <c r="IO158" s="148"/>
      <c r="IP158" s="148"/>
      <c r="IQ158" s="148"/>
      <c r="IR158" s="148"/>
      <c r="IS158" s="148"/>
      <c r="IT158" s="148"/>
      <c r="IU158" s="148"/>
      <c r="IV158" s="148"/>
      <c r="IW158" s="148"/>
      <c r="IX158" s="148"/>
      <c r="IY158" s="148"/>
      <c r="IZ158" s="148"/>
      <c r="JA158" s="148"/>
      <c r="JB158" s="148"/>
      <c r="JC158" s="148"/>
      <c r="JD158" s="148"/>
      <c r="JE158" s="148"/>
      <c r="JF158" s="148"/>
      <c r="JG158" s="148"/>
      <c r="JH158" s="148"/>
      <c r="JI158" s="148"/>
      <c r="JJ158" s="148"/>
      <c r="JK158" s="148"/>
      <c r="JL158" s="148"/>
      <c r="JM158" s="148"/>
      <c r="JN158" s="148"/>
      <c r="JO158" s="148"/>
      <c r="JP158" s="148"/>
      <c r="JQ158" s="148"/>
      <c r="JR158" s="148"/>
      <c r="JS158" s="148"/>
      <c r="JT158" s="148"/>
      <c r="JU158" s="148"/>
      <c r="JV158" s="148"/>
      <c r="JW158" s="148"/>
      <c r="JX158" s="148"/>
      <c r="JY158" s="148"/>
      <c r="JZ158" s="148"/>
      <c r="KA158" s="148"/>
      <c r="KB158" s="148"/>
      <c r="KC158" s="148"/>
      <c r="KD158" s="148"/>
      <c r="KE158" s="148"/>
      <c r="KF158" s="148"/>
      <c r="KG158" s="148"/>
      <c r="KH158" s="148"/>
      <c r="KI158" s="148"/>
      <c r="KJ158" s="148"/>
      <c r="KK158" s="148"/>
      <c r="KL158" s="148"/>
      <c r="KM158" s="148"/>
      <c r="KN158" s="148"/>
      <c r="KO158" s="148"/>
      <c r="KP158" s="148"/>
      <c r="KQ158" s="148"/>
      <c r="KR158" s="148"/>
      <c r="KS158" s="148"/>
      <c r="KT158" s="148"/>
      <c r="KU158" s="148"/>
      <c r="KV158" s="148"/>
      <c r="KW158" s="148"/>
      <c r="KX158" s="148"/>
      <c r="KY158" s="148"/>
      <c r="KZ158" s="148"/>
      <c r="LA158" s="148"/>
      <c r="LB158" s="148"/>
      <c r="LC158" s="148"/>
      <c r="LD158" s="148"/>
      <c r="LE158" s="148"/>
      <c r="LF158" s="148"/>
      <c r="LG158" s="148"/>
      <c r="LH158" s="148"/>
      <c r="LI158" s="148"/>
      <c r="LJ158" s="148"/>
      <c r="LK158" s="148"/>
      <c r="LL158" s="148"/>
      <c r="LM158" s="148"/>
      <c r="LN158" s="148"/>
      <c r="LO158" s="148"/>
      <c r="LP158" s="148"/>
      <c r="LQ158" s="148"/>
      <c r="LR158" s="148"/>
      <c r="LS158" s="148"/>
      <c r="LT158" s="148"/>
      <c r="LU158" s="148"/>
      <c r="LV158" s="148"/>
      <c r="LW158" s="148"/>
      <c r="LX158" s="148"/>
      <c r="LY158" s="148"/>
      <c r="LZ158" s="148"/>
      <c r="MA158" s="148"/>
      <c r="MB158" s="148"/>
      <c r="MC158" s="148"/>
      <c r="MD158" s="148"/>
      <c r="ME158" s="148"/>
      <c r="MF158" s="148"/>
      <c r="MG158" s="148"/>
      <c r="MH158" s="148"/>
      <c r="MI158" s="148"/>
      <c r="MJ158" s="148"/>
      <c r="MK158" s="148"/>
      <c r="ML158" s="148"/>
      <c r="MM158" s="148"/>
      <c r="MN158" s="148"/>
      <c r="MO158" s="148"/>
      <c r="MP158" s="148"/>
      <c r="MQ158" s="148"/>
      <c r="MR158" s="148"/>
      <c r="MS158" s="148"/>
      <c r="MT158" s="148"/>
      <c r="MU158" s="148"/>
      <c r="MV158" s="148"/>
      <c r="MW158" s="148"/>
      <c r="MX158" s="148"/>
      <c r="MY158" s="148"/>
      <c r="MZ158" s="148"/>
      <c r="NA158" s="148"/>
      <c r="NB158" s="148"/>
      <c r="NC158" s="148"/>
      <c r="ND158" s="148"/>
      <c r="NE158" s="148"/>
      <c r="NF158" s="148"/>
      <c r="NG158" s="148"/>
      <c r="NH158" s="148"/>
      <c r="NI158" s="148"/>
      <c r="NJ158" s="148"/>
      <c r="NK158" s="148"/>
      <c r="NL158" s="148"/>
      <c r="NM158" s="148"/>
      <c r="NN158" s="148"/>
      <c r="NO158" s="148"/>
      <c r="NP158" s="148"/>
      <c r="NQ158" s="148"/>
      <c r="NR158" s="148"/>
      <c r="NS158" s="148"/>
      <c r="NT158" s="148"/>
      <c r="NU158" s="148"/>
      <c r="NV158" s="148"/>
      <c r="NW158" s="148"/>
      <c r="NX158" s="148"/>
      <c r="NY158" s="148"/>
      <c r="NZ158" s="148"/>
      <c r="OA158" s="148"/>
      <c r="OB158" s="148"/>
      <c r="OC158" s="148"/>
      <c r="OD158" s="148"/>
      <c r="OE158" s="148"/>
      <c r="OF158" s="148"/>
      <c r="OG158" s="148"/>
      <c r="OH158" s="148"/>
      <c r="OI158" s="148"/>
      <c r="OJ158" s="148"/>
      <c r="OK158" s="148"/>
      <c r="OL158" s="148"/>
      <c r="OM158" s="148"/>
      <c r="ON158" s="148"/>
      <c r="OO158" s="148"/>
      <c r="OP158" s="148"/>
      <c r="OQ158" s="148"/>
      <c r="OR158" s="148"/>
      <c r="OS158" s="148"/>
      <c r="OT158" s="148"/>
      <c r="OU158" s="148"/>
      <c r="OV158" s="148"/>
      <c r="OW158" s="148"/>
      <c r="OX158" s="148"/>
      <c r="OY158" s="148"/>
      <c r="OZ158" s="148"/>
      <c r="PA158" s="148"/>
      <c r="PB158" s="148"/>
      <c r="PC158" s="148"/>
      <c r="PD158" s="148"/>
      <c r="PE158" s="148"/>
      <c r="PF158" s="148"/>
      <c r="PG158" s="148"/>
      <c r="PH158" s="148"/>
      <c r="PI158" s="148"/>
      <c r="PJ158" s="148"/>
      <c r="PK158" s="148"/>
      <c r="PL158" s="148"/>
      <c r="PM158" s="148"/>
      <c r="PN158" s="148"/>
      <c r="PO158" s="148"/>
      <c r="PP158" s="148"/>
      <c r="PQ158" s="148"/>
      <c r="PR158" s="148"/>
      <c r="PS158" s="148"/>
      <c r="PT158" s="148"/>
      <c r="PU158" s="148"/>
      <c r="PV158" s="148"/>
      <c r="PW158" s="148"/>
      <c r="PX158" s="148"/>
      <c r="PY158" s="148"/>
      <c r="PZ158" s="148"/>
      <c r="QA158" s="148"/>
      <c r="QB158" s="148"/>
      <c r="QC158" s="148"/>
      <c r="QD158" s="148"/>
      <c r="QE158" s="148"/>
      <c r="QF158" s="148"/>
      <c r="QG158" s="148"/>
      <c r="QH158" s="148"/>
      <c r="QI158" s="148"/>
      <c r="QJ158" s="148"/>
      <c r="QK158" s="148"/>
      <c r="QL158" s="148"/>
      <c r="QM158" s="148"/>
      <c r="QN158" s="148"/>
      <c r="QO158" s="148"/>
      <c r="QP158" s="148"/>
      <c r="QQ158" s="148"/>
      <c r="QR158" s="148"/>
      <c r="QS158" s="148"/>
      <c r="QT158" s="148"/>
      <c r="QU158" s="148"/>
      <c r="QV158" s="148"/>
      <c r="QW158" s="148"/>
      <c r="QX158" s="148"/>
      <c r="QY158" s="148"/>
      <c r="QZ158" s="148"/>
      <c r="RA158" s="148"/>
      <c r="RB158" s="148"/>
      <c r="RC158" s="148"/>
      <c r="RD158" s="148"/>
      <c r="RE158" s="148"/>
      <c r="RF158" s="148"/>
      <c r="RG158" s="148"/>
      <c r="RH158" s="148"/>
      <c r="RI158" s="148"/>
      <c r="RJ158" s="148"/>
      <c r="RK158" s="148"/>
      <c r="RL158" s="148"/>
      <c r="RM158" s="148"/>
      <c r="RN158" s="148"/>
      <c r="RO158" s="148"/>
      <c r="RP158" s="148"/>
      <c r="RQ158" s="148"/>
      <c r="RR158" s="148"/>
    </row>
    <row r="159" spans="1:486" s="15" customFormat="1" hidden="1" x14ac:dyDescent="0.25">
      <c r="A159" s="148"/>
      <c r="B159" s="350">
        <v>149</v>
      </c>
      <c r="C159" s="650"/>
      <c r="D159" s="16"/>
      <c r="E159" s="344"/>
      <c r="F159" s="344"/>
      <c r="G159" s="17"/>
      <c r="H159" s="317"/>
      <c r="I159" s="346"/>
      <c r="J159" s="341"/>
      <c r="K159" s="633"/>
      <c r="L159" s="633"/>
      <c r="M159" s="633"/>
      <c r="N159" s="633"/>
      <c r="O159" s="633"/>
      <c r="P159" s="633"/>
      <c r="Q159" s="633"/>
      <c r="R159" s="633"/>
      <c r="S159" s="633"/>
      <c r="T159" s="633"/>
      <c r="U159" s="633"/>
      <c r="V159" s="633"/>
      <c r="W159" s="633"/>
      <c r="X159" s="633"/>
      <c r="Y159" s="633">
        <f t="shared" si="6"/>
        <v>0</v>
      </c>
      <c r="Z159" s="637"/>
      <c r="AA159" s="19"/>
      <c r="AB159" s="315"/>
      <c r="AC159" s="315"/>
      <c r="AD159" s="652"/>
      <c r="AE159" s="20"/>
      <c r="AF159" s="21"/>
      <c r="AG159" s="23"/>
      <c r="AH159" s="637"/>
      <c r="AI159" s="19"/>
      <c r="AJ159" s="21"/>
      <c r="AK159" s="25"/>
      <c r="AL159" s="309"/>
      <c r="AM159" s="19"/>
      <c r="AN159" s="21"/>
      <c r="AO159" s="25"/>
      <c r="AP159" s="309"/>
      <c r="AQ159" s="19"/>
      <c r="AR159" s="21"/>
      <c r="AS159" s="25"/>
      <c r="AT159" s="638">
        <f t="shared" si="7"/>
        <v>0</v>
      </c>
      <c r="AU159" s="311">
        <f t="shared" si="5"/>
        <v>0</v>
      </c>
      <c r="AV159" s="148"/>
      <c r="AW159" s="148"/>
      <c r="AX159" s="148"/>
      <c r="AY159" s="148"/>
      <c r="AZ159" s="148"/>
      <c r="BA159" s="148"/>
      <c r="BB159" s="148"/>
      <c r="BC159" s="148"/>
      <c r="BD159" s="148"/>
      <c r="BE159" s="148"/>
      <c r="BF159" s="148"/>
      <c r="BG159" s="148"/>
      <c r="BH159" s="148"/>
      <c r="BI159" s="148"/>
      <c r="BJ159" s="148"/>
      <c r="BK159" s="148"/>
      <c r="BL159" s="148"/>
      <c r="BM159" s="148"/>
      <c r="BN159" s="148"/>
      <c r="BO159" s="148"/>
      <c r="BP159" s="148"/>
      <c r="BQ159" s="148"/>
      <c r="BR159" s="148"/>
      <c r="BS159" s="148"/>
      <c r="BT159" s="148"/>
      <c r="BU159" s="148"/>
      <c r="BV159" s="148"/>
      <c r="BW159" s="148"/>
      <c r="BX159" s="148"/>
      <c r="BY159" s="148"/>
      <c r="BZ159" s="148"/>
      <c r="CA159" s="148"/>
      <c r="CB159" s="148"/>
      <c r="CC159" s="148"/>
      <c r="CD159" s="148"/>
      <c r="CE159" s="148"/>
      <c r="CF159" s="148"/>
      <c r="CG159" s="148"/>
      <c r="CH159" s="148"/>
      <c r="CI159" s="148"/>
      <c r="CJ159" s="148"/>
      <c r="CK159" s="148"/>
      <c r="CL159" s="148"/>
      <c r="CM159" s="148"/>
      <c r="CN159" s="148"/>
      <c r="CO159" s="148"/>
      <c r="CP159" s="148"/>
      <c r="CQ159" s="148"/>
      <c r="CR159" s="148"/>
      <c r="CS159" s="148"/>
      <c r="CT159" s="148"/>
      <c r="CU159" s="148"/>
      <c r="CV159" s="148"/>
      <c r="CW159" s="148"/>
      <c r="CX159" s="148"/>
      <c r="CY159" s="148"/>
      <c r="CZ159" s="148"/>
      <c r="DA159" s="148"/>
      <c r="DB159" s="148"/>
      <c r="DC159" s="148"/>
      <c r="DD159" s="148"/>
      <c r="DE159" s="148"/>
      <c r="DF159" s="148"/>
      <c r="DG159" s="148"/>
      <c r="DH159" s="148"/>
      <c r="DI159" s="148"/>
      <c r="DJ159" s="148"/>
      <c r="DK159" s="148"/>
      <c r="DL159" s="148"/>
      <c r="DM159" s="148"/>
      <c r="DN159" s="148"/>
      <c r="DO159" s="148"/>
      <c r="DP159" s="148"/>
      <c r="DQ159" s="148"/>
      <c r="DR159" s="148"/>
      <c r="DS159" s="148"/>
      <c r="DT159" s="148"/>
      <c r="DU159" s="148"/>
      <c r="DV159" s="148"/>
      <c r="DW159" s="148"/>
      <c r="DX159" s="148"/>
      <c r="DY159" s="148"/>
      <c r="DZ159" s="148"/>
      <c r="EA159" s="148"/>
      <c r="EB159" s="148"/>
      <c r="EC159" s="148"/>
      <c r="ED159" s="148"/>
      <c r="EE159" s="148"/>
      <c r="EF159" s="148"/>
      <c r="EG159" s="148"/>
      <c r="EH159" s="148"/>
      <c r="EI159" s="148"/>
      <c r="EJ159" s="148"/>
      <c r="EK159" s="148"/>
      <c r="EL159" s="148"/>
      <c r="EM159" s="148"/>
      <c r="EN159" s="148"/>
      <c r="EO159" s="148"/>
      <c r="EP159" s="148"/>
      <c r="EQ159" s="148"/>
      <c r="ER159" s="148"/>
      <c r="ES159" s="148"/>
      <c r="ET159" s="148"/>
      <c r="EU159" s="148"/>
      <c r="EV159" s="148"/>
      <c r="EW159" s="148"/>
      <c r="EX159" s="148"/>
      <c r="EY159" s="148"/>
      <c r="EZ159" s="148"/>
      <c r="FA159" s="148"/>
      <c r="FB159" s="148"/>
      <c r="FC159" s="148"/>
      <c r="FD159" s="148"/>
      <c r="FE159" s="148"/>
      <c r="FF159" s="148"/>
      <c r="FG159" s="148"/>
      <c r="FH159" s="148"/>
      <c r="FI159" s="148"/>
      <c r="FJ159" s="148"/>
      <c r="FK159" s="148"/>
      <c r="FL159" s="148"/>
      <c r="FM159" s="148"/>
      <c r="FN159" s="148"/>
      <c r="FO159" s="148"/>
      <c r="FP159" s="148"/>
      <c r="FQ159" s="148"/>
      <c r="FR159" s="148"/>
      <c r="FS159" s="148"/>
      <c r="FT159" s="148"/>
      <c r="FU159" s="148"/>
      <c r="FV159" s="148"/>
      <c r="FW159" s="148"/>
      <c r="FX159" s="148"/>
      <c r="FY159" s="148"/>
      <c r="FZ159" s="148"/>
      <c r="GA159" s="148"/>
      <c r="GB159" s="148"/>
      <c r="GC159" s="148"/>
      <c r="GD159" s="148"/>
      <c r="GE159" s="148"/>
      <c r="GF159" s="148"/>
      <c r="GG159" s="148"/>
      <c r="GH159" s="148"/>
      <c r="GI159" s="148"/>
      <c r="GJ159" s="148"/>
      <c r="GK159" s="148"/>
      <c r="GL159" s="148"/>
      <c r="GM159" s="148"/>
      <c r="GN159" s="148"/>
      <c r="GO159" s="148"/>
      <c r="GP159" s="148"/>
      <c r="GQ159" s="148"/>
      <c r="GR159" s="148"/>
      <c r="GS159" s="148"/>
      <c r="GT159" s="148"/>
      <c r="GU159" s="148"/>
      <c r="GV159" s="148"/>
      <c r="GW159" s="148"/>
      <c r="GX159" s="148"/>
      <c r="GY159" s="148"/>
      <c r="GZ159" s="148"/>
      <c r="HA159" s="148"/>
      <c r="HB159" s="148"/>
      <c r="HC159" s="148"/>
      <c r="HD159" s="148"/>
      <c r="HE159" s="148"/>
      <c r="HF159" s="148"/>
      <c r="HG159" s="148"/>
      <c r="HH159" s="148"/>
      <c r="HI159" s="148"/>
      <c r="HJ159" s="148"/>
      <c r="HK159" s="148"/>
      <c r="HL159" s="148"/>
      <c r="HM159" s="148"/>
      <c r="HN159" s="148"/>
      <c r="HO159" s="148"/>
      <c r="HP159" s="148"/>
      <c r="HQ159" s="148"/>
      <c r="HR159" s="148"/>
      <c r="HS159" s="148"/>
      <c r="HT159" s="148"/>
      <c r="HU159" s="148"/>
      <c r="HV159" s="148"/>
      <c r="HW159" s="148"/>
      <c r="HX159" s="148"/>
      <c r="HY159" s="148"/>
      <c r="HZ159" s="148"/>
      <c r="IA159" s="148"/>
      <c r="IB159" s="148"/>
      <c r="IC159" s="148"/>
      <c r="ID159" s="148"/>
      <c r="IE159" s="148"/>
      <c r="IF159" s="148"/>
      <c r="IG159" s="148"/>
      <c r="IH159" s="148"/>
      <c r="II159" s="148"/>
      <c r="IJ159" s="148"/>
      <c r="IK159" s="148"/>
      <c r="IL159" s="148"/>
      <c r="IM159" s="148"/>
      <c r="IN159" s="148"/>
      <c r="IO159" s="148"/>
      <c r="IP159" s="148"/>
      <c r="IQ159" s="148"/>
      <c r="IR159" s="148"/>
      <c r="IS159" s="148"/>
      <c r="IT159" s="148"/>
      <c r="IU159" s="148"/>
      <c r="IV159" s="148"/>
      <c r="IW159" s="148"/>
      <c r="IX159" s="148"/>
      <c r="IY159" s="148"/>
      <c r="IZ159" s="148"/>
      <c r="JA159" s="148"/>
      <c r="JB159" s="148"/>
      <c r="JC159" s="148"/>
      <c r="JD159" s="148"/>
      <c r="JE159" s="148"/>
      <c r="JF159" s="148"/>
      <c r="JG159" s="148"/>
      <c r="JH159" s="148"/>
      <c r="JI159" s="148"/>
      <c r="JJ159" s="148"/>
      <c r="JK159" s="148"/>
      <c r="JL159" s="148"/>
      <c r="JM159" s="148"/>
      <c r="JN159" s="148"/>
      <c r="JO159" s="148"/>
      <c r="JP159" s="148"/>
      <c r="JQ159" s="148"/>
      <c r="JR159" s="148"/>
      <c r="JS159" s="148"/>
      <c r="JT159" s="148"/>
      <c r="JU159" s="148"/>
      <c r="JV159" s="148"/>
      <c r="JW159" s="148"/>
      <c r="JX159" s="148"/>
      <c r="JY159" s="148"/>
      <c r="JZ159" s="148"/>
      <c r="KA159" s="148"/>
      <c r="KB159" s="148"/>
      <c r="KC159" s="148"/>
      <c r="KD159" s="148"/>
      <c r="KE159" s="148"/>
      <c r="KF159" s="148"/>
      <c r="KG159" s="148"/>
      <c r="KH159" s="148"/>
      <c r="KI159" s="148"/>
      <c r="KJ159" s="148"/>
      <c r="KK159" s="148"/>
      <c r="KL159" s="148"/>
      <c r="KM159" s="148"/>
      <c r="KN159" s="148"/>
      <c r="KO159" s="148"/>
      <c r="KP159" s="148"/>
      <c r="KQ159" s="148"/>
      <c r="KR159" s="148"/>
      <c r="KS159" s="148"/>
      <c r="KT159" s="148"/>
      <c r="KU159" s="148"/>
      <c r="KV159" s="148"/>
      <c r="KW159" s="148"/>
      <c r="KX159" s="148"/>
      <c r="KY159" s="148"/>
      <c r="KZ159" s="148"/>
      <c r="LA159" s="148"/>
      <c r="LB159" s="148"/>
      <c r="LC159" s="148"/>
      <c r="LD159" s="148"/>
      <c r="LE159" s="148"/>
      <c r="LF159" s="148"/>
      <c r="LG159" s="148"/>
      <c r="LH159" s="148"/>
      <c r="LI159" s="148"/>
      <c r="LJ159" s="148"/>
      <c r="LK159" s="148"/>
      <c r="LL159" s="148"/>
      <c r="LM159" s="148"/>
      <c r="LN159" s="148"/>
      <c r="LO159" s="148"/>
      <c r="LP159" s="148"/>
      <c r="LQ159" s="148"/>
      <c r="LR159" s="148"/>
      <c r="LS159" s="148"/>
      <c r="LT159" s="148"/>
      <c r="LU159" s="148"/>
      <c r="LV159" s="148"/>
      <c r="LW159" s="148"/>
      <c r="LX159" s="148"/>
      <c r="LY159" s="148"/>
      <c r="LZ159" s="148"/>
      <c r="MA159" s="148"/>
      <c r="MB159" s="148"/>
      <c r="MC159" s="148"/>
      <c r="MD159" s="148"/>
      <c r="ME159" s="148"/>
      <c r="MF159" s="148"/>
      <c r="MG159" s="148"/>
      <c r="MH159" s="148"/>
      <c r="MI159" s="148"/>
      <c r="MJ159" s="148"/>
      <c r="MK159" s="148"/>
      <c r="ML159" s="148"/>
      <c r="MM159" s="148"/>
      <c r="MN159" s="148"/>
      <c r="MO159" s="148"/>
      <c r="MP159" s="148"/>
      <c r="MQ159" s="148"/>
      <c r="MR159" s="148"/>
      <c r="MS159" s="148"/>
      <c r="MT159" s="148"/>
      <c r="MU159" s="148"/>
      <c r="MV159" s="148"/>
      <c r="MW159" s="148"/>
      <c r="MX159" s="148"/>
      <c r="MY159" s="148"/>
      <c r="MZ159" s="148"/>
      <c r="NA159" s="148"/>
      <c r="NB159" s="148"/>
      <c r="NC159" s="148"/>
      <c r="ND159" s="148"/>
      <c r="NE159" s="148"/>
      <c r="NF159" s="148"/>
      <c r="NG159" s="148"/>
      <c r="NH159" s="148"/>
      <c r="NI159" s="148"/>
      <c r="NJ159" s="148"/>
      <c r="NK159" s="148"/>
      <c r="NL159" s="148"/>
      <c r="NM159" s="148"/>
      <c r="NN159" s="148"/>
      <c r="NO159" s="148"/>
      <c r="NP159" s="148"/>
      <c r="NQ159" s="148"/>
      <c r="NR159" s="148"/>
      <c r="NS159" s="148"/>
      <c r="NT159" s="148"/>
      <c r="NU159" s="148"/>
      <c r="NV159" s="148"/>
      <c r="NW159" s="148"/>
      <c r="NX159" s="148"/>
      <c r="NY159" s="148"/>
      <c r="NZ159" s="148"/>
      <c r="OA159" s="148"/>
      <c r="OB159" s="148"/>
      <c r="OC159" s="148"/>
      <c r="OD159" s="148"/>
      <c r="OE159" s="148"/>
      <c r="OF159" s="148"/>
      <c r="OG159" s="148"/>
      <c r="OH159" s="148"/>
      <c r="OI159" s="148"/>
      <c r="OJ159" s="148"/>
      <c r="OK159" s="148"/>
      <c r="OL159" s="148"/>
      <c r="OM159" s="148"/>
      <c r="ON159" s="148"/>
      <c r="OO159" s="148"/>
      <c r="OP159" s="148"/>
      <c r="OQ159" s="148"/>
      <c r="OR159" s="148"/>
      <c r="OS159" s="148"/>
      <c r="OT159" s="148"/>
      <c r="OU159" s="148"/>
      <c r="OV159" s="148"/>
      <c r="OW159" s="148"/>
      <c r="OX159" s="148"/>
      <c r="OY159" s="148"/>
      <c r="OZ159" s="148"/>
      <c r="PA159" s="148"/>
      <c r="PB159" s="148"/>
      <c r="PC159" s="148"/>
      <c r="PD159" s="148"/>
      <c r="PE159" s="148"/>
      <c r="PF159" s="148"/>
      <c r="PG159" s="148"/>
      <c r="PH159" s="148"/>
      <c r="PI159" s="148"/>
      <c r="PJ159" s="148"/>
      <c r="PK159" s="148"/>
      <c r="PL159" s="148"/>
      <c r="PM159" s="148"/>
      <c r="PN159" s="148"/>
      <c r="PO159" s="148"/>
      <c r="PP159" s="148"/>
      <c r="PQ159" s="148"/>
      <c r="PR159" s="148"/>
      <c r="PS159" s="148"/>
      <c r="PT159" s="148"/>
      <c r="PU159" s="148"/>
      <c r="PV159" s="148"/>
      <c r="PW159" s="148"/>
      <c r="PX159" s="148"/>
      <c r="PY159" s="148"/>
      <c r="PZ159" s="148"/>
      <c r="QA159" s="148"/>
      <c r="QB159" s="148"/>
      <c r="QC159" s="148"/>
      <c r="QD159" s="148"/>
      <c r="QE159" s="148"/>
      <c r="QF159" s="148"/>
      <c r="QG159" s="148"/>
      <c r="QH159" s="148"/>
      <c r="QI159" s="148"/>
      <c r="QJ159" s="148"/>
      <c r="QK159" s="148"/>
      <c r="QL159" s="148"/>
      <c r="QM159" s="148"/>
      <c r="QN159" s="148"/>
      <c r="QO159" s="148"/>
      <c r="QP159" s="148"/>
      <c r="QQ159" s="148"/>
      <c r="QR159" s="148"/>
      <c r="QS159" s="148"/>
      <c r="QT159" s="148"/>
      <c r="QU159" s="148"/>
      <c r="QV159" s="148"/>
      <c r="QW159" s="148"/>
      <c r="QX159" s="148"/>
      <c r="QY159" s="148"/>
      <c r="QZ159" s="148"/>
      <c r="RA159" s="148"/>
      <c r="RB159" s="148"/>
      <c r="RC159" s="148"/>
      <c r="RD159" s="148"/>
      <c r="RE159" s="148"/>
      <c r="RF159" s="148"/>
      <c r="RG159" s="148"/>
      <c r="RH159" s="148"/>
      <c r="RI159" s="148"/>
      <c r="RJ159" s="148"/>
      <c r="RK159" s="148"/>
      <c r="RL159" s="148"/>
      <c r="RM159" s="148"/>
      <c r="RN159" s="148"/>
      <c r="RO159" s="148"/>
      <c r="RP159" s="148"/>
      <c r="RQ159" s="148"/>
      <c r="RR159" s="148"/>
    </row>
    <row r="160" spans="1:486" s="15" customFormat="1" hidden="1" x14ac:dyDescent="0.25">
      <c r="A160" s="148"/>
      <c r="B160" s="350">
        <v>150</v>
      </c>
      <c r="C160" s="650"/>
      <c r="D160" s="16"/>
      <c r="E160" s="344"/>
      <c r="F160" s="344"/>
      <c r="G160" s="17"/>
      <c r="H160" s="317"/>
      <c r="I160" s="346"/>
      <c r="J160" s="341"/>
      <c r="K160" s="633"/>
      <c r="L160" s="633"/>
      <c r="M160" s="633"/>
      <c r="N160" s="633"/>
      <c r="O160" s="633"/>
      <c r="P160" s="633"/>
      <c r="Q160" s="633"/>
      <c r="R160" s="633"/>
      <c r="S160" s="633"/>
      <c r="T160" s="633"/>
      <c r="U160" s="633"/>
      <c r="V160" s="633"/>
      <c r="W160" s="633"/>
      <c r="X160" s="633"/>
      <c r="Y160" s="633">
        <f t="shared" si="6"/>
        <v>0</v>
      </c>
      <c r="Z160" s="637"/>
      <c r="AA160" s="19"/>
      <c r="AB160" s="315"/>
      <c r="AC160" s="315"/>
      <c r="AD160" s="652"/>
      <c r="AE160" s="20"/>
      <c r="AF160" s="21"/>
      <c r="AG160" s="23"/>
      <c r="AH160" s="637"/>
      <c r="AI160" s="19"/>
      <c r="AJ160" s="21"/>
      <c r="AK160" s="25"/>
      <c r="AL160" s="309"/>
      <c r="AM160" s="19"/>
      <c r="AN160" s="21"/>
      <c r="AO160" s="25"/>
      <c r="AP160" s="309"/>
      <c r="AQ160" s="19"/>
      <c r="AR160" s="21"/>
      <c r="AS160" s="25"/>
      <c r="AT160" s="638">
        <f t="shared" si="7"/>
        <v>0</v>
      </c>
      <c r="AU160" s="311">
        <f t="shared" si="5"/>
        <v>0</v>
      </c>
      <c r="AV160" s="148"/>
      <c r="AW160" s="148"/>
      <c r="AX160" s="148"/>
      <c r="AY160" s="148"/>
      <c r="AZ160" s="148"/>
      <c r="BA160" s="148"/>
      <c r="BB160" s="148"/>
      <c r="BC160" s="148"/>
      <c r="BD160" s="148"/>
      <c r="BE160" s="148"/>
      <c r="BF160" s="148"/>
      <c r="BG160" s="148"/>
      <c r="BH160" s="148"/>
      <c r="BI160" s="148"/>
      <c r="BJ160" s="148"/>
      <c r="BK160" s="148"/>
      <c r="BL160" s="148"/>
      <c r="BM160" s="148"/>
      <c r="BN160" s="148"/>
      <c r="BO160" s="148"/>
      <c r="BP160" s="148"/>
      <c r="BQ160" s="148"/>
      <c r="BR160" s="148"/>
      <c r="BS160" s="148"/>
      <c r="BT160" s="148"/>
      <c r="BU160" s="148"/>
      <c r="BV160" s="148"/>
      <c r="BW160" s="148"/>
      <c r="BX160" s="148"/>
      <c r="BY160" s="148"/>
      <c r="BZ160" s="148"/>
      <c r="CA160" s="148"/>
      <c r="CB160" s="148"/>
      <c r="CC160" s="148"/>
      <c r="CD160" s="148"/>
      <c r="CE160" s="148"/>
      <c r="CF160" s="148"/>
      <c r="CG160" s="148"/>
      <c r="CH160" s="148"/>
      <c r="CI160" s="148"/>
      <c r="CJ160" s="148"/>
      <c r="CK160" s="148"/>
      <c r="CL160" s="148"/>
      <c r="CM160" s="148"/>
      <c r="CN160" s="148"/>
      <c r="CO160" s="148"/>
      <c r="CP160" s="148"/>
      <c r="CQ160" s="148"/>
      <c r="CR160" s="148"/>
      <c r="CS160" s="148"/>
      <c r="CT160" s="148"/>
      <c r="CU160" s="148"/>
      <c r="CV160" s="148"/>
      <c r="CW160" s="148"/>
      <c r="CX160" s="148"/>
      <c r="CY160" s="148"/>
      <c r="CZ160" s="148"/>
      <c r="DA160" s="148"/>
      <c r="DB160" s="148"/>
      <c r="DC160" s="148"/>
      <c r="DD160" s="148"/>
      <c r="DE160" s="148"/>
      <c r="DF160" s="148"/>
      <c r="DG160" s="148"/>
      <c r="DH160" s="148"/>
      <c r="DI160" s="148"/>
      <c r="DJ160" s="148"/>
      <c r="DK160" s="148"/>
      <c r="DL160" s="148"/>
      <c r="DM160" s="148"/>
      <c r="DN160" s="148"/>
      <c r="DO160" s="148"/>
      <c r="DP160" s="148"/>
      <c r="DQ160" s="148"/>
      <c r="DR160" s="148"/>
      <c r="DS160" s="148"/>
      <c r="DT160" s="148"/>
      <c r="DU160" s="148"/>
      <c r="DV160" s="148"/>
      <c r="DW160" s="148"/>
      <c r="DX160" s="148"/>
      <c r="DY160" s="148"/>
      <c r="DZ160" s="148"/>
      <c r="EA160" s="148"/>
      <c r="EB160" s="148"/>
      <c r="EC160" s="148"/>
      <c r="ED160" s="148"/>
      <c r="EE160" s="148"/>
      <c r="EF160" s="148"/>
      <c r="EG160" s="148"/>
      <c r="EH160" s="148"/>
      <c r="EI160" s="148"/>
      <c r="EJ160" s="148"/>
      <c r="EK160" s="148"/>
      <c r="EL160" s="148"/>
      <c r="EM160" s="148"/>
      <c r="EN160" s="148"/>
      <c r="EO160" s="148"/>
      <c r="EP160" s="148"/>
      <c r="EQ160" s="148"/>
      <c r="ER160" s="148"/>
      <c r="ES160" s="148"/>
      <c r="ET160" s="148"/>
      <c r="EU160" s="148"/>
      <c r="EV160" s="148"/>
      <c r="EW160" s="148"/>
      <c r="EX160" s="148"/>
      <c r="EY160" s="148"/>
      <c r="EZ160" s="148"/>
      <c r="FA160" s="148"/>
      <c r="FB160" s="148"/>
      <c r="FC160" s="148"/>
      <c r="FD160" s="148"/>
      <c r="FE160" s="148"/>
      <c r="FF160" s="148"/>
      <c r="FG160" s="148"/>
      <c r="FH160" s="148"/>
      <c r="FI160" s="148"/>
      <c r="FJ160" s="148"/>
      <c r="FK160" s="148"/>
      <c r="FL160" s="148"/>
      <c r="FM160" s="148"/>
      <c r="FN160" s="148"/>
      <c r="FO160" s="148"/>
      <c r="FP160" s="148"/>
      <c r="FQ160" s="148"/>
      <c r="FR160" s="148"/>
      <c r="FS160" s="148"/>
      <c r="FT160" s="148"/>
      <c r="FU160" s="148"/>
      <c r="FV160" s="148"/>
      <c r="FW160" s="148"/>
      <c r="FX160" s="148"/>
      <c r="FY160" s="148"/>
      <c r="FZ160" s="148"/>
      <c r="GA160" s="148"/>
      <c r="GB160" s="148"/>
      <c r="GC160" s="148"/>
      <c r="GD160" s="148"/>
      <c r="GE160" s="148"/>
      <c r="GF160" s="148"/>
      <c r="GG160" s="148"/>
      <c r="GH160" s="148"/>
      <c r="GI160" s="148"/>
      <c r="GJ160" s="148"/>
      <c r="GK160" s="148"/>
      <c r="GL160" s="148"/>
      <c r="GM160" s="148"/>
      <c r="GN160" s="148"/>
      <c r="GO160" s="148"/>
      <c r="GP160" s="148"/>
      <c r="GQ160" s="148"/>
      <c r="GR160" s="148"/>
      <c r="GS160" s="148"/>
      <c r="GT160" s="148"/>
      <c r="GU160" s="148"/>
      <c r="GV160" s="148"/>
      <c r="GW160" s="148"/>
      <c r="GX160" s="148"/>
      <c r="GY160" s="148"/>
      <c r="GZ160" s="148"/>
      <c r="HA160" s="148"/>
      <c r="HB160" s="148"/>
      <c r="HC160" s="148"/>
      <c r="HD160" s="148"/>
      <c r="HE160" s="148"/>
      <c r="HF160" s="148"/>
      <c r="HG160" s="148"/>
      <c r="HH160" s="148"/>
      <c r="HI160" s="148"/>
      <c r="HJ160" s="148"/>
      <c r="HK160" s="148"/>
      <c r="HL160" s="148"/>
      <c r="HM160" s="148"/>
      <c r="HN160" s="148"/>
      <c r="HO160" s="148"/>
      <c r="HP160" s="148"/>
      <c r="HQ160" s="148"/>
      <c r="HR160" s="148"/>
      <c r="HS160" s="148"/>
      <c r="HT160" s="148"/>
      <c r="HU160" s="148"/>
      <c r="HV160" s="148"/>
      <c r="HW160" s="148"/>
      <c r="HX160" s="148"/>
      <c r="HY160" s="148"/>
      <c r="HZ160" s="148"/>
      <c r="IA160" s="148"/>
      <c r="IB160" s="148"/>
      <c r="IC160" s="148"/>
      <c r="ID160" s="148"/>
      <c r="IE160" s="148"/>
      <c r="IF160" s="148"/>
      <c r="IG160" s="148"/>
      <c r="IH160" s="148"/>
      <c r="II160" s="148"/>
      <c r="IJ160" s="148"/>
      <c r="IK160" s="148"/>
      <c r="IL160" s="148"/>
      <c r="IM160" s="148"/>
      <c r="IN160" s="148"/>
      <c r="IO160" s="148"/>
      <c r="IP160" s="148"/>
      <c r="IQ160" s="148"/>
      <c r="IR160" s="148"/>
      <c r="IS160" s="148"/>
      <c r="IT160" s="148"/>
      <c r="IU160" s="148"/>
      <c r="IV160" s="148"/>
      <c r="IW160" s="148"/>
      <c r="IX160" s="148"/>
      <c r="IY160" s="148"/>
      <c r="IZ160" s="148"/>
      <c r="JA160" s="148"/>
      <c r="JB160" s="148"/>
      <c r="JC160" s="148"/>
      <c r="JD160" s="148"/>
      <c r="JE160" s="148"/>
      <c r="JF160" s="148"/>
      <c r="JG160" s="148"/>
      <c r="JH160" s="148"/>
      <c r="JI160" s="148"/>
      <c r="JJ160" s="148"/>
      <c r="JK160" s="148"/>
      <c r="JL160" s="148"/>
      <c r="JM160" s="148"/>
      <c r="JN160" s="148"/>
      <c r="JO160" s="148"/>
      <c r="JP160" s="148"/>
      <c r="JQ160" s="148"/>
      <c r="JR160" s="148"/>
      <c r="JS160" s="148"/>
      <c r="JT160" s="148"/>
      <c r="JU160" s="148"/>
      <c r="JV160" s="148"/>
      <c r="JW160" s="148"/>
      <c r="JX160" s="148"/>
      <c r="JY160" s="148"/>
      <c r="JZ160" s="148"/>
      <c r="KA160" s="148"/>
      <c r="KB160" s="148"/>
      <c r="KC160" s="148"/>
      <c r="KD160" s="148"/>
      <c r="KE160" s="148"/>
      <c r="KF160" s="148"/>
      <c r="KG160" s="148"/>
      <c r="KH160" s="148"/>
      <c r="KI160" s="148"/>
      <c r="KJ160" s="148"/>
      <c r="KK160" s="148"/>
      <c r="KL160" s="148"/>
      <c r="KM160" s="148"/>
      <c r="KN160" s="148"/>
      <c r="KO160" s="148"/>
      <c r="KP160" s="148"/>
      <c r="KQ160" s="148"/>
      <c r="KR160" s="148"/>
      <c r="KS160" s="148"/>
      <c r="KT160" s="148"/>
      <c r="KU160" s="148"/>
      <c r="KV160" s="148"/>
      <c r="KW160" s="148"/>
      <c r="KX160" s="148"/>
      <c r="KY160" s="148"/>
      <c r="KZ160" s="148"/>
      <c r="LA160" s="148"/>
      <c r="LB160" s="148"/>
      <c r="LC160" s="148"/>
      <c r="LD160" s="148"/>
      <c r="LE160" s="148"/>
      <c r="LF160" s="148"/>
      <c r="LG160" s="148"/>
      <c r="LH160" s="148"/>
      <c r="LI160" s="148"/>
      <c r="LJ160" s="148"/>
      <c r="LK160" s="148"/>
      <c r="LL160" s="148"/>
      <c r="LM160" s="148"/>
      <c r="LN160" s="148"/>
      <c r="LO160" s="148"/>
      <c r="LP160" s="148"/>
      <c r="LQ160" s="148"/>
      <c r="LR160" s="148"/>
      <c r="LS160" s="148"/>
      <c r="LT160" s="148"/>
      <c r="LU160" s="148"/>
      <c r="LV160" s="148"/>
      <c r="LW160" s="148"/>
      <c r="LX160" s="148"/>
      <c r="LY160" s="148"/>
      <c r="LZ160" s="148"/>
      <c r="MA160" s="148"/>
      <c r="MB160" s="148"/>
      <c r="MC160" s="148"/>
      <c r="MD160" s="148"/>
      <c r="ME160" s="148"/>
      <c r="MF160" s="148"/>
      <c r="MG160" s="148"/>
      <c r="MH160" s="148"/>
      <c r="MI160" s="148"/>
      <c r="MJ160" s="148"/>
      <c r="MK160" s="148"/>
      <c r="ML160" s="148"/>
      <c r="MM160" s="148"/>
      <c r="MN160" s="148"/>
      <c r="MO160" s="148"/>
      <c r="MP160" s="148"/>
      <c r="MQ160" s="148"/>
      <c r="MR160" s="148"/>
      <c r="MS160" s="148"/>
      <c r="MT160" s="148"/>
      <c r="MU160" s="148"/>
      <c r="MV160" s="148"/>
      <c r="MW160" s="148"/>
      <c r="MX160" s="148"/>
      <c r="MY160" s="148"/>
      <c r="MZ160" s="148"/>
      <c r="NA160" s="148"/>
      <c r="NB160" s="148"/>
      <c r="NC160" s="148"/>
      <c r="ND160" s="148"/>
      <c r="NE160" s="148"/>
      <c r="NF160" s="148"/>
      <c r="NG160" s="148"/>
      <c r="NH160" s="148"/>
      <c r="NI160" s="148"/>
      <c r="NJ160" s="148"/>
      <c r="NK160" s="148"/>
      <c r="NL160" s="148"/>
      <c r="NM160" s="148"/>
      <c r="NN160" s="148"/>
      <c r="NO160" s="148"/>
      <c r="NP160" s="148"/>
      <c r="NQ160" s="148"/>
      <c r="NR160" s="148"/>
      <c r="NS160" s="148"/>
      <c r="NT160" s="148"/>
      <c r="NU160" s="148"/>
      <c r="NV160" s="148"/>
      <c r="NW160" s="148"/>
      <c r="NX160" s="148"/>
      <c r="NY160" s="148"/>
      <c r="NZ160" s="148"/>
      <c r="OA160" s="148"/>
      <c r="OB160" s="148"/>
      <c r="OC160" s="148"/>
      <c r="OD160" s="148"/>
      <c r="OE160" s="148"/>
      <c r="OF160" s="148"/>
      <c r="OG160" s="148"/>
      <c r="OH160" s="148"/>
      <c r="OI160" s="148"/>
      <c r="OJ160" s="148"/>
      <c r="OK160" s="148"/>
      <c r="OL160" s="148"/>
      <c r="OM160" s="148"/>
      <c r="ON160" s="148"/>
      <c r="OO160" s="148"/>
      <c r="OP160" s="148"/>
      <c r="OQ160" s="148"/>
      <c r="OR160" s="148"/>
      <c r="OS160" s="148"/>
      <c r="OT160" s="148"/>
      <c r="OU160" s="148"/>
      <c r="OV160" s="148"/>
      <c r="OW160" s="148"/>
      <c r="OX160" s="148"/>
      <c r="OY160" s="148"/>
      <c r="OZ160" s="148"/>
      <c r="PA160" s="148"/>
      <c r="PB160" s="148"/>
      <c r="PC160" s="148"/>
      <c r="PD160" s="148"/>
      <c r="PE160" s="148"/>
      <c r="PF160" s="148"/>
      <c r="PG160" s="148"/>
      <c r="PH160" s="148"/>
      <c r="PI160" s="148"/>
      <c r="PJ160" s="148"/>
      <c r="PK160" s="148"/>
      <c r="PL160" s="148"/>
      <c r="PM160" s="148"/>
      <c r="PN160" s="148"/>
      <c r="PO160" s="148"/>
      <c r="PP160" s="148"/>
      <c r="PQ160" s="148"/>
      <c r="PR160" s="148"/>
      <c r="PS160" s="148"/>
      <c r="PT160" s="148"/>
      <c r="PU160" s="148"/>
      <c r="PV160" s="148"/>
      <c r="PW160" s="148"/>
      <c r="PX160" s="148"/>
      <c r="PY160" s="148"/>
      <c r="PZ160" s="148"/>
      <c r="QA160" s="148"/>
      <c r="QB160" s="148"/>
      <c r="QC160" s="148"/>
      <c r="QD160" s="148"/>
      <c r="QE160" s="148"/>
      <c r="QF160" s="148"/>
      <c r="QG160" s="148"/>
      <c r="QH160" s="148"/>
      <c r="QI160" s="148"/>
      <c r="QJ160" s="148"/>
      <c r="QK160" s="148"/>
      <c r="QL160" s="148"/>
      <c r="QM160" s="148"/>
      <c r="QN160" s="148"/>
      <c r="QO160" s="148"/>
      <c r="QP160" s="148"/>
      <c r="QQ160" s="148"/>
      <c r="QR160" s="148"/>
      <c r="QS160" s="148"/>
      <c r="QT160" s="148"/>
      <c r="QU160" s="148"/>
      <c r="QV160" s="148"/>
      <c r="QW160" s="148"/>
      <c r="QX160" s="148"/>
      <c r="QY160" s="148"/>
      <c r="QZ160" s="148"/>
      <c r="RA160" s="148"/>
      <c r="RB160" s="148"/>
      <c r="RC160" s="148"/>
      <c r="RD160" s="148"/>
      <c r="RE160" s="148"/>
      <c r="RF160" s="148"/>
      <c r="RG160" s="148"/>
      <c r="RH160" s="148"/>
      <c r="RI160" s="148"/>
      <c r="RJ160" s="148"/>
      <c r="RK160" s="148"/>
      <c r="RL160" s="148"/>
      <c r="RM160" s="148"/>
      <c r="RN160" s="148"/>
      <c r="RO160" s="148"/>
      <c r="RP160" s="148"/>
      <c r="RQ160" s="148"/>
      <c r="RR160" s="148"/>
    </row>
    <row r="161" spans="1:486" s="15" customFormat="1" hidden="1" x14ac:dyDescent="0.25">
      <c r="A161" s="148"/>
      <c r="B161" s="350">
        <v>151</v>
      </c>
      <c r="C161" s="650"/>
      <c r="D161" s="16"/>
      <c r="E161" s="344"/>
      <c r="F161" s="344"/>
      <c r="G161" s="17"/>
      <c r="H161" s="317"/>
      <c r="I161" s="346"/>
      <c r="J161" s="341"/>
      <c r="K161" s="633"/>
      <c r="L161" s="633"/>
      <c r="M161" s="633"/>
      <c r="N161" s="633"/>
      <c r="O161" s="633"/>
      <c r="P161" s="633"/>
      <c r="Q161" s="633"/>
      <c r="R161" s="633"/>
      <c r="S161" s="633"/>
      <c r="T161" s="633"/>
      <c r="U161" s="633"/>
      <c r="V161" s="633"/>
      <c r="W161" s="633"/>
      <c r="X161" s="633"/>
      <c r="Y161" s="633">
        <f t="shared" si="6"/>
        <v>0</v>
      </c>
      <c r="Z161" s="637"/>
      <c r="AA161" s="19"/>
      <c r="AB161" s="21"/>
      <c r="AC161" s="23"/>
      <c r="AD161" s="652"/>
      <c r="AE161" s="20"/>
      <c r="AF161" s="21"/>
      <c r="AG161" s="23"/>
      <c r="AH161" s="637"/>
      <c r="AI161" s="19"/>
      <c r="AJ161" s="21"/>
      <c r="AK161" s="25"/>
      <c r="AL161" s="309"/>
      <c r="AM161" s="19"/>
      <c r="AN161" s="21"/>
      <c r="AO161" s="25"/>
      <c r="AP161" s="309"/>
      <c r="AQ161" s="19"/>
      <c r="AR161" s="21"/>
      <c r="AS161" s="25"/>
      <c r="AT161" s="638">
        <f t="shared" si="7"/>
        <v>0</v>
      </c>
      <c r="AU161" s="311">
        <f t="shared" si="5"/>
        <v>0</v>
      </c>
      <c r="AV161" s="148"/>
      <c r="AW161" s="148"/>
      <c r="AX161" s="148"/>
      <c r="AY161" s="148"/>
      <c r="AZ161" s="148"/>
      <c r="BA161" s="148"/>
      <c r="BB161" s="148"/>
      <c r="BC161" s="148"/>
      <c r="BD161" s="148"/>
      <c r="BE161" s="148"/>
      <c r="BF161" s="148"/>
      <c r="BG161" s="148"/>
      <c r="BH161" s="148"/>
      <c r="BI161" s="148"/>
      <c r="BJ161" s="148"/>
      <c r="BK161" s="148"/>
      <c r="BL161" s="148"/>
      <c r="BM161" s="148"/>
      <c r="BN161" s="148"/>
      <c r="BO161" s="148"/>
      <c r="BP161" s="148"/>
      <c r="BQ161" s="148"/>
      <c r="BR161" s="148"/>
      <c r="BS161" s="148"/>
      <c r="BT161" s="148"/>
      <c r="BU161" s="148"/>
      <c r="BV161" s="148"/>
      <c r="BW161" s="148"/>
      <c r="BX161" s="148"/>
      <c r="BY161" s="148"/>
      <c r="BZ161" s="148"/>
      <c r="CA161" s="148"/>
      <c r="CB161" s="148"/>
      <c r="CC161" s="148"/>
      <c r="CD161" s="148"/>
      <c r="CE161" s="148"/>
      <c r="CF161" s="148"/>
      <c r="CG161" s="148"/>
      <c r="CH161" s="148"/>
      <c r="CI161" s="148"/>
      <c r="CJ161" s="148"/>
      <c r="CK161" s="148"/>
      <c r="CL161" s="148"/>
      <c r="CM161" s="148"/>
      <c r="CN161" s="148"/>
      <c r="CO161" s="148"/>
      <c r="CP161" s="148"/>
      <c r="CQ161" s="148"/>
      <c r="CR161" s="148"/>
      <c r="CS161" s="148"/>
      <c r="CT161" s="148"/>
      <c r="CU161" s="148"/>
      <c r="CV161" s="148"/>
      <c r="CW161" s="148"/>
      <c r="CX161" s="148"/>
      <c r="CY161" s="148"/>
      <c r="CZ161" s="148"/>
      <c r="DA161" s="148"/>
      <c r="DB161" s="148"/>
      <c r="DC161" s="148"/>
      <c r="DD161" s="148"/>
      <c r="DE161" s="148"/>
      <c r="DF161" s="148"/>
      <c r="DG161" s="148"/>
      <c r="DH161" s="148"/>
      <c r="DI161" s="148"/>
      <c r="DJ161" s="148"/>
      <c r="DK161" s="148"/>
      <c r="DL161" s="148"/>
      <c r="DM161" s="148"/>
      <c r="DN161" s="148"/>
      <c r="DO161" s="148"/>
      <c r="DP161" s="148"/>
      <c r="DQ161" s="148"/>
      <c r="DR161" s="148"/>
      <c r="DS161" s="148"/>
      <c r="DT161" s="148"/>
      <c r="DU161" s="148"/>
      <c r="DV161" s="148"/>
      <c r="DW161" s="148"/>
      <c r="DX161" s="148"/>
      <c r="DY161" s="148"/>
      <c r="DZ161" s="148"/>
      <c r="EA161" s="148"/>
      <c r="EB161" s="148"/>
      <c r="EC161" s="148"/>
      <c r="ED161" s="148"/>
      <c r="EE161" s="148"/>
      <c r="EF161" s="148"/>
      <c r="EG161" s="148"/>
      <c r="EH161" s="148"/>
      <c r="EI161" s="148"/>
      <c r="EJ161" s="148"/>
      <c r="EK161" s="148"/>
      <c r="EL161" s="148"/>
      <c r="EM161" s="148"/>
      <c r="EN161" s="148"/>
      <c r="EO161" s="148"/>
      <c r="EP161" s="148"/>
      <c r="EQ161" s="148"/>
      <c r="ER161" s="148"/>
      <c r="ES161" s="148"/>
      <c r="ET161" s="148"/>
      <c r="EU161" s="148"/>
      <c r="EV161" s="148"/>
      <c r="EW161" s="148"/>
      <c r="EX161" s="148"/>
      <c r="EY161" s="148"/>
      <c r="EZ161" s="148"/>
      <c r="FA161" s="148"/>
      <c r="FB161" s="148"/>
      <c r="FC161" s="148"/>
      <c r="FD161" s="148"/>
      <c r="FE161" s="148"/>
      <c r="FF161" s="148"/>
      <c r="FG161" s="148"/>
      <c r="FH161" s="148"/>
      <c r="FI161" s="148"/>
      <c r="FJ161" s="148"/>
      <c r="FK161" s="148"/>
      <c r="FL161" s="148"/>
      <c r="FM161" s="148"/>
      <c r="FN161" s="148"/>
      <c r="FO161" s="148"/>
      <c r="FP161" s="148"/>
      <c r="FQ161" s="148"/>
      <c r="FR161" s="148"/>
      <c r="FS161" s="148"/>
      <c r="FT161" s="148"/>
      <c r="FU161" s="148"/>
      <c r="FV161" s="148"/>
      <c r="FW161" s="148"/>
      <c r="FX161" s="148"/>
      <c r="FY161" s="148"/>
      <c r="FZ161" s="148"/>
      <c r="GA161" s="148"/>
      <c r="GB161" s="148"/>
      <c r="GC161" s="148"/>
      <c r="GD161" s="148"/>
      <c r="GE161" s="148"/>
      <c r="GF161" s="148"/>
      <c r="GG161" s="148"/>
      <c r="GH161" s="148"/>
      <c r="GI161" s="148"/>
      <c r="GJ161" s="148"/>
      <c r="GK161" s="148"/>
      <c r="GL161" s="148"/>
      <c r="GM161" s="148"/>
      <c r="GN161" s="148"/>
      <c r="GO161" s="148"/>
      <c r="GP161" s="148"/>
      <c r="GQ161" s="148"/>
      <c r="GR161" s="148"/>
      <c r="GS161" s="148"/>
      <c r="GT161" s="148"/>
      <c r="GU161" s="148"/>
      <c r="GV161" s="148"/>
      <c r="GW161" s="148"/>
      <c r="GX161" s="148"/>
      <c r="GY161" s="148"/>
      <c r="GZ161" s="148"/>
      <c r="HA161" s="148"/>
      <c r="HB161" s="148"/>
      <c r="HC161" s="148"/>
      <c r="HD161" s="148"/>
      <c r="HE161" s="148"/>
      <c r="HF161" s="148"/>
      <c r="HG161" s="148"/>
      <c r="HH161" s="148"/>
      <c r="HI161" s="148"/>
      <c r="HJ161" s="148"/>
      <c r="HK161" s="148"/>
      <c r="HL161" s="148"/>
      <c r="HM161" s="148"/>
      <c r="HN161" s="148"/>
      <c r="HO161" s="148"/>
      <c r="HP161" s="148"/>
      <c r="HQ161" s="148"/>
      <c r="HR161" s="148"/>
      <c r="HS161" s="148"/>
      <c r="HT161" s="148"/>
      <c r="HU161" s="148"/>
      <c r="HV161" s="148"/>
      <c r="HW161" s="148"/>
      <c r="HX161" s="148"/>
      <c r="HY161" s="148"/>
      <c r="HZ161" s="148"/>
      <c r="IA161" s="148"/>
      <c r="IB161" s="148"/>
      <c r="IC161" s="148"/>
      <c r="ID161" s="148"/>
      <c r="IE161" s="148"/>
      <c r="IF161" s="148"/>
      <c r="IG161" s="148"/>
      <c r="IH161" s="148"/>
      <c r="II161" s="148"/>
      <c r="IJ161" s="148"/>
      <c r="IK161" s="148"/>
      <c r="IL161" s="148"/>
      <c r="IM161" s="148"/>
      <c r="IN161" s="148"/>
      <c r="IO161" s="148"/>
      <c r="IP161" s="148"/>
      <c r="IQ161" s="148"/>
      <c r="IR161" s="148"/>
      <c r="IS161" s="148"/>
      <c r="IT161" s="148"/>
      <c r="IU161" s="148"/>
      <c r="IV161" s="148"/>
      <c r="IW161" s="148"/>
      <c r="IX161" s="148"/>
      <c r="IY161" s="148"/>
      <c r="IZ161" s="148"/>
      <c r="JA161" s="148"/>
      <c r="JB161" s="148"/>
      <c r="JC161" s="148"/>
      <c r="JD161" s="148"/>
      <c r="JE161" s="148"/>
      <c r="JF161" s="148"/>
      <c r="JG161" s="148"/>
      <c r="JH161" s="148"/>
      <c r="JI161" s="148"/>
      <c r="JJ161" s="148"/>
      <c r="JK161" s="148"/>
      <c r="JL161" s="148"/>
      <c r="JM161" s="148"/>
      <c r="JN161" s="148"/>
      <c r="JO161" s="148"/>
      <c r="JP161" s="148"/>
      <c r="JQ161" s="148"/>
      <c r="JR161" s="148"/>
      <c r="JS161" s="148"/>
      <c r="JT161" s="148"/>
      <c r="JU161" s="148"/>
      <c r="JV161" s="148"/>
      <c r="JW161" s="148"/>
      <c r="JX161" s="148"/>
      <c r="JY161" s="148"/>
      <c r="JZ161" s="148"/>
      <c r="KA161" s="148"/>
      <c r="KB161" s="148"/>
      <c r="KC161" s="148"/>
      <c r="KD161" s="148"/>
      <c r="KE161" s="148"/>
      <c r="KF161" s="148"/>
      <c r="KG161" s="148"/>
      <c r="KH161" s="148"/>
      <c r="KI161" s="148"/>
      <c r="KJ161" s="148"/>
      <c r="KK161" s="148"/>
      <c r="KL161" s="148"/>
      <c r="KM161" s="148"/>
      <c r="KN161" s="148"/>
      <c r="KO161" s="148"/>
      <c r="KP161" s="148"/>
      <c r="KQ161" s="148"/>
      <c r="KR161" s="148"/>
      <c r="KS161" s="148"/>
      <c r="KT161" s="148"/>
      <c r="KU161" s="148"/>
      <c r="KV161" s="148"/>
      <c r="KW161" s="148"/>
      <c r="KX161" s="148"/>
      <c r="KY161" s="148"/>
      <c r="KZ161" s="148"/>
      <c r="LA161" s="148"/>
      <c r="LB161" s="148"/>
      <c r="LC161" s="148"/>
      <c r="LD161" s="148"/>
      <c r="LE161" s="148"/>
      <c r="LF161" s="148"/>
      <c r="LG161" s="148"/>
      <c r="LH161" s="148"/>
      <c r="LI161" s="148"/>
      <c r="LJ161" s="148"/>
      <c r="LK161" s="148"/>
      <c r="LL161" s="148"/>
      <c r="LM161" s="148"/>
      <c r="LN161" s="148"/>
      <c r="LO161" s="148"/>
      <c r="LP161" s="148"/>
      <c r="LQ161" s="148"/>
      <c r="LR161" s="148"/>
      <c r="LS161" s="148"/>
      <c r="LT161" s="148"/>
      <c r="LU161" s="148"/>
      <c r="LV161" s="148"/>
      <c r="LW161" s="148"/>
      <c r="LX161" s="148"/>
      <c r="LY161" s="148"/>
      <c r="LZ161" s="148"/>
      <c r="MA161" s="148"/>
      <c r="MB161" s="148"/>
      <c r="MC161" s="148"/>
      <c r="MD161" s="148"/>
      <c r="ME161" s="148"/>
      <c r="MF161" s="148"/>
      <c r="MG161" s="148"/>
      <c r="MH161" s="148"/>
      <c r="MI161" s="148"/>
      <c r="MJ161" s="148"/>
      <c r="MK161" s="148"/>
      <c r="ML161" s="148"/>
      <c r="MM161" s="148"/>
      <c r="MN161" s="148"/>
      <c r="MO161" s="148"/>
      <c r="MP161" s="148"/>
      <c r="MQ161" s="148"/>
      <c r="MR161" s="148"/>
      <c r="MS161" s="148"/>
      <c r="MT161" s="148"/>
      <c r="MU161" s="148"/>
      <c r="MV161" s="148"/>
      <c r="MW161" s="148"/>
      <c r="MX161" s="148"/>
      <c r="MY161" s="148"/>
      <c r="MZ161" s="148"/>
      <c r="NA161" s="148"/>
      <c r="NB161" s="148"/>
      <c r="NC161" s="148"/>
      <c r="ND161" s="148"/>
      <c r="NE161" s="148"/>
      <c r="NF161" s="148"/>
      <c r="NG161" s="148"/>
      <c r="NH161" s="148"/>
      <c r="NI161" s="148"/>
      <c r="NJ161" s="148"/>
      <c r="NK161" s="148"/>
      <c r="NL161" s="148"/>
      <c r="NM161" s="148"/>
      <c r="NN161" s="148"/>
      <c r="NO161" s="148"/>
      <c r="NP161" s="148"/>
      <c r="NQ161" s="148"/>
      <c r="NR161" s="148"/>
      <c r="NS161" s="148"/>
      <c r="NT161" s="148"/>
      <c r="NU161" s="148"/>
      <c r="NV161" s="148"/>
      <c r="NW161" s="148"/>
      <c r="NX161" s="148"/>
      <c r="NY161" s="148"/>
      <c r="NZ161" s="148"/>
      <c r="OA161" s="148"/>
      <c r="OB161" s="148"/>
      <c r="OC161" s="148"/>
      <c r="OD161" s="148"/>
      <c r="OE161" s="148"/>
      <c r="OF161" s="148"/>
      <c r="OG161" s="148"/>
      <c r="OH161" s="148"/>
      <c r="OI161" s="148"/>
      <c r="OJ161" s="148"/>
      <c r="OK161" s="148"/>
      <c r="OL161" s="148"/>
      <c r="OM161" s="148"/>
      <c r="ON161" s="148"/>
      <c r="OO161" s="148"/>
      <c r="OP161" s="148"/>
      <c r="OQ161" s="148"/>
      <c r="OR161" s="148"/>
      <c r="OS161" s="148"/>
      <c r="OT161" s="148"/>
      <c r="OU161" s="148"/>
      <c r="OV161" s="148"/>
      <c r="OW161" s="148"/>
      <c r="OX161" s="148"/>
      <c r="OY161" s="148"/>
      <c r="OZ161" s="148"/>
      <c r="PA161" s="148"/>
      <c r="PB161" s="148"/>
      <c r="PC161" s="148"/>
      <c r="PD161" s="148"/>
      <c r="PE161" s="148"/>
      <c r="PF161" s="148"/>
      <c r="PG161" s="148"/>
      <c r="PH161" s="148"/>
      <c r="PI161" s="148"/>
      <c r="PJ161" s="148"/>
      <c r="PK161" s="148"/>
      <c r="PL161" s="148"/>
      <c r="PM161" s="148"/>
      <c r="PN161" s="148"/>
      <c r="PO161" s="148"/>
      <c r="PP161" s="148"/>
      <c r="PQ161" s="148"/>
      <c r="PR161" s="148"/>
      <c r="PS161" s="148"/>
      <c r="PT161" s="148"/>
      <c r="PU161" s="148"/>
      <c r="PV161" s="148"/>
      <c r="PW161" s="148"/>
      <c r="PX161" s="148"/>
      <c r="PY161" s="148"/>
      <c r="PZ161" s="148"/>
      <c r="QA161" s="148"/>
      <c r="QB161" s="148"/>
      <c r="QC161" s="148"/>
      <c r="QD161" s="148"/>
      <c r="QE161" s="148"/>
      <c r="QF161" s="148"/>
      <c r="QG161" s="148"/>
      <c r="QH161" s="148"/>
      <c r="QI161" s="148"/>
      <c r="QJ161" s="148"/>
      <c r="QK161" s="148"/>
      <c r="QL161" s="148"/>
      <c r="QM161" s="148"/>
      <c r="QN161" s="148"/>
      <c r="QO161" s="148"/>
      <c r="QP161" s="148"/>
      <c r="QQ161" s="148"/>
      <c r="QR161" s="148"/>
      <c r="QS161" s="148"/>
      <c r="QT161" s="148"/>
      <c r="QU161" s="148"/>
      <c r="QV161" s="148"/>
      <c r="QW161" s="148"/>
      <c r="QX161" s="148"/>
      <c r="QY161" s="148"/>
      <c r="QZ161" s="148"/>
      <c r="RA161" s="148"/>
      <c r="RB161" s="148"/>
      <c r="RC161" s="148"/>
      <c r="RD161" s="148"/>
      <c r="RE161" s="148"/>
      <c r="RF161" s="148"/>
      <c r="RG161" s="148"/>
      <c r="RH161" s="148"/>
      <c r="RI161" s="148"/>
      <c r="RJ161" s="148"/>
      <c r="RK161" s="148"/>
      <c r="RL161" s="148"/>
      <c r="RM161" s="148"/>
      <c r="RN161" s="148"/>
      <c r="RO161" s="148"/>
      <c r="RP161" s="148"/>
      <c r="RQ161" s="148"/>
      <c r="RR161" s="148"/>
    </row>
    <row r="162" spans="1:486" s="15" customFormat="1" hidden="1" x14ac:dyDescent="0.25">
      <c r="A162" s="148"/>
      <c r="B162" s="350">
        <v>152</v>
      </c>
      <c r="C162" s="650"/>
      <c r="D162" s="16"/>
      <c r="E162" s="344"/>
      <c r="F162" s="344"/>
      <c r="G162" s="17"/>
      <c r="H162" s="317"/>
      <c r="I162" s="346"/>
      <c r="J162" s="341"/>
      <c r="K162" s="633"/>
      <c r="L162" s="633"/>
      <c r="M162" s="633"/>
      <c r="N162" s="633"/>
      <c r="O162" s="633"/>
      <c r="P162" s="633"/>
      <c r="Q162" s="633"/>
      <c r="R162" s="633"/>
      <c r="S162" s="633"/>
      <c r="T162" s="633"/>
      <c r="U162" s="633"/>
      <c r="V162" s="633"/>
      <c r="W162" s="633"/>
      <c r="X162" s="633"/>
      <c r="Y162" s="633">
        <f t="shared" si="6"/>
        <v>0</v>
      </c>
      <c r="Z162" s="637"/>
      <c r="AA162" s="19"/>
      <c r="AB162" s="21"/>
      <c r="AC162" s="23"/>
      <c r="AD162" s="652"/>
      <c r="AE162" s="20"/>
      <c r="AF162" s="21"/>
      <c r="AG162" s="23"/>
      <c r="AH162" s="637"/>
      <c r="AI162" s="19"/>
      <c r="AJ162" s="21"/>
      <c r="AK162" s="25"/>
      <c r="AL162" s="309"/>
      <c r="AM162" s="19"/>
      <c r="AN162" s="21"/>
      <c r="AO162" s="25"/>
      <c r="AP162" s="309"/>
      <c r="AQ162" s="19"/>
      <c r="AR162" s="21"/>
      <c r="AS162" s="25"/>
      <c r="AT162" s="638">
        <f t="shared" si="7"/>
        <v>0</v>
      </c>
      <c r="AU162" s="311">
        <f t="shared" si="5"/>
        <v>0</v>
      </c>
      <c r="AV162" s="148"/>
      <c r="AW162" s="148"/>
      <c r="AX162" s="148"/>
      <c r="AY162" s="148"/>
      <c r="AZ162" s="148"/>
      <c r="BA162" s="148"/>
      <c r="BB162" s="148"/>
      <c r="BC162" s="148"/>
      <c r="BD162" s="148"/>
      <c r="BE162" s="148"/>
      <c r="BF162" s="148"/>
      <c r="BG162" s="148"/>
      <c r="BH162" s="148"/>
      <c r="BI162" s="148"/>
      <c r="BJ162" s="148"/>
      <c r="BK162" s="148"/>
      <c r="BL162" s="148"/>
      <c r="BM162" s="148"/>
      <c r="BN162" s="148"/>
      <c r="BO162" s="148"/>
      <c r="BP162" s="148"/>
      <c r="BQ162" s="148"/>
      <c r="BR162" s="148"/>
      <c r="BS162" s="148"/>
      <c r="BT162" s="148"/>
      <c r="BU162" s="148"/>
      <c r="BV162" s="148"/>
      <c r="BW162" s="148"/>
      <c r="BX162" s="148"/>
      <c r="BY162" s="148"/>
      <c r="BZ162" s="148"/>
      <c r="CA162" s="148"/>
      <c r="CB162" s="148"/>
      <c r="CC162" s="148"/>
      <c r="CD162" s="148"/>
      <c r="CE162" s="148"/>
      <c r="CF162" s="148"/>
      <c r="CG162" s="148"/>
      <c r="CH162" s="148"/>
      <c r="CI162" s="148"/>
      <c r="CJ162" s="148"/>
      <c r="CK162" s="148"/>
      <c r="CL162" s="148"/>
      <c r="CM162" s="148"/>
      <c r="CN162" s="148"/>
      <c r="CO162" s="148"/>
      <c r="CP162" s="148"/>
      <c r="CQ162" s="148"/>
      <c r="CR162" s="148"/>
      <c r="CS162" s="148"/>
      <c r="CT162" s="148"/>
      <c r="CU162" s="148"/>
      <c r="CV162" s="148"/>
      <c r="CW162" s="148"/>
      <c r="CX162" s="148"/>
      <c r="CY162" s="148"/>
      <c r="CZ162" s="148"/>
      <c r="DA162" s="148"/>
      <c r="DB162" s="148"/>
      <c r="DC162" s="148"/>
      <c r="DD162" s="148"/>
      <c r="DE162" s="148"/>
      <c r="DF162" s="148"/>
      <c r="DG162" s="148"/>
      <c r="DH162" s="148"/>
      <c r="DI162" s="148"/>
      <c r="DJ162" s="148"/>
      <c r="DK162" s="148"/>
      <c r="DL162" s="148"/>
      <c r="DM162" s="148"/>
      <c r="DN162" s="148"/>
      <c r="DO162" s="148"/>
      <c r="DP162" s="148"/>
      <c r="DQ162" s="148"/>
      <c r="DR162" s="148"/>
      <c r="DS162" s="148"/>
      <c r="DT162" s="148"/>
      <c r="DU162" s="148"/>
      <c r="DV162" s="148"/>
      <c r="DW162" s="148"/>
      <c r="DX162" s="148"/>
      <c r="DY162" s="148"/>
      <c r="DZ162" s="148"/>
      <c r="EA162" s="148"/>
      <c r="EB162" s="148"/>
      <c r="EC162" s="148"/>
      <c r="ED162" s="148"/>
      <c r="EE162" s="148"/>
      <c r="EF162" s="148"/>
      <c r="EG162" s="148"/>
      <c r="EH162" s="148"/>
      <c r="EI162" s="148"/>
      <c r="EJ162" s="148"/>
      <c r="EK162" s="148"/>
      <c r="EL162" s="148"/>
      <c r="EM162" s="148"/>
      <c r="EN162" s="148"/>
      <c r="EO162" s="148"/>
      <c r="EP162" s="148"/>
      <c r="EQ162" s="148"/>
      <c r="ER162" s="148"/>
      <c r="ES162" s="148"/>
      <c r="ET162" s="148"/>
      <c r="EU162" s="148"/>
      <c r="EV162" s="148"/>
      <c r="EW162" s="148"/>
      <c r="EX162" s="148"/>
      <c r="EY162" s="148"/>
      <c r="EZ162" s="148"/>
      <c r="FA162" s="148"/>
      <c r="FB162" s="148"/>
      <c r="FC162" s="148"/>
      <c r="FD162" s="148"/>
      <c r="FE162" s="148"/>
      <c r="FF162" s="148"/>
      <c r="FG162" s="148"/>
      <c r="FH162" s="148"/>
      <c r="FI162" s="148"/>
      <c r="FJ162" s="148"/>
      <c r="FK162" s="148"/>
      <c r="FL162" s="148"/>
      <c r="FM162" s="148"/>
      <c r="FN162" s="148"/>
      <c r="FO162" s="148"/>
      <c r="FP162" s="148"/>
      <c r="FQ162" s="148"/>
      <c r="FR162" s="148"/>
      <c r="FS162" s="148"/>
      <c r="FT162" s="148"/>
      <c r="FU162" s="148"/>
      <c r="FV162" s="148"/>
      <c r="FW162" s="148"/>
      <c r="FX162" s="148"/>
      <c r="FY162" s="148"/>
      <c r="FZ162" s="148"/>
      <c r="GA162" s="148"/>
      <c r="GB162" s="148"/>
      <c r="GC162" s="148"/>
      <c r="GD162" s="148"/>
      <c r="GE162" s="148"/>
      <c r="GF162" s="148"/>
      <c r="GG162" s="148"/>
      <c r="GH162" s="148"/>
      <c r="GI162" s="148"/>
      <c r="GJ162" s="148"/>
      <c r="GK162" s="148"/>
      <c r="GL162" s="148"/>
      <c r="GM162" s="148"/>
      <c r="GN162" s="148"/>
      <c r="GO162" s="148"/>
      <c r="GP162" s="148"/>
      <c r="GQ162" s="148"/>
      <c r="GR162" s="148"/>
      <c r="GS162" s="148"/>
      <c r="GT162" s="148"/>
      <c r="GU162" s="148"/>
      <c r="GV162" s="148"/>
      <c r="GW162" s="148"/>
      <c r="GX162" s="148"/>
      <c r="GY162" s="148"/>
      <c r="GZ162" s="148"/>
      <c r="HA162" s="148"/>
      <c r="HB162" s="148"/>
      <c r="HC162" s="148"/>
      <c r="HD162" s="148"/>
      <c r="HE162" s="148"/>
      <c r="HF162" s="148"/>
      <c r="HG162" s="148"/>
      <c r="HH162" s="148"/>
      <c r="HI162" s="148"/>
      <c r="HJ162" s="148"/>
      <c r="HK162" s="148"/>
      <c r="HL162" s="148"/>
      <c r="HM162" s="148"/>
      <c r="HN162" s="148"/>
      <c r="HO162" s="148"/>
      <c r="HP162" s="148"/>
      <c r="HQ162" s="148"/>
      <c r="HR162" s="148"/>
      <c r="HS162" s="148"/>
      <c r="HT162" s="148"/>
      <c r="HU162" s="148"/>
      <c r="HV162" s="148"/>
      <c r="HW162" s="148"/>
      <c r="HX162" s="148"/>
      <c r="HY162" s="148"/>
      <c r="HZ162" s="148"/>
      <c r="IA162" s="148"/>
      <c r="IB162" s="148"/>
      <c r="IC162" s="148"/>
      <c r="ID162" s="148"/>
      <c r="IE162" s="148"/>
      <c r="IF162" s="148"/>
      <c r="IG162" s="148"/>
      <c r="IH162" s="148"/>
      <c r="II162" s="148"/>
      <c r="IJ162" s="148"/>
      <c r="IK162" s="148"/>
      <c r="IL162" s="148"/>
      <c r="IM162" s="148"/>
      <c r="IN162" s="148"/>
      <c r="IO162" s="148"/>
      <c r="IP162" s="148"/>
      <c r="IQ162" s="148"/>
      <c r="IR162" s="148"/>
      <c r="IS162" s="148"/>
      <c r="IT162" s="148"/>
      <c r="IU162" s="148"/>
      <c r="IV162" s="148"/>
      <c r="IW162" s="148"/>
      <c r="IX162" s="148"/>
      <c r="IY162" s="148"/>
      <c r="IZ162" s="148"/>
      <c r="JA162" s="148"/>
      <c r="JB162" s="148"/>
      <c r="JC162" s="148"/>
      <c r="JD162" s="148"/>
      <c r="JE162" s="148"/>
      <c r="JF162" s="148"/>
      <c r="JG162" s="148"/>
      <c r="JH162" s="148"/>
      <c r="JI162" s="148"/>
      <c r="JJ162" s="148"/>
      <c r="JK162" s="148"/>
      <c r="JL162" s="148"/>
      <c r="JM162" s="148"/>
      <c r="JN162" s="148"/>
      <c r="JO162" s="148"/>
      <c r="JP162" s="148"/>
      <c r="JQ162" s="148"/>
      <c r="JR162" s="148"/>
      <c r="JS162" s="148"/>
      <c r="JT162" s="148"/>
      <c r="JU162" s="148"/>
      <c r="JV162" s="148"/>
      <c r="JW162" s="148"/>
      <c r="JX162" s="148"/>
      <c r="JY162" s="148"/>
      <c r="JZ162" s="148"/>
      <c r="KA162" s="148"/>
      <c r="KB162" s="148"/>
      <c r="KC162" s="148"/>
      <c r="KD162" s="148"/>
      <c r="KE162" s="148"/>
      <c r="KF162" s="148"/>
      <c r="KG162" s="148"/>
      <c r="KH162" s="148"/>
      <c r="KI162" s="148"/>
      <c r="KJ162" s="148"/>
      <c r="KK162" s="148"/>
      <c r="KL162" s="148"/>
      <c r="KM162" s="148"/>
      <c r="KN162" s="148"/>
      <c r="KO162" s="148"/>
      <c r="KP162" s="148"/>
      <c r="KQ162" s="148"/>
      <c r="KR162" s="148"/>
      <c r="KS162" s="148"/>
      <c r="KT162" s="148"/>
      <c r="KU162" s="148"/>
      <c r="KV162" s="148"/>
      <c r="KW162" s="148"/>
      <c r="KX162" s="148"/>
      <c r="KY162" s="148"/>
      <c r="KZ162" s="148"/>
      <c r="LA162" s="148"/>
      <c r="LB162" s="148"/>
      <c r="LC162" s="148"/>
      <c r="LD162" s="148"/>
      <c r="LE162" s="148"/>
      <c r="LF162" s="148"/>
      <c r="LG162" s="148"/>
      <c r="LH162" s="148"/>
      <c r="LI162" s="148"/>
      <c r="LJ162" s="148"/>
      <c r="LK162" s="148"/>
      <c r="LL162" s="148"/>
      <c r="LM162" s="148"/>
      <c r="LN162" s="148"/>
      <c r="LO162" s="148"/>
      <c r="LP162" s="148"/>
      <c r="LQ162" s="148"/>
      <c r="LR162" s="148"/>
      <c r="LS162" s="148"/>
      <c r="LT162" s="148"/>
      <c r="LU162" s="148"/>
      <c r="LV162" s="148"/>
      <c r="LW162" s="148"/>
      <c r="LX162" s="148"/>
      <c r="LY162" s="148"/>
      <c r="LZ162" s="148"/>
      <c r="MA162" s="148"/>
      <c r="MB162" s="148"/>
      <c r="MC162" s="148"/>
      <c r="MD162" s="148"/>
      <c r="ME162" s="148"/>
      <c r="MF162" s="148"/>
      <c r="MG162" s="148"/>
      <c r="MH162" s="148"/>
      <c r="MI162" s="148"/>
      <c r="MJ162" s="148"/>
      <c r="MK162" s="148"/>
      <c r="ML162" s="148"/>
      <c r="MM162" s="148"/>
      <c r="MN162" s="148"/>
      <c r="MO162" s="148"/>
      <c r="MP162" s="148"/>
      <c r="MQ162" s="148"/>
      <c r="MR162" s="148"/>
      <c r="MS162" s="148"/>
      <c r="MT162" s="148"/>
      <c r="MU162" s="148"/>
      <c r="MV162" s="148"/>
      <c r="MW162" s="148"/>
      <c r="MX162" s="148"/>
      <c r="MY162" s="148"/>
      <c r="MZ162" s="148"/>
      <c r="NA162" s="148"/>
      <c r="NB162" s="148"/>
      <c r="NC162" s="148"/>
      <c r="ND162" s="148"/>
      <c r="NE162" s="148"/>
      <c r="NF162" s="148"/>
      <c r="NG162" s="148"/>
      <c r="NH162" s="148"/>
      <c r="NI162" s="148"/>
      <c r="NJ162" s="148"/>
      <c r="NK162" s="148"/>
      <c r="NL162" s="148"/>
      <c r="NM162" s="148"/>
      <c r="NN162" s="148"/>
      <c r="NO162" s="148"/>
      <c r="NP162" s="148"/>
      <c r="NQ162" s="148"/>
      <c r="NR162" s="148"/>
      <c r="NS162" s="148"/>
      <c r="NT162" s="148"/>
      <c r="NU162" s="148"/>
      <c r="NV162" s="148"/>
      <c r="NW162" s="148"/>
      <c r="NX162" s="148"/>
      <c r="NY162" s="148"/>
      <c r="NZ162" s="148"/>
      <c r="OA162" s="148"/>
      <c r="OB162" s="148"/>
      <c r="OC162" s="148"/>
      <c r="OD162" s="148"/>
      <c r="OE162" s="148"/>
      <c r="OF162" s="148"/>
      <c r="OG162" s="148"/>
      <c r="OH162" s="148"/>
      <c r="OI162" s="148"/>
      <c r="OJ162" s="148"/>
      <c r="OK162" s="148"/>
      <c r="OL162" s="148"/>
      <c r="OM162" s="148"/>
      <c r="ON162" s="148"/>
      <c r="OO162" s="148"/>
      <c r="OP162" s="148"/>
      <c r="OQ162" s="148"/>
      <c r="OR162" s="148"/>
      <c r="OS162" s="148"/>
      <c r="OT162" s="148"/>
      <c r="OU162" s="148"/>
      <c r="OV162" s="148"/>
      <c r="OW162" s="148"/>
      <c r="OX162" s="148"/>
      <c r="OY162" s="148"/>
      <c r="OZ162" s="148"/>
      <c r="PA162" s="148"/>
      <c r="PB162" s="148"/>
      <c r="PC162" s="148"/>
      <c r="PD162" s="148"/>
      <c r="PE162" s="148"/>
      <c r="PF162" s="148"/>
      <c r="PG162" s="148"/>
      <c r="PH162" s="148"/>
      <c r="PI162" s="148"/>
      <c r="PJ162" s="148"/>
      <c r="PK162" s="148"/>
      <c r="PL162" s="148"/>
      <c r="PM162" s="148"/>
      <c r="PN162" s="148"/>
      <c r="PO162" s="148"/>
      <c r="PP162" s="148"/>
      <c r="PQ162" s="148"/>
      <c r="PR162" s="148"/>
      <c r="PS162" s="148"/>
      <c r="PT162" s="148"/>
      <c r="PU162" s="148"/>
      <c r="PV162" s="148"/>
      <c r="PW162" s="148"/>
      <c r="PX162" s="148"/>
      <c r="PY162" s="148"/>
      <c r="PZ162" s="148"/>
      <c r="QA162" s="148"/>
      <c r="QB162" s="148"/>
      <c r="QC162" s="148"/>
      <c r="QD162" s="148"/>
      <c r="QE162" s="148"/>
      <c r="QF162" s="148"/>
      <c r="QG162" s="148"/>
      <c r="QH162" s="148"/>
      <c r="QI162" s="148"/>
      <c r="QJ162" s="148"/>
      <c r="QK162" s="148"/>
      <c r="QL162" s="148"/>
      <c r="QM162" s="148"/>
      <c r="QN162" s="148"/>
      <c r="QO162" s="148"/>
      <c r="QP162" s="148"/>
      <c r="QQ162" s="148"/>
      <c r="QR162" s="148"/>
      <c r="QS162" s="148"/>
      <c r="QT162" s="148"/>
      <c r="QU162" s="148"/>
      <c r="QV162" s="148"/>
      <c r="QW162" s="148"/>
      <c r="QX162" s="148"/>
      <c r="QY162" s="148"/>
      <c r="QZ162" s="148"/>
      <c r="RA162" s="148"/>
      <c r="RB162" s="148"/>
      <c r="RC162" s="148"/>
      <c r="RD162" s="148"/>
      <c r="RE162" s="148"/>
      <c r="RF162" s="148"/>
      <c r="RG162" s="148"/>
      <c r="RH162" s="148"/>
      <c r="RI162" s="148"/>
      <c r="RJ162" s="148"/>
      <c r="RK162" s="148"/>
      <c r="RL162" s="148"/>
      <c r="RM162" s="148"/>
      <c r="RN162" s="148"/>
      <c r="RO162" s="148"/>
      <c r="RP162" s="148"/>
      <c r="RQ162" s="148"/>
      <c r="RR162" s="148"/>
    </row>
    <row r="163" spans="1:486" s="15" customFormat="1" hidden="1" x14ac:dyDescent="0.25">
      <c r="A163" s="148"/>
      <c r="B163" s="350">
        <v>153</v>
      </c>
      <c r="C163" s="650"/>
      <c r="D163" s="16"/>
      <c r="E163" s="344"/>
      <c r="F163" s="344"/>
      <c r="G163" s="17"/>
      <c r="H163" s="317"/>
      <c r="I163" s="346"/>
      <c r="J163" s="341"/>
      <c r="K163" s="633"/>
      <c r="L163" s="633"/>
      <c r="M163" s="633"/>
      <c r="N163" s="633"/>
      <c r="O163" s="633"/>
      <c r="P163" s="633"/>
      <c r="Q163" s="633"/>
      <c r="R163" s="633"/>
      <c r="S163" s="633"/>
      <c r="T163" s="633"/>
      <c r="U163" s="633"/>
      <c r="V163" s="633"/>
      <c r="W163" s="633"/>
      <c r="X163" s="633"/>
      <c r="Y163" s="633">
        <f t="shared" si="6"/>
        <v>0</v>
      </c>
      <c r="Z163" s="637"/>
      <c r="AA163" s="19"/>
      <c r="AB163" s="21"/>
      <c r="AC163" s="23"/>
      <c r="AD163" s="652"/>
      <c r="AE163" s="20"/>
      <c r="AF163" s="21"/>
      <c r="AG163" s="23"/>
      <c r="AH163" s="637"/>
      <c r="AI163" s="19"/>
      <c r="AJ163" s="21"/>
      <c r="AK163" s="25"/>
      <c r="AL163" s="309"/>
      <c r="AM163" s="19"/>
      <c r="AN163" s="21"/>
      <c r="AO163" s="25"/>
      <c r="AP163" s="309"/>
      <c r="AQ163" s="19"/>
      <c r="AR163" s="21"/>
      <c r="AS163" s="25"/>
      <c r="AT163" s="638">
        <f t="shared" si="7"/>
        <v>0</v>
      </c>
      <c r="AU163" s="311">
        <f t="shared" si="5"/>
        <v>0</v>
      </c>
      <c r="AV163" s="148"/>
      <c r="AW163" s="148"/>
      <c r="AX163" s="148"/>
      <c r="AY163" s="148"/>
      <c r="AZ163" s="148"/>
      <c r="BA163" s="148"/>
      <c r="BB163" s="148"/>
      <c r="BC163" s="148"/>
      <c r="BD163" s="148"/>
      <c r="BE163" s="148"/>
      <c r="BF163" s="148"/>
      <c r="BG163" s="148"/>
      <c r="BH163" s="148"/>
      <c r="BI163" s="148"/>
      <c r="BJ163" s="148"/>
      <c r="BK163" s="148"/>
      <c r="BL163" s="148"/>
      <c r="BM163" s="148"/>
      <c r="BN163" s="148"/>
      <c r="BO163" s="148"/>
      <c r="BP163" s="148"/>
      <c r="BQ163" s="148"/>
      <c r="BR163" s="148"/>
      <c r="BS163" s="148"/>
      <c r="BT163" s="148"/>
      <c r="BU163" s="148"/>
      <c r="BV163" s="148"/>
      <c r="BW163" s="148"/>
      <c r="BX163" s="148"/>
      <c r="BY163" s="148"/>
      <c r="BZ163" s="148"/>
      <c r="CA163" s="148"/>
      <c r="CB163" s="148"/>
      <c r="CC163" s="148"/>
      <c r="CD163" s="148"/>
      <c r="CE163" s="148"/>
      <c r="CF163" s="148"/>
      <c r="CG163" s="148"/>
      <c r="CH163" s="148"/>
      <c r="CI163" s="148"/>
      <c r="CJ163" s="148"/>
      <c r="CK163" s="148"/>
      <c r="CL163" s="148"/>
      <c r="CM163" s="148"/>
      <c r="CN163" s="148"/>
      <c r="CO163" s="148"/>
      <c r="CP163" s="148"/>
      <c r="CQ163" s="148"/>
      <c r="CR163" s="148"/>
      <c r="CS163" s="148"/>
      <c r="CT163" s="148"/>
      <c r="CU163" s="148"/>
      <c r="CV163" s="148"/>
      <c r="CW163" s="148"/>
      <c r="CX163" s="148"/>
      <c r="CY163" s="148"/>
      <c r="CZ163" s="148"/>
      <c r="DA163" s="148"/>
      <c r="DB163" s="148"/>
      <c r="DC163" s="148"/>
      <c r="DD163" s="148"/>
      <c r="DE163" s="148"/>
      <c r="DF163" s="148"/>
      <c r="DG163" s="148"/>
      <c r="DH163" s="148"/>
      <c r="DI163" s="148"/>
      <c r="DJ163" s="148"/>
      <c r="DK163" s="148"/>
      <c r="DL163" s="148"/>
      <c r="DM163" s="148"/>
      <c r="DN163" s="148"/>
      <c r="DO163" s="148"/>
      <c r="DP163" s="148"/>
      <c r="DQ163" s="148"/>
      <c r="DR163" s="148"/>
      <c r="DS163" s="148"/>
      <c r="DT163" s="148"/>
      <c r="DU163" s="148"/>
      <c r="DV163" s="148"/>
      <c r="DW163" s="148"/>
      <c r="DX163" s="148"/>
      <c r="DY163" s="148"/>
      <c r="DZ163" s="148"/>
      <c r="EA163" s="148"/>
      <c r="EB163" s="148"/>
      <c r="EC163" s="148"/>
      <c r="ED163" s="148"/>
      <c r="EE163" s="148"/>
      <c r="EF163" s="148"/>
      <c r="EG163" s="148"/>
      <c r="EH163" s="148"/>
      <c r="EI163" s="148"/>
      <c r="EJ163" s="148"/>
      <c r="EK163" s="148"/>
      <c r="EL163" s="148"/>
      <c r="EM163" s="148"/>
      <c r="EN163" s="148"/>
      <c r="EO163" s="148"/>
      <c r="EP163" s="148"/>
      <c r="EQ163" s="148"/>
      <c r="ER163" s="148"/>
      <c r="ES163" s="148"/>
      <c r="ET163" s="148"/>
      <c r="EU163" s="148"/>
      <c r="EV163" s="148"/>
      <c r="EW163" s="148"/>
      <c r="EX163" s="148"/>
      <c r="EY163" s="148"/>
      <c r="EZ163" s="148"/>
      <c r="FA163" s="148"/>
      <c r="FB163" s="148"/>
      <c r="FC163" s="148"/>
      <c r="FD163" s="148"/>
      <c r="FE163" s="148"/>
      <c r="FF163" s="148"/>
      <c r="FG163" s="148"/>
      <c r="FH163" s="148"/>
      <c r="FI163" s="148"/>
      <c r="FJ163" s="148"/>
      <c r="FK163" s="148"/>
      <c r="FL163" s="148"/>
      <c r="FM163" s="148"/>
      <c r="FN163" s="148"/>
      <c r="FO163" s="148"/>
      <c r="FP163" s="148"/>
      <c r="FQ163" s="148"/>
      <c r="FR163" s="148"/>
      <c r="FS163" s="148"/>
      <c r="FT163" s="148"/>
      <c r="FU163" s="148"/>
      <c r="FV163" s="148"/>
      <c r="FW163" s="148"/>
      <c r="FX163" s="148"/>
      <c r="FY163" s="148"/>
      <c r="FZ163" s="148"/>
      <c r="GA163" s="148"/>
      <c r="GB163" s="148"/>
      <c r="GC163" s="148"/>
      <c r="GD163" s="148"/>
      <c r="GE163" s="148"/>
      <c r="GF163" s="148"/>
      <c r="GG163" s="148"/>
      <c r="GH163" s="148"/>
      <c r="GI163" s="148"/>
      <c r="GJ163" s="148"/>
      <c r="GK163" s="148"/>
      <c r="GL163" s="148"/>
      <c r="GM163" s="148"/>
      <c r="GN163" s="148"/>
      <c r="GO163" s="148"/>
      <c r="GP163" s="148"/>
      <c r="GQ163" s="148"/>
      <c r="GR163" s="148"/>
      <c r="GS163" s="148"/>
      <c r="GT163" s="148"/>
      <c r="GU163" s="148"/>
      <c r="GV163" s="148"/>
      <c r="GW163" s="148"/>
      <c r="GX163" s="148"/>
      <c r="GY163" s="148"/>
      <c r="GZ163" s="148"/>
      <c r="HA163" s="148"/>
      <c r="HB163" s="148"/>
      <c r="HC163" s="148"/>
      <c r="HD163" s="148"/>
      <c r="HE163" s="148"/>
      <c r="HF163" s="148"/>
      <c r="HG163" s="148"/>
      <c r="HH163" s="148"/>
      <c r="HI163" s="148"/>
      <c r="HJ163" s="148"/>
      <c r="HK163" s="148"/>
      <c r="HL163" s="148"/>
      <c r="HM163" s="148"/>
      <c r="HN163" s="148"/>
      <c r="HO163" s="148"/>
      <c r="HP163" s="148"/>
      <c r="HQ163" s="148"/>
      <c r="HR163" s="148"/>
      <c r="HS163" s="148"/>
      <c r="HT163" s="148"/>
      <c r="HU163" s="148"/>
      <c r="HV163" s="148"/>
      <c r="HW163" s="148"/>
      <c r="HX163" s="148"/>
      <c r="HY163" s="148"/>
      <c r="HZ163" s="148"/>
      <c r="IA163" s="148"/>
      <c r="IB163" s="148"/>
      <c r="IC163" s="148"/>
      <c r="ID163" s="148"/>
      <c r="IE163" s="148"/>
      <c r="IF163" s="148"/>
      <c r="IG163" s="148"/>
      <c r="IH163" s="148"/>
      <c r="II163" s="148"/>
      <c r="IJ163" s="148"/>
      <c r="IK163" s="148"/>
      <c r="IL163" s="148"/>
      <c r="IM163" s="148"/>
      <c r="IN163" s="148"/>
      <c r="IO163" s="148"/>
      <c r="IP163" s="148"/>
      <c r="IQ163" s="148"/>
      <c r="IR163" s="148"/>
      <c r="IS163" s="148"/>
      <c r="IT163" s="148"/>
      <c r="IU163" s="148"/>
      <c r="IV163" s="148"/>
      <c r="IW163" s="148"/>
      <c r="IX163" s="148"/>
      <c r="IY163" s="148"/>
      <c r="IZ163" s="148"/>
      <c r="JA163" s="148"/>
      <c r="JB163" s="148"/>
      <c r="JC163" s="148"/>
      <c r="JD163" s="148"/>
      <c r="JE163" s="148"/>
      <c r="JF163" s="148"/>
      <c r="JG163" s="148"/>
      <c r="JH163" s="148"/>
      <c r="JI163" s="148"/>
      <c r="JJ163" s="148"/>
      <c r="JK163" s="148"/>
      <c r="JL163" s="148"/>
      <c r="JM163" s="148"/>
      <c r="JN163" s="148"/>
      <c r="JO163" s="148"/>
      <c r="JP163" s="148"/>
      <c r="JQ163" s="148"/>
      <c r="JR163" s="148"/>
      <c r="JS163" s="148"/>
      <c r="JT163" s="148"/>
      <c r="JU163" s="148"/>
      <c r="JV163" s="148"/>
      <c r="JW163" s="148"/>
      <c r="JX163" s="148"/>
      <c r="JY163" s="148"/>
      <c r="JZ163" s="148"/>
      <c r="KA163" s="148"/>
      <c r="KB163" s="148"/>
      <c r="KC163" s="148"/>
      <c r="KD163" s="148"/>
      <c r="KE163" s="148"/>
      <c r="KF163" s="148"/>
      <c r="KG163" s="148"/>
      <c r="KH163" s="148"/>
      <c r="KI163" s="148"/>
      <c r="KJ163" s="148"/>
      <c r="KK163" s="148"/>
      <c r="KL163" s="148"/>
      <c r="KM163" s="148"/>
      <c r="KN163" s="148"/>
      <c r="KO163" s="148"/>
      <c r="KP163" s="148"/>
      <c r="KQ163" s="148"/>
      <c r="KR163" s="148"/>
      <c r="KS163" s="148"/>
      <c r="KT163" s="148"/>
      <c r="KU163" s="148"/>
      <c r="KV163" s="148"/>
      <c r="KW163" s="148"/>
      <c r="KX163" s="148"/>
      <c r="KY163" s="148"/>
      <c r="KZ163" s="148"/>
      <c r="LA163" s="148"/>
      <c r="LB163" s="148"/>
      <c r="LC163" s="148"/>
      <c r="LD163" s="148"/>
      <c r="LE163" s="148"/>
      <c r="LF163" s="148"/>
      <c r="LG163" s="148"/>
      <c r="LH163" s="148"/>
      <c r="LI163" s="148"/>
      <c r="LJ163" s="148"/>
      <c r="LK163" s="148"/>
      <c r="LL163" s="148"/>
      <c r="LM163" s="148"/>
      <c r="LN163" s="148"/>
      <c r="LO163" s="148"/>
      <c r="LP163" s="148"/>
      <c r="LQ163" s="148"/>
      <c r="LR163" s="148"/>
      <c r="LS163" s="148"/>
      <c r="LT163" s="148"/>
      <c r="LU163" s="148"/>
      <c r="LV163" s="148"/>
      <c r="LW163" s="148"/>
      <c r="LX163" s="148"/>
      <c r="LY163" s="148"/>
      <c r="LZ163" s="148"/>
      <c r="MA163" s="148"/>
      <c r="MB163" s="148"/>
      <c r="MC163" s="148"/>
      <c r="MD163" s="148"/>
      <c r="ME163" s="148"/>
      <c r="MF163" s="148"/>
      <c r="MG163" s="148"/>
      <c r="MH163" s="148"/>
      <c r="MI163" s="148"/>
      <c r="MJ163" s="148"/>
      <c r="MK163" s="148"/>
      <c r="ML163" s="148"/>
      <c r="MM163" s="148"/>
      <c r="MN163" s="148"/>
      <c r="MO163" s="148"/>
      <c r="MP163" s="148"/>
      <c r="MQ163" s="148"/>
      <c r="MR163" s="148"/>
      <c r="MS163" s="148"/>
      <c r="MT163" s="148"/>
      <c r="MU163" s="148"/>
      <c r="MV163" s="148"/>
      <c r="MW163" s="148"/>
      <c r="MX163" s="148"/>
      <c r="MY163" s="148"/>
      <c r="MZ163" s="148"/>
      <c r="NA163" s="148"/>
      <c r="NB163" s="148"/>
      <c r="NC163" s="148"/>
      <c r="ND163" s="148"/>
      <c r="NE163" s="148"/>
      <c r="NF163" s="148"/>
      <c r="NG163" s="148"/>
      <c r="NH163" s="148"/>
      <c r="NI163" s="148"/>
      <c r="NJ163" s="148"/>
      <c r="NK163" s="148"/>
      <c r="NL163" s="148"/>
      <c r="NM163" s="148"/>
      <c r="NN163" s="148"/>
      <c r="NO163" s="148"/>
      <c r="NP163" s="148"/>
      <c r="NQ163" s="148"/>
      <c r="NR163" s="148"/>
      <c r="NS163" s="148"/>
      <c r="NT163" s="148"/>
      <c r="NU163" s="148"/>
      <c r="NV163" s="148"/>
      <c r="NW163" s="148"/>
      <c r="NX163" s="148"/>
      <c r="NY163" s="148"/>
      <c r="NZ163" s="148"/>
      <c r="OA163" s="148"/>
      <c r="OB163" s="148"/>
      <c r="OC163" s="148"/>
      <c r="OD163" s="148"/>
      <c r="OE163" s="148"/>
      <c r="OF163" s="148"/>
      <c r="OG163" s="148"/>
      <c r="OH163" s="148"/>
      <c r="OI163" s="148"/>
      <c r="OJ163" s="148"/>
      <c r="OK163" s="148"/>
      <c r="OL163" s="148"/>
      <c r="OM163" s="148"/>
      <c r="ON163" s="148"/>
      <c r="OO163" s="148"/>
      <c r="OP163" s="148"/>
      <c r="OQ163" s="148"/>
      <c r="OR163" s="148"/>
      <c r="OS163" s="148"/>
      <c r="OT163" s="148"/>
      <c r="OU163" s="148"/>
      <c r="OV163" s="148"/>
      <c r="OW163" s="148"/>
      <c r="OX163" s="148"/>
      <c r="OY163" s="148"/>
      <c r="OZ163" s="148"/>
      <c r="PA163" s="148"/>
      <c r="PB163" s="148"/>
      <c r="PC163" s="148"/>
      <c r="PD163" s="148"/>
      <c r="PE163" s="148"/>
      <c r="PF163" s="148"/>
      <c r="PG163" s="148"/>
      <c r="PH163" s="148"/>
      <c r="PI163" s="148"/>
      <c r="PJ163" s="148"/>
      <c r="PK163" s="148"/>
      <c r="PL163" s="148"/>
      <c r="PM163" s="148"/>
      <c r="PN163" s="148"/>
      <c r="PO163" s="148"/>
      <c r="PP163" s="148"/>
      <c r="PQ163" s="148"/>
      <c r="PR163" s="148"/>
      <c r="PS163" s="148"/>
      <c r="PT163" s="148"/>
      <c r="PU163" s="148"/>
      <c r="PV163" s="148"/>
      <c r="PW163" s="148"/>
      <c r="PX163" s="148"/>
      <c r="PY163" s="148"/>
      <c r="PZ163" s="148"/>
      <c r="QA163" s="148"/>
      <c r="QB163" s="148"/>
      <c r="QC163" s="148"/>
      <c r="QD163" s="148"/>
      <c r="QE163" s="148"/>
      <c r="QF163" s="148"/>
      <c r="QG163" s="148"/>
      <c r="QH163" s="148"/>
      <c r="QI163" s="148"/>
      <c r="QJ163" s="148"/>
      <c r="QK163" s="148"/>
      <c r="QL163" s="148"/>
      <c r="QM163" s="148"/>
      <c r="QN163" s="148"/>
      <c r="QO163" s="148"/>
      <c r="QP163" s="148"/>
      <c r="QQ163" s="148"/>
      <c r="QR163" s="148"/>
      <c r="QS163" s="148"/>
      <c r="QT163" s="148"/>
      <c r="QU163" s="148"/>
      <c r="QV163" s="148"/>
      <c r="QW163" s="148"/>
      <c r="QX163" s="148"/>
      <c r="QY163" s="148"/>
      <c r="QZ163" s="148"/>
      <c r="RA163" s="148"/>
      <c r="RB163" s="148"/>
      <c r="RC163" s="148"/>
      <c r="RD163" s="148"/>
      <c r="RE163" s="148"/>
      <c r="RF163" s="148"/>
      <c r="RG163" s="148"/>
      <c r="RH163" s="148"/>
      <c r="RI163" s="148"/>
      <c r="RJ163" s="148"/>
      <c r="RK163" s="148"/>
      <c r="RL163" s="148"/>
      <c r="RM163" s="148"/>
      <c r="RN163" s="148"/>
      <c r="RO163" s="148"/>
      <c r="RP163" s="148"/>
      <c r="RQ163" s="148"/>
      <c r="RR163" s="148"/>
    </row>
    <row r="164" spans="1:486" s="15" customFormat="1" hidden="1" x14ac:dyDescent="0.25">
      <c r="A164" s="148"/>
      <c r="B164" s="350">
        <v>154</v>
      </c>
      <c r="C164" s="650"/>
      <c r="D164" s="16"/>
      <c r="E164" s="344"/>
      <c r="F164" s="344"/>
      <c r="G164" s="17"/>
      <c r="H164" s="317"/>
      <c r="I164" s="346"/>
      <c r="J164" s="341"/>
      <c r="K164" s="633"/>
      <c r="L164" s="633"/>
      <c r="M164" s="633"/>
      <c r="N164" s="633"/>
      <c r="O164" s="633"/>
      <c r="P164" s="633"/>
      <c r="Q164" s="633"/>
      <c r="R164" s="633"/>
      <c r="S164" s="633"/>
      <c r="T164" s="633"/>
      <c r="U164" s="633"/>
      <c r="V164" s="633"/>
      <c r="W164" s="633"/>
      <c r="X164" s="633"/>
      <c r="Y164" s="633">
        <f t="shared" si="6"/>
        <v>0</v>
      </c>
      <c r="Z164" s="637"/>
      <c r="AA164" s="19"/>
      <c r="AB164" s="21"/>
      <c r="AC164" s="23"/>
      <c r="AD164" s="652"/>
      <c r="AE164" s="20"/>
      <c r="AF164" s="21"/>
      <c r="AG164" s="23"/>
      <c r="AH164" s="637"/>
      <c r="AI164" s="19"/>
      <c r="AJ164" s="21"/>
      <c r="AK164" s="25"/>
      <c r="AL164" s="309"/>
      <c r="AM164" s="19"/>
      <c r="AN164" s="21"/>
      <c r="AO164" s="25"/>
      <c r="AP164" s="309"/>
      <c r="AQ164" s="19"/>
      <c r="AR164" s="21"/>
      <c r="AS164" s="25"/>
      <c r="AT164" s="638">
        <f t="shared" si="7"/>
        <v>0</v>
      </c>
      <c r="AU164" s="311">
        <f t="shared" si="5"/>
        <v>0</v>
      </c>
      <c r="AV164" s="148"/>
      <c r="AW164" s="148"/>
      <c r="AX164" s="148"/>
      <c r="AY164" s="148"/>
      <c r="AZ164" s="148"/>
      <c r="BA164" s="148"/>
      <c r="BB164" s="148"/>
      <c r="BC164" s="148"/>
      <c r="BD164" s="148"/>
      <c r="BE164" s="148"/>
      <c r="BF164" s="148"/>
      <c r="BG164" s="148"/>
      <c r="BH164" s="148"/>
      <c r="BI164" s="148"/>
      <c r="BJ164" s="148"/>
      <c r="BK164" s="148"/>
      <c r="BL164" s="148"/>
      <c r="BM164" s="148"/>
      <c r="BN164" s="148"/>
      <c r="BO164" s="148"/>
      <c r="BP164" s="148"/>
      <c r="BQ164" s="148"/>
      <c r="BR164" s="148"/>
      <c r="BS164" s="148"/>
      <c r="BT164" s="148"/>
      <c r="BU164" s="148"/>
      <c r="BV164" s="148"/>
      <c r="BW164" s="148"/>
      <c r="BX164" s="148"/>
      <c r="BY164" s="148"/>
      <c r="BZ164" s="148"/>
      <c r="CA164" s="148"/>
      <c r="CB164" s="148"/>
      <c r="CC164" s="148"/>
      <c r="CD164" s="148"/>
      <c r="CE164" s="148"/>
      <c r="CF164" s="148"/>
      <c r="CG164" s="148"/>
      <c r="CH164" s="148"/>
      <c r="CI164" s="148"/>
      <c r="CJ164" s="148"/>
      <c r="CK164" s="148"/>
      <c r="CL164" s="148"/>
      <c r="CM164" s="148"/>
      <c r="CN164" s="148"/>
      <c r="CO164" s="148"/>
      <c r="CP164" s="148"/>
      <c r="CQ164" s="148"/>
      <c r="CR164" s="148"/>
      <c r="CS164" s="148"/>
      <c r="CT164" s="148"/>
      <c r="CU164" s="148"/>
      <c r="CV164" s="148"/>
      <c r="CW164" s="148"/>
      <c r="CX164" s="148"/>
      <c r="CY164" s="148"/>
      <c r="CZ164" s="148"/>
      <c r="DA164" s="148"/>
      <c r="DB164" s="148"/>
      <c r="DC164" s="148"/>
      <c r="DD164" s="148"/>
      <c r="DE164" s="148"/>
      <c r="DF164" s="148"/>
      <c r="DG164" s="148"/>
      <c r="DH164" s="148"/>
      <c r="DI164" s="148"/>
      <c r="DJ164" s="148"/>
      <c r="DK164" s="148"/>
      <c r="DL164" s="148"/>
      <c r="DM164" s="148"/>
      <c r="DN164" s="148"/>
      <c r="DO164" s="148"/>
      <c r="DP164" s="148"/>
      <c r="DQ164" s="148"/>
      <c r="DR164" s="148"/>
      <c r="DS164" s="148"/>
      <c r="DT164" s="148"/>
      <c r="DU164" s="148"/>
      <c r="DV164" s="148"/>
      <c r="DW164" s="148"/>
      <c r="DX164" s="148"/>
      <c r="DY164" s="148"/>
      <c r="DZ164" s="148"/>
      <c r="EA164" s="148"/>
      <c r="EB164" s="148"/>
      <c r="EC164" s="148"/>
      <c r="ED164" s="148"/>
      <c r="EE164" s="148"/>
      <c r="EF164" s="148"/>
      <c r="EG164" s="148"/>
      <c r="EH164" s="148"/>
      <c r="EI164" s="148"/>
      <c r="EJ164" s="148"/>
      <c r="EK164" s="148"/>
      <c r="EL164" s="148"/>
      <c r="EM164" s="148"/>
      <c r="EN164" s="148"/>
      <c r="EO164" s="148"/>
      <c r="EP164" s="148"/>
      <c r="EQ164" s="148"/>
      <c r="ER164" s="148"/>
      <c r="ES164" s="148"/>
      <c r="ET164" s="148"/>
      <c r="EU164" s="148"/>
      <c r="EV164" s="148"/>
      <c r="EW164" s="148"/>
      <c r="EX164" s="148"/>
      <c r="EY164" s="148"/>
      <c r="EZ164" s="148"/>
      <c r="FA164" s="148"/>
      <c r="FB164" s="148"/>
      <c r="FC164" s="148"/>
      <c r="FD164" s="148"/>
      <c r="FE164" s="148"/>
      <c r="FF164" s="148"/>
      <c r="FG164" s="148"/>
      <c r="FH164" s="148"/>
      <c r="FI164" s="148"/>
      <c r="FJ164" s="148"/>
      <c r="FK164" s="148"/>
      <c r="FL164" s="148"/>
      <c r="FM164" s="148"/>
      <c r="FN164" s="148"/>
      <c r="FO164" s="148"/>
      <c r="FP164" s="148"/>
      <c r="FQ164" s="148"/>
      <c r="FR164" s="148"/>
      <c r="FS164" s="148"/>
      <c r="FT164" s="148"/>
      <c r="FU164" s="148"/>
      <c r="FV164" s="148"/>
      <c r="FW164" s="148"/>
      <c r="FX164" s="148"/>
      <c r="FY164" s="148"/>
      <c r="FZ164" s="148"/>
      <c r="GA164" s="148"/>
      <c r="GB164" s="148"/>
      <c r="GC164" s="148"/>
      <c r="GD164" s="148"/>
      <c r="GE164" s="148"/>
      <c r="GF164" s="148"/>
      <c r="GG164" s="148"/>
      <c r="GH164" s="148"/>
      <c r="GI164" s="148"/>
      <c r="GJ164" s="148"/>
      <c r="GK164" s="148"/>
      <c r="GL164" s="148"/>
      <c r="GM164" s="148"/>
      <c r="GN164" s="148"/>
      <c r="GO164" s="148"/>
      <c r="GP164" s="148"/>
      <c r="GQ164" s="148"/>
      <c r="GR164" s="148"/>
      <c r="GS164" s="148"/>
      <c r="GT164" s="148"/>
      <c r="GU164" s="148"/>
      <c r="GV164" s="148"/>
      <c r="GW164" s="148"/>
      <c r="GX164" s="148"/>
      <c r="GY164" s="148"/>
      <c r="GZ164" s="148"/>
      <c r="HA164" s="148"/>
      <c r="HB164" s="148"/>
      <c r="HC164" s="148"/>
      <c r="HD164" s="148"/>
      <c r="HE164" s="148"/>
      <c r="HF164" s="148"/>
      <c r="HG164" s="148"/>
      <c r="HH164" s="148"/>
      <c r="HI164" s="148"/>
      <c r="HJ164" s="148"/>
      <c r="HK164" s="148"/>
      <c r="HL164" s="148"/>
      <c r="HM164" s="148"/>
      <c r="HN164" s="148"/>
      <c r="HO164" s="148"/>
      <c r="HP164" s="148"/>
      <c r="HQ164" s="148"/>
      <c r="HR164" s="148"/>
      <c r="HS164" s="148"/>
      <c r="HT164" s="148"/>
      <c r="HU164" s="148"/>
      <c r="HV164" s="148"/>
      <c r="HW164" s="148"/>
      <c r="HX164" s="148"/>
      <c r="HY164" s="148"/>
      <c r="HZ164" s="148"/>
      <c r="IA164" s="148"/>
      <c r="IB164" s="148"/>
      <c r="IC164" s="148"/>
      <c r="ID164" s="148"/>
      <c r="IE164" s="148"/>
      <c r="IF164" s="148"/>
      <c r="IG164" s="148"/>
      <c r="IH164" s="148"/>
      <c r="II164" s="148"/>
      <c r="IJ164" s="148"/>
      <c r="IK164" s="148"/>
      <c r="IL164" s="148"/>
      <c r="IM164" s="148"/>
      <c r="IN164" s="148"/>
      <c r="IO164" s="148"/>
      <c r="IP164" s="148"/>
      <c r="IQ164" s="148"/>
      <c r="IR164" s="148"/>
      <c r="IS164" s="148"/>
      <c r="IT164" s="148"/>
      <c r="IU164" s="148"/>
      <c r="IV164" s="148"/>
      <c r="IW164" s="148"/>
      <c r="IX164" s="148"/>
      <c r="IY164" s="148"/>
      <c r="IZ164" s="148"/>
      <c r="JA164" s="148"/>
      <c r="JB164" s="148"/>
      <c r="JC164" s="148"/>
      <c r="JD164" s="148"/>
      <c r="JE164" s="148"/>
      <c r="JF164" s="148"/>
      <c r="JG164" s="148"/>
      <c r="JH164" s="148"/>
      <c r="JI164" s="148"/>
      <c r="JJ164" s="148"/>
      <c r="JK164" s="148"/>
      <c r="JL164" s="148"/>
      <c r="JM164" s="148"/>
      <c r="JN164" s="148"/>
      <c r="JO164" s="148"/>
      <c r="JP164" s="148"/>
      <c r="JQ164" s="148"/>
      <c r="JR164" s="148"/>
      <c r="JS164" s="148"/>
      <c r="JT164" s="148"/>
      <c r="JU164" s="148"/>
      <c r="JV164" s="148"/>
      <c r="JW164" s="148"/>
      <c r="JX164" s="148"/>
      <c r="JY164" s="148"/>
      <c r="JZ164" s="148"/>
      <c r="KA164" s="148"/>
      <c r="KB164" s="148"/>
      <c r="KC164" s="148"/>
      <c r="KD164" s="148"/>
      <c r="KE164" s="148"/>
      <c r="KF164" s="148"/>
      <c r="KG164" s="148"/>
      <c r="KH164" s="148"/>
      <c r="KI164" s="148"/>
      <c r="KJ164" s="148"/>
      <c r="KK164" s="148"/>
      <c r="KL164" s="148"/>
      <c r="KM164" s="148"/>
      <c r="KN164" s="148"/>
      <c r="KO164" s="148"/>
      <c r="KP164" s="148"/>
      <c r="KQ164" s="148"/>
      <c r="KR164" s="148"/>
      <c r="KS164" s="148"/>
      <c r="KT164" s="148"/>
      <c r="KU164" s="148"/>
      <c r="KV164" s="148"/>
      <c r="KW164" s="148"/>
      <c r="KX164" s="148"/>
      <c r="KY164" s="148"/>
      <c r="KZ164" s="148"/>
      <c r="LA164" s="148"/>
      <c r="LB164" s="148"/>
      <c r="LC164" s="148"/>
      <c r="LD164" s="148"/>
      <c r="LE164" s="148"/>
      <c r="LF164" s="148"/>
      <c r="LG164" s="148"/>
      <c r="LH164" s="148"/>
      <c r="LI164" s="148"/>
      <c r="LJ164" s="148"/>
      <c r="LK164" s="148"/>
      <c r="LL164" s="148"/>
      <c r="LM164" s="148"/>
      <c r="LN164" s="148"/>
      <c r="LO164" s="148"/>
      <c r="LP164" s="148"/>
      <c r="LQ164" s="148"/>
      <c r="LR164" s="148"/>
      <c r="LS164" s="148"/>
      <c r="LT164" s="148"/>
      <c r="LU164" s="148"/>
      <c r="LV164" s="148"/>
      <c r="LW164" s="148"/>
      <c r="LX164" s="148"/>
      <c r="LY164" s="148"/>
      <c r="LZ164" s="148"/>
      <c r="MA164" s="148"/>
      <c r="MB164" s="148"/>
      <c r="MC164" s="148"/>
      <c r="MD164" s="148"/>
      <c r="ME164" s="148"/>
      <c r="MF164" s="148"/>
      <c r="MG164" s="148"/>
      <c r="MH164" s="148"/>
      <c r="MI164" s="148"/>
      <c r="MJ164" s="148"/>
      <c r="MK164" s="148"/>
      <c r="ML164" s="148"/>
      <c r="MM164" s="148"/>
      <c r="MN164" s="148"/>
      <c r="MO164" s="148"/>
      <c r="MP164" s="148"/>
      <c r="MQ164" s="148"/>
      <c r="MR164" s="148"/>
      <c r="MS164" s="148"/>
      <c r="MT164" s="148"/>
      <c r="MU164" s="148"/>
      <c r="MV164" s="148"/>
      <c r="MW164" s="148"/>
      <c r="MX164" s="148"/>
      <c r="MY164" s="148"/>
      <c r="MZ164" s="148"/>
      <c r="NA164" s="148"/>
      <c r="NB164" s="148"/>
      <c r="NC164" s="148"/>
      <c r="ND164" s="148"/>
      <c r="NE164" s="148"/>
      <c r="NF164" s="148"/>
      <c r="NG164" s="148"/>
      <c r="NH164" s="148"/>
      <c r="NI164" s="148"/>
      <c r="NJ164" s="148"/>
      <c r="NK164" s="148"/>
      <c r="NL164" s="148"/>
      <c r="NM164" s="148"/>
      <c r="NN164" s="148"/>
      <c r="NO164" s="148"/>
      <c r="NP164" s="148"/>
      <c r="NQ164" s="148"/>
      <c r="NR164" s="148"/>
      <c r="NS164" s="148"/>
      <c r="NT164" s="148"/>
      <c r="NU164" s="148"/>
      <c r="NV164" s="148"/>
      <c r="NW164" s="148"/>
      <c r="NX164" s="148"/>
      <c r="NY164" s="148"/>
      <c r="NZ164" s="148"/>
      <c r="OA164" s="148"/>
      <c r="OB164" s="148"/>
      <c r="OC164" s="148"/>
      <c r="OD164" s="148"/>
      <c r="OE164" s="148"/>
      <c r="OF164" s="148"/>
      <c r="OG164" s="148"/>
      <c r="OH164" s="148"/>
      <c r="OI164" s="148"/>
      <c r="OJ164" s="148"/>
      <c r="OK164" s="148"/>
      <c r="OL164" s="148"/>
      <c r="OM164" s="148"/>
      <c r="ON164" s="148"/>
      <c r="OO164" s="148"/>
      <c r="OP164" s="148"/>
      <c r="OQ164" s="148"/>
      <c r="OR164" s="148"/>
      <c r="OS164" s="148"/>
      <c r="OT164" s="148"/>
      <c r="OU164" s="148"/>
      <c r="OV164" s="148"/>
      <c r="OW164" s="148"/>
      <c r="OX164" s="148"/>
      <c r="OY164" s="148"/>
      <c r="OZ164" s="148"/>
      <c r="PA164" s="148"/>
      <c r="PB164" s="148"/>
      <c r="PC164" s="148"/>
      <c r="PD164" s="148"/>
      <c r="PE164" s="148"/>
      <c r="PF164" s="148"/>
      <c r="PG164" s="148"/>
      <c r="PH164" s="148"/>
      <c r="PI164" s="148"/>
      <c r="PJ164" s="148"/>
      <c r="PK164" s="148"/>
      <c r="PL164" s="148"/>
      <c r="PM164" s="148"/>
      <c r="PN164" s="148"/>
      <c r="PO164" s="148"/>
      <c r="PP164" s="148"/>
      <c r="PQ164" s="148"/>
      <c r="PR164" s="148"/>
      <c r="PS164" s="148"/>
      <c r="PT164" s="148"/>
      <c r="PU164" s="148"/>
      <c r="PV164" s="148"/>
      <c r="PW164" s="148"/>
      <c r="PX164" s="148"/>
      <c r="PY164" s="148"/>
      <c r="PZ164" s="148"/>
      <c r="QA164" s="148"/>
      <c r="QB164" s="148"/>
      <c r="QC164" s="148"/>
      <c r="QD164" s="148"/>
      <c r="QE164" s="148"/>
      <c r="QF164" s="148"/>
      <c r="QG164" s="148"/>
      <c r="QH164" s="148"/>
      <c r="QI164" s="148"/>
      <c r="QJ164" s="148"/>
      <c r="QK164" s="148"/>
      <c r="QL164" s="148"/>
      <c r="QM164" s="148"/>
      <c r="QN164" s="148"/>
      <c r="QO164" s="148"/>
      <c r="QP164" s="148"/>
      <c r="QQ164" s="148"/>
      <c r="QR164" s="148"/>
      <c r="QS164" s="148"/>
      <c r="QT164" s="148"/>
      <c r="QU164" s="148"/>
      <c r="QV164" s="148"/>
      <c r="QW164" s="148"/>
      <c r="QX164" s="148"/>
      <c r="QY164" s="148"/>
      <c r="QZ164" s="148"/>
      <c r="RA164" s="148"/>
      <c r="RB164" s="148"/>
      <c r="RC164" s="148"/>
      <c r="RD164" s="148"/>
      <c r="RE164" s="148"/>
      <c r="RF164" s="148"/>
      <c r="RG164" s="148"/>
      <c r="RH164" s="148"/>
      <c r="RI164" s="148"/>
      <c r="RJ164" s="148"/>
      <c r="RK164" s="148"/>
      <c r="RL164" s="148"/>
      <c r="RM164" s="148"/>
      <c r="RN164" s="148"/>
      <c r="RO164" s="148"/>
      <c r="RP164" s="148"/>
      <c r="RQ164" s="148"/>
      <c r="RR164" s="148"/>
    </row>
    <row r="165" spans="1:486" s="15" customFormat="1" hidden="1" x14ac:dyDescent="0.25">
      <c r="A165" s="148"/>
      <c r="B165" s="350">
        <v>155</v>
      </c>
      <c r="C165" s="650"/>
      <c r="D165" s="16"/>
      <c r="E165" s="344"/>
      <c r="F165" s="344"/>
      <c r="G165" s="17"/>
      <c r="H165" s="317"/>
      <c r="I165" s="346"/>
      <c r="J165" s="341"/>
      <c r="K165" s="633"/>
      <c r="L165" s="633"/>
      <c r="M165" s="633"/>
      <c r="N165" s="633"/>
      <c r="O165" s="633"/>
      <c r="P165" s="633"/>
      <c r="Q165" s="633"/>
      <c r="R165" s="633"/>
      <c r="S165" s="633"/>
      <c r="T165" s="633"/>
      <c r="U165" s="633"/>
      <c r="V165" s="633"/>
      <c r="W165" s="633"/>
      <c r="X165" s="633"/>
      <c r="Y165" s="633">
        <f t="shared" si="6"/>
        <v>0</v>
      </c>
      <c r="Z165" s="637"/>
      <c r="AA165" s="19"/>
      <c r="AB165" s="21"/>
      <c r="AC165" s="23"/>
      <c r="AD165" s="652"/>
      <c r="AE165" s="20"/>
      <c r="AF165" s="21"/>
      <c r="AG165" s="23"/>
      <c r="AH165" s="637"/>
      <c r="AI165" s="19"/>
      <c r="AJ165" s="21"/>
      <c r="AK165" s="25"/>
      <c r="AL165" s="309"/>
      <c r="AM165" s="19"/>
      <c r="AN165" s="21"/>
      <c r="AO165" s="25"/>
      <c r="AP165" s="309"/>
      <c r="AQ165" s="19"/>
      <c r="AR165" s="21"/>
      <c r="AS165" s="25"/>
      <c r="AT165" s="638">
        <f t="shared" si="7"/>
        <v>0</v>
      </c>
      <c r="AU165" s="311">
        <f t="shared" si="5"/>
        <v>0</v>
      </c>
      <c r="AV165" s="148"/>
      <c r="AW165" s="148"/>
      <c r="AX165" s="148"/>
      <c r="AY165" s="148"/>
      <c r="AZ165" s="148"/>
      <c r="BA165" s="148"/>
      <c r="BB165" s="148"/>
      <c r="BC165" s="148"/>
      <c r="BD165" s="148"/>
      <c r="BE165" s="148"/>
      <c r="BF165" s="148"/>
      <c r="BG165" s="148"/>
      <c r="BH165" s="148"/>
      <c r="BI165" s="148"/>
      <c r="BJ165" s="148"/>
      <c r="BK165" s="148"/>
      <c r="BL165" s="148"/>
      <c r="BM165" s="148"/>
      <c r="BN165" s="148"/>
      <c r="BO165" s="148"/>
      <c r="BP165" s="148"/>
      <c r="BQ165" s="148"/>
      <c r="BR165" s="148"/>
      <c r="BS165" s="148"/>
      <c r="BT165" s="148"/>
      <c r="BU165" s="148"/>
      <c r="BV165" s="148"/>
      <c r="BW165" s="148"/>
      <c r="BX165" s="148"/>
      <c r="BY165" s="148"/>
      <c r="BZ165" s="148"/>
      <c r="CA165" s="148"/>
      <c r="CB165" s="148"/>
      <c r="CC165" s="148"/>
      <c r="CD165" s="148"/>
      <c r="CE165" s="148"/>
      <c r="CF165" s="148"/>
      <c r="CG165" s="148"/>
      <c r="CH165" s="148"/>
      <c r="CI165" s="148"/>
      <c r="CJ165" s="148"/>
      <c r="CK165" s="148"/>
      <c r="CL165" s="148"/>
      <c r="CM165" s="148"/>
      <c r="CN165" s="148"/>
      <c r="CO165" s="148"/>
      <c r="CP165" s="148"/>
      <c r="CQ165" s="148"/>
      <c r="CR165" s="148"/>
      <c r="CS165" s="148"/>
      <c r="CT165" s="148"/>
      <c r="CU165" s="148"/>
      <c r="CV165" s="148"/>
      <c r="CW165" s="148"/>
      <c r="CX165" s="148"/>
      <c r="CY165" s="148"/>
      <c r="CZ165" s="148"/>
      <c r="DA165" s="148"/>
      <c r="DB165" s="148"/>
      <c r="DC165" s="148"/>
      <c r="DD165" s="148"/>
      <c r="DE165" s="148"/>
      <c r="DF165" s="148"/>
      <c r="DG165" s="148"/>
      <c r="DH165" s="148"/>
      <c r="DI165" s="148"/>
      <c r="DJ165" s="148"/>
      <c r="DK165" s="148"/>
      <c r="DL165" s="148"/>
      <c r="DM165" s="148"/>
      <c r="DN165" s="148"/>
      <c r="DO165" s="148"/>
      <c r="DP165" s="148"/>
      <c r="DQ165" s="148"/>
      <c r="DR165" s="148"/>
      <c r="DS165" s="148"/>
      <c r="DT165" s="148"/>
      <c r="DU165" s="148"/>
      <c r="DV165" s="148"/>
      <c r="DW165" s="148"/>
      <c r="DX165" s="148"/>
      <c r="DY165" s="148"/>
      <c r="DZ165" s="148"/>
      <c r="EA165" s="148"/>
      <c r="EB165" s="148"/>
      <c r="EC165" s="148"/>
      <c r="ED165" s="148"/>
      <c r="EE165" s="148"/>
      <c r="EF165" s="148"/>
      <c r="EG165" s="148"/>
      <c r="EH165" s="148"/>
      <c r="EI165" s="148"/>
      <c r="EJ165" s="148"/>
      <c r="EK165" s="148"/>
      <c r="EL165" s="148"/>
      <c r="EM165" s="148"/>
      <c r="EN165" s="148"/>
      <c r="EO165" s="148"/>
      <c r="EP165" s="148"/>
      <c r="EQ165" s="148"/>
      <c r="ER165" s="148"/>
      <c r="ES165" s="148"/>
      <c r="ET165" s="148"/>
      <c r="EU165" s="148"/>
      <c r="EV165" s="148"/>
      <c r="EW165" s="148"/>
      <c r="EX165" s="148"/>
      <c r="EY165" s="148"/>
      <c r="EZ165" s="148"/>
      <c r="FA165" s="148"/>
      <c r="FB165" s="148"/>
      <c r="FC165" s="148"/>
      <c r="FD165" s="148"/>
      <c r="FE165" s="148"/>
      <c r="FF165" s="148"/>
      <c r="FG165" s="148"/>
      <c r="FH165" s="148"/>
      <c r="FI165" s="148"/>
      <c r="FJ165" s="148"/>
      <c r="FK165" s="148"/>
      <c r="FL165" s="148"/>
      <c r="FM165" s="148"/>
      <c r="FN165" s="148"/>
      <c r="FO165" s="148"/>
      <c r="FP165" s="148"/>
      <c r="FQ165" s="148"/>
      <c r="FR165" s="148"/>
      <c r="FS165" s="148"/>
      <c r="FT165" s="148"/>
      <c r="FU165" s="148"/>
      <c r="FV165" s="148"/>
      <c r="FW165" s="148"/>
      <c r="FX165" s="148"/>
      <c r="FY165" s="148"/>
      <c r="FZ165" s="148"/>
      <c r="GA165" s="148"/>
      <c r="GB165" s="148"/>
      <c r="GC165" s="148"/>
      <c r="GD165" s="148"/>
      <c r="GE165" s="148"/>
      <c r="GF165" s="148"/>
      <c r="GG165" s="148"/>
      <c r="GH165" s="148"/>
      <c r="GI165" s="148"/>
      <c r="GJ165" s="148"/>
      <c r="GK165" s="148"/>
      <c r="GL165" s="148"/>
      <c r="GM165" s="148"/>
      <c r="GN165" s="148"/>
      <c r="GO165" s="148"/>
      <c r="GP165" s="148"/>
      <c r="GQ165" s="148"/>
      <c r="GR165" s="148"/>
      <c r="GS165" s="148"/>
      <c r="GT165" s="148"/>
      <c r="GU165" s="148"/>
      <c r="GV165" s="148"/>
      <c r="GW165" s="148"/>
      <c r="GX165" s="148"/>
      <c r="GY165" s="148"/>
      <c r="GZ165" s="148"/>
      <c r="HA165" s="148"/>
      <c r="HB165" s="148"/>
      <c r="HC165" s="148"/>
      <c r="HD165" s="148"/>
      <c r="HE165" s="148"/>
      <c r="HF165" s="148"/>
      <c r="HG165" s="148"/>
      <c r="HH165" s="148"/>
      <c r="HI165" s="148"/>
      <c r="HJ165" s="148"/>
      <c r="HK165" s="148"/>
      <c r="HL165" s="148"/>
      <c r="HM165" s="148"/>
      <c r="HN165" s="148"/>
      <c r="HO165" s="148"/>
      <c r="HP165" s="148"/>
      <c r="HQ165" s="148"/>
      <c r="HR165" s="148"/>
      <c r="HS165" s="148"/>
      <c r="HT165" s="148"/>
      <c r="HU165" s="148"/>
      <c r="HV165" s="148"/>
      <c r="HW165" s="148"/>
      <c r="HX165" s="148"/>
      <c r="HY165" s="148"/>
      <c r="HZ165" s="148"/>
      <c r="IA165" s="148"/>
      <c r="IB165" s="148"/>
      <c r="IC165" s="148"/>
      <c r="ID165" s="148"/>
      <c r="IE165" s="148"/>
      <c r="IF165" s="148"/>
      <c r="IG165" s="148"/>
      <c r="IH165" s="148"/>
      <c r="II165" s="148"/>
      <c r="IJ165" s="148"/>
      <c r="IK165" s="148"/>
      <c r="IL165" s="148"/>
      <c r="IM165" s="148"/>
      <c r="IN165" s="148"/>
      <c r="IO165" s="148"/>
      <c r="IP165" s="148"/>
      <c r="IQ165" s="148"/>
      <c r="IR165" s="148"/>
      <c r="IS165" s="148"/>
      <c r="IT165" s="148"/>
      <c r="IU165" s="148"/>
      <c r="IV165" s="148"/>
      <c r="IW165" s="148"/>
      <c r="IX165" s="148"/>
      <c r="IY165" s="148"/>
      <c r="IZ165" s="148"/>
      <c r="JA165" s="148"/>
      <c r="JB165" s="148"/>
      <c r="JC165" s="148"/>
      <c r="JD165" s="148"/>
      <c r="JE165" s="148"/>
      <c r="JF165" s="148"/>
      <c r="JG165" s="148"/>
      <c r="JH165" s="148"/>
      <c r="JI165" s="148"/>
      <c r="JJ165" s="148"/>
      <c r="JK165" s="148"/>
      <c r="JL165" s="148"/>
      <c r="JM165" s="148"/>
      <c r="JN165" s="148"/>
      <c r="JO165" s="148"/>
      <c r="JP165" s="148"/>
      <c r="JQ165" s="148"/>
      <c r="JR165" s="148"/>
      <c r="JS165" s="148"/>
      <c r="JT165" s="148"/>
      <c r="JU165" s="148"/>
      <c r="JV165" s="148"/>
      <c r="JW165" s="148"/>
      <c r="JX165" s="148"/>
      <c r="JY165" s="148"/>
      <c r="JZ165" s="148"/>
      <c r="KA165" s="148"/>
      <c r="KB165" s="148"/>
      <c r="KC165" s="148"/>
      <c r="KD165" s="148"/>
      <c r="KE165" s="148"/>
      <c r="KF165" s="148"/>
      <c r="KG165" s="148"/>
      <c r="KH165" s="148"/>
      <c r="KI165" s="148"/>
      <c r="KJ165" s="148"/>
      <c r="KK165" s="148"/>
      <c r="KL165" s="148"/>
      <c r="KM165" s="148"/>
      <c r="KN165" s="148"/>
      <c r="KO165" s="148"/>
      <c r="KP165" s="148"/>
      <c r="KQ165" s="148"/>
      <c r="KR165" s="148"/>
      <c r="KS165" s="148"/>
      <c r="KT165" s="148"/>
      <c r="KU165" s="148"/>
      <c r="KV165" s="148"/>
      <c r="KW165" s="148"/>
      <c r="KX165" s="148"/>
      <c r="KY165" s="148"/>
      <c r="KZ165" s="148"/>
      <c r="LA165" s="148"/>
      <c r="LB165" s="148"/>
      <c r="LC165" s="148"/>
      <c r="LD165" s="148"/>
      <c r="LE165" s="148"/>
      <c r="LF165" s="148"/>
      <c r="LG165" s="148"/>
      <c r="LH165" s="148"/>
      <c r="LI165" s="148"/>
      <c r="LJ165" s="148"/>
      <c r="LK165" s="148"/>
      <c r="LL165" s="148"/>
      <c r="LM165" s="148"/>
      <c r="LN165" s="148"/>
      <c r="LO165" s="148"/>
      <c r="LP165" s="148"/>
      <c r="LQ165" s="148"/>
      <c r="LR165" s="148"/>
      <c r="LS165" s="148"/>
      <c r="LT165" s="148"/>
      <c r="LU165" s="148"/>
      <c r="LV165" s="148"/>
      <c r="LW165" s="148"/>
      <c r="LX165" s="148"/>
      <c r="LY165" s="148"/>
      <c r="LZ165" s="148"/>
      <c r="MA165" s="148"/>
      <c r="MB165" s="148"/>
      <c r="MC165" s="148"/>
      <c r="MD165" s="148"/>
      <c r="ME165" s="148"/>
      <c r="MF165" s="148"/>
      <c r="MG165" s="148"/>
      <c r="MH165" s="148"/>
      <c r="MI165" s="148"/>
      <c r="MJ165" s="148"/>
      <c r="MK165" s="148"/>
      <c r="ML165" s="148"/>
      <c r="MM165" s="148"/>
      <c r="MN165" s="148"/>
      <c r="MO165" s="148"/>
      <c r="MP165" s="148"/>
      <c r="MQ165" s="148"/>
      <c r="MR165" s="148"/>
      <c r="MS165" s="148"/>
      <c r="MT165" s="148"/>
      <c r="MU165" s="148"/>
      <c r="MV165" s="148"/>
      <c r="MW165" s="148"/>
      <c r="MX165" s="148"/>
      <c r="MY165" s="148"/>
      <c r="MZ165" s="148"/>
      <c r="NA165" s="148"/>
      <c r="NB165" s="148"/>
      <c r="NC165" s="148"/>
      <c r="ND165" s="148"/>
      <c r="NE165" s="148"/>
      <c r="NF165" s="148"/>
      <c r="NG165" s="148"/>
      <c r="NH165" s="148"/>
      <c r="NI165" s="148"/>
      <c r="NJ165" s="148"/>
      <c r="NK165" s="148"/>
      <c r="NL165" s="148"/>
      <c r="NM165" s="148"/>
      <c r="NN165" s="148"/>
      <c r="NO165" s="148"/>
      <c r="NP165" s="148"/>
      <c r="NQ165" s="148"/>
      <c r="NR165" s="148"/>
      <c r="NS165" s="148"/>
      <c r="NT165" s="148"/>
      <c r="NU165" s="148"/>
      <c r="NV165" s="148"/>
      <c r="NW165" s="148"/>
      <c r="NX165" s="148"/>
      <c r="NY165" s="148"/>
      <c r="NZ165" s="148"/>
      <c r="OA165" s="148"/>
      <c r="OB165" s="148"/>
      <c r="OC165" s="148"/>
      <c r="OD165" s="148"/>
      <c r="OE165" s="148"/>
      <c r="OF165" s="148"/>
      <c r="OG165" s="148"/>
      <c r="OH165" s="148"/>
      <c r="OI165" s="148"/>
      <c r="OJ165" s="148"/>
      <c r="OK165" s="148"/>
      <c r="OL165" s="148"/>
      <c r="OM165" s="148"/>
      <c r="ON165" s="148"/>
      <c r="OO165" s="148"/>
      <c r="OP165" s="148"/>
      <c r="OQ165" s="148"/>
      <c r="OR165" s="148"/>
      <c r="OS165" s="148"/>
      <c r="OT165" s="148"/>
      <c r="OU165" s="148"/>
      <c r="OV165" s="148"/>
      <c r="OW165" s="148"/>
      <c r="OX165" s="148"/>
      <c r="OY165" s="148"/>
      <c r="OZ165" s="148"/>
      <c r="PA165" s="148"/>
      <c r="PB165" s="148"/>
      <c r="PC165" s="148"/>
      <c r="PD165" s="148"/>
      <c r="PE165" s="148"/>
      <c r="PF165" s="148"/>
      <c r="PG165" s="148"/>
      <c r="PH165" s="148"/>
      <c r="PI165" s="148"/>
      <c r="PJ165" s="148"/>
      <c r="PK165" s="148"/>
      <c r="PL165" s="148"/>
      <c r="PM165" s="148"/>
      <c r="PN165" s="148"/>
      <c r="PO165" s="148"/>
      <c r="PP165" s="148"/>
      <c r="PQ165" s="148"/>
      <c r="PR165" s="148"/>
      <c r="PS165" s="148"/>
      <c r="PT165" s="148"/>
      <c r="PU165" s="148"/>
      <c r="PV165" s="148"/>
      <c r="PW165" s="148"/>
      <c r="PX165" s="148"/>
      <c r="PY165" s="148"/>
      <c r="PZ165" s="148"/>
      <c r="QA165" s="148"/>
      <c r="QB165" s="148"/>
      <c r="QC165" s="148"/>
      <c r="QD165" s="148"/>
      <c r="QE165" s="148"/>
      <c r="QF165" s="148"/>
      <c r="QG165" s="148"/>
      <c r="QH165" s="148"/>
      <c r="QI165" s="148"/>
      <c r="QJ165" s="148"/>
      <c r="QK165" s="148"/>
      <c r="QL165" s="148"/>
      <c r="QM165" s="148"/>
      <c r="QN165" s="148"/>
      <c r="QO165" s="148"/>
      <c r="QP165" s="148"/>
      <c r="QQ165" s="148"/>
      <c r="QR165" s="148"/>
      <c r="QS165" s="148"/>
      <c r="QT165" s="148"/>
      <c r="QU165" s="148"/>
      <c r="QV165" s="148"/>
      <c r="QW165" s="148"/>
      <c r="QX165" s="148"/>
      <c r="QY165" s="148"/>
      <c r="QZ165" s="148"/>
      <c r="RA165" s="148"/>
      <c r="RB165" s="148"/>
      <c r="RC165" s="148"/>
      <c r="RD165" s="148"/>
      <c r="RE165" s="148"/>
      <c r="RF165" s="148"/>
      <c r="RG165" s="148"/>
      <c r="RH165" s="148"/>
      <c r="RI165" s="148"/>
      <c r="RJ165" s="148"/>
      <c r="RK165" s="148"/>
      <c r="RL165" s="148"/>
      <c r="RM165" s="148"/>
      <c r="RN165" s="148"/>
      <c r="RO165" s="148"/>
      <c r="RP165" s="148"/>
      <c r="RQ165" s="148"/>
      <c r="RR165" s="148"/>
    </row>
    <row r="166" spans="1:486" s="15" customFormat="1" hidden="1" x14ac:dyDescent="0.25">
      <c r="A166" s="148"/>
      <c r="B166" s="350">
        <v>156</v>
      </c>
      <c r="C166" s="650"/>
      <c r="D166" s="16"/>
      <c r="E166" s="344"/>
      <c r="F166" s="344"/>
      <c r="G166" s="17"/>
      <c r="H166" s="317"/>
      <c r="I166" s="346"/>
      <c r="J166" s="341"/>
      <c r="K166" s="633"/>
      <c r="L166" s="633"/>
      <c r="M166" s="633"/>
      <c r="N166" s="633"/>
      <c r="O166" s="633"/>
      <c r="P166" s="633"/>
      <c r="Q166" s="633"/>
      <c r="R166" s="633"/>
      <c r="S166" s="633"/>
      <c r="T166" s="633"/>
      <c r="U166" s="633"/>
      <c r="V166" s="633"/>
      <c r="W166" s="633"/>
      <c r="X166" s="633"/>
      <c r="Y166" s="633">
        <f t="shared" si="6"/>
        <v>0</v>
      </c>
      <c r="Z166" s="637"/>
      <c r="AA166" s="19"/>
      <c r="AB166" s="21"/>
      <c r="AC166" s="23"/>
      <c r="AD166" s="652"/>
      <c r="AE166" s="20"/>
      <c r="AF166" s="21"/>
      <c r="AG166" s="23"/>
      <c r="AH166" s="637"/>
      <c r="AI166" s="19"/>
      <c r="AJ166" s="21"/>
      <c r="AK166" s="25"/>
      <c r="AL166" s="309"/>
      <c r="AM166" s="19"/>
      <c r="AN166" s="21"/>
      <c r="AO166" s="25"/>
      <c r="AP166" s="309"/>
      <c r="AQ166" s="19"/>
      <c r="AR166" s="21"/>
      <c r="AS166" s="25"/>
      <c r="AT166" s="638">
        <f t="shared" si="7"/>
        <v>0</v>
      </c>
      <c r="AU166" s="311">
        <f t="shared" si="5"/>
        <v>0</v>
      </c>
      <c r="AV166" s="148"/>
      <c r="AW166" s="148"/>
      <c r="AX166" s="148"/>
      <c r="AY166" s="148"/>
      <c r="AZ166" s="148"/>
      <c r="BA166" s="148"/>
      <c r="BB166" s="148"/>
      <c r="BC166" s="148"/>
      <c r="BD166" s="148"/>
      <c r="BE166" s="148"/>
      <c r="BF166" s="148"/>
      <c r="BG166" s="148"/>
      <c r="BH166" s="148"/>
      <c r="BI166" s="148"/>
      <c r="BJ166" s="148"/>
      <c r="BK166" s="148"/>
      <c r="BL166" s="148"/>
      <c r="BM166" s="148"/>
      <c r="BN166" s="148"/>
      <c r="BO166" s="148"/>
      <c r="BP166" s="148"/>
      <c r="BQ166" s="148"/>
      <c r="BR166" s="148"/>
      <c r="BS166" s="148"/>
      <c r="BT166" s="148"/>
      <c r="BU166" s="148"/>
      <c r="BV166" s="148"/>
      <c r="BW166" s="148"/>
      <c r="BX166" s="148"/>
      <c r="BY166" s="148"/>
      <c r="BZ166" s="148"/>
      <c r="CA166" s="148"/>
      <c r="CB166" s="148"/>
      <c r="CC166" s="148"/>
      <c r="CD166" s="148"/>
      <c r="CE166" s="148"/>
      <c r="CF166" s="148"/>
      <c r="CG166" s="148"/>
      <c r="CH166" s="148"/>
      <c r="CI166" s="148"/>
      <c r="CJ166" s="148"/>
      <c r="CK166" s="148"/>
      <c r="CL166" s="148"/>
      <c r="CM166" s="148"/>
      <c r="CN166" s="148"/>
      <c r="CO166" s="148"/>
      <c r="CP166" s="148"/>
      <c r="CQ166" s="148"/>
      <c r="CR166" s="148"/>
      <c r="CS166" s="148"/>
      <c r="CT166" s="148"/>
      <c r="CU166" s="148"/>
      <c r="CV166" s="148"/>
      <c r="CW166" s="148"/>
      <c r="CX166" s="148"/>
      <c r="CY166" s="148"/>
      <c r="CZ166" s="148"/>
      <c r="DA166" s="148"/>
      <c r="DB166" s="148"/>
      <c r="DC166" s="148"/>
      <c r="DD166" s="148"/>
      <c r="DE166" s="148"/>
      <c r="DF166" s="148"/>
      <c r="DG166" s="148"/>
      <c r="DH166" s="148"/>
      <c r="DI166" s="148"/>
      <c r="DJ166" s="148"/>
      <c r="DK166" s="148"/>
      <c r="DL166" s="148"/>
      <c r="DM166" s="148"/>
      <c r="DN166" s="148"/>
      <c r="DO166" s="148"/>
      <c r="DP166" s="148"/>
      <c r="DQ166" s="148"/>
      <c r="DR166" s="148"/>
      <c r="DS166" s="148"/>
      <c r="DT166" s="148"/>
      <c r="DU166" s="148"/>
      <c r="DV166" s="148"/>
      <c r="DW166" s="148"/>
      <c r="DX166" s="148"/>
      <c r="DY166" s="148"/>
      <c r="DZ166" s="148"/>
      <c r="EA166" s="148"/>
      <c r="EB166" s="148"/>
      <c r="EC166" s="148"/>
      <c r="ED166" s="148"/>
      <c r="EE166" s="148"/>
      <c r="EF166" s="148"/>
      <c r="EG166" s="148"/>
      <c r="EH166" s="148"/>
      <c r="EI166" s="148"/>
      <c r="EJ166" s="148"/>
      <c r="EK166" s="148"/>
      <c r="EL166" s="148"/>
      <c r="EM166" s="148"/>
      <c r="EN166" s="148"/>
      <c r="EO166" s="148"/>
      <c r="EP166" s="148"/>
      <c r="EQ166" s="148"/>
      <c r="ER166" s="148"/>
      <c r="ES166" s="148"/>
      <c r="ET166" s="148"/>
      <c r="EU166" s="148"/>
      <c r="EV166" s="148"/>
      <c r="EW166" s="148"/>
      <c r="EX166" s="148"/>
      <c r="EY166" s="148"/>
      <c r="EZ166" s="148"/>
      <c r="FA166" s="148"/>
      <c r="FB166" s="148"/>
      <c r="FC166" s="148"/>
      <c r="FD166" s="148"/>
      <c r="FE166" s="148"/>
      <c r="FF166" s="148"/>
      <c r="FG166" s="148"/>
      <c r="FH166" s="148"/>
      <c r="FI166" s="148"/>
      <c r="FJ166" s="148"/>
      <c r="FK166" s="148"/>
      <c r="FL166" s="148"/>
      <c r="FM166" s="148"/>
      <c r="FN166" s="148"/>
      <c r="FO166" s="148"/>
      <c r="FP166" s="148"/>
      <c r="FQ166" s="148"/>
      <c r="FR166" s="148"/>
      <c r="FS166" s="148"/>
      <c r="FT166" s="148"/>
      <c r="FU166" s="148"/>
      <c r="FV166" s="148"/>
      <c r="FW166" s="148"/>
      <c r="FX166" s="148"/>
      <c r="FY166" s="148"/>
      <c r="FZ166" s="148"/>
      <c r="GA166" s="148"/>
      <c r="GB166" s="148"/>
      <c r="GC166" s="148"/>
      <c r="GD166" s="148"/>
      <c r="GE166" s="148"/>
      <c r="GF166" s="148"/>
      <c r="GG166" s="148"/>
      <c r="GH166" s="148"/>
      <c r="GI166" s="148"/>
      <c r="GJ166" s="148"/>
      <c r="GK166" s="148"/>
      <c r="GL166" s="148"/>
      <c r="GM166" s="148"/>
      <c r="GN166" s="148"/>
      <c r="GO166" s="148"/>
      <c r="GP166" s="148"/>
      <c r="GQ166" s="148"/>
      <c r="GR166" s="148"/>
      <c r="GS166" s="148"/>
      <c r="GT166" s="148"/>
      <c r="GU166" s="148"/>
      <c r="GV166" s="148"/>
      <c r="GW166" s="148"/>
      <c r="GX166" s="148"/>
      <c r="GY166" s="148"/>
      <c r="GZ166" s="148"/>
      <c r="HA166" s="148"/>
      <c r="HB166" s="148"/>
      <c r="HC166" s="148"/>
      <c r="HD166" s="148"/>
      <c r="HE166" s="148"/>
      <c r="HF166" s="148"/>
      <c r="HG166" s="148"/>
      <c r="HH166" s="148"/>
      <c r="HI166" s="148"/>
      <c r="HJ166" s="148"/>
      <c r="HK166" s="148"/>
      <c r="HL166" s="148"/>
      <c r="HM166" s="148"/>
      <c r="HN166" s="148"/>
      <c r="HO166" s="148"/>
      <c r="HP166" s="148"/>
      <c r="HQ166" s="148"/>
      <c r="HR166" s="148"/>
      <c r="HS166" s="148"/>
      <c r="HT166" s="148"/>
      <c r="HU166" s="148"/>
      <c r="HV166" s="148"/>
      <c r="HW166" s="148"/>
      <c r="HX166" s="148"/>
      <c r="HY166" s="148"/>
      <c r="HZ166" s="148"/>
      <c r="IA166" s="148"/>
      <c r="IB166" s="148"/>
      <c r="IC166" s="148"/>
      <c r="ID166" s="148"/>
      <c r="IE166" s="148"/>
      <c r="IF166" s="148"/>
      <c r="IG166" s="148"/>
      <c r="IH166" s="148"/>
      <c r="II166" s="148"/>
      <c r="IJ166" s="148"/>
      <c r="IK166" s="148"/>
      <c r="IL166" s="148"/>
      <c r="IM166" s="148"/>
      <c r="IN166" s="148"/>
      <c r="IO166" s="148"/>
      <c r="IP166" s="148"/>
      <c r="IQ166" s="148"/>
      <c r="IR166" s="148"/>
      <c r="IS166" s="148"/>
      <c r="IT166" s="148"/>
      <c r="IU166" s="148"/>
      <c r="IV166" s="148"/>
      <c r="IW166" s="148"/>
      <c r="IX166" s="148"/>
      <c r="IY166" s="148"/>
      <c r="IZ166" s="148"/>
      <c r="JA166" s="148"/>
      <c r="JB166" s="148"/>
      <c r="JC166" s="148"/>
      <c r="JD166" s="148"/>
      <c r="JE166" s="148"/>
      <c r="JF166" s="148"/>
      <c r="JG166" s="148"/>
      <c r="JH166" s="148"/>
      <c r="JI166" s="148"/>
      <c r="JJ166" s="148"/>
      <c r="JK166" s="148"/>
      <c r="JL166" s="148"/>
      <c r="JM166" s="148"/>
      <c r="JN166" s="148"/>
      <c r="JO166" s="148"/>
      <c r="JP166" s="148"/>
      <c r="JQ166" s="148"/>
      <c r="JR166" s="148"/>
      <c r="JS166" s="148"/>
      <c r="JT166" s="148"/>
      <c r="JU166" s="148"/>
      <c r="JV166" s="148"/>
      <c r="JW166" s="148"/>
      <c r="JX166" s="148"/>
      <c r="JY166" s="148"/>
      <c r="JZ166" s="148"/>
      <c r="KA166" s="148"/>
      <c r="KB166" s="148"/>
      <c r="KC166" s="148"/>
      <c r="KD166" s="148"/>
      <c r="KE166" s="148"/>
      <c r="KF166" s="148"/>
      <c r="KG166" s="148"/>
      <c r="KH166" s="148"/>
      <c r="KI166" s="148"/>
      <c r="KJ166" s="148"/>
      <c r="KK166" s="148"/>
      <c r="KL166" s="148"/>
      <c r="KM166" s="148"/>
      <c r="KN166" s="148"/>
      <c r="KO166" s="148"/>
      <c r="KP166" s="148"/>
      <c r="KQ166" s="148"/>
      <c r="KR166" s="148"/>
      <c r="KS166" s="148"/>
      <c r="KT166" s="148"/>
      <c r="KU166" s="148"/>
      <c r="KV166" s="148"/>
      <c r="KW166" s="148"/>
      <c r="KX166" s="148"/>
      <c r="KY166" s="148"/>
      <c r="KZ166" s="148"/>
      <c r="LA166" s="148"/>
      <c r="LB166" s="148"/>
      <c r="LC166" s="148"/>
      <c r="LD166" s="148"/>
      <c r="LE166" s="148"/>
      <c r="LF166" s="148"/>
      <c r="LG166" s="148"/>
      <c r="LH166" s="148"/>
      <c r="LI166" s="148"/>
      <c r="LJ166" s="148"/>
      <c r="LK166" s="148"/>
      <c r="LL166" s="148"/>
      <c r="LM166" s="148"/>
      <c r="LN166" s="148"/>
      <c r="LO166" s="148"/>
      <c r="LP166" s="148"/>
      <c r="LQ166" s="148"/>
      <c r="LR166" s="148"/>
      <c r="LS166" s="148"/>
      <c r="LT166" s="148"/>
      <c r="LU166" s="148"/>
      <c r="LV166" s="148"/>
      <c r="LW166" s="148"/>
      <c r="LX166" s="148"/>
      <c r="LY166" s="148"/>
      <c r="LZ166" s="148"/>
      <c r="MA166" s="148"/>
      <c r="MB166" s="148"/>
      <c r="MC166" s="148"/>
      <c r="MD166" s="148"/>
      <c r="ME166" s="148"/>
      <c r="MF166" s="148"/>
      <c r="MG166" s="148"/>
      <c r="MH166" s="148"/>
      <c r="MI166" s="148"/>
      <c r="MJ166" s="148"/>
      <c r="MK166" s="148"/>
      <c r="ML166" s="148"/>
      <c r="MM166" s="148"/>
      <c r="MN166" s="148"/>
      <c r="MO166" s="148"/>
      <c r="MP166" s="148"/>
      <c r="MQ166" s="148"/>
      <c r="MR166" s="148"/>
      <c r="MS166" s="148"/>
      <c r="MT166" s="148"/>
      <c r="MU166" s="148"/>
      <c r="MV166" s="148"/>
      <c r="MW166" s="148"/>
      <c r="MX166" s="148"/>
      <c r="MY166" s="148"/>
      <c r="MZ166" s="148"/>
      <c r="NA166" s="148"/>
      <c r="NB166" s="148"/>
      <c r="NC166" s="148"/>
      <c r="ND166" s="148"/>
      <c r="NE166" s="148"/>
      <c r="NF166" s="148"/>
      <c r="NG166" s="148"/>
      <c r="NH166" s="148"/>
      <c r="NI166" s="148"/>
      <c r="NJ166" s="148"/>
      <c r="NK166" s="148"/>
      <c r="NL166" s="148"/>
      <c r="NM166" s="148"/>
      <c r="NN166" s="148"/>
      <c r="NO166" s="148"/>
      <c r="NP166" s="148"/>
      <c r="NQ166" s="148"/>
      <c r="NR166" s="148"/>
      <c r="NS166" s="148"/>
      <c r="NT166" s="148"/>
      <c r="NU166" s="148"/>
      <c r="NV166" s="148"/>
      <c r="NW166" s="148"/>
      <c r="NX166" s="148"/>
      <c r="NY166" s="148"/>
      <c r="NZ166" s="148"/>
      <c r="OA166" s="148"/>
      <c r="OB166" s="148"/>
      <c r="OC166" s="148"/>
      <c r="OD166" s="148"/>
      <c r="OE166" s="148"/>
      <c r="OF166" s="148"/>
      <c r="OG166" s="148"/>
      <c r="OH166" s="148"/>
      <c r="OI166" s="148"/>
      <c r="OJ166" s="148"/>
      <c r="OK166" s="148"/>
      <c r="OL166" s="148"/>
      <c r="OM166" s="148"/>
      <c r="ON166" s="148"/>
      <c r="OO166" s="148"/>
      <c r="OP166" s="148"/>
      <c r="OQ166" s="148"/>
      <c r="OR166" s="148"/>
      <c r="OS166" s="148"/>
      <c r="OT166" s="148"/>
      <c r="OU166" s="148"/>
      <c r="OV166" s="148"/>
      <c r="OW166" s="148"/>
      <c r="OX166" s="148"/>
      <c r="OY166" s="148"/>
      <c r="OZ166" s="148"/>
      <c r="PA166" s="148"/>
      <c r="PB166" s="148"/>
      <c r="PC166" s="148"/>
      <c r="PD166" s="148"/>
      <c r="PE166" s="148"/>
      <c r="PF166" s="148"/>
      <c r="PG166" s="148"/>
      <c r="PH166" s="148"/>
      <c r="PI166" s="148"/>
      <c r="PJ166" s="148"/>
      <c r="PK166" s="148"/>
      <c r="PL166" s="148"/>
      <c r="PM166" s="148"/>
      <c r="PN166" s="148"/>
      <c r="PO166" s="148"/>
      <c r="PP166" s="148"/>
      <c r="PQ166" s="148"/>
      <c r="PR166" s="148"/>
      <c r="PS166" s="148"/>
      <c r="PT166" s="148"/>
      <c r="PU166" s="148"/>
      <c r="PV166" s="148"/>
      <c r="PW166" s="148"/>
      <c r="PX166" s="148"/>
      <c r="PY166" s="148"/>
      <c r="PZ166" s="148"/>
      <c r="QA166" s="148"/>
      <c r="QB166" s="148"/>
      <c r="QC166" s="148"/>
      <c r="QD166" s="148"/>
      <c r="QE166" s="148"/>
      <c r="QF166" s="148"/>
      <c r="QG166" s="148"/>
      <c r="QH166" s="148"/>
      <c r="QI166" s="148"/>
      <c r="QJ166" s="148"/>
      <c r="QK166" s="148"/>
      <c r="QL166" s="148"/>
      <c r="QM166" s="148"/>
      <c r="QN166" s="148"/>
      <c r="QO166" s="148"/>
      <c r="QP166" s="148"/>
      <c r="QQ166" s="148"/>
      <c r="QR166" s="148"/>
      <c r="QS166" s="148"/>
      <c r="QT166" s="148"/>
      <c r="QU166" s="148"/>
      <c r="QV166" s="148"/>
      <c r="QW166" s="148"/>
      <c r="QX166" s="148"/>
      <c r="QY166" s="148"/>
      <c r="QZ166" s="148"/>
      <c r="RA166" s="148"/>
      <c r="RB166" s="148"/>
      <c r="RC166" s="148"/>
      <c r="RD166" s="148"/>
      <c r="RE166" s="148"/>
      <c r="RF166" s="148"/>
      <c r="RG166" s="148"/>
      <c r="RH166" s="148"/>
      <c r="RI166" s="148"/>
      <c r="RJ166" s="148"/>
      <c r="RK166" s="148"/>
      <c r="RL166" s="148"/>
      <c r="RM166" s="148"/>
      <c r="RN166" s="148"/>
      <c r="RO166" s="148"/>
      <c r="RP166" s="148"/>
      <c r="RQ166" s="148"/>
      <c r="RR166" s="148"/>
    </row>
    <row r="167" spans="1:486" s="15" customFormat="1" hidden="1" x14ac:dyDescent="0.25">
      <c r="A167" s="148"/>
      <c r="B167" s="350">
        <v>157</v>
      </c>
      <c r="C167" s="650"/>
      <c r="D167" s="16"/>
      <c r="E167" s="344"/>
      <c r="F167" s="344"/>
      <c r="G167" s="17"/>
      <c r="H167" s="317"/>
      <c r="I167" s="346"/>
      <c r="J167" s="341"/>
      <c r="K167" s="633"/>
      <c r="L167" s="633"/>
      <c r="M167" s="633"/>
      <c r="N167" s="633"/>
      <c r="O167" s="633"/>
      <c r="P167" s="633"/>
      <c r="Q167" s="633"/>
      <c r="R167" s="633"/>
      <c r="S167" s="633"/>
      <c r="T167" s="633"/>
      <c r="U167" s="633"/>
      <c r="V167" s="633"/>
      <c r="W167" s="633"/>
      <c r="X167" s="633"/>
      <c r="Y167" s="633">
        <f t="shared" si="6"/>
        <v>0</v>
      </c>
      <c r="Z167" s="637"/>
      <c r="AA167" s="19"/>
      <c r="AB167" s="315"/>
      <c r="AC167" s="315"/>
      <c r="AD167" s="652"/>
      <c r="AE167" s="20"/>
      <c r="AF167" s="21"/>
      <c r="AG167" s="23"/>
      <c r="AH167" s="637"/>
      <c r="AI167" s="19"/>
      <c r="AJ167" s="21"/>
      <c r="AK167" s="25"/>
      <c r="AL167" s="309"/>
      <c r="AM167" s="19"/>
      <c r="AN167" s="21"/>
      <c r="AO167" s="25"/>
      <c r="AP167" s="309"/>
      <c r="AQ167" s="19"/>
      <c r="AR167" s="21"/>
      <c r="AS167" s="25"/>
      <c r="AT167" s="638">
        <f t="shared" si="7"/>
        <v>0</v>
      </c>
      <c r="AU167" s="311">
        <f t="shared" si="5"/>
        <v>0</v>
      </c>
      <c r="AV167" s="148"/>
      <c r="AW167" s="148"/>
      <c r="AX167" s="148"/>
      <c r="AY167" s="148"/>
      <c r="AZ167" s="148"/>
      <c r="BA167" s="148"/>
      <c r="BB167" s="148"/>
      <c r="BC167" s="148"/>
      <c r="BD167" s="148"/>
      <c r="BE167" s="148"/>
      <c r="BF167" s="148"/>
      <c r="BG167" s="148"/>
      <c r="BH167" s="148"/>
      <c r="BI167" s="148"/>
      <c r="BJ167" s="148"/>
      <c r="BK167" s="148"/>
      <c r="BL167" s="148"/>
      <c r="BM167" s="148"/>
      <c r="BN167" s="148"/>
      <c r="BO167" s="148"/>
      <c r="BP167" s="148"/>
      <c r="BQ167" s="148"/>
      <c r="BR167" s="148"/>
      <c r="BS167" s="148"/>
      <c r="BT167" s="148"/>
      <c r="BU167" s="148"/>
      <c r="BV167" s="148"/>
      <c r="BW167" s="148"/>
      <c r="BX167" s="148"/>
      <c r="BY167" s="148"/>
      <c r="BZ167" s="148"/>
      <c r="CA167" s="148"/>
      <c r="CB167" s="148"/>
      <c r="CC167" s="148"/>
      <c r="CD167" s="148"/>
      <c r="CE167" s="148"/>
      <c r="CF167" s="148"/>
      <c r="CG167" s="148"/>
      <c r="CH167" s="148"/>
      <c r="CI167" s="148"/>
      <c r="CJ167" s="148"/>
      <c r="CK167" s="148"/>
      <c r="CL167" s="148"/>
      <c r="CM167" s="148"/>
      <c r="CN167" s="148"/>
      <c r="CO167" s="148"/>
      <c r="CP167" s="148"/>
      <c r="CQ167" s="148"/>
      <c r="CR167" s="148"/>
      <c r="CS167" s="148"/>
      <c r="CT167" s="148"/>
      <c r="CU167" s="148"/>
      <c r="CV167" s="148"/>
      <c r="CW167" s="148"/>
      <c r="CX167" s="148"/>
      <c r="CY167" s="148"/>
      <c r="CZ167" s="148"/>
      <c r="DA167" s="148"/>
      <c r="DB167" s="148"/>
      <c r="DC167" s="148"/>
      <c r="DD167" s="148"/>
      <c r="DE167" s="148"/>
      <c r="DF167" s="148"/>
      <c r="DG167" s="148"/>
      <c r="DH167" s="148"/>
      <c r="DI167" s="148"/>
      <c r="DJ167" s="148"/>
      <c r="DK167" s="148"/>
      <c r="DL167" s="148"/>
      <c r="DM167" s="148"/>
      <c r="DN167" s="148"/>
      <c r="DO167" s="148"/>
      <c r="DP167" s="148"/>
      <c r="DQ167" s="148"/>
      <c r="DR167" s="148"/>
      <c r="DS167" s="148"/>
      <c r="DT167" s="148"/>
      <c r="DU167" s="148"/>
      <c r="DV167" s="148"/>
      <c r="DW167" s="148"/>
      <c r="DX167" s="148"/>
      <c r="DY167" s="148"/>
      <c r="DZ167" s="148"/>
      <c r="EA167" s="148"/>
      <c r="EB167" s="148"/>
      <c r="EC167" s="148"/>
      <c r="ED167" s="148"/>
      <c r="EE167" s="148"/>
      <c r="EF167" s="148"/>
      <c r="EG167" s="148"/>
      <c r="EH167" s="148"/>
      <c r="EI167" s="148"/>
      <c r="EJ167" s="148"/>
      <c r="EK167" s="148"/>
      <c r="EL167" s="148"/>
      <c r="EM167" s="148"/>
      <c r="EN167" s="148"/>
      <c r="EO167" s="148"/>
      <c r="EP167" s="148"/>
      <c r="EQ167" s="148"/>
      <c r="ER167" s="148"/>
      <c r="ES167" s="148"/>
      <c r="ET167" s="148"/>
      <c r="EU167" s="148"/>
      <c r="EV167" s="148"/>
      <c r="EW167" s="148"/>
      <c r="EX167" s="148"/>
      <c r="EY167" s="148"/>
      <c r="EZ167" s="148"/>
      <c r="FA167" s="148"/>
      <c r="FB167" s="148"/>
      <c r="FC167" s="148"/>
      <c r="FD167" s="148"/>
      <c r="FE167" s="148"/>
      <c r="FF167" s="148"/>
      <c r="FG167" s="148"/>
      <c r="FH167" s="148"/>
      <c r="FI167" s="148"/>
      <c r="FJ167" s="148"/>
      <c r="FK167" s="148"/>
      <c r="FL167" s="148"/>
      <c r="FM167" s="148"/>
      <c r="FN167" s="148"/>
      <c r="FO167" s="148"/>
      <c r="FP167" s="148"/>
      <c r="FQ167" s="148"/>
      <c r="FR167" s="148"/>
      <c r="FS167" s="148"/>
      <c r="FT167" s="148"/>
      <c r="FU167" s="148"/>
      <c r="FV167" s="148"/>
      <c r="FW167" s="148"/>
      <c r="FX167" s="148"/>
      <c r="FY167" s="148"/>
      <c r="FZ167" s="148"/>
      <c r="GA167" s="148"/>
      <c r="GB167" s="148"/>
      <c r="GC167" s="148"/>
      <c r="GD167" s="148"/>
      <c r="GE167" s="148"/>
      <c r="GF167" s="148"/>
      <c r="GG167" s="148"/>
      <c r="GH167" s="148"/>
      <c r="GI167" s="148"/>
      <c r="GJ167" s="148"/>
      <c r="GK167" s="148"/>
      <c r="GL167" s="148"/>
      <c r="GM167" s="148"/>
      <c r="GN167" s="148"/>
      <c r="GO167" s="148"/>
      <c r="GP167" s="148"/>
      <c r="GQ167" s="148"/>
      <c r="GR167" s="148"/>
      <c r="GS167" s="148"/>
      <c r="GT167" s="148"/>
      <c r="GU167" s="148"/>
      <c r="GV167" s="148"/>
      <c r="GW167" s="148"/>
      <c r="GX167" s="148"/>
      <c r="GY167" s="148"/>
      <c r="GZ167" s="148"/>
      <c r="HA167" s="148"/>
      <c r="HB167" s="148"/>
      <c r="HC167" s="148"/>
      <c r="HD167" s="148"/>
      <c r="HE167" s="148"/>
      <c r="HF167" s="148"/>
      <c r="HG167" s="148"/>
      <c r="HH167" s="148"/>
      <c r="HI167" s="148"/>
      <c r="HJ167" s="148"/>
      <c r="HK167" s="148"/>
      <c r="HL167" s="148"/>
      <c r="HM167" s="148"/>
      <c r="HN167" s="148"/>
      <c r="HO167" s="148"/>
      <c r="HP167" s="148"/>
      <c r="HQ167" s="148"/>
      <c r="HR167" s="148"/>
      <c r="HS167" s="148"/>
      <c r="HT167" s="148"/>
      <c r="HU167" s="148"/>
      <c r="HV167" s="148"/>
      <c r="HW167" s="148"/>
      <c r="HX167" s="148"/>
      <c r="HY167" s="148"/>
      <c r="HZ167" s="148"/>
      <c r="IA167" s="148"/>
      <c r="IB167" s="148"/>
      <c r="IC167" s="148"/>
      <c r="ID167" s="148"/>
      <c r="IE167" s="148"/>
      <c r="IF167" s="148"/>
      <c r="IG167" s="148"/>
      <c r="IH167" s="148"/>
      <c r="II167" s="148"/>
      <c r="IJ167" s="148"/>
      <c r="IK167" s="148"/>
      <c r="IL167" s="148"/>
      <c r="IM167" s="148"/>
      <c r="IN167" s="148"/>
      <c r="IO167" s="148"/>
      <c r="IP167" s="148"/>
      <c r="IQ167" s="148"/>
      <c r="IR167" s="148"/>
      <c r="IS167" s="148"/>
      <c r="IT167" s="148"/>
      <c r="IU167" s="148"/>
      <c r="IV167" s="148"/>
      <c r="IW167" s="148"/>
      <c r="IX167" s="148"/>
      <c r="IY167" s="148"/>
      <c r="IZ167" s="148"/>
      <c r="JA167" s="148"/>
      <c r="JB167" s="148"/>
      <c r="JC167" s="148"/>
      <c r="JD167" s="148"/>
      <c r="JE167" s="148"/>
      <c r="JF167" s="148"/>
      <c r="JG167" s="148"/>
      <c r="JH167" s="148"/>
      <c r="JI167" s="148"/>
      <c r="JJ167" s="148"/>
      <c r="JK167" s="148"/>
      <c r="JL167" s="148"/>
      <c r="JM167" s="148"/>
      <c r="JN167" s="148"/>
      <c r="JO167" s="148"/>
      <c r="JP167" s="148"/>
      <c r="JQ167" s="148"/>
      <c r="JR167" s="148"/>
      <c r="JS167" s="148"/>
      <c r="JT167" s="148"/>
      <c r="JU167" s="148"/>
      <c r="JV167" s="148"/>
      <c r="JW167" s="148"/>
      <c r="JX167" s="148"/>
      <c r="JY167" s="148"/>
      <c r="JZ167" s="148"/>
      <c r="KA167" s="148"/>
      <c r="KB167" s="148"/>
      <c r="KC167" s="148"/>
      <c r="KD167" s="148"/>
      <c r="KE167" s="148"/>
      <c r="KF167" s="148"/>
      <c r="KG167" s="148"/>
      <c r="KH167" s="148"/>
      <c r="KI167" s="148"/>
      <c r="KJ167" s="148"/>
      <c r="KK167" s="148"/>
      <c r="KL167" s="148"/>
      <c r="KM167" s="148"/>
      <c r="KN167" s="148"/>
      <c r="KO167" s="148"/>
      <c r="KP167" s="148"/>
      <c r="KQ167" s="148"/>
      <c r="KR167" s="148"/>
      <c r="KS167" s="148"/>
      <c r="KT167" s="148"/>
      <c r="KU167" s="148"/>
      <c r="KV167" s="148"/>
      <c r="KW167" s="148"/>
      <c r="KX167" s="148"/>
      <c r="KY167" s="148"/>
      <c r="KZ167" s="148"/>
      <c r="LA167" s="148"/>
      <c r="LB167" s="148"/>
      <c r="LC167" s="148"/>
      <c r="LD167" s="148"/>
      <c r="LE167" s="148"/>
      <c r="LF167" s="148"/>
      <c r="LG167" s="148"/>
      <c r="LH167" s="148"/>
      <c r="LI167" s="148"/>
      <c r="LJ167" s="148"/>
      <c r="LK167" s="148"/>
      <c r="LL167" s="148"/>
      <c r="LM167" s="148"/>
      <c r="LN167" s="148"/>
      <c r="LO167" s="148"/>
      <c r="LP167" s="148"/>
      <c r="LQ167" s="148"/>
      <c r="LR167" s="148"/>
      <c r="LS167" s="148"/>
      <c r="LT167" s="148"/>
      <c r="LU167" s="148"/>
      <c r="LV167" s="148"/>
      <c r="LW167" s="148"/>
      <c r="LX167" s="148"/>
      <c r="LY167" s="148"/>
      <c r="LZ167" s="148"/>
      <c r="MA167" s="148"/>
      <c r="MB167" s="148"/>
      <c r="MC167" s="148"/>
      <c r="MD167" s="148"/>
      <c r="ME167" s="148"/>
      <c r="MF167" s="148"/>
      <c r="MG167" s="148"/>
      <c r="MH167" s="148"/>
      <c r="MI167" s="148"/>
      <c r="MJ167" s="148"/>
      <c r="MK167" s="148"/>
      <c r="ML167" s="148"/>
      <c r="MM167" s="148"/>
      <c r="MN167" s="148"/>
      <c r="MO167" s="148"/>
      <c r="MP167" s="148"/>
      <c r="MQ167" s="148"/>
      <c r="MR167" s="148"/>
      <c r="MS167" s="148"/>
      <c r="MT167" s="148"/>
      <c r="MU167" s="148"/>
      <c r="MV167" s="148"/>
      <c r="MW167" s="148"/>
      <c r="MX167" s="148"/>
      <c r="MY167" s="148"/>
      <c r="MZ167" s="148"/>
      <c r="NA167" s="148"/>
      <c r="NB167" s="148"/>
      <c r="NC167" s="148"/>
      <c r="ND167" s="148"/>
      <c r="NE167" s="148"/>
      <c r="NF167" s="148"/>
      <c r="NG167" s="148"/>
      <c r="NH167" s="148"/>
      <c r="NI167" s="148"/>
      <c r="NJ167" s="148"/>
      <c r="NK167" s="148"/>
      <c r="NL167" s="148"/>
      <c r="NM167" s="148"/>
      <c r="NN167" s="148"/>
      <c r="NO167" s="148"/>
      <c r="NP167" s="148"/>
      <c r="NQ167" s="148"/>
      <c r="NR167" s="148"/>
      <c r="NS167" s="148"/>
      <c r="NT167" s="148"/>
      <c r="NU167" s="148"/>
      <c r="NV167" s="148"/>
      <c r="NW167" s="148"/>
      <c r="NX167" s="148"/>
      <c r="NY167" s="148"/>
      <c r="NZ167" s="148"/>
      <c r="OA167" s="148"/>
      <c r="OB167" s="148"/>
      <c r="OC167" s="148"/>
      <c r="OD167" s="148"/>
      <c r="OE167" s="148"/>
      <c r="OF167" s="148"/>
      <c r="OG167" s="148"/>
      <c r="OH167" s="148"/>
      <c r="OI167" s="148"/>
      <c r="OJ167" s="148"/>
      <c r="OK167" s="148"/>
      <c r="OL167" s="148"/>
      <c r="OM167" s="148"/>
      <c r="ON167" s="148"/>
      <c r="OO167" s="148"/>
      <c r="OP167" s="148"/>
      <c r="OQ167" s="148"/>
      <c r="OR167" s="148"/>
      <c r="OS167" s="148"/>
      <c r="OT167" s="148"/>
      <c r="OU167" s="148"/>
      <c r="OV167" s="148"/>
      <c r="OW167" s="148"/>
      <c r="OX167" s="148"/>
      <c r="OY167" s="148"/>
      <c r="OZ167" s="148"/>
      <c r="PA167" s="148"/>
      <c r="PB167" s="148"/>
      <c r="PC167" s="148"/>
      <c r="PD167" s="148"/>
      <c r="PE167" s="148"/>
      <c r="PF167" s="148"/>
      <c r="PG167" s="148"/>
      <c r="PH167" s="148"/>
      <c r="PI167" s="148"/>
      <c r="PJ167" s="148"/>
      <c r="PK167" s="148"/>
      <c r="PL167" s="148"/>
      <c r="PM167" s="148"/>
      <c r="PN167" s="148"/>
      <c r="PO167" s="148"/>
      <c r="PP167" s="148"/>
      <c r="PQ167" s="148"/>
      <c r="PR167" s="148"/>
      <c r="PS167" s="148"/>
      <c r="PT167" s="148"/>
      <c r="PU167" s="148"/>
      <c r="PV167" s="148"/>
      <c r="PW167" s="148"/>
      <c r="PX167" s="148"/>
      <c r="PY167" s="148"/>
      <c r="PZ167" s="148"/>
      <c r="QA167" s="148"/>
      <c r="QB167" s="148"/>
      <c r="QC167" s="148"/>
      <c r="QD167" s="148"/>
      <c r="QE167" s="148"/>
      <c r="QF167" s="148"/>
      <c r="QG167" s="148"/>
      <c r="QH167" s="148"/>
      <c r="QI167" s="148"/>
      <c r="QJ167" s="148"/>
      <c r="QK167" s="148"/>
      <c r="QL167" s="148"/>
      <c r="QM167" s="148"/>
      <c r="QN167" s="148"/>
      <c r="QO167" s="148"/>
      <c r="QP167" s="148"/>
      <c r="QQ167" s="148"/>
      <c r="QR167" s="148"/>
      <c r="QS167" s="148"/>
      <c r="QT167" s="148"/>
      <c r="QU167" s="148"/>
      <c r="QV167" s="148"/>
      <c r="QW167" s="148"/>
      <c r="QX167" s="148"/>
      <c r="QY167" s="148"/>
      <c r="QZ167" s="148"/>
      <c r="RA167" s="148"/>
      <c r="RB167" s="148"/>
      <c r="RC167" s="148"/>
      <c r="RD167" s="148"/>
      <c r="RE167" s="148"/>
      <c r="RF167" s="148"/>
      <c r="RG167" s="148"/>
      <c r="RH167" s="148"/>
      <c r="RI167" s="148"/>
      <c r="RJ167" s="148"/>
      <c r="RK167" s="148"/>
      <c r="RL167" s="148"/>
      <c r="RM167" s="148"/>
      <c r="RN167" s="148"/>
      <c r="RO167" s="148"/>
      <c r="RP167" s="148"/>
      <c r="RQ167" s="148"/>
      <c r="RR167" s="148"/>
    </row>
    <row r="168" spans="1:486" s="15" customFormat="1" hidden="1" x14ac:dyDescent="0.25">
      <c r="A168" s="148"/>
      <c r="B168" s="350">
        <v>158</v>
      </c>
      <c r="C168" s="650"/>
      <c r="D168" s="16"/>
      <c r="E168" s="344"/>
      <c r="F168" s="344"/>
      <c r="G168" s="17"/>
      <c r="H168" s="317"/>
      <c r="I168" s="346"/>
      <c r="J168" s="341"/>
      <c r="K168" s="633"/>
      <c r="L168" s="633"/>
      <c r="M168" s="633"/>
      <c r="N168" s="633"/>
      <c r="O168" s="633"/>
      <c r="P168" s="633"/>
      <c r="Q168" s="633"/>
      <c r="R168" s="633"/>
      <c r="S168" s="633"/>
      <c r="T168" s="633"/>
      <c r="U168" s="633"/>
      <c r="V168" s="633"/>
      <c r="W168" s="633"/>
      <c r="X168" s="633"/>
      <c r="Y168" s="633">
        <f t="shared" si="6"/>
        <v>0</v>
      </c>
      <c r="Z168" s="637"/>
      <c r="AA168" s="19"/>
      <c r="AB168" s="315"/>
      <c r="AC168" s="315"/>
      <c r="AD168" s="652"/>
      <c r="AE168" s="20"/>
      <c r="AF168" s="21"/>
      <c r="AG168" s="25"/>
      <c r="AH168" s="637"/>
      <c r="AI168" s="19"/>
      <c r="AJ168" s="21"/>
      <c r="AK168" s="25"/>
      <c r="AL168" s="309"/>
      <c r="AM168" s="19"/>
      <c r="AN168" s="21"/>
      <c r="AO168" s="25"/>
      <c r="AP168" s="309"/>
      <c r="AQ168" s="19"/>
      <c r="AR168" s="21"/>
      <c r="AS168" s="25"/>
      <c r="AT168" s="638">
        <f t="shared" si="7"/>
        <v>0</v>
      </c>
      <c r="AU168" s="311">
        <f t="shared" si="5"/>
        <v>0</v>
      </c>
      <c r="AV168" s="148"/>
      <c r="AW168" s="148"/>
      <c r="AX168" s="148"/>
      <c r="AY168" s="148"/>
      <c r="AZ168" s="148"/>
      <c r="BA168" s="148"/>
      <c r="BB168" s="148"/>
      <c r="BC168" s="148"/>
      <c r="BD168" s="148"/>
      <c r="BE168" s="148"/>
      <c r="BF168" s="148"/>
      <c r="BG168" s="148"/>
      <c r="BH168" s="148"/>
      <c r="BI168" s="148"/>
      <c r="BJ168" s="148"/>
      <c r="BK168" s="148"/>
      <c r="BL168" s="148"/>
      <c r="BM168" s="148"/>
      <c r="BN168" s="148"/>
      <c r="BO168" s="148"/>
      <c r="BP168" s="148"/>
      <c r="BQ168" s="148"/>
      <c r="BR168" s="148"/>
      <c r="BS168" s="148"/>
      <c r="BT168" s="148"/>
      <c r="BU168" s="148"/>
      <c r="BV168" s="148"/>
      <c r="BW168" s="148"/>
      <c r="BX168" s="148"/>
      <c r="BY168" s="148"/>
      <c r="BZ168" s="148"/>
      <c r="CA168" s="148"/>
      <c r="CB168" s="148"/>
      <c r="CC168" s="148"/>
      <c r="CD168" s="148"/>
      <c r="CE168" s="148"/>
      <c r="CF168" s="148"/>
      <c r="CG168" s="148"/>
      <c r="CH168" s="148"/>
      <c r="CI168" s="148"/>
      <c r="CJ168" s="148"/>
      <c r="CK168" s="148"/>
      <c r="CL168" s="148"/>
      <c r="CM168" s="148"/>
      <c r="CN168" s="148"/>
      <c r="CO168" s="148"/>
      <c r="CP168" s="148"/>
      <c r="CQ168" s="148"/>
      <c r="CR168" s="148"/>
      <c r="CS168" s="148"/>
      <c r="CT168" s="148"/>
      <c r="CU168" s="148"/>
      <c r="CV168" s="148"/>
      <c r="CW168" s="148"/>
      <c r="CX168" s="148"/>
      <c r="CY168" s="148"/>
      <c r="CZ168" s="148"/>
      <c r="DA168" s="148"/>
      <c r="DB168" s="148"/>
      <c r="DC168" s="148"/>
      <c r="DD168" s="148"/>
      <c r="DE168" s="148"/>
      <c r="DF168" s="148"/>
      <c r="DG168" s="148"/>
      <c r="DH168" s="148"/>
      <c r="DI168" s="148"/>
      <c r="DJ168" s="148"/>
      <c r="DK168" s="148"/>
      <c r="DL168" s="148"/>
      <c r="DM168" s="148"/>
      <c r="DN168" s="148"/>
      <c r="DO168" s="148"/>
      <c r="DP168" s="148"/>
      <c r="DQ168" s="148"/>
      <c r="DR168" s="148"/>
      <c r="DS168" s="148"/>
      <c r="DT168" s="148"/>
      <c r="DU168" s="148"/>
      <c r="DV168" s="148"/>
      <c r="DW168" s="148"/>
      <c r="DX168" s="148"/>
      <c r="DY168" s="148"/>
      <c r="DZ168" s="148"/>
      <c r="EA168" s="148"/>
      <c r="EB168" s="148"/>
      <c r="EC168" s="148"/>
      <c r="ED168" s="148"/>
      <c r="EE168" s="148"/>
      <c r="EF168" s="148"/>
      <c r="EG168" s="148"/>
      <c r="EH168" s="148"/>
      <c r="EI168" s="148"/>
      <c r="EJ168" s="148"/>
      <c r="EK168" s="148"/>
      <c r="EL168" s="148"/>
      <c r="EM168" s="148"/>
      <c r="EN168" s="148"/>
      <c r="EO168" s="148"/>
      <c r="EP168" s="148"/>
      <c r="EQ168" s="148"/>
      <c r="ER168" s="148"/>
      <c r="ES168" s="148"/>
      <c r="ET168" s="148"/>
      <c r="EU168" s="148"/>
      <c r="EV168" s="148"/>
      <c r="EW168" s="148"/>
      <c r="EX168" s="148"/>
      <c r="EY168" s="148"/>
      <c r="EZ168" s="148"/>
      <c r="FA168" s="148"/>
      <c r="FB168" s="148"/>
      <c r="FC168" s="148"/>
      <c r="FD168" s="148"/>
      <c r="FE168" s="148"/>
      <c r="FF168" s="148"/>
      <c r="FG168" s="148"/>
      <c r="FH168" s="148"/>
      <c r="FI168" s="148"/>
      <c r="FJ168" s="148"/>
      <c r="FK168" s="148"/>
      <c r="FL168" s="148"/>
      <c r="FM168" s="148"/>
      <c r="FN168" s="148"/>
      <c r="FO168" s="148"/>
      <c r="FP168" s="148"/>
      <c r="FQ168" s="148"/>
      <c r="FR168" s="148"/>
      <c r="FS168" s="148"/>
      <c r="FT168" s="148"/>
      <c r="FU168" s="148"/>
      <c r="FV168" s="148"/>
      <c r="FW168" s="148"/>
      <c r="FX168" s="148"/>
      <c r="FY168" s="148"/>
      <c r="FZ168" s="148"/>
      <c r="GA168" s="148"/>
      <c r="GB168" s="148"/>
      <c r="GC168" s="148"/>
      <c r="GD168" s="148"/>
      <c r="GE168" s="148"/>
      <c r="GF168" s="148"/>
      <c r="GG168" s="148"/>
      <c r="GH168" s="148"/>
      <c r="GI168" s="148"/>
      <c r="GJ168" s="148"/>
      <c r="GK168" s="148"/>
      <c r="GL168" s="148"/>
      <c r="GM168" s="148"/>
      <c r="GN168" s="148"/>
      <c r="GO168" s="148"/>
      <c r="GP168" s="148"/>
      <c r="GQ168" s="148"/>
      <c r="GR168" s="148"/>
      <c r="GS168" s="148"/>
      <c r="GT168" s="148"/>
      <c r="GU168" s="148"/>
      <c r="GV168" s="148"/>
      <c r="GW168" s="148"/>
      <c r="GX168" s="148"/>
      <c r="GY168" s="148"/>
      <c r="GZ168" s="148"/>
      <c r="HA168" s="148"/>
      <c r="HB168" s="148"/>
      <c r="HC168" s="148"/>
      <c r="HD168" s="148"/>
      <c r="HE168" s="148"/>
      <c r="HF168" s="148"/>
      <c r="HG168" s="148"/>
      <c r="HH168" s="148"/>
      <c r="HI168" s="148"/>
      <c r="HJ168" s="148"/>
      <c r="HK168" s="148"/>
      <c r="HL168" s="148"/>
      <c r="HM168" s="148"/>
      <c r="HN168" s="148"/>
      <c r="HO168" s="148"/>
      <c r="HP168" s="148"/>
      <c r="HQ168" s="148"/>
      <c r="HR168" s="148"/>
      <c r="HS168" s="148"/>
      <c r="HT168" s="148"/>
      <c r="HU168" s="148"/>
      <c r="HV168" s="148"/>
      <c r="HW168" s="148"/>
      <c r="HX168" s="148"/>
      <c r="HY168" s="148"/>
      <c r="HZ168" s="148"/>
      <c r="IA168" s="148"/>
      <c r="IB168" s="148"/>
      <c r="IC168" s="148"/>
      <c r="ID168" s="148"/>
      <c r="IE168" s="148"/>
      <c r="IF168" s="148"/>
      <c r="IG168" s="148"/>
      <c r="IH168" s="148"/>
      <c r="II168" s="148"/>
      <c r="IJ168" s="148"/>
      <c r="IK168" s="148"/>
      <c r="IL168" s="148"/>
      <c r="IM168" s="148"/>
      <c r="IN168" s="148"/>
      <c r="IO168" s="148"/>
      <c r="IP168" s="148"/>
      <c r="IQ168" s="148"/>
      <c r="IR168" s="148"/>
      <c r="IS168" s="148"/>
      <c r="IT168" s="148"/>
      <c r="IU168" s="148"/>
      <c r="IV168" s="148"/>
      <c r="IW168" s="148"/>
      <c r="IX168" s="148"/>
      <c r="IY168" s="148"/>
      <c r="IZ168" s="148"/>
      <c r="JA168" s="148"/>
      <c r="JB168" s="148"/>
      <c r="JC168" s="148"/>
      <c r="JD168" s="148"/>
      <c r="JE168" s="148"/>
      <c r="JF168" s="148"/>
      <c r="JG168" s="148"/>
      <c r="JH168" s="148"/>
      <c r="JI168" s="148"/>
      <c r="JJ168" s="148"/>
      <c r="JK168" s="148"/>
      <c r="JL168" s="148"/>
      <c r="JM168" s="148"/>
      <c r="JN168" s="148"/>
      <c r="JO168" s="148"/>
      <c r="JP168" s="148"/>
      <c r="JQ168" s="148"/>
      <c r="JR168" s="148"/>
      <c r="JS168" s="148"/>
      <c r="JT168" s="148"/>
      <c r="JU168" s="148"/>
      <c r="JV168" s="148"/>
      <c r="JW168" s="148"/>
      <c r="JX168" s="148"/>
      <c r="JY168" s="148"/>
      <c r="JZ168" s="148"/>
      <c r="KA168" s="148"/>
      <c r="KB168" s="148"/>
      <c r="KC168" s="148"/>
      <c r="KD168" s="148"/>
      <c r="KE168" s="148"/>
      <c r="KF168" s="148"/>
      <c r="KG168" s="148"/>
      <c r="KH168" s="148"/>
      <c r="KI168" s="148"/>
      <c r="KJ168" s="148"/>
      <c r="KK168" s="148"/>
      <c r="KL168" s="148"/>
      <c r="KM168" s="148"/>
      <c r="KN168" s="148"/>
      <c r="KO168" s="148"/>
      <c r="KP168" s="148"/>
      <c r="KQ168" s="148"/>
      <c r="KR168" s="148"/>
      <c r="KS168" s="148"/>
      <c r="KT168" s="148"/>
      <c r="KU168" s="148"/>
      <c r="KV168" s="148"/>
      <c r="KW168" s="148"/>
      <c r="KX168" s="148"/>
      <c r="KY168" s="148"/>
      <c r="KZ168" s="148"/>
      <c r="LA168" s="148"/>
      <c r="LB168" s="148"/>
      <c r="LC168" s="148"/>
      <c r="LD168" s="148"/>
      <c r="LE168" s="148"/>
      <c r="LF168" s="148"/>
      <c r="LG168" s="148"/>
      <c r="LH168" s="148"/>
      <c r="LI168" s="148"/>
      <c r="LJ168" s="148"/>
      <c r="LK168" s="148"/>
      <c r="LL168" s="148"/>
      <c r="LM168" s="148"/>
      <c r="LN168" s="148"/>
      <c r="LO168" s="148"/>
      <c r="LP168" s="148"/>
      <c r="LQ168" s="148"/>
      <c r="LR168" s="148"/>
      <c r="LS168" s="148"/>
      <c r="LT168" s="148"/>
      <c r="LU168" s="148"/>
      <c r="LV168" s="148"/>
      <c r="LW168" s="148"/>
      <c r="LX168" s="148"/>
      <c r="LY168" s="148"/>
      <c r="LZ168" s="148"/>
      <c r="MA168" s="148"/>
      <c r="MB168" s="148"/>
      <c r="MC168" s="148"/>
      <c r="MD168" s="148"/>
      <c r="ME168" s="148"/>
      <c r="MF168" s="148"/>
      <c r="MG168" s="148"/>
      <c r="MH168" s="148"/>
      <c r="MI168" s="148"/>
      <c r="MJ168" s="148"/>
      <c r="MK168" s="148"/>
      <c r="ML168" s="148"/>
      <c r="MM168" s="148"/>
      <c r="MN168" s="148"/>
      <c r="MO168" s="148"/>
      <c r="MP168" s="148"/>
      <c r="MQ168" s="148"/>
      <c r="MR168" s="148"/>
      <c r="MS168" s="148"/>
      <c r="MT168" s="148"/>
      <c r="MU168" s="148"/>
      <c r="MV168" s="148"/>
      <c r="MW168" s="148"/>
      <c r="MX168" s="148"/>
      <c r="MY168" s="148"/>
      <c r="MZ168" s="148"/>
      <c r="NA168" s="148"/>
      <c r="NB168" s="148"/>
      <c r="NC168" s="148"/>
      <c r="ND168" s="148"/>
      <c r="NE168" s="148"/>
      <c r="NF168" s="148"/>
      <c r="NG168" s="148"/>
      <c r="NH168" s="148"/>
      <c r="NI168" s="148"/>
      <c r="NJ168" s="148"/>
      <c r="NK168" s="148"/>
      <c r="NL168" s="148"/>
      <c r="NM168" s="148"/>
      <c r="NN168" s="148"/>
      <c r="NO168" s="148"/>
      <c r="NP168" s="148"/>
      <c r="NQ168" s="148"/>
      <c r="NR168" s="148"/>
      <c r="NS168" s="148"/>
      <c r="NT168" s="148"/>
      <c r="NU168" s="148"/>
      <c r="NV168" s="148"/>
      <c r="NW168" s="148"/>
      <c r="NX168" s="148"/>
      <c r="NY168" s="148"/>
      <c r="NZ168" s="148"/>
      <c r="OA168" s="148"/>
      <c r="OB168" s="148"/>
      <c r="OC168" s="148"/>
      <c r="OD168" s="148"/>
      <c r="OE168" s="148"/>
      <c r="OF168" s="148"/>
      <c r="OG168" s="148"/>
      <c r="OH168" s="148"/>
      <c r="OI168" s="148"/>
      <c r="OJ168" s="148"/>
      <c r="OK168" s="148"/>
      <c r="OL168" s="148"/>
      <c r="OM168" s="148"/>
      <c r="ON168" s="148"/>
      <c r="OO168" s="148"/>
      <c r="OP168" s="148"/>
      <c r="OQ168" s="148"/>
      <c r="OR168" s="148"/>
      <c r="OS168" s="148"/>
      <c r="OT168" s="148"/>
      <c r="OU168" s="148"/>
      <c r="OV168" s="148"/>
      <c r="OW168" s="148"/>
      <c r="OX168" s="148"/>
      <c r="OY168" s="148"/>
      <c r="OZ168" s="148"/>
      <c r="PA168" s="148"/>
      <c r="PB168" s="148"/>
      <c r="PC168" s="148"/>
      <c r="PD168" s="148"/>
      <c r="PE168" s="148"/>
      <c r="PF168" s="148"/>
      <c r="PG168" s="148"/>
      <c r="PH168" s="148"/>
      <c r="PI168" s="148"/>
      <c r="PJ168" s="148"/>
      <c r="PK168" s="148"/>
      <c r="PL168" s="148"/>
      <c r="PM168" s="148"/>
      <c r="PN168" s="148"/>
      <c r="PO168" s="148"/>
      <c r="PP168" s="148"/>
      <c r="PQ168" s="148"/>
      <c r="PR168" s="148"/>
      <c r="PS168" s="148"/>
      <c r="PT168" s="148"/>
      <c r="PU168" s="148"/>
      <c r="PV168" s="148"/>
      <c r="PW168" s="148"/>
      <c r="PX168" s="148"/>
      <c r="PY168" s="148"/>
      <c r="PZ168" s="148"/>
      <c r="QA168" s="148"/>
      <c r="QB168" s="148"/>
      <c r="QC168" s="148"/>
      <c r="QD168" s="148"/>
      <c r="QE168" s="148"/>
      <c r="QF168" s="148"/>
      <c r="QG168" s="148"/>
      <c r="QH168" s="148"/>
      <c r="QI168" s="148"/>
      <c r="QJ168" s="148"/>
      <c r="QK168" s="148"/>
      <c r="QL168" s="148"/>
      <c r="QM168" s="148"/>
      <c r="QN168" s="148"/>
      <c r="QO168" s="148"/>
      <c r="QP168" s="148"/>
      <c r="QQ168" s="148"/>
      <c r="QR168" s="148"/>
      <c r="QS168" s="148"/>
      <c r="QT168" s="148"/>
      <c r="QU168" s="148"/>
      <c r="QV168" s="148"/>
      <c r="QW168" s="148"/>
      <c r="QX168" s="148"/>
      <c r="QY168" s="148"/>
      <c r="QZ168" s="148"/>
      <c r="RA168" s="148"/>
      <c r="RB168" s="148"/>
      <c r="RC168" s="148"/>
      <c r="RD168" s="148"/>
      <c r="RE168" s="148"/>
      <c r="RF168" s="148"/>
      <c r="RG168" s="148"/>
      <c r="RH168" s="148"/>
      <c r="RI168" s="148"/>
      <c r="RJ168" s="148"/>
      <c r="RK168" s="148"/>
      <c r="RL168" s="148"/>
      <c r="RM168" s="148"/>
      <c r="RN168" s="148"/>
      <c r="RO168" s="148"/>
      <c r="RP168" s="148"/>
      <c r="RQ168" s="148"/>
      <c r="RR168" s="148"/>
    </row>
    <row r="169" spans="1:486" s="15" customFormat="1" hidden="1" x14ac:dyDescent="0.25">
      <c r="A169" s="148"/>
      <c r="B169" s="350">
        <v>159</v>
      </c>
      <c r="C169" s="650"/>
      <c r="D169" s="16"/>
      <c r="E169" s="344"/>
      <c r="F169" s="344"/>
      <c r="G169" s="17"/>
      <c r="H169" s="317"/>
      <c r="I169" s="346"/>
      <c r="J169" s="341"/>
      <c r="K169" s="633"/>
      <c r="L169" s="633"/>
      <c r="M169" s="633"/>
      <c r="N169" s="633"/>
      <c r="O169" s="633"/>
      <c r="P169" s="633"/>
      <c r="Q169" s="633"/>
      <c r="R169" s="633"/>
      <c r="S169" s="633"/>
      <c r="T169" s="633"/>
      <c r="U169" s="633"/>
      <c r="V169" s="633"/>
      <c r="W169" s="633"/>
      <c r="X169" s="633"/>
      <c r="Y169" s="633">
        <f t="shared" si="6"/>
        <v>0</v>
      </c>
      <c r="Z169" s="637"/>
      <c r="AA169" s="19"/>
      <c r="AB169" s="315"/>
      <c r="AC169" s="315"/>
      <c r="AD169" s="652"/>
      <c r="AE169" s="20"/>
      <c r="AF169" s="21"/>
      <c r="AG169" s="25"/>
      <c r="AH169" s="637"/>
      <c r="AI169" s="19"/>
      <c r="AJ169" s="21"/>
      <c r="AK169" s="25"/>
      <c r="AL169" s="309"/>
      <c r="AM169" s="19"/>
      <c r="AN169" s="21"/>
      <c r="AO169" s="25"/>
      <c r="AP169" s="309"/>
      <c r="AQ169" s="19"/>
      <c r="AR169" s="21"/>
      <c r="AS169" s="25"/>
      <c r="AT169" s="638">
        <f t="shared" si="7"/>
        <v>0</v>
      </c>
      <c r="AU169" s="311">
        <f t="shared" si="5"/>
        <v>0</v>
      </c>
      <c r="AV169" s="148"/>
      <c r="AW169" s="148"/>
      <c r="AX169" s="148"/>
      <c r="AY169" s="148"/>
      <c r="AZ169" s="148"/>
      <c r="BA169" s="148"/>
      <c r="BB169" s="148"/>
      <c r="BC169" s="148"/>
      <c r="BD169" s="148"/>
      <c r="BE169" s="148"/>
      <c r="BF169" s="148"/>
      <c r="BG169" s="148"/>
      <c r="BH169" s="148"/>
      <c r="BI169" s="148"/>
      <c r="BJ169" s="148"/>
      <c r="BK169" s="148"/>
      <c r="BL169" s="148"/>
      <c r="BM169" s="148"/>
      <c r="BN169" s="148"/>
      <c r="BO169" s="148"/>
      <c r="BP169" s="148"/>
      <c r="BQ169" s="148"/>
      <c r="BR169" s="148"/>
      <c r="BS169" s="148"/>
      <c r="BT169" s="148"/>
      <c r="BU169" s="148"/>
      <c r="BV169" s="148"/>
      <c r="BW169" s="148"/>
      <c r="BX169" s="148"/>
      <c r="BY169" s="148"/>
      <c r="BZ169" s="148"/>
      <c r="CA169" s="148"/>
      <c r="CB169" s="148"/>
      <c r="CC169" s="148"/>
      <c r="CD169" s="148"/>
      <c r="CE169" s="148"/>
      <c r="CF169" s="148"/>
      <c r="CG169" s="148"/>
      <c r="CH169" s="148"/>
      <c r="CI169" s="148"/>
      <c r="CJ169" s="148"/>
      <c r="CK169" s="148"/>
      <c r="CL169" s="148"/>
      <c r="CM169" s="148"/>
      <c r="CN169" s="148"/>
      <c r="CO169" s="148"/>
      <c r="CP169" s="148"/>
      <c r="CQ169" s="148"/>
      <c r="CR169" s="148"/>
      <c r="CS169" s="148"/>
      <c r="CT169" s="148"/>
      <c r="CU169" s="148"/>
      <c r="CV169" s="148"/>
      <c r="CW169" s="148"/>
      <c r="CX169" s="148"/>
      <c r="CY169" s="148"/>
      <c r="CZ169" s="148"/>
      <c r="DA169" s="148"/>
      <c r="DB169" s="148"/>
      <c r="DC169" s="148"/>
      <c r="DD169" s="148"/>
      <c r="DE169" s="148"/>
      <c r="DF169" s="148"/>
      <c r="DG169" s="148"/>
      <c r="DH169" s="148"/>
      <c r="DI169" s="148"/>
      <c r="DJ169" s="148"/>
      <c r="DK169" s="148"/>
      <c r="DL169" s="148"/>
      <c r="DM169" s="148"/>
      <c r="DN169" s="148"/>
      <c r="DO169" s="148"/>
      <c r="DP169" s="148"/>
      <c r="DQ169" s="148"/>
      <c r="DR169" s="148"/>
      <c r="DS169" s="148"/>
      <c r="DT169" s="148"/>
      <c r="DU169" s="148"/>
      <c r="DV169" s="148"/>
      <c r="DW169" s="148"/>
      <c r="DX169" s="148"/>
      <c r="DY169" s="148"/>
      <c r="DZ169" s="148"/>
      <c r="EA169" s="148"/>
      <c r="EB169" s="148"/>
      <c r="EC169" s="148"/>
      <c r="ED169" s="148"/>
      <c r="EE169" s="148"/>
      <c r="EF169" s="148"/>
      <c r="EG169" s="148"/>
      <c r="EH169" s="148"/>
      <c r="EI169" s="148"/>
      <c r="EJ169" s="148"/>
      <c r="EK169" s="148"/>
      <c r="EL169" s="148"/>
      <c r="EM169" s="148"/>
      <c r="EN169" s="148"/>
      <c r="EO169" s="148"/>
      <c r="EP169" s="148"/>
      <c r="EQ169" s="148"/>
      <c r="ER169" s="148"/>
      <c r="ES169" s="148"/>
      <c r="ET169" s="148"/>
      <c r="EU169" s="148"/>
      <c r="EV169" s="148"/>
      <c r="EW169" s="148"/>
      <c r="EX169" s="148"/>
      <c r="EY169" s="148"/>
      <c r="EZ169" s="148"/>
      <c r="FA169" s="148"/>
      <c r="FB169" s="148"/>
      <c r="FC169" s="148"/>
      <c r="FD169" s="148"/>
      <c r="FE169" s="148"/>
      <c r="FF169" s="148"/>
      <c r="FG169" s="148"/>
      <c r="FH169" s="148"/>
      <c r="FI169" s="148"/>
      <c r="FJ169" s="148"/>
      <c r="FK169" s="148"/>
      <c r="FL169" s="148"/>
      <c r="FM169" s="148"/>
      <c r="FN169" s="148"/>
      <c r="FO169" s="148"/>
      <c r="FP169" s="148"/>
      <c r="FQ169" s="148"/>
      <c r="FR169" s="148"/>
      <c r="FS169" s="148"/>
      <c r="FT169" s="148"/>
      <c r="FU169" s="148"/>
      <c r="FV169" s="148"/>
      <c r="FW169" s="148"/>
      <c r="FX169" s="148"/>
      <c r="FY169" s="148"/>
      <c r="FZ169" s="148"/>
      <c r="GA169" s="148"/>
      <c r="GB169" s="148"/>
      <c r="GC169" s="148"/>
      <c r="GD169" s="148"/>
      <c r="GE169" s="148"/>
      <c r="GF169" s="148"/>
      <c r="GG169" s="148"/>
      <c r="GH169" s="148"/>
      <c r="GI169" s="148"/>
      <c r="GJ169" s="148"/>
      <c r="GK169" s="148"/>
      <c r="GL169" s="148"/>
      <c r="GM169" s="148"/>
      <c r="GN169" s="148"/>
      <c r="GO169" s="148"/>
      <c r="GP169" s="148"/>
      <c r="GQ169" s="148"/>
      <c r="GR169" s="148"/>
      <c r="GS169" s="148"/>
      <c r="GT169" s="148"/>
      <c r="GU169" s="148"/>
      <c r="GV169" s="148"/>
      <c r="GW169" s="148"/>
      <c r="GX169" s="148"/>
      <c r="GY169" s="148"/>
      <c r="GZ169" s="148"/>
      <c r="HA169" s="148"/>
      <c r="HB169" s="148"/>
      <c r="HC169" s="148"/>
      <c r="HD169" s="148"/>
      <c r="HE169" s="148"/>
      <c r="HF169" s="148"/>
      <c r="HG169" s="148"/>
      <c r="HH169" s="148"/>
      <c r="HI169" s="148"/>
      <c r="HJ169" s="148"/>
      <c r="HK169" s="148"/>
      <c r="HL169" s="148"/>
      <c r="HM169" s="148"/>
      <c r="HN169" s="148"/>
      <c r="HO169" s="148"/>
      <c r="HP169" s="148"/>
      <c r="HQ169" s="148"/>
      <c r="HR169" s="148"/>
      <c r="HS169" s="148"/>
      <c r="HT169" s="148"/>
      <c r="HU169" s="148"/>
      <c r="HV169" s="148"/>
      <c r="HW169" s="148"/>
      <c r="HX169" s="148"/>
      <c r="HY169" s="148"/>
      <c r="HZ169" s="148"/>
      <c r="IA169" s="148"/>
      <c r="IB169" s="148"/>
      <c r="IC169" s="148"/>
      <c r="ID169" s="148"/>
      <c r="IE169" s="148"/>
      <c r="IF169" s="148"/>
      <c r="IG169" s="148"/>
      <c r="IH169" s="148"/>
      <c r="II169" s="148"/>
      <c r="IJ169" s="148"/>
      <c r="IK169" s="148"/>
      <c r="IL169" s="148"/>
      <c r="IM169" s="148"/>
      <c r="IN169" s="148"/>
      <c r="IO169" s="148"/>
      <c r="IP169" s="148"/>
      <c r="IQ169" s="148"/>
      <c r="IR169" s="148"/>
      <c r="IS169" s="148"/>
      <c r="IT169" s="148"/>
      <c r="IU169" s="148"/>
      <c r="IV169" s="148"/>
      <c r="IW169" s="148"/>
      <c r="IX169" s="148"/>
      <c r="IY169" s="148"/>
      <c r="IZ169" s="148"/>
      <c r="JA169" s="148"/>
      <c r="JB169" s="148"/>
      <c r="JC169" s="148"/>
      <c r="JD169" s="148"/>
      <c r="JE169" s="148"/>
      <c r="JF169" s="148"/>
      <c r="JG169" s="148"/>
      <c r="JH169" s="148"/>
      <c r="JI169" s="148"/>
      <c r="JJ169" s="148"/>
      <c r="JK169" s="148"/>
      <c r="JL169" s="148"/>
      <c r="JM169" s="148"/>
      <c r="JN169" s="148"/>
      <c r="JO169" s="148"/>
      <c r="JP169" s="148"/>
      <c r="JQ169" s="148"/>
      <c r="JR169" s="148"/>
      <c r="JS169" s="148"/>
      <c r="JT169" s="148"/>
      <c r="JU169" s="148"/>
      <c r="JV169" s="148"/>
      <c r="JW169" s="148"/>
      <c r="JX169" s="148"/>
      <c r="JY169" s="148"/>
      <c r="JZ169" s="148"/>
      <c r="KA169" s="148"/>
      <c r="KB169" s="148"/>
      <c r="KC169" s="148"/>
      <c r="KD169" s="148"/>
      <c r="KE169" s="148"/>
      <c r="KF169" s="148"/>
      <c r="KG169" s="148"/>
      <c r="KH169" s="148"/>
      <c r="KI169" s="148"/>
      <c r="KJ169" s="148"/>
      <c r="KK169" s="148"/>
      <c r="KL169" s="148"/>
      <c r="KM169" s="148"/>
      <c r="KN169" s="148"/>
      <c r="KO169" s="148"/>
      <c r="KP169" s="148"/>
      <c r="KQ169" s="148"/>
      <c r="KR169" s="148"/>
      <c r="KS169" s="148"/>
      <c r="KT169" s="148"/>
      <c r="KU169" s="148"/>
      <c r="KV169" s="148"/>
      <c r="KW169" s="148"/>
      <c r="KX169" s="148"/>
      <c r="KY169" s="148"/>
      <c r="KZ169" s="148"/>
      <c r="LA169" s="148"/>
      <c r="LB169" s="148"/>
      <c r="LC169" s="148"/>
      <c r="LD169" s="148"/>
      <c r="LE169" s="148"/>
      <c r="LF169" s="148"/>
      <c r="LG169" s="148"/>
      <c r="LH169" s="148"/>
      <c r="LI169" s="148"/>
      <c r="LJ169" s="148"/>
      <c r="LK169" s="148"/>
      <c r="LL169" s="148"/>
      <c r="LM169" s="148"/>
      <c r="LN169" s="148"/>
      <c r="LO169" s="148"/>
      <c r="LP169" s="148"/>
      <c r="LQ169" s="148"/>
      <c r="LR169" s="148"/>
      <c r="LS169" s="148"/>
      <c r="LT169" s="148"/>
      <c r="LU169" s="148"/>
      <c r="LV169" s="148"/>
      <c r="LW169" s="148"/>
      <c r="LX169" s="148"/>
      <c r="LY169" s="148"/>
      <c r="LZ169" s="148"/>
      <c r="MA169" s="148"/>
      <c r="MB169" s="148"/>
      <c r="MC169" s="148"/>
      <c r="MD169" s="148"/>
      <c r="ME169" s="148"/>
      <c r="MF169" s="148"/>
      <c r="MG169" s="148"/>
      <c r="MH169" s="148"/>
      <c r="MI169" s="148"/>
      <c r="MJ169" s="148"/>
      <c r="MK169" s="148"/>
      <c r="ML169" s="148"/>
      <c r="MM169" s="148"/>
      <c r="MN169" s="148"/>
      <c r="MO169" s="148"/>
      <c r="MP169" s="148"/>
      <c r="MQ169" s="148"/>
      <c r="MR169" s="148"/>
      <c r="MS169" s="148"/>
      <c r="MT169" s="148"/>
      <c r="MU169" s="148"/>
      <c r="MV169" s="148"/>
      <c r="MW169" s="148"/>
      <c r="MX169" s="148"/>
      <c r="MY169" s="148"/>
      <c r="MZ169" s="148"/>
      <c r="NA169" s="148"/>
      <c r="NB169" s="148"/>
      <c r="NC169" s="148"/>
      <c r="ND169" s="148"/>
      <c r="NE169" s="148"/>
      <c r="NF169" s="148"/>
      <c r="NG169" s="148"/>
      <c r="NH169" s="148"/>
      <c r="NI169" s="148"/>
      <c r="NJ169" s="148"/>
      <c r="NK169" s="148"/>
      <c r="NL169" s="148"/>
      <c r="NM169" s="148"/>
      <c r="NN169" s="148"/>
      <c r="NO169" s="148"/>
      <c r="NP169" s="148"/>
      <c r="NQ169" s="148"/>
      <c r="NR169" s="148"/>
      <c r="NS169" s="148"/>
      <c r="NT169" s="148"/>
      <c r="NU169" s="148"/>
      <c r="NV169" s="148"/>
      <c r="NW169" s="148"/>
      <c r="NX169" s="148"/>
      <c r="NY169" s="148"/>
      <c r="NZ169" s="148"/>
      <c r="OA169" s="148"/>
      <c r="OB169" s="148"/>
      <c r="OC169" s="148"/>
      <c r="OD169" s="148"/>
      <c r="OE169" s="148"/>
      <c r="OF169" s="148"/>
      <c r="OG169" s="148"/>
      <c r="OH169" s="148"/>
      <c r="OI169" s="148"/>
      <c r="OJ169" s="148"/>
      <c r="OK169" s="148"/>
      <c r="OL169" s="148"/>
      <c r="OM169" s="148"/>
      <c r="ON169" s="148"/>
      <c r="OO169" s="148"/>
      <c r="OP169" s="148"/>
      <c r="OQ169" s="148"/>
      <c r="OR169" s="148"/>
      <c r="OS169" s="148"/>
      <c r="OT169" s="148"/>
      <c r="OU169" s="148"/>
      <c r="OV169" s="148"/>
      <c r="OW169" s="148"/>
      <c r="OX169" s="148"/>
      <c r="OY169" s="148"/>
      <c r="OZ169" s="148"/>
      <c r="PA169" s="148"/>
      <c r="PB169" s="148"/>
      <c r="PC169" s="148"/>
      <c r="PD169" s="148"/>
      <c r="PE169" s="148"/>
      <c r="PF169" s="148"/>
      <c r="PG169" s="148"/>
      <c r="PH169" s="148"/>
      <c r="PI169" s="148"/>
      <c r="PJ169" s="148"/>
      <c r="PK169" s="148"/>
      <c r="PL169" s="148"/>
      <c r="PM169" s="148"/>
      <c r="PN169" s="148"/>
      <c r="PO169" s="148"/>
      <c r="PP169" s="148"/>
      <c r="PQ169" s="148"/>
      <c r="PR169" s="148"/>
      <c r="PS169" s="148"/>
      <c r="PT169" s="148"/>
      <c r="PU169" s="148"/>
      <c r="PV169" s="148"/>
      <c r="PW169" s="148"/>
      <c r="PX169" s="148"/>
      <c r="PY169" s="148"/>
      <c r="PZ169" s="148"/>
      <c r="QA169" s="148"/>
      <c r="QB169" s="148"/>
      <c r="QC169" s="148"/>
      <c r="QD169" s="148"/>
      <c r="QE169" s="148"/>
      <c r="QF169" s="148"/>
      <c r="QG169" s="148"/>
      <c r="QH169" s="148"/>
      <c r="QI169" s="148"/>
      <c r="QJ169" s="148"/>
      <c r="QK169" s="148"/>
      <c r="QL169" s="148"/>
      <c r="QM169" s="148"/>
      <c r="QN169" s="148"/>
      <c r="QO169" s="148"/>
      <c r="QP169" s="148"/>
      <c r="QQ169" s="148"/>
      <c r="QR169" s="148"/>
      <c r="QS169" s="148"/>
      <c r="QT169" s="148"/>
      <c r="QU169" s="148"/>
      <c r="QV169" s="148"/>
      <c r="QW169" s="148"/>
      <c r="QX169" s="148"/>
      <c r="QY169" s="148"/>
      <c r="QZ169" s="148"/>
      <c r="RA169" s="148"/>
      <c r="RB169" s="148"/>
      <c r="RC169" s="148"/>
      <c r="RD169" s="148"/>
      <c r="RE169" s="148"/>
      <c r="RF169" s="148"/>
      <c r="RG169" s="148"/>
      <c r="RH169" s="148"/>
      <c r="RI169" s="148"/>
      <c r="RJ169" s="148"/>
      <c r="RK169" s="148"/>
      <c r="RL169" s="148"/>
      <c r="RM169" s="148"/>
      <c r="RN169" s="148"/>
      <c r="RO169" s="148"/>
      <c r="RP169" s="148"/>
      <c r="RQ169" s="148"/>
      <c r="RR169" s="148"/>
    </row>
    <row r="170" spans="1:486" s="15" customFormat="1" hidden="1" x14ac:dyDescent="0.25">
      <c r="A170" s="148"/>
      <c r="B170" s="350">
        <v>160</v>
      </c>
      <c r="C170" s="650"/>
      <c r="D170" s="16"/>
      <c r="E170" s="344"/>
      <c r="F170" s="344"/>
      <c r="G170" s="17"/>
      <c r="H170" s="317"/>
      <c r="I170" s="346"/>
      <c r="J170" s="341"/>
      <c r="K170" s="633"/>
      <c r="L170" s="633"/>
      <c r="M170" s="633"/>
      <c r="N170" s="633"/>
      <c r="O170" s="633"/>
      <c r="P170" s="633"/>
      <c r="Q170" s="633"/>
      <c r="R170" s="633"/>
      <c r="S170" s="633"/>
      <c r="T170" s="633"/>
      <c r="U170" s="633"/>
      <c r="V170" s="633"/>
      <c r="W170" s="633"/>
      <c r="X170" s="633"/>
      <c r="Y170" s="633">
        <f t="shared" si="6"/>
        <v>0</v>
      </c>
      <c r="Z170" s="310"/>
      <c r="AA170" s="19"/>
      <c r="AB170" s="315"/>
      <c r="AC170" s="315"/>
      <c r="AD170" s="652"/>
      <c r="AE170" s="20"/>
      <c r="AF170" s="21"/>
      <c r="AG170" s="25"/>
      <c r="AH170" s="637"/>
      <c r="AI170" s="19"/>
      <c r="AJ170" s="21"/>
      <c r="AK170" s="25"/>
      <c r="AL170" s="309"/>
      <c r="AM170" s="19"/>
      <c r="AN170" s="21"/>
      <c r="AO170" s="25"/>
      <c r="AP170" s="309"/>
      <c r="AQ170" s="19"/>
      <c r="AR170" s="21"/>
      <c r="AS170" s="25"/>
      <c r="AT170" s="638">
        <f t="shared" si="7"/>
        <v>0</v>
      </c>
      <c r="AU170" s="311">
        <f t="shared" si="5"/>
        <v>0</v>
      </c>
      <c r="AV170" s="148"/>
      <c r="AW170" s="148"/>
      <c r="AX170" s="148"/>
      <c r="AY170" s="148"/>
      <c r="AZ170" s="148"/>
      <c r="BA170" s="148"/>
      <c r="BB170" s="148"/>
      <c r="BC170" s="148"/>
      <c r="BD170" s="148"/>
      <c r="BE170" s="148"/>
      <c r="BF170" s="148"/>
      <c r="BG170" s="148"/>
      <c r="BH170" s="148"/>
      <c r="BI170" s="148"/>
      <c r="BJ170" s="148"/>
      <c r="BK170" s="148"/>
      <c r="BL170" s="148"/>
      <c r="BM170" s="148"/>
      <c r="BN170" s="148"/>
      <c r="BO170" s="148"/>
      <c r="BP170" s="148"/>
      <c r="BQ170" s="148"/>
      <c r="BR170" s="148"/>
      <c r="BS170" s="148"/>
      <c r="BT170" s="148"/>
      <c r="BU170" s="148"/>
      <c r="BV170" s="148"/>
      <c r="BW170" s="148"/>
      <c r="BX170" s="148"/>
      <c r="BY170" s="148"/>
      <c r="BZ170" s="148"/>
      <c r="CA170" s="148"/>
      <c r="CB170" s="148"/>
      <c r="CC170" s="148"/>
      <c r="CD170" s="148"/>
      <c r="CE170" s="148"/>
      <c r="CF170" s="148"/>
      <c r="CG170" s="148"/>
      <c r="CH170" s="148"/>
      <c r="CI170" s="148"/>
      <c r="CJ170" s="148"/>
      <c r="CK170" s="148"/>
      <c r="CL170" s="148"/>
      <c r="CM170" s="148"/>
      <c r="CN170" s="148"/>
      <c r="CO170" s="148"/>
      <c r="CP170" s="148"/>
      <c r="CQ170" s="148"/>
      <c r="CR170" s="148"/>
      <c r="CS170" s="148"/>
      <c r="CT170" s="148"/>
      <c r="CU170" s="148"/>
      <c r="CV170" s="148"/>
      <c r="CW170" s="148"/>
      <c r="CX170" s="148"/>
      <c r="CY170" s="148"/>
      <c r="CZ170" s="148"/>
      <c r="DA170" s="148"/>
      <c r="DB170" s="148"/>
      <c r="DC170" s="148"/>
      <c r="DD170" s="148"/>
      <c r="DE170" s="148"/>
      <c r="DF170" s="148"/>
      <c r="DG170" s="148"/>
      <c r="DH170" s="148"/>
      <c r="DI170" s="148"/>
      <c r="DJ170" s="148"/>
      <c r="DK170" s="148"/>
      <c r="DL170" s="148"/>
      <c r="DM170" s="148"/>
      <c r="DN170" s="148"/>
      <c r="DO170" s="148"/>
      <c r="DP170" s="148"/>
      <c r="DQ170" s="148"/>
      <c r="DR170" s="148"/>
      <c r="DS170" s="148"/>
      <c r="DT170" s="148"/>
      <c r="DU170" s="148"/>
      <c r="DV170" s="148"/>
      <c r="DW170" s="148"/>
      <c r="DX170" s="148"/>
      <c r="DY170" s="148"/>
      <c r="DZ170" s="148"/>
      <c r="EA170" s="148"/>
      <c r="EB170" s="148"/>
      <c r="EC170" s="148"/>
      <c r="ED170" s="148"/>
      <c r="EE170" s="148"/>
      <c r="EF170" s="148"/>
      <c r="EG170" s="148"/>
      <c r="EH170" s="148"/>
      <c r="EI170" s="148"/>
      <c r="EJ170" s="148"/>
      <c r="EK170" s="148"/>
      <c r="EL170" s="148"/>
      <c r="EM170" s="148"/>
      <c r="EN170" s="148"/>
      <c r="EO170" s="148"/>
      <c r="EP170" s="148"/>
      <c r="EQ170" s="148"/>
      <c r="ER170" s="148"/>
      <c r="ES170" s="148"/>
      <c r="ET170" s="148"/>
      <c r="EU170" s="148"/>
      <c r="EV170" s="148"/>
      <c r="EW170" s="148"/>
      <c r="EX170" s="148"/>
      <c r="EY170" s="148"/>
      <c r="EZ170" s="148"/>
      <c r="FA170" s="148"/>
      <c r="FB170" s="148"/>
      <c r="FC170" s="148"/>
      <c r="FD170" s="148"/>
      <c r="FE170" s="148"/>
      <c r="FF170" s="148"/>
      <c r="FG170" s="148"/>
      <c r="FH170" s="148"/>
      <c r="FI170" s="148"/>
      <c r="FJ170" s="148"/>
      <c r="FK170" s="148"/>
      <c r="FL170" s="148"/>
      <c r="FM170" s="148"/>
      <c r="FN170" s="148"/>
      <c r="FO170" s="148"/>
      <c r="FP170" s="148"/>
      <c r="FQ170" s="148"/>
      <c r="FR170" s="148"/>
      <c r="FS170" s="148"/>
      <c r="FT170" s="148"/>
      <c r="FU170" s="148"/>
      <c r="FV170" s="148"/>
      <c r="FW170" s="148"/>
      <c r="FX170" s="148"/>
      <c r="FY170" s="148"/>
      <c r="FZ170" s="148"/>
      <c r="GA170" s="148"/>
      <c r="GB170" s="148"/>
      <c r="GC170" s="148"/>
      <c r="GD170" s="148"/>
      <c r="GE170" s="148"/>
      <c r="GF170" s="148"/>
      <c r="GG170" s="148"/>
      <c r="GH170" s="148"/>
      <c r="GI170" s="148"/>
      <c r="GJ170" s="148"/>
      <c r="GK170" s="148"/>
      <c r="GL170" s="148"/>
      <c r="GM170" s="148"/>
      <c r="GN170" s="148"/>
      <c r="GO170" s="148"/>
      <c r="GP170" s="148"/>
      <c r="GQ170" s="148"/>
      <c r="GR170" s="148"/>
      <c r="GS170" s="148"/>
      <c r="GT170" s="148"/>
      <c r="GU170" s="148"/>
      <c r="GV170" s="148"/>
      <c r="GW170" s="148"/>
      <c r="GX170" s="148"/>
      <c r="GY170" s="148"/>
      <c r="GZ170" s="148"/>
      <c r="HA170" s="148"/>
      <c r="HB170" s="148"/>
      <c r="HC170" s="148"/>
      <c r="HD170" s="148"/>
      <c r="HE170" s="148"/>
      <c r="HF170" s="148"/>
      <c r="HG170" s="148"/>
      <c r="HH170" s="148"/>
      <c r="HI170" s="148"/>
      <c r="HJ170" s="148"/>
      <c r="HK170" s="148"/>
      <c r="HL170" s="148"/>
      <c r="HM170" s="148"/>
      <c r="HN170" s="148"/>
      <c r="HO170" s="148"/>
      <c r="HP170" s="148"/>
      <c r="HQ170" s="148"/>
      <c r="HR170" s="148"/>
      <c r="HS170" s="148"/>
      <c r="HT170" s="148"/>
      <c r="HU170" s="148"/>
      <c r="HV170" s="148"/>
      <c r="HW170" s="148"/>
      <c r="HX170" s="148"/>
      <c r="HY170" s="148"/>
      <c r="HZ170" s="148"/>
      <c r="IA170" s="148"/>
      <c r="IB170" s="148"/>
      <c r="IC170" s="148"/>
      <c r="ID170" s="148"/>
      <c r="IE170" s="148"/>
      <c r="IF170" s="148"/>
      <c r="IG170" s="148"/>
      <c r="IH170" s="148"/>
      <c r="II170" s="148"/>
      <c r="IJ170" s="148"/>
      <c r="IK170" s="148"/>
      <c r="IL170" s="148"/>
      <c r="IM170" s="148"/>
      <c r="IN170" s="148"/>
      <c r="IO170" s="148"/>
      <c r="IP170" s="148"/>
      <c r="IQ170" s="148"/>
      <c r="IR170" s="148"/>
      <c r="IS170" s="148"/>
      <c r="IT170" s="148"/>
      <c r="IU170" s="148"/>
      <c r="IV170" s="148"/>
      <c r="IW170" s="148"/>
      <c r="IX170" s="148"/>
      <c r="IY170" s="148"/>
      <c r="IZ170" s="148"/>
      <c r="JA170" s="148"/>
      <c r="JB170" s="148"/>
      <c r="JC170" s="148"/>
      <c r="JD170" s="148"/>
      <c r="JE170" s="148"/>
      <c r="JF170" s="148"/>
      <c r="JG170" s="148"/>
      <c r="JH170" s="148"/>
      <c r="JI170" s="148"/>
      <c r="JJ170" s="148"/>
      <c r="JK170" s="148"/>
      <c r="JL170" s="148"/>
      <c r="JM170" s="148"/>
      <c r="JN170" s="148"/>
      <c r="JO170" s="148"/>
      <c r="JP170" s="148"/>
      <c r="JQ170" s="148"/>
      <c r="JR170" s="148"/>
      <c r="JS170" s="148"/>
      <c r="JT170" s="148"/>
      <c r="JU170" s="148"/>
      <c r="JV170" s="148"/>
      <c r="JW170" s="148"/>
      <c r="JX170" s="148"/>
      <c r="JY170" s="148"/>
      <c r="JZ170" s="148"/>
      <c r="KA170" s="148"/>
      <c r="KB170" s="148"/>
      <c r="KC170" s="148"/>
      <c r="KD170" s="148"/>
      <c r="KE170" s="148"/>
      <c r="KF170" s="148"/>
      <c r="KG170" s="148"/>
      <c r="KH170" s="148"/>
      <c r="KI170" s="148"/>
      <c r="KJ170" s="148"/>
      <c r="KK170" s="148"/>
      <c r="KL170" s="148"/>
      <c r="KM170" s="148"/>
      <c r="KN170" s="148"/>
      <c r="KO170" s="148"/>
      <c r="KP170" s="148"/>
      <c r="KQ170" s="148"/>
      <c r="KR170" s="148"/>
      <c r="KS170" s="148"/>
      <c r="KT170" s="148"/>
      <c r="KU170" s="148"/>
      <c r="KV170" s="148"/>
      <c r="KW170" s="148"/>
      <c r="KX170" s="148"/>
      <c r="KY170" s="148"/>
      <c r="KZ170" s="148"/>
      <c r="LA170" s="148"/>
      <c r="LB170" s="148"/>
      <c r="LC170" s="148"/>
      <c r="LD170" s="148"/>
      <c r="LE170" s="148"/>
      <c r="LF170" s="148"/>
      <c r="LG170" s="148"/>
      <c r="LH170" s="148"/>
      <c r="LI170" s="148"/>
      <c r="LJ170" s="148"/>
      <c r="LK170" s="148"/>
      <c r="LL170" s="148"/>
      <c r="LM170" s="148"/>
      <c r="LN170" s="148"/>
      <c r="LO170" s="148"/>
      <c r="LP170" s="148"/>
      <c r="LQ170" s="148"/>
      <c r="LR170" s="148"/>
      <c r="LS170" s="148"/>
      <c r="LT170" s="148"/>
      <c r="LU170" s="148"/>
      <c r="LV170" s="148"/>
      <c r="LW170" s="148"/>
      <c r="LX170" s="148"/>
      <c r="LY170" s="148"/>
      <c r="LZ170" s="148"/>
      <c r="MA170" s="148"/>
      <c r="MB170" s="148"/>
      <c r="MC170" s="148"/>
      <c r="MD170" s="148"/>
      <c r="ME170" s="148"/>
      <c r="MF170" s="148"/>
      <c r="MG170" s="148"/>
      <c r="MH170" s="148"/>
      <c r="MI170" s="148"/>
      <c r="MJ170" s="148"/>
      <c r="MK170" s="148"/>
      <c r="ML170" s="148"/>
      <c r="MM170" s="148"/>
      <c r="MN170" s="148"/>
      <c r="MO170" s="148"/>
      <c r="MP170" s="148"/>
      <c r="MQ170" s="148"/>
      <c r="MR170" s="148"/>
      <c r="MS170" s="148"/>
      <c r="MT170" s="148"/>
      <c r="MU170" s="148"/>
      <c r="MV170" s="148"/>
      <c r="MW170" s="148"/>
      <c r="MX170" s="148"/>
      <c r="MY170" s="148"/>
      <c r="MZ170" s="148"/>
      <c r="NA170" s="148"/>
      <c r="NB170" s="148"/>
      <c r="NC170" s="148"/>
      <c r="ND170" s="148"/>
      <c r="NE170" s="148"/>
      <c r="NF170" s="148"/>
      <c r="NG170" s="148"/>
      <c r="NH170" s="148"/>
      <c r="NI170" s="148"/>
      <c r="NJ170" s="148"/>
      <c r="NK170" s="148"/>
      <c r="NL170" s="148"/>
      <c r="NM170" s="148"/>
      <c r="NN170" s="148"/>
      <c r="NO170" s="148"/>
      <c r="NP170" s="148"/>
      <c r="NQ170" s="148"/>
      <c r="NR170" s="148"/>
      <c r="NS170" s="148"/>
      <c r="NT170" s="148"/>
      <c r="NU170" s="148"/>
      <c r="NV170" s="148"/>
      <c r="NW170" s="148"/>
      <c r="NX170" s="148"/>
      <c r="NY170" s="148"/>
      <c r="NZ170" s="148"/>
      <c r="OA170" s="148"/>
      <c r="OB170" s="148"/>
      <c r="OC170" s="148"/>
      <c r="OD170" s="148"/>
      <c r="OE170" s="148"/>
      <c r="OF170" s="148"/>
      <c r="OG170" s="148"/>
      <c r="OH170" s="148"/>
      <c r="OI170" s="148"/>
      <c r="OJ170" s="148"/>
      <c r="OK170" s="148"/>
      <c r="OL170" s="148"/>
      <c r="OM170" s="148"/>
      <c r="ON170" s="148"/>
      <c r="OO170" s="148"/>
      <c r="OP170" s="148"/>
      <c r="OQ170" s="148"/>
      <c r="OR170" s="148"/>
      <c r="OS170" s="148"/>
      <c r="OT170" s="148"/>
      <c r="OU170" s="148"/>
      <c r="OV170" s="148"/>
      <c r="OW170" s="148"/>
      <c r="OX170" s="148"/>
      <c r="OY170" s="148"/>
      <c r="OZ170" s="148"/>
      <c r="PA170" s="148"/>
      <c r="PB170" s="148"/>
      <c r="PC170" s="148"/>
      <c r="PD170" s="148"/>
      <c r="PE170" s="148"/>
      <c r="PF170" s="148"/>
      <c r="PG170" s="148"/>
      <c r="PH170" s="148"/>
      <c r="PI170" s="148"/>
      <c r="PJ170" s="148"/>
      <c r="PK170" s="148"/>
      <c r="PL170" s="148"/>
      <c r="PM170" s="148"/>
      <c r="PN170" s="148"/>
      <c r="PO170" s="148"/>
      <c r="PP170" s="148"/>
      <c r="PQ170" s="148"/>
      <c r="PR170" s="148"/>
      <c r="PS170" s="148"/>
      <c r="PT170" s="148"/>
      <c r="PU170" s="148"/>
      <c r="PV170" s="148"/>
      <c r="PW170" s="148"/>
      <c r="PX170" s="148"/>
      <c r="PY170" s="148"/>
      <c r="PZ170" s="148"/>
      <c r="QA170" s="148"/>
      <c r="QB170" s="148"/>
      <c r="QC170" s="148"/>
      <c r="QD170" s="148"/>
      <c r="QE170" s="148"/>
      <c r="QF170" s="148"/>
      <c r="QG170" s="148"/>
      <c r="QH170" s="148"/>
      <c r="QI170" s="148"/>
      <c r="QJ170" s="148"/>
      <c r="QK170" s="148"/>
      <c r="QL170" s="148"/>
      <c r="QM170" s="148"/>
      <c r="QN170" s="148"/>
      <c r="QO170" s="148"/>
      <c r="QP170" s="148"/>
      <c r="QQ170" s="148"/>
      <c r="QR170" s="148"/>
      <c r="QS170" s="148"/>
      <c r="QT170" s="148"/>
      <c r="QU170" s="148"/>
      <c r="QV170" s="148"/>
      <c r="QW170" s="148"/>
      <c r="QX170" s="148"/>
      <c r="QY170" s="148"/>
      <c r="QZ170" s="148"/>
      <c r="RA170" s="148"/>
      <c r="RB170" s="148"/>
      <c r="RC170" s="148"/>
      <c r="RD170" s="148"/>
      <c r="RE170" s="148"/>
      <c r="RF170" s="148"/>
      <c r="RG170" s="148"/>
      <c r="RH170" s="148"/>
      <c r="RI170" s="148"/>
      <c r="RJ170" s="148"/>
      <c r="RK170" s="148"/>
      <c r="RL170" s="148"/>
      <c r="RM170" s="148"/>
      <c r="RN170" s="148"/>
      <c r="RO170" s="148"/>
      <c r="RP170" s="148"/>
      <c r="RQ170" s="148"/>
      <c r="RR170" s="148"/>
    </row>
    <row r="171" spans="1:486" s="15" customFormat="1" hidden="1" x14ac:dyDescent="0.25">
      <c r="A171" s="148"/>
      <c r="B171" s="350">
        <v>161</v>
      </c>
      <c r="C171" s="650"/>
      <c r="D171" s="16"/>
      <c r="E171" s="344"/>
      <c r="F171" s="344"/>
      <c r="G171" s="17"/>
      <c r="H171" s="317"/>
      <c r="I171" s="346"/>
      <c r="J171" s="341"/>
      <c r="K171" s="633"/>
      <c r="L171" s="633"/>
      <c r="M171" s="633"/>
      <c r="N171" s="633"/>
      <c r="O171" s="633"/>
      <c r="P171" s="633"/>
      <c r="Q171" s="633"/>
      <c r="R171" s="633"/>
      <c r="S171" s="633"/>
      <c r="T171" s="633"/>
      <c r="U171" s="633"/>
      <c r="V171" s="633"/>
      <c r="W171" s="633"/>
      <c r="X171" s="633"/>
      <c r="Y171" s="633">
        <f t="shared" si="6"/>
        <v>0</v>
      </c>
      <c r="Z171" s="310"/>
      <c r="AA171" s="19"/>
      <c r="AB171" s="315"/>
      <c r="AC171" s="315"/>
      <c r="AD171" s="652"/>
      <c r="AE171" s="20"/>
      <c r="AF171" s="21"/>
      <c r="AG171" s="25"/>
      <c r="AH171" s="637"/>
      <c r="AI171" s="19"/>
      <c r="AJ171" s="21"/>
      <c r="AK171" s="25"/>
      <c r="AL171" s="309"/>
      <c r="AM171" s="19"/>
      <c r="AN171" s="21"/>
      <c r="AO171" s="25"/>
      <c r="AP171" s="309"/>
      <c r="AQ171" s="19"/>
      <c r="AR171" s="21"/>
      <c r="AS171" s="25"/>
      <c r="AT171" s="638">
        <f t="shared" si="7"/>
        <v>0</v>
      </c>
      <c r="AU171" s="311">
        <f t="shared" si="5"/>
        <v>0</v>
      </c>
      <c r="AV171" s="148"/>
      <c r="AW171" s="148"/>
      <c r="AX171" s="148"/>
      <c r="AY171" s="148"/>
      <c r="AZ171" s="148"/>
      <c r="BA171" s="148"/>
      <c r="BB171" s="148"/>
      <c r="BC171" s="148"/>
      <c r="BD171" s="148"/>
      <c r="BE171" s="148"/>
      <c r="BF171" s="148"/>
      <c r="BG171" s="148"/>
      <c r="BH171" s="148"/>
      <c r="BI171" s="148"/>
      <c r="BJ171" s="148"/>
      <c r="BK171" s="148"/>
      <c r="BL171" s="148"/>
      <c r="BM171" s="148"/>
      <c r="BN171" s="148"/>
      <c r="BO171" s="148"/>
      <c r="BP171" s="148"/>
      <c r="BQ171" s="148"/>
      <c r="BR171" s="148"/>
      <c r="BS171" s="148"/>
      <c r="BT171" s="148"/>
      <c r="BU171" s="148"/>
      <c r="BV171" s="148"/>
      <c r="BW171" s="148"/>
      <c r="BX171" s="148"/>
      <c r="BY171" s="148"/>
      <c r="BZ171" s="148"/>
      <c r="CA171" s="148"/>
      <c r="CB171" s="148"/>
      <c r="CC171" s="148"/>
      <c r="CD171" s="148"/>
      <c r="CE171" s="148"/>
      <c r="CF171" s="148"/>
      <c r="CG171" s="148"/>
      <c r="CH171" s="148"/>
      <c r="CI171" s="148"/>
      <c r="CJ171" s="148"/>
      <c r="CK171" s="148"/>
      <c r="CL171" s="148"/>
      <c r="CM171" s="148"/>
      <c r="CN171" s="148"/>
      <c r="CO171" s="148"/>
      <c r="CP171" s="148"/>
      <c r="CQ171" s="148"/>
      <c r="CR171" s="148"/>
      <c r="CS171" s="148"/>
      <c r="CT171" s="148"/>
      <c r="CU171" s="148"/>
      <c r="CV171" s="148"/>
      <c r="CW171" s="148"/>
      <c r="CX171" s="148"/>
      <c r="CY171" s="148"/>
      <c r="CZ171" s="148"/>
      <c r="DA171" s="148"/>
      <c r="DB171" s="148"/>
      <c r="DC171" s="148"/>
      <c r="DD171" s="148"/>
      <c r="DE171" s="148"/>
      <c r="DF171" s="148"/>
      <c r="DG171" s="148"/>
      <c r="DH171" s="148"/>
      <c r="DI171" s="148"/>
      <c r="DJ171" s="148"/>
      <c r="DK171" s="148"/>
      <c r="DL171" s="148"/>
      <c r="DM171" s="148"/>
      <c r="DN171" s="148"/>
      <c r="DO171" s="148"/>
      <c r="DP171" s="148"/>
      <c r="DQ171" s="148"/>
      <c r="DR171" s="148"/>
      <c r="DS171" s="148"/>
      <c r="DT171" s="148"/>
      <c r="DU171" s="148"/>
      <c r="DV171" s="148"/>
      <c r="DW171" s="148"/>
      <c r="DX171" s="148"/>
      <c r="DY171" s="148"/>
      <c r="DZ171" s="148"/>
      <c r="EA171" s="148"/>
      <c r="EB171" s="148"/>
      <c r="EC171" s="148"/>
      <c r="ED171" s="148"/>
      <c r="EE171" s="148"/>
      <c r="EF171" s="148"/>
      <c r="EG171" s="148"/>
      <c r="EH171" s="148"/>
      <c r="EI171" s="148"/>
      <c r="EJ171" s="148"/>
      <c r="EK171" s="148"/>
      <c r="EL171" s="148"/>
      <c r="EM171" s="148"/>
      <c r="EN171" s="148"/>
      <c r="EO171" s="148"/>
      <c r="EP171" s="148"/>
      <c r="EQ171" s="148"/>
      <c r="ER171" s="148"/>
      <c r="ES171" s="148"/>
      <c r="ET171" s="148"/>
      <c r="EU171" s="148"/>
      <c r="EV171" s="148"/>
      <c r="EW171" s="148"/>
      <c r="EX171" s="148"/>
      <c r="EY171" s="148"/>
      <c r="EZ171" s="148"/>
      <c r="FA171" s="148"/>
      <c r="FB171" s="148"/>
      <c r="FC171" s="148"/>
      <c r="FD171" s="148"/>
      <c r="FE171" s="148"/>
      <c r="FF171" s="148"/>
      <c r="FG171" s="148"/>
      <c r="FH171" s="148"/>
      <c r="FI171" s="148"/>
      <c r="FJ171" s="148"/>
      <c r="FK171" s="148"/>
      <c r="FL171" s="148"/>
      <c r="FM171" s="148"/>
      <c r="FN171" s="148"/>
      <c r="FO171" s="148"/>
      <c r="FP171" s="148"/>
      <c r="FQ171" s="148"/>
      <c r="FR171" s="148"/>
      <c r="FS171" s="148"/>
      <c r="FT171" s="148"/>
      <c r="FU171" s="148"/>
      <c r="FV171" s="148"/>
      <c r="FW171" s="148"/>
      <c r="FX171" s="148"/>
      <c r="FY171" s="148"/>
      <c r="FZ171" s="148"/>
      <c r="GA171" s="148"/>
      <c r="GB171" s="148"/>
      <c r="GC171" s="148"/>
      <c r="GD171" s="148"/>
      <c r="GE171" s="148"/>
      <c r="GF171" s="148"/>
      <c r="GG171" s="148"/>
      <c r="GH171" s="148"/>
      <c r="GI171" s="148"/>
      <c r="GJ171" s="148"/>
      <c r="GK171" s="148"/>
      <c r="GL171" s="148"/>
      <c r="GM171" s="148"/>
      <c r="GN171" s="148"/>
      <c r="GO171" s="148"/>
      <c r="GP171" s="148"/>
      <c r="GQ171" s="148"/>
      <c r="GR171" s="148"/>
      <c r="GS171" s="148"/>
      <c r="GT171" s="148"/>
      <c r="GU171" s="148"/>
      <c r="GV171" s="148"/>
      <c r="GW171" s="148"/>
      <c r="GX171" s="148"/>
      <c r="GY171" s="148"/>
      <c r="GZ171" s="148"/>
      <c r="HA171" s="148"/>
      <c r="HB171" s="148"/>
      <c r="HC171" s="148"/>
      <c r="HD171" s="148"/>
      <c r="HE171" s="148"/>
      <c r="HF171" s="148"/>
      <c r="HG171" s="148"/>
      <c r="HH171" s="148"/>
      <c r="HI171" s="148"/>
      <c r="HJ171" s="148"/>
      <c r="HK171" s="148"/>
      <c r="HL171" s="148"/>
      <c r="HM171" s="148"/>
      <c r="HN171" s="148"/>
      <c r="HO171" s="148"/>
      <c r="HP171" s="148"/>
      <c r="HQ171" s="148"/>
      <c r="HR171" s="148"/>
      <c r="HS171" s="148"/>
      <c r="HT171" s="148"/>
      <c r="HU171" s="148"/>
      <c r="HV171" s="148"/>
      <c r="HW171" s="148"/>
      <c r="HX171" s="148"/>
      <c r="HY171" s="148"/>
      <c r="HZ171" s="148"/>
      <c r="IA171" s="148"/>
      <c r="IB171" s="148"/>
      <c r="IC171" s="148"/>
      <c r="ID171" s="148"/>
      <c r="IE171" s="148"/>
      <c r="IF171" s="148"/>
      <c r="IG171" s="148"/>
      <c r="IH171" s="148"/>
      <c r="II171" s="148"/>
      <c r="IJ171" s="148"/>
      <c r="IK171" s="148"/>
      <c r="IL171" s="148"/>
      <c r="IM171" s="148"/>
      <c r="IN171" s="148"/>
      <c r="IO171" s="148"/>
      <c r="IP171" s="148"/>
      <c r="IQ171" s="148"/>
      <c r="IR171" s="148"/>
      <c r="IS171" s="148"/>
      <c r="IT171" s="148"/>
      <c r="IU171" s="148"/>
      <c r="IV171" s="148"/>
      <c r="IW171" s="148"/>
      <c r="IX171" s="148"/>
      <c r="IY171" s="148"/>
      <c r="IZ171" s="148"/>
      <c r="JA171" s="148"/>
      <c r="JB171" s="148"/>
      <c r="JC171" s="148"/>
      <c r="JD171" s="148"/>
      <c r="JE171" s="148"/>
      <c r="JF171" s="148"/>
      <c r="JG171" s="148"/>
      <c r="JH171" s="148"/>
      <c r="JI171" s="148"/>
      <c r="JJ171" s="148"/>
      <c r="JK171" s="148"/>
      <c r="JL171" s="148"/>
      <c r="JM171" s="148"/>
      <c r="JN171" s="148"/>
      <c r="JO171" s="148"/>
      <c r="JP171" s="148"/>
      <c r="JQ171" s="148"/>
      <c r="JR171" s="148"/>
      <c r="JS171" s="148"/>
      <c r="JT171" s="148"/>
      <c r="JU171" s="148"/>
      <c r="JV171" s="148"/>
      <c r="JW171" s="148"/>
      <c r="JX171" s="148"/>
      <c r="JY171" s="148"/>
      <c r="JZ171" s="148"/>
      <c r="KA171" s="148"/>
      <c r="KB171" s="148"/>
      <c r="KC171" s="148"/>
      <c r="KD171" s="148"/>
      <c r="KE171" s="148"/>
      <c r="KF171" s="148"/>
      <c r="KG171" s="148"/>
      <c r="KH171" s="148"/>
      <c r="KI171" s="148"/>
      <c r="KJ171" s="148"/>
      <c r="KK171" s="148"/>
      <c r="KL171" s="148"/>
      <c r="KM171" s="148"/>
      <c r="KN171" s="148"/>
      <c r="KO171" s="148"/>
      <c r="KP171" s="148"/>
      <c r="KQ171" s="148"/>
      <c r="KR171" s="148"/>
      <c r="KS171" s="148"/>
      <c r="KT171" s="148"/>
      <c r="KU171" s="148"/>
      <c r="KV171" s="148"/>
      <c r="KW171" s="148"/>
      <c r="KX171" s="148"/>
      <c r="KY171" s="148"/>
      <c r="KZ171" s="148"/>
      <c r="LA171" s="148"/>
      <c r="LB171" s="148"/>
      <c r="LC171" s="148"/>
      <c r="LD171" s="148"/>
      <c r="LE171" s="148"/>
      <c r="LF171" s="148"/>
      <c r="LG171" s="148"/>
      <c r="LH171" s="148"/>
      <c r="LI171" s="148"/>
      <c r="LJ171" s="148"/>
      <c r="LK171" s="148"/>
      <c r="LL171" s="148"/>
      <c r="LM171" s="148"/>
      <c r="LN171" s="148"/>
      <c r="LO171" s="148"/>
      <c r="LP171" s="148"/>
      <c r="LQ171" s="148"/>
      <c r="LR171" s="148"/>
      <c r="LS171" s="148"/>
      <c r="LT171" s="148"/>
      <c r="LU171" s="148"/>
      <c r="LV171" s="148"/>
      <c r="LW171" s="148"/>
      <c r="LX171" s="148"/>
      <c r="LY171" s="148"/>
      <c r="LZ171" s="148"/>
      <c r="MA171" s="148"/>
      <c r="MB171" s="148"/>
      <c r="MC171" s="148"/>
      <c r="MD171" s="148"/>
      <c r="ME171" s="148"/>
      <c r="MF171" s="148"/>
      <c r="MG171" s="148"/>
      <c r="MH171" s="148"/>
      <c r="MI171" s="148"/>
      <c r="MJ171" s="148"/>
      <c r="MK171" s="148"/>
      <c r="ML171" s="148"/>
      <c r="MM171" s="148"/>
      <c r="MN171" s="148"/>
      <c r="MO171" s="148"/>
      <c r="MP171" s="148"/>
      <c r="MQ171" s="148"/>
      <c r="MR171" s="148"/>
      <c r="MS171" s="148"/>
      <c r="MT171" s="148"/>
      <c r="MU171" s="148"/>
      <c r="MV171" s="148"/>
      <c r="MW171" s="148"/>
      <c r="MX171" s="148"/>
      <c r="MY171" s="148"/>
      <c r="MZ171" s="148"/>
      <c r="NA171" s="148"/>
      <c r="NB171" s="148"/>
      <c r="NC171" s="148"/>
      <c r="ND171" s="148"/>
      <c r="NE171" s="148"/>
      <c r="NF171" s="148"/>
      <c r="NG171" s="148"/>
      <c r="NH171" s="148"/>
      <c r="NI171" s="148"/>
      <c r="NJ171" s="148"/>
      <c r="NK171" s="148"/>
      <c r="NL171" s="148"/>
      <c r="NM171" s="148"/>
      <c r="NN171" s="148"/>
      <c r="NO171" s="148"/>
      <c r="NP171" s="148"/>
      <c r="NQ171" s="148"/>
      <c r="NR171" s="148"/>
      <c r="NS171" s="148"/>
      <c r="NT171" s="148"/>
      <c r="NU171" s="148"/>
      <c r="NV171" s="148"/>
      <c r="NW171" s="148"/>
      <c r="NX171" s="148"/>
      <c r="NY171" s="148"/>
      <c r="NZ171" s="148"/>
      <c r="OA171" s="148"/>
      <c r="OB171" s="148"/>
      <c r="OC171" s="148"/>
      <c r="OD171" s="148"/>
      <c r="OE171" s="148"/>
      <c r="OF171" s="148"/>
      <c r="OG171" s="148"/>
      <c r="OH171" s="148"/>
      <c r="OI171" s="148"/>
      <c r="OJ171" s="148"/>
      <c r="OK171" s="148"/>
      <c r="OL171" s="148"/>
      <c r="OM171" s="148"/>
      <c r="ON171" s="148"/>
      <c r="OO171" s="148"/>
      <c r="OP171" s="148"/>
      <c r="OQ171" s="148"/>
      <c r="OR171" s="148"/>
      <c r="OS171" s="148"/>
      <c r="OT171" s="148"/>
      <c r="OU171" s="148"/>
      <c r="OV171" s="148"/>
      <c r="OW171" s="148"/>
      <c r="OX171" s="148"/>
      <c r="OY171" s="148"/>
      <c r="OZ171" s="148"/>
      <c r="PA171" s="148"/>
      <c r="PB171" s="148"/>
      <c r="PC171" s="148"/>
      <c r="PD171" s="148"/>
      <c r="PE171" s="148"/>
      <c r="PF171" s="148"/>
      <c r="PG171" s="148"/>
      <c r="PH171" s="148"/>
      <c r="PI171" s="148"/>
      <c r="PJ171" s="148"/>
      <c r="PK171" s="148"/>
      <c r="PL171" s="148"/>
      <c r="PM171" s="148"/>
      <c r="PN171" s="148"/>
      <c r="PO171" s="148"/>
      <c r="PP171" s="148"/>
      <c r="PQ171" s="148"/>
      <c r="PR171" s="148"/>
      <c r="PS171" s="148"/>
      <c r="PT171" s="148"/>
      <c r="PU171" s="148"/>
      <c r="PV171" s="148"/>
      <c r="PW171" s="148"/>
      <c r="PX171" s="148"/>
      <c r="PY171" s="148"/>
      <c r="PZ171" s="148"/>
      <c r="QA171" s="148"/>
      <c r="QB171" s="148"/>
      <c r="QC171" s="148"/>
      <c r="QD171" s="148"/>
      <c r="QE171" s="148"/>
      <c r="QF171" s="148"/>
      <c r="QG171" s="148"/>
      <c r="QH171" s="148"/>
      <c r="QI171" s="148"/>
      <c r="QJ171" s="148"/>
      <c r="QK171" s="148"/>
      <c r="QL171" s="148"/>
      <c r="QM171" s="148"/>
      <c r="QN171" s="148"/>
      <c r="QO171" s="148"/>
      <c r="QP171" s="148"/>
      <c r="QQ171" s="148"/>
      <c r="QR171" s="148"/>
      <c r="QS171" s="148"/>
      <c r="QT171" s="148"/>
      <c r="QU171" s="148"/>
      <c r="QV171" s="148"/>
      <c r="QW171" s="148"/>
      <c r="QX171" s="148"/>
      <c r="QY171" s="148"/>
      <c r="QZ171" s="148"/>
      <c r="RA171" s="148"/>
      <c r="RB171" s="148"/>
      <c r="RC171" s="148"/>
      <c r="RD171" s="148"/>
      <c r="RE171" s="148"/>
      <c r="RF171" s="148"/>
      <c r="RG171" s="148"/>
      <c r="RH171" s="148"/>
      <c r="RI171" s="148"/>
      <c r="RJ171" s="148"/>
      <c r="RK171" s="148"/>
      <c r="RL171" s="148"/>
      <c r="RM171" s="148"/>
      <c r="RN171" s="148"/>
      <c r="RO171" s="148"/>
      <c r="RP171" s="148"/>
      <c r="RQ171" s="148"/>
      <c r="RR171" s="148"/>
    </row>
    <row r="172" spans="1:486" s="15" customFormat="1" hidden="1" x14ac:dyDescent="0.25">
      <c r="A172" s="148"/>
      <c r="B172" s="350">
        <v>162</v>
      </c>
      <c r="C172" s="650"/>
      <c r="D172" s="16"/>
      <c r="E172" s="344"/>
      <c r="F172" s="344"/>
      <c r="G172" s="17"/>
      <c r="H172" s="317"/>
      <c r="I172" s="346"/>
      <c r="J172" s="341"/>
      <c r="K172" s="633"/>
      <c r="L172" s="633"/>
      <c r="M172" s="633"/>
      <c r="N172" s="633"/>
      <c r="O172" s="633"/>
      <c r="P172" s="633"/>
      <c r="Q172" s="633"/>
      <c r="R172" s="633"/>
      <c r="S172" s="633"/>
      <c r="T172" s="633"/>
      <c r="U172" s="633"/>
      <c r="V172" s="633"/>
      <c r="W172" s="633"/>
      <c r="X172" s="633"/>
      <c r="Y172" s="633">
        <f t="shared" si="6"/>
        <v>0</v>
      </c>
      <c r="Z172" s="310"/>
      <c r="AA172" s="19"/>
      <c r="AB172" s="315"/>
      <c r="AC172" s="315"/>
      <c r="AD172" s="652"/>
      <c r="AE172" s="20"/>
      <c r="AF172" s="21"/>
      <c r="AG172" s="25"/>
      <c r="AH172" s="637"/>
      <c r="AI172" s="19"/>
      <c r="AJ172" s="21"/>
      <c r="AK172" s="25"/>
      <c r="AL172" s="309"/>
      <c r="AM172" s="19"/>
      <c r="AN172" s="21"/>
      <c r="AO172" s="25"/>
      <c r="AP172" s="309"/>
      <c r="AQ172" s="19"/>
      <c r="AR172" s="21"/>
      <c r="AS172" s="25"/>
      <c r="AT172" s="638">
        <f t="shared" si="7"/>
        <v>0</v>
      </c>
      <c r="AU172" s="311">
        <f t="shared" si="5"/>
        <v>0</v>
      </c>
      <c r="AV172" s="148"/>
      <c r="AW172" s="148"/>
      <c r="AX172" s="148"/>
      <c r="AY172" s="148"/>
      <c r="AZ172" s="148"/>
      <c r="BA172" s="148"/>
      <c r="BB172" s="148"/>
      <c r="BC172" s="148"/>
      <c r="BD172" s="148"/>
      <c r="BE172" s="148"/>
      <c r="BF172" s="148"/>
      <c r="BG172" s="148"/>
      <c r="BH172" s="148"/>
      <c r="BI172" s="148"/>
      <c r="BJ172" s="148"/>
      <c r="BK172" s="148"/>
      <c r="BL172" s="148"/>
      <c r="BM172" s="148"/>
      <c r="BN172" s="148"/>
      <c r="BO172" s="148"/>
      <c r="BP172" s="148"/>
      <c r="BQ172" s="148"/>
      <c r="BR172" s="148"/>
      <c r="BS172" s="148"/>
      <c r="BT172" s="148"/>
      <c r="BU172" s="148"/>
      <c r="BV172" s="148"/>
      <c r="BW172" s="148"/>
      <c r="BX172" s="148"/>
      <c r="BY172" s="148"/>
      <c r="BZ172" s="148"/>
      <c r="CA172" s="148"/>
      <c r="CB172" s="148"/>
      <c r="CC172" s="148"/>
      <c r="CD172" s="148"/>
      <c r="CE172" s="148"/>
      <c r="CF172" s="148"/>
      <c r="CG172" s="148"/>
      <c r="CH172" s="148"/>
      <c r="CI172" s="148"/>
      <c r="CJ172" s="148"/>
      <c r="CK172" s="148"/>
      <c r="CL172" s="148"/>
      <c r="CM172" s="148"/>
      <c r="CN172" s="148"/>
      <c r="CO172" s="148"/>
      <c r="CP172" s="148"/>
      <c r="CQ172" s="148"/>
      <c r="CR172" s="148"/>
      <c r="CS172" s="148"/>
      <c r="CT172" s="148"/>
      <c r="CU172" s="148"/>
      <c r="CV172" s="148"/>
      <c r="CW172" s="148"/>
      <c r="CX172" s="148"/>
      <c r="CY172" s="148"/>
      <c r="CZ172" s="148"/>
      <c r="DA172" s="148"/>
      <c r="DB172" s="148"/>
      <c r="DC172" s="148"/>
      <c r="DD172" s="148"/>
      <c r="DE172" s="148"/>
      <c r="DF172" s="148"/>
      <c r="DG172" s="148"/>
      <c r="DH172" s="148"/>
      <c r="DI172" s="148"/>
      <c r="DJ172" s="148"/>
      <c r="DK172" s="148"/>
      <c r="DL172" s="148"/>
      <c r="DM172" s="148"/>
      <c r="DN172" s="148"/>
      <c r="DO172" s="148"/>
      <c r="DP172" s="148"/>
      <c r="DQ172" s="148"/>
      <c r="DR172" s="148"/>
      <c r="DS172" s="148"/>
      <c r="DT172" s="148"/>
      <c r="DU172" s="148"/>
      <c r="DV172" s="148"/>
      <c r="DW172" s="148"/>
      <c r="DX172" s="148"/>
      <c r="DY172" s="148"/>
      <c r="DZ172" s="148"/>
      <c r="EA172" s="148"/>
      <c r="EB172" s="148"/>
      <c r="EC172" s="148"/>
      <c r="ED172" s="148"/>
      <c r="EE172" s="148"/>
      <c r="EF172" s="148"/>
      <c r="EG172" s="148"/>
      <c r="EH172" s="148"/>
      <c r="EI172" s="148"/>
      <c r="EJ172" s="148"/>
      <c r="EK172" s="148"/>
      <c r="EL172" s="148"/>
      <c r="EM172" s="148"/>
      <c r="EN172" s="148"/>
      <c r="EO172" s="148"/>
      <c r="EP172" s="148"/>
      <c r="EQ172" s="148"/>
      <c r="ER172" s="148"/>
      <c r="ES172" s="148"/>
      <c r="ET172" s="148"/>
      <c r="EU172" s="148"/>
      <c r="EV172" s="148"/>
      <c r="EW172" s="148"/>
      <c r="EX172" s="148"/>
      <c r="EY172" s="148"/>
      <c r="EZ172" s="148"/>
      <c r="FA172" s="148"/>
      <c r="FB172" s="148"/>
      <c r="FC172" s="148"/>
      <c r="FD172" s="148"/>
      <c r="FE172" s="148"/>
      <c r="FF172" s="148"/>
      <c r="FG172" s="148"/>
      <c r="FH172" s="148"/>
      <c r="FI172" s="148"/>
      <c r="FJ172" s="148"/>
      <c r="FK172" s="148"/>
      <c r="FL172" s="148"/>
      <c r="FM172" s="148"/>
      <c r="FN172" s="148"/>
      <c r="FO172" s="148"/>
      <c r="FP172" s="148"/>
      <c r="FQ172" s="148"/>
      <c r="FR172" s="148"/>
      <c r="FS172" s="148"/>
      <c r="FT172" s="148"/>
      <c r="FU172" s="148"/>
      <c r="FV172" s="148"/>
      <c r="FW172" s="148"/>
      <c r="FX172" s="148"/>
      <c r="FY172" s="148"/>
      <c r="FZ172" s="148"/>
      <c r="GA172" s="148"/>
      <c r="GB172" s="148"/>
      <c r="GC172" s="148"/>
      <c r="GD172" s="148"/>
      <c r="GE172" s="148"/>
      <c r="GF172" s="148"/>
      <c r="GG172" s="148"/>
      <c r="GH172" s="148"/>
      <c r="GI172" s="148"/>
      <c r="GJ172" s="148"/>
      <c r="GK172" s="148"/>
      <c r="GL172" s="148"/>
      <c r="GM172" s="148"/>
      <c r="GN172" s="148"/>
      <c r="GO172" s="148"/>
      <c r="GP172" s="148"/>
      <c r="GQ172" s="148"/>
      <c r="GR172" s="148"/>
      <c r="GS172" s="148"/>
      <c r="GT172" s="148"/>
      <c r="GU172" s="148"/>
      <c r="GV172" s="148"/>
      <c r="GW172" s="148"/>
      <c r="GX172" s="148"/>
      <c r="GY172" s="148"/>
      <c r="GZ172" s="148"/>
      <c r="HA172" s="148"/>
      <c r="HB172" s="148"/>
      <c r="HC172" s="148"/>
      <c r="HD172" s="148"/>
      <c r="HE172" s="148"/>
      <c r="HF172" s="148"/>
      <c r="HG172" s="148"/>
      <c r="HH172" s="148"/>
      <c r="HI172" s="148"/>
      <c r="HJ172" s="148"/>
      <c r="HK172" s="148"/>
      <c r="HL172" s="148"/>
      <c r="HM172" s="148"/>
      <c r="HN172" s="148"/>
      <c r="HO172" s="148"/>
      <c r="HP172" s="148"/>
      <c r="HQ172" s="148"/>
      <c r="HR172" s="148"/>
      <c r="HS172" s="148"/>
      <c r="HT172" s="148"/>
      <c r="HU172" s="148"/>
      <c r="HV172" s="148"/>
      <c r="HW172" s="148"/>
      <c r="HX172" s="148"/>
      <c r="HY172" s="148"/>
      <c r="HZ172" s="148"/>
      <c r="IA172" s="148"/>
      <c r="IB172" s="148"/>
      <c r="IC172" s="148"/>
      <c r="ID172" s="148"/>
      <c r="IE172" s="148"/>
      <c r="IF172" s="148"/>
      <c r="IG172" s="148"/>
      <c r="IH172" s="148"/>
      <c r="II172" s="148"/>
      <c r="IJ172" s="148"/>
      <c r="IK172" s="148"/>
      <c r="IL172" s="148"/>
      <c r="IM172" s="148"/>
      <c r="IN172" s="148"/>
      <c r="IO172" s="148"/>
      <c r="IP172" s="148"/>
      <c r="IQ172" s="148"/>
      <c r="IR172" s="148"/>
      <c r="IS172" s="148"/>
      <c r="IT172" s="148"/>
      <c r="IU172" s="148"/>
      <c r="IV172" s="148"/>
      <c r="IW172" s="148"/>
      <c r="IX172" s="148"/>
      <c r="IY172" s="148"/>
      <c r="IZ172" s="148"/>
      <c r="JA172" s="148"/>
      <c r="JB172" s="148"/>
      <c r="JC172" s="148"/>
      <c r="JD172" s="148"/>
      <c r="JE172" s="148"/>
      <c r="JF172" s="148"/>
      <c r="JG172" s="148"/>
      <c r="JH172" s="148"/>
      <c r="JI172" s="148"/>
      <c r="JJ172" s="148"/>
      <c r="JK172" s="148"/>
      <c r="JL172" s="148"/>
      <c r="JM172" s="148"/>
      <c r="JN172" s="148"/>
      <c r="JO172" s="148"/>
      <c r="JP172" s="148"/>
      <c r="JQ172" s="148"/>
      <c r="JR172" s="148"/>
      <c r="JS172" s="148"/>
      <c r="JT172" s="148"/>
      <c r="JU172" s="148"/>
      <c r="JV172" s="148"/>
      <c r="JW172" s="148"/>
      <c r="JX172" s="148"/>
      <c r="JY172" s="148"/>
      <c r="JZ172" s="148"/>
      <c r="KA172" s="148"/>
      <c r="KB172" s="148"/>
      <c r="KC172" s="148"/>
      <c r="KD172" s="148"/>
      <c r="KE172" s="148"/>
      <c r="KF172" s="148"/>
      <c r="KG172" s="148"/>
      <c r="KH172" s="148"/>
      <c r="KI172" s="148"/>
      <c r="KJ172" s="148"/>
      <c r="KK172" s="148"/>
      <c r="KL172" s="148"/>
      <c r="KM172" s="148"/>
      <c r="KN172" s="148"/>
      <c r="KO172" s="148"/>
      <c r="KP172" s="148"/>
      <c r="KQ172" s="148"/>
      <c r="KR172" s="148"/>
      <c r="KS172" s="148"/>
      <c r="KT172" s="148"/>
      <c r="KU172" s="148"/>
      <c r="KV172" s="148"/>
      <c r="KW172" s="148"/>
      <c r="KX172" s="148"/>
      <c r="KY172" s="148"/>
      <c r="KZ172" s="148"/>
      <c r="LA172" s="148"/>
      <c r="LB172" s="148"/>
      <c r="LC172" s="148"/>
      <c r="LD172" s="148"/>
      <c r="LE172" s="148"/>
      <c r="LF172" s="148"/>
      <c r="LG172" s="148"/>
      <c r="LH172" s="148"/>
      <c r="LI172" s="148"/>
      <c r="LJ172" s="148"/>
      <c r="LK172" s="148"/>
      <c r="LL172" s="148"/>
      <c r="LM172" s="148"/>
      <c r="LN172" s="148"/>
      <c r="LO172" s="148"/>
      <c r="LP172" s="148"/>
      <c r="LQ172" s="148"/>
      <c r="LR172" s="148"/>
      <c r="LS172" s="148"/>
      <c r="LT172" s="148"/>
      <c r="LU172" s="148"/>
      <c r="LV172" s="148"/>
      <c r="LW172" s="148"/>
      <c r="LX172" s="148"/>
      <c r="LY172" s="148"/>
      <c r="LZ172" s="148"/>
      <c r="MA172" s="148"/>
      <c r="MB172" s="148"/>
      <c r="MC172" s="148"/>
      <c r="MD172" s="148"/>
      <c r="ME172" s="148"/>
      <c r="MF172" s="148"/>
      <c r="MG172" s="148"/>
      <c r="MH172" s="148"/>
      <c r="MI172" s="148"/>
      <c r="MJ172" s="148"/>
      <c r="MK172" s="148"/>
      <c r="ML172" s="148"/>
      <c r="MM172" s="148"/>
      <c r="MN172" s="148"/>
      <c r="MO172" s="148"/>
      <c r="MP172" s="148"/>
      <c r="MQ172" s="148"/>
      <c r="MR172" s="148"/>
      <c r="MS172" s="148"/>
      <c r="MT172" s="148"/>
      <c r="MU172" s="148"/>
      <c r="MV172" s="148"/>
      <c r="MW172" s="148"/>
      <c r="MX172" s="148"/>
      <c r="MY172" s="148"/>
      <c r="MZ172" s="148"/>
      <c r="NA172" s="148"/>
      <c r="NB172" s="148"/>
      <c r="NC172" s="148"/>
      <c r="ND172" s="148"/>
      <c r="NE172" s="148"/>
      <c r="NF172" s="148"/>
      <c r="NG172" s="148"/>
      <c r="NH172" s="148"/>
      <c r="NI172" s="148"/>
      <c r="NJ172" s="148"/>
      <c r="NK172" s="148"/>
      <c r="NL172" s="148"/>
      <c r="NM172" s="148"/>
      <c r="NN172" s="148"/>
      <c r="NO172" s="148"/>
      <c r="NP172" s="148"/>
      <c r="NQ172" s="148"/>
      <c r="NR172" s="148"/>
      <c r="NS172" s="148"/>
      <c r="NT172" s="148"/>
      <c r="NU172" s="148"/>
      <c r="NV172" s="148"/>
      <c r="NW172" s="148"/>
      <c r="NX172" s="148"/>
      <c r="NY172" s="148"/>
      <c r="NZ172" s="148"/>
      <c r="OA172" s="148"/>
      <c r="OB172" s="148"/>
      <c r="OC172" s="148"/>
      <c r="OD172" s="148"/>
      <c r="OE172" s="148"/>
      <c r="OF172" s="148"/>
      <c r="OG172" s="148"/>
      <c r="OH172" s="148"/>
      <c r="OI172" s="148"/>
      <c r="OJ172" s="148"/>
      <c r="OK172" s="148"/>
      <c r="OL172" s="148"/>
      <c r="OM172" s="148"/>
      <c r="ON172" s="148"/>
      <c r="OO172" s="148"/>
      <c r="OP172" s="148"/>
      <c r="OQ172" s="148"/>
      <c r="OR172" s="148"/>
      <c r="OS172" s="148"/>
      <c r="OT172" s="148"/>
      <c r="OU172" s="148"/>
      <c r="OV172" s="148"/>
      <c r="OW172" s="148"/>
      <c r="OX172" s="148"/>
      <c r="OY172" s="148"/>
      <c r="OZ172" s="148"/>
      <c r="PA172" s="148"/>
      <c r="PB172" s="148"/>
      <c r="PC172" s="148"/>
      <c r="PD172" s="148"/>
      <c r="PE172" s="148"/>
      <c r="PF172" s="148"/>
      <c r="PG172" s="148"/>
      <c r="PH172" s="148"/>
      <c r="PI172" s="148"/>
      <c r="PJ172" s="148"/>
      <c r="PK172" s="148"/>
      <c r="PL172" s="148"/>
      <c r="PM172" s="148"/>
      <c r="PN172" s="148"/>
      <c r="PO172" s="148"/>
      <c r="PP172" s="148"/>
      <c r="PQ172" s="148"/>
      <c r="PR172" s="148"/>
      <c r="PS172" s="148"/>
      <c r="PT172" s="148"/>
      <c r="PU172" s="148"/>
      <c r="PV172" s="148"/>
      <c r="PW172" s="148"/>
      <c r="PX172" s="148"/>
      <c r="PY172" s="148"/>
      <c r="PZ172" s="148"/>
      <c r="QA172" s="148"/>
      <c r="QB172" s="148"/>
      <c r="QC172" s="148"/>
      <c r="QD172" s="148"/>
      <c r="QE172" s="148"/>
      <c r="QF172" s="148"/>
      <c r="QG172" s="148"/>
      <c r="QH172" s="148"/>
      <c r="QI172" s="148"/>
      <c r="QJ172" s="148"/>
      <c r="QK172" s="148"/>
      <c r="QL172" s="148"/>
      <c r="QM172" s="148"/>
      <c r="QN172" s="148"/>
      <c r="QO172" s="148"/>
      <c r="QP172" s="148"/>
      <c r="QQ172" s="148"/>
      <c r="QR172" s="148"/>
      <c r="QS172" s="148"/>
      <c r="QT172" s="148"/>
      <c r="QU172" s="148"/>
      <c r="QV172" s="148"/>
      <c r="QW172" s="148"/>
      <c r="QX172" s="148"/>
      <c r="QY172" s="148"/>
      <c r="QZ172" s="148"/>
      <c r="RA172" s="148"/>
      <c r="RB172" s="148"/>
      <c r="RC172" s="148"/>
      <c r="RD172" s="148"/>
      <c r="RE172" s="148"/>
      <c r="RF172" s="148"/>
      <c r="RG172" s="148"/>
      <c r="RH172" s="148"/>
      <c r="RI172" s="148"/>
      <c r="RJ172" s="148"/>
      <c r="RK172" s="148"/>
      <c r="RL172" s="148"/>
      <c r="RM172" s="148"/>
      <c r="RN172" s="148"/>
      <c r="RO172" s="148"/>
      <c r="RP172" s="148"/>
      <c r="RQ172" s="148"/>
      <c r="RR172" s="148"/>
    </row>
    <row r="173" spans="1:486" s="15" customFormat="1" hidden="1" x14ac:dyDescent="0.25">
      <c r="A173" s="148"/>
      <c r="B173" s="350">
        <v>163</v>
      </c>
      <c r="C173" s="650"/>
      <c r="D173" s="16"/>
      <c r="E173" s="344"/>
      <c r="F173" s="344"/>
      <c r="G173" s="17"/>
      <c r="H173" s="317"/>
      <c r="I173" s="346"/>
      <c r="J173" s="341"/>
      <c r="K173" s="633"/>
      <c r="L173" s="633"/>
      <c r="M173" s="633"/>
      <c r="N173" s="633"/>
      <c r="O173" s="633"/>
      <c r="P173" s="633"/>
      <c r="Q173" s="633"/>
      <c r="R173" s="633"/>
      <c r="S173" s="633"/>
      <c r="T173" s="633"/>
      <c r="U173" s="633"/>
      <c r="V173" s="633"/>
      <c r="W173" s="633"/>
      <c r="X173" s="633"/>
      <c r="Y173" s="633">
        <f t="shared" si="6"/>
        <v>0</v>
      </c>
      <c r="Z173" s="310"/>
      <c r="AA173" s="19"/>
      <c r="AB173" s="21"/>
      <c r="AC173" s="23"/>
      <c r="AD173" s="652"/>
      <c r="AE173" s="20"/>
      <c r="AF173" s="21"/>
      <c r="AG173" s="25"/>
      <c r="AH173" s="637"/>
      <c r="AI173" s="19"/>
      <c r="AJ173" s="21"/>
      <c r="AK173" s="25"/>
      <c r="AL173" s="309"/>
      <c r="AM173" s="19"/>
      <c r="AN173" s="21"/>
      <c r="AO173" s="25"/>
      <c r="AP173" s="309"/>
      <c r="AQ173" s="19"/>
      <c r="AR173" s="21"/>
      <c r="AS173" s="25"/>
      <c r="AT173" s="638">
        <f t="shared" si="7"/>
        <v>0</v>
      </c>
      <c r="AU173" s="311">
        <f t="shared" si="5"/>
        <v>0</v>
      </c>
      <c r="AV173" s="148"/>
      <c r="AW173" s="148"/>
      <c r="AX173" s="148"/>
      <c r="AY173" s="148"/>
      <c r="AZ173" s="148"/>
      <c r="BA173" s="148"/>
      <c r="BB173" s="148"/>
      <c r="BC173" s="148"/>
      <c r="BD173" s="148"/>
      <c r="BE173" s="148"/>
      <c r="BF173" s="148"/>
      <c r="BG173" s="148"/>
      <c r="BH173" s="148"/>
      <c r="BI173" s="148"/>
      <c r="BJ173" s="148"/>
      <c r="BK173" s="148"/>
      <c r="BL173" s="148"/>
      <c r="BM173" s="148"/>
      <c r="BN173" s="148"/>
      <c r="BO173" s="148"/>
      <c r="BP173" s="148"/>
      <c r="BQ173" s="148"/>
      <c r="BR173" s="148"/>
      <c r="BS173" s="148"/>
      <c r="BT173" s="148"/>
      <c r="BU173" s="148"/>
      <c r="BV173" s="148"/>
      <c r="BW173" s="148"/>
      <c r="BX173" s="148"/>
      <c r="BY173" s="148"/>
      <c r="BZ173" s="148"/>
      <c r="CA173" s="148"/>
      <c r="CB173" s="148"/>
      <c r="CC173" s="148"/>
      <c r="CD173" s="148"/>
      <c r="CE173" s="148"/>
      <c r="CF173" s="148"/>
      <c r="CG173" s="148"/>
      <c r="CH173" s="148"/>
      <c r="CI173" s="148"/>
      <c r="CJ173" s="148"/>
      <c r="CK173" s="148"/>
      <c r="CL173" s="148"/>
      <c r="CM173" s="148"/>
      <c r="CN173" s="148"/>
      <c r="CO173" s="148"/>
      <c r="CP173" s="148"/>
      <c r="CQ173" s="148"/>
      <c r="CR173" s="148"/>
      <c r="CS173" s="148"/>
      <c r="CT173" s="148"/>
      <c r="CU173" s="148"/>
      <c r="CV173" s="148"/>
      <c r="CW173" s="148"/>
      <c r="CX173" s="148"/>
      <c r="CY173" s="148"/>
      <c r="CZ173" s="148"/>
      <c r="DA173" s="148"/>
      <c r="DB173" s="148"/>
      <c r="DC173" s="148"/>
      <c r="DD173" s="148"/>
      <c r="DE173" s="148"/>
      <c r="DF173" s="148"/>
      <c r="DG173" s="148"/>
      <c r="DH173" s="148"/>
      <c r="DI173" s="148"/>
      <c r="DJ173" s="148"/>
      <c r="DK173" s="148"/>
      <c r="DL173" s="148"/>
      <c r="DM173" s="148"/>
      <c r="DN173" s="148"/>
      <c r="DO173" s="148"/>
      <c r="DP173" s="148"/>
      <c r="DQ173" s="148"/>
      <c r="DR173" s="148"/>
      <c r="DS173" s="148"/>
      <c r="DT173" s="148"/>
      <c r="DU173" s="148"/>
      <c r="DV173" s="148"/>
      <c r="DW173" s="148"/>
      <c r="DX173" s="148"/>
      <c r="DY173" s="148"/>
      <c r="DZ173" s="148"/>
      <c r="EA173" s="148"/>
      <c r="EB173" s="148"/>
      <c r="EC173" s="148"/>
      <c r="ED173" s="148"/>
      <c r="EE173" s="148"/>
      <c r="EF173" s="148"/>
      <c r="EG173" s="148"/>
      <c r="EH173" s="148"/>
      <c r="EI173" s="148"/>
      <c r="EJ173" s="148"/>
      <c r="EK173" s="148"/>
      <c r="EL173" s="148"/>
      <c r="EM173" s="148"/>
      <c r="EN173" s="148"/>
      <c r="EO173" s="148"/>
      <c r="EP173" s="148"/>
      <c r="EQ173" s="148"/>
      <c r="ER173" s="148"/>
      <c r="ES173" s="148"/>
      <c r="ET173" s="148"/>
      <c r="EU173" s="148"/>
      <c r="EV173" s="148"/>
      <c r="EW173" s="148"/>
      <c r="EX173" s="148"/>
      <c r="EY173" s="148"/>
      <c r="EZ173" s="148"/>
      <c r="FA173" s="148"/>
      <c r="FB173" s="148"/>
      <c r="FC173" s="148"/>
      <c r="FD173" s="148"/>
      <c r="FE173" s="148"/>
      <c r="FF173" s="148"/>
      <c r="FG173" s="148"/>
      <c r="FH173" s="148"/>
      <c r="FI173" s="148"/>
      <c r="FJ173" s="148"/>
      <c r="FK173" s="148"/>
      <c r="FL173" s="148"/>
      <c r="FM173" s="148"/>
      <c r="FN173" s="148"/>
      <c r="FO173" s="148"/>
      <c r="FP173" s="148"/>
      <c r="FQ173" s="148"/>
      <c r="FR173" s="148"/>
      <c r="FS173" s="148"/>
      <c r="FT173" s="148"/>
      <c r="FU173" s="148"/>
      <c r="FV173" s="148"/>
      <c r="FW173" s="148"/>
      <c r="FX173" s="148"/>
      <c r="FY173" s="148"/>
      <c r="FZ173" s="148"/>
      <c r="GA173" s="148"/>
      <c r="GB173" s="148"/>
      <c r="GC173" s="148"/>
      <c r="GD173" s="148"/>
      <c r="GE173" s="148"/>
      <c r="GF173" s="148"/>
      <c r="GG173" s="148"/>
      <c r="GH173" s="148"/>
      <c r="GI173" s="148"/>
      <c r="GJ173" s="148"/>
      <c r="GK173" s="148"/>
      <c r="GL173" s="148"/>
      <c r="GM173" s="148"/>
      <c r="GN173" s="148"/>
      <c r="GO173" s="148"/>
      <c r="GP173" s="148"/>
      <c r="GQ173" s="148"/>
      <c r="GR173" s="148"/>
      <c r="GS173" s="148"/>
      <c r="GT173" s="148"/>
      <c r="GU173" s="148"/>
      <c r="GV173" s="148"/>
      <c r="GW173" s="148"/>
      <c r="GX173" s="148"/>
      <c r="GY173" s="148"/>
      <c r="GZ173" s="148"/>
      <c r="HA173" s="148"/>
      <c r="HB173" s="148"/>
      <c r="HC173" s="148"/>
      <c r="HD173" s="148"/>
      <c r="HE173" s="148"/>
      <c r="HF173" s="148"/>
      <c r="HG173" s="148"/>
      <c r="HH173" s="148"/>
      <c r="HI173" s="148"/>
      <c r="HJ173" s="148"/>
      <c r="HK173" s="148"/>
      <c r="HL173" s="148"/>
      <c r="HM173" s="148"/>
      <c r="HN173" s="148"/>
      <c r="HO173" s="148"/>
      <c r="HP173" s="148"/>
      <c r="HQ173" s="148"/>
      <c r="HR173" s="148"/>
      <c r="HS173" s="148"/>
      <c r="HT173" s="148"/>
      <c r="HU173" s="148"/>
      <c r="HV173" s="148"/>
      <c r="HW173" s="148"/>
      <c r="HX173" s="148"/>
      <c r="HY173" s="148"/>
      <c r="HZ173" s="148"/>
      <c r="IA173" s="148"/>
      <c r="IB173" s="148"/>
      <c r="IC173" s="148"/>
      <c r="ID173" s="148"/>
      <c r="IE173" s="148"/>
      <c r="IF173" s="148"/>
      <c r="IG173" s="148"/>
      <c r="IH173" s="148"/>
      <c r="II173" s="148"/>
      <c r="IJ173" s="148"/>
      <c r="IK173" s="148"/>
      <c r="IL173" s="148"/>
      <c r="IM173" s="148"/>
      <c r="IN173" s="148"/>
      <c r="IO173" s="148"/>
      <c r="IP173" s="148"/>
      <c r="IQ173" s="148"/>
      <c r="IR173" s="148"/>
      <c r="IS173" s="148"/>
      <c r="IT173" s="148"/>
      <c r="IU173" s="148"/>
      <c r="IV173" s="148"/>
      <c r="IW173" s="148"/>
      <c r="IX173" s="148"/>
      <c r="IY173" s="148"/>
      <c r="IZ173" s="148"/>
      <c r="JA173" s="148"/>
      <c r="JB173" s="148"/>
      <c r="JC173" s="148"/>
      <c r="JD173" s="148"/>
      <c r="JE173" s="148"/>
      <c r="JF173" s="148"/>
      <c r="JG173" s="148"/>
      <c r="JH173" s="148"/>
      <c r="JI173" s="148"/>
      <c r="JJ173" s="148"/>
      <c r="JK173" s="148"/>
      <c r="JL173" s="148"/>
      <c r="JM173" s="148"/>
      <c r="JN173" s="148"/>
      <c r="JO173" s="148"/>
      <c r="JP173" s="148"/>
      <c r="JQ173" s="148"/>
      <c r="JR173" s="148"/>
      <c r="JS173" s="148"/>
      <c r="JT173" s="148"/>
      <c r="JU173" s="148"/>
      <c r="JV173" s="148"/>
      <c r="JW173" s="148"/>
      <c r="JX173" s="148"/>
      <c r="JY173" s="148"/>
      <c r="JZ173" s="148"/>
      <c r="KA173" s="148"/>
      <c r="KB173" s="148"/>
      <c r="KC173" s="148"/>
      <c r="KD173" s="148"/>
      <c r="KE173" s="148"/>
      <c r="KF173" s="148"/>
      <c r="KG173" s="148"/>
      <c r="KH173" s="148"/>
      <c r="KI173" s="148"/>
      <c r="KJ173" s="148"/>
      <c r="KK173" s="148"/>
      <c r="KL173" s="148"/>
      <c r="KM173" s="148"/>
      <c r="KN173" s="148"/>
      <c r="KO173" s="148"/>
      <c r="KP173" s="148"/>
      <c r="KQ173" s="148"/>
      <c r="KR173" s="148"/>
      <c r="KS173" s="148"/>
      <c r="KT173" s="148"/>
      <c r="KU173" s="148"/>
      <c r="KV173" s="148"/>
      <c r="KW173" s="148"/>
      <c r="KX173" s="148"/>
      <c r="KY173" s="148"/>
      <c r="KZ173" s="148"/>
      <c r="LA173" s="148"/>
      <c r="LB173" s="148"/>
      <c r="LC173" s="148"/>
      <c r="LD173" s="148"/>
      <c r="LE173" s="148"/>
      <c r="LF173" s="148"/>
      <c r="LG173" s="148"/>
      <c r="LH173" s="148"/>
      <c r="LI173" s="148"/>
      <c r="LJ173" s="148"/>
      <c r="LK173" s="148"/>
      <c r="LL173" s="148"/>
      <c r="LM173" s="148"/>
      <c r="LN173" s="148"/>
      <c r="LO173" s="148"/>
      <c r="LP173" s="148"/>
      <c r="LQ173" s="148"/>
      <c r="LR173" s="148"/>
      <c r="LS173" s="148"/>
      <c r="LT173" s="148"/>
      <c r="LU173" s="148"/>
      <c r="LV173" s="148"/>
      <c r="LW173" s="148"/>
      <c r="LX173" s="148"/>
      <c r="LY173" s="148"/>
      <c r="LZ173" s="148"/>
      <c r="MA173" s="148"/>
      <c r="MB173" s="148"/>
      <c r="MC173" s="148"/>
      <c r="MD173" s="148"/>
      <c r="ME173" s="148"/>
      <c r="MF173" s="148"/>
      <c r="MG173" s="148"/>
      <c r="MH173" s="148"/>
      <c r="MI173" s="148"/>
      <c r="MJ173" s="148"/>
      <c r="MK173" s="148"/>
      <c r="ML173" s="148"/>
      <c r="MM173" s="148"/>
      <c r="MN173" s="148"/>
      <c r="MO173" s="148"/>
      <c r="MP173" s="148"/>
      <c r="MQ173" s="148"/>
      <c r="MR173" s="148"/>
      <c r="MS173" s="148"/>
      <c r="MT173" s="148"/>
      <c r="MU173" s="148"/>
      <c r="MV173" s="148"/>
      <c r="MW173" s="148"/>
      <c r="MX173" s="148"/>
      <c r="MY173" s="148"/>
      <c r="MZ173" s="148"/>
      <c r="NA173" s="148"/>
      <c r="NB173" s="148"/>
      <c r="NC173" s="148"/>
      <c r="ND173" s="148"/>
      <c r="NE173" s="148"/>
      <c r="NF173" s="148"/>
      <c r="NG173" s="148"/>
      <c r="NH173" s="148"/>
      <c r="NI173" s="148"/>
      <c r="NJ173" s="148"/>
      <c r="NK173" s="148"/>
      <c r="NL173" s="148"/>
      <c r="NM173" s="148"/>
      <c r="NN173" s="148"/>
      <c r="NO173" s="148"/>
      <c r="NP173" s="148"/>
      <c r="NQ173" s="148"/>
      <c r="NR173" s="148"/>
      <c r="NS173" s="148"/>
      <c r="NT173" s="148"/>
      <c r="NU173" s="148"/>
      <c r="NV173" s="148"/>
      <c r="NW173" s="148"/>
      <c r="NX173" s="148"/>
      <c r="NY173" s="148"/>
      <c r="NZ173" s="148"/>
      <c r="OA173" s="148"/>
      <c r="OB173" s="148"/>
      <c r="OC173" s="148"/>
      <c r="OD173" s="148"/>
      <c r="OE173" s="148"/>
      <c r="OF173" s="148"/>
      <c r="OG173" s="148"/>
      <c r="OH173" s="148"/>
      <c r="OI173" s="148"/>
      <c r="OJ173" s="148"/>
      <c r="OK173" s="148"/>
      <c r="OL173" s="148"/>
      <c r="OM173" s="148"/>
      <c r="ON173" s="148"/>
      <c r="OO173" s="148"/>
      <c r="OP173" s="148"/>
      <c r="OQ173" s="148"/>
      <c r="OR173" s="148"/>
      <c r="OS173" s="148"/>
      <c r="OT173" s="148"/>
      <c r="OU173" s="148"/>
      <c r="OV173" s="148"/>
      <c r="OW173" s="148"/>
      <c r="OX173" s="148"/>
      <c r="OY173" s="148"/>
      <c r="OZ173" s="148"/>
      <c r="PA173" s="148"/>
      <c r="PB173" s="148"/>
      <c r="PC173" s="148"/>
      <c r="PD173" s="148"/>
      <c r="PE173" s="148"/>
      <c r="PF173" s="148"/>
      <c r="PG173" s="148"/>
      <c r="PH173" s="148"/>
      <c r="PI173" s="148"/>
      <c r="PJ173" s="148"/>
      <c r="PK173" s="148"/>
      <c r="PL173" s="148"/>
      <c r="PM173" s="148"/>
      <c r="PN173" s="148"/>
      <c r="PO173" s="148"/>
      <c r="PP173" s="148"/>
      <c r="PQ173" s="148"/>
      <c r="PR173" s="148"/>
      <c r="PS173" s="148"/>
      <c r="PT173" s="148"/>
      <c r="PU173" s="148"/>
      <c r="PV173" s="148"/>
      <c r="PW173" s="148"/>
      <c r="PX173" s="148"/>
      <c r="PY173" s="148"/>
      <c r="PZ173" s="148"/>
      <c r="QA173" s="148"/>
      <c r="QB173" s="148"/>
      <c r="QC173" s="148"/>
      <c r="QD173" s="148"/>
      <c r="QE173" s="148"/>
      <c r="QF173" s="148"/>
      <c r="QG173" s="148"/>
      <c r="QH173" s="148"/>
      <c r="QI173" s="148"/>
      <c r="QJ173" s="148"/>
      <c r="QK173" s="148"/>
      <c r="QL173" s="148"/>
      <c r="QM173" s="148"/>
      <c r="QN173" s="148"/>
      <c r="QO173" s="148"/>
      <c r="QP173" s="148"/>
      <c r="QQ173" s="148"/>
      <c r="QR173" s="148"/>
      <c r="QS173" s="148"/>
      <c r="QT173" s="148"/>
      <c r="QU173" s="148"/>
      <c r="QV173" s="148"/>
      <c r="QW173" s="148"/>
      <c r="QX173" s="148"/>
      <c r="QY173" s="148"/>
      <c r="QZ173" s="148"/>
      <c r="RA173" s="148"/>
      <c r="RB173" s="148"/>
      <c r="RC173" s="148"/>
      <c r="RD173" s="148"/>
      <c r="RE173" s="148"/>
      <c r="RF173" s="148"/>
      <c r="RG173" s="148"/>
      <c r="RH173" s="148"/>
      <c r="RI173" s="148"/>
      <c r="RJ173" s="148"/>
      <c r="RK173" s="148"/>
      <c r="RL173" s="148"/>
      <c r="RM173" s="148"/>
      <c r="RN173" s="148"/>
      <c r="RO173" s="148"/>
      <c r="RP173" s="148"/>
      <c r="RQ173" s="148"/>
      <c r="RR173" s="148"/>
    </row>
    <row r="174" spans="1:486" s="15" customFormat="1" hidden="1" x14ac:dyDescent="0.25">
      <c r="A174" s="148"/>
      <c r="B174" s="350">
        <v>164</v>
      </c>
      <c r="C174" s="650"/>
      <c r="D174" s="16"/>
      <c r="E174" s="344"/>
      <c r="F174" s="344"/>
      <c r="G174" s="17"/>
      <c r="H174" s="317"/>
      <c r="I174" s="346"/>
      <c r="J174" s="341"/>
      <c r="K174" s="633"/>
      <c r="L174" s="633"/>
      <c r="M174" s="633"/>
      <c r="N174" s="633"/>
      <c r="O174" s="633"/>
      <c r="P174" s="633"/>
      <c r="Q174" s="633"/>
      <c r="R174" s="633"/>
      <c r="S174" s="633"/>
      <c r="T174" s="633"/>
      <c r="U174" s="633"/>
      <c r="V174" s="633"/>
      <c r="W174" s="633"/>
      <c r="X174" s="633"/>
      <c r="Y174" s="633">
        <f t="shared" si="6"/>
        <v>0</v>
      </c>
      <c r="Z174" s="310"/>
      <c r="AA174" s="19"/>
      <c r="AB174" s="21"/>
      <c r="AC174" s="23"/>
      <c r="AD174" s="652"/>
      <c r="AE174" s="20"/>
      <c r="AF174" s="21"/>
      <c r="AG174" s="25"/>
      <c r="AH174" s="637"/>
      <c r="AI174" s="19"/>
      <c r="AJ174" s="21"/>
      <c r="AK174" s="25"/>
      <c r="AL174" s="309"/>
      <c r="AM174" s="19"/>
      <c r="AN174" s="21"/>
      <c r="AO174" s="25"/>
      <c r="AP174" s="309"/>
      <c r="AQ174" s="19"/>
      <c r="AR174" s="21"/>
      <c r="AS174" s="25"/>
      <c r="AT174" s="638">
        <f t="shared" si="7"/>
        <v>0</v>
      </c>
      <c r="AU174" s="311">
        <f t="shared" si="5"/>
        <v>0</v>
      </c>
      <c r="AV174" s="148"/>
      <c r="AW174" s="148"/>
      <c r="AX174" s="148"/>
      <c r="AY174" s="148"/>
      <c r="AZ174" s="148"/>
      <c r="BA174" s="148"/>
      <c r="BB174" s="148"/>
      <c r="BC174" s="148"/>
      <c r="BD174" s="148"/>
      <c r="BE174" s="148"/>
      <c r="BF174" s="148"/>
      <c r="BG174" s="148"/>
      <c r="BH174" s="148"/>
      <c r="BI174" s="148"/>
      <c r="BJ174" s="148"/>
      <c r="BK174" s="148"/>
      <c r="BL174" s="148"/>
      <c r="BM174" s="148"/>
      <c r="BN174" s="148"/>
      <c r="BO174" s="148"/>
      <c r="BP174" s="148"/>
      <c r="BQ174" s="148"/>
      <c r="BR174" s="148"/>
      <c r="BS174" s="148"/>
      <c r="BT174" s="148"/>
      <c r="BU174" s="148"/>
      <c r="BV174" s="148"/>
      <c r="BW174" s="148"/>
      <c r="BX174" s="148"/>
      <c r="BY174" s="148"/>
      <c r="BZ174" s="148"/>
      <c r="CA174" s="148"/>
      <c r="CB174" s="148"/>
      <c r="CC174" s="148"/>
      <c r="CD174" s="148"/>
      <c r="CE174" s="148"/>
      <c r="CF174" s="148"/>
      <c r="CG174" s="148"/>
      <c r="CH174" s="148"/>
      <c r="CI174" s="148"/>
      <c r="CJ174" s="148"/>
      <c r="CK174" s="148"/>
      <c r="CL174" s="148"/>
      <c r="CM174" s="148"/>
      <c r="CN174" s="148"/>
      <c r="CO174" s="148"/>
      <c r="CP174" s="148"/>
      <c r="CQ174" s="148"/>
      <c r="CR174" s="148"/>
      <c r="CS174" s="148"/>
      <c r="CT174" s="148"/>
      <c r="CU174" s="148"/>
      <c r="CV174" s="148"/>
      <c r="CW174" s="148"/>
      <c r="CX174" s="148"/>
      <c r="CY174" s="148"/>
      <c r="CZ174" s="148"/>
      <c r="DA174" s="148"/>
      <c r="DB174" s="148"/>
      <c r="DC174" s="148"/>
      <c r="DD174" s="148"/>
      <c r="DE174" s="148"/>
      <c r="DF174" s="148"/>
      <c r="DG174" s="148"/>
      <c r="DH174" s="148"/>
      <c r="DI174" s="148"/>
      <c r="DJ174" s="148"/>
      <c r="DK174" s="148"/>
      <c r="DL174" s="148"/>
      <c r="DM174" s="148"/>
      <c r="DN174" s="148"/>
      <c r="DO174" s="148"/>
      <c r="DP174" s="148"/>
      <c r="DQ174" s="148"/>
      <c r="DR174" s="148"/>
      <c r="DS174" s="148"/>
      <c r="DT174" s="148"/>
      <c r="DU174" s="148"/>
      <c r="DV174" s="148"/>
      <c r="DW174" s="148"/>
      <c r="DX174" s="148"/>
      <c r="DY174" s="148"/>
      <c r="DZ174" s="148"/>
      <c r="EA174" s="148"/>
      <c r="EB174" s="148"/>
      <c r="EC174" s="148"/>
      <c r="ED174" s="148"/>
      <c r="EE174" s="148"/>
      <c r="EF174" s="148"/>
      <c r="EG174" s="148"/>
      <c r="EH174" s="148"/>
      <c r="EI174" s="148"/>
      <c r="EJ174" s="148"/>
      <c r="EK174" s="148"/>
      <c r="EL174" s="148"/>
      <c r="EM174" s="148"/>
      <c r="EN174" s="148"/>
      <c r="EO174" s="148"/>
      <c r="EP174" s="148"/>
      <c r="EQ174" s="148"/>
      <c r="ER174" s="148"/>
      <c r="ES174" s="148"/>
      <c r="ET174" s="148"/>
      <c r="EU174" s="148"/>
      <c r="EV174" s="148"/>
      <c r="EW174" s="148"/>
      <c r="EX174" s="148"/>
      <c r="EY174" s="148"/>
      <c r="EZ174" s="148"/>
      <c r="FA174" s="148"/>
      <c r="FB174" s="148"/>
      <c r="FC174" s="148"/>
      <c r="FD174" s="148"/>
      <c r="FE174" s="148"/>
      <c r="FF174" s="148"/>
      <c r="FG174" s="148"/>
      <c r="FH174" s="148"/>
      <c r="FI174" s="148"/>
      <c r="FJ174" s="148"/>
      <c r="FK174" s="148"/>
      <c r="FL174" s="148"/>
      <c r="FM174" s="148"/>
      <c r="FN174" s="148"/>
      <c r="FO174" s="148"/>
      <c r="FP174" s="148"/>
      <c r="FQ174" s="148"/>
      <c r="FR174" s="148"/>
      <c r="FS174" s="148"/>
      <c r="FT174" s="148"/>
      <c r="FU174" s="148"/>
      <c r="FV174" s="148"/>
      <c r="FW174" s="148"/>
      <c r="FX174" s="148"/>
      <c r="FY174" s="148"/>
      <c r="FZ174" s="148"/>
      <c r="GA174" s="148"/>
      <c r="GB174" s="148"/>
      <c r="GC174" s="148"/>
      <c r="GD174" s="148"/>
      <c r="GE174" s="148"/>
      <c r="GF174" s="148"/>
      <c r="GG174" s="148"/>
      <c r="GH174" s="148"/>
      <c r="GI174" s="148"/>
      <c r="GJ174" s="148"/>
      <c r="GK174" s="148"/>
      <c r="GL174" s="148"/>
      <c r="GM174" s="148"/>
      <c r="GN174" s="148"/>
      <c r="GO174" s="148"/>
      <c r="GP174" s="148"/>
      <c r="GQ174" s="148"/>
      <c r="GR174" s="148"/>
      <c r="GS174" s="148"/>
      <c r="GT174" s="148"/>
      <c r="GU174" s="148"/>
      <c r="GV174" s="148"/>
      <c r="GW174" s="148"/>
      <c r="GX174" s="148"/>
      <c r="GY174" s="148"/>
      <c r="GZ174" s="148"/>
      <c r="HA174" s="148"/>
      <c r="HB174" s="148"/>
      <c r="HC174" s="148"/>
      <c r="HD174" s="148"/>
      <c r="HE174" s="148"/>
      <c r="HF174" s="148"/>
      <c r="HG174" s="148"/>
      <c r="HH174" s="148"/>
      <c r="HI174" s="148"/>
      <c r="HJ174" s="148"/>
      <c r="HK174" s="148"/>
      <c r="HL174" s="148"/>
      <c r="HM174" s="148"/>
      <c r="HN174" s="148"/>
      <c r="HO174" s="148"/>
      <c r="HP174" s="148"/>
      <c r="HQ174" s="148"/>
      <c r="HR174" s="148"/>
      <c r="HS174" s="148"/>
      <c r="HT174" s="148"/>
      <c r="HU174" s="148"/>
      <c r="HV174" s="148"/>
      <c r="HW174" s="148"/>
      <c r="HX174" s="148"/>
      <c r="HY174" s="148"/>
      <c r="HZ174" s="148"/>
      <c r="IA174" s="148"/>
      <c r="IB174" s="148"/>
      <c r="IC174" s="148"/>
      <c r="ID174" s="148"/>
      <c r="IE174" s="148"/>
      <c r="IF174" s="148"/>
      <c r="IG174" s="148"/>
      <c r="IH174" s="148"/>
      <c r="II174" s="148"/>
      <c r="IJ174" s="148"/>
      <c r="IK174" s="148"/>
      <c r="IL174" s="148"/>
      <c r="IM174" s="148"/>
      <c r="IN174" s="148"/>
      <c r="IO174" s="148"/>
      <c r="IP174" s="148"/>
      <c r="IQ174" s="148"/>
      <c r="IR174" s="148"/>
      <c r="IS174" s="148"/>
      <c r="IT174" s="148"/>
      <c r="IU174" s="148"/>
      <c r="IV174" s="148"/>
      <c r="IW174" s="148"/>
      <c r="IX174" s="148"/>
      <c r="IY174" s="148"/>
      <c r="IZ174" s="148"/>
      <c r="JA174" s="148"/>
      <c r="JB174" s="148"/>
      <c r="JC174" s="148"/>
      <c r="JD174" s="148"/>
      <c r="JE174" s="148"/>
      <c r="JF174" s="148"/>
      <c r="JG174" s="148"/>
      <c r="JH174" s="148"/>
      <c r="JI174" s="148"/>
      <c r="JJ174" s="148"/>
      <c r="JK174" s="148"/>
      <c r="JL174" s="148"/>
      <c r="JM174" s="148"/>
      <c r="JN174" s="148"/>
      <c r="JO174" s="148"/>
      <c r="JP174" s="148"/>
      <c r="JQ174" s="148"/>
      <c r="JR174" s="148"/>
      <c r="JS174" s="148"/>
      <c r="JT174" s="148"/>
      <c r="JU174" s="148"/>
      <c r="JV174" s="148"/>
      <c r="JW174" s="148"/>
      <c r="JX174" s="148"/>
      <c r="JY174" s="148"/>
      <c r="JZ174" s="148"/>
      <c r="KA174" s="148"/>
      <c r="KB174" s="148"/>
      <c r="KC174" s="148"/>
      <c r="KD174" s="148"/>
      <c r="KE174" s="148"/>
      <c r="KF174" s="148"/>
      <c r="KG174" s="148"/>
      <c r="KH174" s="148"/>
      <c r="KI174" s="148"/>
      <c r="KJ174" s="148"/>
      <c r="KK174" s="148"/>
      <c r="KL174" s="148"/>
      <c r="KM174" s="148"/>
      <c r="KN174" s="148"/>
      <c r="KO174" s="148"/>
      <c r="KP174" s="148"/>
      <c r="KQ174" s="148"/>
      <c r="KR174" s="148"/>
      <c r="KS174" s="148"/>
      <c r="KT174" s="148"/>
      <c r="KU174" s="148"/>
      <c r="KV174" s="148"/>
      <c r="KW174" s="148"/>
      <c r="KX174" s="148"/>
      <c r="KY174" s="148"/>
      <c r="KZ174" s="148"/>
      <c r="LA174" s="148"/>
      <c r="LB174" s="148"/>
      <c r="LC174" s="148"/>
      <c r="LD174" s="148"/>
      <c r="LE174" s="148"/>
      <c r="LF174" s="148"/>
      <c r="LG174" s="148"/>
      <c r="LH174" s="148"/>
      <c r="LI174" s="148"/>
      <c r="LJ174" s="148"/>
      <c r="LK174" s="148"/>
      <c r="LL174" s="148"/>
      <c r="LM174" s="148"/>
      <c r="LN174" s="148"/>
      <c r="LO174" s="148"/>
      <c r="LP174" s="148"/>
      <c r="LQ174" s="148"/>
      <c r="LR174" s="148"/>
      <c r="LS174" s="148"/>
      <c r="LT174" s="148"/>
      <c r="LU174" s="148"/>
      <c r="LV174" s="148"/>
      <c r="LW174" s="148"/>
      <c r="LX174" s="148"/>
      <c r="LY174" s="148"/>
      <c r="LZ174" s="148"/>
      <c r="MA174" s="148"/>
      <c r="MB174" s="148"/>
      <c r="MC174" s="148"/>
      <c r="MD174" s="148"/>
      <c r="ME174" s="148"/>
      <c r="MF174" s="148"/>
      <c r="MG174" s="148"/>
      <c r="MH174" s="148"/>
      <c r="MI174" s="148"/>
      <c r="MJ174" s="148"/>
      <c r="MK174" s="148"/>
      <c r="ML174" s="148"/>
      <c r="MM174" s="148"/>
      <c r="MN174" s="148"/>
      <c r="MO174" s="148"/>
      <c r="MP174" s="148"/>
      <c r="MQ174" s="148"/>
      <c r="MR174" s="148"/>
      <c r="MS174" s="148"/>
      <c r="MT174" s="148"/>
      <c r="MU174" s="148"/>
      <c r="MV174" s="148"/>
      <c r="MW174" s="148"/>
      <c r="MX174" s="148"/>
      <c r="MY174" s="148"/>
      <c r="MZ174" s="148"/>
      <c r="NA174" s="148"/>
      <c r="NB174" s="148"/>
      <c r="NC174" s="148"/>
      <c r="ND174" s="148"/>
      <c r="NE174" s="148"/>
      <c r="NF174" s="148"/>
      <c r="NG174" s="148"/>
      <c r="NH174" s="148"/>
      <c r="NI174" s="148"/>
      <c r="NJ174" s="148"/>
      <c r="NK174" s="148"/>
      <c r="NL174" s="148"/>
      <c r="NM174" s="148"/>
      <c r="NN174" s="148"/>
      <c r="NO174" s="148"/>
      <c r="NP174" s="148"/>
      <c r="NQ174" s="148"/>
      <c r="NR174" s="148"/>
      <c r="NS174" s="148"/>
      <c r="NT174" s="148"/>
      <c r="NU174" s="148"/>
      <c r="NV174" s="148"/>
      <c r="NW174" s="148"/>
      <c r="NX174" s="148"/>
      <c r="NY174" s="148"/>
      <c r="NZ174" s="148"/>
      <c r="OA174" s="148"/>
      <c r="OB174" s="148"/>
      <c r="OC174" s="148"/>
      <c r="OD174" s="148"/>
      <c r="OE174" s="148"/>
      <c r="OF174" s="148"/>
      <c r="OG174" s="148"/>
      <c r="OH174" s="148"/>
      <c r="OI174" s="148"/>
      <c r="OJ174" s="148"/>
      <c r="OK174" s="148"/>
      <c r="OL174" s="148"/>
      <c r="OM174" s="148"/>
      <c r="ON174" s="148"/>
      <c r="OO174" s="148"/>
      <c r="OP174" s="148"/>
      <c r="OQ174" s="148"/>
      <c r="OR174" s="148"/>
      <c r="OS174" s="148"/>
      <c r="OT174" s="148"/>
      <c r="OU174" s="148"/>
      <c r="OV174" s="148"/>
      <c r="OW174" s="148"/>
      <c r="OX174" s="148"/>
      <c r="OY174" s="148"/>
      <c r="OZ174" s="148"/>
      <c r="PA174" s="148"/>
      <c r="PB174" s="148"/>
      <c r="PC174" s="148"/>
      <c r="PD174" s="148"/>
      <c r="PE174" s="148"/>
      <c r="PF174" s="148"/>
      <c r="PG174" s="148"/>
      <c r="PH174" s="148"/>
      <c r="PI174" s="148"/>
      <c r="PJ174" s="148"/>
      <c r="PK174" s="148"/>
      <c r="PL174" s="148"/>
      <c r="PM174" s="148"/>
      <c r="PN174" s="148"/>
      <c r="PO174" s="148"/>
      <c r="PP174" s="148"/>
      <c r="PQ174" s="148"/>
      <c r="PR174" s="148"/>
      <c r="PS174" s="148"/>
      <c r="PT174" s="148"/>
      <c r="PU174" s="148"/>
      <c r="PV174" s="148"/>
      <c r="PW174" s="148"/>
      <c r="PX174" s="148"/>
      <c r="PY174" s="148"/>
      <c r="PZ174" s="148"/>
      <c r="QA174" s="148"/>
      <c r="QB174" s="148"/>
      <c r="QC174" s="148"/>
      <c r="QD174" s="148"/>
      <c r="QE174" s="148"/>
      <c r="QF174" s="148"/>
      <c r="QG174" s="148"/>
      <c r="QH174" s="148"/>
      <c r="QI174" s="148"/>
      <c r="QJ174" s="148"/>
      <c r="QK174" s="148"/>
      <c r="QL174" s="148"/>
      <c r="QM174" s="148"/>
      <c r="QN174" s="148"/>
      <c r="QO174" s="148"/>
      <c r="QP174" s="148"/>
      <c r="QQ174" s="148"/>
      <c r="QR174" s="148"/>
      <c r="QS174" s="148"/>
      <c r="QT174" s="148"/>
      <c r="QU174" s="148"/>
      <c r="QV174" s="148"/>
      <c r="QW174" s="148"/>
      <c r="QX174" s="148"/>
      <c r="QY174" s="148"/>
      <c r="QZ174" s="148"/>
      <c r="RA174" s="148"/>
      <c r="RB174" s="148"/>
      <c r="RC174" s="148"/>
      <c r="RD174" s="148"/>
      <c r="RE174" s="148"/>
      <c r="RF174" s="148"/>
      <c r="RG174" s="148"/>
      <c r="RH174" s="148"/>
      <c r="RI174" s="148"/>
      <c r="RJ174" s="148"/>
      <c r="RK174" s="148"/>
      <c r="RL174" s="148"/>
      <c r="RM174" s="148"/>
      <c r="RN174" s="148"/>
      <c r="RO174" s="148"/>
      <c r="RP174" s="148"/>
      <c r="RQ174" s="148"/>
      <c r="RR174" s="148"/>
    </row>
    <row r="175" spans="1:486" s="15" customFormat="1" hidden="1" x14ac:dyDescent="0.25">
      <c r="A175" s="148"/>
      <c r="B175" s="350">
        <v>165</v>
      </c>
      <c r="C175" s="650"/>
      <c r="D175" s="16"/>
      <c r="E175" s="344"/>
      <c r="F175" s="344"/>
      <c r="G175" s="17"/>
      <c r="H175" s="317"/>
      <c r="I175" s="346"/>
      <c r="J175" s="341"/>
      <c r="K175" s="633"/>
      <c r="L175" s="633"/>
      <c r="M175" s="633"/>
      <c r="N175" s="633"/>
      <c r="O175" s="633"/>
      <c r="P175" s="633"/>
      <c r="Q175" s="633"/>
      <c r="R175" s="633"/>
      <c r="S175" s="633"/>
      <c r="T175" s="633"/>
      <c r="U175" s="633"/>
      <c r="V175" s="633"/>
      <c r="W175" s="633"/>
      <c r="X175" s="633"/>
      <c r="Y175" s="633">
        <f t="shared" si="6"/>
        <v>0</v>
      </c>
      <c r="Z175" s="310"/>
      <c r="AA175" s="19"/>
      <c r="AB175" s="21"/>
      <c r="AC175" s="23"/>
      <c r="AD175" s="652"/>
      <c r="AE175" s="20"/>
      <c r="AF175" s="21"/>
      <c r="AG175" s="25"/>
      <c r="AH175" s="637"/>
      <c r="AI175" s="19"/>
      <c r="AJ175" s="21"/>
      <c r="AK175" s="25"/>
      <c r="AL175" s="309"/>
      <c r="AM175" s="19"/>
      <c r="AN175" s="21"/>
      <c r="AO175" s="25"/>
      <c r="AP175" s="309"/>
      <c r="AQ175" s="19"/>
      <c r="AR175" s="21"/>
      <c r="AS175" s="25"/>
      <c r="AT175" s="638">
        <f t="shared" si="7"/>
        <v>0</v>
      </c>
      <c r="AU175" s="311">
        <f t="shared" si="5"/>
        <v>0</v>
      </c>
      <c r="AV175" s="148"/>
      <c r="AW175" s="148"/>
      <c r="AX175" s="148"/>
      <c r="AY175" s="148"/>
      <c r="AZ175" s="148"/>
      <c r="BA175" s="148"/>
      <c r="BB175" s="148"/>
      <c r="BC175" s="148"/>
      <c r="BD175" s="148"/>
      <c r="BE175" s="148"/>
      <c r="BF175" s="148"/>
      <c r="BG175" s="148"/>
      <c r="BH175" s="148"/>
      <c r="BI175" s="148"/>
      <c r="BJ175" s="148"/>
      <c r="BK175" s="148"/>
      <c r="BL175" s="148"/>
      <c r="BM175" s="148"/>
      <c r="BN175" s="148"/>
      <c r="BO175" s="148"/>
      <c r="BP175" s="148"/>
      <c r="BQ175" s="148"/>
      <c r="BR175" s="148"/>
      <c r="BS175" s="148"/>
      <c r="BT175" s="148"/>
      <c r="BU175" s="148"/>
      <c r="BV175" s="148"/>
      <c r="BW175" s="148"/>
      <c r="BX175" s="148"/>
      <c r="BY175" s="148"/>
      <c r="BZ175" s="148"/>
      <c r="CA175" s="148"/>
      <c r="CB175" s="148"/>
      <c r="CC175" s="148"/>
      <c r="CD175" s="148"/>
      <c r="CE175" s="148"/>
      <c r="CF175" s="148"/>
      <c r="CG175" s="148"/>
      <c r="CH175" s="148"/>
      <c r="CI175" s="148"/>
      <c r="CJ175" s="148"/>
      <c r="CK175" s="148"/>
      <c r="CL175" s="148"/>
      <c r="CM175" s="148"/>
      <c r="CN175" s="148"/>
      <c r="CO175" s="148"/>
      <c r="CP175" s="148"/>
      <c r="CQ175" s="148"/>
      <c r="CR175" s="148"/>
      <c r="CS175" s="148"/>
      <c r="CT175" s="148"/>
      <c r="CU175" s="148"/>
      <c r="CV175" s="148"/>
      <c r="CW175" s="148"/>
      <c r="CX175" s="148"/>
      <c r="CY175" s="148"/>
      <c r="CZ175" s="148"/>
      <c r="DA175" s="148"/>
      <c r="DB175" s="148"/>
      <c r="DC175" s="148"/>
      <c r="DD175" s="148"/>
      <c r="DE175" s="148"/>
      <c r="DF175" s="148"/>
      <c r="DG175" s="148"/>
      <c r="DH175" s="148"/>
      <c r="DI175" s="148"/>
      <c r="DJ175" s="148"/>
      <c r="DK175" s="148"/>
      <c r="DL175" s="148"/>
      <c r="DM175" s="148"/>
      <c r="DN175" s="148"/>
      <c r="DO175" s="148"/>
      <c r="DP175" s="148"/>
      <c r="DQ175" s="148"/>
      <c r="DR175" s="148"/>
      <c r="DS175" s="148"/>
      <c r="DT175" s="148"/>
      <c r="DU175" s="148"/>
      <c r="DV175" s="148"/>
      <c r="DW175" s="148"/>
      <c r="DX175" s="148"/>
      <c r="DY175" s="148"/>
      <c r="DZ175" s="148"/>
      <c r="EA175" s="148"/>
      <c r="EB175" s="148"/>
      <c r="EC175" s="148"/>
      <c r="ED175" s="148"/>
      <c r="EE175" s="148"/>
      <c r="EF175" s="148"/>
      <c r="EG175" s="148"/>
      <c r="EH175" s="148"/>
      <c r="EI175" s="148"/>
      <c r="EJ175" s="148"/>
      <c r="EK175" s="148"/>
      <c r="EL175" s="148"/>
      <c r="EM175" s="148"/>
      <c r="EN175" s="148"/>
      <c r="EO175" s="148"/>
      <c r="EP175" s="148"/>
      <c r="EQ175" s="148"/>
      <c r="ER175" s="148"/>
      <c r="ES175" s="148"/>
      <c r="ET175" s="148"/>
      <c r="EU175" s="148"/>
      <c r="EV175" s="148"/>
      <c r="EW175" s="148"/>
      <c r="EX175" s="148"/>
      <c r="EY175" s="148"/>
      <c r="EZ175" s="148"/>
      <c r="FA175" s="148"/>
      <c r="FB175" s="148"/>
      <c r="FC175" s="148"/>
      <c r="FD175" s="148"/>
      <c r="FE175" s="148"/>
      <c r="FF175" s="148"/>
      <c r="FG175" s="148"/>
      <c r="FH175" s="148"/>
      <c r="FI175" s="148"/>
      <c r="FJ175" s="148"/>
      <c r="FK175" s="148"/>
      <c r="FL175" s="148"/>
      <c r="FM175" s="148"/>
      <c r="FN175" s="148"/>
      <c r="FO175" s="148"/>
      <c r="FP175" s="148"/>
      <c r="FQ175" s="148"/>
      <c r="FR175" s="148"/>
      <c r="FS175" s="148"/>
      <c r="FT175" s="148"/>
      <c r="FU175" s="148"/>
      <c r="FV175" s="148"/>
      <c r="FW175" s="148"/>
      <c r="FX175" s="148"/>
      <c r="FY175" s="148"/>
      <c r="FZ175" s="148"/>
      <c r="GA175" s="148"/>
      <c r="GB175" s="148"/>
      <c r="GC175" s="148"/>
      <c r="GD175" s="148"/>
      <c r="GE175" s="148"/>
      <c r="GF175" s="148"/>
      <c r="GG175" s="148"/>
      <c r="GH175" s="148"/>
      <c r="GI175" s="148"/>
      <c r="GJ175" s="148"/>
      <c r="GK175" s="148"/>
      <c r="GL175" s="148"/>
      <c r="GM175" s="148"/>
      <c r="GN175" s="148"/>
      <c r="GO175" s="148"/>
      <c r="GP175" s="148"/>
      <c r="GQ175" s="148"/>
      <c r="GR175" s="148"/>
      <c r="GS175" s="148"/>
      <c r="GT175" s="148"/>
      <c r="GU175" s="148"/>
      <c r="GV175" s="148"/>
      <c r="GW175" s="148"/>
      <c r="GX175" s="148"/>
      <c r="GY175" s="148"/>
      <c r="GZ175" s="148"/>
      <c r="HA175" s="148"/>
      <c r="HB175" s="148"/>
      <c r="HC175" s="148"/>
      <c r="HD175" s="148"/>
      <c r="HE175" s="148"/>
      <c r="HF175" s="148"/>
      <c r="HG175" s="148"/>
      <c r="HH175" s="148"/>
      <c r="HI175" s="148"/>
      <c r="HJ175" s="148"/>
      <c r="HK175" s="148"/>
      <c r="HL175" s="148"/>
      <c r="HM175" s="148"/>
      <c r="HN175" s="148"/>
      <c r="HO175" s="148"/>
      <c r="HP175" s="148"/>
      <c r="HQ175" s="148"/>
      <c r="HR175" s="148"/>
      <c r="HS175" s="148"/>
      <c r="HT175" s="148"/>
      <c r="HU175" s="148"/>
      <c r="HV175" s="148"/>
      <c r="HW175" s="148"/>
      <c r="HX175" s="148"/>
      <c r="HY175" s="148"/>
      <c r="HZ175" s="148"/>
      <c r="IA175" s="148"/>
      <c r="IB175" s="148"/>
      <c r="IC175" s="148"/>
      <c r="ID175" s="148"/>
      <c r="IE175" s="148"/>
      <c r="IF175" s="148"/>
      <c r="IG175" s="148"/>
      <c r="IH175" s="148"/>
      <c r="II175" s="148"/>
      <c r="IJ175" s="148"/>
      <c r="IK175" s="148"/>
      <c r="IL175" s="148"/>
      <c r="IM175" s="148"/>
      <c r="IN175" s="148"/>
      <c r="IO175" s="148"/>
      <c r="IP175" s="148"/>
      <c r="IQ175" s="148"/>
      <c r="IR175" s="148"/>
      <c r="IS175" s="148"/>
      <c r="IT175" s="148"/>
      <c r="IU175" s="148"/>
      <c r="IV175" s="148"/>
      <c r="IW175" s="148"/>
      <c r="IX175" s="148"/>
      <c r="IY175" s="148"/>
      <c r="IZ175" s="148"/>
      <c r="JA175" s="148"/>
      <c r="JB175" s="148"/>
      <c r="JC175" s="148"/>
      <c r="JD175" s="148"/>
      <c r="JE175" s="148"/>
      <c r="JF175" s="148"/>
      <c r="JG175" s="148"/>
      <c r="JH175" s="148"/>
      <c r="JI175" s="148"/>
      <c r="JJ175" s="148"/>
      <c r="JK175" s="148"/>
      <c r="JL175" s="148"/>
      <c r="JM175" s="148"/>
      <c r="JN175" s="148"/>
      <c r="JO175" s="148"/>
      <c r="JP175" s="148"/>
      <c r="JQ175" s="148"/>
      <c r="JR175" s="148"/>
      <c r="JS175" s="148"/>
      <c r="JT175" s="148"/>
      <c r="JU175" s="148"/>
      <c r="JV175" s="148"/>
      <c r="JW175" s="148"/>
      <c r="JX175" s="148"/>
      <c r="JY175" s="148"/>
      <c r="JZ175" s="148"/>
      <c r="KA175" s="148"/>
      <c r="KB175" s="148"/>
      <c r="KC175" s="148"/>
      <c r="KD175" s="148"/>
      <c r="KE175" s="148"/>
      <c r="KF175" s="148"/>
      <c r="KG175" s="148"/>
      <c r="KH175" s="148"/>
      <c r="KI175" s="148"/>
      <c r="KJ175" s="148"/>
      <c r="KK175" s="148"/>
      <c r="KL175" s="148"/>
      <c r="KM175" s="148"/>
      <c r="KN175" s="148"/>
      <c r="KO175" s="148"/>
      <c r="KP175" s="148"/>
      <c r="KQ175" s="148"/>
      <c r="KR175" s="148"/>
      <c r="KS175" s="148"/>
      <c r="KT175" s="148"/>
      <c r="KU175" s="148"/>
      <c r="KV175" s="148"/>
      <c r="KW175" s="148"/>
      <c r="KX175" s="148"/>
      <c r="KY175" s="148"/>
      <c r="KZ175" s="148"/>
      <c r="LA175" s="148"/>
      <c r="LB175" s="148"/>
      <c r="LC175" s="148"/>
      <c r="LD175" s="148"/>
      <c r="LE175" s="148"/>
      <c r="LF175" s="148"/>
      <c r="LG175" s="148"/>
      <c r="LH175" s="148"/>
      <c r="LI175" s="148"/>
      <c r="LJ175" s="148"/>
      <c r="LK175" s="148"/>
      <c r="LL175" s="148"/>
      <c r="LM175" s="148"/>
      <c r="LN175" s="148"/>
      <c r="LO175" s="148"/>
      <c r="LP175" s="148"/>
      <c r="LQ175" s="148"/>
      <c r="LR175" s="148"/>
      <c r="LS175" s="148"/>
      <c r="LT175" s="148"/>
      <c r="LU175" s="148"/>
      <c r="LV175" s="148"/>
      <c r="LW175" s="148"/>
      <c r="LX175" s="148"/>
      <c r="LY175" s="148"/>
      <c r="LZ175" s="148"/>
      <c r="MA175" s="148"/>
      <c r="MB175" s="148"/>
      <c r="MC175" s="148"/>
      <c r="MD175" s="148"/>
      <c r="ME175" s="148"/>
      <c r="MF175" s="148"/>
      <c r="MG175" s="148"/>
      <c r="MH175" s="148"/>
      <c r="MI175" s="148"/>
      <c r="MJ175" s="148"/>
      <c r="MK175" s="148"/>
      <c r="ML175" s="148"/>
      <c r="MM175" s="148"/>
      <c r="MN175" s="148"/>
      <c r="MO175" s="148"/>
      <c r="MP175" s="148"/>
      <c r="MQ175" s="148"/>
      <c r="MR175" s="148"/>
      <c r="MS175" s="148"/>
      <c r="MT175" s="148"/>
      <c r="MU175" s="148"/>
      <c r="MV175" s="148"/>
      <c r="MW175" s="148"/>
      <c r="MX175" s="148"/>
      <c r="MY175" s="148"/>
      <c r="MZ175" s="148"/>
      <c r="NA175" s="148"/>
      <c r="NB175" s="148"/>
      <c r="NC175" s="148"/>
      <c r="ND175" s="148"/>
      <c r="NE175" s="148"/>
      <c r="NF175" s="148"/>
      <c r="NG175" s="148"/>
      <c r="NH175" s="148"/>
      <c r="NI175" s="148"/>
      <c r="NJ175" s="148"/>
      <c r="NK175" s="148"/>
      <c r="NL175" s="148"/>
      <c r="NM175" s="148"/>
      <c r="NN175" s="148"/>
      <c r="NO175" s="148"/>
      <c r="NP175" s="148"/>
      <c r="NQ175" s="148"/>
      <c r="NR175" s="148"/>
      <c r="NS175" s="148"/>
      <c r="NT175" s="148"/>
      <c r="NU175" s="148"/>
      <c r="NV175" s="148"/>
      <c r="NW175" s="148"/>
      <c r="NX175" s="148"/>
      <c r="NY175" s="148"/>
      <c r="NZ175" s="148"/>
      <c r="OA175" s="148"/>
      <c r="OB175" s="148"/>
      <c r="OC175" s="148"/>
      <c r="OD175" s="148"/>
      <c r="OE175" s="148"/>
      <c r="OF175" s="148"/>
      <c r="OG175" s="148"/>
      <c r="OH175" s="148"/>
      <c r="OI175" s="148"/>
      <c r="OJ175" s="148"/>
      <c r="OK175" s="148"/>
      <c r="OL175" s="148"/>
      <c r="OM175" s="148"/>
      <c r="ON175" s="148"/>
      <c r="OO175" s="148"/>
      <c r="OP175" s="148"/>
      <c r="OQ175" s="148"/>
      <c r="OR175" s="148"/>
      <c r="OS175" s="148"/>
      <c r="OT175" s="148"/>
      <c r="OU175" s="148"/>
      <c r="OV175" s="148"/>
      <c r="OW175" s="148"/>
      <c r="OX175" s="148"/>
      <c r="OY175" s="148"/>
      <c r="OZ175" s="148"/>
      <c r="PA175" s="148"/>
      <c r="PB175" s="148"/>
      <c r="PC175" s="148"/>
      <c r="PD175" s="148"/>
      <c r="PE175" s="148"/>
      <c r="PF175" s="148"/>
      <c r="PG175" s="148"/>
      <c r="PH175" s="148"/>
      <c r="PI175" s="148"/>
      <c r="PJ175" s="148"/>
      <c r="PK175" s="148"/>
      <c r="PL175" s="148"/>
      <c r="PM175" s="148"/>
      <c r="PN175" s="148"/>
      <c r="PO175" s="148"/>
      <c r="PP175" s="148"/>
      <c r="PQ175" s="148"/>
      <c r="PR175" s="148"/>
      <c r="PS175" s="148"/>
      <c r="PT175" s="148"/>
      <c r="PU175" s="148"/>
      <c r="PV175" s="148"/>
      <c r="PW175" s="148"/>
      <c r="PX175" s="148"/>
      <c r="PY175" s="148"/>
      <c r="PZ175" s="148"/>
      <c r="QA175" s="148"/>
      <c r="QB175" s="148"/>
      <c r="QC175" s="148"/>
      <c r="QD175" s="148"/>
      <c r="QE175" s="148"/>
      <c r="QF175" s="148"/>
      <c r="QG175" s="148"/>
      <c r="QH175" s="148"/>
      <c r="QI175" s="148"/>
      <c r="QJ175" s="148"/>
      <c r="QK175" s="148"/>
      <c r="QL175" s="148"/>
      <c r="QM175" s="148"/>
      <c r="QN175" s="148"/>
      <c r="QO175" s="148"/>
      <c r="QP175" s="148"/>
      <c r="QQ175" s="148"/>
      <c r="QR175" s="148"/>
      <c r="QS175" s="148"/>
      <c r="QT175" s="148"/>
      <c r="QU175" s="148"/>
      <c r="QV175" s="148"/>
      <c r="QW175" s="148"/>
      <c r="QX175" s="148"/>
      <c r="QY175" s="148"/>
      <c r="QZ175" s="148"/>
      <c r="RA175" s="148"/>
      <c r="RB175" s="148"/>
      <c r="RC175" s="148"/>
      <c r="RD175" s="148"/>
      <c r="RE175" s="148"/>
      <c r="RF175" s="148"/>
      <c r="RG175" s="148"/>
      <c r="RH175" s="148"/>
      <c r="RI175" s="148"/>
      <c r="RJ175" s="148"/>
      <c r="RK175" s="148"/>
      <c r="RL175" s="148"/>
      <c r="RM175" s="148"/>
      <c r="RN175" s="148"/>
      <c r="RO175" s="148"/>
      <c r="RP175" s="148"/>
      <c r="RQ175" s="148"/>
      <c r="RR175" s="148"/>
    </row>
    <row r="176" spans="1:486" s="15" customFormat="1" hidden="1" x14ac:dyDescent="0.25">
      <c r="A176" s="148"/>
      <c r="B176" s="350">
        <v>166</v>
      </c>
      <c r="C176" s="650"/>
      <c r="D176" s="16"/>
      <c r="E176" s="344"/>
      <c r="F176" s="344"/>
      <c r="G176" s="17"/>
      <c r="H176" s="317"/>
      <c r="I176" s="346"/>
      <c r="J176" s="341"/>
      <c r="K176" s="633"/>
      <c r="L176" s="633"/>
      <c r="M176" s="633"/>
      <c r="N176" s="633"/>
      <c r="O176" s="633"/>
      <c r="P176" s="633"/>
      <c r="Q176" s="633"/>
      <c r="R176" s="633"/>
      <c r="S176" s="633"/>
      <c r="T176" s="633"/>
      <c r="U176" s="633"/>
      <c r="V176" s="633"/>
      <c r="W176" s="633"/>
      <c r="X176" s="633"/>
      <c r="Y176" s="633">
        <f t="shared" si="6"/>
        <v>0</v>
      </c>
      <c r="Z176" s="310"/>
      <c r="AA176" s="19"/>
      <c r="AB176" s="21"/>
      <c r="AC176" s="23"/>
      <c r="AD176" s="652"/>
      <c r="AE176" s="20"/>
      <c r="AF176" s="21"/>
      <c r="AG176" s="25"/>
      <c r="AH176" s="637"/>
      <c r="AI176" s="19"/>
      <c r="AJ176" s="21"/>
      <c r="AK176" s="25"/>
      <c r="AL176" s="309"/>
      <c r="AM176" s="19"/>
      <c r="AN176" s="21"/>
      <c r="AO176" s="25"/>
      <c r="AP176" s="309"/>
      <c r="AQ176" s="19"/>
      <c r="AR176" s="21"/>
      <c r="AS176" s="25"/>
      <c r="AT176" s="638">
        <f t="shared" si="7"/>
        <v>0</v>
      </c>
      <c r="AU176" s="311">
        <f t="shared" si="5"/>
        <v>0</v>
      </c>
      <c r="AV176" s="148"/>
      <c r="AW176" s="148"/>
      <c r="AX176" s="148"/>
      <c r="AY176" s="148"/>
      <c r="AZ176" s="148"/>
      <c r="BA176" s="148"/>
      <c r="BB176" s="148"/>
      <c r="BC176" s="148"/>
      <c r="BD176" s="148"/>
      <c r="BE176" s="148"/>
      <c r="BF176" s="148"/>
      <c r="BG176" s="148"/>
      <c r="BH176" s="148"/>
      <c r="BI176" s="148"/>
      <c r="BJ176" s="148"/>
      <c r="BK176" s="148"/>
      <c r="BL176" s="148"/>
      <c r="BM176" s="148"/>
      <c r="BN176" s="148"/>
      <c r="BO176" s="148"/>
      <c r="BP176" s="148"/>
      <c r="BQ176" s="148"/>
      <c r="BR176" s="148"/>
      <c r="BS176" s="148"/>
      <c r="BT176" s="148"/>
      <c r="BU176" s="148"/>
      <c r="BV176" s="148"/>
      <c r="BW176" s="148"/>
      <c r="BX176" s="148"/>
      <c r="BY176" s="148"/>
      <c r="BZ176" s="148"/>
      <c r="CA176" s="148"/>
      <c r="CB176" s="148"/>
      <c r="CC176" s="148"/>
      <c r="CD176" s="148"/>
      <c r="CE176" s="148"/>
      <c r="CF176" s="148"/>
      <c r="CG176" s="148"/>
      <c r="CH176" s="148"/>
      <c r="CI176" s="148"/>
      <c r="CJ176" s="148"/>
      <c r="CK176" s="148"/>
      <c r="CL176" s="148"/>
      <c r="CM176" s="148"/>
      <c r="CN176" s="148"/>
      <c r="CO176" s="148"/>
      <c r="CP176" s="148"/>
      <c r="CQ176" s="148"/>
      <c r="CR176" s="148"/>
      <c r="CS176" s="148"/>
      <c r="CT176" s="148"/>
      <c r="CU176" s="148"/>
      <c r="CV176" s="148"/>
      <c r="CW176" s="148"/>
      <c r="CX176" s="148"/>
      <c r="CY176" s="148"/>
      <c r="CZ176" s="148"/>
      <c r="DA176" s="148"/>
      <c r="DB176" s="148"/>
      <c r="DC176" s="148"/>
      <c r="DD176" s="148"/>
      <c r="DE176" s="148"/>
      <c r="DF176" s="148"/>
      <c r="DG176" s="148"/>
      <c r="DH176" s="148"/>
      <c r="DI176" s="148"/>
      <c r="DJ176" s="148"/>
      <c r="DK176" s="148"/>
      <c r="DL176" s="148"/>
      <c r="DM176" s="148"/>
      <c r="DN176" s="148"/>
      <c r="DO176" s="148"/>
      <c r="DP176" s="148"/>
      <c r="DQ176" s="148"/>
      <c r="DR176" s="148"/>
      <c r="DS176" s="148"/>
      <c r="DT176" s="148"/>
      <c r="DU176" s="148"/>
      <c r="DV176" s="148"/>
      <c r="DW176" s="148"/>
      <c r="DX176" s="148"/>
      <c r="DY176" s="148"/>
      <c r="DZ176" s="148"/>
      <c r="EA176" s="148"/>
      <c r="EB176" s="148"/>
      <c r="EC176" s="148"/>
      <c r="ED176" s="148"/>
      <c r="EE176" s="148"/>
      <c r="EF176" s="148"/>
      <c r="EG176" s="148"/>
      <c r="EH176" s="148"/>
      <c r="EI176" s="148"/>
      <c r="EJ176" s="148"/>
      <c r="EK176" s="148"/>
      <c r="EL176" s="148"/>
      <c r="EM176" s="148"/>
      <c r="EN176" s="148"/>
      <c r="EO176" s="148"/>
      <c r="EP176" s="148"/>
      <c r="EQ176" s="148"/>
      <c r="ER176" s="148"/>
      <c r="ES176" s="148"/>
      <c r="ET176" s="148"/>
      <c r="EU176" s="148"/>
      <c r="EV176" s="148"/>
      <c r="EW176" s="148"/>
      <c r="EX176" s="148"/>
      <c r="EY176" s="148"/>
      <c r="EZ176" s="148"/>
      <c r="FA176" s="148"/>
      <c r="FB176" s="148"/>
      <c r="FC176" s="148"/>
      <c r="FD176" s="148"/>
      <c r="FE176" s="148"/>
      <c r="FF176" s="148"/>
      <c r="FG176" s="148"/>
      <c r="FH176" s="148"/>
      <c r="FI176" s="148"/>
      <c r="FJ176" s="148"/>
      <c r="FK176" s="148"/>
      <c r="FL176" s="148"/>
      <c r="FM176" s="148"/>
      <c r="FN176" s="148"/>
      <c r="FO176" s="148"/>
      <c r="FP176" s="148"/>
      <c r="FQ176" s="148"/>
      <c r="FR176" s="148"/>
      <c r="FS176" s="148"/>
      <c r="FT176" s="148"/>
      <c r="FU176" s="148"/>
      <c r="FV176" s="148"/>
      <c r="FW176" s="148"/>
      <c r="FX176" s="148"/>
      <c r="FY176" s="148"/>
      <c r="FZ176" s="148"/>
      <c r="GA176" s="148"/>
      <c r="GB176" s="148"/>
      <c r="GC176" s="148"/>
      <c r="GD176" s="148"/>
      <c r="GE176" s="148"/>
      <c r="GF176" s="148"/>
      <c r="GG176" s="148"/>
      <c r="GH176" s="148"/>
      <c r="GI176" s="148"/>
      <c r="GJ176" s="148"/>
      <c r="GK176" s="148"/>
      <c r="GL176" s="148"/>
      <c r="GM176" s="148"/>
      <c r="GN176" s="148"/>
      <c r="GO176" s="148"/>
      <c r="GP176" s="148"/>
      <c r="GQ176" s="148"/>
      <c r="GR176" s="148"/>
      <c r="GS176" s="148"/>
      <c r="GT176" s="148"/>
      <c r="GU176" s="148"/>
      <c r="GV176" s="148"/>
      <c r="GW176" s="148"/>
      <c r="GX176" s="148"/>
      <c r="GY176" s="148"/>
      <c r="GZ176" s="148"/>
      <c r="HA176" s="148"/>
      <c r="HB176" s="148"/>
      <c r="HC176" s="148"/>
      <c r="HD176" s="148"/>
      <c r="HE176" s="148"/>
      <c r="HF176" s="148"/>
      <c r="HG176" s="148"/>
      <c r="HH176" s="148"/>
      <c r="HI176" s="148"/>
      <c r="HJ176" s="148"/>
      <c r="HK176" s="148"/>
      <c r="HL176" s="148"/>
      <c r="HM176" s="148"/>
      <c r="HN176" s="148"/>
      <c r="HO176" s="148"/>
      <c r="HP176" s="148"/>
      <c r="HQ176" s="148"/>
      <c r="HR176" s="148"/>
      <c r="HS176" s="148"/>
      <c r="HT176" s="148"/>
      <c r="HU176" s="148"/>
      <c r="HV176" s="148"/>
      <c r="HW176" s="148"/>
      <c r="HX176" s="148"/>
      <c r="HY176" s="148"/>
      <c r="HZ176" s="148"/>
      <c r="IA176" s="148"/>
      <c r="IB176" s="148"/>
      <c r="IC176" s="148"/>
      <c r="ID176" s="148"/>
      <c r="IE176" s="148"/>
      <c r="IF176" s="148"/>
      <c r="IG176" s="148"/>
      <c r="IH176" s="148"/>
      <c r="II176" s="148"/>
      <c r="IJ176" s="148"/>
      <c r="IK176" s="148"/>
      <c r="IL176" s="148"/>
      <c r="IM176" s="148"/>
      <c r="IN176" s="148"/>
      <c r="IO176" s="148"/>
      <c r="IP176" s="148"/>
      <c r="IQ176" s="148"/>
      <c r="IR176" s="148"/>
      <c r="IS176" s="148"/>
      <c r="IT176" s="148"/>
      <c r="IU176" s="148"/>
      <c r="IV176" s="148"/>
      <c r="IW176" s="148"/>
      <c r="IX176" s="148"/>
      <c r="IY176" s="148"/>
      <c r="IZ176" s="148"/>
      <c r="JA176" s="148"/>
      <c r="JB176" s="148"/>
      <c r="JC176" s="148"/>
      <c r="JD176" s="148"/>
      <c r="JE176" s="148"/>
      <c r="JF176" s="148"/>
      <c r="JG176" s="148"/>
      <c r="JH176" s="148"/>
      <c r="JI176" s="148"/>
      <c r="JJ176" s="148"/>
      <c r="JK176" s="148"/>
      <c r="JL176" s="148"/>
      <c r="JM176" s="148"/>
      <c r="JN176" s="148"/>
      <c r="JO176" s="148"/>
      <c r="JP176" s="148"/>
      <c r="JQ176" s="148"/>
      <c r="JR176" s="148"/>
      <c r="JS176" s="148"/>
      <c r="JT176" s="148"/>
      <c r="JU176" s="148"/>
      <c r="JV176" s="148"/>
      <c r="JW176" s="148"/>
      <c r="JX176" s="148"/>
      <c r="JY176" s="148"/>
      <c r="JZ176" s="148"/>
      <c r="KA176" s="148"/>
      <c r="KB176" s="148"/>
      <c r="KC176" s="148"/>
      <c r="KD176" s="148"/>
      <c r="KE176" s="148"/>
      <c r="KF176" s="148"/>
      <c r="KG176" s="148"/>
      <c r="KH176" s="148"/>
      <c r="KI176" s="148"/>
      <c r="KJ176" s="148"/>
      <c r="KK176" s="148"/>
      <c r="KL176" s="148"/>
      <c r="KM176" s="148"/>
      <c r="KN176" s="148"/>
      <c r="KO176" s="148"/>
      <c r="KP176" s="148"/>
      <c r="KQ176" s="148"/>
      <c r="KR176" s="148"/>
      <c r="KS176" s="148"/>
      <c r="KT176" s="148"/>
      <c r="KU176" s="148"/>
      <c r="KV176" s="148"/>
      <c r="KW176" s="148"/>
      <c r="KX176" s="148"/>
      <c r="KY176" s="148"/>
      <c r="KZ176" s="148"/>
      <c r="LA176" s="148"/>
      <c r="LB176" s="148"/>
      <c r="LC176" s="148"/>
      <c r="LD176" s="148"/>
      <c r="LE176" s="148"/>
      <c r="LF176" s="148"/>
      <c r="LG176" s="148"/>
      <c r="LH176" s="148"/>
      <c r="LI176" s="148"/>
      <c r="LJ176" s="148"/>
      <c r="LK176" s="148"/>
      <c r="LL176" s="148"/>
      <c r="LM176" s="148"/>
      <c r="LN176" s="148"/>
      <c r="LO176" s="148"/>
      <c r="LP176" s="148"/>
      <c r="LQ176" s="148"/>
      <c r="LR176" s="148"/>
      <c r="LS176" s="148"/>
      <c r="LT176" s="148"/>
      <c r="LU176" s="148"/>
      <c r="LV176" s="148"/>
      <c r="LW176" s="148"/>
      <c r="LX176" s="148"/>
      <c r="LY176" s="148"/>
      <c r="LZ176" s="148"/>
      <c r="MA176" s="148"/>
      <c r="MB176" s="148"/>
      <c r="MC176" s="148"/>
      <c r="MD176" s="148"/>
      <c r="ME176" s="148"/>
      <c r="MF176" s="148"/>
      <c r="MG176" s="148"/>
      <c r="MH176" s="148"/>
      <c r="MI176" s="148"/>
      <c r="MJ176" s="148"/>
      <c r="MK176" s="148"/>
      <c r="ML176" s="148"/>
      <c r="MM176" s="148"/>
      <c r="MN176" s="148"/>
      <c r="MO176" s="148"/>
      <c r="MP176" s="148"/>
      <c r="MQ176" s="148"/>
      <c r="MR176" s="148"/>
      <c r="MS176" s="148"/>
      <c r="MT176" s="148"/>
      <c r="MU176" s="148"/>
      <c r="MV176" s="148"/>
      <c r="MW176" s="148"/>
      <c r="MX176" s="148"/>
      <c r="MY176" s="148"/>
      <c r="MZ176" s="148"/>
      <c r="NA176" s="148"/>
      <c r="NB176" s="148"/>
      <c r="NC176" s="148"/>
      <c r="ND176" s="148"/>
      <c r="NE176" s="148"/>
      <c r="NF176" s="148"/>
      <c r="NG176" s="148"/>
      <c r="NH176" s="148"/>
      <c r="NI176" s="148"/>
      <c r="NJ176" s="148"/>
      <c r="NK176" s="148"/>
      <c r="NL176" s="148"/>
      <c r="NM176" s="148"/>
      <c r="NN176" s="148"/>
      <c r="NO176" s="148"/>
      <c r="NP176" s="148"/>
      <c r="NQ176" s="148"/>
      <c r="NR176" s="148"/>
      <c r="NS176" s="148"/>
      <c r="NT176" s="148"/>
      <c r="NU176" s="148"/>
      <c r="NV176" s="148"/>
      <c r="NW176" s="148"/>
      <c r="NX176" s="148"/>
      <c r="NY176" s="148"/>
      <c r="NZ176" s="148"/>
      <c r="OA176" s="148"/>
      <c r="OB176" s="148"/>
      <c r="OC176" s="148"/>
      <c r="OD176" s="148"/>
      <c r="OE176" s="148"/>
      <c r="OF176" s="148"/>
      <c r="OG176" s="148"/>
      <c r="OH176" s="148"/>
      <c r="OI176" s="148"/>
      <c r="OJ176" s="148"/>
      <c r="OK176" s="148"/>
      <c r="OL176" s="148"/>
      <c r="OM176" s="148"/>
      <c r="ON176" s="148"/>
      <c r="OO176" s="148"/>
      <c r="OP176" s="148"/>
      <c r="OQ176" s="148"/>
      <c r="OR176" s="148"/>
      <c r="OS176" s="148"/>
      <c r="OT176" s="148"/>
      <c r="OU176" s="148"/>
      <c r="OV176" s="148"/>
      <c r="OW176" s="148"/>
      <c r="OX176" s="148"/>
      <c r="OY176" s="148"/>
      <c r="OZ176" s="148"/>
      <c r="PA176" s="148"/>
      <c r="PB176" s="148"/>
      <c r="PC176" s="148"/>
      <c r="PD176" s="148"/>
      <c r="PE176" s="148"/>
      <c r="PF176" s="148"/>
      <c r="PG176" s="148"/>
      <c r="PH176" s="148"/>
      <c r="PI176" s="148"/>
      <c r="PJ176" s="148"/>
      <c r="PK176" s="148"/>
      <c r="PL176" s="148"/>
      <c r="PM176" s="148"/>
      <c r="PN176" s="148"/>
      <c r="PO176" s="148"/>
      <c r="PP176" s="148"/>
      <c r="PQ176" s="148"/>
      <c r="PR176" s="148"/>
      <c r="PS176" s="148"/>
      <c r="PT176" s="148"/>
      <c r="PU176" s="148"/>
      <c r="PV176" s="148"/>
      <c r="PW176" s="148"/>
      <c r="PX176" s="148"/>
      <c r="PY176" s="148"/>
      <c r="PZ176" s="148"/>
      <c r="QA176" s="148"/>
      <c r="QB176" s="148"/>
      <c r="QC176" s="148"/>
      <c r="QD176" s="148"/>
      <c r="QE176" s="148"/>
      <c r="QF176" s="148"/>
      <c r="QG176" s="148"/>
      <c r="QH176" s="148"/>
      <c r="QI176" s="148"/>
      <c r="QJ176" s="148"/>
      <c r="QK176" s="148"/>
      <c r="QL176" s="148"/>
      <c r="QM176" s="148"/>
      <c r="QN176" s="148"/>
      <c r="QO176" s="148"/>
      <c r="QP176" s="148"/>
      <c r="QQ176" s="148"/>
      <c r="QR176" s="148"/>
      <c r="QS176" s="148"/>
      <c r="QT176" s="148"/>
      <c r="QU176" s="148"/>
      <c r="QV176" s="148"/>
      <c r="QW176" s="148"/>
      <c r="QX176" s="148"/>
      <c r="QY176" s="148"/>
      <c r="QZ176" s="148"/>
      <c r="RA176" s="148"/>
      <c r="RB176" s="148"/>
      <c r="RC176" s="148"/>
      <c r="RD176" s="148"/>
      <c r="RE176" s="148"/>
      <c r="RF176" s="148"/>
      <c r="RG176" s="148"/>
      <c r="RH176" s="148"/>
      <c r="RI176" s="148"/>
      <c r="RJ176" s="148"/>
      <c r="RK176" s="148"/>
      <c r="RL176" s="148"/>
      <c r="RM176" s="148"/>
      <c r="RN176" s="148"/>
      <c r="RO176" s="148"/>
      <c r="RP176" s="148"/>
      <c r="RQ176" s="148"/>
      <c r="RR176" s="148"/>
    </row>
    <row r="177" spans="1:486" s="15" customFormat="1" hidden="1" x14ac:dyDescent="0.25">
      <c r="A177" s="148"/>
      <c r="B177" s="350">
        <v>167</v>
      </c>
      <c r="C177" s="650"/>
      <c r="D177" s="16"/>
      <c r="E177" s="344"/>
      <c r="F177" s="344"/>
      <c r="G177" s="17"/>
      <c r="H177" s="317"/>
      <c r="I177" s="346"/>
      <c r="J177" s="341"/>
      <c r="K177" s="633"/>
      <c r="L177" s="633"/>
      <c r="M177" s="633"/>
      <c r="N177" s="633"/>
      <c r="O177" s="633"/>
      <c r="P177" s="633"/>
      <c r="Q177" s="633"/>
      <c r="R177" s="633"/>
      <c r="S177" s="633"/>
      <c r="T177" s="633"/>
      <c r="U177" s="633"/>
      <c r="V177" s="633"/>
      <c r="W177" s="633"/>
      <c r="X177" s="633"/>
      <c r="Y177" s="633">
        <f t="shared" si="6"/>
        <v>0</v>
      </c>
      <c r="Z177" s="310"/>
      <c r="AA177" s="19"/>
      <c r="AB177" s="21"/>
      <c r="AC177" s="23"/>
      <c r="AD177" s="652"/>
      <c r="AE177" s="20"/>
      <c r="AF177" s="21"/>
      <c r="AG177" s="25"/>
      <c r="AH177" s="637"/>
      <c r="AI177" s="19"/>
      <c r="AJ177" s="21"/>
      <c r="AK177" s="25"/>
      <c r="AL177" s="309"/>
      <c r="AM177" s="19"/>
      <c r="AN177" s="21"/>
      <c r="AO177" s="25"/>
      <c r="AP177" s="309"/>
      <c r="AQ177" s="19"/>
      <c r="AR177" s="21"/>
      <c r="AS177" s="25"/>
      <c r="AT177" s="638">
        <f t="shared" si="7"/>
        <v>0</v>
      </c>
      <c r="AU177" s="311">
        <f t="shared" si="5"/>
        <v>0</v>
      </c>
      <c r="AV177" s="148"/>
      <c r="AW177" s="148"/>
      <c r="AX177" s="148"/>
      <c r="AY177" s="148"/>
      <c r="AZ177" s="148"/>
      <c r="BA177" s="148"/>
      <c r="BB177" s="148"/>
      <c r="BC177" s="148"/>
      <c r="BD177" s="148"/>
      <c r="BE177" s="148"/>
      <c r="BF177" s="148"/>
      <c r="BG177" s="148"/>
      <c r="BH177" s="148"/>
      <c r="BI177" s="148"/>
      <c r="BJ177" s="148"/>
      <c r="BK177" s="148"/>
      <c r="BL177" s="148"/>
      <c r="BM177" s="148"/>
      <c r="BN177" s="148"/>
      <c r="BO177" s="148"/>
      <c r="BP177" s="148"/>
      <c r="BQ177" s="148"/>
      <c r="BR177" s="148"/>
      <c r="BS177" s="148"/>
      <c r="BT177" s="148"/>
      <c r="BU177" s="148"/>
      <c r="BV177" s="148"/>
      <c r="BW177" s="148"/>
      <c r="BX177" s="148"/>
      <c r="BY177" s="148"/>
      <c r="BZ177" s="148"/>
      <c r="CA177" s="148"/>
      <c r="CB177" s="148"/>
      <c r="CC177" s="148"/>
      <c r="CD177" s="148"/>
      <c r="CE177" s="148"/>
      <c r="CF177" s="148"/>
      <c r="CG177" s="148"/>
      <c r="CH177" s="148"/>
      <c r="CI177" s="148"/>
      <c r="CJ177" s="148"/>
      <c r="CK177" s="148"/>
      <c r="CL177" s="148"/>
      <c r="CM177" s="148"/>
      <c r="CN177" s="148"/>
      <c r="CO177" s="148"/>
      <c r="CP177" s="148"/>
      <c r="CQ177" s="148"/>
      <c r="CR177" s="148"/>
      <c r="CS177" s="148"/>
      <c r="CT177" s="148"/>
      <c r="CU177" s="148"/>
      <c r="CV177" s="148"/>
      <c r="CW177" s="148"/>
      <c r="CX177" s="148"/>
      <c r="CY177" s="148"/>
      <c r="CZ177" s="148"/>
      <c r="DA177" s="148"/>
      <c r="DB177" s="148"/>
      <c r="DC177" s="148"/>
      <c r="DD177" s="148"/>
      <c r="DE177" s="148"/>
      <c r="DF177" s="148"/>
      <c r="DG177" s="148"/>
      <c r="DH177" s="148"/>
      <c r="DI177" s="148"/>
      <c r="DJ177" s="148"/>
      <c r="DK177" s="148"/>
      <c r="DL177" s="148"/>
      <c r="DM177" s="148"/>
      <c r="DN177" s="148"/>
      <c r="DO177" s="148"/>
      <c r="DP177" s="148"/>
      <c r="DQ177" s="148"/>
      <c r="DR177" s="148"/>
      <c r="DS177" s="148"/>
      <c r="DT177" s="148"/>
      <c r="DU177" s="148"/>
      <c r="DV177" s="148"/>
      <c r="DW177" s="148"/>
      <c r="DX177" s="148"/>
      <c r="DY177" s="148"/>
      <c r="DZ177" s="148"/>
      <c r="EA177" s="148"/>
      <c r="EB177" s="148"/>
      <c r="EC177" s="148"/>
      <c r="ED177" s="148"/>
      <c r="EE177" s="148"/>
      <c r="EF177" s="148"/>
      <c r="EG177" s="148"/>
      <c r="EH177" s="148"/>
      <c r="EI177" s="148"/>
      <c r="EJ177" s="148"/>
      <c r="EK177" s="148"/>
      <c r="EL177" s="148"/>
      <c r="EM177" s="148"/>
      <c r="EN177" s="148"/>
      <c r="EO177" s="148"/>
      <c r="EP177" s="148"/>
      <c r="EQ177" s="148"/>
      <c r="ER177" s="148"/>
      <c r="ES177" s="148"/>
      <c r="ET177" s="148"/>
      <c r="EU177" s="148"/>
      <c r="EV177" s="148"/>
      <c r="EW177" s="148"/>
      <c r="EX177" s="148"/>
      <c r="EY177" s="148"/>
      <c r="EZ177" s="148"/>
      <c r="FA177" s="148"/>
      <c r="FB177" s="148"/>
      <c r="FC177" s="148"/>
      <c r="FD177" s="148"/>
      <c r="FE177" s="148"/>
      <c r="FF177" s="148"/>
      <c r="FG177" s="148"/>
      <c r="FH177" s="148"/>
      <c r="FI177" s="148"/>
      <c r="FJ177" s="148"/>
      <c r="FK177" s="148"/>
      <c r="FL177" s="148"/>
      <c r="FM177" s="148"/>
      <c r="FN177" s="148"/>
      <c r="FO177" s="148"/>
      <c r="FP177" s="148"/>
      <c r="FQ177" s="148"/>
      <c r="FR177" s="148"/>
      <c r="FS177" s="148"/>
      <c r="FT177" s="148"/>
      <c r="FU177" s="148"/>
      <c r="FV177" s="148"/>
      <c r="FW177" s="148"/>
      <c r="FX177" s="148"/>
      <c r="FY177" s="148"/>
      <c r="FZ177" s="148"/>
      <c r="GA177" s="148"/>
      <c r="GB177" s="148"/>
      <c r="GC177" s="148"/>
      <c r="GD177" s="148"/>
      <c r="GE177" s="148"/>
      <c r="GF177" s="148"/>
      <c r="GG177" s="148"/>
      <c r="GH177" s="148"/>
      <c r="GI177" s="148"/>
      <c r="GJ177" s="148"/>
      <c r="GK177" s="148"/>
      <c r="GL177" s="148"/>
      <c r="GM177" s="148"/>
      <c r="GN177" s="148"/>
      <c r="GO177" s="148"/>
      <c r="GP177" s="148"/>
      <c r="GQ177" s="148"/>
      <c r="GR177" s="148"/>
      <c r="GS177" s="148"/>
      <c r="GT177" s="148"/>
      <c r="GU177" s="148"/>
      <c r="GV177" s="148"/>
      <c r="GW177" s="148"/>
      <c r="GX177" s="148"/>
      <c r="GY177" s="148"/>
      <c r="GZ177" s="148"/>
      <c r="HA177" s="148"/>
      <c r="HB177" s="148"/>
      <c r="HC177" s="148"/>
      <c r="HD177" s="148"/>
      <c r="HE177" s="148"/>
      <c r="HF177" s="148"/>
      <c r="HG177" s="148"/>
      <c r="HH177" s="148"/>
      <c r="HI177" s="148"/>
      <c r="HJ177" s="148"/>
      <c r="HK177" s="148"/>
      <c r="HL177" s="148"/>
      <c r="HM177" s="148"/>
      <c r="HN177" s="148"/>
      <c r="HO177" s="148"/>
      <c r="HP177" s="148"/>
      <c r="HQ177" s="148"/>
      <c r="HR177" s="148"/>
      <c r="HS177" s="148"/>
      <c r="HT177" s="148"/>
      <c r="HU177" s="148"/>
      <c r="HV177" s="148"/>
      <c r="HW177" s="148"/>
      <c r="HX177" s="148"/>
      <c r="HY177" s="148"/>
      <c r="HZ177" s="148"/>
      <c r="IA177" s="148"/>
      <c r="IB177" s="148"/>
      <c r="IC177" s="148"/>
      <c r="ID177" s="148"/>
      <c r="IE177" s="148"/>
      <c r="IF177" s="148"/>
      <c r="IG177" s="148"/>
      <c r="IH177" s="148"/>
      <c r="II177" s="148"/>
      <c r="IJ177" s="148"/>
      <c r="IK177" s="148"/>
      <c r="IL177" s="148"/>
      <c r="IM177" s="148"/>
      <c r="IN177" s="148"/>
      <c r="IO177" s="148"/>
      <c r="IP177" s="148"/>
      <c r="IQ177" s="148"/>
      <c r="IR177" s="148"/>
      <c r="IS177" s="148"/>
      <c r="IT177" s="148"/>
      <c r="IU177" s="148"/>
      <c r="IV177" s="148"/>
      <c r="IW177" s="148"/>
      <c r="IX177" s="148"/>
      <c r="IY177" s="148"/>
      <c r="IZ177" s="148"/>
      <c r="JA177" s="148"/>
      <c r="JB177" s="148"/>
      <c r="JC177" s="148"/>
      <c r="JD177" s="148"/>
      <c r="JE177" s="148"/>
      <c r="JF177" s="148"/>
      <c r="JG177" s="148"/>
      <c r="JH177" s="148"/>
      <c r="JI177" s="148"/>
      <c r="JJ177" s="148"/>
      <c r="JK177" s="148"/>
      <c r="JL177" s="148"/>
      <c r="JM177" s="148"/>
      <c r="JN177" s="148"/>
      <c r="JO177" s="148"/>
      <c r="JP177" s="148"/>
      <c r="JQ177" s="148"/>
      <c r="JR177" s="148"/>
      <c r="JS177" s="148"/>
      <c r="JT177" s="148"/>
      <c r="JU177" s="148"/>
      <c r="JV177" s="148"/>
      <c r="JW177" s="148"/>
      <c r="JX177" s="148"/>
      <c r="JY177" s="148"/>
      <c r="JZ177" s="148"/>
      <c r="KA177" s="148"/>
      <c r="KB177" s="148"/>
      <c r="KC177" s="148"/>
      <c r="KD177" s="148"/>
      <c r="KE177" s="148"/>
      <c r="KF177" s="148"/>
      <c r="KG177" s="148"/>
      <c r="KH177" s="148"/>
      <c r="KI177" s="148"/>
      <c r="KJ177" s="148"/>
      <c r="KK177" s="148"/>
      <c r="KL177" s="148"/>
      <c r="KM177" s="148"/>
      <c r="KN177" s="148"/>
      <c r="KO177" s="148"/>
      <c r="KP177" s="148"/>
      <c r="KQ177" s="148"/>
      <c r="KR177" s="148"/>
      <c r="KS177" s="148"/>
      <c r="KT177" s="148"/>
      <c r="KU177" s="148"/>
      <c r="KV177" s="148"/>
      <c r="KW177" s="148"/>
      <c r="KX177" s="148"/>
      <c r="KY177" s="148"/>
      <c r="KZ177" s="148"/>
      <c r="LA177" s="148"/>
      <c r="LB177" s="148"/>
      <c r="LC177" s="148"/>
      <c r="LD177" s="148"/>
      <c r="LE177" s="148"/>
      <c r="LF177" s="148"/>
      <c r="LG177" s="148"/>
      <c r="LH177" s="148"/>
      <c r="LI177" s="148"/>
      <c r="LJ177" s="148"/>
      <c r="LK177" s="148"/>
      <c r="LL177" s="148"/>
      <c r="LM177" s="148"/>
      <c r="LN177" s="148"/>
      <c r="LO177" s="148"/>
      <c r="LP177" s="148"/>
      <c r="LQ177" s="148"/>
      <c r="LR177" s="148"/>
      <c r="LS177" s="148"/>
      <c r="LT177" s="148"/>
      <c r="LU177" s="148"/>
      <c r="LV177" s="148"/>
      <c r="LW177" s="148"/>
      <c r="LX177" s="148"/>
      <c r="LY177" s="148"/>
      <c r="LZ177" s="148"/>
      <c r="MA177" s="148"/>
      <c r="MB177" s="148"/>
      <c r="MC177" s="148"/>
      <c r="MD177" s="148"/>
      <c r="ME177" s="148"/>
      <c r="MF177" s="148"/>
      <c r="MG177" s="148"/>
      <c r="MH177" s="148"/>
      <c r="MI177" s="148"/>
      <c r="MJ177" s="148"/>
      <c r="MK177" s="148"/>
      <c r="ML177" s="148"/>
      <c r="MM177" s="148"/>
      <c r="MN177" s="148"/>
      <c r="MO177" s="148"/>
      <c r="MP177" s="148"/>
      <c r="MQ177" s="148"/>
      <c r="MR177" s="148"/>
      <c r="MS177" s="148"/>
      <c r="MT177" s="148"/>
      <c r="MU177" s="148"/>
      <c r="MV177" s="148"/>
      <c r="MW177" s="148"/>
      <c r="MX177" s="148"/>
      <c r="MY177" s="148"/>
      <c r="MZ177" s="148"/>
      <c r="NA177" s="148"/>
      <c r="NB177" s="148"/>
      <c r="NC177" s="148"/>
      <c r="ND177" s="148"/>
      <c r="NE177" s="148"/>
      <c r="NF177" s="148"/>
      <c r="NG177" s="148"/>
      <c r="NH177" s="148"/>
      <c r="NI177" s="148"/>
      <c r="NJ177" s="148"/>
      <c r="NK177" s="148"/>
      <c r="NL177" s="148"/>
      <c r="NM177" s="148"/>
      <c r="NN177" s="148"/>
      <c r="NO177" s="148"/>
      <c r="NP177" s="148"/>
      <c r="NQ177" s="148"/>
      <c r="NR177" s="148"/>
      <c r="NS177" s="148"/>
      <c r="NT177" s="148"/>
      <c r="NU177" s="148"/>
      <c r="NV177" s="148"/>
      <c r="NW177" s="148"/>
      <c r="NX177" s="148"/>
      <c r="NY177" s="148"/>
      <c r="NZ177" s="148"/>
      <c r="OA177" s="148"/>
      <c r="OB177" s="148"/>
      <c r="OC177" s="148"/>
      <c r="OD177" s="148"/>
      <c r="OE177" s="148"/>
      <c r="OF177" s="148"/>
      <c r="OG177" s="148"/>
      <c r="OH177" s="148"/>
      <c r="OI177" s="148"/>
      <c r="OJ177" s="148"/>
      <c r="OK177" s="148"/>
      <c r="OL177" s="148"/>
      <c r="OM177" s="148"/>
      <c r="ON177" s="148"/>
      <c r="OO177" s="148"/>
      <c r="OP177" s="148"/>
      <c r="OQ177" s="148"/>
      <c r="OR177" s="148"/>
      <c r="OS177" s="148"/>
      <c r="OT177" s="148"/>
      <c r="OU177" s="148"/>
      <c r="OV177" s="148"/>
      <c r="OW177" s="148"/>
      <c r="OX177" s="148"/>
      <c r="OY177" s="148"/>
      <c r="OZ177" s="148"/>
      <c r="PA177" s="148"/>
      <c r="PB177" s="148"/>
      <c r="PC177" s="148"/>
      <c r="PD177" s="148"/>
      <c r="PE177" s="148"/>
      <c r="PF177" s="148"/>
      <c r="PG177" s="148"/>
      <c r="PH177" s="148"/>
      <c r="PI177" s="148"/>
      <c r="PJ177" s="148"/>
      <c r="PK177" s="148"/>
      <c r="PL177" s="148"/>
      <c r="PM177" s="148"/>
      <c r="PN177" s="148"/>
      <c r="PO177" s="148"/>
      <c r="PP177" s="148"/>
      <c r="PQ177" s="148"/>
      <c r="PR177" s="148"/>
      <c r="PS177" s="148"/>
      <c r="PT177" s="148"/>
      <c r="PU177" s="148"/>
      <c r="PV177" s="148"/>
      <c r="PW177" s="148"/>
      <c r="PX177" s="148"/>
      <c r="PY177" s="148"/>
      <c r="PZ177" s="148"/>
      <c r="QA177" s="148"/>
      <c r="QB177" s="148"/>
      <c r="QC177" s="148"/>
      <c r="QD177" s="148"/>
      <c r="QE177" s="148"/>
      <c r="QF177" s="148"/>
      <c r="QG177" s="148"/>
      <c r="QH177" s="148"/>
      <c r="QI177" s="148"/>
      <c r="QJ177" s="148"/>
      <c r="QK177" s="148"/>
      <c r="QL177" s="148"/>
      <c r="QM177" s="148"/>
      <c r="QN177" s="148"/>
      <c r="QO177" s="148"/>
      <c r="QP177" s="148"/>
      <c r="QQ177" s="148"/>
      <c r="QR177" s="148"/>
      <c r="QS177" s="148"/>
      <c r="QT177" s="148"/>
      <c r="QU177" s="148"/>
      <c r="QV177" s="148"/>
      <c r="QW177" s="148"/>
      <c r="QX177" s="148"/>
      <c r="QY177" s="148"/>
      <c r="QZ177" s="148"/>
      <c r="RA177" s="148"/>
      <c r="RB177" s="148"/>
      <c r="RC177" s="148"/>
      <c r="RD177" s="148"/>
      <c r="RE177" s="148"/>
      <c r="RF177" s="148"/>
      <c r="RG177" s="148"/>
      <c r="RH177" s="148"/>
      <c r="RI177" s="148"/>
      <c r="RJ177" s="148"/>
      <c r="RK177" s="148"/>
      <c r="RL177" s="148"/>
      <c r="RM177" s="148"/>
      <c r="RN177" s="148"/>
      <c r="RO177" s="148"/>
      <c r="RP177" s="148"/>
      <c r="RQ177" s="148"/>
      <c r="RR177" s="148"/>
    </row>
    <row r="178" spans="1:486" s="15" customFormat="1" hidden="1" x14ac:dyDescent="0.25">
      <c r="A178" s="148"/>
      <c r="B178" s="350">
        <v>168</v>
      </c>
      <c r="C178" s="650"/>
      <c r="D178" s="16"/>
      <c r="E178" s="344"/>
      <c r="F178" s="344"/>
      <c r="G178" s="17"/>
      <c r="H178" s="317"/>
      <c r="I178" s="346"/>
      <c r="J178" s="341"/>
      <c r="K178" s="633"/>
      <c r="L178" s="633"/>
      <c r="M178" s="633"/>
      <c r="N178" s="633"/>
      <c r="O178" s="633"/>
      <c r="P178" s="633"/>
      <c r="Q178" s="633"/>
      <c r="R178" s="633"/>
      <c r="S178" s="633"/>
      <c r="T178" s="633"/>
      <c r="U178" s="633"/>
      <c r="V178" s="633"/>
      <c r="W178" s="633"/>
      <c r="X178" s="633"/>
      <c r="Y178" s="633">
        <f t="shared" si="6"/>
        <v>0</v>
      </c>
      <c r="Z178" s="310"/>
      <c r="AA178" s="19"/>
      <c r="AB178" s="315"/>
      <c r="AC178" s="315"/>
      <c r="AD178" s="652"/>
      <c r="AE178" s="20"/>
      <c r="AF178" s="21"/>
      <c r="AG178" s="25"/>
      <c r="AH178" s="637"/>
      <c r="AI178" s="19"/>
      <c r="AJ178" s="21"/>
      <c r="AK178" s="25"/>
      <c r="AL178" s="309"/>
      <c r="AM178" s="19"/>
      <c r="AN178" s="21"/>
      <c r="AO178" s="25"/>
      <c r="AP178" s="309"/>
      <c r="AQ178" s="19"/>
      <c r="AR178" s="21"/>
      <c r="AS178" s="25"/>
      <c r="AT178" s="638">
        <f t="shared" si="7"/>
        <v>0</v>
      </c>
      <c r="AU178" s="311">
        <f t="shared" si="5"/>
        <v>0</v>
      </c>
      <c r="AV178" s="148"/>
      <c r="AW178" s="148"/>
      <c r="AX178" s="148"/>
      <c r="AY178" s="148"/>
      <c r="AZ178" s="148"/>
      <c r="BA178" s="148"/>
      <c r="BB178" s="148"/>
      <c r="BC178" s="148"/>
      <c r="BD178" s="148"/>
      <c r="BE178" s="148"/>
      <c r="BF178" s="148"/>
      <c r="BG178" s="148"/>
      <c r="BH178" s="148"/>
      <c r="BI178" s="148"/>
      <c r="BJ178" s="148"/>
      <c r="BK178" s="148"/>
      <c r="BL178" s="148"/>
      <c r="BM178" s="148"/>
      <c r="BN178" s="148"/>
      <c r="BO178" s="148"/>
      <c r="BP178" s="148"/>
      <c r="BQ178" s="148"/>
      <c r="BR178" s="148"/>
      <c r="BS178" s="148"/>
      <c r="BT178" s="148"/>
      <c r="BU178" s="148"/>
      <c r="BV178" s="148"/>
      <c r="BW178" s="148"/>
      <c r="BX178" s="148"/>
      <c r="BY178" s="148"/>
      <c r="BZ178" s="148"/>
      <c r="CA178" s="148"/>
      <c r="CB178" s="148"/>
      <c r="CC178" s="148"/>
      <c r="CD178" s="148"/>
      <c r="CE178" s="148"/>
      <c r="CF178" s="148"/>
      <c r="CG178" s="148"/>
      <c r="CH178" s="148"/>
      <c r="CI178" s="148"/>
      <c r="CJ178" s="148"/>
      <c r="CK178" s="148"/>
      <c r="CL178" s="148"/>
      <c r="CM178" s="148"/>
      <c r="CN178" s="148"/>
      <c r="CO178" s="148"/>
      <c r="CP178" s="148"/>
      <c r="CQ178" s="148"/>
      <c r="CR178" s="148"/>
      <c r="CS178" s="148"/>
      <c r="CT178" s="148"/>
      <c r="CU178" s="148"/>
      <c r="CV178" s="148"/>
      <c r="CW178" s="148"/>
      <c r="CX178" s="148"/>
      <c r="CY178" s="148"/>
      <c r="CZ178" s="148"/>
      <c r="DA178" s="148"/>
      <c r="DB178" s="148"/>
      <c r="DC178" s="148"/>
      <c r="DD178" s="148"/>
      <c r="DE178" s="148"/>
      <c r="DF178" s="148"/>
      <c r="DG178" s="148"/>
      <c r="DH178" s="148"/>
      <c r="DI178" s="148"/>
      <c r="DJ178" s="148"/>
      <c r="DK178" s="148"/>
      <c r="DL178" s="148"/>
      <c r="DM178" s="148"/>
      <c r="DN178" s="148"/>
      <c r="DO178" s="148"/>
      <c r="DP178" s="148"/>
      <c r="DQ178" s="148"/>
      <c r="DR178" s="148"/>
      <c r="DS178" s="148"/>
      <c r="DT178" s="148"/>
      <c r="DU178" s="148"/>
      <c r="DV178" s="148"/>
      <c r="DW178" s="148"/>
      <c r="DX178" s="148"/>
      <c r="DY178" s="148"/>
      <c r="DZ178" s="148"/>
      <c r="EA178" s="148"/>
      <c r="EB178" s="148"/>
      <c r="EC178" s="148"/>
      <c r="ED178" s="148"/>
      <c r="EE178" s="148"/>
      <c r="EF178" s="148"/>
      <c r="EG178" s="148"/>
      <c r="EH178" s="148"/>
      <c r="EI178" s="148"/>
      <c r="EJ178" s="148"/>
      <c r="EK178" s="148"/>
      <c r="EL178" s="148"/>
      <c r="EM178" s="148"/>
      <c r="EN178" s="148"/>
      <c r="EO178" s="148"/>
      <c r="EP178" s="148"/>
      <c r="EQ178" s="148"/>
      <c r="ER178" s="148"/>
      <c r="ES178" s="148"/>
      <c r="ET178" s="148"/>
      <c r="EU178" s="148"/>
      <c r="EV178" s="148"/>
      <c r="EW178" s="148"/>
      <c r="EX178" s="148"/>
      <c r="EY178" s="148"/>
      <c r="EZ178" s="148"/>
      <c r="FA178" s="148"/>
      <c r="FB178" s="148"/>
      <c r="FC178" s="148"/>
      <c r="FD178" s="148"/>
      <c r="FE178" s="148"/>
      <c r="FF178" s="148"/>
      <c r="FG178" s="148"/>
      <c r="FH178" s="148"/>
      <c r="FI178" s="148"/>
      <c r="FJ178" s="148"/>
      <c r="FK178" s="148"/>
      <c r="FL178" s="148"/>
      <c r="FM178" s="148"/>
      <c r="FN178" s="148"/>
      <c r="FO178" s="148"/>
      <c r="FP178" s="148"/>
      <c r="FQ178" s="148"/>
      <c r="FR178" s="148"/>
      <c r="FS178" s="148"/>
      <c r="FT178" s="148"/>
      <c r="FU178" s="148"/>
      <c r="FV178" s="148"/>
      <c r="FW178" s="148"/>
      <c r="FX178" s="148"/>
      <c r="FY178" s="148"/>
      <c r="FZ178" s="148"/>
      <c r="GA178" s="148"/>
      <c r="GB178" s="148"/>
      <c r="GC178" s="148"/>
      <c r="GD178" s="148"/>
      <c r="GE178" s="148"/>
      <c r="GF178" s="148"/>
      <c r="GG178" s="148"/>
      <c r="GH178" s="148"/>
      <c r="GI178" s="148"/>
      <c r="GJ178" s="148"/>
      <c r="GK178" s="148"/>
      <c r="GL178" s="148"/>
      <c r="GM178" s="148"/>
      <c r="GN178" s="148"/>
      <c r="GO178" s="148"/>
      <c r="GP178" s="148"/>
      <c r="GQ178" s="148"/>
      <c r="GR178" s="148"/>
      <c r="GS178" s="148"/>
      <c r="GT178" s="148"/>
      <c r="GU178" s="148"/>
      <c r="GV178" s="148"/>
      <c r="GW178" s="148"/>
      <c r="GX178" s="148"/>
      <c r="GY178" s="148"/>
      <c r="GZ178" s="148"/>
      <c r="HA178" s="148"/>
      <c r="HB178" s="148"/>
      <c r="HC178" s="148"/>
      <c r="HD178" s="148"/>
      <c r="HE178" s="148"/>
      <c r="HF178" s="148"/>
      <c r="HG178" s="148"/>
      <c r="HH178" s="148"/>
      <c r="HI178" s="148"/>
      <c r="HJ178" s="148"/>
      <c r="HK178" s="148"/>
      <c r="HL178" s="148"/>
      <c r="HM178" s="148"/>
      <c r="HN178" s="148"/>
      <c r="HO178" s="148"/>
      <c r="HP178" s="148"/>
      <c r="HQ178" s="148"/>
      <c r="HR178" s="148"/>
      <c r="HS178" s="148"/>
      <c r="HT178" s="148"/>
      <c r="HU178" s="148"/>
      <c r="HV178" s="148"/>
      <c r="HW178" s="148"/>
      <c r="HX178" s="148"/>
      <c r="HY178" s="148"/>
      <c r="HZ178" s="148"/>
      <c r="IA178" s="148"/>
      <c r="IB178" s="148"/>
      <c r="IC178" s="148"/>
      <c r="ID178" s="148"/>
      <c r="IE178" s="148"/>
      <c r="IF178" s="148"/>
      <c r="IG178" s="148"/>
      <c r="IH178" s="148"/>
      <c r="II178" s="148"/>
      <c r="IJ178" s="148"/>
      <c r="IK178" s="148"/>
      <c r="IL178" s="148"/>
      <c r="IM178" s="148"/>
      <c r="IN178" s="148"/>
      <c r="IO178" s="148"/>
      <c r="IP178" s="148"/>
      <c r="IQ178" s="148"/>
      <c r="IR178" s="148"/>
      <c r="IS178" s="148"/>
      <c r="IT178" s="148"/>
      <c r="IU178" s="148"/>
      <c r="IV178" s="148"/>
      <c r="IW178" s="148"/>
      <c r="IX178" s="148"/>
      <c r="IY178" s="148"/>
      <c r="IZ178" s="148"/>
      <c r="JA178" s="148"/>
      <c r="JB178" s="148"/>
      <c r="JC178" s="148"/>
      <c r="JD178" s="148"/>
      <c r="JE178" s="148"/>
      <c r="JF178" s="148"/>
      <c r="JG178" s="148"/>
      <c r="JH178" s="148"/>
      <c r="JI178" s="148"/>
      <c r="JJ178" s="148"/>
      <c r="JK178" s="148"/>
      <c r="JL178" s="148"/>
      <c r="JM178" s="148"/>
      <c r="JN178" s="148"/>
      <c r="JO178" s="148"/>
      <c r="JP178" s="148"/>
      <c r="JQ178" s="148"/>
      <c r="JR178" s="148"/>
      <c r="JS178" s="148"/>
      <c r="JT178" s="148"/>
      <c r="JU178" s="148"/>
      <c r="JV178" s="148"/>
      <c r="JW178" s="148"/>
      <c r="JX178" s="148"/>
      <c r="JY178" s="148"/>
      <c r="JZ178" s="148"/>
      <c r="KA178" s="148"/>
      <c r="KB178" s="148"/>
      <c r="KC178" s="148"/>
      <c r="KD178" s="148"/>
      <c r="KE178" s="148"/>
      <c r="KF178" s="148"/>
      <c r="KG178" s="148"/>
      <c r="KH178" s="148"/>
      <c r="KI178" s="148"/>
      <c r="KJ178" s="148"/>
      <c r="KK178" s="148"/>
      <c r="KL178" s="148"/>
      <c r="KM178" s="148"/>
      <c r="KN178" s="148"/>
      <c r="KO178" s="148"/>
      <c r="KP178" s="148"/>
      <c r="KQ178" s="148"/>
      <c r="KR178" s="148"/>
      <c r="KS178" s="148"/>
      <c r="KT178" s="148"/>
      <c r="KU178" s="148"/>
      <c r="KV178" s="148"/>
      <c r="KW178" s="148"/>
      <c r="KX178" s="148"/>
      <c r="KY178" s="148"/>
      <c r="KZ178" s="148"/>
      <c r="LA178" s="148"/>
      <c r="LB178" s="148"/>
      <c r="LC178" s="148"/>
      <c r="LD178" s="148"/>
      <c r="LE178" s="148"/>
      <c r="LF178" s="148"/>
      <c r="LG178" s="148"/>
      <c r="LH178" s="148"/>
      <c r="LI178" s="148"/>
      <c r="LJ178" s="148"/>
      <c r="LK178" s="148"/>
      <c r="LL178" s="148"/>
      <c r="LM178" s="148"/>
      <c r="LN178" s="148"/>
      <c r="LO178" s="148"/>
      <c r="LP178" s="148"/>
      <c r="LQ178" s="148"/>
      <c r="LR178" s="148"/>
      <c r="LS178" s="148"/>
      <c r="LT178" s="148"/>
      <c r="LU178" s="148"/>
      <c r="LV178" s="148"/>
      <c r="LW178" s="148"/>
      <c r="LX178" s="148"/>
      <c r="LY178" s="148"/>
      <c r="LZ178" s="148"/>
      <c r="MA178" s="148"/>
      <c r="MB178" s="148"/>
      <c r="MC178" s="148"/>
      <c r="MD178" s="148"/>
      <c r="ME178" s="148"/>
      <c r="MF178" s="148"/>
      <c r="MG178" s="148"/>
      <c r="MH178" s="148"/>
      <c r="MI178" s="148"/>
      <c r="MJ178" s="148"/>
      <c r="MK178" s="148"/>
      <c r="ML178" s="148"/>
      <c r="MM178" s="148"/>
      <c r="MN178" s="148"/>
      <c r="MO178" s="148"/>
      <c r="MP178" s="148"/>
      <c r="MQ178" s="148"/>
      <c r="MR178" s="148"/>
      <c r="MS178" s="148"/>
      <c r="MT178" s="148"/>
      <c r="MU178" s="148"/>
      <c r="MV178" s="148"/>
      <c r="MW178" s="148"/>
      <c r="MX178" s="148"/>
      <c r="MY178" s="148"/>
      <c r="MZ178" s="148"/>
      <c r="NA178" s="148"/>
      <c r="NB178" s="148"/>
      <c r="NC178" s="148"/>
      <c r="ND178" s="148"/>
      <c r="NE178" s="148"/>
      <c r="NF178" s="148"/>
      <c r="NG178" s="148"/>
      <c r="NH178" s="148"/>
      <c r="NI178" s="148"/>
      <c r="NJ178" s="148"/>
      <c r="NK178" s="148"/>
      <c r="NL178" s="148"/>
      <c r="NM178" s="148"/>
      <c r="NN178" s="148"/>
      <c r="NO178" s="148"/>
      <c r="NP178" s="148"/>
      <c r="NQ178" s="148"/>
      <c r="NR178" s="148"/>
      <c r="NS178" s="148"/>
      <c r="NT178" s="148"/>
      <c r="NU178" s="148"/>
      <c r="NV178" s="148"/>
      <c r="NW178" s="148"/>
      <c r="NX178" s="148"/>
      <c r="NY178" s="148"/>
      <c r="NZ178" s="148"/>
      <c r="OA178" s="148"/>
      <c r="OB178" s="148"/>
      <c r="OC178" s="148"/>
      <c r="OD178" s="148"/>
      <c r="OE178" s="148"/>
      <c r="OF178" s="148"/>
      <c r="OG178" s="148"/>
      <c r="OH178" s="148"/>
      <c r="OI178" s="148"/>
      <c r="OJ178" s="148"/>
      <c r="OK178" s="148"/>
      <c r="OL178" s="148"/>
      <c r="OM178" s="148"/>
      <c r="ON178" s="148"/>
      <c r="OO178" s="148"/>
      <c r="OP178" s="148"/>
      <c r="OQ178" s="148"/>
      <c r="OR178" s="148"/>
      <c r="OS178" s="148"/>
      <c r="OT178" s="148"/>
      <c r="OU178" s="148"/>
      <c r="OV178" s="148"/>
      <c r="OW178" s="148"/>
      <c r="OX178" s="148"/>
      <c r="OY178" s="148"/>
      <c r="OZ178" s="148"/>
      <c r="PA178" s="148"/>
      <c r="PB178" s="148"/>
      <c r="PC178" s="148"/>
      <c r="PD178" s="148"/>
      <c r="PE178" s="148"/>
      <c r="PF178" s="148"/>
      <c r="PG178" s="148"/>
      <c r="PH178" s="148"/>
      <c r="PI178" s="148"/>
      <c r="PJ178" s="148"/>
      <c r="PK178" s="148"/>
      <c r="PL178" s="148"/>
      <c r="PM178" s="148"/>
      <c r="PN178" s="148"/>
      <c r="PO178" s="148"/>
      <c r="PP178" s="148"/>
      <c r="PQ178" s="148"/>
      <c r="PR178" s="148"/>
      <c r="PS178" s="148"/>
      <c r="PT178" s="148"/>
      <c r="PU178" s="148"/>
      <c r="PV178" s="148"/>
      <c r="PW178" s="148"/>
      <c r="PX178" s="148"/>
      <c r="PY178" s="148"/>
      <c r="PZ178" s="148"/>
      <c r="QA178" s="148"/>
      <c r="QB178" s="148"/>
      <c r="QC178" s="148"/>
      <c r="QD178" s="148"/>
      <c r="QE178" s="148"/>
      <c r="QF178" s="148"/>
      <c r="QG178" s="148"/>
      <c r="QH178" s="148"/>
      <c r="QI178" s="148"/>
      <c r="QJ178" s="148"/>
      <c r="QK178" s="148"/>
      <c r="QL178" s="148"/>
      <c r="QM178" s="148"/>
      <c r="QN178" s="148"/>
      <c r="QO178" s="148"/>
      <c r="QP178" s="148"/>
      <c r="QQ178" s="148"/>
      <c r="QR178" s="148"/>
      <c r="QS178" s="148"/>
      <c r="QT178" s="148"/>
      <c r="QU178" s="148"/>
      <c r="QV178" s="148"/>
      <c r="QW178" s="148"/>
      <c r="QX178" s="148"/>
      <c r="QY178" s="148"/>
      <c r="QZ178" s="148"/>
      <c r="RA178" s="148"/>
      <c r="RB178" s="148"/>
      <c r="RC178" s="148"/>
      <c r="RD178" s="148"/>
      <c r="RE178" s="148"/>
      <c r="RF178" s="148"/>
      <c r="RG178" s="148"/>
      <c r="RH178" s="148"/>
      <c r="RI178" s="148"/>
      <c r="RJ178" s="148"/>
      <c r="RK178" s="148"/>
      <c r="RL178" s="148"/>
      <c r="RM178" s="148"/>
      <c r="RN178" s="148"/>
      <c r="RO178" s="148"/>
      <c r="RP178" s="148"/>
      <c r="RQ178" s="148"/>
      <c r="RR178" s="148"/>
    </row>
    <row r="179" spans="1:486" s="15" customFormat="1" hidden="1" x14ac:dyDescent="0.25">
      <c r="A179" s="148"/>
      <c r="B179" s="350">
        <v>169</v>
      </c>
      <c r="C179" s="650"/>
      <c r="D179" s="16"/>
      <c r="E179" s="344"/>
      <c r="F179" s="344"/>
      <c r="G179" s="17"/>
      <c r="H179" s="317"/>
      <c r="I179" s="346"/>
      <c r="J179" s="341"/>
      <c r="K179" s="633"/>
      <c r="L179" s="633"/>
      <c r="M179" s="633"/>
      <c r="N179" s="633"/>
      <c r="O179" s="633"/>
      <c r="P179" s="633"/>
      <c r="Q179" s="633"/>
      <c r="R179" s="633"/>
      <c r="S179" s="633"/>
      <c r="T179" s="633"/>
      <c r="U179" s="633"/>
      <c r="V179" s="633"/>
      <c r="W179" s="633"/>
      <c r="X179" s="633"/>
      <c r="Y179" s="633">
        <f t="shared" si="6"/>
        <v>0</v>
      </c>
      <c r="Z179" s="310"/>
      <c r="AA179" s="19"/>
      <c r="AB179" s="315"/>
      <c r="AC179" s="315"/>
      <c r="AD179" s="652"/>
      <c r="AE179" s="20"/>
      <c r="AF179" s="21"/>
      <c r="AG179" s="25"/>
      <c r="AH179" s="637"/>
      <c r="AI179" s="19"/>
      <c r="AJ179" s="21"/>
      <c r="AK179" s="25"/>
      <c r="AL179" s="309"/>
      <c r="AM179" s="19"/>
      <c r="AN179" s="21"/>
      <c r="AO179" s="25"/>
      <c r="AP179" s="309"/>
      <c r="AQ179" s="19"/>
      <c r="AR179" s="21"/>
      <c r="AS179" s="25"/>
      <c r="AT179" s="638">
        <f t="shared" si="7"/>
        <v>0</v>
      </c>
      <c r="AU179" s="311">
        <f t="shared" si="5"/>
        <v>0</v>
      </c>
      <c r="AV179" s="148"/>
      <c r="AW179" s="148"/>
      <c r="AX179" s="148"/>
      <c r="AY179" s="148"/>
      <c r="AZ179" s="148"/>
      <c r="BA179" s="148"/>
      <c r="BB179" s="148"/>
      <c r="BC179" s="148"/>
      <c r="BD179" s="148"/>
      <c r="BE179" s="148"/>
      <c r="BF179" s="148"/>
      <c r="BG179" s="148"/>
      <c r="BH179" s="148"/>
      <c r="BI179" s="148"/>
      <c r="BJ179" s="148"/>
      <c r="BK179" s="148"/>
      <c r="BL179" s="148"/>
      <c r="BM179" s="148"/>
      <c r="BN179" s="148"/>
      <c r="BO179" s="148"/>
      <c r="BP179" s="148"/>
      <c r="BQ179" s="148"/>
      <c r="BR179" s="148"/>
      <c r="BS179" s="148"/>
      <c r="BT179" s="148"/>
      <c r="BU179" s="148"/>
      <c r="BV179" s="148"/>
      <c r="BW179" s="148"/>
      <c r="BX179" s="148"/>
      <c r="BY179" s="148"/>
      <c r="BZ179" s="148"/>
      <c r="CA179" s="148"/>
      <c r="CB179" s="148"/>
      <c r="CC179" s="148"/>
      <c r="CD179" s="148"/>
      <c r="CE179" s="148"/>
      <c r="CF179" s="148"/>
      <c r="CG179" s="148"/>
      <c r="CH179" s="148"/>
      <c r="CI179" s="148"/>
      <c r="CJ179" s="148"/>
      <c r="CK179" s="148"/>
      <c r="CL179" s="148"/>
      <c r="CM179" s="148"/>
      <c r="CN179" s="148"/>
      <c r="CO179" s="148"/>
      <c r="CP179" s="148"/>
      <c r="CQ179" s="148"/>
      <c r="CR179" s="148"/>
      <c r="CS179" s="148"/>
      <c r="CT179" s="148"/>
      <c r="CU179" s="148"/>
      <c r="CV179" s="148"/>
      <c r="CW179" s="148"/>
      <c r="CX179" s="148"/>
      <c r="CY179" s="148"/>
      <c r="CZ179" s="148"/>
      <c r="DA179" s="148"/>
      <c r="DB179" s="148"/>
      <c r="DC179" s="148"/>
      <c r="DD179" s="148"/>
      <c r="DE179" s="148"/>
      <c r="DF179" s="148"/>
      <c r="DG179" s="148"/>
      <c r="DH179" s="148"/>
      <c r="DI179" s="148"/>
      <c r="DJ179" s="148"/>
      <c r="DK179" s="148"/>
      <c r="DL179" s="148"/>
      <c r="DM179" s="148"/>
      <c r="DN179" s="148"/>
      <c r="DO179" s="148"/>
      <c r="DP179" s="148"/>
      <c r="DQ179" s="148"/>
      <c r="DR179" s="148"/>
      <c r="DS179" s="148"/>
      <c r="DT179" s="148"/>
      <c r="DU179" s="148"/>
      <c r="DV179" s="148"/>
      <c r="DW179" s="148"/>
      <c r="DX179" s="148"/>
      <c r="DY179" s="148"/>
      <c r="DZ179" s="148"/>
      <c r="EA179" s="148"/>
      <c r="EB179" s="148"/>
      <c r="EC179" s="148"/>
      <c r="ED179" s="148"/>
      <c r="EE179" s="148"/>
      <c r="EF179" s="148"/>
      <c r="EG179" s="148"/>
      <c r="EH179" s="148"/>
      <c r="EI179" s="148"/>
      <c r="EJ179" s="148"/>
      <c r="EK179" s="148"/>
      <c r="EL179" s="148"/>
      <c r="EM179" s="148"/>
      <c r="EN179" s="148"/>
      <c r="EO179" s="148"/>
      <c r="EP179" s="148"/>
      <c r="EQ179" s="148"/>
      <c r="ER179" s="148"/>
      <c r="ES179" s="148"/>
      <c r="ET179" s="148"/>
      <c r="EU179" s="148"/>
      <c r="EV179" s="148"/>
      <c r="EW179" s="148"/>
      <c r="EX179" s="148"/>
      <c r="EY179" s="148"/>
      <c r="EZ179" s="148"/>
      <c r="FA179" s="148"/>
      <c r="FB179" s="148"/>
      <c r="FC179" s="148"/>
      <c r="FD179" s="148"/>
      <c r="FE179" s="148"/>
      <c r="FF179" s="148"/>
      <c r="FG179" s="148"/>
      <c r="FH179" s="148"/>
      <c r="FI179" s="148"/>
      <c r="FJ179" s="148"/>
      <c r="FK179" s="148"/>
      <c r="FL179" s="148"/>
      <c r="FM179" s="148"/>
      <c r="FN179" s="148"/>
      <c r="FO179" s="148"/>
      <c r="FP179" s="148"/>
      <c r="FQ179" s="148"/>
      <c r="FR179" s="148"/>
      <c r="FS179" s="148"/>
      <c r="FT179" s="148"/>
      <c r="FU179" s="148"/>
      <c r="FV179" s="148"/>
      <c r="FW179" s="148"/>
      <c r="FX179" s="148"/>
      <c r="FY179" s="148"/>
      <c r="FZ179" s="148"/>
      <c r="GA179" s="148"/>
      <c r="GB179" s="148"/>
      <c r="GC179" s="148"/>
      <c r="GD179" s="148"/>
      <c r="GE179" s="148"/>
      <c r="GF179" s="148"/>
      <c r="GG179" s="148"/>
      <c r="GH179" s="148"/>
      <c r="GI179" s="148"/>
      <c r="GJ179" s="148"/>
      <c r="GK179" s="148"/>
      <c r="GL179" s="148"/>
      <c r="GM179" s="148"/>
      <c r="GN179" s="148"/>
      <c r="GO179" s="148"/>
      <c r="GP179" s="148"/>
      <c r="GQ179" s="148"/>
      <c r="GR179" s="148"/>
      <c r="GS179" s="148"/>
      <c r="GT179" s="148"/>
      <c r="GU179" s="148"/>
      <c r="GV179" s="148"/>
      <c r="GW179" s="148"/>
      <c r="GX179" s="148"/>
      <c r="GY179" s="148"/>
      <c r="GZ179" s="148"/>
      <c r="HA179" s="148"/>
      <c r="HB179" s="148"/>
      <c r="HC179" s="148"/>
      <c r="HD179" s="148"/>
      <c r="HE179" s="148"/>
      <c r="HF179" s="148"/>
      <c r="HG179" s="148"/>
      <c r="HH179" s="148"/>
      <c r="HI179" s="148"/>
      <c r="HJ179" s="148"/>
      <c r="HK179" s="148"/>
      <c r="HL179" s="148"/>
      <c r="HM179" s="148"/>
      <c r="HN179" s="148"/>
      <c r="HO179" s="148"/>
      <c r="HP179" s="148"/>
      <c r="HQ179" s="148"/>
      <c r="HR179" s="148"/>
      <c r="HS179" s="148"/>
      <c r="HT179" s="148"/>
      <c r="HU179" s="148"/>
      <c r="HV179" s="148"/>
      <c r="HW179" s="148"/>
      <c r="HX179" s="148"/>
      <c r="HY179" s="148"/>
      <c r="HZ179" s="148"/>
      <c r="IA179" s="148"/>
      <c r="IB179" s="148"/>
      <c r="IC179" s="148"/>
      <c r="ID179" s="148"/>
      <c r="IE179" s="148"/>
      <c r="IF179" s="148"/>
      <c r="IG179" s="148"/>
      <c r="IH179" s="148"/>
      <c r="II179" s="148"/>
      <c r="IJ179" s="148"/>
      <c r="IK179" s="148"/>
      <c r="IL179" s="148"/>
      <c r="IM179" s="148"/>
      <c r="IN179" s="148"/>
      <c r="IO179" s="148"/>
      <c r="IP179" s="148"/>
      <c r="IQ179" s="148"/>
      <c r="IR179" s="148"/>
      <c r="IS179" s="148"/>
      <c r="IT179" s="148"/>
      <c r="IU179" s="148"/>
      <c r="IV179" s="148"/>
      <c r="IW179" s="148"/>
      <c r="IX179" s="148"/>
      <c r="IY179" s="148"/>
      <c r="IZ179" s="148"/>
      <c r="JA179" s="148"/>
      <c r="JB179" s="148"/>
      <c r="JC179" s="148"/>
      <c r="JD179" s="148"/>
      <c r="JE179" s="148"/>
      <c r="JF179" s="148"/>
      <c r="JG179" s="148"/>
      <c r="JH179" s="148"/>
      <c r="JI179" s="148"/>
      <c r="JJ179" s="148"/>
      <c r="JK179" s="148"/>
      <c r="JL179" s="148"/>
      <c r="JM179" s="148"/>
      <c r="JN179" s="148"/>
      <c r="JO179" s="148"/>
      <c r="JP179" s="148"/>
      <c r="JQ179" s="148"/>
      <c r="JR179" s="148"/>
      <c r="JS179" s="148"/>
      <c r="JT179" s="148"/>
      <c r="JU179" s="148"/>
      <c r="JV179" s="148"/>
      <c r="JW179" s="148"/>
      <c r="JX179" s="148"/>
      <c r="JY179" s="148"/>
      <c r="JZ179" s="148"/>
      <c r="KA179" s="148"/>
      <c r="KB179" s="148"/>
      <c r="KC179" s="148"/>
      <c r="KD179" s="148"/>
      <c r="KE179" s="148"/>
      <c r="KF179" s="148"/>
      <c r="KG179" s="148"/>
      <c r="KH179" s="148"/>
      <c r="KI179" s="148"/>
      <c r="KJ179" s="148"/>
      <c r="KK179" s="148"/>
      <c r="KL179" s="148"/>
      <c r="KM179" s="148"/>
      <c r="KN179" s="148"/>
      <c r="KO179" s="148"/>
      <c r="KP179" s="148"/>
      <c r="KQ179" s="148"/>
      <c r="KR179" s="148"/>
      <c r="KS179" s="148"/>
      <c r="KT179" s="148"/>
      <c r="KU179" s="148"/>
      <c r="KV179" s="148"/>
      <c r="KW179" s="148"/>
      <c r="KX179" s="148"/>
      <c r="KY179" s="148"/>
      <c r="KZ179" s="148"/>
      <c r="LA179" s="148"/>
      <c r="LB179" s="148"/>
      <c r="LC179" s="148"/>
      <c r="LD179" s="148"/>
      <c r="LE179" s="148"/>
      <c r="LF179" s="148"/>
      <c r="LG179" s="148"/>
      <c r="LH179" s="148"/>
      <c r="LI179" s="148"/>
      <c r="LJ179" s="148"/>
      <c r="LK179" s="148"/>
      <c r="LL179" s="148"/>
      <c r="LM179" s="148"/>
      <c r="LN179" s="148"/>
      <c r="LO179" s="148"/>
      <c r="LP179" s="148"/>
      <c r="LQ179" s="148"/>
      <c r="LR179" s="148"/>
      <c r="LS179" s="148"/>
      <c r="LT179" s="148"/>
      <c r="LU179" s="148"/>
      <c r="LV179" s="148"/>
      <c r="LW179" s="148"/>
      <c r="LX179" s="148"/>
      <c r="LY179" s="148"/>
      <c r="LZ179" s="148"/>
      <c r="MA179" s="148"/>
      <c r="MB179" s="148"/>
      <c r="MC179" s="148"/>
      <c r="MD179" s="148"/>
      <c r="ME179" s="148"/>
      <c r="MF179" s="148"/>
      <c r="MG179" s="148"/>
      <c r="MH179" s="148"/>
      <c r="MI179" s="148"/>
      <c r="MJ179" s="148"/>
      <c r="MK179" s="148"/>
      <c r="ML179" s="148"/>
      <c r="MM179" s="148"/>
      <c r="MN179" s="148"/>
      <c r="MO179" s="148"/>
      <c r="MP179" s="148"/>
      <c r="MQ179" s="148"/>
      <c r="MR179" s="148"/>
      <c r="MS179" s="148"/>
      <c r="MT179" s="148"/>
      <c r="MU179" s="148"/>
      <c r="MV179" s="148"/>
      <c r="MW179" s="148"/>
      <c r="MX179" s="148"/>
      <c r="MY179" s="148"/>
      <c r="MZ179" s="148"/>
      <c r="NA179" s="148"/>
      <c r="NB179" s="148"/>
      <c r="NC179" s="148"/>
      <c r="ND179" s="148"/>
      <c r="NE179" s="148"/>
      <c r="NF179" s="148"/>
      <c r="NG179" s="148"/>
      <c r="NH179" s="148"/>
      <c r="NI179" s="148"/>
      <c r="NJ179" s="148"/>
      <c r="NK179" s="148"/>
      <c r="NL179" s="148"/>
      <c r="NM179" s="148"/>
      <c r="NN179" s="148"/>
      <c r="NO179" s="148"/>
      <c r="NP179" s="148"/>
      <c r="NQ179" s="148"/>
      <c r="NR179" s="148"/>
      <c r="NS179" s="148"/>
      <c r="NT179" s="148"/>
      <c r="NU179" s="148"/>
      <c r="NV179" s="148"/>
      <c r="NW179" s="148"/>
      <c r="NX179" s="148"/>
      <c r="NY179" s="148"/>
      <c r="NZ179" s="148"/>
      <c r="OA179" s="148"/>
      <c r="OB179" s="148"/>
      <c r="OC179" s="148"/>
      <c r="OD179" s="148"/>
      <c r="OE179" s="148"/>
      <c r="OF179" s="148"/>
      <c r="OG179" s="148"/>
      <c r="OH179" s="148"/>
      <c r="OI179" s="148"/>
      <c r="OJ179" s="148"/>
      <c r="OK179" s="148"/>
      <c r="OL179" s="148"/>
      <c r="OM179" s="148"/>
      <c r="ON179" s="148"/>
      <c r="OO179" s="148"/>
      <c r="OP179" s="148"/>
      <c r="OQ179" s="148"/>
      <c r="OR179" s="148"/>
      <c r="OS179" s="148"/>
      <c r="OT179" s="148"/>
      <c r="OU179" s="148"/>
      <c r="OV179" s="148"/>
      <c r="OW179" s="148"/>
      <c r="OX179" s="148"/>
      <c r="OY179" s="148"/>
      <c r="OZ179" s="148"/>
      <c r="PA179" s="148"/>
      <c r="PB179" s="148"/>
      <c r="PC179" s="148"/>
      <c r="PD179" s="148"/>
      <c r="PE179" s="148"/>
      <c r="PF179" s="148"/>
      <c r="PG179" s="148"/>
      <c r="PH179" s="148"/>
      <c r="PI179" s="148"/>
      <c r="PJ179" s="148"/>
      <c r="PK179" s="148"/>
      <c r="PL179" s="148"/>
      <c r="PM179" s="148"/>
      <c r="PN179" s="148"/>
      <c r="PO179" s="148"/>
      <c r="PP179" s="148"/>
      <c r="PQ179" s="148"/>
      <c r="PR179" s="148"/>
      <c r="PS179" s="148"/>
      <c r="PT179" s="148"/>
      <c r="PU179" s="148"/>
      <c r="PV179" s="148"/>
      <c r="PW179" s="148"/>
      <c r="PX179" s="148"/>
      <c r="PY179" s="148"/>
      <c r="PZ179" s="148"/>
      <c r="QA179" s="148"/>
      <c r="QB179" s="148"/>
      <c r="QC179" s="148"/>
      <c r="QD179" s="148"/>
      <c r="QE179" s="148"/>
      <c r="QF179" s="148"/>
      <c r="QG179" s="148"/>
      <c r="QH179" s="148"/>
      <c r="QI179" s="148"/>
      <c r="QJ179" s="148"/>
      <c r="QK179" s="148"/>
      <c r="QL179" s="148"/>
      <c r="QM179" s="148"/>
      <c r="QN179" s="148"/>
      <c r="QO179" s="148"/>
      <c r="QP179" s="148"/>
      <c r="QQ179" s="148"/>
      <c r="QR179" s="148"/>
      <c r="QS179" s="148"/>
      <c r="QT179" s="148"/>
      <c r="QU179" s="148"/>
      <c r="QV179" s="148"/>
      <c r="QW179" s="148"/>
      <c r="QX179" s="148"/>
      <c r="QY179" s="148"/>
      <c r="QZ179" s="148"/>
      <c r="RA179" s="148"/>
      <c r="RB179" s="148"/>
      <c r="RC179" s="148"/>
      <c r="RD179" s="148"/>
      <c r="RE179" s="148"/>
      <c r="RF179" s="148"/>
      <c r="RG179" s="148"/>
      <c r="RH179" s="148"/>
      <c r="RI179" s="148"/>
      <c r="RJ179" s="148"/>
      <c r="RK179" s="148"/>
      <c r="RL179" s="148"/>
      <c r="RM179" s="148"/>
      <c r="RN179" s="148"/>
      <c r="RO179" s="148"/>
      <c r="RP179" s="148"/>
      <c r="RQ179" s="148"/>
      <c r="RR179" s="148"/>
    </row>
    <row r="180" spans="1:486" s="15" customFormat="1" hidden="1" x14ac:dyDescent="0.25">
      <c r="A180" s="148"/>
      <c r="B180" s="350">
        <v>170</v>
      </c>
      <c r="C180" s="650"/>
      <c r="D180" s="16"/>
      <c r="E180" s="344"/>
      <c r="F180" s="344"/>
      <c r="G180" s="17"/>
      <c r="H180" s="317"/>
      <c r="I180" s="346"/>
      <c r="J180" s="341"/>
      <c r="K180" s="633"/>
      <c r="L180" s="633"/>
      <c r="M180" s="633"/>
      <c r="N180" s="633"/>
      <c r="O180" s="633"/>
      <c r="P180" s="633"/>
      <c r="Q180" s="633"/>
      <c r="R180" s="633"/>
      <c r="S180" s="633"/>
      <c r="T180" s="633"/>
      <c r="U180" s="633"/>
      <c r="V180" s="633"/>
      <c r="W180" s="633"/>
      <c r="X180" s="633"/>
      <c r="Y180" s="633">
        <f t="shared" si="6"/>
        <v>0</v>
      </c>
      <c r="Z180" s="310"/>
      <c r="AA180" s="19"/>
      <c r="AB180" s="315"/>
      <c r="AC180" s="315"/>
      <c r="AD180" s="652"/>
      <c r="AE180" s="20"/>
      <c r="AF180" s="21"/>
      <c r="AG180" s="25"/>
      <c r="AH180" s="637"/>
      <c r="AI180" s="19"/>
      <c r="AJ180" s="21"/>
      <c r="AK180" s="25"/>
      <c r="AL180" s="309"/>
      <c r="AM180" s="19"/>
      <c r="AN180" s="21"/>
      <c r="AO180" s="25"/>
      <c r="AP180" s="309"/>
      <c r="AQ180" s="19"/>
      <c r="AR180" s="21"/>
      <c r="AS180" s="25"/>
      <c r="AT180" s="638">
        <f t="shared" si="7"/>
        <v>0</v>
      </c>
      <c r="AU180" s="311">
        <f t="shared" si="5"/>
        <v>0</v>
      </c>
      <c r="AV180" s="148"/>
      <c r="AW180" s="148"/>
      <c r="AX180" s="148"/>
      <c r="AY180" s="148"/>
      <c r="AZ180" s="148"/>
      <c r="BA180" s="148"/>
      <c r="BB180" s="148"/>
      <c r="BC180" s="148"/>
      <c r="BD180" s="148"/>
      <c r="BE180" s="148"/>
      <c r="BF180" s="148"/>
      <c r="BG180" s="148"/>
      <c r="BH180" s="148"/>
      <c r="BI180" s="148"/>
      <c r="BJ180" s="148"/>
      <c r="BK180" s="148"/>
      <c r="BL180" s="148"/>
      <c r="BM180" s="148"/>
      <c r="BN180" s="148"/>
      <c r="BO180" s="148"/>
      <c r="BP180" s="148"/>
      <c r="BQ180" s="148"/>
      <c r="BR180" s="148"/>
      <c r="BS180" s="148"/>
      <c r="BT180" s="148"/>
      <c r="BU180" s="148"/>
      <c r="BV180" s="148"/>
      <c r="BW180" s="148"/>
      <c r="BX180" s="148"/>
      <c r="BY180" s="148"/>
      <c r="BZ180" s="148"/>
      <c r="CA180" s="148"/>
      <c r="CB180" s="148"/>
      <c r="CC180" s="148"/>
      <c r="CD180" s="148"/>
      <c r="CE180" s="148"/>
      <c r="CF180" s="148"/>
      <c r="CG180" s="148"/>
      <c r="CH180" s="148"/>
      <c r="CI180" s="148"/>
      <c r="CJ180" s="148"/>
      <c r="CK180" s="148"/>
      <c r="CL180" s="148"/>
      <c r="CM180" s="148"/>
      <c r="CN180" s="148"/>
      <c r="CO180" s="148"/>
      <c r="CP180" s="148"/>
      <c r="CQ180" s="148"/>
      <c r="CR180" s="148"/>
      <c r="CS180" s="148"/>
      <c r="CT180" s="148"/>
      <c r="CU180" s="148"/>
      <c r="CV180" s="148"/>
      <c r="CW180" s="148"/>
      <c r="CX180" s="148"/>
      <c r="CY180" s="148"/>
      <c r="CZ180" s="148"/>
      <c r="DA180" s="148"/>
      <c r="DB180" s="148"/>
      <c r="DC180" s="148"/>
      <c r="DD180" s="148"/>
      <c r="DE180" s="148"/>
      <c r="DF180" s="148"/>
      <c r="DG180" s="148"/>
      <c r="DH180" s="148"/>
      <c r="DI180" s="148"/>
      <c r="DJ180" s="148"/>
      <c r="DK180" s="148"/>
      <c r="DL180" s="148"/>
      <c r="DM180" s="148"/>
      <c r="DN180" s="148"/>
      <c r="DO180" s="148"/>
      <c r="DP180" s="148"/>
      <c r="DQ180" s="148"/>
      <c r="DR180" s="148"/>
      <c r="DS180" s="148"/>
      <c r="DT180" s="148"/>
      <c r="DU180" s="148"/>
      <c r="DV180" s="148"/>
      <c r="DW180" s="148"/>
      <c r="DX180" s="148"/>
      <c r="DY180" s="148"/>
      <c r="DZ180" s="148"/>
      <c r="EA180" s="148"/>
      <c r="EB180" s="148"/>
      <c r="EC180" s="148"/>
      <c r="ED180" s="148"/>
      <c r="EE180" s="148"/>
      <c r="EF180" s="148"/>
      <c r="EG180" s="148"/>
      <c r="EH180" s="148"/>
      <c r="EI180" s="148"/>
      <c r="EJ180" s="148"/>
      <c r="EK180" s="148"/>
      <c r="EL180" s="148"/>
      <c r="EM180" s="148"/>
      <c r="EN180" s="148"/>
      <c r="EO180" s="148"/>
      <c r="EP180" s="148"/>
      <c r="EQ180" s="148"/>
      <c r="ER180" s="148"/>
      <c r="ES180" s="148"/>
      <c r="ET180" s="148"/>
      <c r="EU180" s="148"/>
      <c r="EV180" s="148"/>
      <c r="EW180" s="148"/>
      <c r="EX180" s="148"/>
      <c r="EY180" s="148"/>
      <c r="EZ180" s="148"/>
      <c r="FA180" s="148"/>
      <c r="FB180" s="148"/>
      <c r="FC180" s="148"/>
      <c r="FD180" s="148"/>
      <c r="FE180" s="148"/>
      <c r="FF180" s="148"/>
      <c r="FG180" s="148"/>
      <c r="FH180" s="148"/>
      <c r="FI180" s="148"/>
      <c r="FJ180" s="148"/>
      <c r="FK180" s="148"/>
      <c r="FL180" s="148"/>
      <c r="FM180" s="148"/>
      <c r="FN180" s="148"/>
      <c r="FO180" s="148"/>
      <c r="FP180" s="148"/>
      <c r="FQ180" s="148"/>
      <c r="FR180" s="148"/>
      <c r="FS180" s="148"/>
      <c r="FT180" s="148"/>
      <c r="FU180" s="148"/>
      <c r="FV180" s="148"/>
      <c r="FW180" s="148"/>
      <c r="FX180" s="148"/>
      <c r="FY180" s="148"/>
      <c r="FZ180" s="148"/>
      <c r="GA180" s="148"/>
      <c r="GB180" s="148"/>
      <c r="GC180" s="148"/>
      <c r="GD180" s="148"/>
      <c r="GE180" s="148"/>
      <c r="GF180" s="148"/>
      <c r="GG180" s="148"/>
      <c r="GH180" s="148"/>
      <c r="GI180" s="148"/>
      <c r="GJ180" s="148"/>
      <c r="GK180" s="148"/>
      <c r="GL180" s="148"/>
      <c r="GM180" s="148"/>
      <c r="GN180" s="148"/>
      <c r="GO180" s="148"/>
      <c r="GP180" s="148"/>
      <c r="GQ180" s="148"/>
      <c r="GR180" s="148"/>
      <c r="GS180" s="148"/>
      <c r="GT180" s="148"/>
      <c r="GU180" s="148"/>
      <c r="GV180" s="148"/>
      <c r="GW180" s="148"/>
      <c r="GX180" s="148"/>
      <c r="GY180" s="148"/>
      <c r="GZ180" s="148"/>
      <c r="HA180" s="148"/>
      <c r="HB180" s="148"/>
      <c r="HC180" s="148"/>
      <c r="HD180" s="148"/>
      <c r="HE180" s="148"/>
      <c r="HF180" s="148"/>
      <c r="HG180" s="148"/>
      <c r="HH180" s="148"/>
      <c r="HI180" s="148"/>
      <c r="HJ180" s="148"/>
      <c r="HK180" s="148"/>
      <c r="HL180" s="148"/>
      <c r="HM180" s="148"/>
      <c r="HN180" s="148"/>
      <c r="HO180" s="148"/>
      <c r="HP180" s="148"/>
      <c r="HQ180" s="148"/>
      <c r="HR180" s="148"/>
      <c r="HS180" s="148"/>
      <c r="HT180" s="148"/>
      <c r="HU180" s="148"/>
      <c r="HV180" s="148"/>
      <c r="HW180" s="148"/>
      <c r="HX180" s="148"/>
      <c r="HY180" s="148"/>
      <c r="HZ180" s="148"/>
      <c r="IA180" s="148"/>
      <c r="IB180" s="148"/>
      <c r="IC180" s="148"/>
      <c r="ID180" s="148"/>
      <c r="IE180" s="148"/>
      <c r="IF180" s="148"/>
      <c r="IG180" s="148"/>
      <c r="IH180" s="148"/>
      <c r="II180" s="148"/>
      <c r="IJ180" s="148"/>
      <c r="IK180" s="148"/>
      <c r="IL180" s="148"/>
      <c r="IM180" s="148"/>
      <c r="IN180" s="148"/>
      <c r="IO180" s="148"/>
      <c r="IP180" s="148"/>
      <c r="IQ180" s="148"/>
      <c r="IR180" s="148"/>
      <c r="IS180" s="148"/>
      <c r="IT180" s="148"/>
      <c r="IU180" s="148"/>
      <c r="IV180" s="148"/>
      <c r="IW180" s="148"/>
      <c r="IX180" s="148"/>
      <c r="IY180" s="148"/>
      <c r="IZ180" s="148"/>
      <c r="JA180" s="148"/>
      <c r="JB180" s="148"/>
      <c r="JC180" s="148"/>
      <c r="JD180" s="148"/>
      <c r="JE180" s="148"/>
      <c r="JF180" s="148"/>
      <c r="JG180" s="148"/>
      <c r="JH180" s="148"/>
      <c r="JI180" s="148"/>
      <c r="JJ180" s="148"/>
      <c r="JK180" s="148"/>
      <c r="JL180" s="148"/>
      <c r="JM180" s="148"/>
      <c r="JN180" s="148"/>
      <c r="JO180" s="148"/>
      <c r="JP180" s="148"/>
      <c r="JQ180" s="148"/>
      <c r="JR180" s="148"/>
      <c r="JS180" s="148"/>
      <c r="JT180" s="148"/>
      <c r="JU180" s="148"/>
      <c r="JV180" s="148"/>
      <c r="JW180" s="148"/>
      <c r="JX180" s="148"/>
      <c r="JY180" s="148"/>
      <c r="JZ180" s="148"/>
      <c r="KA180" s="148"/>
      <c r="KB180" s="148"/>
      <c r="KC180" s="148"/>
      <c r="KD180" s="148"/>
      <c r="KE180" s="148"/>
      <c r="KF180" s="148"/>
      <c r="KG180" s="148"/>
      <c r="KH180" s="148"/>
      <c r="KI180" s="148"/>
      <c r="KJ180" s="148"/>
      <c r="KK180" s="148"/>
      <c r="KL180" s="148"/>
      <c r="KM180" s="148"/>
      <c r="KN180" s="148"/>
      <c r="KO180" s="148"/>
      <c r="KP180" s="148"/>
      <c r="KQ180" s="148"/>
      <c r="KR180" s="148"/>
      <c r="KS180" s="148"/>
      <c r="KT180" s="148"/>
      <c r="KU180" s="148"/>
      <c r="KV180" s="148"/>
      <c r="KW180" s="148"/>
      <c r="KX180" s="148"/>
      <c r="KY180" s="148"/>
      <c r="KZ180" s="148"/>
      <c r="LA180" s="148"/>
      <c r="LB180" s="148"/>
      <c r="LC180" s="148"/>
      <c r="LD180" s="148"/>
      <c r="LE180" s="148"/>
      <c r="LF180" s="148"/>
      <c r="LG180" s="148"/>
      <c r="LH180" s="148"/>
      <c r="LI180" s="148"/>
      <c r="LJ180" s="148"/>
      <c r="LK180" s="148"/>
      <c r="LL180" s="148"/>
      <c r="LM180" s="148"/>
      <c r="LN180" s="148"/>
      <c r="LO180" s="148"/>
      <c r="LP180" s="148"/>
      <c r="LQ180" s="148"/>
      <c r="LR180" s="148"/>
      <c r="LS180" s="148"/>
      <c r="LT180" s="148"/>
      <c r="LU180" s="148"/>
      <c r="LV180" s="148"/>
      <c r="LW180" s="148"/>
      <c r="LX180" s="148"/>
      <c r="LY180" s="148"/>
      <c r="LZ180" s="148"/>
      <c r="MA180" s="148"/>
      <c r="MB180" s="148"/>
      <c r="MC180" s="148"/>
      <c r="MD180" s="148"/>
      <c r="ME180" s="148"/>
      <c r="MF180" s="148"/>
      <c r="MG180" s="148"/>
      <c r="MH180" s="148"/>
      <c r="MI180" s="148"/>
      <c r="MJ180" s="148"/>
      <c r="MK180" s="148"/>
      <c r="ML180" s="148"/>
      <c r="MM180" s="148"/>
      <c r="MN180" s="148"/>
      <c r="MO180" s="148"/>
      <c r="MP180" s="148"/>
      <c r="MQ180" s="148"/>
      <c r="MR180" s="148"/>
      <c r="MS180" s="148"/>
      <c r="MT180" s="148"/>
      <c r="MU180" s="148"/>
      <c r="MV180" s="148"/>
      <c r="MW180" s="148"/>
      <c r="MX180" s="148"/>
      <c r="MY180" s="148"/>
      <c r="MZ180" s="148"/>
      <c r="NA180" s="148"/>
      <c r="NB180" s="148"/>
      <c r="NC180" s="148"/>
      <c r="ND180" s="148"/>
      <c r="NE180" s="148"/>
      <c r="NF180" s="148"/>
      <c r="NG180" s="148"/>
      <c r="NH180" s="148"/>
      <c r="NI180" s="148"/>
      <c r="NJ180" s="148"/>
      <c r="NK180" s="148"/>
      <c r="NL180" s="148"/>
      <c r="NM180" s="148"/>
      <c r="NN180" s="148"/>
      <c r="NO180" s="148"/>
      <c r="NP180" s="148"/>
      <c r="NQ180" s="148"/>
      <c r="NR180" s="148"/>
      <c r="NS180" s="148"/>
      <c r="NT180" s="148"/>
      <c r="NU180" s="148"/>
      <c r="NV180" s="148"/>
      <c r="NW180" s="148"/>
      <c r="NX180" s="148"/>
      <c r="NY180" s="148"/>
      <c r="NZ180" s="148"/>
      <c r="OA180" s="148"/>
      <c r="OB180" s="148"/>
      <c r="OC180" s="148"/>
      <c r="OD180" s="148"/>
      <c r="OE180" s="148"/>
      <c r="OF180" s="148"/>
      <c r="OG180" s="148"/>
      <c r="OH180" s="148"/>
      <c r="OI180" s="148"/>
      <c r="OJ180" s="148"/>
      <c r="OK180" s="148"/>
      <c r="OL180" s="148"/>
      <c r="OM180" s="148"/>
      <c r="ON180" s="148"/>
      <c r="OO180" s="148"/>
      <c r="OP180" s="148"/>
      <c r="OQ180" s="148"/>
      <c r="OR180" s="148"/>
      <c r="OS180" s="148"/>
      <c r="OT180" s="148"/>
      <c r="OU180" s="148"/>
      <c r="OV180" s="148"/>
      <c r="OW180" s="148"/>
      <c r="OX180" s="148"/>
      <c r="OY180" s="148"/>
      <c r="OZ180" s="148"/>
      <c r="PA180" s="148"/>
      <c r="PB180" s="148"/>
      <c r="PC180" s="148"/>
      <c r="PD180" s="148"/>
      <c r="PE180" s="148"/>
      <c r="PF180" s="148"/>
      <c r="PG180" s="148"/>
      <c r="PH180" s="148"/>
      <c r="PI180" s="148"/>
      <c r="PJ180" s="148"/>
      <c r="PK180" s="148"/>
      <c r="PL180" s="148"/>
      <c r="PM180" s="148"/>
      <c r="PN180" s="148"/>
      <c r="PO180" s="148"/>
      <c r="PP180" s="148"/>
      <c r="PQ180" s="148"/>
      <c r="PR180" s="148"/>
      <c r="PS180" s="148"/>
      <c r="PT180" s="148"/>
      <c r="PU180" s="148"/>
      <c r="PV180" s="148"/>
      <c r="PW180" s="148"/>
      <c r="PX180" s="148"/>
      <c r="PY180" s="148"/>
      <c r="PZ180" s="148"/>
      <c r="QA180" s="148"/>
      <c r="QB180" s="148"/>
      <c r="QC180" s="148"/>
      <c r="QD180" s="148"/>
      <c r="QE180" s="148"/>
      <c r="QF180" s="148"/>
      <c r="QG180" s="148"/>
      <c r="QH180" s="148"/>
      <c r="QI180" s="148"/>
      <c r="QJ180" s="148"/>
      <c r="QK180" s="148"/>
      <c r="QL180" s="148"/>
      <c r="QM180" s="148"/>
      <c r="QN180" s="148"/>
      <c r="QO180" s="148"/>
      <c r="QP180" s="148"/>
      <c r="QQ180" s="148"/>
      <c r="QR180" s="148"/>
      <c r="QS180" s="148"/>
      <c r="QT180" s="148"/>
      <c r="QU180" s="148"/>
      <c r="QV180" s="148"/>
      <c r="QW180" s="148"/>
      <c r="QX180" s="148"/>
      <c r="QY180" s="148"/>
      <c r="QZ180" s="148"/>
      <c r="RA180" s="148"/>
      <c r="RB180" s="148"/>
      <c r="RC180" s="148"/>
      <c r="RD180" s="148"/>
      <c r="RE180" s="148"/>
      <c r="RF180" s="148"/>
      <c r="RG180" s="148"/>
      <c r="RH180" s="148"/>
      <c r="RI180" s="148"/>
      <c r="RJ180" s="148"/>
      <c r="RK180" s="148"/>
      <c r="RL180" s="148"/>
      <c r="RM180" s="148"/>
      <c r="RN180" s="148"/>
      <c r="RO180" s="148"/>
      <c r="RP180" s="148"/>
      <c r="RQ180" s="148"/>
      <c r="RR180" s="148"/>
    </row>
    <row r="181" spans="1:486" s="15" customFormat="1" hidden="1" x14ac:dyDescent="0.25">
      <c r="A181" s="148"/>
      <c r="B181" s="350">
        <v>171</v>
      </c>
      <c r="C181" s="650"/>
      <c r="D181" s="16"/>
      <c r="E181" s="344"/>
      <c r="F181" s="344"/>
      <c r="G181" s="17"/>
      <c r="H181" s="317"/>
      <c r="I181" s="346"/>
      <c r="J181" s="341"/>
      <c r="K181" s="633"/>
      <c r="L181" s="633"/>
      <c r="M181" s="633"/>
      <c r="N181" s="633"/>
      <c r="O181" s="633"/>
      <c r="P181" s="633"/>
      <c r="Q181" s="633"/>
      <c r="R181" s="633"/>
      <c r="S181" s="633"/>
      <c r="T181" s="633"/>
      <c r="U181" s="633"/>
      <c r="V181" s="633"/>
      <c r="W181" s="633"/>
      <c r="X181" s="633"/>
      <c r="Y181" s="633">
        <f t="shared" si="6"/>
        <v>0</v>
      </c>
      <c r="Z181" s="310"/>
      <c r="AA181" s="19"/>
      <c r="AB181" s="21"/>
      <c r="AC181" s="23"/>
      <c r="AD181" s="652"/>
      <c r="AE181" s="20"/>
      <c r="AF181" s="21"/>
      <c r="AG181" s="25"/>
      <c r="AH181" s="637"/>
      <c r="AI181" s="19"/>
      <c r="AJ181" s="21"/>
      <c r="AK181" s="25"/>
      <c r="AL181" s="309"/>
      <c r="AM181" s="19"/>
      <c r="AN181" s="21"/>
      <c r="AO181" s="25"/>
      <c r="AP181" s="309"/>
      <c r="AQ181" s="19"/>
      <c r="AR181" s="21"/>
      <c r="AS181" s="25"/>
      <c r="AT181" s="638">
        <f t="shared" si="7"/>
        <v>0</v>
      </c>
      <c r="AU181" s="311">
        <f t="shared" si="5"/>
        <v>0</v>
      </c>
      <c r="AV181" s="148"/>
      <c r="AW181" s="148"/>
      <c r="AX181" s="148"/>
      <c r="AY181" s="148"/>
      <c r="AZ181" s="148"/>
      <c r="BA181" s="148"/>
      <c r="BB181" s="148"/>
      <c r="BC181" s="148"/>
      <c r="BD181" s="148"/>
      <c r="BE181" s="148"/>
      <c r="BF181" s="148"/>
      <c r="BG181" s="148"/>
      <c r="BH181" s="148"/>
      <c r="BI181" s="148"/>
      <c r="BJ181" s="148"/>
      <c r="BK181" s="148"/>
      <c r="BL181" s="148"/>
      <c r="BM181" s="148"/>
      <c r="BN181" s="148"/>
      <c r="BO181" s="148"/>
      <c r="BP181" s="148"/>
      <c r="BQ181" s="148"/>
      <c r="BR181" s="148"/>
      <c r="BS181" s="148"/>
      <c r="BT181" s="148"/>
      <c r="BU181" s="148"/>
      <c r="BV181" s="148"/>
      <c r="BW181" s="148"/>
      <c r="BX181" s="148"/>
      <c r="BY181" s="148"/>
      <c r="BZ181" s="148"/>
      <c r="CA181" s="148"/>
      <c r="CB181" s="148"/>
      <c r="CC181" s="148"/>
      <c r="CD181" s="148"/>
      <c r="CE181" s="148"/>
      <c r="CF181" s="148"/>
      <c r="CG181" s="148"/>
      <c r="CH181" s="148"/>
      <c r="CI181" s="148"/>
      <c r="CJ181" s="148"/>
      <c r="CK181" s="148"/>
      <c r="CL181" s="148"/>
      <c r="CM181" s="148"/>
      <c r="CN181" s="148"/>
      <c r="CO181" s="148"/>
      <c r="CP181" s="148"/>
      <c r="CQ181" s="148"/>
      <c r="CR181" s="148"/>
      <c r="CS181" s="148"/>
      <c r="CT181" s="148"/>
      <c r="CU181" s="148"/>
      <c r="CV181" s="148"/>
      <c r="CW181" s="148"/>
      <c r="CX181" s="148"/>
      <c r="CY181" s="148"/>
      <c r="CZ181" s="148"/>
      <c r="DA181" s="148"/>
      <c r="DB181" s="148"/>
      <c r="DC181" s="148"/>
      <c r="DD181" s="148"/>
      <c r="DE181" s="148"/>
      <c r="DF181" s="148"/>
      <c r="DG181" s="148"/>
      <c r="DH181" s="148"/>
      <c r="DI181" s="148"/>
      <c r="DJ181" s="148"/>
      <c r="DK181" s="148"/>
      <c r="DL181" s="148"/>
      <c r="DM181" s="148"/>
      <c r="DN181" s="148"/>
      <c r="DO181" s="148"/>
      <c r="DP181" s="148"/>
      <c r="DQ181" s="148"/>
      <c r="DR181" s="148"/>
      <c r="DS181" s="148"/>
      <c r="DT181" s="148"/>
      <c r="DU181" s="148"/>
      <c r="DV181" s="148"/>
      <c r="DW181" s="148"/>
      <c r="DX181" s="148"/>
      <c r="DY181" s="148"/>
      <c r="DZ181" s="148"/>
      <c r="EA181" s="148"/>
      <c r="EB181" s="148"/>
      <c r="EC181" s="148"/>
      <c r="ED181" s="148"/>
      <c r="EE181" s="148"/>
      <c r="EF181" s="148"/>
      <c r="EG181" s="148"/>
      <c r="EH181" s="148"/>
      <c r="EI181" s="148"/>
      <c r="EJ181" s="148"/>
      <c r="EK181" s="148"/>
      <c r="EL181" s="148"/>
      <c r="EM181" s="148"/>
      <c r="EN181" s="148"/>
      <c r="EO181" s="148"/>
      <c r="EP181" s="148"/>
      <c r="EQ181" s="148"/>
      <c r="ER181" s="148"/>
      <c r="ES181" s="148"/>
      <c r="ET181" s="148"/>
      <c r="EU181" s="148"/>
      <c r="EV181" s="148"/>
      <c r="EW181" s="148"/>
      <c r="EX181" s="148"/>
      <c r="EY181" s="148"/>
      <c r="EZ181" s="148"/>
      <c r="FA181" s="148"/>
      <c r="FB181" s="148"/>
      <c r="FC181" s="148"/>
      <c r="FD181" s="148"/>
      <c r="FE181" s="148"/>
      <c r="FF181" s="148"/>
      <c r="FG181" s="148"/>
      <c r="FH181" s="148"/>
      <c r="FI181" s="148"/>
      <c r="FJ181" s="148"/>
      <c r="FK181" s="148"/>
      <c r="FL181" s="148"/>
      <c r="FM181" s="148"/>
      <c r="FN181" s="148"/>
      <c r="FO181" s="148"/>
      <c r="FP181" s="148"/>
      <c r="FQ181" s="148"/>
      <c r="FR181" s="148"/>
      <c r="FS181" s="148"/>
      <c r="FT181" s="148"/>
      <c r="FU181" s="148"/>
      <c r="FV181" s="148"/>
      <c r="FW181" s="148"/>
      <c r="FX181" s="148"/>
      <c r="FY181" s="148"/>
      <c r="FZ181" s="148"/>
      <c r="GA181" s="148"/>
      <c r="GB181" s="148"/>
      <c r="GC181" s="148"/>
      <c r="GD181" s="148"/>
      <c r="GE181" s="148"/>
      <c r="GF181" s="148"/>
      <c r="GG181" s="148"/>
      <c r="GH181" s="148"/>
      <c r="GI181" s="148"/>
      <c r="GJ181" s="148"/>
      <c r="GK181" s="148"/>
      <c r="GL181" s="148"/>
      <c r="GM181" s="148"/>
      <c r="GN181" s="148"/>
      <c r="GO181" s="148"/>
      <c r="GP181" s="148"/>
      <c r="GQ181" s="148"/>
      <c r="GR181" s="148"/>
      <c r="GS181" s="148"/>
      <c r="GT181" s="148"/>
      <c r="GU181" s="148"/>
      <c r="GV181" s="148"/>
      <c r="GW181" s="148"/>
      <c r="GX181" s="148"/>
      <c r="GY181" s="148"/>
      <c r="GZ181" s="148"/>
      <c r="HA181" s="148"/>
      <c r="HB181" s="148"/>
      <c r="HC181" s="148"/>
      <c r="HD181" s="148"/>
      <c r="HE181" s="148"/>
      <c r="HF181" s="148"/>
      <c r="HG181" s="148"/>
      <c r="HH181" s="148"/>
      <c r="HI181" s="148"/>
      <c r="HJ181" s="148"/>
      <c r="HK181" s="148"/>
      <c r="HL181" s="148"/>
      <c r="HM181" s="148"/>
      <c r="HN181" s="148"/>
      <c r="HO181" s="148"/>
      <c r="HP181" s="148"/>
      <c r="HQ181" s="148"/>
      <c r="HR181" s="148"/>
      <c r="HS181" s="148"/>
      <c r="HT181" s="148"/>
      <c r="HU181" s="148"/>
      <c r="HV181" s="148"/>
      <c r="HW181" s="148"/>
      <c r="HX181" s="148"/>
      <c r="HY181" s="148"/>
      <c r="HZ181" s="148"/>
      <c r="IA181" s="148"/>
      <c r="IB181" s="148"/>
      <c r="IC181" s="148"/>
      <c r="ID181" s="148"/>
      <c r="IE181" s="148"/>
      <c r="IF181" s="148"/>
      <c r="IG181" s="148"/>
      <c r="IH181" s="148"/>
      <c r="II181" s="148"/>
      <c r="IJ181" s="148"/>
      <c r="IK181" s="148"/>
      <c r="IL181" s="148"/>
      <c r="IM181" s="148"/>
      <c r="IN181" s="148"/>
      <c r="IO181" s="148"/>
      <c r="IP181" s="148"/>
      <c r="IQ181" s="148"/>
      <c r="IR181" s="148"/>
      <c r="IS181" s="148"/>
      <c r="IT181" s="148"/>
      <c r="IU181" s="148"/>
      <c r="IV181" s="148"/>
      <c r="IW181" s="148"/>
      <c r="IX181" s="148"/>
      <c r="IY181" s="148"/>
      <c r="IZ181" s="148"/>
      <c r="JA181" s="148"/>
      <c r="JB181" s="148"/>
      <c r="JC181" s="148"/>
      <c r="JD181" s="148"/>
      <c r="JE181" s="148"/>
      <c r="JF181" s="148"/>
      <c r="JG181" s="148"/>
      <c r="JH181" s="148"/>
      <c r="JI181" s="148"/>
      <c r="JJ181" s="148"/>
      <c r="JK181" s="148"/>
      <c r="JL181" s="148"/>
      <c r="JM181" s="148"/>
      <c r="JN181" s="148"/>
      <c r="JO181" s="148"/>
      <c r="JP181" s="148"/>
      <c r="JQ181" s="148"/>
      <c r="JR181" s="148"/>
      <c r="JS181" s="148"/>
      <c r="JT181" s="148"/>
      <c r="JU181" s="148"/>
      <c r="JV181" s="148"/>
      <c r="JW181" s="148"/>
      <c r="JX181" s="148"/>
      <c r="JY181" s="148"/>
      <c r="JZ181" s="148"/>
      <c r="KA181" s="148"/>
      <c r="KB181" s="148"/>
      <c r="KC181" s="148"/>
      <c r="KD181" s="148"/>
      <c r="KE181" s="148"/>
      <c r="KF181" s="148"/>
      <c r="KG181" s="148"/>
      <c r="KH181" s="148"/>
      <c r="KI181" s="148"/>
      <c r="KJ181" s="148"/>
      <c r="KK181" s="148"/>
      <c r="KL181" s="148"/>
      <c r="KM181" s="148"/>
      <c r="KN181" s="148"/>
      <c r="KO181" s="148"/>
      <c r="KP181" s="148"/>
      <c r="KQ181" s="148"/>
      <c r="KR181" s="148"/>
      <c r="KS181" s="148"/>
      <c r="KT181" s="148"/>
      <c r="KU181" s="148"/>
      <c r="KV181" s="148"/>
      <c r="KW181" s="148"/>
      <c r="KX181" s="148"/>
      <c r="KY181" s="148"/>
      <c r="KZ181" s="148"/>
      <c r="LA181" s="148"/>
      <c r="LB181" s="148"/>
      <c r="LC181" s="148"/>
      <c r="LD181" s="148"/>
      <c r="LE181" s="148"/>
      <c r="LF181" s="148"/>
      <c r="LG181" s="148"/>
      <c r="LH181" s="148"/>
      <c r="LI181" s="148"/>
      <c r="LJ181" s="148"/>
      <c r="LK181" s="148"/>
      <c r="LL181" s="148"/>
      <c r="LM181" s="148"/>
      <c r="LN181" s="148"/>
      <c r="LO181" s="148"/>
      <c r="LP181" s="148"/>
      <c r="LQ181" s="148"/>
      <c r="LR181" s="148"/>
      <c r="LS181" s="148"/>
      <c r="LT181" s="148"/>
      <c r="LU181" s="148"/>
      <c r="LV181" s="148"/>
      <c r="LW181" s="148"/>
      <c r="LX181" s="148"/>
      <c r="LY181" s="148"/>
      <c r="LZ181" s="148"/>
      <c r="MA181" s="148"/>
      <c r="MB181" s="148"/>
      <c r="MC181" s="148"/>
      <c r="MD181" s="148"/>
      <c r="ME181" s="148"/>
      <c r="MF181" s="148"/>
      <c r="MG181" s="148"/>
      <c r="MH181" s="148"/>
      <c r="MI181" s="148"/>
      <c r="MJ181" s="148"/>
      <c r="MK181" s="148"/>
      <c r="ML181" s="148"/>
      <c r="MM181" s="148"/>
      <c r="MN181" s="148"/>
      <c r="MO181" s="148"/>
      <c r="MP181" s="148"/>
      <c r="MQ181" s="148"/>
      <c r="MR181" s="148"/>
      <c r="MS181" s="148"/>
      <c r="MT181" s="148"/>
      <c r="MU181" s="148"/>
      <c r="MV181" s="148"/>
      <c r="MW181" s="148"/>
      <c r="MX181" s="148"/>
      <c r="MY181" s="148"/>
      <c r="MZ181" s="148"/>
      <c r="NA181" s="148"/>
      <c r="NB181" s="148"/>
      <c r="NC181" s="148"/>
      <c r="ND181" s="148"/>
      <c r="NE181" s="148"/>
      <c r="NF181" s="148"/>
      <c r="NG181" s="148"/>
      <c r="NH181" s="148"/>
      <c r="NI181" s="148"/>
      <c r="NJ181" s="148"/>
      <c r="NK181" s="148"/>
      <c r="NL181" s="148"/>
      <c r="NM181" s="148"/>
      <c r="NN181" s="148"/>
      <c r="NO181" s="148"/>
      <c r="NP181" s="148"/>
      <c r="NQ181" s="148"/>
      <c r="NR181" s="148"/>
      <c r="NS181" s="148"/>
      <c r="NT181" s="148"/>
      <c r="NU181" s="148"/>
      <c r="NV181" s="148"/>
      <c r="NW181" s="148"/>
      <c r="NX181" s="148"/>
      <c r="NY181" s="148"/>
      <c r="NZ181" s="148"/>
      <c r="OA181" s="148"/>
      <c r="OB181" s="148"/>
      <c r="OC181" s="148"/>
      <c r="OD181" s="148"/>
      <c r="OE181" s="148"/>
      <c r="OF181" s="148"/>
      <c r="OG181" s="148"/>
      <c r="OH181" s="148"/>
      <c r="OI181" s="148"/>
      <c r="OJ181" s="148"/>
      <c r="OK181" s="148"/>
      <c r="OL181" s="148"/>
      <c r="OM181" s="148"/>
      <c r="ON181" s="148"/>
      <c r="OO181" s="148"/>
      <c r="OP181" s="148"/>
      <c r="OQ181" s="148"/>
      <c r="OR181" s="148"/>
      <c r="OS181" s="148"/>
      <c r="OT181" s="148"/>
      <c r="OU181" s="148"/>
      <c r="OV181" s="148"/>
      <c r="OW181" s="148"/>
      <c r="OX181" s="148"/>
      <c r="OY181" s="148"/>
      <c r="OZ181" s="148"/>
      <c r="PA181" s="148"/>
      <c r="PB181" s="148"/>
      <c r="PC181" s="148"/>
      <c r="PD181" s="148"/>
      <c r="PE181" s="148"/>
      <c r="PF181" s="148"/>
      <c r="PG181" s="148"/>
      <c r="PH181" s="148"/>
      <c r="PI181" s="148"/>
      <c r="PJ181" s="148"/>
      <c r="PK181" s="148"/>
      <c r="PL181" s="148"/>
      <c r="PM181" s="148"/>
      <c r="PN181" s="148"/>
      <c r="PO181" s="148"/>
      <c r="PP181" s="148"/>
      <c r="PQ181" s="148"/>
      <c r="PR181" s="148"/>
      <c r="PS181" s="148"/>
      <c r="PT181" s="148"/>
      <c r="PU181" s="148"/>
      <c r="PV181" s="148"/>
      <c r="PW181" s="148"/>
      <c r="PX181" s="148"/>
      <c r="PY181" s="148"/>
      <c r="PZ181" s="148"/>
      <c r="QA181" s="148"/>
      <c r="QB181" s="148"/>
      <c r="QC181" s="148"/>
      <c r="QD181" s="148"/>
      <c r="QE181" s="148"/>
      <c r="QF181" s="148"/>
      <c r="QG181" s="148"/>
      <c r="QH181" s="148"/>
      <c r="QI181" s="148"/>
      <c r="QJ181" s="148"/>
      <c r="QK181" s="148"/>
      <c r="QL181" s="148"/>
      <c r="QM181" s="148"/>
      <c r="QN181" s="148"/>
      <c r="QO181" s="148"/>
      <c r="QP181" s="148"/>
      <c r="QQ181" s="148"/>
      <c r="QR181" s="148"/>
      <c r="QS181" s="148"/>
      <c r="QT181" s="148"/>
      <c r="QU181" s="148"/>
      <c r="QV181" s="148"/>
      <c r="QW181" s="148"/>
      <c r="QX181" s="148"/>
      <c r="QY181" s="148"/>
      <c r="QZ181" s="148"/>
      <c r="RA181" s="148"/>
      <c r="RB181" s="148"/>
      <c r="RC181" s="148"/>
      <c r="RD181" s="148"/>
      <c r="RE181" s="148"/>
      <c r="RF181" s="148"/>
      <c r="RG181" s="148"/>
      <c r="RH181" s="148"/>
      <c r="RI181" s="148"/>
      <c r="RJ181" s="148"/>
      <c r="RK181" s="148"/>
      <c r="RL181" s="148"/>
      <c r="RM181" s="148"/>
      <c r="RN181" s="148"/>
      <c r="RO181" s="148"/>
      <c r="RP181" s="148"/>
      <c r="RQ181" s="148"/>
      <c r="RR181" s="148"/>
    </row>
    <row r="182" spans="1:486" s="15" customFormat="1" hidden="1" x14ac:dyDescent="0.25">
      <c r="A182" s="148"/>
      <c r="B182" s="350">
        <v>172</v>
      </c>
      <c r="C182" s="650"/>
      <c r="D182" s="16"/>
      <c r="E182" s="344"/>
      <c r="F182" s="344"/>
      <c r="G182" s="17"/>
      <c r="H182" s="317"/>
      <c r="I182" s="346"/>
      <c r="J182" s="341"/>
      <c r="K182" s="633"/>
      <c r="L182" s="633"/>
      <c r="M182" s="633"/>
      <c r="N182" s="633"/>
      <c r="O182" s="633"/>
      <c r="P182" s="633"/>
      <c r="Q182" s="633"/>
      <c r="R182" s="633"/>
      <c r="S182" s="633"/>
      <c r="T182" s="633"/>
      <c r="U182" s="633"/>
      <c r="V182" s="633"/>
      <c r="W182" s="633"/>
      <c r="X182" s="633"/>
      <c r="Y182" s="633">
        <f t="shared" si="6"/>
        <v>0</v>
      </c>
      <c r="Z182" s="310"/>
      <c r="AA182" s="19"/>
      <c r="AB182" s="21"/>
      <c r="AC182" s="23"/>
      <c r="AD182" s="652"/>
      <c r="AE182" s="20"/>
      <c r="AF182" s="21"/>
      <c r="AG182" s="25"/>
      <c r="AH182" s="637"/>
      <c r="AI182" s="19"/>
      <c r="AJ182" s="21"/>
      <c r="AK182" s="25"/>
      <c r="AL182" s="309"/>
      <c r="AM182" s="19"/>
      <c r="AN182" s="21"/>
      <c r="AO182" s="25"/>
      <c r="AP182" s="309"/>
      <c r="AQ182" s="19"/>
      <c r="AR182" s="21"/>
      <c r="AS182" s="25"/>
      <c r="AT182" s="638">
        <f t="shared" si="7"/>
        <v>0</v>
      </c>
      <c r="AU182" s="311">
        <f t="shared" si="5"/>
        <v>0</v>
      </c>
      <c r="AV182" s="148"/>
      <c r="AW182" s="148"/>
      <c r="AX182" s="148"/>
      <c r="AY182" s="148"/>
      <c r="AZ182" s="148"/>
      <c r="BA182" s="148"/>
      <c r="BB182" s="148"/>
      <c r="BC182" s="148"/>
      <c r="BD182" s="148"/>
      <c r="BE182" s="148"/>
      <c r="BF182" s="148"/>
      <c r="BG182" s="148"/>
      <c r="BH182" s="148"/>
      <c r="BI182" s="148"/>
      <c r="BJ182" s="148"/>
      <c r="BK182" s="148"/>
      <c r="BL182" s="148"/>
      <c r="BM182" s="148"/>
      <c r="BN182" s="148"/>
      <c r="BO182" s="148"/>
      <c r="BP182" s="148"/>
      <c r="BQ182" s="148"/>
      <c r="BR182" s="148"/>
      <c r="BS182" s="148"/>
      <c r="BT182" s="148"/>
      <c r="BU182" s="148"/>
      <c r="BV182" s="148"/>
      <c r="BW182" s="148"/>
      <c r="BX182" s="148"/>
      <c r="BY182" s="148"/>
      <c r="BZ182" s="148"/>
      <c r="CA182" s="148"/>
      <c r="CB182" s="148"/>
      <c r="CC182" s="148"/>
      <c r="CD182" s="148"/>
      <c r="CE182" s="148"/>
      <c r="CF182" s="148"/>
      <c r="CG182" s="148"/>
      <c r="CH182" s="148"/>
      <c r="CI182" s="148"/>
      <c r="CJ182" s="148"/>
      <c r="CK182" s="148"/>
      <c r="CL182" s="148"/>
      <c r="CM182" s="148"/>
      <c r="CN182" s="148"/>
      <c r="CO182" s="148"/>
      <c r="CP182" s="148"/>
      <c r="CQ182" s="148"/>
      <c r="CR182" s="148"/>
      <c r="CS182" s="148"/>
      <c r="CT182" s="148"/>
      <c r="CU182" s="148"/>
      <c r="CV182" s="148"/>
      <c r="CW182" s="148"/>
      <c r="CX182" s="148"/>
      <c r="CY182" s="148"/>
      <c r="CZ182" s="148"/>
      <c r="DA182" s="148"/>
      <c r="DB182" s="148"/>
      <c r="DC182" s="148"/>
      <c r="DD182" s="148"/>
      <c r="DE182" s="148"/>
      <c r="DF182" s="148"/>
      <c r="DG182" s="148"/>
      <c r="DH182" s="148"/>
      <c r="DI182" s="148"/>
      <c r="DJ182" s="148"/>
      <c r="DK182" s="148"/>
      <c r="DL182" s="148"/>
      <c r="DM182" s="148"/>
      <c r="DN182" s="148"/>
      <c r="DO182" s="148"/>
      <c r="DP182" s="148"/>
      <c r="DQ182" s="148"/>
      <c r="DR182" s="148"/>
      <c r="DS182" s="148"/>
      <c r="DT182" s="148"/>
      <c r="DU182" s="148"/>
      <c r="DV182" s="148"/>
      <c r="DW182" s="148"/>
      <c r="DX182" s="148"/>
      <c r="DY182" s="148"/>
      <c r="DZ182" s="148"/>
      <c r="EA182" s="148"/>
      <c r="EB182" s="148"/>
      <c r="EC182" s="148"/>
      <c r="ED182" s="148"/>
      <c r="EE182" s="148"/>
      <c r="EF182" s="148"/>
      <c r="EG182" s="148"/>
      <c r="EH182" s="148"/>
      <c r="EI182" s="148"/>
      <c r="EJ182" s="148"/>
      <c r="EK182" s="148"/>
      <c r="EL182" s="148"/>
      <c r="EM182" s="148"/>
      <c r="EN182" s="148"/>
      <c r="EO182" s="148"/>
      <c r="EP182" s="148"/>
      <c r="EQ182" s="148"/>
      <c r="ER182" s="148"/>
      <c r="ES182" s="148"/>
      <c r="ET182" s="148"/>
      <c r="EU182" s="148"/>
      <c r="EV182" s="148"/>
      <c r="EW182" s="148"/>
      <c r="EX182" s="148"/>
      <c r="EY182" s="148"/>
      <c r="EZ182" s="148"/>
      <c r="FA182" s="148"/>
      <c r="FB182" s="148"/>
      <c r="FC182" s="148"/>
      <c r="FD182" s="148"/>
      <c r="FE182" s="148"/>
      <c r="FF182" s="148"/>
      <c r="FG182" s="148"/>
      <c r="FH182" s="148"/>
      <c r="FI182" s="148"/>
      <c r="FJ182" s="148"/>
      <c r="FK182" s="148"/>
      <c r="FL182" s="148"/>
      <c r="FM182" s="148"/>
      <c r="FN182" s="148"/>
      <c r="FO182" s="148"/>
      <c r="FP182" s="148"/>
      <c r="FQ182" s="148"/>
      <c r="FR182" s="148"/>
      <c r="FS182" s="148"/>
      <c r="FT182" s="148"/>
      <c r="FU182" s="148"/>
      <c r="FV182" s="148"/>
      <c r="FW182" s="148"/>
      <c r="FX182" s="148"/>
      <c r="FY182" s="148"/>
      <c r="FZ182" s="148"/>
      <c r="GA182" s="148"/>
      <c r="GB182" s="148"/>
      <c r="GC182" s="148"/>
      <c r="GD182" s="148"/>
      <c r="GE182" s="148"/>
      <c r="GF182" s="148"/>
      <c r="GG182" s="148"/>
      <c r="GH182" s="148"/>
      <c r="GI182" s="148"/>
      <c r="GJ182" s="148"/>
      <c r="GK182" s="148"/>
      <c r="GL182" s="148"/>
      <c r="GM182" s="148"/>
      <c r="GN182" s="148"/>
      <c r="GO182" s="148"/>
      <c r="GP182" s="148"/>
      <c r="GQ182" s="148"/>
      <c r="GR182" s="148"/>
      <c r="GS182" s="148"/>
      <c r="GT182" s="148"/>
      <c r="GU182" s="148"/>
      <c r="GV182" s="148"/>
      <c r="GW182" s="148"/>
      <c r="GX182" s="148"/>
      <c r="GY182" s="148"/>
      <c r="GZ182" s="148"/>
      <c r="HA182" s="148"/>
      <c r="HB182" s="148"/>
      <c r="HC182" s="148"/>
      <c r="HD182" s="148"/>
      <c r="HE182" s="148"/>
      <c r="HF182" s="148"/>
      <c r="HG182" s="148"/>
      <c r="HH182" s="148"/>
      <c r="HI182" s="148"/>
      <c r="HJ182" s="148"/>
      <c r="HK182" s="148"/>
      <c r="HL182" s="148"/>
      <c r="HM182" s="148"/>
      <c r="HN182" s="148"/>
      <c r="HO182" s="148"/>
      <c r="HP182" s="148"/>
      <c r="HQ182" s="148"/>
      <c r="HR182" s="148"/>
      <c r="HS182" s="148"/>
      <c r="HT182" s="148"/>
      <c r="HU182" s="148"/>
      <c r="HV182" s="148"/>
      <c r="HW182" s="148"/>
      <c r="HX182" s="148"/>
      <c r="HY182" s="148"/>
      <c r="HZ182" s="148"/>
      <c r="IA182" s="148"/>
      <c r="IB182" s="148"/>
      <c r="IC182" s="148"/>
      <c r="ID182" s="148"/>
      <c r="IE182" s="148"/>
      <c r="IF182" s="148"/>
      <c r="IG182" s="148"/>
      <c r="IH182" s="148"/>
      <c r="II182" s="148"/>
      <c r="IJ182" s="148"/>
      <c r="IK182" s="148"/>
      <c r="IL182" s="148"/>
      <c r="IM182" s="148"/>
      <c r="IN182" s="148"/>
      <c r="IO182" s="148"/>
      <c r="IP182" s="148"/>
      <c r="IQ182" s="148"/>
      <c r="IR182" s="148"/>
      <c r="IS182" s="148"/>
      <c r="IT182" s="148"/>
      <c r="IU182" s="148"/>
      <c r="IV182" s="148"/>
      <c r="IW182" s="148"/>
      <c r="IX182" s="148"/>
      <c r="IY182" s="148"/>
      <c r="IZ182" s="148"/>
      <c r="JA182" s="148"/>
      <c r="JB182" s="148"/>
      <c r="JC182" s="148"/>
      <c r="JD182" s="148"/>
      <c r="JE182" s="148"/>
      <c r="JF182" s="148"/>
      <c r="JG182" s="148"/>
      <c r="JH182" s="148"/>
      <c r="JI182" s="148"/>
      <c r="JJ182" s="148"/>
      <c r="JK182" s="148"/>
      <c r="JL182" s="148"/>
      <c r="JM182" s="148"/>
      <c r="JN182" s="148"/>
      <c r="JO182" s="148"/>
      <c r="JP182" s="148"/>
      <c r="JQ182" s="148"/>
      <c r="JR182" s="148"/>
      <c r="JS182" s="148"/>
      <c r="JT182" s="148"/>
      <c r="JU182" s="148"/>
      <c r="JV182" s="148"/>
      <c r="JW182" s="148"/>
      <c r="JX182" s="148"/>
      <c r="JY182" s="148"/>
      <c r="JZ182" s="148"/>
      <c r="KA182" s="148"/>
      <c r="KB182" s="148"/>
      <c r="KC182" s="148"/>
      <c r="KD182" s="148"/>
      <c r="KE182" s="148"/>
      <c r="KF182" s="148"/>
      <c r="KG182" s="148"/>
      <c r="KH182" s="148"/>
      <c r="KI182" s="148"/>
      <c r="KJ182" s="148"/>
      <c r="KK182" s="148"/>
      <c r="KL182" s="148"/>
      <c r="KM182" s="148"/>
      <c r="KN182" s="148"/>
      <c r="KO182" s="148"/>
      <c r="KP182" s="148"/>
      <c r="KQ182" s="148"/>
      <c r="KR182" s="148"/>
      <c r="KS182" s="148"/>
      <c r="KT182" s="148"/>
      <c r="KU182" s="148"/>
      <c r="KV182" s="148"/>
      <c r="KW182" s="148"/>
      <c r="KX182" s="148"/>
      <c r="KY182" s="148"/>
      <c r="KZ182" s="148"/>
      <c r="LA182" s="148"/>
      <c r="LB182" s="148"/>
      <c r="LC182" s="148"/>
      <c r="LD182" s="148"/>
      <c r="LE182" s="148"/>
      <c r="LF182" s="148"/>
      <c r="LG182" s="148"/>
      <c r="LH182" s="148"/>
      <c r="LI182" s="148"/>
      <c r="LJ182" s="148"/>
      <c r="LK182" s="148"/>
      <c r="LL182" s="148"/>
      <c r="LM182" s="148"/>
      <c r="LN182" s="148"/>
      <c r="LO182" s="148"/>
      <c r="LP182" s="148"/>
      <c r="LQ182" s="148"/>
      <c r="LR182" s="148"/>
      <c r="LS182" s="148"/>
      <c r="LT182" s="148"/>
      <c r="LU182" s="148"/>
      <c r="LV182" s="148"/>
      <c r="LW182" s="148"/>
      <c r="LX182" s="148"/>
      <c r="LY182" s="148"/>
      <c r="LZ182" s="148"/>
      <c r="MA182" s="148"/>
      <c r="MB182" s="148"/>
      <c r="MC182" s="148"/>
      <c r="MD182" s="148"/>
      <c r="ME182" s="148"/>
      <c r="MF182" s="148"/>
      <c r="MG182" s="148"/>
      <c r="MH182" s="148"/>
      <c r="MI182" s="148"/>
      <c r="MJ182" s="148"/>
      <c r="MK182" s="148"/>
      <c r="ML182" s="148"/>
      <c r="MM182" s="148"/>
      <c r="MN182" s="148"/>
      <c r="MO182" s="148"/>
      <c r="MP182" s="148"/>
      <c r="MQ182" s="148"/>
      <c r="MR182" s="148"/>
      <c r="MS182" s="148"/>
      <c r="MT182" s="148"/>
      <c r="MU182" s="148"/>
      <c r="MV182" s="148"/>
      <c r="MW182" s="148"/>
      <c r="MX182" s="148"/>
      <c r="MY182" s="148"/>
      <c r="MZ182" s="148"/>
      <c r="NA182" s="148"/>
      <c r="NB182" s="148"/>
      <c r="NC182" s="148"/>
      <c r="ND182" s="148"/>
      <c r="NE182" s="148"/>
      <c r="NF182" s="148"/>
      <c r="NG182" s="148"/>
      <c r="NH182" s="148"/>
      <c r="NI182" s="148"/>
      <c r="NJ182" s="148"/>
      <c r="NK182" s="148"/>
      <c r="NL182" s="148"/>
      <c r="NM182" s="148"/>
      <c r="NN182" s="148"/>
      <c r="NO182" s="148"/>
      <c r="NP182" s="148"/>
      <c r="NQ182" s="148"/>
      <c r="NR182" s="148"/>
      <c r="NS182" s="148"/>
      <c r="NT182" s="148"/>
      <c r="NU182" s="148"/>
      <c r="NV182" s="148"/>
      <c r="NW182" s="148"/>
      <c r="NX182" s="148"/>
      <c r="NY182" s="148"/>
      <c r="NZ182" s="148"/>
      <c r="OA182" s="148"/>
      <c r="OB182" s="148"/>
      <c r="OC182" s="148"/>
      <c r="OD182" s="148"/>
      <c r="OE182" s="148"/>
      <c r="OF182" s="148"/>
      <c r="OG182" s="148"/>
      <c r="OH182" s="148"/>
      <c r="OI182" s="148"/>
      <c r="OJ182" s="148"/>
      <c r="OK182" s="148"/>
      <c r="OL182" s="148"/>
      <c r="OM182" s="148"/>
      <c r="ON182" s="148"/>
      <c r="OO182" s="148"/>
      <c r="OP182" s="148"/>
      <c r="OQ182" s="148"/>
      <c r="OR182" s="148"/>
      <c r="OS182" s="148"/>
      <c r="OT182" s="148"/>
      <c r="OU182" s="148"/>
      <c r="OV182" s="148"/>
      <c r="OW182" s="148"/>
      <c r="OX182" s="148"/>
      <c r="OY182" s="148"/>
      <c r="OZ182" s="148"/>
      <c r="PA182" s="148"/>
      <c r="PB182" s="148"/>
      <c r="PC182" s="148"/>
      <c r="PD182" s="148"/>
      <c r="PE182" s="148"/>
      <c r="PF182" s="148"/>
      <c r="PG182" s="148"/>
      <c r="PH182" s="148"/>
      <c r="PI182" s="148"/>
      <c r="PJ182" s="148"/>
      <c r="PK182" s="148"/>
      <c r="PL182" s="148"/>
      <c r="PM182" s="148"/>
      <c r="PN182" s="148"/>
      <c r="PO182" s="148"/>
      <c r="PP182" s="148"/>
      <c r="PQ182" s="148"/>
      <c r="PR182" s="148"/>
      <c r="PS182" s="148"/>
      <c r="PT182" s="148"/>
      <c r="PU182" s="148"/>
      <c r="PV182" s="148"/>
      <c r="PW182" s="148"/>
      <c r="PX182" s="148"/>
      <c r="PY182" s="148"/>
      <c r="PZ182" s="148"/>
      <c r="QA182" s="148"/>
      <c r="QB182" s="148"/>
      <c r="QC182" s="148"/>
      <c r="QD182" s="148"/>
      <c r="QE182" s="148"/>
      <c r="QF182" s="148"/>
      <c r="QG182" s="148"/>
      <c r="QH182" s="148"/>
      <c r="QI182" s="148"/>
      <c r="QJ182" s="148"/>
      <c r="QK182" s="148"/>
      <c r="QL182" s="148"/>
      <c r="QM182" s="148"/>
      <c r="QN182" s="148"/>
      <c r="QO182" s="148"/>
      <c r="QP182" s="148"/>
      <c r="QQ182" s="148"/>
      <c r="QR182" s="148"/>
      <c r="QS182" s="148"/>
      <c r="QT182" s="148"/>
      <c r="QU182" s="148"/>
      <c r="QV182" s="148"/>
      <c r="QW182" s="148"/>
      <c r="QX182" s="148"/>
      <c r="QY182" s="148"/>
      <c r="QZ182" s="148"/>
      <c r="RA182" s="148"/>
      <c r="RB182" s="148"/>
      <c r="RC182" s="148"/>
      <c r="RD182" s="148"/>
      <c r="RE182" s="148"/>
      <c r="RF182" s="148"/>
      <c r="RG182" s="148"/>
      <c r="RH182" s="148"/>
      <c r="RI182" s="148"/>
      <c r="RJ182" s="148"/>
      <c r="RK182" s="148"/>
      <c r="RL182" s="148"/>
      <c r="RM182" s="148"/>
      <c r="RN182" s="148"/>
      <c r="RO182" s="148"/>
      <c r="RP182" s="148"/>
      <c r="RQ182" s="148"/>
      <c r="RR182" s="148"/>
    </row>
    <row r="183" spans="1:486" s="15" customFormat="1" x14ac:dyDescent="0.25">
      <c r="A183" s="148"/>
      <c r="B183" s="350">
        <v>173</v>
      </c>
      <c r="C183" s="650"/>
      <c r="D183" s="16"/>
      <c r="E183" s="344"/>
      <c r="F183" s="344"/>
      <c r="G183" s="17"/>
      <c r="H183" s="317"/>
      <c r="I183" s="346"/>
      <c r="J183" s="341"/>
      <c r="K183" s="633"/>
      <c r="L183" s="633"/>
      <c r="M183" s="633"/>
      <c r="N183" s="633"/>
      <c r="O183" s="633"/>
      <c r="P183" s="633"/>
      <c r="Q183" s="633"/>
      <c r="R183" s="633"/>
      <c r="S183" s="633"/>
      <c r="T183" s="633"/>
      <c r="U183" s="633"/>
      <c r="V183" s="633"/>
      <c r="W183" s="633"/>
      <c r="X183" s="633"/>
      <c r="Y183" s="633">
        <f t="shared" si="6"/>
        <v>0</v>
      </c>
      <c r="Z183" s="310"/>
      <c r="AA183" s="19"/>
      <c r="AB183" s="21"/>
      <c r="AC183" s="23"/>
      <c r="AD183" s="652"/>
      <c r="AE183" s="20"/>
      <c r="AF183" s="21"/>
      <c r="AG183" s="25"/>
      <c r="AH183" s="637"/>
      <c r="AI183" s="19"/>
      <c r="AJ183" s="21"/>
      <c r="AK183" s="25"/>
      <c r="AL183" s="309"/>
      <c r="AM183" s="19"/>
      <c r="AN183" s="21"/>
      <c r="AO183" s="25"/>
      <c r="AP183" s="309"/>
      <c r="AQ183" s="19"/>
      <c r="AR183" s="21"/>
      <c r="AS183" s="25"/>
      <c r="AT183" s="638">
        <f t="shared" si="7"/>
        <v>0</v>
      </c>
      <c r="AU183" s="311">
        <f t="shared" si="5"/>
        <v>0</v>
      </c>
      <c r="AV183" s="148"/>
      <c r="AW183" s="148"/>
      <c r="AX183" s="148"/>
      <c r="AY183" s="148"/>
      <c r="AZ183" s="148"/>
      <c r="BA183" s="148"/>
      <c r="BB183" s="148"/>
      <c r="BC183" s="148"/>
      <c r="BD183" s="148"/>
      <c r="BE183" s="148"/>
      <c r="BF183" s="148"/>
      <c r="BG183" s="148"/>
      <c r="BH183" s="148"/>
      <c r="BI183" s="148"/>
      <c r="BJ183" s="148"/>
      <c r="BK183" s="148"/>
      <c r="BL183" s="148"/>
      <c r="BM183" s="148"/>
      <c r="BN183" s="148"/>
      <c r="BO183" s="148"/>
      <c r="BP183" s="148"/>
      <c r="BQ183" s="148"/>
      <c r="BR183" s="148"/>
      <c r="BS183" s="148"/>
      <c r="BT183" s="148"/>
      <c r="BU183" s="148"/>
      <c r="BV183" s="148"/>
      <c r="BW183" s="148"/>
      <c r="BX183" s="148"/>
      <c r="BY183" s="148"/>
      <c r="BZ183" s="148"/>
      <c r="CA183" s="148"/>
      <c r="CB183" s="148"/>
      <c r="CC183" s="148"/>
      <c r="CD183" s="148"/>
      <c r="CE183" s="148"/>
      <c r="CF183" s="148"/>
      <c r="CG183" s="148"/>
      <c r="CH183" s="148"/>
      <c r="CI183" s="148"/>
      <c r="CJ183" s="148"/>
      <c r="CK183" s="148"/>
      <c r="CL183" s="148"/>
      <c r="CM183" s="148"/>
      <c r="CN183" s="148"/>
      <c r="CO183" s="148"/>
      <c r="CP183" s="148"/>
      <c r="CQ183" s="148"/>
      <c r="CR183" s="148"/>
      <c r="CS183" s="148"/>
      <c r="CT183" s="148"/>
      <c r="CU183" s="148"/>
      <c r="CV183" s="148"/>
      <c r="CW183" s="148"/>
      <c r="CX183" s="148"/>
      <c r="CY183" s="148"/>
      <c r="CZ183" s="148"/>
      <c r="DA183" s="148"/>
      <c r="DB183" s="148"/>
      <c r="DC183" s="148"/>
      <c r="DD183" s="148"/>
      <c r="DE183" s="148"/>
      <c r="DF183" s="148"/>
      <c r="DG183" s="148"/>
      <c r="DH183" s="148"/>
      <c r="DI183" s="148"/>
      <c r="DJ183" s="148"/>
      <c r="DK183" s="148"/>
      <c r="DL183" s="148"/>
      <c r="DM183" s="148"/>
      <c r="DN183" s="148"/>
      <c r="DO183" s="148"/>
      <c r="DP183" s="148"/>
      <c r="DQ183" s="148"/>
      <c r="DR183" s="148"/>
      <c r="DS183" s="148"/>
      <c r="DT183" s="148"/>
      <c r="DU183" s="148"/>
      <c r="DV183" s="148"/>
      <c r="DW183" s="148"/>
      <c r="DX183" s="148"/>
      <c r="DY183" s="148"/>
      <c r="DZ183" s="148"/>
      <c r="EA183" s="148"/>
      <c r="EB183" s="148"/>
      <c r="EC183" s="148"/>
      <c r="ED183" s="148"/>
      <c r="EE183" s="148"/>
      <c r="EF183" s="148"/>
      <c r="EG183" s="148"/>
      <c r="EH183" s="148"/>
      <c r="EI183" s="148"/>
      <c r="EJ183" s="148"/>
      <c r="EK183" s="148"/>
      <c r="EL183" s="148"/>
      <c r="EM183" s="148"/>
      <c r="EN183" s="148"/>
      <c r="EO183" s="148"/>
      <c r="EP183" s="148"/>
      <c r="EQ183" s="148"/>
      <c r="ER183" s="148"/>
      <c r="ES183" s="148"/>
      <c r="ET183" s="148"/>
      <c r="EU183" s="148"/>
      <c r="EV183" s="148"/>
      <c r="EW183" s="148"/>
      <c r="EX183" s="148"/>
      <c r="EY183" s="148"/>
      <c r="EZ183" s="148"/>
      <c r="FA183" s="148"/>
      <c r="FB183" s="148"/>
      <c r="FC183" s="148"/>
      <c r="FD183" s="148"/>
      <c r="FE183" s="148"/>
      <c r="FF183" s="148"/>
      <c r="FG183" s="148"/>
      <c r="FH183" s="148"/>
      <c r="FI183" s="148"/>
      <c r="FJ183" s="148"/>
      <c r="FK183" s="148"/>
      <c r="FL183" s="148"/>
      <c r="FM183" s="148"/>
      <c r="FN183" s="148"/>
      <c r="FO183" s="148"/>
      <c r="FP183" s="148"/>
      <c r="FQ183" s="148"/>
      <c r="FR183" s="148"/>
      <c r="FS183" s="148"/>
      <c r="FT183" s="148"/>
      <c r="FU183" s="148"/>
      <c r="FV183" s="148"/>
      <c r="FW183" s="148"/>
      <c r="FX183" s="148"/>
      <c r="FY183" s="148"/>
      <c r="FZ183" s="148"/>
      <c r="GA183" s="148"/>
      <c r="GB183" s="148"/>
      <c r="GC183" s="148"/>
      <c r="GD183" s="148"/>
      <c r="GE183" s="148"/>
      <c r="GF183" s="148"/>
      <c r="GG183" s="148"/>
      <c r="GH183" s="148"/>
      <c r="GI183" s="148"/>
      <c r="GJ183" s="148"/>
      <c r="GK183" s="148"/>
      <c r="GL183" s="148"/>
      <c r="GM183" s="148"/>
      <c r="GN183" s="148"/>
      <c r="GO183" s="148"/>
      <c r="GP183" s="148"/>
      <c r="GQ183" s="148"/>
      <c r="GR183" s="148"/>
      <c r="GS183" s="148"/>
      <c r="GT183" s="148"/>
      <c r="GU183" s="148"/>
      <c r="GV183" s="148"/>
      <c r="GW183" s="148"/>
      <c r="GX183" s="148"/>
      <c r="GY183" s="148"/>
      <c r="GZ183" s="148"/>
      <c r="HA183" s="148"/>
      <c r="HB183" s="148"/>
      <c r="HC183" s="148"/>
      <c r="HD183" s="148"/>
      <c r="HE183" s="148"/>
      <c r="HF183" s="148"/>
      <c r="HG183" s="148"/>
      <c r="HH183" s="148"/>
      <c r="HI183" s="148"/>
      <c r="HJ183" s="148"/>
      <c r="HK183" s="148"/>
      <c r="HL183" s="148"/>
      <c r="HM183" s="148"/>
      <c r="HN183" s="148"/>
      <c r="HO183" s="148"/>
      <c r="HP183" s="148"/>
      <c r="HQ183" s="148"/>
      <c r="HR183" s="148"/>
      <c r="HS183" s="148"/>
      <c r="HT183" s="148"/>
      <c r="HU183" s="148"/>
      <c r="HV183" s="148"/>
      <c r="HW183" s="148"/>
      <c r="HX183" s="148"/>
      <c r="HY183" s="148"/>
      <c r="HZ183" s="148"/>
      <c r="IA183" s="148"/>
      <c r="IB183" s="148"/>
      <c r="IC183" s="148"/>
      <c r="ID183" s="148"/>
      <c r="IE183" s="148"/>
      <c r="IF183" s="148"/>
      <c r="IG183" s="148"/>
      <c r="IH183" s="148"/>
      <c r="II183" s="148"/>
      <c r="IJ183" s="148"/>
      <c r="IK183" s="148"/>
      <c r="IL183" s="148"/>
      <c r="IM183" s="148"/>
      <c r="IN183" s="148"/>
      <c r="IO183" s="148"/>
      <c r="IP183" s="148"/>
      <c r="IQ183" s="148"/>
      <c r="IR183" s="148"/>
      <c r="IS183" s="148"/>
      <c r="IT183" s="148"/>
      <c r="IU183" s="148"/>
      <c r="IV183" s="148"/>
      <c r="IW183" s="148"/>
      <c r="IX183" s="148"/>
      <c r="IY183" s="148"/>
      <c r="IZ183" s="148"/>
      <c r="JA183" s="148"/>
      <c r="JB183" s="148"/>
      <c r="JC183" s="148"/>
      <c r="JD183" s="148"/>
      <c r="JE183" s="148"/>
      <c r="JF183" s="148"/>
      <c r="JG183" s="148"/>
      <c r="JH183" s="148"/>
      <c r="JI183" s="148"/>
      <c r="JJ183" s="148"/>
      <c r="JK183" s="148"/>
      <c r="JL183" s="148"/>
      <c r="JM183" s="148"/>
      <c r="JN183" s="148"/>
      <c r="JO183" s="148"/>
      <c r="JP183" s="148"/>
      <c r="JQ183" s="148"/>
      <c r="JR183" s="148"/>
      <c r="JS183" s="148"/>
      <c r="JT183" s="148"/>
      <c r="JU183" s="148"/>
      <c r="JV183" s="148"/>
      <c r="JW183" s="148"/>
      <c r="JX183" s="148"/>
      <c r="JY183" s="148"/>
      <c r="JZ183" s="148"/>
      <c r="KA183" s="148"/>
      <c r="KB183" s="148"/>
      <c r="KC183" s="148"/>
      <c r="KD183" s="148"/>
      <c r="KE183" s="148"/>
      <c r="KF183" s="148"/>
      <c r="KG183" s="148"/>
      <c r="KH183" s="148"/>
      <c r="KI183" s="148"/>
      <c r="KJ183" s="148"/>
      <c r="KK183" s="148"/>
      <c r="KL183" s="148"/>
      <c r="KM183" s="148"/>
      <c r="KN183" s="148"/>
      <c r="KO183" s="148"/>
      <c r="KP183" s="148"/>
      <c r="KQ183" s="148"/>
      <c r="KR183" s="148"/>
      <c r="KS183" s="148"/>
      <c r="KT183" s="148"/>
      <c r="KU183" s="148"/>
      <c r="KV183" s="148"/>
      <c r="KW183" s="148"/>
      <c r="KX183" s="148"/>
      <c r="KY183" s="148"/>
      <c r="KZ183" s="148"/>
      <c r="LA183" s="148"/>
      <c r="LB183" s="148"/>
      <c r="LC183" s="148"/>
      <c r="LD183" s="148"/>
      <c r="LE183" s="148"/>
      <c r="LF183" s="148"/>
      <c r="LG183" s="148"/>
      <c r="LH183" s="148"/>
      <c r="LI183" s="148"/>
      <c r="LJ183" s="148"/>
      <c r="LK183" s="148"/>
      <c r="LL183" s="148"/>
      <c r="LM183" s="148"/>
      <c r="LN183" s="148"/>
      <c r="LO183" s="148"/>
      <c r="LP183" s="148"/>
      <c r="LQ183" s="148"/>
      <c r="LR183" s="148"/>
      <c r="LS183" s="148"/>
      <c r="LT183" s="148"/>
      <c r="LU183" s="148"/>
      <c r="LV183" s="148"/>
      <c r="LW183" s="148"/>
      <c r="LX183" s="148"/>
      <c r="LY183" s="148"/>
      <c r="LZ183" s="148"/>
      <c r="MA183" s="148"/>
      <c r="MB183" s="148"/>
      <c r="MC183" s="148"/>
      <c r="MD183" s="148"/>
      <c r="ME183" s="148"/>
      <c r="MF183" s="148"/>
      <c r="MG183" s="148"/>
      <c r="MH183" s="148"/>
      <c r="MI183" s="148"/>
      <c r="MJ183" s="148"/>
      <c r="MK183" s="148"/>
      <c r="ML183" s="148"/>
      <c r="MM183" s="148"/>
      <c r="MN183" s="148"/>
      <c r="MO183" s="148"/>
      <c r="MP183" s="148"/>
      <c r="MQ183" s="148"/>
      <c r="MR183" s="148"/>
      <c r="MS183" s="148"/>
      <c r="MT183" s="148"/>
      <c r="MU183" s="148"/>
      <c r="MV183" s="148"/>
      <c r="MW183" s="148"/>
      <c r="MX183" s="148"/>
      <c r="MY183" s="148"/>
      <c r="MZ183" s="148"/>
      <c r="NA183" s="148"/>
      <c r="NB183" s="148"/>
      <c r="NC183" s="148"/>
      <c r="ND183" s="148"/>
      <c r="NE183" s="148"/>
      <c r="NF183" s="148"/>
      <c r="NG183" s="148"/>
      <c r="NH183" s="148"/>
      <c r="NI183" s="148"/>
      <c r="NJ183" s="148"/>
      <c r="NK183" s="148"/>
      <c r="NL183" s="148"/>
      <c r="NM183" s="148"/>
      <c r="NN183" s="148"/>
      <c r="NO183" s="148"/>
      <c r="NP183" s="148"/>
      <c r="NQ183" s="148"/>
      <c r="NR183" s="148"/>
      <c r="NS183" s="148"/>
      <c r="NT183" s="148"/>
      <c r="NU183" s="148"/>
      <c r="NV183" s="148"/>
      <c r="NW183" s="148"/>
      <c r="NX183" s="148"/>
      <c r="NY183" s="148"/>
      <c r="NZ183" s="148"/>
      <c r="OA183" s="148"/>
      <c r="OB183" s="148"/>
      <c r="OC183" s="148"/>
      <c r="OD183" s="148"/>
      <c r="OE183" s="148"/>
      <c r="OF183" s="148"/>
      <c r="OG183" s="148"/>
      <c r="OH183" s="148"/>
      <c r="OI183" s="148"/>
      <c r="OJ183" s="148"/>
      <c r="OK183" s="148"/>
      <c r="OL183" s="148"/>
      <c r="OM183" s="148"/>
      <c r="ON183" s="148"/>
      <c r="OO183" s="148"/>
      <c r="OP183" s="148"/>
      <c r="OQ183" s="148"/>
      <c r="OR183" s="148"/>
      <c r="OS183" s="148"/>
      <c r="OT183" s="148"/>
      <c r="OU183" s="148"/>
      <c r="OV183" s="148"/>
      <c r="OW183" s="148"/>
      <c r="OX183" s="148"/>
      <c r="OY183" s="148"/>
      <c r="OZ183" s="148"/>
      <c r="PA183" s="148"/>
      <c r="PB183" s="148"/>
      <c r="PC183" s="148"/>
      <c r="PD183" s="148"/>
      <c r="PE183" s="148"/>
      <c r="PF183" s="148"/>
      <c r="PG183" s="148"/>
      <c r="PH183" s="148"/>
      <c r="PI183" s="148"/>
      <c r="PJ183" s="148"/>
      <c r="PK183" s="148"/>
      <c r="PL183" s="148"/>
      <c r="PM183" s="148"/>
      <c r="PN183" s="148"/>
      <c r="PO183" s="148"/>
      <c r="PP183" s="148"/>
      <c r="PQ183" s="148"/>
      <c r="PR183" s="148"/>
      <c r="PS183" s="148"/>
      <c r="PT183" s="148"/>
      <c r="PU183" s="148"/>
      <c r="PV183" s="148"/>
      <c r="PW183" s="148"/>
      <c r="PX183" s="148"/>
      <c r="PY183" s="148"/>
      <c r="PZ183" s="148"/>
      <c r="QA183" s="148"/>
      <c r="QB183" s="148"/>
      <c r="QC183" s="148"/>
      <c r="QD183" s="148"/>
      <c r="QE183" s="148"/>
      <c r="QF183" s="148"/>
      <c r="QG183" s="148"/>
      <c r="QH183" s="148"/>
      <c r="QI183" s="148"/>
      <c r="QJ183" s="148"/>
      <c r="QK183" s="148"/>
      <c r="QL183" s="148"/>
      <c r="QM183" s="148"/>
      <c r="QN183" s="148"/>
      <c r="QO183" s="148"/>
      <c r="QP183" s="148"/>
      <c r="QQ183" s="148"/>
      <c r="QR183" s="148"/>
      <c r="QS183" s="148"/>
      <c r="QT183" s="148"/>
      <c r="QU183" s="148"/>
      <c r="QV183" s="148"/>
      <c r="QW183" s="148"/>
      <c r="QX183" s="148"/>
      <c r="QY183" s="148"/>
      <c r="QZ183" s="148"/>
      <c r="RA183" s="148"/>
      <c r="RB183" s="148"/>
      <c r="RC183" s="148"/>
      <c r="RD183" s="148"/>
      <c r="RE183" s="148"/>
      <c r="RF183" s="148"/>
      <c r="RG183" s="148"/>
      <c r="RH183" s="148"/>
      <c r="RI183" s="148"/>
      <c r="RJ183" s="148"/>
      <c r="RK183" s="148"/>
      <c r="RL183" s="148"/>
      <c r="RM183" s="148"/>
      <c r="RN183" s="148"/>
      <c r="RO183" s="148"/>
      <c r="RP183" s="148"/>
      <c r="RQ183" s="148"/>
      <c r="RR183" s="148"/>
    </row>
    <row r="184" spans="1:486" s="15" customFormat="1" x14ac:dyDescent="0.25">
      <c r="A184" s="148"/>
      <c r="B184" s="350">
        <v>174</v>
      </c>
      <c r="C184" s="350"/>
      <c r="D184" s="16"/>
      <c r="E184" s="344"/>
      <c r="F184" s="344"/>
      <c r="G184" s="17"/>
      <c r="H184" s="317"/>
      <c r="I184" s="322"/>
      <c r="J184" s="341"/>
      <c r="K184" s="633"/>
      <c r="L184" s="633"/>
      <c r="M184" s="633"/>
      <c r="N184" s="633"/>
      <c r="O184" s="633"/>
      <c r="P184" s="633"/>
      <c r="Q184" s="633"/>
      <c r="R184" s="633"/>
      <c r="S184" s="633"/>
      <c r="T184" s="633"/>
      <c r="U184" s="633"/>
      <c r="V184" s="633"/>
      <c r="W184" s="633"/>
      <c r="X184" s="633"/>
      <c r="Y184" s="633">
        <f t="shared" si="6"/>
        <v>0</v>
      </c>
      <c r="Z184" s="310"/>
      <c r="AA184" s="19"/>
      <c r="AB184" s="21"/>
      <c r="AC184" s="23"/>
      <c r="AD184" s="652"/>
      <c r="AE184" s="20"/>
      <c r="AF184" s="21"/>
      <c r="AG184" s="25"/>
      <c r="AH184" s="637"/>
      <c r="AI184" s="19"/>
      <c r="AJ184" s="21"/>
      <c r="AK184" s="25"/>
      <c r="AL184" s="309"/>
      <c r="AM184" s="19"/>
      <c r="AN184" s="21"/>
      <c r="AO184" s="25"/>
      <c r="AP184" s="309"/>
      <c r="AQ184" s="19"/>
      <c r="AR184" s="21"/>
      <c r="AS184" s="25"/>
      <c r="AT184" s="638">
        <f t="shared" si="7"/>
        <v>0</v>
      </c>
      <c r="AU184" s="311">
        <f t="shared" si="5"/>
        <v>0</v>
      </c>
      <c r="AV184" s="148"/>
      <c r="AW184" s="148"/>
      <c r="AX184" s="148"/>
      <c r="AY184" s="148"/>
      <c r="AZ184" s="148"/>
      <c r="BA184" s="148"/>
      <c r="BB184" s="148"/>
      <c r="BC184" s="148"/>
      <c r="BD184" s="148"/>
      <c r="BE184" s="148"/>
      <c r="BF184" s="148"/>
      <c r="BG184" s="148"/>
      <c r="BH184" s="148"/>
      <c r="BI184" s="148"/>
      <c r="BJ184" s="148"/>
      <c r="BK184" s="148"/>
      <c r="BL184" s="148"/>
      <c r="BM184" s="148"/>
      <c r="BN184" s="148"/>
      <c r="BO184" s="148"/>
      <c r="BP184" s="148"/>
      <c r="BQ184" s="148"/>
      <c r="BR184" s="148"/>
      <c r="BS184" s="148"/>
      <c r="BT184" s="148"/>
      <c r="BU184" s="148"/>
      <c r="BV184" s="148"/>
      <c r="BW184" s="148"/>
      <c r="BX184" s="148"/>
      <c r="BY184" s="148"/>
      <c r="BZ184" s="148"/>
      <c r="CA184" s="148"/>
      <c r="CB184" s="148"/>
      <c r="CC184" s="148"/>
      <c r="CD184" s="148"/>
      <c r="CE184" s="148"/>
      <c r="CF184" s="148"/>
      <c r="CG184" s="148"/>
      <c r="CH184" s="148"/>
      <c r="CI184" s="148"/>
      <c r="CJ184" s="148"/>
      <c r="CK184" s="148"/>
      <c r="CL184" s="148"/>
      <c r="CM184" s="148"/>
      <c r="CN184" s="148"/>
      <c r="CO184" s="148"/>
      <c r="CP184" s="148"/>
      <c r="CQ184" s="148"/>
      <c r="CR184" s="148"/>
      <c r="CS184" s="148"/>
      <c r="CT184" s="148"/>
      <c r="CU184" s="148"/>
      <c r="CV184" s="148"/>
      <c r="CW184" s="148"/>
      <c r="CX184" s="148"/>
      <c r="CY184" s="148"/>
      <c r="CZ184" s="148"/>
      <c r="DA184" s="148"/>
      <c r="DB184" s="148"/>
      <c r="DC184" s="148"/>
      <c r="DD184" s="148"/>
      <c r="DE184" s="148"/>
      <c r="DF184" s="148"/>
      <c r="DG184" s="148"/>
      <c r="DH184" s="148"/>
      <c r="DI184" s="148"/>
      <c r="DJ184" s="148"/>
      <c r="DK184" s="148"/>
      <c r="DL184" s="148"/>
      <c r="DM184" s="148"/>
      <c r="DN184" s="148"/>
      <c r="DO184" s="148"/>
      <c r="DP184" s="148"/>
      <c r="DQ184" s="148"/>
      <c r="DR184" s="148"/>
      <c r="DS184" s="148"/>
      <c r="DT184" s="148"/>
      <c r="DU184" s="148"/>
      <c r="DV184" s="148"/>
      <c r="DW184" s="148"/>
      <c r="DX184" s="148"/>
      <c r="DY184" s="148"/>
      <c r="DZ184" s="148"/>
      <c r="EA184" s="148"/>
      <c r="EB184" s="148"/>
      <c r="EC184" s="148"/>
      <c r="ED184" s="148"/>
      <c r="EE184" s="148"/>
      <c r="EF184" s="148"/>
      <c r="EG184" s="148"/>
      <c r="EH184" s="148"/>
      <c r="EI184" s="148"/>
      <c r="EJ184" s="148"/>
      <c r="EK184" s="148"/>
      <c r="EL184" s="148"/>
      <c r="EM184" s="148"/>
      <c r="EN184" s="148"/>
      <c r="EO184" s="148"/>
      <c r="EP184" s="148"/>
      <c r="EQ184" s="148"/>
      <c r="ER184" s="148"/>
      <c r="ES184" s="148"/>
      <c r="ET184" s="148"/>
      <c r="EU184" s="148"/>
      <c r="EV184" s="148"/>
      <c r="EW184" s="148"/>
      <c r="EX184" s="148"/>
      <c r="EY184" s="148"/>
      <c r="EZ184" s="148"/>
      <c r="FA184" s="148"/>
      <c r="FB184" s="148"/>
      <c r="FC184" s="148"/>
      <c r="FD184" s="148"/>
      <c r="FE184" s="148"/>
      <c r="FF184" s="148"/>
      <c r="FG184" s="148"/>
      <c r="FH184" s="148"/>
      <c r="FI184" s="148"/>
      <c r="FJ184" s="148"/>
      <c r="FK184" s="148"/>
      <c r="FL184" s="148"/>
      <c r="FM184" s="148"/>
      <c r="FN184" s="148"/>
      <c r="FO184" s="148"/>
      <c r="FP184" s="148"/>
      <c r="FQ184" s="148"/>
      <c r="FR184" s="148"/>
      <c r="FS184" s="148"/>
      <c r="FT184" s="148"/>
      <c r="FU184" s="148"/>
      <c r="FV184" s="148"/>
      <c r="FW184" s="148"/>
      <c r="FX184" s="148"/>
      <c r="FY184" s="148"/>
      <c r="FZ184" s="148"/>
      <c r="GA184" s="148"/>
      <c r="GB184" s="148"/>
      <c r="GC184" s="148"/>
      <c r="GD184" s="148"/>
      <c r="GE184" s="148"/>
      <c r="GF184" s="148"/>
      <c r="GG184" s="148"/>
      <c r="GH184" s="148"/>
      <c r="GI184" s="148"/>
      <c r="GJ184" s="148"/>
      <c r="GK184" s="148"/>
      <c r="GL184" s="148"/>
      <c r="GM184" s="148"/>
      <c r="GN184" s="148"/>
      <c r="GO184" s="148"/>
      <c r="GP184" s="148"/>
      <c r="GQ184" s="148"/>
      <c r="GR184" s="148"/>
      <c r="GS184" s="148"/>
      <c r="GT184" s="148"/>
      <c r="GU184" s="148"/>
      <c r="GV184" s="148"/>
      <c r="GW184" s="148"/>
      <c r="GX184" s="148"/>
      <c r="GY184" s="148"/>
      <c r="GZ184" s="148"/>
      <c r="HA184" s="148"/>
      <c r="HB184" s="148"/>
      <c r="HC184" s="148"/>
      <c r="HD184" s="148"/>
      <c r="HE184" s="148"/>
      <c r="HF184" s="148"/>
      <c r="HG184" s="148"/>
      <c r="HH184" s="148"/>
      <c r="HI184" s="148"/>
      <c r="HJ184" s="148"/>
      <c r="HK184" s="148"/>
      <c r="HL184" s="148"/>
      <c r="HM184" s="148"/>
      <c r="HN184" s="148"/>
      <c r="HO184" s="148"/>
      <c r="HP184" s="148"/>
      <c r="HQ184" s="148"/>
      <c r="HR184" s="148"/>
      <c r="HS184" s="148"/>
      <c r="HT184" s="148"/>
      <c r="HU184" s="148"/>
      <c r="HV184" s="148"/>
      <c r="HW184" s="148"/>
      <c r="HX184" s="148"/>
      <c r="HY184" s="148"/>
      <c r="HZ184" s="148"/>
      <c r="IA184" s="148"/>
      <c r="IB184" s="148"/>
      <c r="IC184" s="148"/>
      <c r="ID184" s="148"/>
      <c r="IE184" s="148"/>
      <c r="IF184" s="148"/>
      <c r="IG184" s="148"/>
      <c r="IH184" s="148"/>
      <c r="II184" s="148"/>
      <c r="IJ184" s="148"/>
      <c r="IK184" s="148"/>
      <c r="IL184" s="148"/>
      <c r="IM184" s="148"/>
      <c r="IN184" s="148"/>
      <c r="IO184" s="148"/>
      <c r="IP184" s="148"/>
      <c r="IQ184" s="148"/>
      <c r="IR184" s="148"/>
      <c r="IS184" s="148"/>
      <c r="IT184" s="148"/>
      <c r="IU184" s="148"/>
      <c r="IV184" s="148"/>
      <c r="IW184" s="148"/>
      <c r="IX184" s="148"/>
      <c r="IY184" s="148"/>
      <c r="IZ184" s="148"/>
      <c r="JA184" s="148"/>
      <c r="JB184" s="148"/>
      <c r="JC184" s="148"/>
      <c r="JD184" s="148"/>
      <c r="JE184" s="148"/>
      <c r="JF184" s="148"/>
      <c r="JG184" s="148"/>
      <c r="JH184" s="148"/>
      <c r="JI184" s="148"/>
      <c r="JJ184" s="148"/>
      <c r="JK184" s="148"/>
      <c r="JL184" s="148"/>
      <c r="JM184" s="148"/>
      <c r="JN184" s="148"/>
      <c r="JO184" s="148"/>
      <c r="JP184" s="148"/>
      <c r="JQ184" s="148"/>
      <c r="JR184" s="148"/>
      <c r="JS184" s="148"/>
      <c r="JT184" s="148"/>
      <c r="JU184" s="148"/>
      <c r="JV184" s="148"/>
      <c r="JW184" s="148"/>
      <c r="JX184" s="148"/>
      <c r="JY184" s="148"/>
      <c r="JZ184" s="148"/>
      <c r="KA184" s="148"/>
      <c r="KB184" s="148"/>
      <c r="KC184" s="148"/>
      <c r="KD184" s="148"/>
      <c r="KE184" s="148"/>
      <c r="KF184" s="148"/>
      <c r="KG184" s="148"/>
      <c r="KH184" s="148"/>
      <c r="KI184" s="148"/>
      <c r="KJ184" s="148"/>
      <c r="KK184" s="148"/>
      <c r="KL184" s="148"/>
      <c r="KM184" s="148"/>
      <c r="KN184" s="148"/>
      <c r="KO184" s="148"/>
      <c r="KP184" s="148"/>
      <c r="KQ184" s="148"/>
      <c r="KR184" s="148"/>
      <c r="KS184" s="148"/>
      <c r="KT184" s="148"/>
      <c r="KU184" s="148"/>
      <c r="KV184" s="148"/>
      <c r="KW184" s="148"/>
      <c r="KX184" s="148"/>
      <c r="KY184" s="148"/>
      <c r="KZ184" s="148"/>
      <c r="LA184" s="148"/>
      <c r="LB184" s="148"/>
      <c r="LC184" s="148"/>
      <c r="LD184" s="148"/>
      <c r="LE184" s="148"/>
      <c r="LF184" s="148"/>
      <c r="LG184" s="148"/>
      <c r="LH184" s="148"/>
      <c r="LI184" s="148"/>
      <c r="LJ184" s="148"/>
      <c r="LK184" s="148"/>
      <c r="LL184" s="148"/>
      <c r="LM184" s="148"/>
      <c r="LN184" s="148"/>
      <c r="LO184" s="148"/>
      <c r="LP184" s="148"/>
      <c r="LQ184" s="148"/>
      <c r="LR184" s="148"/>
      <c r="LS184" s="148"/>
      <c r="LT184" s="148"/>
      <c r="LU184" s="148"/>
      <c r="LV184" s="148"/>
      <c r="LW184" s="148"/>
      <c r="LX184" s="148"/>
      <c r="LY184" s="148"/>
      <c r="LZ184" s="148"/>
      <c r="MA184" s="148"/>
      <c r="MB184" s="148"/>
      <c r="MC184" s="148"/>
      <c r="MD184" s="148"/>
      <c r="ME184" s="148"/>
      <c r="MF184" s="148"/>
      <c r="MG184" s="148"/>
      <c r="MH184" s="148"/>
      <c r="MI184" s="148"/>
      <c r="MJ184" s="148"/>
      <c r="MK184" s="148"/>
      <c r="ML184" s="148"/>
      <c r="MM184" s="148"/>
      <c r="MN184" s="148"/>
      <c r="MO184" s="148"/>
      <c r="MP184" s="148"/>
      <c r="MQ184" s="148"/>
      <c r="MR184" s="148"/>
      <c r="MS184" s="148"/>
      <c r="MT184" s="148"/>
      <c r="MU184" s="148"/>
      <c r="MV184" s="148"/>
      <c r="MW184" s="148"/>
      <c r="MX184" s="148"/>
      <c r="MY184" s="148"/>
      <c r="MZ184" s="148"/>
      <c r="NA184" s="148"/>
      <c r="NB184" s="148"/>
      <c r="NC184" s="148"/>
      <c r="ND184" s="148"/>
      <c r="NE184" s="148"/>
      <c r="NF184" s="148"/>
      <c r="NG184" s="148"/>
      <c r="NH184" s="148"/>
      <c r="NI184" s="148"/>
      <c r="NJ184" s="148"/>
      <c r="NK184" s="148"/>
      <c r="NL184" s="148"/>
      <c r="NM184" s="148"/>
      <c r="NN184" s="148"/>
      <c r="NO184" s="148"/>
      <c r="NP184" s="148"/>
      <c r="NQ184" s="148"/>
      <c r="NR184" s="148"/>
      <c r="NS184" s="148"/>
      <c r="NT184" s="148"/>
      <c r="NU184" s="148"/>
      <c r="NV184" s="148"/>
      <c r="NW184" s="148"/>
      <c r="NX184" s="148"/>
      <c r="NY184" s="148"/>
      <c r="NZ184" s="148"/>
      <c r="OA184" s="148"/>
      <c r="OB184" s="148"/>
      <c r="OC184" s="148"/>
      <c r="OD184" s="148"/>
      <c r="OE184" s="148"/>
      <c r="OF184" s="148"/>
      <c r="OG184" s="148"/>
      <c r="OH184" s="148"/>
      <c r="OI184" s="148"/>
      <c r="OJ184" s="148"/>
      <c r="OK184" s="148"/>
      <c r="OL184" s="148"/>
      <c r="OM184" s="148"/>
      <c r="ON184" s="148"/>
      <c r="OO184" s="148"/>
      <c r="OP184" s="148"/>
      <c r="OQ184" s="148"/>
      <c r="OR184" s="148"/>
      <c r="OS184" s="148"/>
      <c r="OT184" s="148"/>
      <c r="OU184" s="148"/>
      <c r="OV184" s="148"/>
      <c r="OW184" s="148"/>
      <c r="OX184" s="148"/>
      <c r="OY184" s="148"/>
      <c r="OZ184" s="148"/>
      <c r="PA184" s="148"/>
      <c r="PB184" s="148"/>
      <c r="PC184" s="148"/>
      <c r="PD184" s="148"/>
      <c r="PE184" s="148"/>
      <c r="PF184" s="148"/>
      <c r="PG184" s="148"/>
      <c r="PH184" s="148"/>
      <c r="PI184" s="148"/>
      <c r="PJ184" s="148"/>
      <c r="PK184" s="148"/>
      <c r="PL184" s="148"/>
      <c r="PM184" s="148"/>
      <c r="PN184" s="148"/>
      <c r="PO184" s="148"/>
      <c r="PP184" s="148"/>
      <c r="PQ184" s="148"/>
      <c r="PR184" s="148"/>
      <c r="PS184" s="148"/>
      <c r="PT184" s="148"/>
      <c r="PU184" s="148"/>
      <c r="PV184" s="148"/>
      <c r="PW184" s="148"/>
      <c r="PX184" s="148"/>
      <c r="PY184" s="148"/>
      <c r="PZ184" s="148"/>
      <c r="QA184" s="148"/>
      <c r="QB184" s="148"/>
      <c r="QC184" s="148"/>
      <c r="QD184" s="148"/>
      <c r="QE184" s="148"/>
      <c r="QF184" s="148"/>
      <c r="QG184" s="148"/>
      <c r="QH184" s="148"/>
      <c r="QI184" s="148"/>
      <c r="QJ184" s="148"/>
      <c r="QK184" s="148"/>
      <c r="QL184" s="148"/>
      <c r="QM184" s="148"/>
      <c r="QN184" s="148"/>
      <c r="QO184" s="148"/>
      <c r="QP184" s="148"/>
      <c r="QQ184" s="148"/>
      <c r="QR184" s="148"/>
      <c r="QS184" s="148"/>
      <c r="QT184" s="148"/>
      <c r="QU184" s="148"/>
      <c r="QV184" s="148"/>
      <c r="QW184" s="148"/>
      <c r="QX184" s="148"/>
      <c r="QY184" s="148"/>
      <c r="QZ184" s="148"/>
      <c r="RA184" s="148"/>
      <c r="RB184" s="148"/>
      <c r="RC184" s="148"/>
      <c r="RD184" s="148"/>
      <c r="RE184" s="148"/>
      <c r="RF184" s="148"/>
      <c r="RG184" s="148"/>
      <c r="RH184" s="148"/>
      <c r="RI184" s="148"/>
      <c r="RJ184" s="148"/>
      <c r="RK184" s="148"/>
      <c r="RL184" s="148"/>
      <c r="RM184" s="148"/>
      <c r="RN184" s="148"/>
      <c r="RO184" s="148"/>
      <c r="RP184" s="148"/>
      <c r="RQ184" s="148"/>
      <c r="RR184" s="148"/>
    </row>
    <row r="185" spans="1:486" ht="15" customHeight="1" x14ac:dyDescent="0.2">
      <c r="B185" s="790" t="s">
        <v>39</v>
      </c>
      <c r="C185" s="791"/>
      <c r="D185" s="791"/>
      <c r="E185" s="791"/>
      <c r="F185" s="791"/>
      <c r="G185" s="791"/>
      <c r="H185" s="791"/>
      <c r="I185" s="792"/>
      <c r="J185" s="654"/>
      <c r="K185" s="655">
        <f>SUBTOTAL(9,K16:K182)</f>
        <v>4963101</v>
      </c>
      <c r="L185" s="655">
        <f t="shared" ref="L185:X185" si="8">SUBTOTAL(9,L16:L182)</f>
        <v>12565748</v>
      </c>
      <c r="M185" s="655">
        <f t="shared" si="8"/>
        <v>0</v>
      </c>
      <c r="N185" s="655">
        <f t="shared" si="8"/>
        <v>125699</v>
      </c>
      <c r="O185" s="655">
        <f t="shared" si="8"/>
        <v>426163</v>
      </c>
      <c r="P185" s="655">
        <f t="shared" si="8"/>
        <v>2991001</v>
      </c>
      <c r="Q185" s="655">
        <f t="shared" si="8"/>
        <v>580550</v>
      </c>
      <c r="R185" s="655">
        <f t="shared" si="8"/>
        <v>697778</v>
      </c>
      <c r="S185" s="655">
        <f t="shared" si="8"/>
        <v>16528</v>
      </c>
      <c r="T185" s="655">
        <f t="shared" si="8"/>
        <v>0</v>
      </c>
      <c r="U185" s="655">
        <f>SUBTOTAL(9,U16:U182)</f>
        <v>0</v>
      </c>
      <c r="V185" s="655">
        <f t="shared" si="8"/>
        <v>0</v>
      </c>
      <c r="W185" s="655">
        <f t="shared" si="8"/>
        <v>0</v>
      </c>
      <c r="X185" s="655">
        <f t="shared" si="8"/>
        <v>0</v>
      </c>
      <c r="Y185" s="655">
        <f>SUBTOTAL(9,Y16:Y182)</f>
        <v>4837719</v>
      </c>
      <c r="Z185" s="656">
        <f>SUBTOTAL(9,Z16:Z182)</f>
        <v>10747822</v>
      </c>
      <c r="AA185" s="655"/>
      <c r="AB185" s="655"/>
      <c r="AC185" s="655"/>
      <c r="AD185" s="656">
        <f>SUBTOTAL(9,AD16:AD182)</f>
        <v>1863104</v>
      </c>
      <c r="AE185" s="655"/>
      <c r="AF185" s="655"/>
      <c r="AG185" s="655"/>
      <c r="AH185" s="656">
        <f>SUBTOTAL(9,AH16:AH182)</f>
        <v>16656</v>
      </c>
      <c r="AI185" s="655"/>
      <c r="AJ185" s="655"/>
      <c r="AK185" s="655"/>
      <c r="AL185" s="656">
        <f>SUBTOTAL(9,AL16:AL182)</f>
        <v>0</v>
      </c>
      <c r="AM185" s="655">
        <f t="shared" ref="AM185:AS185" si="9">SUBTOTAL(9,AM16:AM75)</f>
        <v>0</v>
      </c>
      <c r="AN185" s="655">
        <f t="shared" si="9"/>
        <v>0</v>
      </c>
      <c r="AO185" s="655">
        <f t="shared" si="9"/>
        <v>0</v>
      </c>
      <c r="AP185" s="655">
        <f t="shared" si="9"/>
        <v>0</v>
      </c>
      <c r="AQ185" s="655">
        <f t="shared" si="9"/>
        <v>0</v>
      </c>
      <c r="AR185" s="655">
        <f t="shared" si="9"/>
        <v>0</v>
      </c>
      <c r="AS185" s="655">
        <f t="shared" si="9"/>
        <v>0</v>
      </c>
      <c r="AT185" s="655">
        <f>SUBTOTAL(9,AT16:AT182)</f>
        <v>12627582</v>
      </c>
      <c r="AU185" s="655">
        <f>SUBTOTAL(9,AU16:AU182)</f>
        <v>7789863</v>
      </c>
    </row>
    <row r="186" spans="1:486" s="134" customFormat="1" x14ac:dyDescent="0.2">
      <c r="B186" s="145"/>
      <c r="D186" s="145"/>
      <c r="H186" s="162"/>
      <c r="J186" s="140"/>
      <c r="K186" s="140"/>
      <c r="L186" s="140"/>
      <c r="Z186" s="177"/>
      <c r="AA186" s="141"/>
      <c r="AE186" s="140"/>
      <c r="AI186" s="141"/>
      <c r="AM186" s="141"/>
      <c r="AQ186" s="141"/>
    </row>
    <row r="187" spans="1:486" s="134" customFormat="1" x14ac:dyDescent="0.2">
      <c r="B187" s="145"/>
      <c r="D187" s="145"/>
      <c r="H187" s="162"/>
      <c r="J187" s="140"/>
      <c r="K187" s="140"/>
      <c r="L187" s="140"/>
      <c r="Z187" s="177"/>
      <c r="AA187" s="141"/>
      <c r="AE187" s="140"/>
      <c r="AI187" s="141"/>
      <c r="AM187" s="141"/>
      <c r="AQ187" s="141"/>
    </row>
    <row r="188" spans="1:486" s="134" customFormat="1" x14ac:dyDescent="0.2">
      <c r="B188" s="145"/>
      <c r="D188" s="145"/>
      <c r="H188" s="162"/>
      <c r="J188" s="140"/>
      <c r="K188" s="140"/>
      <c r="L188" s="140"/>
      <c r="Z188" s="177"/>
      <c r="AA188" s="141"/>
      <c r="AE188" s="140"/>
      <c r="AI188" s="141"/>
      <c r="AM188" s="141"/>
      <c r="AQ188" s="141"/>
    </row>
    <row r="189" spans="1:486" s="134" customFormat="1" x14ac:dyDescent="0.2">
      <c r="B189" s="145"/>
      <c r="D189" s="145"/>
      <c r="H189" s="162"/>
      <c r="J189" s="140"/>
      <c r="K189" s="140"/>
      <c r="L189" s="140"/>
      <c r="Z189" s="177"/>
      <c r="AA189" s="141"/>
      <c r="AE189" s="140"/>
      <c r="AI189" s="141"/>
      <c r="AM189" s="141"/>
      <c r="AQ189" s="141"/>
    </row>
    <row r="190" spans="1:486" s="134" customFormat="1" x14ac:dyDescent="0.2">
      <c r="B190" s="145"/>
      <c r="D190" s="145"/>
      <c r="H190" s="162"/>
      <c r="J190" s="140"/>
      <c r="K190" s="140"/>
      <c r="L190" s="140"/>
      <c r="Z190" s="177"/>
      <c r="AA190" s="141"/>
      <c r="AE190" s="140"/>
      <c r="AI190" s="141"/>
      <c r="AM190" s="141"/>
      <c r="AQ190" s="141"/>
    </row>
    <row r="191" spans="1:486" s="134" customFormat="1" x14ac:dyDescent="0.2">
      <c r="B191" s="145"/>
      <c r="D191" s="145"/>
      <c r="H191" s="162"/>
      <c r="J191" s="140"/>
      <c r="K191" s="140"/>
      <c r="L191" s="140"/>
      <c r="Z191" s="177"/>
      <c r="AA191" s="141"/>
      <c r="AE191" s="140"/>
      <c r="AI191" s="141"/>
      <c r="AM191" s="141"/>
      <c r="AQ191" s="141"/>
    </row>
    <row r="192" spans="1:486" s="134" customFormat="1" x14ac:dyDescent="0.2">
      <c r="B192" s="145"/>
      <c r="D192" s="145"/>
      <c r="H192" s="162"/>
      <c r="J192" s="140"/>
      <c r="K192" s="140"/>
      <c r="L192" s="140"/>
      <c r="Z192" s="177"/>
      <c r="AA192" s="141"/>
      <c r="AE192" s="140"/>
      <c r="AI192" s="141"/>
      <c r="AM192" s="141"/>
      <c r="AQ192" s="141"/>
    </row>
    <row r="193" spans="2:43" s="134" customFormat="1" x14ac:dyDescent="0.2">
      <c r="B193" s="145"/>
      <c r="D193" s="145"/>
      <c r="H193" s="162"/>
      <c r="J193" s="140"/>
      <c r="K193" s="140"/>
      <c r="L193" s="140"/>
      <c r="Z193" s="177"/>
      <c r="AA193" s="141"/>
      <c r="AE193" s="140"/>
      <c r="AI193" s="141"/>
      <c r="AM193" s="141"/>
      <c r="AQ193" s="141"/>
    </row>
    <row r="194" spans="2:43" s="134" customFormat="1" x14ac:dyDescent="0.2">
      <c r="B194" s="145"/>
      <c r="D194" s="145"/>
      <c r="H194" s="162"/>
      <c r="J194" s="140"/>
      <c r="K194" s="140"/>
      <c r="L194" s="140"/>
      <c r="Z194" s="177"/>
      <c r="AA194" s="141"/>
      <c r="AE194" s="140"/>
      <c r="AI194" s="141"/>
      <c r="AM194" s="141"/>
      <c r="AQ194" s="141"/>
    </row>
    <row r="195" spans="2:43" s="134" customFormat="1" x14ac:dyDescent="0.2">
      <c r="B195" s="145"/>
      <c r="D195" s="145"/>
      <c r="H195" s="162"/>
      <c r="J195" s="140"/>
      <c r="K195" s="140"/>
      <c r="L195" s="140"/>
      <c r="Z195" s="177"/>
      <c r="AA195" s="141"/>
      <c r="AE195" s="140"/>
      <c r="AI195" s="141"/>
      <c r="AM195" s="141"/>
      <c r="AQ195" s="141"/>
    </row>
    <row r="196" spans="2:43" s="134" customFormat="1" x14ac:dyDescent="0.2">
      <c r="B196" s="145"/>
      <c r="D196" s="145"/>
      <c r="H196" s="162"/>
      <c r="J196" s="140"/>
      <c r="K196" s="140"/>
      <c r="L196" s="140"/>
      <c r="Z196" s="177"/>
      <c r="AA196" s="141"/>
      <c r="AE196" s="140"/>
      <c r="AI196" s="141"/>
      <c r="AM196" s="141"/>
      <c r="AQ196" s="141"/>
    </row>
    <row r="197" spans="2:43" s="134" customFormat="1" x14ac:dyDescent="0.2">
      <c r="B197" s="145"/>
      <c r="D197" s="145"/>
      <c r="H197" s="162"/>
      <c r="J197" s="140"/>
      <c r="K197" s="140"/>
      <c r="L197" s="140"/>
      <c r="Z197" s="177"/>
      <c r="AA197" s="141"/>
      <c r="AE197" s="140"/>
      <c r="AI197" s="141"/>
      <c r="AM197" s="141"/>
      <c r="AQ197" s="141"/>
    </row>
    <row r="198" spans="2:43" s="134" customFormat="1" x14ac:dyDescent="0.2">
      <c r="B198" s="145"/>
      <c r="D198" s="145"/>
      <c r="H198" s="162"/>
      <c r="J198" s="140"/>
      <c r="K198" s="140"/>
      <c r="L198" s="140"/>
      <c r="Z198" s="177"/>
      <c r="AA198" s="141"/>
      <c r="AE198" s="140"/>
      <c r="AI198" s="141"/>
      <c r="AM198" s="141"/>
      <c r="AQ198" s="141"/>
    </row>
    <row r="199" spans="2:43" s="134" customFormat="1" x14ac:dyDescent="0.2">
      <c r="B199" s="145"/>
      <c r="D199" s="145"/>
      <c r="H199" s="162"/>
      <c r="J199" s="140"/>
      <c r="K199" s="140"/>
      <c r="L199" s="140"/>
      <c r="Z199" s="177"/>
      <c r="AA199" s="141"/>
      <c r="AE199" s="140"/>
      <c r="AI199" s="141"/>
      <c r="AM199" s="141"/>
      <c r="AQ199" s="141"/>
    </row>
    <row r="200" spans="2:43" s="134" customFormat="1" x14ac:dyDescent="0.2">
      <c r="B200" s="145"/>
      <c r="D200" s="145"/>
      <c r="H200" s="162"/>
      <c r="J200" s="140"/>
      <c r="K200" s="140"/>
      <c r="L200" s="140"/>
      <c r="Z200" s="177"/>
      <c r="AA200" s="141"/>
      <c r="AE200" s="140"/>
      <c r="AI200" s="141"/>
      <c r="AM200" s="141"/>
      <c r="AQ200" s="141"/>
    </row>
    <row r="201" spans="2:43" s="134" customFormat="1" x14ac:dyDescent="0.2">
      <c r="B201" s="145"/>
      <c r="D201" s="145"/>
      <c r="H201" s="162"/>
      <c r="J201" s="140"/>
      <c r="K201" s="140"/>
      <c r="L201" s="140"/>
      <c r="Z201" s="177"/>
      <c r="AA201" s="141"/>
      <c r="AE201" s="140"/>
      <c r="AI201" s="141"/>
      <c r="AM201" s="141"/>
      <c r="AQ201" s="141"/>
    </row>
    <row r="202" spans="2:43" s="134" customFormat="1" x14ac:dyDescent="0.2">
      <c r="B202" s="145"/>
      <c r="D202" s="145"/>
      <c r="H202" s="162"/>
      <c r="J202" s="140"/>
      <c r="K202" s="140"/>
      <c r="L202" s="140"/>
      <c r="Z202" s="177"/>
      <c r="AA202" s="141"/>
      <c r="AE202" s="140"/>
      <c r="AI202" s="141"/>
      <c r="AM202" s="141"/>
      <c r="AQ202" s="141"/>
    </row>
    <row r="203" spans="2:43" s="134" customFormat="1" x14ac:dyDescent="0.2">
      <c r="B203" s="145"/>
      <c r="D203" s="145"/>
      <c r="H203" s="162"/>
      <c r="J203" s="140"/>
      <c r="K203" s="140"/>
      <c r="L203" s="140"/>
      <c r="Z203" s="177"/>
      <c r="AA203" s="141"/>
      <c r="AE203" s="140"/>
      <c r="AI203" s="141"/>
      <c r="AM203" s="141"/>
      <c r="AQ203" s="141"/>
    </row>
    <row r="204" spans="2:43" s="134" customFormat="1" x14ac:dyDescent="0.2">
      <c r="B204" s="145"/>
      <c r="D204" s="145"/>
      <c r="H204" s="162"/>
      <c r="J204" s="140"/>
      <c r="K204" s="140"/>
      <c r="L204" s="140"/>
      <c r="Z204" s="177"/>
      <c r="AA204" s="141"/>
      <c r="AE204" s="140"/>
      <c r="AI204" s="141"/>
      <c r="AM204" s="141"/>
      <c r="AQ204" s="141"/>
    </row>
    <row r="205" spans="2:43" s="134" customFormat="1" x14ac:dyDescent="0.2">
      <c r="B205" s="145"/>
      <c r="D205" s="145"/>
      <c r="H205" s="162"/>
      <c r="J205" s="140"/>
      <c r="K205" s="140"/>
      <c r="L205" s="140"/>
      <c r="Z205" s="177"/>
      <c r="AA205" s="141"/>
      <c r="AE205" s="140"/>
      <c r="AI205" s="141"/>
      <c r="AM205" s="141"/>
      <c r="AQ205" s="141"/>
    </row>
    <row r="206" spans="2:43" s="134" customFormat="1" x14ac:dyDescent="0.2">
      <c r="B206" s="145"/>
      <c r="D206" s="145"/>
      <c r="H206" s="162"/>
      <c r="J206" s="140"/>
      <c r="K206" s="140"/>
      <c r="L206" s="140"/>
      <c r="Z206" s="177"/>
      <c r="AA206" s="141"/>
      <c r="AE206" s="140"/>
      <c r="AI206" s="141"/>
      <c r="AM206" s="141"/>
      <c r="AQ206" s="141"/>
    </row>
    <row r="207" spans="2:43" s="134" customFormat="1" x14ac:dyDescent="0.2">
      <c r="B207" s="145"/>
      <c r="D207" s="145"/>
      <c r="H207" s="162"/>
      <c r="J207" s="140"/>
      <c r="K207" s="140"/>
      <c r="L207" s="140"/>
      <c r="Z207" s="177"/>
      <c r="AA207" s="141"/>
      <c r="AE207" s="140"/>
      <c r="AI207" s="141"/>
      <c r="AM207" s="141"/>
      <c r="AQ207" s="141"/>
    </row>
    <row r="208" spans="2:43" s="134" customFormat="1" x14ac:dyDescent="0.2">
      <c r="B208" s="145"/>
      <c r="D208" s="145"/>
      <c r="H208" s="162"/>
      <c r="J208" s="140"/>
      <c r="K208" s="140"/>
      <c r="L208" s="140"/>
      <c r="Z208" s="177"/>
      <c r="AA208" s="141"/>
      <c r="AE208" s="140"/>
      <c r="AI208" s="141"/>
      <c r="AM208" s="141"/>
      <c r="AQ208" s="141"/>
    </row>
    <row r="209" spans="2:43" s="134" customFormat="1" x14ac:dyDescent="0.2">
      <c r="B209" s="145"/>
      <c r="D209" s="145"/>
      <c r="H209" s="162"/>
      <c r="J209" s="140"/>
      <c r="K209" s="140"/>
      <c r="L209" s="140"/>
      <c r="Z209" s="177"/>
      <c r="AA209" s="141"/>
      <c r="AE209" s="140"/>
      <c r="AI209" s="141"/>
      <c r="AM209" s="141"/>
      <c r="AQ209" s="141"/>
    </row>
    <row r="210" spans="2:43" s="134" customFormat="1" x14ac:dyDescent="0.2">
      <c r="B210" s="145"/>
      <c r="D210" s="145"/>
      <c r="H210" s="162"/>
      <c r="J210" s="140"/>
      <c r="K210" s="140"/>
      <c r="L210" s="140"/>
      <c r="Z210" s="177"/>
      <c r="AA210" s="141"/>
      <c r="AE210" s="140"/>
      <c r="AI210" s="141"/>
      <c r="AM210" s="141"/>
      <c r="AQ210" s="141"/>
    </row>
    <row r="211" spans="2:43" s="134" customFormat="1" x14ac:dyDescent="0.2">
      <c r="B211" s="145"/>
      <c r="D211" s="145"/>
      <c r="H211" s="162"/>
      <c r="J211" s="140"/>
      <c r="K211" s="140"/>
      <c r="L211" s="140"/>
      <c r="Z211" s="177"/>
      <c r="AA211" s="141"/>
      <c r="AE211" s="140"/>
      <c r="AI211" s="141"/>
      <c r="AM211" s="141"/>
      <c r="AQ211" s="141"/>
    </row>
    <row r="212" spans="2:43" s="134" customFormat="1" x14ac:dyDescent="0.2">
      <c r="B212" s="145"/>
      <c r="D212" s="145"/>
      <c r="H212" s="162"/>
      <c r="J212" s="140"/>
      <c r="K212" s="140"/>
      <c r="L212" s="140"/>
      <c r="Z212" s="177"/>
      <c r="AA212" s="141"/>
      <c r="AE212" s="140"/>
      <c r="AI212" s="141"/>
      <c r="AM212" s="141"/>
      <c r="AQ212" s="141"/>
    </row>
    <row r="213" spans="2:43" s="134" customFormat="1" x14ac:dyDescent="0.2">
      <c r="B213" s="145"/>
      <c r="D213" s="145"/>
      <c r="H213" s="162"/>
      <c r="J213" s="140"/>
      <c r="K213" s="140"/>
      <c r="L213" s="140"/>
      <c r="Z213" s="177"/>
      <c r="AA213" s="141"/>
      <c r="AE213" s="140"/>
      <c r="AI213" s="141"/>
      <c r="AM213" s="141"/>
      <c r="AQ213" s="141"/>
    </row>
    <row r="214" spans="2:43" s="134" customFormat="1" x14ac:dyDescent="0.2">
      <c r="B214" s="145"/>
      <c r="D214" s="145"/>
      <c r="H214" s="162"/>
      <c r="J214" s="140"/>
      <c r="K214" s="140"/>
      <c r="L214" s="140"/>
      <c r="Z214" s="177"/>
      <c r="AA214" s="141"/>
      <c r="AE214" s="140"/>
      <c r="AI214" s="141"/>
      <c r="AM214" s="141"/>
      <c r="AQ214" s="141"/>
    </row>
    <row r="215" spans="2:43" s="134" customFormat="1" x14ac:dyDescent="0.2">
      <c r="B215" s="145"/>
      <c r="D215" s="145"/>
      <c r="H215" s="162"/>
      <c r="J215" s="140"/>
      <c r="K215" s="140"/>
      <c r="L215" s="140"/>
      <c r="Z215" s="177"/>
      <c r="AA215" s="141"/>
      <c r="AE215" s="140"/>
      <c r="AI215" s="141"/>
      <c r="AM215" s="141"/>
      <c r="AQ215" s="141"/>
    </row>
    <row r="216" spans="2:43" s="134" customFormat="1" x14ac:dyDescent="0.2">
      <c r="B216" s="145"/>
      <c r="D216" s="145"/>
      <c r="H216" s="162"/>
      <c r="J216" s="140"/>
      <c r="K216" s="140"/>
      <c r="L216" s="140"/>
      <c r="Z216" s="177"/>
      <c r="AA216" s="141"/>
      <c r="AE216" s="140"/>
      <c r="AI216" s="141"/>
      <c r="AM216" s="141"/>
      <c r="AQ216" s="141"/>
    </row>
    <row r="217" spans="2:43" s="134" customFormat="1" x14ac:dyDescent="0.2">
      <c r="B217" s="145"/>
      <c r="D217" s="145"/>
      <c r="H217" s="162"/>
      <c r="J217" s="140"/>
      <c r="K217" s="140"/>
      <c r="L217" s="140"/>
      <c r="Z217" s="177"/>
      <c r="AA217" s="141"/>
      <c r="AE217" s="140"/>
      <c r="AI217" s="141"/>
      <c r="AM217" s="141"/>
      <c r="AQ217" s="141"/>
    </row>
    <row r="218" spans="2:43" s="134" customFormat="1" x14ac:dyDescent="0.2">
      <c r="B218" s="145"/>
      <c r="D218" s="145"/>
      <c r="H218" s="162"/>
      <c r="J218" s="140"/>
      <c r="K218" s="140"/>
      <c r="L218" s="140"/>
      <c r="Z218" s="177"/>
      <c r="AA218" s="141"/>
      <c r="AE218" s="140"/>
      <c r="AI218" s="141"/>
      <c r="AM218" s="141"/>
      <c r="AQ218" s="141"/>
    </row>
    <row r="219" spans="2:43" s="134" customFormat="1" x14ac:dyDescent="0.2">
      <c r="B219" s="145"/>
      <c r="D219" s="145"/>
      <c r="H219" s="162"/>
      <c r="J219" s="140"/>
      <c r="K219" s="140"/>
      <c r="L219" s="140"/>
      <c r="Z219" s="177"/>
      <c r="AA219" s="141"/>
      <c r="AE219" s="140"/>
      <c r="AI219" s="141"/>
      <c r="AM219" s="141"/>
      <c r="AQ219" s="141"/>
    </row>
    <row r="220" spans="2:43" s="134" customFormat="1" x14ac:dyDescent="0.2">
      <c r="B220" s="145"/>
      <c r="D220" s="145"/>
      <c r="H220" s="162"/>
      <c r="J220" s="140"/>
      <c r="K220" s="140"/>
      <c r="L220" s="140"/>
      <c r="Z220" s="177"/>
      <c r="AA220" s="141"/>
      <c r="AE220" s="140"/>
      <c r="AI220" s="141"/>
      <c r="AM220" s="141"/>
      <c r="AQ220" s="141"/>
    </row>
    <row r="221" spans="2:43" s="134" customFormat="1" x14ac:dyDescent="0.2">
      <c r="B221" s="145"/>
      <c r="D221" s="145"/>
      <c r="H221" s="162"/>
      <c r="J221" s="140"/>
      <c r="K221" s="140"/>
      <c r="L221" s="140"/>
      <c r="Z221" s="177"/>
      <c r="AA221" s="141"/>
      <c r="AE221" s="140"/>
      <c r="AI221" s="141"/>
      <c r="AM221" s="141"/>
      <c r="AQ221" s="141"/>
    </row>
    <row r="222" spans="2:43" s="134" customFormat="1" x14ac:dyDescent="0.2">
      <c r="B222" s="145"/>
      <c r="D222" s="145"/>
      <c r="H222" s="162"/>
      <c r="J222" s="140"/>
      <c r="K222" s="140"/>
      <c r="L222" s="140"/>
      <c r="Z222" s="177"/>
      <c r="AA222" s="141"/>
      <c r="AE222" s="140"/>
      <c r="AI222" s="141"/>
      <c r="AM222" s="141"/>
      <c r="AQ222" s="141"/>
    </row>
    <row r="223" spans="2:43" s="134" customFormat="1" x14ac:dyDescent="0.2">
      <c r="B223" s="145"/>
      <c r="D223" s="145"/>
      <c r="H223" s="162"/>
      <c r="J223" s="140"/>
      <c r="K223" s="140"/>
      <c r="L223" s="140"/>
      <c r="Z223" s="177"/>
      <c r="AA223" s="141"/>
      <c r="AE223" s="140"/>
      <c r="AI223" s="141"/>
      <c r="AM223" s="141"/>
      <c r="AQ223" s="141"/>
    </row>
    <row r="224" spans="2:43" s="134" customFormat="1" x14ac:dyDescent="0.2">
      <c r="B224" s="145"/>
      <c r="D224" s="145"/>
      <c r="H224" s="162"/>
      <c r="J224" s="140"/>
      <c r="K224" s="140"/>
      <c r="L224" s="140"/>
      <c r="Z224" s="177"/>
      <c r="AA224" s="141"/>
      <c r="AE224" s="140"/>
      <c r="AI224" s="141"/>
      <c r="AM224" s="141"/>
      <c r="AQ224" s="141"/>
    </row>
    <row r="225" spans="2:43" s="134" customFormat="1" x14ac:dyDescent="0.2">
      <c r="B225" s="145"/>
      <c r="D225" s="145"/>
      <c r="H225" s="162"/>
      <c r="J225" s="140"/>
      <c r="K225" s="140"/>
      <c r="L225" s="140"/>
      <c r="Z225" s="177"/>
      <c r="AA225" s="141"/>
      <c r="AE225" s="140"/>
      <c r="AI225" s="141"/>
      <c r="AM225" s="141"/>
      <c r="AQ225" s="141"/>
    </row>
    <row r="226" spans="2:43" s="134" customFormat="1" x14ac:dyDescent="0.2">
      <c r="B226" s="145"/>
      <c r="D226" s="145"/>
      <c r="H226" s="162"/>
      <c r="J226" s="140"/>
      <c r="K226" s="140"/>
      <c r="L226" s="140"/>
      <c r="Z226" s="177"/>
      <c r="AA226" s="141"/>
      <c r="AE226" s="140"/>
      <c r="AI226" s="141"/>
      <c r="AM226" s="141"/>
      <c r="AQ226" s="141"/>
    </row>
    <row r="227" spans="2:43" s="134" customFormat="1" x14ac:dyDescent="0.2">
      <c r="B227" s="145"/>
      <c r="D227" s="145"/>
      <c r="H227" s="162"/>
      <c r="J227" s="140"/>
      <c r="K227" s="140"/>
      <c r="L227" s="140"/>
      <c r="Z227" s="177"/>
      <c r="AA227" s="141"/>
      <c r="AE227" s="140"/>
      <c r="AI227" s="141"/>
      <c r="AM227" s="141"/>
      <c r="AQ227" s="141"/>
    </row>
    <row r="228" spans="2:43" s="134" customFormat="1" x14ac:dyDescent="0.2">
      <c r="B228" s="145"/>
      <c r="D228" s="145"/>
      <c r="H228" s="162"/>
      <c r="J228" s="140"/>
      <c r="K228" s="140"/>
      <c r="L228" s="140"/>
      <c r="Z228" s="177"/>
      <c r="AA228" s="141"/>
      <c r="AE228" s="140"/>
      <c r="AI228" s="141"/>
      <c r="AM228" s="141"/>
      <c r="AQ228" s="141"/>
    </row>
    <row r="229" spans="2:43" s="134" customFormat="1" x14ac:dyDescent="0.2">
      <c r="B229" s="145"/>
      <c r="D229" s="145"/>
      <c r="H229" s="162"/>
      <c r="J229" s="140"/>
      <c r="K229" s="140"/>
      <c r="L229" s="140"/>
      <c r="Z229" s="177"/>
      <c r="AA229" s="141"/>
      <c r="AE229" s="140"/>
      <c r="AI229" s="141"/>
      <c r="AM229" s="141"/>
      <c r="AQ229" s="141"/>
    </row>
    <row r="230" spans="2:43" s="134" customFormat="1" x14ac:dyDescent="0.2">
      <c r="B230" s="145"/>
      <c r="D230" s="145"/>
      <c r="H230" s="162"/>
      <c r="J230" s="140"/>
      <c r="K230" s="140"/>
      <c r="L230" s="140"/>
      <c r="Z230" s="177"/>
      <c r="AA230" s="141"/>
      <c r="AE230" s="140"/>
      <c r="AI230" s="141"/>
      <c r="AM230" s="141"/>
      <c r="AQ230" s="141"/>
    </row>
    <row r="231" spans="2:43" s="134" customFormat="1" x14ac:dyDescent="0.2">
      <c r="B231" s="145"/>
      <c r="D231" s="145"/>
      <c r="H231" s="162"/>
      <c r="J231" s="140"/>
      <c r="K231" s="140"/>
      <c r="L231" s="140"/>
      <c r="Z231" s="177"/>
      <c r="AA231" s="141"/>
      <c r="AE231" s="140"/>
      <c r="AI231" s="141"/>
      <c r="AM231" s="141"/>
      <c r="AQ231" s="141"/>
    </row>
    <row r="232" spans="2:43" s="134" customFormat="1" x14ac:dyDescent="0.2">
      <c r="B232" s="145"/>
      <c r="D232" s="145"/>
      <c r="H232" s="162"/>
      <c r="J232" s="140"/>
      <c r="K232" s="140"/>
      <c r="L232" s="140"/>
      <c r="Z232" s="177"/>
      <c r="AA232" s="141"/>
      <c r="AE232" s="140"/>
      <c r="AI232" s="141"/>
      <c r="AM232" s="141"/>
      <c r="AQ232" s="141"/>
    </row>
    <row r="233" spans="2:43" s="134" customFormat="1" x14ac:dyDescent="0.2">
      <c r="B233" s="145"/>
      <c r="D233" s="145"/>
      <c r="H233" s="162"/>
      <c r="J233" s="140"/>
      <c r="K233" s="140"/>
      <c r="L233" s="140"/>
      <c r="Z233" s="177"/>
      <c r="AA233" s="141"/>
      <c r="AE233" s="140"/>
      <c r="AI233" s="141"/>
      <c r="AM233" s="141"/>
      <c r="AQ233" s="141"/>
    </row>
    <row r="234" spans="2:43" s="134" customFormat="1" x14ac:dyDescent="0.2">
      <c r="B234" s="145"/>
      <c r="D234" s="145"/>
      <c r="H234" s="162"/>
      <c r="J234" s="140"/>
      <c r="K234" s="140"/>
      <c r="L234" s="140"/>
      <c r="Z234" s="177"/>
      <c r="AA234" s="141"/>
      <c r="AE234" s="140"/>
      <c r="AI234" s="141"/>
      <c r="AM234" s="141"/>
      <c r="AQ234" s="141"/>
    </row>
    <row r="235" spans="2:43" s="134" customFormat="1" x14ac:dyDescent="0.2">
      <c r="B235" s="145"/>
      <c r="D235" s="145"/>
      <c r="H235" s="162"/>
      <c r="J235" s="140"/>
      <c r="K235" s="140"/>
      <c r="L235" s="140"/>
      <c r="Z235" s="177"/>
      <c r="AA235" s="141"/>
      <c r="AE235" s="140"/>
      <c r="AI235" s="141"/>
      <c r="AM235" s="141"/>
      <c r="AQ235" s="141"/>
    </row>
    <row r="236" spans="2:43" s="134" customFormat="1" x14ac:dyDescent="0.2">
      <c r="B236" s="145"/>
      <c r="D236" s="145"/>
      <c r="H236" s="162"/>
      <c r="J236" s="140"/>
      <c r="K236" s="140"/>
      <c r="L236" s="140"/>
      <c r="Z236" s="177"/>
      <c r="AA236" s="141"/>
      <c r="AE236" s="140"/>
      <c r="AI236" s="141"/>
      <c r="AM236" s="141"/>
      <c r="AQ236" s="141"/>
    </row>
    <row r="237" spans="2:43" s="134" customFormat="1" x14ac:dyDescent="0.2">
      <c r="B237" s="145"/>
      <c r="D237" s="145"/>
      <c r="H237" s="162"/>
      <c r="J237" s="140"/>
      <c r="K237" s="140"/>
      <c r="L237" s="140"/>
      <c r="Z237" s="177"/>
      <c r="AA237" s="141"/>
      <c r="AE237" s="140"/>
      <c r="AI237" s="141"/>
      <c r="AM237" s="141"/>
      <c r="AQ237" s="141"/>
    </row>
    <row r="238" spans="2:43" s="134" customFormat="1" x14ac:dyDescent="0.2">
      <c r="B238" s="145"/>
      <c r="D238" s="145"/>
      <c r="H238" s="162"/>
      <c r="J238" s="140"/>
      <c r="K238" s="140"/>
      <c r="L238" s="140"/>
      <c r="Z238" s="177"/>
      <c r="AA238" s="141"/>
      <c r="AE238" s="140"/>
      <c r="AI238" s="141"/>
      <c r="AM238" s="141"/>
      <c r="AQ238" s="141"/>
    </row>
    <row r="239" spans="2:43" s="134" customFormat="1" x14ac:dyDescent="0.2">
      <c r="B239" s="145"/>
      <c r="D239" s="145"/>
      <c r="H239" s="162"/>
      <c r="J239" s="140"/>
      <c r="K239" s="140"/>
      <c r="L239" s="140"/>
      <c r="Z239" s="177"/>
      <c r="AA239" s="141"/>
      <c r="AE239" s="140"/>
      <c r="AI239" s="141"/>
      <c r="AM239" s="141"/>
      <c r="AQ239" s="141"/>
    </row>
    <row r="240" spans="2:43" s="134" customFormat="1" x14ac:dyDescent="0.2">
      <c r="B240" s="145"/>
      <c r="D240" s="145"/>
      <c r="H240" s="162"/>
      <c r="J240" s="140"/>
      <c r="K240" s="140"/>
      <c r="L240" s="140"/>
      <c r="Z240" s="177"/>
      <c r="AA240" s="141"/>
      <c r="AE240" s="140"/>
      <c r="AI240" s="141"/>
      <c r="AM240" s="141"/>
      <c r="AQ240" s="141"/>
    </row>
    <row r="241" spans="2:43" s="134" customFormat="1" x14ac:dyDescent="0.2">
      <c r="B241" s="145"/>
      <c r="D241" s="145"/>
      <c r="H241" s="162"/>
      <c r="J241" s="140"/>
      <c r="K241" s="140"/>
      <c r="L241" s="140"/>
      <c r="Z241" s="177"/>
      <c r="AA241" s="141"/>
      <c r="AE241" s="140"/>
      <c r="AI241" s="141"/>
      <c r="AM241" s="141"/>
      <c r="AQ241" s="141"/>
    </row>
    <row r="242" spans="2:43" s="134" customFormat="1" x14ac:dyDescent="0.2">
      <c r="B242" s="145"/>
      <c r="D242" s="145"/>
      <c r="H242" s="162"/>
      <c r="J242" s="140"/>
      <c r="K242" s="140"/>
      <c r="L242" s="140"/>
      <c r="Z242" s="177"/>
      <c r="AA242" s="141"/>
      <c r="AE242" s="140"/>
      <c r="AI242" s="141"/>
      <c r="AM242" s="141"/>
      <c r="AQ242" s="141"/>
    </row>
    <row r="243" spans="2:43" s="134" customFormat="1" x14ac:dyDescent="0.2">
      <c r="B243" s="145"/>
      <c r="D243" s="145"/>
      <c r="H243" s="162"/>
      <c r="J243" s="140"/>
      <c r="K243" s="140"/>
      <c r="L243" s="140"/>
      <c r="Z243" s="177"/>
      <c r="AA243" s="141"/>
      <c r="AE243" s="140"/>
      <c r="AI243" s="141"/>
      <c r="AM243" s="141"/>
      <c r="AQ243" s="141"/>
    </row>
    <row r="244" spans="2:43" s="134" customFormat="1" x14ac:dyDescent="0.2">
      <c r="B244" s="145"/>
      <c r="D244" s="145"/>
      <c r="H244" s="162"/>
      <c r="J244" s="140"/>
      <c r="K244" s="140"/>
      <c r="L244" s="140"/>
      <c r="Z244" s="177"/>
      <c r="AA244" s="141"/>
      <c r="AE244" s="140"/>
      <c r="AI244" s="141"/>
      <c r="AM244" s="141"/>
      <c r="AQ244" s="141"/>
    </row>
    <row r="245" spans="2:43" s="134" customFormat="1" x14ac:dyDescent="0.2">
      <c r="B245" s="145"/>
      <c r="D245" s="145"/>
      <c r="H245" s="162"/>
      <c r="J245" s="140"/>
      <c r="K245" s="140"/>
      <c r="L245" s="140"/>
      <c r="Z245" s="177"/>
      <c r="AA245" s="141"/>
      <c r="AE245" s="140"/>
      <c r="AI245" s="141"/>
      <c r="AM245" s="141"/>
      <c r="AQ245" s="141"/>
    </row>
    <row r="246" spans="2:43" s="134" customFormat="1" x14ac:dyDescent="0.2">
      <c r="B246" s="145"/>
      <c r="D246" s="145"/>
      <c r="H246" s="162"/>
      <c r="J246" s="140"/>
      <c r="K246" s="140"/>
      <c r="L246" s="140"/>
      <c r="Z246" s="177"/>
      <c r="AA246" s="141"/>
      <c r="AE246" s="140"/>
      <c r="AI246" s="141"/>
      <c r="AM246" s="141"/>
      <c r="AQ246" s="141"/>
    </row>
    <row r="247" spans="2:43" s="134" customFormat="1" x14ac:dyDescent="0.2">
      <c r="B247" s="145"/>
      <c r="D247" s="145"/>
      <c r="H247" s="162"/>
      <c r="J247" s="140"/>
      <c r="K247" s="140"/>
      <c r="L247" s="140"/>
      <c r="Z247" s="177"/>
      <c r="AA247" s="141"/>
      <c r="AE247" s="140"/>
      <c r="AI247" s="141"/>
      <c r="AM247" s="141"/>
      <c r="AQ247" s="141"/>
    </row>
    <row r="248" spans="2:43" s="134" customFormat="1" x14ac:dyDescent="0.2">
      <c r="B248" s="145"/>
      <c r="D248" s="145"/>
      <c r="H248" s="162"/>
      <c r="J248" s="140"/>
      <c r="K248" s="140"/>
      <c r="L248" s="140"/>
      <c r="Z248" s="177"/>
      <c r="AA248" s="141"/>
      <c r="AE248" s="140"/>
      <c r="AI248" s="141"/>
      <c r="AM248" s="141"/>
      <c r="AQ248" s="141"/>
    </row>
    <row r="249" spans="2:43" s="134" customFormat="1" x14ac:dyDescent="0.2">
      <c r="B249" s="145"/>
      <c r="D249" s="145"/>
      <c r="H249" s="162"/>
      <c r="J249" s="140"/>
      <c r="K249" s="140"/>
      <c r="L249" s="140"/>
      <c r="Z249" s="177"/>
      <c r="AA249" s="141"/>
      <c r="AE249" s="140"/>
      <c r="AI249" s="141"/>
      <c r="AM249" s="141"/>
      <c r="AQ249" s="141"/>
    </row>
    <row r="250" spans="2:43" s="134" customFormat="1" x14ac:dyDescent="0.2">
      <c r="B250" s="145"/>
      <c r="D250" s="145"/>
      <c r="H250" s="162"/>
      <c r="J250" s="140"/>
      <c r="K250" s="140"/>
      <c r="L250" s="140"/>
      <c r="Z250" s="177"/>
      <c r="AA250" s="141"/>
      <c r="AE250" s="140"/>
      <c r="AI250" s="141"/>
      <c r="AM250" s="141"/>
      <c r="AQ250" s="141"/>
    </row>
    <row r="251" spans="2:43" s="134" customFormat="1" x14ac:dyDescent="0.2">
      <c r="B251" s="145"/>
      <c r="D251" s="145"/>
      <c r="H251" s="162"/>
      <c r="J251" s="140"/>
      <c r="K251" s="140"/>
      <c r="L251" s="140"/>
      <c r="Z251" s="177"/>
      <c r="AA251" s="141"/>
      <c r="AE251" s="140"/>
      <c r="AI251" s="141"/>
      <c r="AM251" s="141"/>
      <c r="AQ251" s="141"/>
    </row>
    <row r="252" spans="2:43" s="134" customFormat="1" x14ac:dyDescent="0.2">
      <c r="B252" s="145"/>
      <c r="D252" s="145"/>
      <c r="H252" s="162"/>
      <c r="J252" s="140"/>
      <c r="K252" s="140"/>
      <c r="L252" s="140"/>
      <c r="Z252" s="177"/>
      <c r="AA252" s="141"/>
      <c r="AE252" s="140"/>
      <c r="AI252" s="141"/>
      <c r="AM252" s="141"/>
      <c r="AQ252" s="141"/>
    </row>
    <row r="253" spans="2:43" s="134" customFormat="1" x14ac:dyDescent="0.2">
      <c r="B253" s="145"/>
      <c r="D253" s="145"/>
      <c r="H253" s="162"/>
      <c r="J253" s="140"/>
      <c r="K253" s="140"/>
      <c r="L253" s="140"/>
      <c r="Z253" s="177"/>
      <c r="AA253" s="141"/>
      <c r="AE253" s="140"/>
      <c r="AI253" s="141"/>
      <c r="AM253" s="141"/>
      <c r="AQ253" s="141"/>
    </row>
    <row r="254" spans="2:43" s="134" customFormat="1" x14ac:dyDescent="0.2">
      <c r="B254" s="145"/>
      <c r="D254" s="145"/>
      <c r="H254" s="162"/>
      <c r="J254" s="140"/>
      <c r="K254" s="140"/>
      <c r="L254" s="140"/>
      <c r="Z254" s="177"/>
      <c r="AA254" s="141"/>
      <c r="AE254" s="140"/>
      <c r="AI254" s="141"/>
      <c r="AM254" s="141"/>
      <c r="AQ254" s="141"/>
    </row>
    <row r="255" spans="2:43" s="134" customFormat="1" x14ac:dyDescent="0.2">
      <c r="B255" s="145"/>
      <c r="D255" s="145"/>
      <c r="H255" s="162"/>
      <c r="J255" s="140"/>
      <c r="K255" s="140"/>
      <c r="L255" s="140"/>
      <c r="Z255" s="177"/>
      <c r="AA255" s="141"/>
      <c r="AE255" s="140"/>
      <c r="AI255" s="141"/>
      <c r="AM255" s="141"/>
      <c r="AQ255" s="141"/>
    </row>
    <row r="256" spans="2:43" s="134" customFormat="1" x14ac:dyDescent="0.2">
      <c r="B256" s="145"/>
      <c r="D256" s="145"/>
      <c r="H256" s="162"/>
      <c r="J256" s="140"/>
      <c r="K256" s="140"/>
      <c r="L256" s="140"/>
      <c r="Z256" s="177"/>
      <c r="AA256" s="141"/>
      <c r="AE256" s="140"/>
      <c r="AI256" s="141"/>
      <c r="AM256" s="141"/>
      <c r="AQ256" s="141"/>
    </row>
    <row r="257" spans="2:43" s="134" customFormat="1" x14ac:dyDescent="0.2">
      <c r="B257" s="145"/>
      <c r="D257" s="145"/>
      <c r="H257" s="162"/>
      <c r="J257" s="140"/>
      <c r="K257" s="140"/>
      <c r="L257" s="140"/>
      <c r="Z257" s="177"/>
      <c r="AA257" s="141"/>
      <c r="AE257" s="140"/>
      <c r="AI257" s="141"/>
      <c r="AM257" s="141"/>
      <c r="AQ257" s="141"/>
    </row>
    <row r="258" spans="2:43" s="134" customFormat="1" x14ac:dyDescent="0.2">
      <c r="B258" s="145"/>
      <c r="D258" s="145"/>
      <c r="H258" s="162"/>
      <c r="J258" s="140"/>
      <c r="K258" s="140"/>
      <c r="L258" s="140"/>
      <c r="Z258" s="177"/>
      <c r="AA258" s="141"/>
      <c r="AE258" s="140"/>
      <c r="AI258" s="141"/>
      <c r="AM258" s="141"/>
      <c r="AQ258" s="141"/>
    </row>
    <row r="259" spans="2:43" s="134" customFormat="1" x14ac:dyDescent="0.2">
      <c r="B259" s="145"/>
      <c r="D259" s="145"/>
      <c r="H259" s="162"/>
      <c r="J259" s="140"/>
      <c r="K259" s="140"/>
      <c r="L259" s="140"/>
      <c r="Z259" s="177"/>
      <c r="AA259" s="141"/>
      <c r="AE259" s="140"/>
      <c r="AI259" s="141"/>
      <c r="AM259" s="141"/>
      <c r="AQ259" s="141"/>
    </row>
    <row r="260" spans="2:43" s="134" customFormat="1" x14ac:dyDescent="0.2">
      <c r="B260" s="145"/>
      <c r="D260" s="145"/>
      <c r="H260" s="162"/>
      <c r="J260" s="140"/>
      <c r="K260" s="140"/>
      <c r="L260" s="140"/>
      <c r="Z260" s="177"/>
      <c r="AA260" s="141"/>
      <c r="AE260" s="140"/>
      <c r="AI260" s="141"/>
      <c r="AM260" s="141"/>
      <c r="AQ260" s="141"/>
    </row>
    <row r="261" spans="2:43" s="134" customFormat="1" x14ac:dyDescent="0.2">
      <c r="B261" s="145"/>
      <c r="D261" s="145"/>
      <c r="H261" s="162"/>
      <c r="J261" s="140"/>
      <c r="K261" s="140"/>
      <c r="L261" s="140"/>
      <c r="Z261" s="177"/>
      <c r="AA261" s="141"/>
      <c r="AE261" s="140"/>
      <c r="AI261" s="141"/>
      <c r="AM261" s="141"/>
      <c r="AQ261" s="141"/>
    </row>
    <row r="262" spans="2:43" s="134" customFormat="1" x14ac:dyDescent="0.2">
      <c r="B262" s="145"/>
      <c r="D262" s="145"/>
      <c r="H262" s="162"/>
      <c r="J262" s="140"/>
      <c r="K262" s="140"/>
      <c r="L262" s="140"/>
      <c r="Z262" s="177"/>
      <c r="AA262" s="141"/>
      <c r="AE262" s="140"/>
      <c r="AI262" s="141"/>
      <c r="AM262" s="141"/>
      <c r="AQ262" s="141"/>
    </row>
    <row r="263" spans="2:43" s="134" customFormat="1" x14ac:dyDescent="0.2">
      <c r="B263" s="145"/>
      <c r="D263" s="145"/>
      <c r="H263" s="162"/>
      <c r="J263" s="140"/>
      <c r="K263" s="140"/>
      <c r="L263" s="140"/>
      <c r="Z263" s="177"/>
      <c r="AA263" s="141"/>
      <c r="AE263" s="140"/>
      <c r="AI263" s="141"/>
      <c r="AM263" s="141"/>
      <c r="AQ263" s="141"/>
    </row>
    <row r="264" spans="2:43" s="134" customFormat="1" x14ac:dyDescent="0.2">
      <c r="B264" s="145"/>
      <c r="D264" s="145"/>
      <c r="H264" s="162"/>
      <c r="J264" s="140"/>
      <c r="K264" s="140"/>
      <c r="L264" s="140"/>
      <c r="Z264" s="177"/>
      <c r="AA264" s="141"/>
      <c r="AE264" s="140"/>
      <c r="AI264" s="141"/>
      <c r="AM264" s="141"/>
      <c r="AQ264" s="141"/>
    </row>
    <row r="265" spans="2:43" s="134" customFormat="1" x14ac:dyDescent="0.2">
      <c r="B265" s="145"/>
      <c r="D265" s="145"/>
      <c r="H265" s="162"/>
      <c r="J265" s="140"/>
      <c r="K265" s="140"/>
      <c r="L265" s="140"/>
      <c r="Z265" s="177"/>
      <c r="AA265" s="141"/>
      <c r="AE265" s="140"/>
      <c r="AI265" s="141"/>
      <c r="AM265" s="141"/>
      <c r="AQ265" s="141"/>
    </row>
    <row r="266" spans="2:43" s="134" customFormat="1" x14ac:dyDescent="0.2">
      <c r="B266" s="145"/>
      <c r="D266" s="145"/>
      <c r="H266" s="162"/>
      <c r="J266" s="140"/>
      <c r="K266" s="140"/>
      <c r="L266" s="140"/>
      <c r="Z266" s="177"/>
      <c r="AA266" s="141"/>
      <c r="AE266" s="140"/>
      <c r="AI266" s="141"/>
      <c r="AM266" s="141"/>
      <c r="AQ266" s="141"/>
    </row>
    <row r="267" spans="2:43" s="134" customFormat="1" x14ac:dyDescent="0.2">
      <c r="B267" s="145"/>
      <c r="D267" s="145"/>
      <c r="H267" s="162"/>
      <c r="J267" s="140"/>
      <c r="K267" s="140"/>
      <c r="L267" s="140"/>
      <c r="Z267" s="177"/>
      <c r="AA267" s="141"/>
      <c r="AE267" s="140"/>
      <c r="AI267" s="141"/>
      <c r="AM267" s="141"/>
      <c r="AQ267" s="141"/>
    </row>
    <row r="268" spans="2:43" s="134" customFormat="1" x14ac:dyDescent="0.2">
      <c r="B268" s="145"/>
      <c r="D268" s="145"/>
      <c r="H268" s="162"/>
      <c r="J268" s="140"/>
      <c r="K268" s="140"/>
      <c r="L268" s="140"/>
      <c r="Z268" s="177"/>
      <c r="AA268" s="141"/>
      <c r="AE268" s="140"/>
      <c r="AI268" s="141"/>
      <c r="AM268" s="141"/>
      <c r="AQ268" s="141"/>
    </row>
    <row r="269" spans="2:43" s="134" customFormat="1" x14ac:dyDescent="0.2">
      <c r="B269" s="145"/>
      <c r="D269" s="145"/>
      <c r="H269" s="162"/>
      <c r="J269" s="140"/>
      <c r="K269" s="140"/>
      <c r="L269" s="140"/>
      <c r="Z269" s="177"/>
      <c r="AA269" s="141"/>
      <c r="AE269" s="140"/>
      <c r="AI269" s="141"/>
      <c r="AM269" s="141"/>
      <c r="AQ269" s="141"/>
    </row>
    <row r="270" spans="2:43" s="134" customFormat="1" x14ac:dyDescent="0.2">
      <c r="B270" s="145"/>
      <c r="D270" s="145"/>
      <c r="H270" s="162"/>
      <c r="J270" s="140"/>
      <c r="K270" s="140"/>
      <c r="L270" s="140"/>
      <c r="Z270" s="177"/>
      <c r="AA270" s="141"/>
      <c r="AE270" s="140"/>
      <c r="AI270" s="141"/>
      <c r="AM270" s="141"/>
      <c r="AQ270" s="141"/>
    </row>
    <row r="271" spans="2:43" s="134" customFormat="1" x14ac:dyDescent="0.2">
      <c r="B271" s="145"/>
      <c r="D271" s="145"/>
      <c r="H271" s="162"/>
      <c r="J271" s="140"/>
      <c r="K271" s="140"/>
      <c r="L271" s="140"/>
      <c r="Z271" s="177"/>
      <c r="AA271" s="141"/>
      <c r="AE271" s="140"/>
      <c r="AI271" s="141"/>
      <c r="AM271" s="141"/>
      <c r="AQ271" s="141"/>
    </row>
    <row r="272" spans="2:43" s="134" customFormat="1" x14ac:dyDescent="0.2">
      <c r="B272" s="145"/>
      <c r="D272" s="145"/>
      <c r="H272" s="162"/>
      <c r="J272" s="140"/>
      <c r="K272" s="140"/>
      <c r="L272" s="140"/>
      <c r="Z272" s="177"/>
      <c r="AA272" s="141"/>
      <c r="AE272" s="140"/>
      <c r="AI272" s="141"/>
      <c r="AM272" s="141"/>
      <c r="AQ272" s="141"/>
    </row>
    <row r="273" spans="2:43" s="134" customFormat="1" x14ac:dyDescent="0.2">
      <c r="B273" s="145"/>
      <c r="D273" s="145"/>
      <c r="H273" s="162"/>
      <c r="J273" s="140"/>
      <c r="K273" s="140"/>
      <c r="L273" s="140"/>
      <c r="Z273" s="177"/>
      <c r="AA273" s="141"/>
      <c r="AE273" s="140"/>
      <c r="AI273" s="141"/>
      <c r="AM273" s="141"/>
      <c r="AQ273" s="141"/>
    </row>
    <row r="274" spans="2:43" s="134" customFormat="1" x14ac:dyDescent="0.2">
      <c r="B274" s="145"/>
      <c r="D274" s="145"/>
      <c r="H274" s="162"/>
      <c r="J274" s="140"/>
      <c r="K274" s="140"/>
      <c r="L274" s="140"/>
      <c r="Z274" s="177"/>
      <c r="AA274" s="141"/>
      <c r="AE274" s="140"/>
      <c r="AI274" s="141"/>
      <c r="AM274" s="141"/>
      <c r="AQ274" s="141"/>
    </row>
    <row r="275" spans="2:43" s="134" customFormat="1" x14ac:dyDescent="0.2">
      <c r="B275" s="145"/>
      <c r="D275" s="145"/>
      <c r="H275" s="162"/>
      <c r="J275" s="140"/>
      <c r="K275" s="140"/>
      <c r="L275" s="140"/>
      <c r="Z275" s="177"/>
      <c r="AA275" s="141"/>
      <c r="AE275" s="140"/>
      <c r="AI275" s="141"/>
      <c r="AM275" s="141"/>
      <c r="AQ275" s="141"/>
    </row>
    <row r="276" spans="2:43" s="134" customFormat="1" x14ac:dyDescent="0.2">
      <c r="B276" s="145"/>
      <c r="D276" s="145"/>
      <c r="H276" s="162"/>
      <c r="J276" s="140"/>
      <c r="K276" s="140"/>
      <c r="L276" s="140"/>
      <c r="Z276" s="177"/>
      <c r="AA276" s="141"/>
      <c r="AE276" s="140"/>
      <c r="AI276" s="141"/>
      <c r="AM276" s="141"/>
      <c r="AQ276" s="141"/>
    </row>
    <row r="277" spans="2:43" s="134" customFormat="1" x14ac:dyDescent="0.2">
      <c r="B277" s="145"/>
      <c r="D277" s="145"/>
      <c r="H277" s="162"/>
      <c r="J277" s="140"/>
      <c r="K277" s="140"/>
      <c r="L277" s="140"/>
      <c r="Z277" s="177"/>
      <c r="AA277" s="141"/>
      <c r="AE277" s="140"/>
      <c r="AI277" s="141"/>
      <c r="AM277" s="141"/>
      <c r="AQ277" s="141"/>
    </row>
    <row r="278" spans="2:43" s="134" customFormat="1" x14ac:dyDescent="0.2">
      <c r="B278" s="145"/>
      <c r="D278" s="145"/>
      <c r="H278" s="162"/>
      <c r="J278" s="140"/>
      <c r="K278" s="140"/>
      <c r="L278" s="140"/>
      <c r="Z278" s="177"/>
      <c r="AA278" s="141"/>
      <c r="AE278" s="140"/>
      <c r="AI278" s="141"/>
      <c r="AM278" s="141"/>
      <c r="AQ278" s="141"/>
    </row>
    <row r="279" spans="2:43" s="134" customFormat="1" x14ac:dyDescent="0.2">
      <c r="B279" s="145"/>
      <c r="D279" s="145"/>
      <c r="H279" s="162"/>
      <c r="J279" s="140"/>
      <c r="K279" s="140"/>
      <c r="L279" s="140"/>
      <c r="Z279" s="177"/>
      <c r="AA279" s="141"/>
      <c r="AE279" s="140"/>
      <c r="AI279" s="141"/>
      <c r="AM279" s="141"/>
      <c r="AQ279" s="141"/>
    </row>
    <row r="280" spans="2:43" s="134" customFormat="1" x14ac:dyDescent="0.2">
      <c r="B280" s="145"/>
      <c r="D280" s="145"/>
      <c r="H280" s="162"/>
      <c r="J280" s="140"/>
      <c r="K280" s="140"/>
      <c r="L280" s="140"/>
      <c r="Z280" s="177"/>
      <c r="AA280" s="141"/>
      <c r="AE280" s="140"/>
      <c r="AI280" s="141"/>
      <c r="AM280" s="141"/>
      <c r="AQ280" s="141"/>
    </row>
    <row r="281" spans="2:43" s="134" customFormat="1" x14ac:dyDescent="0.2">
      <c r="B281" s="145"/>
      <c r="D281" s="145"/>
      <c r="H281" s="162"/>
      <c r="J281" s="140"/>
      <c r="K281" s="140"/>
      <c r="L281" s="140"/>
      <c r="Z281" s="177"/>
      <c r="AA281" s="141"/>
      <c r="AE281" s="140"/>
      <c r="AI281" s="141"/>
      <c r="AM281" s="141"/>
      <c r="AQ281" s="141"/>
    </row>
    <row r="282" spans="2:43" s="134" customFormat="1" x14ac:dyDescent="0.2">
      <c r="B282" s="145"/>
      <c r="D282" s="145"/>
      <c r="H282" s="162"/>
      <c r="J282" s="140"/>
      <c r="K282" s="140"/>
      <c r="L282" s="140"/>
      <c r="Z282" s="177"/>
      <c r="AA282" s="141"/>
      <c r="AE282" s="140"/>
      <c r="AI282" s="141"/>
      <c r="AM282" s="141"/>
      <c r="AQ282" s="141"/>
    </row>
    <row r="283" spans="2:43" s="134" customFormat="1" x14ac:dyDescent="0.2">
      <c r="B283" s="145"/>
      <c r="D283" s="145"/>
      <c r="H283" s="162"/>
      <c r="J283" s="140"/>
      <c r="K283" s="140"/>
      <c r="L283" s="140"/>
      <c r="Z283" s="177"/>
      <c r="AA283" s="141"/>
      <c r="AE283" s="140"/>
      <c r="AI283" s="141"/>
      <c r="AM283" s="141"/>
      <c r="AQ283" s="141"/>
    </row>
    <row r="284" spans="2:43" s="134" customFormat="1" x14ac:dyDescent="0.2">
      <c r="B284" s="145"/>
      <c r="D284" s="145"/>
      <c r="H284" s="162"/>
      <c r="J284" s="140"/>
      <c r="K284" s="140"/>
      <c r="L284" s="140"/>
      <c r="Z284" s="177"/>
      <c r="AA284" s="141"/>
      <c r="AE284" s="140"/>
      <c r="AI284" s="141"/>
      <c r="AM284" s="141"/>
      <c r="AQ284" s="141"/>
    </row>
    <row r="285" spans="2:43" s="134" customFormat="1" x14ac:dyDescent="0.2">
      <c r="B285" s="145"/>
      <c r="D285" s="145"/>
      <c r="H285" s="162"/>
      <c r="J285" s="140"/>
      <c r="K285" s="140"/>
      <c r="L285" s="140"/>
      <c r="Z285" s="177"/>
      <c r="AA285" s="141"/>
      <c r="AE285" s="140"/>
      <c r="AI285" s="141"/>
      <c r="AM285" s="141"/>
      <c r="AQ285" s="141"/>
    </row>
    <row r="286" spans="2:43" s="134" customFormat="1" x14ac:dyDescent="0.2">
      <c r="B286" s="145"/>
      <c r="D286" s="145"/>
      <c r="H286" s="162"/>
      <c r="J286" s="140"/>
      <c r="K286" s="140"/>
      <c r="L286" s="140"/>
      <c r="Z286" s="177"/>
      <c r="AA286" s="141"/>
      <c r="AE286" s="140"/>
      <c r="AI286" s="141"/>
      <c r="AM286" s="141"/>
      <c r="AQ286" s="141"/>
    </row>
    <row r="287" spans="2:43" s="134" customFormat="1" x14ac:dyDescent="0.2">
      <c r="B287" s="145"/>
      <c r="D287" s="145"/>
      <c r="H287" s="162"/>
      <c r="J287" s="140"/>
      <c r="K287" s="140"/>
      <c r="L287" s="140"/>
      <c r="Z287" s="177"/>
      <c r="AA287" s="141"/>
      <c r="AE287" s="140"/>
      <c r="AI287" s="141"/>
      <c r="AM287" s="141"/>
      <c r="AQ287" s="141"/>
    </row>
    <row r="288" spans="2:43" s="134" customFormat="1" x14ac:dyDescent="0.2">
      <c r="B288" s="145"/>
      <c r="D288" s="145"/>
      <c r="H288" s="162"/>
      <c r="J288" s="140"/>
      <c r="K288" s="140"/>
      <c r="L288" s="140"/>
      <c r="Z288" s="177"/>
      <c r="AA288" s="141"/>
      <c r="AE288" s="140"/>
      <c r="AI288" s="141"/>
      <c r="AM288" s="141"/>
      <c r="AQ288" s="141"/>
    </row>
    <row r="289" spans="2:43" s="134" customFormat="1" x14ac:dyDescent="0.2">
      <c r="B289" s="145"/>
      <c r="D289" s="145"/>
      <c r="H289" s="162"/>
      <c r="J289" s="140"/>
      <c r="K289" s="140"/>
      <c r="L289" s="140"/>
      <c r="Z289" s="177"/>
      <c r="AA289" s="141"/>
      <c r="AE289" s="140"/>
      <c r="AI289" s="141"/>
      <c r="AM289" s="141"/>
      <c r="AQ289" s="141"/>
    </row>
    <row r="290" spans="2:43" s="134" customFormat="1" x14ac:dyDescent="0.2">
      <c r="B290" s="145"/>
      <c r="D290" s="145"/>
      <c r="H290" s="162"/>
      <c r="J290" s="140"/>
      <c r="K290" s="140"/>
      <c r="L290" s="140"/>
      <c r="Z290" s="177"/>
      <c r="AA290" s="141"/>
      <c r="AE290" s="140"/>
      <c r="AI290" s="141"/>
      <c r="AM290" s="141"/>
      <c r="AQ290" s="141"/>
    </row>
    <row r="291" spans="2:43" s="134" customFormat="1" x14ac:dyDescent="0.2">
      <c r="B291" s="145"/>
      <c r="D291" s="145"/>
      <c r="H291" s="162"/>
      <c r="J291" s="140"/>
      <c r="K291" s="140"/>
      <c r="L291" s="140"/>
      <c r="Z291" s="177"/>
      <c r="AA291" s="141"/>
      <c r="AE291" s="140"/>
      <c r="AI291" s="141"/>
      <c r="AM291" s="141"/>
      <c r="AQ291" s="141"/>
    </row>
    <row r="292" spans="2:43" s="134" customFormat="1" x14ac:dyDescent="0.2">
      <c r="B292" s="145"/>
      <c r="D292" s="145"/>
      <c r="H292" s="162"/>
      <c r="J292" s="140"/>
      <c r="K292" s="140"/>
      <c r="L292" s="140"/>
      <c r="Z292" s="177"/>
      <c r="AA292" s="141"/>
      <c r="AE292" s="140"/>
      <c r="AI292" s="141"/>
      <c r="AM292" s="141"/>
      <c r="AQ292" s="141"/>
    </row>
    <row r="293" spans="2:43" s="134" customFormat="1" x14ac:dyDescent="0.2">
      <c r="B293" s="145"/>
      <c r="D293" s="145"/>
      <c r="H293" s="162"/>
      <c r="J293" s="140"/>
      <c r="K293" s="140"/>
      <c r="L293" s="140"/>
      <c r="Z293" s="177"/>
      <c r="AA293" s="141"/>
      <c r="AE293" s="140"/>
      <c r="AI293" s="141"/>
      <c r="AM293" s="141"/>
      <c r="AQ293" s="141"/>
    </row>
    <row r="294" spans="2:43" s="134" customFormat="1" x14ac:dyDescent="0.2">
      <c r="B294" s="145"/>
      <c r="D294" s="145"/>
      <c r="H294" s="162"/>
      <c r="J294" s="140"/>
      <c r="K294" s="140"/>
      <c r="L294" s="140"/>
      <c r="Z294" s="177"/>
      <c r="AA294" s="141"/>
      <c r="AE294" s="140"/>
      <c r="AI294" s="141"/>
      <c r="AM294" s="141"/>
      <c r="AQ294" s="141"/>
    </row>
    <row r="295" spans="2:43" s="134" customFormat="1" x14ac:dyDescent="0.2">
      <c r="B295" s="145"/>
      <c r="D295" s="145"/>
      <c r="H295" s="162"/>
      <c r="J295" s="140"/>
      <c r="K295" s="140"/>
      <c r="L295" s="140"/>
      <c r="Z295" s="177"/>
      <c r="AA295" s="141"/>
      <c r="AE295" s="140"/>
      <c r="AI295" s="141"/>
      <c r="AM295" s="141"/>
      <c r="AQ295" s="141"/>
    </row>
    <row r="296" spans="2:43" s="134" customFormat="1" x14ac:dyDescent="0.2">
      <c r="B296" s="145"/>
      <c r="D296" s="145"/>
      <c r="H296" s="162"/>
      <c r="J296" s="140"/>
      <c r="K296" s="140"/>
      <c r="L296" s="140"/>
      <c r="Z296" s="177"/>
      <c r="AA296" s="141"/>
      <c r="AE296" s="140"/>
      <c r="AI296" s="141"/>
      <c r="AM296" s="141"/>
      <c r="AQ296" s="141"/>
    </row>
    <row r="297" spans="2:43" s="134" customFormat="1" x14ac:dyDescent="0.2">
      <c r="B297" s="145"/>
      <c r="D297" s="145"/>
      <c r="H297" s="162"/>
      <c r="J297" s="140"/>
      <c r="K297" s="140"/>
      <c r="L297" s="140"/>
      <c r="Z297" s="177"/>
      <c r="AA297" s="141"/>
      <c r="AE297" s="140"/>
      <c r="AI297" s="141"/>
      <c r="AM297" s="141"/>
      <c r="AQ297" s="141"/>
    </row>
    <row r="298" spans="2:43" s="134" customFormat="1" x14ac:dyDescent="0.2">
      <c r="B298" s="145"/>
      <c r="D298" s="145"/>
      <c r="H298" s="162"/>
      <c r="J298" s="140"/>
      <c r="K298" s="140"/>
      <c r="L298" s="140"/>
      <c r="Z298" s="177"/>
      <c r="AA298" s="141"/>
      <c r="AE298" s="140"/>
      <c r="AI298" s="141"/>
      <c r="AM298" s="141"/>
      <c r="AQ298" s="141"/>
    </row>
    <row r="299" spans="2:43" s="134" customFormat="1" x14ac:dyDescent="0.2">
      <c r="B299" s="145"/>
      <c r="D299" s="145"/>
      <c r="H299" s="162"/>
      <c r="J299" s="140"/>
      <c r="K299" s="140"/>
      <c r="L299" s="140"/>
      <c r="Z299" s="177"/>
      <c r="AA299" s="141"/>
      <c r="AE299" s="140"/>
      <c r="AI299" s="141"/>
      <c r="AM299" s="141"/>
      <c r="AQ299" s="141"/>
    </row>
    <row r="300" spans="2:43" s="134" customFormat="1" x14ac:dyDescent="0.2">
      <c r="B300" s="145"/>
      <c r="D300" s="145"/>
      <c r="H300" s="162"/>
      <c r="J300" s="140"/>
      <c r="K300" s="140"/>
      <c r="L300" s="140"/>
      <c r="Z300" s="177"/>
      <c r="AA300" s="141"/>
      <c r="AE300" s="140"/>
      <c r="AI300" s="141"/>
      <c r="AM300" s="141"/>
      <c r="AQ300" s="141"/>
    </row>
    <row r="301" spans="2:43" s="134" customFormat="1" x14ac:dyDescent="0.2">
      <c r="B301" s="145"/>
      <c r="D301" s="145"/>
      <c r="H301" s="162"/>
      <c r="J301" s="140"/>
      <c r="K301" s="140"/>
      <c r="L301" s="140"/>
      <c r="Z301" s="177"/>
      <c r="AA301" s="141"/>
      <c r="AE301" s="140"/>
      <c r="AI301" s="141"/>
      <c r="AM301" s="141"/>
      <c r="AQ301" s="141"/>
    </row>
    <row r="302" spans="2:43" s="134" customFormat="1" x14ac:dyDescent="0.2">
      <c r="B302" s="145"/>
      <c r="D302" s="145"/>
      <c r="H302" s="162"/>
      <c r="J302" s="140"/>
      <c r="K302" s="140"/>
      <c r="L302" s="140"/>
      <c r="Z302" s="177"/>
      <c r="AA302" s="141"/>
      <c r="AE302" s="140"/>
      <c r="AI302" s="141"/>
      <c r="AM302" s="141"/>
      <c r="AQ302" s="141"/>
    </row>
    <row r="303" spans="2:43" s="134" customFormat="1" x14ac:dyDescent="0.2">
      <c r="B303" s="145"/>
      <c r="D303" s="145"/>
      <c r="H303" s="162"/>
      <c r="J303" s="140"/>
      <c r="K303" s="140"/>
      <c r="L303" s="140"/>
      <c r="Z303" s="177"/>
      <c r="AA303" s="141"/>
      <c r="AE303" s="140"/>
      <c r="AI303" s="141"/>
      <c r="AM303" s="141"/>
      <c r="AQ303" s="141"/>
    </row>
    <row r="304" spans="2:43" s="134" customFormat="1" x14ac:dyDescent="0.2">
      <c r="B304" s="145"/>
      <c r="D304" s="145"/>
      <c r="H304" s="162"/>
      <c r="J304" s="140"/>
      <c r="K304" s="140"/>
      <c r="L304" s="140"/>
      <c r="Z304" s="177"/>
      <c r="AA304" s="141"/>
      <c r="AE304" s="140"/>
      <c r="AI304" s="141"/>
      <c r="AM304" s="141"/>
      <c r="AQ304" s="141"/>
    </row>
    <row r="305" spans="2:43" s="134" customFormat="1" x14ac:dyDescent="0.2">
      <c r="B305" s="145"/>
      <c r="D305" s="145"/>
      <c r="H305" s="162"/>
      <c r="J305" s="140"/>
      <c r="K305" s="140"/>
      <c r="L305" s="140"/>
      <c r="Z305" s="177"/>
      <c r="AA305" s="141"/>
      <c r="AE305" s="140"/>
      <c r="AI305" s="141"/>
      <c r="AM305" s="141"/>
      <c r="AQ305" s="141"/>
    </row>
    <row r="306" spans="2:43" s="134" customFormat="1" x14ac:dyDescent="0.2">
      <c r="B306" s="145"/>
      <c r="D306" s="145"/>
      <c r="H306" s="162"/>
      <c r="J306" s="140"/>
      <c r="K306" s="140"/>
      <c r="L306" s="140"/>
      <c r="Z306" s="177"/>
      <c r="AA306" s="141"/>
      <c r="AE306" s="140"/>
      <c r="AI306" s="141"/>
      <c r="AM306" s="141"/>
      <c r="AQ306" s="141"/>
    </row>
    <row r="307" spans="2:43" s="134" customFormat="1" x14ac:dyDescent="0.2">
      <c r="B307" s="145"/>
      <c r="D307" s="145"/>
      <c r="H307" s="162"/>
      <c r="J307" s="140"/>
      <c r="K307" s="140"/>
      <c r="L307" s="140"/>
      <c r="Z307" s="177"/>
      <c r="AA307" s="141"/>
      <c r="AE307" s="140"/>
      <c r="AI307" s="141"/>
      <c r="AM307" s="141"/>
      <c r="AQ307" s="141"/>
    </row>
    <row r="308" spans="2:43" s="134" customFormat="1" x14ac:dyDescent="0.2">
      <c r="B308" s="145"/>
      <c r="D308" s="145"/>
      <c r="H308" s="162"/>
      <c r="J308" s="140"/>
      <c r="K308" s="140"/>
      <c r="L308" s="140"/>
      <c r="Z308" s="177"/>
      <c r="AA308" s="141"/>
      <c r="AE308" s="140"/>
      <c r="AI308" s="141"/>
      <c r="AM308" s="141"/>
      <c r="AQ308" s="141"/>
    </row>
    <row r="309" spans="2:43" s="134" customFormat="1" x14ac:dyDescent="0.2">
      <c r="B309" s="145"/>
      <c r="D309" s="145"/>
      <c r="H309" s="162"/>
      <c r="J309" s="140"/>
      <c r="K309" s="140"/>
      <c r="L309" s="140"/>
      <c r="Z309" s="177"/>
      <c r="AA309" s="141"/>
      <c r="AE309" s="140"/>
      <c r="AI309" s="141"/>
      <c r="AM309" s="141"/>
      <c r="AQ309" s="141"/>
    </row>
    <row r="310" spans="2:43" s="134" customFormat="1" x14ac:dyDescent="0.2">
      <c r="B310" s="145"/>
      <c r="D310" s="145"/>
      <c r="H310" s="162"/>
      <c r="J310" s="140"/>
      <c r="K310" s="140"/>
      <c r="L310" s="140"/>
      <c r="Z310" s="177"/>
      <c r="AA310" s="141"/>
      <c r="AE310" s="140"/>
      <c r="AI310" s="141"/>
      <c r="AM310" s="141"/>
      <c r="AQ310" s="141"/>
    </row>
    <row r="311" spans="2:43" s="134" customFormat="1" x14ac:dyDescent="0.2">
      <c r="B311" s="145"/>
      <c r="D311" s="145"/>
      <c r="H311" s="162"/>
      <c r="J311" s="140"/>
      <c r="K311" s="140"/>
      <c r="L311" s="140"/>
      <c r="Z311" s="177"/>
      <c r="AA311" s="141"/>
      <c r="AE311" s="140"/>
      <c r="AI311" s="141"/>
      <c r="AM311" s="141"/>
      <c r="AQ311" s="141"/>
    </row>
    <row r="312" spans="2:43" s="134" customFormat="1" x14ac:dyDescent="0.2">
      <c r="B312" s="145"/>
      <c r="D312" s="145"/>
      <c r="H312" s="162"/>
      <c r="J312" s="140"/>
      <c r="K312" s="140"/>
      <c r="L312" s="140"/>
      <c r="Z312" s="177"/>
      <c r="AA312" s="141"/>
      <c r="AE312" s="140"/>
      <c r="AI312" s="141"/>
      <c r="AM312" s="141"/>
      <c r="AQ312" s="141"/>
    </row>
    <row r="313" spans="2:43" s="134" customFormat="1" x14ac:dyDescent="0.2">
      <c r="B313" s="145"/>
      <c r="D313" s="145"/>
      <c r="H313" s="162"/>
      <c r="J313" s="140"/>
      <c r="K313" s="140"/>
      <c r="L313" s="140"/>
      <c r="Z313" s="177"/>
      <c r="AA313" s="141"/>
      <c r="AE313" s="140"/>
      <c r="AI313" s="141"/>
      <c r="AM313" s="141"/>
      <c r="AQ313" s="141"/>
    </row>
    <row r="314" spans="2:43" s="134" customFormat="1" x14ac:dyDescent="0.2">
      <c r="B314" s="145"/>
      <c r="D314" s="145"/>
      <c r="H314" s="162"/>
      <c r="J314" s="140"/>
      <c r="K314" s="140"/>
      <c r="L314" s="140"/>
      <c r="Z314" s="177"/>
      <c r="AA314" s="141"/>
      <c r="AE314" s="140"/>
      <c r="AI314" s="141"/>
      <c r="AM314" s="141"/>
      <c r="AQ314" s="141"/>
    </row>
    <row r="315" spans="2:43" s="134" customFormat="1" x14ac:dyDescent="0.2">
      <c r="B315" s="145"/>
      <c r="D315" s="145"/>
      <c r="H315" s="162"/>
      <c r="J315" s="140"/>
      <c r="K315" s="140"/>
      <c r="L315" s="140"/>
      <c r="Z315" s="177"/>
      <c r="AA315" s="141"/>
      <c r="AE315" s="140"/>
      <c r="AI315" s="141"/>
      <c r="AM315" s="141"/>
      <c r="AQ315" s="141"/>
    </row>
    <row r="316" spans="2:43" s="134" customFormat="1" x14ac:dyDescent="0.2">
      <c r="B316" s="145"/>
      <c r="D316" s="145"/>
      <c r="H316" s="162"/>
      <c r="J316" s="140"/>
      <c r="K316" s="140"/>
      <c r="L316" s="140"/>
      <c r="Z316" s="177"/>
      <c r="AA316" s="141"/>
      <c r="AE316" s="140"/>
      <c r="AI316" s="141"/>
      <c r="AM316" s="141"/>
      <c r="AQ316" s="141"/>
    </row>
    <row r="317" spans="2:43" s="134" customFormat="1" x14ac:dyDescent="0.2">
      <c r="B317" s="145"/>
      <c r="D317" s="145"/>
      <c r="H317" s="162"/>
      <c r="J317" s="140"/>
      <c r="K317" s="140"/>
      <c r="L317" s="140"/>
      <c r="Z317" s="177"/>
      <c r="AA317" s="141"/>
      <c r="AE317" s="140"/>
      <c r="AI317" s="141"/>
      <c r="AM317" s="141"/>
      <c r="AQ317" s="141"/>
    </row>
    <row r="318" spans="2:43" s="134" customFormat="1" x14ac:dyDescent="0.2">
      <c r="B318" s="145"/>
      <c r="D318" s="145"/>
      <c r="H318" s="162"/>
      <c r="J318" s="140"/>
      <c r="K318" s="140"/>
      <c r="L318" s="140"/>
      <c r="Z318" s="177"/>
      <c r="AA318" s="141"/>
      <c r="AE318" s="140"/>
      <c r="AI318" s="141"/>
      <c r="AM318" s="141"/>
      <c r="AQ318" s="141"/>
    </row>
    <row r="319" spans="2:43" s="134" customFormat="1" x14ac:dyDescent="0.2">
      <c r="B319" s="145"/>
      <c r="D319" s="145"/>
      <c r="H319" s="162"/>
      <c r="J319" s="140"/>
      <c r="K319" s="140"/>
      <c r="L319" s="140"/>
      <c r="Z319" s="177"/>
      <c r="AA319" s="141"/>
      <c r="AE319" s="140"/>
      <c r="AI319" s="141"/>
      <c r="AM319" s="141"/>
      <c r="AQ319" s="141"/>
    </row>
    <row r="320" spans="2:43" s="134" customFormat="1" x14ac:dyDescent="0.2">
      <c r="B320" s="145"/>
      <c r="D320" s="145"/>
      <c r="H320" s="162"/>
      <c r="J320" s="140"/>
      <c r="K320" s="140"/>
      <c r="L320" s="140"/>
      <c r="Z320" s="177"/>
      <c r="AA320" s="141"/>
      <c r="AE320" s="140"/>
      <c r="AI320" s="141"/>
      <c r="AM320" s="141"/>
      <c r="AQ320" s="141"/>
    </row>
    <row r="321" spans="2:43" s="134" customFormat="1" x14ac:dyDescent="0.2">
      <c r="B321" s="145"/>
      <c r="D321" s="145"/>
      <c r="H321" s="162"/>
      <c r="J321" s="140"/>
      <c r="K321" s="140"/>
      <c r="L321" s="140"/>
      <c r="Z321" s="177"/>
      <c r="AA321" s="141"/>
      <c r="AE321" s="140"/>
      <c r="AI321" s="141"/>
      <c r="AM321" s="141"/>
      <c r="AQ321" s="141"/>
    </row>
    <row r="322" spans="2:43" s="134" customFormat="1" x14ac:dyDescent="0.2">
      <c r="B322" s="145"/>
      <c r="D322" s="145"/>
      <c r="H322" s="162"/>
      <c r="J322" s="140"/>
      <c r="K322" s="140"/>
      <c r="L322" s="140"/>
      <c r="Z322" s="177"/>
      <c r="AA322" s="141"/>
      <c r="AE322" s="140"/>
      <c r="AI322" s="141"/>
      <c r="AM322" s="141"/>
      <c r="AQ322" s="141"/>
    </row>
    <row r="323" spans="2:43" s="134" customFormat="1" x14ac:dyDescent="0.2">
      <c r="B323" s="145"/>
      <c r="D323" s="145"/>
      <c r="H323" s="162"/>
      <c r="J323" s="140"/>
      <c r="K323" s="140"/>
      <c r="L323" s="140"/>
      <c r="Z323" s="177"/>
      <c r="AA323" s="141"/>
      <c r="AE323" s="140"/>
      <c r="AI323" s="141"/>
      <c r="AM323" s="141"/>
      <c r="AQ323" s="141"/>
    </row>
    <row r="324" spans="2:43" s="134" customFormat="1" x14ac:dyDescent="0.2">
      <c r="B324" s="145"/>
      <c r="D324" s="145"/>
      <c r="H324" s="162"/>
      <c r="J324" s="140"/>
      <c r="K324" s="140"/>
      <c r="L324" s="140"/>
      <c r="Z324" s="177"/>
      <c r="AA324" s="141"/>
      <c r="AE324" s="140"/>
      <c r="AI324" s="141"/>
      <c r="AM324" s="141"/>
      <c r="AQ324" s="141"/>
    </row>
    <row r="325" spans="2:43" s="134" customFormat="1" x14ac:dyDescent="0.2">
      <c r="B325" s="145"/>
      <c r="D325" s="145"/>
      <c r="H325" s="162"/>
      <c r="J325" s="140"/>
      <c r="K325" s="140"/>
      <c r="L325" s="140"/>
      <c r="Z325" s="177"/>
      <c r="AA325" s="141"/>
      <c r="AE325" s="140"/>
      <c r="AI325" s="141"/>
      <c r="AM325" s="141"/>
      <c r="AQ325" s="141"/>
    </row>
    <row r="326" spans="2:43" s="134" customFormat="1" x14ac:dyDescent="0.2">
      <c r="B326" s="145"/>
      <c r="D326" s="145"/>
      <c r="H326" s="162"/>
      <c r="J326" s="140"/>
      <c r="K326" s="140"/>
      <c r="L326" s="140"/>
      <c r="Z326" s="177"/>
      <c r="AA326" s="141"/>
      <c r="AE326" s="140"/>
      <c r="AI326" s="141"/>
      <c r="AM326" s="141"/>
      <c r="AQ326" s="141"/>
    </row>
    <row r="327" spans="2:43" s="134" customFormat="1" x14ac:dyDescent="0.2">
      <c r="B327" s="145"/>
      <c r="D327" s="145"/>
      <c r="H327" s="162"/>
      <c r="J327" s="140"/>
      <c r="K327" s="140"/>
      <c r="L327" s="140"/>
      <c r="Z327" s="177"/>
      <c r="AA327" s="141"/>
      <c r="AE327" s="140"/>
      <c r="AI327" s="141"/>
      <c r="AM327" s="141"/>
      <c r="AQ327" s="141"/>
    </row>
    <row r="328" spans="2:43" s="134" customFormat="1" x14ac:dyDescent="0.2">
      <c r="B328" s="145"/>
      <c r="D328" s="145"/>
      <c r="H328" s="162"/>
      <c r="J328" s="140"/>
      <c r="K328" s="140"/>
      <c r="L328" s="140"/>
      <c r="Z328" s="177"/>
      <c r="AA328" s="141"/>
      <c r="AE328" s="140"/>
      <c r="AI328" s="141"/>
      <c r="AM328" s="141"/>
      <c r="AQ328" s="141"/>
    </row>
    <row r="329" spans="2:43" s="134" customFormat="1" x14ac:dyDescent="0.2">
      <c r="B329" s="145"/>
      <c r="D329" s="145"/>
      <c r="H329" s="162"/>
      <c r="J329" s="140"/>
      <c r="K329" s="140"/>
      <c r="L329" s="140"/>
      <c r="Z329" s="177"/>
      <c r="AA329" s="141"/>
      <c r="AE329" s="140"/>
      <c r="AI329" s="141"/>
      <c r="AM329" s="141"/>
      <c r="AQ329" s="141"/>
    </row>
    <row r="330" spans="2:43" s="134" customFormat="1" x14ac:dyDescent="0.2">
      <c r="B330" s="145"/>
      <c r="D330" s="145"/>
      <c r="H330" s="162"/>
      <c r="J330" s="140"/>
      <c r="K330" s="140"/>
      <c r="L330" s="140"/>
      <c r="Z330" s="177"/>
      <c r="AA330" s="141"/>
      <c r="AE330" s="140"/>
      <c r="AI330" s="141"/>
      <c r="AM330" s="141"/>
      <c r="AQ330" s="141"/>
    </row>
    <row r="331" spans="2:43" s="134" customFormat="1" x14ac:dyDescent="0.2">
      <c r="B331" s="145"/>
      <c r="D331" s="145"/>
      <c r="H331" s="162"/>
      <c r="J331" s="140"/>
      <c r="K331" s="140"/>
      <c r="L331" s="140"/>
      <c r="Z331" s="177"/>
      <c r="AA331" s="141"/>
      <c r="AE331" s="140"/>
      <c r="AI331" s="141"/>
      <c r="AM331" s="141"/>
      <c r="AQ331" s="141"/>
    </row>
    <row r="332" spans="2:43" s="134" customFormat="1" x14ac:dyDescent="0.2">
      <c r="B332" s="145"/>
      <c r="D332" s="145"/>
      <c r="H332" s="162"/>
      <c r="J332" s="140"/>
      <c r="K332" s="140"/>
      <c r="L332" s="140"/>
      <c r="Z332" s="177"/>
      <c r="AA332" s="141"/>
      <c r="AE332" s="140"/>
      <c r="AI332" s="141"/>
      <c r="AM332" s="141"/>
      <c r="AQ332" s="141"/>
    </row>
    <row r="333" spans="2:43" s="134" customFormat="1" x14ac:dyDescent="0.2">
      <c r="B333" s="145"/>
      <c r="D333" s="145"/>
      <c r="H333" s="162"/>
      <c r="J333" s="140"/>
      <c r="K333" s="140"/>
      <c r="L333" s="140"/>
      <c r="Z333" s="177"/>
      <c r="AA333" s="141"/>
      <c r="AE333" s="140"/>
      <c r="AI333" s="141"/>
      <c r="AM333" s="141"/>
      <c r="AQ333" s="141"/>
    </row>
    <row r="334" spans="2:43" s="134" customFormat="1" x14ac:dyDescent="0.2">
      <c r="B334" s="145"/>
      <c r="D334" s="145"/>
      <c r="H334" s="162"/>
      <c r="J334" s="140"/>
      <c r="K334" s="140"/>
      <c r="L334" s="140"/>
      <c r="Z334" s="177"/>
      <c r="AA334" s="141"/>
      <c r="AE334" s="140"/>
      <c r="AI334" s="141"/>
      <c r="AM334" s="141"/>
      <c r="AQ334" s="141"/>
    </row>
    <row r="335" spans="2:43" s="134" customFormat="1" x14ac:dyDescent="0.2">
      <c r="B335" s="145"/>
      <c r="D335" s="145"/>
      <c r="H335" s="162"/>
      <c r="J335" s="140"/>
      <c r="K335" s="140"/>
      <c r="L335" s="140"/>
      <c r="Z335" s="177"/>
      <c r="AA335" s="141"/>
      <c r="AE335" s="140"/>
      <c r="AI335" s="141"/>
      <c r="AM335" s="141"/>
      <c r="AQ335" s="141"/>
    </row>
    <row r="336" spans="2:43" s="134" customFormat="1" x14ac:dyDescent="0.2">
      <c r="B336" s="145"/>
      <c r="D336" s="145"/>
      <c r="H336" s="162"/>
      <c r="J336" s="140"/>
      <c r="K336" s="140"/>
      <c r="L336" s="140"/>
      <c r="Z336" s="177"/>
      <c r="AA336" s="141"/>
      <c r="AE336" s="140"/>
      <c r="AI336" s="141"/>
      <c r="AM336" s="141"/>
      <c r="AQ336" s="141"/>
    </row>
    <row r="337" spans="2:43" s="134" customFormat="1" x14ac:dyDescent="0.2">
      <c r="B337" s="145"/>
      <c r="D337" s="145"/>
      <c r="H337" s="162"/>
      <c r="J337" s="140"/>
      <c r="K337" s="140"/>
      <c r="L337" s="140"/>
      <c r="Z337" s="177"/>
      <c r="AA337" s="141"/>
      <c r="AE337" s="140"/>
      <c r="AI337" s="141"/>
      <c r="AM337" s="141"/>
      <c r="AQ337" s="141"/>
    </row>
    <row r="338" spans="2:43" s="134" customFormat="1" x14ac:dyDescent="0.2">
      <c r="B338" s="145"/>
      <c r="D338" s="145"/>
      <c r="H338" s="162"/>
      <c r="J338" s="140"/>
      <c r="K338" s="140"/>
      <c r="L338" s="140"/>
      <c r="Z338" s="177"/>
      <c r="AA338" s="141"/>
      <c r="AE338" s="140"/>
      <c r="AI338" s="141"/>
      <c r="AM338" s="141"/>
      <c r="AQ338" s="141"/>
    </row>
    <row r="339" spans="2:43" s="134" customFormat="1" x14ac:dyDescent="0.2">
      <c r="B339" s="145"/>
      <c r="D339" s="145"/>
      <c r="H339" s="162"/>
      <c r="J339" s="140"/>
      <c r="K339" s="140"/>
      <c r="L339" s="140"/>
      <c r="Z339" s="177"/>
      <c r="AA339" s="141"/>
      <c r="AE339" s="140"/>
      <c r="AI339" s="141"/>
      <c r="AM339" s="141"/>
      <c r="AQ339" s="141"/>
    </row>
    <row r="340" spans="2:43" s="134" customFormat="1" x14ac:dyDescent="0.2">
      <c r="B340" s="145"/>
      <c r="D340" s="145"/>
      <c r="H340" s="162"/>
      <c r="J340" s="140"/>
      <c r="K340" s="140"/>
      <c r="L340" s="140"/>
      <c r="Z340" s="177"/>
      <c r="AA340" s="141"/>
      <c r="AE340" s="140"/>
      <c r="AI340" s="141"/>
      <c r="AM340" s="141"/>
      <c r="AQ340" s="141"/>
    </row>
    <row r="341" spans="2:43" s="134" customFormat="1" x14ac:dyDescent="0.2">
      <c r="B341" s="145"/>
      <c r="D341" s="145"/>
      <c r="H341" s="162"/>
      <c r="J341" s="140"/>
      <c r="K341" s="140"/>
      <c r="L341" s="140"/>
      <c r="Z341" s="177"/>
      <c r="AA341" s="141"/>
      <c r="AE341" s="140"/>
      <c r="AI341" s="141"/>
      <c r="AM341" s="141"/>
      <c r="AQ341" s="141"/>
    </row>
    <row r="342" spans="2:43" s="134" customFormat="1" x14ac:dyDescent="0.2">
      <c r="B342" s="145"/>
      <c r="D342" s="145"/>
      <c r="H342" s="162"/>
      <c r="J342" s="140"/>
      <c r="K342" s="140"/>
      <c r="L342" s="140"/>
      <c r="Z342" s="177"/>
      <c r="AA342" s="141"/>
      <c r="AE342" s="140"/>
      <c r="AI342" s="141"/>
      <c r="AM342" s="141"/>
      <c r="AQ342" s="141"/>
    </row>
    <row r="343" spans="2:43" s="134" customFormat="1" x14ac:dyDescent="0.2">
      <c r="B343" s="145"/>
      <c r="D343" s="145"/>
      <c r="H343" s="162"/>
      <c r="J343" s="140"/>
      <c r="K343" s="140"/>
      <c r="L343" s="140"/>
      <c r="Z343" s="177"/>
      <c r="AA343" s="141"/>
      <c r="AE343" s="140"/>
      <c r="AI343" s="141"/>
      <c r="AM343" s="141"/>
      <c r="AQ343" s="141"/>
    </row>
    <row r="344" spans="2:43" s="134" customFormat="1" x14ac:dyDescent="0.2">
      <c r="B344" s="145"/>
      <c r="D344" s="145"/>
      <c r="H344" s="162"/>
      <c r="J344" s="140"/>
      <c r="K344" s="140"/>
      <c r="L344" s="140"/>
      <c r="Z344" s="177"/>
      <c r="AA344" s="141"/>
      <c r="AE344" s="140"/>
      <c r="AI344" s="141"/>
      <c r="AM344" s="141"/>
      <c r="AQ344" s="141"/>
    </row>
    <row r="345" spans="2:43" s="134" customFormat="1" x14ac:dyDescent="0.2">
      <c r="B345" s="145"/>
      <c r="D345" s="145"/>
      <c r="H345" s="162"/>
      <c r="J345" s="140"/>
      <c r="K345" s="140"/>
      <c r="L345" s="140"/>
      <c r="Z345" s="177"/>
      <c r="AA345" s="141"/>
      <c r="AE345" s="140"/>
      <c r="AI345" s="141"/>
      <c r="AM345" s="141"/>
      <c r="AQ345" s="141"/>
    </row>
    <row r="346" spans="2:43" s="134" customFormat="1" x14ac:dyDescent="0.2">
      <c r="B346" s="145"/>
      <c r="D346" s="145"/>
      <c r="H346" s="162"/>
      <c r="J346" s="140"/>
      <c r="K346" s="140"/>
      <c r="L346" s="140"/>
      <c r="Z346" s="177"/>
      <c r="AA346" s="141"/>
      <c r="AE346" s="140"/>
      <c r="AI346" s="141"/>
      <c r="AM346" s="141"/>
      <c r="AQ346" s="141"/>
    </row>
    <row r="347" spans="2:43" s="134" customFormat="1" x14ac:dyDescent="0.2">
      <c r="B347" s="145"/>
      <c r="D347" s="145"/>
      <c r="H347" s="162"/>
      <c r="J347" s="140"/>
      <c r="K347" s="140"/>
      <c r="L347" s="140"/>
      <c r="Z347" s="177"/>
      <c r="AA347" s="141"/>
      <c r="AE347" s="140"/>
      <c r="AI347" s="141"/>
      <c r="AM347" s="141"/>
      <c r="AQ347" s="141"/>
    </row>
    <row r="348" spans="2:43" s="134" customFormat="1" x14ac:dyDescent="0.2">
      <c r="B348" s="145"/>
      <c r="D348" s="145"/>
      <c r="H348" s="162"/>
      <c r="J348" s="140"/>
      <c r="K348" s="140"/>
      <c r="L348" s="140"/>
      <c r="Z348" s="177"/>
      <c r="AA348" s="141"/>
      <c r="AE348" s="140"/>
      <c r="AI348" s="141"/>
      <c r="AM348" s="141"/>
      <c r="AQ348" s="141"/>
    </row>
    <row r="349" spans="2:43" s="134" customFormat="1" x14ac:dyDescent="0.2">
      <c r="B349" s="145"/>
      <c r="D349" s="145"/>
      <c r="H349" s="162"/>
      <c r="J349" s="140"/>
      <c r="K349" s="140"/>
      <c r="L349" s="140"/>
      <c r="Z349" s="177"/>
      <c r="AA349" s="141"/>
      <c r="AE349" s="140"/>
      <c r="AI349" s="141"/>
      <c r="AM349" s="141"/>
      <c r="AQ349" s="141"/>
    </row>
    <row r="350" spans="2:43" s="134" customFormat="1" x14ac:dyDescent="0.2">
      <c r="B350" s="145"/>
      <c r="D350" s="145"/>
      <c r="H350" s="162"/>
      <c r="J350" s="140"/>
      <c r="K350" s="140"/>
      <c r="L350" s="140"/>
      <c r="Z350" s="177"/>
      <c r="AA350" s="141"/>
      <c r="AE350" s="140"/>
      <c r="AI350" s="141"/>
      <c r="AM350" s="141"/>
      <c r="AQ350" s="141"/>
    </row>
    <row r="351" spans="2:43" s="134" customFormat="1" x14ac:dyDescent="0.2">
      <c r="B351" s="145"/>
      <c r="D351" s="145"/>
      <c r="H351" s="162"/>
      <c r="J351" s="140"/>
      <c r="K351" s="140"/>
      <c r="L351" s="140"/>
      <c r="Z351" s="177"/>
      <c r="AA351" s="141"/>
      <c r="AE351" s="140"/>
      <c r="AI351" s="141"/>
      <c r="AM351" s="141"/>
      <c r="AQ351" s="141"/>
    </row>
    <row r="352" spans="2:43" s="134" customFormat="1" x14ac:dyDescent="0.2">
      <c r="B352" s="145"/>
      <c r="D352" s="145"/>
      <c r="H352" s="162"/>
      <c r="J352" s="140"/>
      <c r="K352" s="140"/>
      <c r="L352" s="140"/>
      <c r="Z352" s="177"/>
      <c r="AA352" s="141"/>
      <c r="AE352" s="140"/>
      <c r="AI352" s="141"/>
      <c r="AM352" s="141"/>
      <c r="AQ352" s="141"/>
    </row>
    <row r="353" spans="2:43" s="134" customFormat="1" x14ac:dyDescent="0.2">
      <c r="B353" s="145"/>
      <c r="D353" s="145"/>
      <c r="H353" s="162"/>
      <c r="J353" s="140"/>
      <c r="K353" s="140"/>
      <c r="L353" s="140"/>
      <c r="Z353" s="177"/>
      <c r="AA353" s="141"/>
      <c r="AE353" s="140"/>
      <c r="AI353" s="141"/>
      <c r="AM353" s="141"/>
      <c r="AQ353" s="141"/>
    </row>
    <row r="354" spans="2:43" s="134" customFormat="1" x14ac:dyDescent="0.2">
      <c r="B354" s="145"/>
      <c r="D354" s="145"/>
      <c r="H354" s="162"/>
      <c r="J354" s="140"/>
      <c r="K354" s="140"/>
      <c r="L354" s="140"/>
      <c r="Z354" s="177"/>
      <c r="AA354" s="141"/>
      <c r="AE354" s="140"/>
      <c r="AI354" s="141"/>
      <c r="AM354" s="141"/>
      <c r="AQ354" s="141"/>
    </row>
    <row r="355" spans="2:43" s="134" customFormat="1" x14ac:dyDescent="0.2">
      <c r="B355" s="145"/>
      <c r="D355" s="145"/>
      <c r="H355" s="162"/>
      <c r="J355" s="140"/>
      <c r="K355" s="140"/>
      <c r="L355" s="140"/>
      <c r="Z355" s="177"/>
      <c r="AA355" s="141"/>
      <c r="AE355" s="140"/>
      <c r="AI355" s="141"/>
      <c r="AM355" s="141"/>
      <c r="AQ355" s="141"/>
    </row>
    <row r="356" spans="2:43" s="134" customFormat="1" x14ac:dyDescent="0.2">
      <c r="B356" s="145"/>
      <c r="D356" s="145"/>
      <c r="H356" s="162"/>
      <c r="J356" s="140"/>
      <c r="K356" s="140"/>
      <c r="L356" s="140"/>
      <c r="Z356" s="177"/>
      <c r="AA356" s="141"/>
      <c r="AE356" s="140"/>
      <c r="AI356" s="141"/>
      <c r="AM356" s="141"/>
      <c r="AQ356" s="141"/>
    </row>
    <row r="357" spans="2:43" s="134" customFormat="1" x14ac:dyDescent="0.2">
      <c r="B357" s="145"/>
      <c r="D357" s="145"/>
      <c r="H357" s="162"/>
      <c r="J357" s="140"/>
      <c r="K357" s="140"/>
      <c r="L357" s="140"/>
      <c r="Z357" s="177"/>
      <c r="AA357" s="141"/>
      <c r="AE357" s="140"/>
      <c r="AI357" s="141"/>
      <c r="AM357" s="141"/>
      <c r="AQ357" s="141"/>
    </row>
    <row r="358" spans="2:43" s="134" customFormat="1" x14ac:dyDescent="0.2">
      <c r="B358" s="145"/>
      <c r="D358" s="145"/>
      <c r="H358" s="162"/>
      <c r="J358" s="140"/>
      <c r="K358" s="140"/>
      <c r="L358" s="140"/>
      <c r="Z358" s="177"/>
      <c r="AA358" s="141"/>
      <c r="AE358" s="140"/>
      <c r="AI358" s="141"/>
      <c r="AM358" s="141"/>
      <c r="AQ358" s="141"/>
    </row>
    <row r="359" spans="2:43" s="134" customFormat="1" x14ac:dyDescent="0.2">
      <c r="B359" s="145"/>
      <c r="D359" s="145"/>
      <c r="H359" s="162"/>
      <c r="J359" s="140"/>
      <c r="K359" s="140"/>
      <c r="L359" s="140"/>
      <c r="Z359" s="177"/>
      <c r="AA359" s="141"/>
      <c r="AE359" s="140"/>
      <c r="AI359" s="141"/>
      <c r="AM359" s="141"/>
      <c r="AQ359" s="141"/>
    </row>
    <row r="360" spans="2:43" s="134" customFormat="1" x14ac:dyDescent="0.2">
      <c r="B360" s="145"/>
      <c r="D360" s="145"/>
      <c r="H360" s="162"/>
      <c r="J360" s="140"/>
      <c r="K360" s="140"/>
      <c r="L360" s="140"/>
      <c r="Z360" s="177"/>
      <c r="AA360" s="141"/>
      <c r="AE360" s="140"/>
      <c r="AI360" s="141"/>
      <c r="AM360" s="141"/>
      <c r="AQ360" s="141"/>
    </row>
    <row r="361" spans="2:43" s="134" customFormat="1" x14ac:dyDescent="0.2">
      <c r="B361" s="145"/>
      <c r="D361" s="145"/>
      <c r="H361" s="162"/>
      <c r="J361" s="140"/>
      <c r="K361" s="140"/>
      <c r="L361" s="140"/>
      <c r="Z361" s="177"/>
      <c r="AA361" s="141"/>
      <c r="AE361" s="140"/>
      <c r="AI361" s="141"/>
      <c r="AM361" s="141"/>
      <c r="AQ361" s="141"/>
    </row>
    <row r="362" spans="2:43" s="134" customFormat="1" x14ac:dyDescent="0.2">
      <c r="B362" s="145"/>
      <c r="D362" s="145"/>
      <c r="H362" s="162"/>
      <c r="J362" s="140"/>
      <c r="K362" s="140"/>
      <c r="L362" s="140"/>
      <c r="Z362" s="177"/>
      <c r="AA362" s="141"/>
      <c r="AE362" s="140"/>
      <c r="AI362" s="141"/>
      <c r="AM362" s="141"/>
      <c r="AQ362" s="141"/>
    </row>
    <row r="363" spans="2:43" s="134" customFormat="1" x14ac:dyDescent="0.2">
      <c r="B363" s="145"/>
      <c r="D363" s="145"/>
      <c r="H363" s="162"/>
      <c r="J363" s="140"/>
      <c r="K363" s="140"/>
      <c r="L363" s="140"/>
      <c r="Z363" s="177"/>
      <c r="AA363" s="141"/>
      <c r="AE363" s="140"/>
      <c r="AI363" s="141"/>
      <c r="AM363" s="141"/>
      <c r="AQ363" s="141"/>
    </row>
    <row r="364" spans="2:43" s="134" customFormat="1" x14ac:dyDescent="0.2">
      <c r="B364" s="145"/>
      <c r="D364" s="145"/>
      <c r="H364" s="162"/>
      <c r="J364" s="140"/>
      <c r="K364" s="140"/>
      <c r="L364" s="140"/>
      <c r="Z364" s="177"/>
      <c r="AA364" s="141"/>
      <c r="AE364" s="140"/>
      <c r="AI364" s="141"/>
      <c r="AM364" s="141"/>
      <c r="AQ364" s="141"/>
    </row>
    <row r="365" spans="2:43" s="134" customFormat="1" x14ac:dyDescent="0.2">
      <c r="B365" s="145"/>
      <c r="D365" s="145"/>
      <c r="H365" s="162"/>
      <c r="J365" s="140"/>
      <c r="K365" s="140"/>
      <c r="L365" s="140"/>
      <c r="Z365" s="177"/>
      <c r="AA365" s="141"/>
      <c r="AE365" s="140"/>
      <c r="AI365" s="141"/>
      <c r="AM365" s="141"/>
      <c r="AQ365" s="141"/>
    </row>
    <row r="366" spans="2:43" s="134" customFormat="1" x14ac:dyDescent="0.2">
      <c r="B366" s="145"/>
      <c r="D366" s="145"/>
      <c r="H366" s="162"/>
      <c r="J366" s="140"/>
      <c r="K366" s="140"/>
      <c r="L366" s="140"/>
      <c r="Z366" s="177"/>
      <c r="AA366" s="141"/>
      <c r="AE366" s="140"/>
      <c r="AI366" s="141"/>
      <c r="AM366" s="141"/>
      <c r="AQ366" s="141"/>
    </row>
    <row r="367" spans="2:43" s="134" customFormat="1" x14ac:dyDescent="0.2">
      <c r="B367" s="145"/>
      <c r="D367" s="145"/>
      <c r="H367" s="162"/>
      <c r="J367" s="140"/>
      <c r="K367" s="140"/>
      <c r="L367" s="140"/>
      <c r="Z367" s="177"/>
      <c r="AA367" s="141"/>
      <c r="AE367" s="140"/>
      <c r="AI367" s="141"/>
      <c r="AM367" s="141"/>
      <c r="AQ367" s="141"/>
    </row>
    <row r="368" spans="2:43" s="134" customFormat="1" x14ac:dyDescent="0.2">
      <c r="B368" s="145"/>
      <c r="D368" s="145"/>
      <c r="H368" s="162"/>
      <c r="J368" s="140"/>
      <c r="K368" s="140"/>
      <c r="L368" s="140"/>
      <c r="Z368" s="177"/>
      <c r="AA368" s="141"/>
      <c r="AE368" s="140"/>
      <c r="AI368" s="141"/>
      <c r="AM368" s="141"/>
      <c r="AQ368" s="141"/>
    </row>
    <row r="369" spans="2:43" s="134" customFormat="1" x14ac:dyDescent="0.2">
      <c r="B369" s="145"/>
      <c r="D369" s="145"/>
      <c r="H369" s="162"/>
      <c r="J369" s="140"/>
      <c r="K369" s="140"/>
      <c r="L369" s="140"/>
      <c r="Z369" s="177"/>
      <c r="AA369" s="141"/>
      <c r="AE369" s="140"/>
      <c r="AI369" s="141"/>
      <c r="AM369" s="141"/>
      <c r="AQ369" s="141"/>
    </row>
    <row r="370" spans="2:43" s="134" customFormat="1" x14ac:dyDescent="0.2">
      <c r="B370" s="145"/>
      <c r="D370" s="145"/>
      <c r="H370" s="162"/>
      <c r="J370" s="140"/>
      <c r="K370" s="140"/>
      <c r="L370" s="140"/>
      <c r="Z370" s="177"/>
      <c r="AA370" s="141"/>
      <c r="AE370" s="140"/>
      <c r="AI370" s="141"/>
      <c r="AM370" s="141"/>
      <c r="AQ370" s="141"/>
    </row>
    <row r="371" spans="2:43" s="134" customFormat="1" x14ac:dyDescent="0.2">
      <c r="B371" s="145"/>
      <c r="D371" s="145"/>
      <c r="H371" s="162"/>
      <c r="J371" s="140"/>
      <c r="K371" s="140"/>
      <c r="L371" s="140"/>
      <c r="Z371" s="177"/>
      <c r="AA371" s="141"/>
      <c r="AE371" s="140"/>
      <c r="AI371" s="141"/>
      <c r="AM371" s="141"/>
      <c r="AQ371" s="141"/>
    </row>
    <row r="372" spans="2:43" s="134" customFormat="1" x14ac:dyDescent="0.2">
      <c r="B372" s="145"/>
      <c r="D372" s="145"/>
      <c r="H372" s="162"/>
      <c r="J372" s="140"/>
      <c r="K372" s="140"/>
      <c r="L372" s="140"/>
      <c r="Z372" s="177"/>
      <c r="AA372" s="141"/>
      <c r="AE372" s="140"/>
      <c r="AI372" s="141"/>
      <c r="AM372" s="141"/>
      <c r="AQ372" s="141"/>
    </row>
    <row r="373" spans="2:43" s="134" customFormat="1" x14ac:dyDescent="0.2">
      <c r="B373" s="145"/>
      <c r="D373" s="145"/>
      <c r="H373" s="162"/>
      <c r="J373" s="140"/>
      <c r="K373" s="140"/>
      <c r="L373" s="140"/>
      <c r="Z373" s="177"/>
      <c r="AA373" s="141"/>
      <c r="AE373" s="140"/>
      <c r="AI373" s="141"/>
      <c r="AM373" s="141"/>
      <c r="AQ373" s="141"/>
    </row>
    <row r="374" spans="2:43" s="134" customFormat="1" x14ac:dyDescent="0.2">
      <c r="B374" s="145"/>
      <c r="D374" s="145"/>
      <c r="H374" s="162"/>
      <c r="J374" s="140"/>
      <c r="K374" s="140"/>
      <c r="L374" s="140"/>
      <c r="Z374" s="177"/>
      <c r="AA374" s="141"/>
      <c r="AE374" s="140"/>
      <c r="AI374" s="141"/>
      <c r="AM374" s="141"/>
      <c r="AQ374" s="141"/>
    </row>
    <row r="375" spans="2:43" s="134" customFormat="1" x14ac:dyDescent="0.2">
      <c r="B375" s="145"/>
      <c r="D375" s="145"/>
      <c r="H375" s="162"/>
      <c r="J375" s="140"/>
      <c r="K375" s="140"/>
      <c r="L375" s="140"/>
      <c r="Z375" s="177"/>
      <c r="AA375" s="141"/>
      <c r="AE375" s="140"/>
      <c r="AI375" s="141"/>
      <c r="AM375" s="141"/>
      <c r="AQ375" s="141"/>
    </row>
    <row r="376" spans="2:43" s="134" customFormat="1" x14ac:dyDescent="0.2">
      <c r="B376" s="145"/>
      <c r="D376" s="145"/>
      <c r="H376" s="162"/>
      <c r="J376" s="140"/>
      <c r="K376" s="140"/>
      <c r="L376" s="140"/>
      <c r="Z376" s="177"/>
      <c r="AA376" s="141"/>
      <c r="AE376" s="140"/>
      <c r="AI376" s="141"/>
      <c r="AM376" s="141"/>
      <c r="AQ376" s="141"/>
    </row>
    <row r="377" spans="2:43" s="134" customFormat="1" x14ac:dyDescent="0.2">
      <c r="B377" s="145"/>
      <c r="D377" s="145"/>
      <c r="H377" s="162"/>
      <c r="J377" s="140"/>
      <c r="K377" s="140"/>
      <c r="L377" s="140"/>
      <c r="Z377" s="177"/>
      <c r="AA377" s="141"/>
      <c r="AE377" s="140"/>
      <c r="AI377" s="141"/>
      <c r="AM377" s="141"/>
      <c r="AQ377" s="141"/>
    </row>
    <row r="378" spans="2:43" s="134" customFormat="1" x14ac:dyDescent="0.2">
      <c r="B378" s="145"/>
      <c r="D378" s="145"/>
      <c r="H378" s="162"/>
      <c r="J378" s="140"/>
      <c r="K378" s="140"/>
      <c r="L378" s="140"/>
      <c r="Z378" s="177"/>
      <c r="AA378" s="141"/>
      <c r="AE378" s="140"/>
      <c r="AI378" s="141"/>
      <c r="AM378" s="141"/>
      <c r="AQ378" s="141"/>
    </row>
    <row r="379" spans="2:43" s="134" customFormat="1" x14ac:dyDescent="0.2">
      <c r="B379" s="145"/>
      <c r="D379" s="145"/>
      <c r="H379" s="162"/>
      <c r="J379" s="140"/>
      <c r="K379" s="140"/>
      <c r="L379" s="140"/>
      <c r="Z379" s="177"/>
      <c r="AA379" s="141"/>
      <c r="AE379" s="140"/>
      <c r="AI379" s="141"/>
      <c r="AM379" s="141"/>
      <c r="AQ379" s="141"/>
    </row>
    <row r="380" spans="2:43" s="134" customFormat="1" x14ac:dyDescent="0.2">
      <c r="B380" s="145"/>
      <c r="D380" s="145"/>
      <c r="H380" s="162"/>
      <c r="J380" s="140"/>
      <c r="K380" s="140"/>
      <c r="L380" s="140"/>
      <c r="Z380" s="177"/>
      <c r="AA380" s="141"/>
      <c r="AE380" s="140"/>
      <c r="AI380" s="141"/>
      <c r="AM380" s="141"/>
      <c r="AQ380" s="141"/>
    </row>
    <row r="381" spans="2:43" s="134" customFormat="1" x14ac:dyDescent="0.2">
      <c r="B381" s="145"/>
      <c r="D381" s="145"/>
      <c r="H381" s="162"/>
      <c r="J381" s="140"/>
      <c r="K381" s="140"/>
      <c r="L381" s="140"/>
      <c r="Z381" s="177"/>
      <c r="AA381" s="141"/>
      <c r="AE381" s="140"/>
      <c r="AI381" s="141"/>
      <c r="AM381" s="141"/>
      <c r="AQ381" s="141"/>
    </row>
    <row r="382" spans="2:43" s="134" customFormat="1" x14ac:dyDescent="0.2">
      <c r="B382" s="145"/>
      <c r="D382" s="145"/>
      <c r="H382" s="162"/>
      <c r="J382" s="140"/>
      <c r="K382" s="140"/>
      <c r="L382" s="140"/>
      <c r="Z382" s="177"/>
      <c r="AA382" s="141"/>
      <c r="AE382" s="140"/>
      <c r="AI382" s="141"/>
      <c r="AM382" s="141"/>
      <c r="AQ382" s="141"/>
    </row>
    <row r="383" spans="2:43" s="134" customFormat="1" x14ac:dyDescent="0.2">
      <c r="B383" s="145"/>
      <c r="D383" s="145"/>
      <c r="H383" s="162"/>
      <c r="J383" s="140"/>
      <c r="K383" s="140"/>
      <c r="L383" s="140"/>
      <c r="Z383" s="177"/>
      <c r="AA383" s="141"/>
      <c r="AE383" s="140"/>
      <c r="AI383" s="141"/>
      <c r="AM383" s="141"/>
      <c r="AQ383" s="141"/>
    </row>
    <row r="384" spans="2:43" s="134" customFormat="1" x14ac:dyDescent="0.2">
      <c r="B384" s="145"/>
      <c r="D384" s="145"/>
      <c r="H384" s="162"/>
      <c r="J384" s="140"/>
      <c r="K384" s="140"/>
      <c r="L384" s="140"/>
      <c r="Z384" s="177"/>
      <c r="AA384" s="141"/>
      <c r="AE384" s="140"/>
      <c r="AI384" s="141"/>
      <c r="AM384" s="141"/>
      <c r="AQ384" s="141"/>
    </row>
    <row r="385" spans="2:43" s="134" customFormat="1" x14ac:dyDescent="0.2">
      <c r="B385" s="145"/>
      <c r="D385" s="145"/>
      <c r="H385" s="162"/>
      <c r="J385" s="140"/>
      <c r="K385" s="140"/>
      <c r="L385" s="140"/>
      <c r="Z385" s="177"/>
      <c r="AA385" s="141"/>
      <c r="AE385" s="140"/>
      <c r="AI385" s="141"/>
      <c r="AM385" s="141"/>
      <c r="AQ385" s="141"/>
    </row>
    <row r="386" spans="2:43" s="134" customFormat="1" x14ac:dyDescent="0.2">
      <c r="B386" s="145"/>
      <c r="D386" s="145"/>
      <c r="H386" s="162"/>
      <c r="J386" s="140"/>
      <c r="K386" s="140"/>
      <c r="L386" s="140"/>
      <c r="Z386" s="177"/>
      <c r="AA386" s="141"/>
      <c r="AE386" s="140"/>
      <c r="AI386" s="141"/>
      <c r="AM386" s="141"/>
      <c r="AQ386" s="141"/>
    </row>
    <row r="387" spans="2:43" s="134" customFormat="1" x14ac:dyDescent="0.2">
      <c r="B387" s="145"/>
      <c r="D387" s="145"/>
      <c r="H387" s="162"/>
      <c r="J387" s="140"/>
      <c r="K387" s="140"/>
      <c r="L387" s="140"/>
      <c r="Z387" s="177"/>
      <c r="AA387" s="141"/>
      <c r="AE387" s="140"/>
      <c r="AI387" s="141"/>
      <c r="AM387" s="141"/>
      <c r="AQ387" s="141"/>
    </row>
    <row r="388" spans="2:43" s="134" customFormat="1" x14ac:dyDescent="0.2">
      <c r="B388" s="145"/>
      <c r="D388" s="145"/>
      <c r="H388" s="162"/>
      <c r="J388" s="140"/>
      <c r="K388" s="140"/>
      <c r="L388" s="140"/>
      <c r="Z388" s="177"/>
      <c r="AA388" s="141"/>
      <c r="AE388" s="140"/>
      <c r="AI388" s="141"/>
      <c r="AM388" s="141"/>
      <c r="AQ388" s="141"/>
    </row>
    <row r="389" spans="2:43" s="134" customFormat="1" x14ac:dyDescent="0.2">
      <c r="B389" s="145"/>
      <c r="D389" s="145"/>
      <c r="H389" s="162"/>
      <c r="J389" s="140"/>
      <c r="K389" s="140"/>
      <c r="L389" s="140"/>
      <c r="Z389" s="177"/>
      <c r="AA389" s="141"/>
      <c r="AE389" s="140"/>
      <c r="AI389" s="141"/>
      <c r="AM389" s="141"/>
      <c r="AQ389" s="141"/>
    </row>
    <row r="390" spans="2:43" s="134" customFormat="1" x14ac:dyDescent="0.2">
      <c r="B390" s="145"/>
      <c r="D390" s="145"/>
      <c r="H390" s="162"/>
      <c r="J390" s="140"/>
      <c r="K390" s="140"/>
      <c r="L390" s="140"/>
      <c r="Z390" s="177"/>
      <c r="AA390" s="141"/>
      <c r="AE390" s="140"/>
      <c r="AI390" s="141"/>
      <c r="AM390" s="141"/>
      <c r="AQ390" s="141"/>
    </row>
    <row r="391" spans="2:43" s="134" customFormat="1" x14ac:dyDescent="0.2">
      <c r="B391" s="145"/>
      <c r="D391" s="145"/>
      <c r="H391" s="162"/>
      <c r="J391" s="140"/>
      <c r="K391" s="140"/>
      <c r="L391" s="140"/>
      <c r="Z391" s="177"/>
      <c r="AA391" s="141"/>
      <c r="AE391" s="140"/>
      <c r="AI391" s="141"/>
      <c r="AM391" s="141"/>
      <c r="AQ391" s="141"/>
    </row>
    <row r="392" spans="2:43" s="134" customFormat="1" x14ac:dyDescent="0.2">
      <c r="B392" s="145"/>
      <c r="D392" s="145"/>
      <c r="H392" s="162"/>
      <c r="J392" s="140"/>
      <c r="K392" s="140"/>
      <c r="L392" s="140"/>
      <c r="Z392" s="177"/>
      <c r="AA392" s="141"/>
      <c r="AE392" s="140"/>
      <c r="AI392" s="141"/>
      <c r="AM392" s="141"/>
      <c r="AQ392" s="141"/>
    </row>
    <row r="393" spans="2:43" s="134" customFormat="1" x14ac:dyDescent="0.2">
      <c r="B393" s="145"/>
      <c r="D393" s="145"/>
      <c r="H393" s="162"/>
      <c r="J393" s="140"/>
      <c r="K393" s="140"/>
      <c r="L393" s="140"/>
      <c r="Z393" s="177"/>
      <c r="AA393" s="141"/>
      <c r="AE393" s="140"/>
      <c r="AI393" s="141"/>
      <c r="AM393" s="141"/>
      <c r="AQ393" s="141"/>
    </row>
    <row r="394" spans="2:43" s="134" customFormat="1" x14ac:dyDescent="0.2">
      <c r="B394" s="145"/>
      <c r="D394" s="145"/>
      <c r="H394" s="162"/>
      <c r="J394" s="140"/>
      <c r="K394" s="140"/>
      <c r="L394" s="140"/>
      <c r="Z394" s="177"/>
      <c r="AA394" s="141"/>
      <c r="AE394" s="140"/>
      <c r="AI394" s="141"/>
      <c r="AM394" s="141"/>
      <c r="AQ394" s="141"/>
    </row>
    <row r="395" spans="2:43" s="134" customFormat="1" x14ac:dyDescent="0.2">
      <c r="B395" s="145"/>
      <c r="D395" s="145"/>
      <c r="H395" s="162"/>
      <c r="J395" s="140"/>
      <c r="K395" s="140"/>
      <c r="L395" s="140"/>
      <c r="Z395" s="177"/>
      <c r="AA395" s="141"/>
      <c r="AE395" s="140"/>
      <c r="AI395" s="141"/>
      <c r="AM395" s="141"/>
      <c r="AQ395" s="141"/>
    </row>
    <row r="396" spans="2:43" s="134" customFormat="1" x14ac:dyDescent="0.2">
      <c r="B396" s="145"/>
      <c r="D396" s="145"/>
      <c r="H396" s="162"/>
      <c r="J396" s="140"/>
      <c r="K396" s="140"/>
      <c r="L396" s="140"/>
      <c r="Z396" s="177"/>
      <c r="AA396" s="141"/>
      <c r="AE396" s="140"/>
      <c r="AI396" s="141"/>
      <c r="AM396" s="141"/>
      <c r="AQ396" s="141"/>
    </row>
    <row r="397" spans="2:43" s="134" customFormat="1" x14ac:dyDescent="0.2">
      <c r="B397" s="145"/>
      <c r="D397" s="145"/>
      <c r="H397" s="162"/>
      <c r="J397" s="140"/>
      <c r="K397" s="140"/>
      <c r="L397" s="140"/>
      <c r="Z397" s="177"/>
      <c r="AA397" s="141"/>
      <c r="AE397" s="140"/>
      <c r="AI397" s="141"/>
      <c r="AM397" s="141"/>
      <c r="AQ397" s="141"/>
    </row>
    <row r="398" spans="2:43" s="134" customFormat="1" x14ac:dyDescent="0.2">
      <c r="B398" s="145"/>
      <c r="D398" s="145"/>
      <c r="H398" s="162"/>
      <c r="J398" s="140"/>
      <c r="K398" s="140"/>
      <c r="L398" s="140"/>
      <c r="Z398" s="177"/>
      <c r="AA398" s="141"/>
      <c r="AE398" s="140"/>
      <c r="AI398" s="141"/>
      <c r="AM398" s="141"/>
      <c r="AQ398" s="141"/>
    </row>
    <row r="399" spans="2:43" s="134" customFormat="1" x14ac:dyDescent="0.2">
      <c r="B399" s="145"/>
      <c r="D399" s="145"/>
      <c r="H399" s="162"/>
      <c r="J399" s="140"/>
      <c r="K399" s="140"/>
      <c r="L399" s="140"/>
      <c r="Z399" s="177"/>
      <c r="AA399" s="141"/>
      <c r="AE399" s="140"/>
      <c r="AI399" s="141"/>
      <c r="AM399" s="141"/>
      <c r="AQ399" s="141"/>
    </row>
    <row r="400" spans="2:43" s="134" customFormat="1" x14ac:dyDescent="0.2">
      <c r="B400" s="145"/>
      <c r="D400" s="145"/>
      <c r="H400" s="162"/>
      <c r="J400" s="140"/>
      <c r="K400" s="140"/>
      <c r="L400" s="140"/>
      <c r="Z400" s="177"/>
      <c r="AA400" s="141"/>
      <c r="AE400" s="140"/>
      <c r="AI400" s="141"/>
      <c r="AM400" s="141"/>
      <c r="AQ400" s="141"/>
    </row>
    <row r="401" spans="2:43" s="134" customFormat="1" x14ac:dyDescent="0.2">
      <c r="B401" s="145"/>
      <c r="D401" s="145"/>
      <c r="H401" s="162"/>
      <c r="J401" s="140"/>
      <c r="K401" s="140"/>
      <c r="L401" s="140"/>
      <c r="Z401" s="177"/>
      <c r="AA401" s="141"/>
      <c r="AE401" s="140"/>
      <c r="AI401" s="141"/>
      <c r="AM401" s="141"/>
      <c r="AQ401" s="141"/>
    </row>
    <row r="402" spans="2:43" s="134" customFormat="1" x14ac:dyDescent="0.2">
      <c r="B402" s="145"/>
      <c r="D402" s="145"/>
      <c r="H402" s="162"/>
      <c r="J402" s="140"/>
      <c r="K402" s="140"/>
      <c r="L402" s="140"/>
      <c r="Z402" s="177"/>
      <c r="AA402" s="141"/>
      <c r="AE402" s="140"/>
      <c r="AI402" s="141"/>
      <c r="AM402" s="141"/>
      <c r="AQ402" s="141"/>
    </row>
    <row r="403" spans="2:43" s="134" customFormat="1" x14ac:dyDescent="0.2">
      <c r="B403" s="145"/>
      <c r="D403" s="145"/>
      <c r="H403" s="162"/>
      <c r="J403" s="140"/>
      <c r="K403" s="140"/>
      <c r="L403" s="140"/>
      <c r="Z403" s="177"/>
      <c r="AA403" s="141"/>
      <c r="AE403" s="140"/>
      <c r="AI403" s="141"/>
      <c r="AM403" s="141"/>
      <c r="AQ403" s="141"/>
    </row>
    <row r="404" spans="2:43" s="134" customFormat="1" x14ac:dyDescent="0.2">
      <c r="B404" s="145"/>
      <c r="D404" s="145"/>
      <c r="H404" s="162"/>
      <c r="J404" s="140"/>
      <c r="K404" s="140"/>
      <c r="L404" s="140"/>
      <c r="Z404" s="177"/>
      <c r="AA404" s="141"/>
      <c r="AE404" s="140"/>
      <c r="AI404" s="141"/>
      <c r="AM404" s="141"/>
      <c r="AQ404" s="141"/>
    </row>
    <row r="405" spans="2:43" s="134" customFormat="1" x14ac:dyDescent="0.2">
      <c r="B405" s="145"/>
      <c r="D405" s="145"/>
      <c r="H405" s="162"/>
      <c r="J405" s="140"/>
      <c r="K405" s="140"/>
      <c r="L405" s="140"/>
      <c r="Z405" s="177"/>
      <c r="AA405" s="141"/>
      <c r="AE405" s="140"/>
      <c r="AI405" s="141"/>
      <c r="AM405" s="141"/>
      <c r="AQ405" s="141"/>
    </row>
    <row r="406" spans="2:43" s="134" customFormat="1" x14ac:dyDescent="0.2">
      <c r="B406" s="145"/>
      <c r="D406" s="145"/>
      <c r="H406" s="162"/>
      <c r="J406" s="140"/>
      <c r="K406" s="140"/>
      <c r="L406" s="140"/>
      <c r="Z406" s="177"/>
      <c r="AA406" s="141"/>
      <c r="AE406" s="140"/>
      <c r="AI406" s="141"/>
      <c r="AM406" s="141"/>
      <c r="AQ406" s="141"/>
    </row>
    <row r="407" spans="2:43" s="134" customFormat="1" x14ac:dyDescent="0.2">
      <c r="B407" s="145"/>
      <c r="D407" s="145"/>
      <c r="H407" s="162"/>
      <c r="J407" s="140"/>
      <c r="K407" s="140"/>
      <c r="L407" s="140"/>
      <c r="Z407" s="177"/>
      <c r="AA407" s="141"/>
      <c r="AE407" s="140"/>
      <c r="AI407" s="141"/>
      <c r="AM407" s="141"/>
      <c r="AQ407" s="141"/>
    </row>
    <row r="408" spans="2:43" s="134" customFormat="1" x14ac:dyDescent="0.2">
      <c r="B408" s="145"/>
      <c r="D408" s="145"/>
      <c r="H408" s="162"/>
      <c r="J408" s="140"/>
      <c r="K408" s="140"/>
      <c r="L408" s="140"/>
      <c r="Z408" s="177"/>
      <c r="AA408" s="141"/>
      <c r="AE408" s="140"/>
      <c r="AI408" s="141"/>
      <c r="AM408" s="141"/>
      <c r="AQ408" s="141"/>
    </row>
    <row r="409" spans="2:43" s="134" customFormat="1" x14ac:dyDescent="0.2">
      <c r="B409" s="145"/>
      <c r="D409" s="145"/>
      <c r="H409" s="162"/>
      <c r="J409" s="140"/>
      <c r="K409" s="140"/>
      <c r="L409" s="140"/>
      <c r="Z409" s="177"/>
      <c r="AA409" s="141"/>
      <c r="AE409" s="140"/>
      <c r="AI409" s="141"/>
      <c r="AM409" s="141"/>
      <c r="AQ409" s="141"/>
    </row>
    <row r="410" spans="2:43" s="134" customFormat="1" x14ac:dyDescent="0.2">
      <c r="B410" s="145"/>
      <c r="D410" s="145"/>
      <c r="H410" s="162"/>
      <c r="J410" s="140"/>
      <c r="K410" s="140"/>
      <c r="L410" s="140"/>
      <c r="Z410" s="177"/>
      <c r="AA410" s="141"/>
      <c r="AE410" s="140"/>
      <c r="AI410" s="141"/>
      <c r="AM410" s="141"/>
      <c r="AQ410" s="141"/>
    </row>
    <row r="411" spans="2:43" s="134" customFormat="1" x14ac:dyDescent="0.2">
      <c r="B411" s="145"/>
      <c r="D411" s="145"/>
      <c r="H411" s="162"/>
      <c r="J411" s="140"/>
      <c r="K411" s="140"/>
      <c r="L411" s="140"/>
      <c r="Z411" s="177"/>
      <c r="AA411" s="141"/>
      <c r="AE411" s="140"/>
      <c r="AI411" s="141"/>
      <c r="AM411" s="141"/>
      <c r="AQ411" s="141"/>
    </row>
    <row r="412" spans="2:43" s="134" customFormat="1" x14ac:dyDescent="0.2">
      <c r="B412" s="145"/>
      <c r="D412" s="145"/>
      <c r="H412" s="162"/>
      <c r="J412" s="140"/>
      <c r="K412" s="140"/>
      <c r="L412" s="140"/>
      <c r="Z412" s="177"/>
      <c r="AA412" s="141"/>
      <c r="AE412" s="140"/>
      <c r="AI412" s="141"/>
      <c r="AM412" s="141"/>
      <c r="AQ412" s="141"/>
    </row>
    <row r="413" spans="2:43" s="134" customFormat="1" x14ac:dyDescent="0.2">
      <c r="B413" s="145"/>
      <c r="D413" s="145"/>
      <c r="H413" s="162"/>
      <c r="J413" s="140"/>
      <c r="K413" s="140"/>
      <c r="L413" s="140"/>
      <c r="Z413" s="177"/>
      <c r="AA413" s="141"/>
      <c r="AE413" s="140"/>
      <c r="AI413" s="141"/>
      <c r="AM413" s="141"/>
      <c r="AQ413" s="141"/>
    </row>
    <row r="414" spans="2:43" s="134" customFormat="1" x14ac:dyDescent="0.2">
      <c r="B414" s="145"/>
      <c r="D414" s="145"/>
      <c r="H414" s="162"/>
      <c r="J414" s="140"/>
      <c r="K414" s="140"/>
      <c r="L414" s="140"/>
      <c r="Z414" s="177"/>
      <c r="AA414" s="141"/>
      <c r="AE414" s="140"/>
      <c r="AI414" s="141"/>
      <c r="AM414" s="141"/>
      <c r="AQ414" s="141"/>
    </row>
    <row r="415" spans="2:43" s="134" customFormat="1" x14ac:dyDescent="0.2">
      <c r="B415" s="145"/>
      <c r="D415" s="145"/>
      <c r="H415" s="162"/>
      <c r="J415" s="140"/>
      <c r="K415" s="140"/>
      <c r="L415" s="140"/>
      <c r="Z415" s="177"/>
      <c r="AA415" s="141"/>
      <c r="AE415" s="140"/>
      <c r="AI415" s="141"/>
      <c r="AM415" s="141"/>
      <c r="AQ415" s="141"/>
    </row>
    <row r="416" spans="2:43" s="134" customFormat="1" x14ac:dyDescent="0.2">
      <c r="B416" s="145"/>
      <c r="D416" s="145"/>
      <c r="H416" s="162"/>
      <c r="J416" s="140"/>
      <c r="K416" s="140"/>
      <c r="L416" s="140"/>
      <c r="Z416" s="177"/>
      <c r="AA416" s="141"/>
      <c r="AE416" s="140"/>
      <c r="AI416" s="141"/>
      <c r="AM416" s="141"/>
      <c r="AQ416" s="141"/>
    </row>
    <row r="417" spans="2:43" s="134" customFormat="1" x14ac:dyDescent="0.2">
      <c r="B417" s="145"/>
      <c r="D417" s="145"/>
      <c r="H417" s="162"/>
      <c r="J417" s="140"/>
      <c r="K417" s="140"/>
      <c r="L417" s="140"/>
      <c r="Z417" s="177"/>
      <c r="AA417" s="141"/>
      <c r="AE417" s="140"/>
      <c r="AI417" s="141"/>
      <c r="AM417" s="141"/>
      <c r="AQ417" s="141"/>
    </row>
    <row r="418" spans="2:43" s="134" customFormat="1" x14ac:dyDescent="0.2">
      <c r="B418" s="145"/>
      <c r="D418" s="145"/>
      <c r="H418" s="162"/>
      <c r="J418" s="140"/>
      <c r="K418" s="140"/>
      <c r="L418" s="140"/>
      <c r="Z418" s="177"/>
      <c r="AA418" s="141"/>
      <c r="AE418" s="140"/>
      <c r="AI418" s="141"/>
      <c r="AM418" s="141"/>
      <c r="AQ418" s="141"/>
    </row>
    <row r="419" spans="2:43" s="134" customFormat="1" x14ac:dyDescent="0.2">
      <c r="B419" s="145"/>
      <c r="D419" s="145"/>
      <c r="H419" s="162"/>
      <c r="J419" s="140"/>
      <c r="K419" s="140"/>
      <c r="L419" s="140"/>
      <c r="Z419" s="177"/>
      <c r="AA419" s="141"/>
      <c r="AE419" s="140"/>
      <c r="AI419" s="141"/>
      <c r="AM419" s="141"/>
      <c r="AQ419" s="141"/>
    </row>
    <row r="420" spans="2:43" s="134" customFormat="1" x14ac:dyDescent="0.2">
      <c r="B420" s="145"/>
      <c r="D420" s="145"/>
      <c r="H420" s="162"/>
      <c r="J420" s="140"/>
      <c r="K420" s="140"/>
      <c r="L420" s="140"/>
      <c r="Z420" s="177"/>
      <c r="AA420" s="141"/>
      <c r="AE420" s="140"/>
      <c r="AI420" s="141"/>
      <c r="AM420" s="141"/>
      <c r="AQ420" s="141"/>
    </row>
    <row r="421" spans="2:43" s="134" customFormat="1" x14ac:dyDescent="0.2">
      <c r="B421" s="145"/>
      <c r="D421" s="145"/>
      <c r="H421" s="162"/>
      <c r="J421" s="140"/>
      <c r="K421" s="140"/>
      <c r="L421" s="140"/>
      <c r="Z421" s="177"/>
      <c r="AA421" s="141"/>
      <c r="AE421" s="140"/>
      <c r="AI421" s="141"/>
      <c r="AM421" s="141"/>
      <c r="AQ421" s="141"/>
    </row>
    <row r="422" spans="2:43" s="134" customFormat="1" x14ac:dyDescent="0.2">
      <c r="B422" s="145"/>
      <c r="D422" s="145"/>
      <c r="H422" s="162"/>
      <c r="J422" s="140"/>
      <c r="K422" s="140"/>
      <c r="L422" s="140"/>
      <c r="Z422" s="177"/>
      <c r="AA422" s="141"/>
      <c r="AE422" s="140"/>
      <c r="AI422" s="141"/>
      <c r="AM422" s="141"/>
      <c r="AQ422" s="141"/>
    </row>
    <row r="423" spans="2:43" s="134" customFormat="1" x14ac:dyDescent="0.2">
      <c r="B423" s="145"/>
      <c r="D423" s="145"/>
      <c r="H423" s="162"/>
      <c r="J423" s="140"/>
      <c r="K423" s="140"/>
      <c r="L423" s="140"/>
      <c r="Z423" s="177"/>
      <c r="AA423" s="141"/>
      <c r="AE423" s="140"/>
      <c r="AI423" s="141"/>
      <c r="AM423" s="141"/>
      <c r="AQ423" s="141"/>
    </row>
    <row r="424" spans="2:43" s="134" customFormat="1" x14ac:dyDescent="0.2">
      <c r="B424" s="145"/>
      <c r="D424" s="145"/>
      <c r="H424" s="162"/>
      <c r="J424" s="140"/>
      <c r="K424" s="140"/>
      <c r="L424" s="140"/>
      <c r="Z424" s="177"/>
      <c r="AA424" s="141"/>
      <c r="AE424" s="140"/>
      <c r="AI424" s="141"/>
      <c r="AM424" s="141"/>
      <c r="AQ424" s="141"/>
    </row>
    <row r="425" spans="2:43" s="134" customFormat="1" x14ac:dyDescent="0.2">
      <c r="B425" s="145"/>
      <c r="D425" s="145"/>
      <c r="H425" s="162"/>
      <c r="J425" s="140"/>
      <c r="K425" s="140"/>
      <c r="L425" s="140"/>
      <c r="Z425" s="177"/>
      <c r="AA425" s="141"/>
      <c r="AE425" s="140"/>
      <c r="AI425" s="141"/>
      <c r="AM425" s="141"/>
      <c r="AQ425" s="141"/>
    </row>
    <row r="426" spans="2:43" s="134" customFormat="1" x14ac:dyDescent="0.2">
      <c r="B426" s="145"/>
      <c r="D426" s="145"/>
      <c r="H426" s="162"/>
      <c r="J426" s="140"/>
      <c r="K426" s="140"/>
      <c r="L426" s="140"/>
      <c r="Z426" s="177"/>
      <c r="AA426" s="141"/>
      <c r="AE426" s="140"/>
      <c r="AI426" s="141"/>
      <c r="AM426" s="141"/>
      <c r="AQ426" s="141"/>
    </row>
    <row r="427" spans="2:43" s="134" customFormat="1" x14ac:dyDescent="0.2">
      <c r="B427" s="145"/>
      <c r="D427" s="145"/>
      <c r="H427" s="162"/>
      <c r="J427" s="140"/>
      <c r="K427" s="140"/>
      <c r="L427" s="140"/>
      <c r="Z427" s="177"/>
      <c r="AA427" s="141"/>
      <c r="AE427" s="140"/>
      <c r="AI427" s="141"/>
      <c r="AM427" s="141"/>
      <c r="AQ427" s="141"/>
    </row>
    <row r="428" spans="2:43" s="134" customFormat="1" x14ac:dyDescent="0.2">
      <c r="B428" s="145"/>
      <c r="D428" s="145"/>
      <c r="H428" s="162"/>
      <c r="J428" s="140"/>
      <c r="K428" s="140"/>
      <c r="L428" s="140"/>
      <c r="Z428" s="177"/>
      <c r="AA428" s="141"/>
      <c r="AE428" s="140"/>
      <c r="AI428" s="141"/>
      <c r="AM428" s="141"/>
      <c r="AQ428" s="141"/>
    </row>
    <row r="429" spans="2:43" s="134" customFormat="1" x14ac:dyDescent="0.2">
      <c r="B429" s="145"/>
      <c r="D429" s="145"/>
      <c r="H429" s="162"/>
      <c r="J429" s="140"/>
      <c r="K429" s="140"/>
      <c r="L429" s="140"/>
      <c r="Z429" s="177"/>
      <c r="AA429" s="141"/>
      <c r="AE429" s="140"/>
      <c r="AI429" s="141"/>
      <c r="AM429" s="141"/>
      <c r="AQ429" s="141"/>
    </row>
    <row r="430" spans="2:43" s="134" customFormat="1" x14ac:dyDescent="0.2">
      <c r="B430" s="145"/>
      <c r="D430" s="145"/>
      <c r="H430" s="162"/>
      <c r="J430" s="140"/>
      <c r="K430" s="140"/>
      <c r="L430" s="140"/>
      <c r="Z430" s="177"/>
      <c r="AA430" s="141"/>
      <c r="AE430" s="140"/>
      <c r="AI430" s="141"/>
      <c r="AM430" s="141"/>
      <c r="AQ430" s="141"/>
    </row>
    <row r="431" spans="2:43" s="134" customFormat="1" x14ac:dyDescent="0.2">
      <c r="B431" s="145"/>
      <c r="D431" s="145"/>
      <c r="H431" s="162"/>
      <c r="J431" s="140"/>
      <c r="K431" s="140"/>
      <c r="L431" s="140"/>
      <c r="Z431" s="177"/>
      <c r="AA431" s="141"/>
      <c r="AE431" s="140"/>
      <c r="AI431" s="141"/>
      <c r="AM431" s="141"/>
      <c r="AQ431" s="141"/>
    </row>
    <row r="432" spans="2:43" s="134" customFormat="1" x14ac:dyDescent="0.2">
      <c r="B432" s="145"/>
      <c r="D432" s="145"/>
      <c r="H432" s="162"/>
      <c r="J432" s="140"/>
      <c r="K432" s="140"/>
      <c r="L432" s="140"/>
      <c r="Z432" s="177"/>
      <c r="AA432" s="141"/>
      <c r="AE432" s="140"/>
      <c r="AI432" s="141"/>
      <c r="AM432" s="141"/>
      <c r="AQ432" s="141"/>
    </row>
    <row r="433" spans="2:43" s="134" customFormat="1" x14ac:dyDescent="0.2">
      <c r="B433" s="145"/>
      <c r="D433" s="145"/>
      <c r="H433" s="162"/>
      <c r="J433" s="140"/>
      <c r="K433" s="140"/>
      <c r="L433" s="140"/>
      <c r="Z433" s="177"/>
      <c r="AA433" s="141"/>
      <c r="AE433" s="140"/>
      <c r="AI433" s="141"/>
      <c r="AM433" s="141"/>
      <c r="AQ433" s="141"/>
    </row>
    <row r="434" spans="2:43" s="134" customFormat="1" x14ac:dyDescent="0.2">
      <c r="B434" s="145"/>
      <c r="D434" s="145"/>
      <c r="H434" s="162"/>
      <c r="J434" s="140"/>
      <c r="K434" s="140"/>
      <c r="L434" s="140"/>
      <c r="Z434" s="177"/>
      <c r="AA434" s="141"/>
      <c r="AE434" s="140"/>
      <c r="AI434" s="141"/>
      <c r="AM434" s="141"/>
      <c r="AQ434" s="141"/>
    </row>
    <row r="435" spans="2:43" s="134" customFormat="1" x14ac:dyDescent="0.2">
      <c r="B435" s="145"/>
      <c r="D435" s="145"/>
      <c r="H435" s="162"/>
      <c r="J435" s="140"/>
      <c r="K435" s="140"/>
      <c r="L435" s="140"/>
      <c r="Z435" s="177"/>
      <c r="AA435" s="141"/>
      <c r="AE435" s="140"/>
      <c r="AI435" s="141"/>
      <c r="AM435" s="141"/>
      <c r="AQ435" s="141"/>
    </row>
    <row r="436" spans="2:43" s="134" customFormat="1" x14ac:dyDescent="0.2">
      <c r="B436" s="145"/>
      <c r="D436" s="145"/>
      <c r="H436" s="162"/>
      <c r="J436" s="140"/>
      <c r="K436" s="140"/>
      <c r="L436" s="140"/>
      <c r="Z436" s="177"/>
      <c r="AA436" s="141"/>
      <c r="AE436" s="140"/>
      <c r="AI436" s="141"/>
      <c r="AM436" s="141"/>
      <c r="AQ436" s="141"/>
    </row>
    <row r="437" spans="2:43" s="134" customFormat="1" x14ac:dyDescent="0.2">
      <c r="B437" s="145"/>
      <c r="D437" s="145"/>
      <c r="H437" s="162"/>
      <c r="J437" s="140"/>
      <c r="K437" s="140"/>
      <c r="L437" s="140"/>
      <c r="Z437" s="177"/>
      <c r="AA437" s="141"/>
      <c r="AE437" s="140"/>
      <c r="AI437" s="141"/>
      <c r="AM437" s="141"/>
      <c r="AQ437" s="141"/>
    </row>
    <row r="438" spans="2:43" s="134" customFormat="1" x14ac:dyDescent="0.2">
      <c r="B438" s="145"/>
      <c r="D438" s="145"/>
      <c r="H438" s="162"/>
      <c r="J438" s="140"/>
      <c r="K438" s="140"/>
      <c r="L438" s="140"/>
      <c r="Z438" s="177"/>
      <c r="AA438" s="141"/>
      <c r="AE438" s="140"/>
      <c r="AI438" s="141"/>
      <c r="AM438" s="141"/>
      <c r="AQ438" s="141"/>
    </row>
    <row r="439" spans="2:43" s="134" customFormat="1" x14ac:dyDescent="0.2">
      <c r="B439" s="145"/>
      <c r="D439" s="145"/>
      <c r="H439" s="162"/>
      <c r="J439" s="140"/>
      <c r="K439" s="140"/>
      <c r="L439" s="140"/>
      <c r="Z439" s="177"/>
      <c r="AA439" s="141"/>
      <c r="AE439" s="140"/>
      <c r="AI439" s="141"/>
      <c r="AM439" s="141"/>
      <c r="AQ439" s="141"/>
    </row>
    <row r="440" spans="2:43" s="134" customFormat="1" x14ac:dyDescent="0.2">
      <c r="B440" s="145"/>
      <c r="D440" s="145"/>
      <c r="H440" s="162"/>
      <c r="J440" s="140"/>
      <c r="K440" s="140"/>
      <c r="L440" s="140"/>
      <c r="Z440" s="177"/>
      <c r="AA440" s="141"/>
      <c r="AE440" s="140"/>
      <c r="AI440" s="141"/>
      <c r="AM440" s="141"/>
      <c r="AQ440" s="141"/>
    </row>
    <row r="441" spans="2:43" s="134" customFormat="1" x14ac:dyDescent="0.2">
      <c r="B441" s="145"/>
      <c r="D441" s="145"/>
      <c r="H441" s="162"/>
      <c r="J441" s="140"/>
      <c r="K441" s="140"/>
      <c r="L441" s="140"/>
      <c r="Z441" s="177"/>
      <c r="AA441" s="141"/>
      <c r="AE441" s="140"/>
      <c r="AI441" s="141"/>
      <c r="AM441" s="141"/>
      <c r="AQ441" s="141"/>
    </row>
    <row r="442" spans="2:43" s="134" customFormat="1" x14ac:dyDescent="0.2">
      <c r="B442" s="145"/>
      <c r="D442" s="145"/>
      <c r="H442" s="162"/>
      <c r="J442" s="140"/>
      <c r="K442" s="140"/>
      <c r="L442" s="140"/>
      <c r="Z442" s="177"/>
      <c r="AA442" s="141"/>
      <c r="AE442" s="140"/>
      <c r="AI442" s="141"/>
      <c r="AM442" s="141"/>
      <c r="AQ442" s="141"/>
    </row>
    <row r="443" spans="2:43" s="134" customFormat="1" x14ac:dyDescent="0.2">
      <c r="B443" s="145"/>
      <c r="D443" s="145"/>
      <c r="H443" s="162"/>
      <c r="J443" s="140"/>
      <c r="K443" s="140"/>
      <c r="L443" s="140"/>
      <c r="Z443" s="177"/>
      <c r="AA443" s="141"/>
      <c r="AE443" s="140"/>
      <c r="AI443" s="141"/>
      <c r="AM443" s="141"/>
      <c r="AQ443" s="141"/>
    </row>
    <row r="444" spans="2:43" s="134" customFormat="1" x14ac:dyDescent="0.2">
      <c r="B444" s="145"/>
      <c r="D444" s="145"/>
      <c r="H444" s="162"/>
      <c r="J444" s="140"/>
      <c r="K444" s="140"/>
      <c r="L444" s="140"/>
      <c r="Z444" s="177"/>
      <c r="AA444" s="141"/>
      <c r="AE444" s="140"/>
      <c r="AI444" s="141"/>
      <c r="AM444" s="141"/>
      <c r="AQ444" s="141"/>
    </row>
    <row r="445" spans="2:43" s="134" customFormat="1" x14ac:dyDescent="0.2">
      <c r="B445" s="145"/>
      <c r="D445" s="145"/>
      <c r="H445" s="162"/>
      <c r="J445" s="140"/>
      <c r="K445" s="140"/>
      <c r="L445" s="140"/>
      <c r="Z445" s="177"/>
      <c r="AA445" s="141"/>
      <c r="AE445" s="140"/>
      <c r="AI445" s="141"/>
      <c r="AM445" s="141"/>
      <c r="AQ445" s="141"/>
    </row>
    <row r="446" spans="2:43" s="134" customFormat="1" x14ac:dyDescent="0.2">
      <c r="B446" s="145"/>
      <c r="D446" s="145"/>
      <c r="H446" s="162"/>
      <c r="J446" s="140"/>
      <c r="K446" s="140"/>
      <c r="L446" s="140"/>
      <c r="Z446" s="177"/>
      <c r="AA446" s="141"/>
      <c r="AE446" s="140"/>
      <c r="AI446" s="141"/>
      <c r="AM446" s="141"/>
      <c r="AQ446" s="141"/>
    </row>
    <row r="447" spans="2:43" s="134" customFormat="1" x14ac:dyDescent="0.2">
      <c r="B447" s="145"/>
      <c r="D447" s="145"/>
      <c r="H447" s="162"/>
      <c r="J447" s="140"/>
      <c r="K447" s="140"/>
      <c r="L447" s="140"/>
      <c r="Z447" s="177"/>
      <c r="AA447" s="141"/>
      <c r="AE447" s="140"/>
      <c r="AI447" s="141"/>
      <c r="AM447" s="141"/>
      <c r="AQ447" s="141"/>
    </row>
    <row r="448" spans="2:43" s="134" customFormat="1" x14ac:dyDescent="0.2">
      <c r="B448" s="145"/>
      <c r="D448" s="145"/>
      <c r="H448" s="162"/>
      <c r="J448" s="140"/>
      <c r="K448" s="140"/>
      <c r="L448" s="140"/>
      <c r="Z448" s="177"/>
      <c r="AA448" s="141"/>
      <c r="AE448" s="140"/>
      <c r="AI448" s="141"/>
      <c r="AM448" s="141"/>
      <c r="AQ448" s="141"/>
    </row>
    <row r="449" spans="2:43" s="134" customFormat="1" x14ac:dyDescent="0.2">
      <c r="B449" s="145"/>
      <c r="D449" s="145"/>
      <c r="H449" s="162"/>
      <c r="J449" s="140"/>
      <c r="K449" s="140"/>
      <c r="L449" s="140"/>
      <c r="Z449" s="177"/>
      <c r="AA449" s="141"/>
      <c r="AE449" s="140"/>
      <c r="AI449" s="141"/>
      <c r="AM449" s="141"/>
      <c r="AQ449" s="141"/>
    </row>
    <row r="450" spans="2:43" s="134" customFormat="1" x14ac:dyDescent="0.2">
      <c r="B450" s="145"/>
      <c r="D450" s="145"/>
      <c r="H450" s="162"/>
      <c r="J450" s="140"/>
      <c r="K450" s="140"/>
      <c r="L450" s="140"/>
      <c r="Z450" s="177"/>
      <c r="AA450" s="141"/>
      <c r="AE450" s="140"/>
      <c r="AI450" s="141"/>
      <c r="AM450" s="141"/>
      <c r="AQ450" s="141"/>
    </row>
    <row r="451" spans="2:43" s="134" customFormat="1" x14ac:dyDescent="0.2">
      <c r="B451" s="145"/>
      <c r="D451" s="145"/>
      <c r="H451" s="162"/>
      <c r="J451" s="140"/>
      <c r="K451" s="140"/>
      <c r="L451" s="140"/>
      <c r="Z451" s="177"/>
      <c r="AA451" s="141"/>
      <c r="AE451" s="140"/>
      <c r="AI451" s="141"/>
      <c r="AM451" s="141"/>
      <c r="AQ451" s="141"/>
    </row>
    <row r="452" spans="2:43" s="134" customFormat="1" x14ac:dyDescent="0.2">
      <c r="B452" s="145"/>
      <c r="D452" s="145"/>
      <c r="H452" s="162"/>
      <c r="J452" s="140"/>
      <c r="K452" s="140"/>
      <c r="L452" s="140"/>
      <c r="Z452" s="177"/>
      <c r="AA452" s="141"/>
      <c r="AE452" s="140"/>
      <c r="AI452" s="141"/>
      <c r="AM452" s="141"/>
      <c r="AQ452" s="141"/>
    </row>
    <row r="453" spans="2:43" s="134" customFormat="1" x14ac:dyDescent="0.2">
      <c r="B453" s="145"/>
      <c r="D453" s="145"/>
      <c r="H453" s="162"/>
      <c r="J453" s="140"/>
      <c r="K453" s="140"/>
      <c r="L453" s="140"/>
      <c r="Z453" s="177"/>
      <c r="AA453" s="141"/>
      <c r="AE453" s="140"/>
      <c r="AI453" s="141"/>
      <c r="AM453" s="141"/>
      <c r="AQ453" s="141"/>
    </row>
    <row r="454" spans="2:43" s="134" customFormat="1" x14ac:dyDescent="0.2">
      <c r="B454" s="145"/>
      <c r="D454" s="145"/>
      <c r="H454" s="162"/>
      <c r="J454" s="140"/>
      <c r="K454" s="140"/>
      <c r="L454" s="140"/>
      <c r="Z454" s="177"/>
      <c r="AA454" s="141"/>
      <c r="AE454" s="140"/>
      <c r="AI454" s="141"/>
      <c r="AM454" s="141"/>
      <c r="AQ454" s="141"/>
    </row>
    <row r="455" spans="2:43" s="134" customFormat="1" x14ac:dyDescent="0.2">
      <c r="B455" s="145"/>
      <c r="D455" s="145"/>
      <c r="H455" s="162"/>
      <c r="J455" s="140"/>
      <c r="K455" s="140"/>
      <c r="L455" s="140"/>
      <c r="Z455" s="177"/>
      <c r="AA455" s="141"/>
      <c r="AE455" s="140"/>
      <c r="AI455" s="141"/>
      <c r="AM455" s="141"/>
      <c r="AQ455" s="141"/>
    </row>
    <row r="456" spans="2:43" s="134" customFormat="1" x14ac:dyDescent="0.2">
      <c r="B456" s="145"/>
      <c r="D456" s="145"/>
      <c r="H456" s="162"/>
      <c r="J456" s="140"/>
      <c r="K456" s="140"/>
      <c r="L456" s="140"/>
      <c r="Z456" s="177"/>
      <c r="AA456" s="141"/>
      <c r="AE456" s="140"/>
      <c r="AI456" s="141"/>
      <c r="AM456" s="141"/>
      <c r="AQ456" s="141"/>
    </row>
    <row r="457" spans="2:43" s="134" customFormat="1" x14ac:dyDescent="0.2">
      <c r="B457" s="145"/>
      <c r="D457" s="145"/>
      <c r="H457" s="162"/>
      <c r="J457" s="140"/>
      <c r="K457" s="140"/>
      <c r="L457" s="140"/>
      <c r="Z457" s="177"/>
      <c r="AA457" s="141"/>
      <c r="AE457" s="140"/>
      <c r="AI457" s="141"/>
      <c r="AM457" s="141"/>
      <c r="AQ457" s="141"/>
    </row>
    <row r="458" spans="2:43" s="134" customFormat="1" x14ac:dyDescent="0.2">
      <c r="B458" s="145"/>
      <c r="D458" s="145"/>
      <c r="H458" s="162"/>
      <c r="J458" s="140"/>
      <c r="K458" s="140"/>
      <c r="L458" s="140"/>
      <c r="Z458" s="177"/>
      <c r="AA458" s="141"/>
      <c r="AE458" s="140"/>
      <c r="AI458" s="141"/>
      <c r="AM458" s="141"/>
      <c r="AQ458" s="141"/>
    </row>
    <row r="459" spans="2:43" s="134" customFormat="1" x14ac:dyDescent="0.2">
      <c r="B459" s="145"/>
      <c r="D459" s="145"/>
      <c r="H459" s="162"/>
      <c r="J459" s="140"/>
      <c r="K459" s="140"/>
      <c r="L459" s="140"/>
      <c r="Z459" s="177"/>
      <c r="AA459" s="141"/>
      <c r="AE459" s="140"/>
      <c r="AI459" s="141"/>
      <c r="AM459" s="141"/>
      <c r="AQ459" s="141"/>
    </row>
    <row r="460" spans="2:43" s="134" customFormat="1" x14ac:dyDescent="0.2">
      <c r="B460" s="145"/>
      <c r="D460" s="145"/>
      <c r="H460" s="162"/>
      <c r="J460" s="140"/>
      <c r="K460" s="140"/>
      <c r="L460" s="140"/>
      <c r="Z460" s="177"/>
      <c r="AA460" s="141"/>
      <c r="AE460" s="140"/>
      <c r="AI460" s="141"/>
      <c r="AM460" s="141"/>
      <c r="AQ460" s="141"/>
    </row>
    <row r="461" spans="2:43" s="134" customFormat="1" x14ac:dyDescent="0.2">
      <c r="B461" s="145"/>
      <c r="D461" s="145"/>
      <c r="H461" s="162"/>
      <c r="J461" s="140"/>
      <c r="K461" s="140"/>
      <c r="L461" s="140"/>
      <c r="Z461" s="177"/>
      <c r="AA461" s="141"/>
      <c r="AE461" s="140"/>
      <c r="AI461" s="141"/>
      <c r="AM461" s="141"/>
      <c r="AQ461" s="141"/>
    </row>
    <row r="462" spans="2:43" s="134" customFormat="1" x14ac:dyDescent="0.2">
      <c r="B462" s="145"/>
      <c r="D462" s="145"/>
      <c r="H462" s="162"/>
      <c r="J462" s="140"/>
      <c r="K462" s="140"/>
      <c r="L462" s="140"/>
      <c r="Z462" s="177"/>
      <c r="AA462" s="141"/>
      <c r="AE462" s="140"/>
      <c r="AI462" s="141"/>
      <c r="AM462" s="141"/>
      <c r="AQ462" s="141"/>
    </row>
    <row r="463" spans="2:43" s="134" customFormat="1" x14ac:dyDescent="0.2">
      <c r="B463" s="145"/>
      <c r="D463" s="145"/>
      <c r="H463" s="162"/>
      <c r="J463" s="140"/>
      <c r="K463" s="140"/>
      <c r="L463" s="140"/>
      <c r="Z463" s="177"/>
      <c r="AA463" s="141"/>
      <c r="AE463" s="140"/>
      <c r="AI463" s="141"/>
      <c r="AM463" s="141"/>
      <c r="AQ463" s="141"/>
    </row>
    <row r="464" spans="2:43" s="134" customFormat="1" x14ac:dyDescent="0.2">
      <c r="B464" s="145"/>
      <c r="D464" s="145"/>
      <c r="H464" s="162"/>
      <c r="J464" s="140"/>
      <c r="K464" s="140"/>
      <c r="L464" s="140"/>
      <c r="Z464" s="177"/>
      <c r="AA464" s="141"/>
      <c r="AE464" s="140"/>
      <c r="AI464" s="141"/>
      <c r="AM464" s="141"/>
      <c r="AQ464" s="141"/>
    </row>
    <row r="465" spans="2:43" s="134" customFormat="1" x14ac:dyDescent="0.2">
      <c r="B465" s="145"/>
      <c r="D465" s="145"/>
      <c r="H465" s="162"/>
      <c r="J465" s="140"/>
      <c r="K465" s="140"/>
      <c r="L465" s="140"/>
      <c r="Z465" s="177"/>
      <c r="AA465" s="141"/>
      <c r="AE465" s="140"/>
      <c r="AI465" s="141"/>
      <c r="AM465" s="141"/>
      <c r="AQ465" s="141"/>
    </row>
    <row r="466" spans="2:43" s="134" customFormat="1" x14ac:dyDescent="0.2">
      <c r="B466" s="145"/>
      <c r="D466" s="145"/>
      <c r="H466" s="162"/>
      <c r="J466" s="140"/>
      <c r="K466" s="140"/>
      <c r="L466" s="140"/>
      <c r="Z466" s="177"/>
      <c r="AA466" s="141"/>
      <c r="AE466" s="140"/>
      <c r="AI466" s="141"/>
      <c r="AM466" s="141"/>
      <c r="AQ466" s="141"/>
    </row>
    <row r="467" spans="2:43" s="134" customFormat="1" x14ac:dyDescent="0.2">
      <c r="B467" s="145"/>
      <c r="D467" s="145"/>
      <c r="H467" s="162"/>
      <c r="J467" s="140"/>
      <c r="K467" s="140"/>
      <c r="L467" s="140"/>
      <c r="Z467" s="177"/>
      <c r="AA467" s="141"/>
      <c r="AE467" s="140"/>
      <c r="AI467" s="141"/>
      <c r="AM467" s="141"/>
      <c r="AQ467" s="141"/>
    </row>
    <row r="468" spans="2:43" s="134" customFormat="1" x14ac:dyDescent="0.2">
      <c r="B468" s="145"/>
      <c r="D468" s="145"/>
      <c r="H468" s="162"/>
      <c r="J468" s="140"/>
      <c r="K468" s="140"/>
      <c r="L468" s="140"/>
      <c r="Z468" s="177"/>
      <c r="AA468" s="141"/>
      <c r="AE468" s="140"/>
      <c r="AI468" s="141"/>
      <c r="AM468" s="141"/>
      <c r="AQ468" s="141"/>
    </row>
    <row r="469" spans="2:43" s="134" customFormat="1" x14ac:dyDescent="0.2">
      <c r="B469" s="145"/>
      <c r="D469" s="145"/>
      <c r="H469" s="162"/>
      <c r="J469" s="140"/>
      <c r="K469" s="140"/>
      <c r="L469" s="140"/>
      <c r="Z469" s="177"/>
      <c r="AA469" s="141"/>
      <c r="AE469" s="140"/>
      <c r="AI469" s="141"/>
      <c r="AM469" s="141"/>
      <c r="AQ469" s="141"/>
    </row>
    <row r="470" spans="2:43" s="134" customFormat="1" x14ac:dyDescent="0.2">
      <c r="B470" s="145"/>
      <c r="D470" s="145"/>
      <c r="H470" s="162"/>
      <c r="J470" s="140"/>
      <c r="K470" s="140"/>
      <c r="L470" s="140"/>
      <c r="Z470" s="177"/>
      <c r="AA470" s="141"/>
      <c r="AE470" s="140"/>
      <c r="AI470" s="141"/>
      <c r="AM470" s="141"/>
      <c r="AQ470" s="141"/>
    </row>
    <row r="471" spans="2:43" s="134" customFormat="1" x14ac:dyDescent="0.2">
      <c r="B471" s="145"/>
      <c r="D471" s="145"/>
      <c r="H471" s="162"/>
      <c r="J471" s="140"/>
      <c r="K471" s="140"/>
      <c r="L471" s="140"/>
      <c r="Z471" s="177"/>
      <c r="AA471" s="141"/>
      <c r="AE471" s="140"/>
      <c r="AI471" s="141"/>
      <c r="AM471" s="141"/>
      <c r="AQ471" s="141"/>
    </row>
    <row r="472" spans="2:43" s="134" customFormat="1" x14ac:dyDescent="0.2">
      <c r="B472" s="145"/>
      <c r="D472" s="145"/>
      <c r="H472" s="162"/>
      <c r="J472" s="140"/>
      <c r="K472" s="140"/>
      <c r="L472" s="140"/>
      <c r="Z472" s="177"/>
      <c r="AA472" s="141"/>
      <c r="AE472" s="140"/>
      <c r="AI472" s="141"/>
      <c r="AM472" s="141"/>
      <c r="AQ472" s="141"/>
    </row>
    <row r="473" spans="2:43" s="134" customFormat="1" x14ac:dyDescent="0.2">
      <c r="B473" s="145"/>
      <c r="D473" s="145"/>
      <c r="H473" s="162"/>
      <c r="J473" s="140"/>
      <c r="K473" s="140"/>
      <c r="L473" s="140"/>
      <c r="Z473" s="177"/>
      <c r="AA473" s="141"/>
      <c r="AE473" s="140"/>
      <c r="AI473" s="141"/>
      <c r="AM473" s="141"/>
      <c r="AQ473" s="141"/>
    </row>
    <row r="474" spans="2:43" s="134" customFormat="1" x14ac:dyDescent="0.2">
      <c r="B474" s="145"/>
      <c r="D474" s="145"/>
      <c r="H474" s="162"/>
      <c r="J474" s="140"/>
      <c r="K474" s="140"/>
      <c r="L474" s="140"/>
      <c r="Z474" s="177"/>
      <c r="AA474" s="141"/>
      <c r="AE474" s="140"/>
      <c r="AI474" s="141"/>
      <c r="AM474" s="141"/>
      <c r="AQ474" s="141"/>
    </row>
    <row r="475" spans="2:43" s="134" customFormat="1" x14ac:dyDescent="0.2">
      <c r="B475" s="145"/>
      <c r="D475" s="145"/>
      <c r="H475" s="162"/>
      <c r="J475" s="140"/>
      <c r="K475" s="140"/>
      <c r="L475" s="140"/>
      <c r="Z475" s="177"/>
      <c r="AA475" s="141"/>
      <c r="AE475" s="140"/>
      <c r="AI475" s="141"/>
      <c r="AM475" s="141"/>
      <c r="AQ475" s="141"/>
    </row>
    <row r="476" spans="2:43" s="134" customFormat="1" x14ac:dyDescent="0.2">
      <c r="B476" s="145"/>
      <c r="D476" s="145"/>
      <c r="H476" s="162"/>
      <c r="J476" s="140"/>
      <c r="K476" s="140"/>
      <c r="L476" s="140"/>
      <c r="Z476" s="177"/>
      <c r="AA476" s="141"/>
      <c r="AE476" s="140"/>
      <c r="AI476" s="141"/>
      <c r="AM476" s="141"/>
      <c r="AQ476" s="141"/>
    </row>
    <row r="477" spans="2:43" s="134" customFormat="1" x14ac:dyDescent="0.2">
      <c r="B477" s="145"/>
      <c r="D477" s="145"/>
      <c r="H477" s="162"/>
      <c r="J477" s="140"/>
      <c r="K477" s="140"/>
      <c r="L477" s="140"/>
      <c r="Z477" s="177"/>
      <c r="AA477" s="141"/>
      <c r="AE477" s="140"/>
      <c r="AI477" s="141"/>
      <c r="AM477" s="141"/>
      <c r="AQ477" s="141"/>
    </row>
    <row r="478" spans="2:43" s="134" customFormat="1" x14ac:dyDescent="0.2">
      <c r="B478" s="145"/>
      <c r="D478" s="145"/>
      <c r="H478" s="162"/>
      <c r="J478" s="140"/>
      <c r="K478" s="140"/>
      <c r="L478" s="140"/>
      <c r="Z478" s="177"/>
      <c r="AA478" s="141"/>
      <c r="AE478" s="140"/>
      <c r="AI478" s="141"/>
      <c r="AM478" s="141"/>
      <c r="AQ478" s="141"/>
    </row>
    <row r="479" spans="2:43" s="134" customFormat="1" x14ac:dyDescent="0.2">
      <c r="B479" s="145"/>
      <c r="D479" s="145"/>
      <c r="H479" s="162"/>
      <c r="J479" s="140"/>
      <c r="K479" s="140"/>
      <c r="L479" s="140"/>
      <c r="Z479" s="177"/>
      <c r="AA479" s="141"/>
      <c r="AE479" s="140"/>
      <c r="AI479" s="141"/>
      <c r="AM479" s="141"/>
      <c r="AQ479" s="141"/>
    </row>
    <row r="480" spans="2:43" s="134" customFormat="1" x14ac:dyDescent="0.2">
      <c r="B480" s="145"/>
      <c r="D480" s="145"/>
      <c r="H480" s="162"/>
      <c r="J480" s="140"/>
      <c r="K480" s="140"/>
      <c r="L480" s="140"/>
      <c r="Z480" s="177"/>
      <c r="AA480" s="141"/>
      <c r="AE480" s="140"/>
      <c r="AI480" s="141"/>
      <c r="AM480" s="141"/>
      <c r="AQ480" s="141"/>
    </row>
    <row r="481" spans="2:43" s="134" customFormat="1" x14ac:dyDescent="0.2">
      <c r="B481" s="145"/>
      <c r="D481" s="145"/>
      <c r="H481" s="162"/>
      <c r="J481" s="140"/>
      <c r="K481" s="140"/>
      <c r="L481" s="140"/>
      <c r="Z481" s="177"/>
      <c r="AA481" s="141"/>
      <c r="AE481" s="140"/>
      <c r="AI481" s="141"/>
      <c r="AM481" s="141"/>
      <c r="AQ481" s="141"/>
    </row>
    <row r="482" spans="2:43" s="134" customFormat="1" x14ac:dyDescent="0.2">
      <c r="B482" s="145"/>
      <c r="D482" s="145"/>
      <c r="H482" s="162"/>
      <c r="J482" s="140"/>
      <c r="K482" s="140"/>
      <c r="L482" s="140"/>
      <c r="Z482" s="177"/>
      <c r="AA482" s="141"/>
      <c r="AE482" s="140"/>
      <c r="AI482" s="141"/>
      <c r="AM482" s="141"/>
      <c r="AQ482" s="141"/>
    </row>
    <row r="483" spans="2:43" s="134" customFormat="1" x14ac:dyDescent="0.2">
      <c r="B483" s="145"/>
      <c r="D483" s="145"/>
      <c r="H483" s="162"/>
      <c r="J483" s="140"/>
      <c r="K483" s="140"/>
      <c r="L483" s="140"/>
      <c r="Z483" s="177"/>
      <c r="AA483" s="141"/>
      <c r="AE483" s="140"/>
      <c r="AI483" s="141"/>
      <c r="AM483" s="141"/>
      <c r="AQ483" s="141"/>
    </row>
    <row r="484" spans="2:43" s="134" customFormat="1" x14ac:dyDescent="0.2">
      <c r="B484" s="145"/>
      <c r="D484" s="145"/>
      <c r="H484" s="162"/>
      <c r="J484" s="140"/>
      <c r="K484" s="140"/>
      <c r="L484" s="140"/>
      <c r="Z484" s="177"/>
      <c r="AA484" s="141"/>
      <c r="AE484" s="140"/>
      <c r="AI484" s="141"/>
      <c r="AM484" s="141"/>
      <c r="AQ484" s="141"/>
    </row>
    <row r="485" spans="2:43" s="134" customFormat="1" x14ac:dyDescent="0.2">
      <c r="B485" s="145"/>
      <c r="D485" s="145"/>
      <c r="H485" s="162"/>
      <c r="J485" s="140"/>
      <c r="K485" s="140"/>
      <c r="L485" s="140"/>
      <c r="Z485" s="177"/>
      <c r="AA485" s="141"/>
      <c r="AE485" s="140"/>
      <c r="AI485" s="141"/>
      <c r="AM485" s="141"/>
      <c r="AQ485" s="141"/>
    </row>
    <row r="486" spans="2:43" s="134" customFormat="1" x14ac:dyDescent="0.2">
      <c r="B486" s="145"/>
      <c r="D486" s="145"/>
      <c r="H486" s="162"/>
      <c r="J486" s="140"/>
      <c r="K486" s="140"/>
      <c r="L486" s="140"/>
      <c r="Z486" s="177"/>
      <c r="AA486" s="141"/>
      <c r="AE486" s="140"/>
      <c r="AI486" s="141"/>
      <c r="AM486" s="141"/>
      <c r="AQ486" s="141"/>
    </row>
    <row r="487" spans="2:43" s="134" customFormat="1" x14ac:dyDescent="0.2">
      <c r="B487" s="145"/>
      <c r="D487" s="145"/>
      <c r="H487" s="162"/>
      <c r="J487" s="140"/>
      <c r="K487" s="140"/>
      <c r="L487" s="140"/>
      <c r="Z487" s="177"/>
      <c r="AA487" s="141"/>
      <c r="AE487" s="140"/>
      <c r="AI487" s="141"/>
      <c r="AM487" s="141"/>
      <c r="AQ487" s="141"/>
    </row>
    <row r="488" spans="2:43" s="134" customFormat="1" x14ac:dyDescent="0.2">
      <c r="B488" s="145"/>
      <c r="D488" s="145"/>
      <c r="H488" s="162"/>
      <c r="J488" s="140"/>
      <c r="K488" s="140"/>
      <c r="L488" s="140"/>
      <c r="Z488" s="177"/>
      <c r="AA488" s="141"/>
      <c r="AE488" s="140"/>
      <c r="AI488" s="141"/>
      <c r="AM488" s="141"/>
      <c r="AQ488" s="141"/>
    </row>
    <row r="489" spans="2:43" s="134" customFormat="1" x14ac:dyDescent="0.2">
      <c r="B489" s="145"/>
      <c r="D489" s="145"/>
      <c r="H489" s="162"/>
      <c r="J489" s="140"/>
      <c r="K489" s="140"/>
      <c r="L489" s="140"/>
      <c r="Z489" s="177"/>
      <c r="AA489" s="141"/>
      <c r="AE489" s="140"/>
      <c r="AI489" s="141"/>
      <c r="AM489" s="141"/>
      <c r="AQ489" s="141"/>
    </row>
    <row r="490" spans="2:43" s="134" customFormat="1" x14ac:dyDescent="0.2">
      <c r="B490" s="145"/>
      <c r="D490" s="145"/>
      <c r="H490" s="162"/>
      <c r="J490" s="140"/>
      <c r="K490" s="140"/>
      <c r="L490" s="140"/>
      <c r="Z490" s="177"/>
      <c r="AA490" s="141"/>
      <c r="AE490" s="140"/>
      <c r="AI490" s="141"/>
      <c r="AM490" s="141"/>
      <c r="AQ490" s="141"/>
    </row>
    <row r="491" spans="2:43" s="134" customFormat="1" x14ac:dyDescent="0.2">
      <c r="B491" s="145"/>
      <c r="D491" s="145"/>
      <c r="H491" s="162"/>
      <c r="J491" s="140"/>
      <c r="K491" s="140"/>
      <c r="L491" s="140"/>
      <c r="Z491" s="177"/>
      <c r="AA491" s="141"/>
      <c r="AE491" s="140"/>
      <c r="AI491" s="141"/>
      <c r="AM491" s="141"/>
      <c r="AQ491" s="141"/>
    </row>
    <row r="492" spans="2:43" s="134" customFormat="1" x14ac:dyDescent="0.2">
      <c r="B492" s="145"/>
      <c r="D492" s="145"/>
      <c r="H492" s="162"/>
      <c r="J492" s="140"/>
      <c r="K492" s="140"/>
      <c r="L492" s="140"/>
      <c r="Z492" s="177"/>
      <c r="AA492" s="141"/>
      <c r="AE492" s="140"/>
      <c r="AI492" s="141"/>
      <c r="AM492" s="141"/>
      <c r="AQ492" s="141"/>
    </row>
    <row r="493" spans="2:43" s="134" customFormat="1" x14ac:dyDescent="0.2">
      <c r="B493" s="145"/>
      <c r="D493" s="145"/>
      <c r="H493" s="162"/>
      <c r="J493" s="140"/>
      <c r="K493" s="140"/>
      <c r="L493" s="140"/>
      <c r="Z493" s="177"/>
      <c r="AA493" s="141"/>
      <c r="AE493" s="140"/>
      <c r="AI493" s="141"/>
      <c r="AM493" s="141"/>
      <c r="AQ493" s="141"/>
    </row>
    <row r="494" spans="2:43" s="134" customFormat="1" x14ac:dyDescent="0.2">
      <c r="B494" s="145"/>
      <c r="D494" s="145"/>
      <c r="H494" s="162"/>
      <c r="J494" s="140"/>
      <c r="K494" s="140"/>
      <c r="L494" s="140"/>
      <c r="Z494" s="177"/>
      <c r="AA494" s="141"/>
      <c r="AE494" s="140"/>
      <c r="AI494" s="141"/>
      <c r="AM494" s="141"/>
      <c r="AQ494" s="141"/>
    </row>
    <row r="495" spans="2:43" s="134" customFormat="1" x14ac:dyDescent="0.2">
      <c r="B495" s="145"/>
      <c r="D495" s="145"/>
      <c r="H495" s="162"/>
      <c r="J495" s="140"/>
      <c r="K495" s="140"/>
      <c r="L495" s="140"/>
      <c r="Z495" s="177"/>
      <c r="AA495" s="141"/>
      <c r="AE495" s="140"/>
      <c r="AI495" s="141"/>
      <c r="AM495" s="141"/>
      <c r="AQ495" s="141"/>
    </row>
    <row r="496" spans="2:43" s="134" customFormat="1" x14ac:dyDescent="0.2">
      <c r="B496" s="145"/>
      <c r="D496" s="145"/>
      <c r="H496" s="162"/>
      <c r="J496" s="140"/>
      <c r="K496" s="140"/>
      <c r="L496" s="140"/>
      <c r="Z496" s="177"/>
      <c r="AA496" s="141"/>
      <c r="AE496" s="140"/>
      <c r="AI496" s="141"/>
      <c r="AM496" s="141"/>
      <c r="AQ496" s="141"/>
    </row>
    <row r="497" spans="2:43" s="134" customFormat="1" x14ac:dyDescent="0.2">
      <c r="B497" s="145"/>
      <c r="D497" s="145"/>
      <c r="H497" s="162"/>
      <c r="J497" s="140"/>
      <c r="K497" s="140"/>
      <c r="L497" s="140"/>
      <c r="Z497" s="177"/>
      <c r="AA497" s="141"/>
      <c r="AE497" s="140"/>
      <c r="AI497" s="141"/>
      <c r="AM497" s="141"/>
      <c r="AQ497" s="141"/>
    </row>
    <row r="498" spans="2:43" s="134" customFormat="1" x14ac:dyDescent="0.2">
      <c r="B498" s="145"/>
      <c r="D498" s="145"/>
      <c r="H498" s="162"/>
      <c r="J498" s="140"/>
      <c r="K498" s="140"/>
      <c r="L498" s="140"/>
      <c r="Z498" s="177"/>
      <c r="AA498" s="141"/>
      <c r="AE498" s="140"/>
      <c r="AI498" s="141"/>
      <c r="AM498" s="141"/>
      <c r="AQ498" s="141"/>
    </row>
    <row r="499" spans="2:43" s="134" customFormat="1" x14ac:dyDescent="0.2">
      <c r="B499" s="145"/>
      <c r="D499" s="145"/>
      <c r="H499" s="162"/>
      <c r="J499" s="140"/>
      <c r="K499" s="140"/>
      <c r="L499" s="140"/>
      <c r="Z499" s="177"/>
      <c r="AA499" s="141"/>
      <c r="AE499" s="140"/>
      <c r="AI499" s="141"/>
      <c r="AM499" s="141"/>
      <c r="AQ499" s="141"/>
    </row>
    <row r="500" spans="2:43" s="134" customFormat="1" x14ac:dyDescent="0.2">
      <c r="B500" s="145"/>
      <c r="D500" s="145"/>
      <c r="H500" s="162"/>
      <c r="J500" s="140"/>
      <c r="K500" s="140"/>
      <c r="L500" s="140"/>
      <c r="Z500" s="177"/>
      <c r="AA500" s="141"/>
      <c r="AE500" s="140"/>
      <c r="AI500" s="141"/>
      <c r="AM500" s="141"/>
      <c r="AQ500" s="141"/>
    </row>
    <row r="501" spans="2:43" s="134" customFormat="1" x14ac:dyDescent="0.2">
      <c r="B501" s="145"/>
      <c r="D501" s="145"/>
      <c r="H501" s="162"/>
      <c r="J501" s="140"/>
      <c r="K501" s="140"/>
      <c r="L501" s="140"/>
      <c r="Z501" s="177"/>
      <c r="AA501" s="141"/>
      <c r="AE501" s="140"/>
      <c r="AI501" s="141"/>
      <c r="AM501" s="141"/>
      <c r="AQ501" s="141"/>
    </row>
    <row r="502" spans="2:43" s="134" customFormat="1" x14ac:dyDescent="0.2">
      <c r="B502" s="145"/>
      <c r="D502" s="145"/>
      <c r="H502" s="162"/>
      <c r="J502" s="140"/>
      <c r="K502" s="140"/>
      <c r="L502" s="140"/>
      <c r="Z502" s="177"/>
      <c r="AA502" s="141"/>
      <c r="AE502" s="140"/>
      <c r="AI502" s="141"/>
      <c r="AM502" s="141"/>
      <c r="AQ502" s="141"/>
    </row>
    <row r="503" spans="2:43" s="134" customFormat="1" x14ac:dyDescent="0.2">
      <c r="B503" s="145"/>
      <c r="D503" s="145"/>
      <c r="H503" s="162"/>
      <c r="J503" s="140"/>
      <c r="K503" s="140"/>
      <c r="L503" s="140"/>
      <c r="Z503" s="177"/>
      <c r="AA503" s="141"/>
      <c r="AE503" s="140"/>
      <c r="AI503" s="141"/>
      <c r="AM503" s="141"/>
      <c r="AQ503" s="141"/>
    </row>
    <row r="504" spans="2:43" s="134" customFormat="1" x14ac:dyDescent="0.2">
      <c r="B504" s="145"/>
      <c r="D504" s="145"/>
      <c r="H504" s="162"/>
      <c r="J504" s="140"/>
      <c r="K504" s="140"/>
      <c r="L504" s="140"/>
      <c r="Z504" s="177"/>
      <c r="AA504" s="141"/>
      <c r="AE504" s="140"/>
      <c r="AI504" s="141"/>
      <c r="AM504" s="141"/>
      <c r="AQ504" s="141"/>
    </row>
    <row r="505" spans="2:43" s="134" customFormat="1" x14ac:dyDescent="0.2">
      <c r="B505" s="145"/>
      <c r="D505" s="145"/>
      <c r="H505" s="162"/>
      <c r="J505" s="140"/>
      <c r="K505" s="140"/>
      <c r="L505" s="140"/>
      <c r="Z505" s="177"/>
      <c r="AA505" s="141"/>
      <c r="AE505" s="140"/>
      <c r="AI505" s="141"/>
      <c r="AM505" s="141"/>
      <c r="AQ505" s="141"/>
    </row>
    <row r="506" spans="2:43" s="134" customFormat="1" x14ac:dyDescent="0.2">
      <c r="B506" s="145"/>
      <c r="D506" s="145"/>
      <c r="H506" s="162"/>
      <c r="J506" s="140"/>
      <c r="K506" s="140"/>
      <c r="L506" s="140"/>
      <c r="Z506" s="177"/>
      <c r="AA506" s="141"/>
      <c r="AE506" s="140"/>
      <c r="AI506" s="141"/>
      <c r="AM506" s="141"/>
      <c r="AQ506" s="141"/>
    </row>
    <row r="507" spans="2:43" s="134" customFormat="1" x14ac:dyDescent="0.2">
      <c r="B507" s="145"/>
      <c r="D507" s="145"/>
      <c r="H507" s="162"/>
      <c r="J507" s="140"/>
      <c r="K507" s="140"/>
      <c r="L507" s="140"/>
      <c r="Z507" s="177"/>
      <c r="AA507" s="141"/>
      <c r="AE507" s="140"/>
      <c r="AI507" s="141"/>
      <c r="AM507" s="141"/>
      <c r="AQ507" s="141"/>
    </row>
    <row r="508" spans="2:43" s="134" customFormat="1" x14ac:dyDescent="0.2">
      <c r="B508" s="145"/>
      <c r="D508" s="145"/>
      <c r="H508" s="162"/>
      <c r="J508" s="140"/>
      <c r="K508" s="140"/>
      <c r="L508" s="140"/>
      <c r="Z508" s="177"/>
      <c r="AA508" s="141"/>
      <c r="AE508" s="140"/>
      <c r="AI508" s="141"/>
      <c r="AM508" s="141"/>
      <c r="AQ508" s="141"/>
    </row>
    <row r="509" spans="2:43" s="134" customFormat="1" x14ac:dyDescent="0.2">
      <c r="B509" s="145"/>
      <c r="D509" s="145"/>
      <c r="H509" s="162"/>
      <c r="J509" s="140"/>
      <c r="K509" s="140"/>
      <c r="L509" s="140"/>
      <c r="Z509" s="177"/>
      <c r="AA509" s="141"/>
      <c r="AE509" s="140"/>
      <c r="AI509" s="141"/>
      <c r="AM509" s="141"/>
      <c r="AQ509" s="141"/>
    </row>
    <row r="510" spans="2:43" s="134" customFormat="1" x14ac:dyDescent="0.2">
      <c r="B510" s="145"/>
      <c r="D510" s="145"/>
      <c r="H510" s="162"/>
      <c r="J510" s="140"/>
      <c r="K510" s="140"/>
      <c r="L510" s="140"/>
      <c r="Z510" s="177"/>
      <c r="AA510" s="141"/>
      <c r="AE510" s="140"/>
      <c r="AI510" s="141"/>
      <c r="AM510" s="141"/>
      <c r="AQ510" s="141"/>
    </row>
    <row r="511" spans="2:43" s="134" customFormat="1" x14ac:dyDescent="0.2">
      <c r="B511" s="145"/>
      <c r="D511" s="145"/>
      <c r="H511" s="162"/>
      <c r="J511" s="140"/>
      <c r="K511" s="140"/>
      <c r="L511" s="140"/>
      <c r="Z511" s="177"/>
      <c r="AA511" s="141"/>
      <c r="AE511" s="140"/>
      <c r="AI511" s="141"/>
      <c r="AM511" s="141"/>
      <c r="AQ511" s="141"/>
    </row>
    <row r="512" spans="2:43" s="134" customFormat="1" x14ac:dyDescent="0.2">
      <c r="B512" s="145"/>
      <c r="D512" s="145"/>
      <c r="H512" s="162"/>
      <c r="J512" s="140"/>
      <c r="K512" s="140"/>
      <c r="L512" s="140"/>
      <c r="Z512" s="177"/>
      <c r="AA512" s="141"/>
      <c r="AE512" s="140"/>
      <c r="AI512" s="141"/>
      <c r="AM512" s="141"/>
      <c r="AQ512" s="141"/>
    </row>
    <row r="513" spans="2:43" s="134" customFormat="1" x14ac:dyDescent="0.2">
      <c r="B513" s="145"/>
      <c r="D513" s="145"/>
      <c r="H513" s="162"/>
      <c r="J513" s="140"/>
      <c r="K513" s="140"/>
      <c r="L513" s="140"/>
      <c r="Z513" s="177"/>
      <c r="AA513" s="141"/>
      <c r="AE513" s="140"/>
      <c r="AI513" s="141"/>
      <c r="AM513" s="141"/>
      <c r="AQ513" s="141"/>
    </row>
    <row r="514" spans="2:43" s="134" customFormat="1" x14ac:dyDescent="0.2">
      <c r="B514" s="145"/>
      <c r="D514" s="145"/>
      <c r="H514" s="162"/>
      <c r="J514" s="140"/>
      <c r="K514" s="140"/>
      <c r="L514" s="140"/>
      <c r="Z514" s="177"/>
      <c r="AA514" s="141"/>
      <c r="AE514" s="140"/>
      <c r="AI514" s="141"/>
      <c r="AM514" s="141"/>
      <c r="AQ514" s="141"/>
    </row>
    <row r="515" spans="2:43" s="134" customFormat="1" x14ac:dyDescent="0.2">
      <c r="B515" s="145"/>
      <c r="D515" s="145"/>
      <c r="H515" s="162"/>
      <c r="J515" s="140"/>
      <c r="K515" s="140"/>
      <c r="L515" s="140"/>
      <c r="Z515" s="177"/>
      <c r="AA515" s="141"/>
      <c r="AE515" s="140"/>
      <c r="AI515" s="141"/>
      <c r="AM515" s="141"/>
      <c r="AQ515" s="141"/>
    </row>
    <row r="516" spans="2:43" s="134" customFormat="1" x14ac:dyDescent="0.2">
      <c r="B516" s="145"/>
      <c r="D516" s="145"/>
      <c r="H516" s="162"/>
      <c r="J516" s="140"/>
      <c r="K516" s="140"/>
      <c r="L516" s="140"/>
      <c r="Z516" s="177"/>
      <c r="AA516" s="141"/>
      <c r="AE516" s="140"/>
      <c r="AI516" s="141"/>
      <c r="AM516" s="141"/>
      <c r="AQ516" s="141"/>
    </row>
    <row r="517" spans="2:43" s="134" customFormat="1" x14ac:dyDescent="0.2">
      <c r="B517" s="145"/>
      <c r="D517" s="145"/>
      <c r="H517" s="162"/>
      <c r="J517" s="140"/>
      <c r="K517" s="140"/>
      <c r="L517" s="140"/>
      <c r="Z517" s="177"/>
      <c r="AA517" s="141"/>
      <c r="AE517" s="140"/>
      <c r="AI517" s="141"/>
      <c r="AM517" s="141"/>
      <c r="AQ517" s="141"/>
    </row>
    <row r="518" spans="2:43" s="134" customFormat="1" x14ac:dyDescent="0.2">
      <c r="B518" s="145"/>
      <c r="D518" s="145"/>
      <c r="H518" s="162"/>
      <c r="J518" s="140"/>
      <c r="K518" s="140"/>
      <c r="L518" s="140"/>
      <c r="Z518" s="177"/>
      <c r="AA518" s="141"/>
      <c r="AE518" s="140"/>
      <c r="AI518" s="141"/>
      <c r="AM518" s="141"/>
      <c r="AQ518" s="141"/>
    </row>
    <row r="519" spans="2:43" s="134" customFormat="1" x14ac:dyDescent="0.2">
      <c r="B519" s="145"/>
      <c r="D519" s="145"/>
      <c r="H519" s="162"/>
      <c r="J519" s="140"/>
      <c r="K519" s="140"/>
      <c r="L519" s="140"/>
      <c r="Z519" s="177"/>
      <c r="AA519" s="141"/>
      <c r="AE519" s="140"/>
      <c r="AI519" s="141"/>
      <c r="AM519" s="141"/>
      <c r="AQ519" s="141"/>
    </row>
    <row r="520" spans="2:43" s="134" customFormat="1" x14ac:dyDescent="0.2">
      <c r="B520" s="145"/>
      <c r="D520" s="145"/>
      <c r="H520" s="162"/>
      <c r="J520" s="140"/>
      <c r="K520" s="140"/>
      <c r="L520" s="140"/>
      <c r="Z520" s="177"/>
      <c r="AA520" s="141"/>
      <c r="AE520" s="140"/>
      <c r="AI520" s="141"/>
      <c r="AM520" s="141"/>
      <c r="AQ520" s="141"/>
    </row>
    <row r="521" spans="2:43" s="134" customFormat="1" x14ac:dyDescent="0.2">
      <c r="B521" s="145"/>
      <c r="D521" s="145"/>
      <c r="H521" s="162"/>
      <c r="J521" s="140"/>
      <c r="K521" s="140"/>
      <c r="L521" s="140"/>
      <c r="Z521" s="177"/>
      <c r="AA521" s="141"/>
      <c r="AE521" s="140"/>
      <c r="AI521" s="141"/>
      <c r="AM521" s="141"/>
      <c r="AQ521" s="141"/>
    </row>
    <row r="522" spans="2:43" s="134" customFormat="1" x14ac:dyDescent="0.2">
      <c r="B522" s="145"/>
      <c r="D522" s="145"/>
      <c r="H522" s="162"/>
      <c r="J522" s="140"/>
      <c r="K522" s="140"/>
      <c r="L522" s="140"/>
      <c r="Z522" s="177"/>
      <c r="AA522" s="141"/>
      <c r="AE522" s="140"/>
      <c r="AI522" s="141"/>
      <c r="AM522" s="141"/>
      <c r="AQ522" s="141"/>
    </row>
    <row r="523" spans="2:43" s="134" customFormat="1" x14ac:dyDescent="0.2">
      <c r="B523" s="145"/>
      <c r="D523" s="145"/>
      <c r="H523" s="162"/>
      <c r="J523" s="140"/>
      <c r="K523" s="140"/>
      <c r="L523" s="140"/>
      <c r="Z523" s="177"/>
      <c r="AA523" s="141"/>
      <c r="AE523" s="140"/>
      <c r="AI523" s="141"/>
      <c r="AM523" s="141"/>
      <c r="AQ523" s="141"/>
    </row>
    <row r="524" spans="2:43" s="134" customFormat="1" x14ac:dyDescent="0.2">
      <c r="B524" s="145"/>
      <c r="D524" s="145"/>
      <c r="H524" s="162"/>
      <c r="J524" s="140"/>
      <c r="K524" s="140"/>
      <c r="L524" s="140"/>
      <c r="Z524" s="177"/>
      <c r="AA524" s="141"/>
      <c r="AE524" s="140"/>
      <c r="AI524" s="141"/>
      <c r="AM524" s="141"/>
      <c r="AQ524" s="141"/>
    </row>
    <row r="525" spans="2:43" s="134" customFormat="1" x14ac:dyDescent="0.2">
      <c r="B525" s="145"/>
      <c r="D525" s="145"/>
      <c r="H525" s="162"/>
      <c r="J525" s="140"/>
      <c r="K525" s="140"/>
      <c r="L525" s="140"/>
      <c r="Z525" s="177"/>
      <c r="AA525" s="141"/>
      <c r="AE525" s="140"/>
      <c r="AI525" s="141"/>
      <c r="AM525" s="141"/>
      <c r="AQ525" s="141"/>
    </row>
    <row r="526" spans="2:43" s="134" customFormat="1" x14ac:dyDescent="0.2">
      <c r="B526" s="145"/>
      <c r="D526" s="145"/>
      <c r="H526" s="162"/>
      <c r="J526" s="140"/>
      <c r="K526" s="140"/>
      <c r="L526" s="140"/>
      <c r="Z526" s="177"/>
      <c r="AA526" s="141"/>
      <c r="AE526" s="140"/>
      <c r="AI526" s="141"/>
      <c r="AM526" s="141"/>
      <c r="AQ526" s="141"/>
    </row>
    <row r="527" spans="2:43" s="134" customFormat="1" x14ac:dyDescent="0.2">
      <c r="B527" s="145"/>
      <c r="D527" s="145"/>
      <c r="H527" s="162"/>
      <c r="J527" s="140"/>
      <c r="K527" s="140"/>
      <c r="L527" s="140"/>
      <c r="Z527" s="177"/>
      <c r="AA527" s="141"/>
      <c r="AE527" s="140"/>
      <c r="AI527" s="141"/>
      <c r="AM527" s="141"/>
      <c r="AQ527" s="141"/>
    </row>
    <row r="528" spans="2:43" s="134" customFormat="1" x14ac:dyDescent="0.2">
      <c r="B528" s="145"/>
      <c r="D528" s="145"/>
      <c r="H528" s="162"/>
      <c r="J528" s="140"/>
      <c r="K528" s="140"/>
      <c r="L528" s="140"/>
      <c r="Z528" s="177"/>
      <c r="AA528" s="141"/>
      <c r="AE528" s="140"/>
      <c r="AI528" s="141"/>
      <c r="AM528" s="141"/>
      <c r="AQ528" s="141"/>
    </row>
    <row r="529" spans="2:43" s="134" customFormat="1" x14ac:dyDescent="0.2">
      <c r="B529" s="145"/>
      <c r="D529" s="145"/>
      <c r="H529" s="162"/>
      <c r="J529" s="140"/>
      <c r="K529" s="140"/>
      <c r="L529" s="140"/>
      <c r="Z529" s="177"/>
      <c r="AA529" s="141"/>
      <c r="AE529" s="140"/>
      <c r="AI529" s="141"/>
      <c r="AM529" s="141"/>
      <c r="AQ529" s="141"/>
    </row>
    <row r="530" spans="2:43" s="134" customFormat="1" x14ac:dyDescent="0.2">
      <c r="B530" s="145"/>
      <c r="D530" s="145"/>
      <c r="H530" s="162"/>
      <c r="J530" s="140"/>
      <c r="K530" s="140"/>
      <c r="L530" s="140"/>
      <c r="Z530" s="177"/>
      <c r="AA530" s="141"/>
      <c r="AE530" s="140"/>
      <c r="AI530" s="141"/>
      <c r="AM530" s="141"/>
      <c r="AQ530" s="141"/>
    </row>
    <row r="531" spans="2:43" s="134" customFormat="1" x14ac:dyDescent="0.2">
      <c r="B531" s="145"/>
      <c r="D531" s="145"/>
      <c r="H531" s="162"/>
      <c r="J531" s="140"/>
      <c r="K531" s="140"/>
      <c r="L531" s="140"/>
      <c r="Z531" s="177"/>
      <c r="AA531" s="141"/>
      <c r="AE531" s="140"/>
      <c r="AI531" s="141"/>
      <c r="AM531" s="141"/>
      <c r="AQ531" s="141"/>
    </row>
    <row r="532" spans="2:43" s="134" customFormat="1" x14ac:dyDescent="0.2">
      <c r="B532" s="145"/>
      <c r="D532" s="145"/>
      <c r="H532" s="162"/>
      <c r="J532" s="140"/>
      <c r="K532" s="140"/>
      <c r="L532" s="140"/>
      <c r="Z532" s="177"/>
      <c r="AA532" s="141"/>
      <c r="AE532" s="140"/>
      <c r="AI532" s="141"/>
      <c r="AM532" s="141"/>
      <c r="AQ532" s="141"/>
    </row>
    <row r="533" spans="2:43" s="134" customFormat="1" x14ac:dyDescent="0.2">
      <c r="B533" s="145"/>
      <c r="D533" s="145"/>
      <c r="H533" s="162"/>
      <c r="J533" s="140"/>
      <c r="K533" s="140"/>
      <c r="L533" s="140"/>
      <c r="Z533" s="177"/>
      <c r="AA533" s="141"/>
      <c r="AE533" s="140"/>
      <c r="AI533" s="141"/>
      <c r="AM533" s="141"/>
      <c r="AQ533" s="141"/>
    </row>
    <row r="534" spans="2:43" s="134" customFormat="1" x14ac:dyDescent="0.2">
      <c r="B534" s="145"/>
      <c r="D534" s="145"/>
      <c r="H534" s="162"/>
      <c r="J534" s="140"/>
      <c r="K534" s="140"/>
      <c r="L534" s="140"/>
      <c r="Z534" s="177"/>
      <c r="AA534" s="141"/>
      <c r="AE534" s="140"/>
      <c r="AI534" s="141"/>
      <c r="AM534" s="141"/>
      <c r="AQ534" s="141"/>
    </row>
    <row r="535" spans="2:43" s="134" customFormat="1" x14ac:dyDescent="0.2">
      <c r="B535" s="145"/>
      <c r="D535" s="145"/>
      <c r="H535" s="162"/>
      <c r="J535" s="140"/>
      <c r="K535" s="140"/>
      <c r="L535" s="140"/>
      <c r="Z535" s="177"/>
      <c r="AA535" s="141"/>
      <c r="AE535" s="140"/>
      <c r="AI535" s="141"/>
      <c r="AM535" s="141"/>
      <c r="AQ535" s="141"/>
    </row>
    <row r="536" spans="2:43" s="134" customFormat="1" x14ac:dyDescent="0.2">
      <c r="B536" s="145"/>
      <c r="D536" s="145"/>
      <c r="H536" s="162"/>
      <c r="J536" s="140"/>
      <c r="K536" s="140"/>
      <c r="L536" s="140"/>
      <c r="Z536" s="177"/>
      <c r="AA536" s="141"/>
      <c r="AE536" s="140"/>
      <c r="AI536" s="141"/>
      <c r="AM536" s="141"/>
      <c r="AQ536" s="141"/>
    </row>
    <row r="537" spans="2:43" s="134" customFormat="1" x14ac:dyDescent="0.2">
      <c r="B537" s="145"/>
      <c r="D537" s="145"/>
      <c r="H537" s="162"/>
      <c r="J537" s="140"/>
      <c r="K537" s="140"/>
      <c r="L537" s="140"/>
      <c r="Z537" s="177"/>
      <c r="AA537" s="141"/>
      <c r="AE537" s="140"/>
      <c r="AI537" s="141"/>
      <c r="AM537" s="141"/>
      <c r="AQ537" s="141"/>
    </row>
    <row r="538" spans="2:43" s="134" customFormat="1" x14ac:dyDescent="0.2">
      <c r="B538" s="145"/>
      <c r="D538" s="145"/>
      <c r="H538" s="162"/>
      <c r="J538" s="140"/>
      <c r="K538" s="140"/>
      <c r="L538" s="140"/>
      <c r="Z538" s="177"/>
      <c r="AA538" s="141"/>
      <c r="AE538" s="140"/>
      <c r="AI538" s="141"/>
      <c r="AM538" s="141"/>
      <c r="AQ538" s="141"/>
    </row>
    <row r="539" spans="2:43" s="134" customFormat="1" x14ac:dyDescent="0.2">
      <c r="B539" s="145"/>
      <c r="D539" s="145"/>
      <c r="H539" s="162"/>
      <c r="J539" s="140"/>
      <c r="K539" s="140"/>
      <c r="L539" s="140"/>
      <c r="Z539" s="177"/>
      <c r="AA539" s="141"/>
      <c r="AE539" s="140"/>
      <c r="AI539" s="141"/>
      <c r="AM539" s="141"/>
      <c r="AQ539" s="141"/>
    </row>
    <row r="540" spans="2:43" s="134" customFormat="1" x14ac:dyDescent="0.2">
      <c r="B540" s="145"/>
      <c r="D540" s="145"/>
      <c r="H540" s="162"/>
      <c r="J540" s="140"/>
      <c r="K540" s="140"/>
      <c r="L540" s="140"/>
      <c r="Z540" s="177"/>
      <c r="AA540" s="141"/>
      <c r="AE540" s="140"/>
      <c r="AI540" s="141"/>
      <c r="AM540" s="141"/>
      <c r="AQ540" s="141"/>
    </row>
    <row r="541" spans="2:43" s="134" customFormat="1" x14ac:dyDescent="0.2">
      <c r="B541" s="145"/>
      <c r="D541" s="145"/>
      <c r="H541" s="162"/>
      <c r="J541" s="140"/>
      <c r="K541" s="140"/>
      <c r="L541" s="140"/>
      <c r="Z541" s="177"/>
      <c r="AA541" s="141"/>
      <c r="AE541" s="140"/>
      <c r="AI541" s="141"/>
      <c r="AM541" s="141"/>
      <c r="AQ541" s="141"/>
    </row>
    <row r="542" spans="2:43" s="134" customFormat="1" x14ac:dyDescent="0.2">
      <c r="B542" s="145"/>
      <c r="D542" s="145"/>
      <c r="H542" s="162"/>
      <c r="J542" s="140"/>
      <c r="K542" s="140"/>
      <c r="L542" s="140"/>
      <c r="Z542" s="177"/>
      <c r="AA542" s="141"/>
      <c r="AE542" s="140"/>
      <c r="AI542" s="141"/>
      <c r="AM542" s="141"/>
      <c r="AQ542" s="141"/>
    </row>
    <row r="543" spans="2:43" s="134" customFormat="1" x14ac:dyDescent="0.2">
      <c r="B543" s="145"/>
      <c r="D543" s="145"/>
      <c r="H543" s="162"/>
      <c r="J543" s="140"/>
      <c r="K543" s="140"/>
      <c r="L543" s="140"/>
      <c r="Z543" s="177"/>
      <c r="AA543" s="141"/>
      <c r="AE543" s="140"/>
      <c r="AI543" s="141"/>
      <c r="AM543" s="141"/>
      <c r="AQ543" s="141"/>
    </row>
    <row r="544" spans="2:43" s="134" customFormat="1" x14ac:dyDescent="0.2">
      <c r="B544" s="145"/>
      <c r="D544" s="145"/>
      <c r="H544" s="162"/>
      <c r="J544" s="140"/>
      <c r="K544" s="140"/>
      <c r="L544" s="140"/>
      <c r="Z544" s="177"/>
      <c r="AA544" s="141"/>
      <c r="AE544" s="140"/>
      <c r="AI544" s="141"/>
      <c r="AM544" s="141"/>
      <c r="AQ544" s="141"/>
    </row>
    <row r="545" spans="2:43" s="134" customFormat="1" x14ac:dyDescent="0.2">
      <c r="B545" s="145"/>
      <c r="D545" s="145"/>
      <c r="H545" s="162"/>
      <c r="J545" s="140"/>
      <c r="K545" s="140"/>
      <c r="L545" s="140"/>
      <c r="Z545" s="177"/>
      <c r="AA545" s="141"/>
      <c r="AE545" s="140"/>
      <c r="AI545" s="141"/>
      <c r="AM545" s="141"/>
      <c r="AQ545" s="141"/>
    </row>
    <row r="546" spans="2:43" s="134" customFormat="1" x14ac:dyDescent="0.2">
      <c r="B546" s="145"/>
      <c r="D546" s="145"/>
      <c r="H546" s="162"/>
      <c r="J546" s="140"/>
      <c r="K546" s="140"/>
      <c r="L546" s="140"/>
      <c r="Z546" s="177"/>
      <c r="AA546" s="141"/>
      <c r="AE546" s="140"/>
      <c r="AI546" s="141"/>
      <c r="AM546" s="141"/>
      <c r="AQ546" s="141"/>
    </row>
    <row r="547" spans="2:43" s="134" customFormat="1" x14ac:dyDescent="0.2">
      <c r="B547" s="145"/>
      <c r="D547" s="145"/>
      <c r="H547" s="162"/>
      <c r="J547" s="140"/>
      <c r="K547" s="140"/>
      <c r="L547" s="140"/>
      <c r="Z547" s="177"/>
      <c r="AA547" s="141"/>
      <c r="AE547" s="140"/>
      <c r="AI547" s="141"/>
      <c r="AM547" s="141"/>
      <c r="AQ547" s="141"/>
    </row>
    <row r="548" spans="2:43" s="134" customFormat="1" x14ac:dyDescent="0.2">
      <c r="B548" s="145"/>
      <c r="D548" s="145"/>
      <c r="H548" s="162"/>
      <c r="J548" s="140"/>
      <c r="K548" s="140"/>
      <c r="L548" s="140"/>
      <c r="Z548" s="177"/>
      <c r="AA548" s="141"/>
      <c r="AE548" s="140"/>
      <c r="AI548" s="141"/>
      <c r="AM548" s="141"/>
      <c r="AQ548" s="141"/>
    </row>
    <row r="549" spans="2:43" s="134" customFormat="1" x14ac:dyDescent="0.2">
      <c r="B549" s="145"/>
      <c r="D549" s="145"/>
      <c r="H549" s="162"/>
      <c r="J549" s="140"/>
      <c r="K549" s="140"/>
      <c r="L549" s="140"/>
      <c r="Z549" s="177"/>
      <c r="AA549" s="141"/>
      <c r="AE549" s="140"/>
      <c r="AI549" s="141"/>
      <c r="AM549" s="141"/>
      <c r="AQ549" s="141"/>
    </row>
    <row r="550" spans="2:43" s="134" customFormat="1" x14ac:dyDescent="0.2">
      <c r="B550" s="145"/>
      <c r="D550" s="145"/>
      <c r="H550" s="162"/>
      <c r="J550" s="140"/>
      <c r="K550" s="140"/>
      <c r="L550" s="140"/>
      <c r="Z550" s="177"/>
      <c r="AA550" s="141"/>
      <c r="AE550" s="140"/>
      <c r="AI550" s="141"/>
      <c r="AM550" s="141"/>
      <c r="AQ550" s="141"/>
    </row>
    <row r="551" spans="2:43" s="134" customFormat="1" x14ac:dyDescent="0.2">
      <c r="B551" s="145"/>
      <c r="D551" s="145"/>
      <c r="H551" s="162"/>
      <c r="J551" s="140"/>
      <c r="K551" s="140"/>
      <c r="L551" s="140"/>
      <c r="Z551" s="177"/>
      <c r="AA551" s="141"/>
      <c r="AE551" s="140"/>
      <c r="AI551" s="141"/>
      <c r="AM551" s="141"/>
      <c r="AQ551" s="141"/>
    </row>
    <row r="552" spans="2:43" s="134" customFormat="1" x14ac:dyDescent="0.2">
      <c r="B552" s="145"/>
      <c r="D552" s="145"/>
      <c r="H552" s="162"/>
      <c r="J552" s="140"/>
      <c r="K552" s="140"/>
      <c r="L552" s="140"/>
      <c r="Z552" s="177"/>
      <c r="AA552" s="141"/>
      <c r="AE552" s="140"/>
      <c r="AI552" s="141"/>
      <c r="AM552" s="141"/>
      <c r="AQ552" s="141"/>
    </row>
    <row r="553" spans="2:43" s="134" customFormat="1" x14ac:dyDescent="0.2">
      <c r="B553" s="145"/>
      <c r="D553" s="145"/>
      <c r="H553" s="162"/>
      <c r="J553" s="140"/>
      <c r="K553" s="140"/>
      <c r="L553" s="140"/>
      <c r="Z553" s="177"/>
      <c r="AA553" s="141"/>
      <c r="AE553" s="140"/>
      <c r="AI553" s="141"/>
      <c r="AM553" s="141"/>
      <c r="AQ553" s="141"/>
    </row>
    <row r="554" spans="2:43" s="134" customFormat="1" x14ac:dyDescent="0.2">
      <c r="B554" s="145"/>
      <c r="D554" s="145"/>
      <c r="H554" s="162"/>
      <c r="J554" s="140"/>
      <c r="K554" s="140"/>
      <c r="L554" s="140"/>
      <c r="Z554" s="177"/>
      <c r="AA554" s="141"/>
      <c r="AE554" s="140"/>
      <c r="AI554" s="141"/>
      <c r="AM554" s="141"/>
      <c r="AQ554" s="141"/>
    </row>
    <row r="555" spans="2:43" s="134" customFormat="1" x14ac:dyDescent="0.2">
      <c r="B555" s="145"/>
      <c r="D555" s="145"/>
      <c r="H555" s="162"/>
      <c r="J555" s="140"/>
      <c r="K555" s="140"/>
      <c r="L555" s="140"/>
      <c r="Z555" s="177"/>
      <c r="AA555" s="141"/>
      <c r="AE555" s="140"/>
      <c r="AI555" s="141"/>
      <c r="AM555" s="141"/>
      <c r="AQ555" s="141"/>
    </row>
    <row r="556" spans="2:43" s="134" customFormat="1" x14ac:dyDescent="0.2">
      <c r="B556" s="145"/>
      <c r="D556" s="145"/>
      <c r="H556" s="162"/>
      <c r="J556" s="140"/>
      <c r="K556" s="140"/>
      <c r="L556" s="140"/>
      <c r="Z556" s="177"/>
      <c r="AA556" s="141"/>
      <c r="AE556" s="140"/>
      <c r="AI556" s="141"/>
      <c r="AM556" s="141"/>
      <c r="AQ556" s="141"/>
    </row>
    <row r="557" spans="2:43" s="134" customFormat="1" x14ac:dyDescent="0.2">
      <c r="B557" s="145"/>
      <c r="D557" s="145"/>
      <c r="H557" s="162"/>
      <c r="J557" s="140"/>
      <c r="K557" s="140"/>
      <c r="L557" s="140"/>
      <c r="Z557" s="177"/>
      <c r="AA557" s="141"/>
      <c r="AE557" s="140"/>
      <c r="AI557" s="141"/>
      <c r="AM557" s="141"/>
      <c r="AQ557" s="141"/>
    </row>
    <row r="558" spans="2:43" s="134" customFormat="1" x14ac:dyDescent="0.2">
      <c r="B558" s="145"/>
      <c r="D558" s="145"/>
      <c r="H558" s="162"/>
      <c r="J558" s="140"/>
      <c r="K558" s="140"/>
      <c r="L558" s="140"/>
      <c r="Z558" s="177"/>
      <c r="AA558" s="141"/>
      <c r="AE558" s="140"/>
      <c r="AI558" s="141"/>
      <c r="AM558" s="141"/>
      <c r="AQ558" s="141"/>
    </row>
    <row r="559" spans="2:43" s="134" customFormat="1" x14ac:dyDescent="0.2">
      <c r="B559" s="145"/>
      <c r="D559" s="145"/>
      <c r="H559" s="162"/>
      <c r="J559" s="140"/>
      <c r="K559" s="140"/>
      <c r="L559" s="140"/>
      <c r="Z559" s="177"/>
      <c r="AA559" s="141"/>
      <c r="AE559" s="140"/>
      <c r="AI559" s="141"/>
      <c r="AM559" s="141"/>
      <c r="AQ559" s="141"/>
    </row>
    <row r="560" spans="2:43" s="134" customFormat="1" x14ac:dyDescent="0.2">
      <c r="B560" s="145"/>
      <c r="D560" s="145"/>
      <c r="H560" s="162"/>
      <c r="J560" s="140"/>
      <c r="K560" s="140"/>
      <c r="L560" s="140"/>
      <c r="Z560" s="177"/>
      <c r="AA560" s="141"/>
      <c r="AE560" s="140"/>
      <c r="AI560" s="141"/>
      <c r="AM560" s="141"/>
      <c r="AQ560" s="141"/>
    </row>
    <row r="561" spans="2:43" s="134" customFormat="1" x14ac:dyDescent="0.2">
      <c r="B561" s="145"/>
      <c r="D561" s="145"/>
      <c r="H561" s="162"/>
      <c r="J561" s="140"/>
      <c r="K561" s="140"/>
      <c r="L561" s="140"/>
      <c r="Z561" s="177"/>
      <c r="AA561" s="141"/>
      <c r="AE561" s="140"/>
      <c r="AI561" s="141"/>
      <c r="AM561" s="141"/>
      <c r="AQ561" s="141"/>
    </row>
    <row r="562" spans="2:43" s="134" customFormat="1" x14ac:dyDescent="0.2">
      <c r="B562" s="145"/>
      <c r="D562" s="145"/>
      <c r="H562" s="162"/>
      <c r="J562" s="140"/>
      <c r="K562" s="140"/>
      <c r="L562" s="140"/>
      <c r="Z562" s="177"/>
      <c r="AA562" s="141"/>
      <c r="AE562" s="140"/>
      <c r="AI562" s="141"/>
      <c r="AM562" s="141"/>
      <c r="AQ562" s="141"/>
    </row>
    <row r="563" spans="2:43" s="134" customFormat="1" x14ac:dyDescent="0.2">
      <c r="B563" s="145"/>
      <c r="D563" s="145"/>
      <c r="H563" s="162"/>
      <c r="J563" s="140"/>
      <c r="K563" s="140"/>
      <c r="L563" s="140"/>
      <c r="Z563" s="177"/>
      <c r="AA563" s="141"/>
      <c r="AE563" s="140"/>
      <c r="AI563" s="141"/>
      <c r="AM563" s="141"/>
      <c r="AQ563" s="141"/>
    </row>
    <row r="564" spans="2:43" s="134" customFormat="1" x14ac:dyDescent="0.2">
      <c r="B564" s="145"/>
      <c r="D564" s="145"/>
      <c r="H564" s="162"/>
      <c r="J564" s="140"/>
      <c r="K564" s="140"/>
      <c r="L564" s="140"/>
      <c r="Z564" s="177"/>
      <c r="AA564" s="141"/>
      <c r="AE564" s="140"/>
      <c r="AI564" s="141"/>
      <c r="AM564" s="141"/>
      <c r="AQ564" s="141"/>
    </row>
    <row r="565" spans="2:43" s="134" customFormat="1" x14ac:dyDescent="0.2">
      <c r="B565" s="145"/>
      <c r="D565" s="145"/>
      <c r="H565" s="162"/>
      <c r="J565" s="140"/>
      <c r="K565" s="140"/>
      <c r="L565" s="140"/>
      <c r="Z565" s="177"/>
      <c r="AA565" s="141"/>
      <c r="AE565" s="140"/>
      <c r="AI565" s="141"/>
      <c r="AM565" s="141"/>
      <c r="AQ565" s="141"/>
    </row>
    <row r="566" spans="2:43" s="134" customFormat="1" x14ac:dyDescent="0.2">
      <c r="B566" s="145"/>
      <c r="D566" s="145"/>
      <c r="H566" s="162"/>
      <c r="J566" s="140"/>
      <c r="K566" s="140"/>
      <c r="L566" s="140"/>
      <c r="Z566" s="177"/>
      <c r="AA566" s="141"/>
      <c r="AE566" s="140"/>
      <c r="AI566" s="141"/>
      <c r="AM566" s="141"/>
      <c r="AQ566" s="141"/>
    </row>
    <row r="567" spans="2:43" s="134" customFormat="1" x14ac:dyDescent="0.2">
      <c r="B567" s="145"/>
      <c r="D567" s="145"/>
      <c r="H567" s="162"/>
      <c r="J567" s="140"/>
      <c r="K567" s="140"/>
      <c r="L567" s="140"/>
      <c r="Z567" s="177"/>
      <c r="AA567" s="141"/>
      <c r="AE567" s="140"/>
      <c r="AI567" s="141"/>
      <c r="AM567" s="141"/>
      <c r="AQ567" s="141"/>
    </row>
    <row r="568" spans="2:43" s="134" customFormat="1" x14ac:dyDescent="0.2">
      <c r="B568" s="145"/>
      <c r="D568" s="145"/>
      <c r="H568" s="162"/>
      <c r="J568" s="140"/>
      <c r="K568" s="140"/>
      <c r="L568" s="140"/>
      <c r="Z568" s="177"/>
      <c r="AA568" s="141"/>
      <c r="AE568" s="140"/>
      <c r="AI568" s="141"/>
      <c r="AM568" s="141"/>
      <c r="AQ568" s="141"/>
    </row>
    <row r="569" spans="2:43" s="134" customFormat="1" x14ac:dyDescent="0.2">
      <c r="B569" s="145"/>
      <c r="D569" s="145"/>
      <c r="H569" s="162"/>
      <c r="J569" s="140"/>
      <c r="K569" s="140"/>
      <c r="L569" s="140"/>
      <c r="Z569" s="177"/>
      <c r="AA569" s="141"/>
      <c r="AE569" s="140"/>
      <c r="AI569" s="141"/>
      <c r="AM569" s="141"/>
      <c r="AQ569" s="141"/>
    </row>
    <row r="570" spans="2:43" s="134" customFormat="1" x14ac:dyDescent="0.2">
      <c r="B570" s="145"/>
      <c r="D570" s="145"/>
      <c r="H570" s="162"/>
      <c r="J570" s="140"/>
      <c r="K570" s="140"/>
      <c r="L570" s="140"/>
      <c r="Z570" s="177"/>
      <c r="AA570" s="141"/>
      <c r="AE570" s="140"/>
      <c r="AI570" s="141"/>
      <c r="AM570" s="141"/>
      <c r="AQ570" s="141"/>
    </row>
    <row r="571" spans="2:43" s="134" customFormat="1" x14ac:dyDescent="0.2">
      <c r="B571" s="145"/>
      <c r="D571" s="145"/>
      <c r="H571" s="162"/>
      <c r="J571" s="140"/>
      <c r="K571" s="140"/>
      <c r="L571" s="140"/>
      <c r="Z571" s="177"/>
      <c r="AA571" s="141"/>
      <c r="AE571" s="140"/>
      <c r="AI571" s="141"/>
      <c r="AM571" s="141"/>
      <c r="AQ571" s="141"/>
    </row>
    <row r="572" spans="2:43" s="134" customFormat="1" x14ac:dyDescent="0.2">
      <c r="B572" s="145"/>
      <c r="D572" s="145"/>
      <c r="H572" s="162"/>
      <c r="J572" s="140"/>
      <c r="K572" s="140"/>
      <c r="L572" s="140"/>
      <c r="Z572" s="177"/>
      <c r="AA572" s="141"/>
      <c r="AE572" s="140"/>
      <c r="AI572" s="141"/>
      <c r="AM572" s="141"/>
      <c r="AQ572" s="141"/>
    </row>
    <row r="573" spans="2:43" s="134" customFormat="1" x14ac:dyDescent="0.2">
      <c r="B573" s="145"/>
      <c r="D573" s="145"/>
      <c r="H573" s="162"/>
      <c r="J573" s="140"/>
      <c r="K573" s="140"/>
      <c r="L573" s="140"/>
      <c r="Z573" s="177"/>
      <c r="AA573" s="141"/>
      <c r="AE573" s="140"/>
      <c r="AI573" s="141"/>
      <c r="AM573" s="141"/>
      <c r="AQ573" s="141"/>
    </row>
    <row r="574" spans="2:43" s="134" customFormat="1" x14ac:dyDescent="0.2">
      <c r="B574" s="145"/>
      <c r="D574" s="145"/>
      <c r="H574" s="162"/>
      <c r="J574" s="140"/>
      <c r="K574" s="140"/>
      <c r="L574" s="140"/>
      <c r="Z574" s="177"/>
      <c r="AA574" s="141"/>
      <c r="AE574" s="140"/>
      <c r="AI574" s="141"/>
      <c r="AM574" s="141"/>
      <c r="AQ574" s="141"/>
    </row>
    <row r="575" spans="2:43" s="134" customFormat="1" x14ac:dyDescent="0.2">
      <c r="B575" s="145"/>
      <c r="D575" s="145"/>
      <c r="H575" s="162"/>
      <c r="J575" s="140"/>
      <c r="K575" s="140"/>
      <c r="L575" s="140"/>
      <c r="Z575" s="177"/>
      <c r="AA575" s="141"/>
      <c r="AE575" s="140"/>
      <c r="AI575" s="141"/>
      <c r="AM575" s="141"/>
      <c r="AQ575" s="141"/>
    </row>
    <row r="576" spans="2:43" s="134" customFormat="1" x14ac:dyDescent="0.2">
      <c r="B576" s="145"/>
      <c r="D576" s="145"/>
      <c r="H576" s="162"/>
      <c r="J576" s="140"/>
      <c r="K576" s="140"/>
      <c r="L576" s="140"/>
      <c r="Z576" s="177"/>
      <c r="AA576" s="141"/>
      <c r="AE576" s="140"/>
      <c r="AI576" s="141"/>
      <c r="AM576" s="141"/>
      <c r="AQ576" s="141"/>
    </row>
    <row r="577" spans="2:43" s="134" customFormat="1" x14ac:dyDescent="0.2">
      <c r="B577" s="145"/>
      <c r="D577" s="145"/>
      <c r="H577" s="162"/>
      <c r="J577" s="140"/>
      <c r="K577" s="140"/>
      <c r="L577" s="140"/>
      <c r="Z577" s="177"/>
      <c r="AA577" s="141"/>
      <c r="AE577" s="140"/>
      <c r="AI577" s="141"/>
      <c r="AM577" s="141"/>
      <c r="AQ577" s="141"/>
    </row>
    <row r="578" spans="2:43" s="134" customFormat="1" x14ac:dyDescent="0.2">
      <c r="B578" s="145"/>
      <c r="D578" s="145"/>
      <c r="H578" s="162"/>
      <c r="J578" s="140"/>
      <c r="K578" s="140"/>
      <c r="L578" s="140"/>
      <c r="Z578" s="177"/>
      <c r="AA578" s="141"/>
      <c r="AE578" s="140"/>
      <c r="AI578" s="141"/>
      <c r="AM578" s="141"/>
      <c r="AQ578" s="141"/>
    </row>
    <row r="579" spans="2:43" s="134" customFormat="1" x14ac:dyDescent="0.2">
      <c r="B579" s="145"/>
      <c r="D579" s="145"/>
      <c r="H579" s="162"/>
      <c r="J579" s="140"/>
      <c r="K579" s="140"/>
      <c r="L579" s="140"/>
      <c r="Z579" s="177"/>
      <c r="AA579" s="141"/>
      <c r="AE579" s="140"/>
      <c r="AI579" s="141"/>
      <c r="AM579" s="141"/>
      <c r="AQ579" s="141"/>
    </row>
    <row r="580" spans="2:43" s="134" customFormat="1" x14ac:dyDescent="0.2">
      <c r="B580" s="145"/>
      <c r="D580" s="145"/>
      <c r="H580" s="162"/>
      <c r="J580" s="140"/>
      <c r="K580" s="140"/>
      <c r="L580" s="140"/>
      <c r="Z580" s="177"/>
      <c r="AA580" s="141"/>
      <c r="AE580" s="140"/>
      <c r="AI580" s="141"/>
      <c r="AM580" s="141"/>
      <c r="AQ580" s="141"/>
    </row>
    <row r="581" spans="2:43" s="134" customFormat="1" x14ac:dyDescent="0.2">
      <c r="B581" s="145"/>
      <c r="D581" s="145"/>
      <c r="H581" s="162"/>
      <c r="J581" s="140"/>
      <c r="K581" s="140"/>
      <c r="L581" s="140"/>
      <c r="Z581" s="177"/>
      <c r="AA581" s="141"/>
      <c r="AE581" s="140"/>
      <c r="AI581" s="141"/>
      <c r="AM581" s="141"/>
      <c r="AQ581" s="141"/>
    </row>
    <row r="582" spans="2:43" s="134" customFormat="1" x14ac:dyDescent="0.2">
      <c r="B582" s="145"/>
      <c r="D582" s="145"/>
      <c r="H582" s="162"/>
      <c r="J582" s="140"/>
      <c r="K582" s="140"/>
      <c r="L582" s="140"/>
      <c r="Z582" s="177"/>
      <c r="AA582" s="141"/>
      <c r="AE582" s="140"/>
      <c r="AI582" s="141"/>
      <c r="AM582" s="141"/>
      <c r="AQ582" s="141"/>
    </row>
    <row r="583" spans="2:43" s="134" customFormat="1" x14ac:dyDescent="0.2">
      <c r="B583" s="145"/>
      <c r="D583" s="145"/>
      <c r="H583" s="162"/>
      <c r="J583" s="140"/>
      <c r="K583" s="140"/>
      <c r="L583" s="140"/>
      <c r="Z583" s="177"/>
      <c r="AA583" s="141"/>
      <c r="AE583" s="140"/>
      <c r="AI583" s="141"/>
      <c r="AM583" s="141"/>
      <c r="AQ583" s="141"/>
    </row>
    <row r="584" spans="2:43" s="134" customFormat="1" x14ac:dyDescent="0.2">
      <c r="B584" s="145"/>
      <c r="D584" s="145"/>
      <c r="H584" s="162"/>
      <c r="J584" s="140"/>
      <c r="K584" s="140"/>
      <c r="L584" s="140"/>
      <c r="Z584" s="177"/>
      <c r="AA584" s="141"/>
      <c r="AE584" s="140"/>
      <c r="AI584" s="141"/>
      <c r="AM584" s="141"/>
      <c r="AQ584" s="141"/>
    </row>
    <row r="585" spans="2:43" s="134" customFormat="1" x14ac:dyDescent="0.2">
      <c r="B585" s="145"/>
      <c r="D585" s="145"/>
      <c r="H585" s="162"/>
      <c r="J585" s="140"/>
      <c r="K585" s="140"/>
      <c r="L585" s="140"/>
      <c r="Z585" s="177"/>
      <c r="AA585" s="141"/>
      <c r="AE585" s="140"/>
      <c r="AI585" s="141"/>
      <c r="AM585" s="141"/>
      <c r="AQ585" s="141"/>
    </row>
    <row r="586" spans="2:43" s="134" customFormat="1" x14ac:dyDescent="0.2">
      <c r="B586" s="145"/>
      <c r="D586" s="145"/>
      <c r="H586" s="162"/>
      <c r="J586" s="140"/>
      <c r="K586" s="140"/>
      <c r="L586" s="140"/>
      <c r="Z586" s="177"/>
      <c r="AA586" s="141"/>
      <c r="AE586" s="140"/>
      <c r="AI586" s="141"/>
      <c r="AM586" s="141"/>
      <c r="AQ586" s="141"/>
    </row>
    <row r="587" spans="2:43" s="134" customFormat="1" x14ac:dyDescent="0.2">
      <c r="B587" s="145"/>
      <c r="D587" s="145"/>
      <c r="H587" s="162"/>
      <c r="J587" s="140"/>
      <c r="K587" s="140"/>
      <c r="L587" s="140"/>
      <c r="Z587" s="177"/>
      <c r="AA587" s="141"/>
      <c r="AE587" s="140"/>
      <c r="AI587" s="141"/>
      <c r="AM587" s="141"/>
      <c r="AQ587" s="141"/>
    </row>
    <row r="588" spans="2:43" s="134" customFormat="1" x14ac:dyDescent="0.2">
      <c r="B588" s="145"/>
      <c r="D588" s="145"/>
      <c r="H588" s="162"/>
      <c r="J588" s="140"/>
      <c r="K588" s="140"/>
      <c r="L588" s="140"/>
      <c r="Z588" s="177"/>
      <c r="AA588" s="141"/>
      <c r="AE588" s="140"/>
      <c r="AI588" s="141"/>
      <c r="AM588" s="141"/>
      <c r="AQ588" s="141"/>
    </row>
    <row r="589" spans="2:43" s="134" customFormat="1" x14ac:dyDescent="0.2">
      <c r="B589" s="145"/>
      <c r="D589" s="145"/>
      <c r="H589" s="162"/>
      <c r="J589" s="140"/>
      <c r="K589" s="140"/>
      <c r="L589" s="140"/>
      <c r="Z589" s="177"/>
      <c r="AA589" s="141"/>
      <c r="AE589" s="140"/>
      <c r="AI589" s="141"/>
      <c r="AM589" s="141"/>
      <c r="AQ589" s="141"/>
    </row>
    <row r="590" spans="2:43" s="134" customFormat="1" x14ac:dyDescent="0.2">
      <c r="B590" s="145"/>
      <c r="D590" s="145"/>
      <c r="H590" s="162"/>
      <c r="J590" s="140"/>
      <c r="K590" s="140"/>
      <c r="L590" s="140"/>
      <c r="Z590" s="177"/>
      <c r="AA590" s="141"/>
      <c r="AE590" s="140"/>
      <c r="AI590" s="141"/>
      <c r="AM590" s="141"/>
      <c r="AQ590" s="141"/>
    </row>
    <row r="591" spans="2:43" s="134" customFormat="1" x14ac:dyDescent="0.2">
      <c r="B591" s="145"/>
      <c r="D591" s="145"/>
      <c r="H591" s="162"/>
      <c r="J591" s="140"/>
      <c r="K591" s="140"/>
      <c r="L591" s="140"/>
      <c r="Z591" s="177"/>
      <c r="AA591" s="141"/>
      <c r="AE591" s="140"/>
      <c r="AI591" s="141"/>
      <c r="AM591" s="141"/>
      <c r="AQ591" s="141"/>
    </row>
    <row r="592" spans="2:43" s="134" customFormat="1" x14ac:dyDescent="0.2">
      <c r="B592" s="145"/>
      <c r="D592" s="145"/>
      <c r="H592" s="162"/>
      <c r="J592" s="140"/>
      <c r="K592" s="140"/>
      <c r="L592" s="140"/>
      <c r="Z592" s="177"/>
      <c r="AA592" s="141"/>
      <c r="AE592" s="140"/>
      <c r="AI592" s="141"/>
      <c r="AM592" s="141"/>
      <c r="AQ592" s="141"/>
    </row>
    <row r="593" spans="2:43" s="134" customFormat="1" x14ac:dyDescent="0.2">
      <c r="B593" s="145"/>
      <c r="D593" s="145"/>
      <c r="H593" s="162"/>
      <c r="J593" s="140"/>
      <c r="K593" s="140"/>
      <c r="L593" s="140"/>
      <c r="Z593" s="177"/>
      <c r="AA593" s="141"/>
      <c r="AE593" s="140"/>
      <c r="AI593" s="141"/>
      <c r="AM593" s="141"/>
      <c r="AQ593" s="141"/>
    </row>
    <row r="594" spans="2:43" s="134" customFormat="1" x14ac:dyDescent="0.2">
      <c r="B594" s="145"/>
      <c r="D594" s="145"/>
      <c r="H594" s="162"/>
      <c r="J594" s="140"/>
      <c r="K594" s="140"/>
      <c r="L594" s="140"/>
      <c r="Z594" s="177"/>
      <c r="AA594" s="141"/>
      <c r="AE594" s="140"/>
      <c r="AI594" s="141"/>
      <c r="AM594" s="141"/>
      <c r="AQ594" s="141"/>
    </row>
    <row r="595" spans="2:43" s="134" customFormat="1" x14ac:dyDescent="0.2">
      <c r="B595" s="145"/>
      <c r="D595" s="145"/>
      <c r="H595" s="162"/>
      <c r="J595" s="140"/>
      <c r="K595" s="140"/>
      <c r="L595" s="140"/>
      <c r="Z595" s="177"/>
      <c r="AA595" s="141"/>
      <c r="AE595" s="140"/>
      <c r="AI595" s="141"/>
      <c r="AM595" s="141"/>
      <c r="AQ595" s="141"/>
    </row>
    <row r="596" spans="2:43" s="134" customFormat="1" x14ac:dyDescent="0.2">
      <c r="B596" s="145"/>
      <c r="D596" s="145"/>
      <c r="H596" s="162"/>
      <c r="J596" s="140"/>
      <c r="K596" s="140"/>
      <c r="L596" s="140"/>
      <c r="Z596" s="177"/>
      <c r="AA596" s="141"/>
      <c r="AE596" s="140"/>
      <c r="AI596" s="141"/>
      <c r="AM596" s="141"/>
      <c r="AQ596" s="141"/>
    </row>
    <row r="597" spans="2:43" s="134" customFormat="1" x14ac:dyDescent="0.2">
      <c r="B597" s="145"/>
      <c r="D597" s="145"/>
      <c r="H597" s="162"/>
      <c r="J597" s="140"/>
      <c r="K597" s="140"/>
      <c r="L597" s="140"/>
      <c r="Z597" s="177"/>
      <c r="AA597" s="141"/>
      <c r="AE597" s="140"/>
      <c r="AI597" s="141"/>
      <c r="AM597" s="141"/>
      <c r="AQ597" s="141"/>
    </row>
    <row r="598" spans="2:43" s="134" customFormat="1" x14ac:dyDescent="0.2">
      <c r="B598" s="145"/>
      <c r="D598" s="145"/>
      <c r="H598" s="162"/>
      <c r="J598" s="140"/>
      <c r="K598" s="140"/>
      <c r="L598" s="140"/>
      <c r="Z598" s="177"/>
      <c r="AA598" s="141"/>
      <c r="AE598" s="140"/>
      <c r="AI598" s="141"/>
      <c r="AM598" s="141"/>
      <c r="AQ598" s="141"/>
    </row>
    <row r="599" spans="2:43" s="134" customFormat="1" x14ac:dyDescent="0.2">
      <c r="B599" s="145"/>
      <c r="D599" s="145"/>
      <c r="H599" s="162"/>
      <c r="J599" s="140"/>
      <c r="K599" s="140"/>
      <c r="L599" s="140"/>
      <c r="Z599" s="177"/>
      <c r="AA599" s="141"/>
      <c r="AE599" s="140"/>
      <c r="AI599" s="141"/>
      <c r="AM599" s="141"/>
      <c r="AQ599" s="141"/>
    </row>
    <row r="600" spans="2:43" s="134" customFormat="1" x14ac:dyDescent="0.2">
      <c r="B600" s="145"/>
      <c r="D600" s="145"/>
      <c r="H600" s="162"/>
      <c r="J600" s="140"/>
      <c r="K600" s="140"/>
      <c r="L600" s="140"/>
      <c r="Z600" s="177"/>
      <c r="AA600" s="141"/>
      <c r="AE600" s="140"/>
      <c r="AI600" s="141"/>
      <c r="AM600" s="141"/>
      <c r="AQ600" s="141"/>
    </row>
    <row r="601" spans="2:43" s="134" customFormat="1" x14ac:dyDescent="0.2">
      <c r="B601" s="145"/>
      <c r="D601" s="145"/>
      <c r="H601" s="162"/>
      <c r="J601" s="140"/>
      <c r="K601" s="140"/>
      <c r="L601" s="140"/>
      <c r="Z601" s="177"/>
      <c r="AA601" s="141"/>
      <c r="AE601" s="140"/>
      <c r="AI601" s="141"/>
      <c r="AM601" s="141"/>
      <c r="AQ601" s="141"/>
    </row>
    <row r="602" spans="2:43" s="134" customFormat="1" x14ac:dyDescent="0.2">
      <c r="B602" s="145"/>
      <c r="D602" s="145"/>
      <c r="H602" s="162"/>
      <c r="J602" s="140"/>
      <c r="K602" s="140"/>
      <c r="L602" s="140"/>
      <c r="Z602" s="177"/>
      <c r="AA602" s="141"/>
      <c r="AE602" s="140"/>
      <c r="AI602" s="141"/>
      <c r="AM602" s="141"/>
      <c r="AQ602" s="141"/>
    </row>
    <row r="603" spans="2:43" s="134" customFormat="1" x14ac:dyDescent="0.2">
      <c r="B603" s="145"/>
      <c r="D603" s="145"/>
      <c r="H603" s="162"/>
      <c r="J603" s="140"/>
      <c r="K603" s="140"/>
      <c r="L603" s="140"/>
      <c r="Z603" s="177"/>
      <c r="AA603" s="141"/>
      <c r="AE603" s="140"/>
      <c r="AI603" s="141"/>
      <c r="AM603" s="141"/>
      <c r="AQ603" s="141"/>
    </row>
    <row r="604" spans="2:43" s="134" customFormat="1" x14ac:dyDescent="0.2">
      <c r="B604" s="145"/>
      <c r="D604" s="145"/>
      <c r="H604" s="162"/>
      <c r="J604" s="140"/>
      <c r="K604" s="140"/>
      <c r="L604" s="140"/>
      <c r="Z604" s="177"/>
      <c r="AA604" s="141"/>
      <c r="AE604" s="140"/>
      <c r="AI604" s="141"/>
      <c r="AM604" s="141"/>
      <c r="AQ604" s="141"/>
    </row>
    <row r="605" spans="2:43" s="134" customFormat="1" x14ac:dyDescent="0.2">
      <c r="B605" s="145"/>
      <c r="D605" s="145"/>
      <c r="H605" s="162"/>
      <c r="J605" s="140"/>
      <c r="K605" s="140"/>
      <c r="L605" s="140"/>
      <c r="Z605" s="177"/>
      <c r="AA605" s="141"/>
      <c r="AE605" s="140"/>
      <c r="AI605" s="141"/>
      <c r="AM605" s="141"/>
      <c r="AQ605" s="141"/>
    </row>
    <row r="606" spans="2:43" s="134" customFormat="1" x14ac:dyDescent="0.2">
      <c r="B606" s="145"/>
      <c r="D606" s="145"/>
      <c r="H606" s="162"/>
      <c r="J606" s="140"/>
      <c r="K606" s="140"/>
      <c r="L606" s="140"/>
      <c r="Z606" s="177"/>
      <c r="AA606" s="141"/>
      <c r="AE606" s="140"/>
      <c r="AI606" s="141"/>
      <c r="AM606" s="141"/>
      <c r="AQ606" s="141"/>
    </row>
    <row r="607" spans="2:43" s="134" customFormat="1" x14ac:dyDescent="0.2">
      <c r="B607" s="145"/>
      <c r="D607" s="145"/>
      <c r="H607" s="162"/>
      <c r="J607" s="140"/>
      <c r="K607" s="140"/>
      <c r="L607" s="140"/>
      <c r="Z607" s="177"/>
      <c r="AA607" s="141"/>
      <c r="AE607" s="140"/>
      <c r="AI607" s="141"/>
      <c r="AM607" s="141"/>
      <c r="AQ607" s="141"/>
    </row>
    <row r="608" spans="2:43" s="134" customFormat="1" x14ac:dyDescent="0.2">
      <c r="B608" s="145"/>
      <c r="D608" s="145"/>
      <c r="H608" s="162"/>
      <c r="J608" s="140"/>
      <c r="K608" s="140"/>
      <c r="L608" s="140"/>
      <c r="Z608" s="177"/>
      <c r="AA608" s="141"/>
      <c r="AE608" s="140"/>
      <c r="AI608" s="141"/>
      <c r="AM608" s="141"/>
      <c r="AQ608" s="141"/>
    </row>
    <row r="609" spans="2:43" s="134" customFormat="1" x14ac:dyDescent="0.2">
      <c r="B609" s="145"/>
      <c r="D609" s="145"/>
      <c r="H609" s="162"/>
      <c r="J609" s="140"/>
      <c r="K609" s="140"/>
      <c r="L609" s="140"/>
      <c r="Z609" s="177"/>
      <c r="AA609" s="141"/>
      <c r="AE609" s="140"/>
      <c r="AI609" s="141"/>
      <c r="AM609" s="141"/>
      <c r="AQ609" s="141"/>
    </row>
    <row r="610" spans="2:43" s="134" customFormat="1" x14ac:dyDescent="0.2">
      <c r="B610" s="145"/>
      <c r="D610" s="145"/>
      <c r="H610" s="162"/>
      <c r="J610" s="140"/>
      <c r="K610" s="140"/>
      <c r="L610" s="140"/>
      <c r="Z610" s="177"/>
      <c r="AA610" s="141"/>
      <c r="AE610" s="140"/>
      <c r="AI610" s="141"/>
      <c r="AM610" s="141"/>
      <c r="AQ610" s="141"/>
    </row>
    <row r="611" spans="2:43" s="134" customFormat="1" x14ac:dyDescent="0.2">
      <c r="B611" s="145"/>
      <c r="D611" s="145"/>
      <c r="H611" s="162"/>
      <c r="J611" s="140"/>
      <c r="K611" s="140"/>
      <c r="L611" s="140"/>
      <c r="Z611" s="177"/>
      <c r="AA611" s="141"/>
      <c r="AE611" s="140"/>
      <c r="AI611" s="141"/>
      <c r="AM611" s="141"/>
      <c r="AQ611" s="141"/>
    </row>
    <row r="612" spans="2:43" s="134" customFormat="1" x14ac:dyDescent="0.2">
      <c r="B612" s="145"/>
      <c r="D612" s="145"/>
      <c r="H612" s="162"/>
      <c r="J612" s="140"/>
      <c r="K612" s="140"/>
      <c r="L612" s="140"/>
      <c r="Z612" s="177"/>
      <c r="AA612" s="141"/>
      <c r="AE612" s="140"/>
      <c r="AI612" s="141"/>
      <c r="AM612" s="141"/>
      <c r="AQ612" s="141"/>
    </row>
    <row r="613" spans="2:43" s="134" customFormat="1" x14ac:dyDescent="0.2">
      <c r="B613" s="145"/>
      <c r="D613" s="145"/>
      <c r="H613" s="162"/>
      <c r="J613" s="140"/>
      <c r="K613" s="140"/>
      <c r="L613" s="140"/>
      <c r="Z613" s="177"/>
      <c r="AA613" s="141"/>
      <c r="AE613" s="140"/>
      <c r="AI613" s="141"/>
      <c r="AM613" s="141"/>
      <c r="AQ613" s="141"/>
    </row>
    <row r="614" spans="2:43" s="134" customFormat="1" x14ac:dyDescent="0.2">
      <c r="B614" s="145"/>
      <c r="D614" s="145"/>
      <c r="H614" s="162"/>
      <c r="J614" s="140"/>
      <c r="K614" s="140"/>
      <c r="L614" s="140"/>
      <c r="Z614" s="177"/>
      <c r="AA614" s="141"/>
      <c r="AE614" s="140"/>
      <c r="AI614" s="141"/>
      <c r="AM614" s="141"/>
      <c r="AQ614" s="141"/>
    </row>
    <row r="615" spans="2:43" s="134" customFormat="1" x14ac:dyDescent="0.2">
      <c r="B615" s="145"/>
      <c r="D615" s="145"/>
      <c r="H615" s="162"/>
      <c r="J615" s="140"/>
      <c r="K615" s="140"/>
      <c r="L615" s="140"/>
      <c r="Z615" s="177"/>
      <c r="AA615" s="141"/>
      <c r="AE615" s="140"/>
      <c r="AI615" s="141"/>
      <c r="AM615" s="141"/>
      <c r="AQ615" s="141"/>
    </row>
    <row r="616" spans="2:43" s="134" customFormat="1" x14ac:dyDescent="0.2">
      <c r="B616" s="145"/>
      <c r="D616" s="145"/>
      <c r="H616" s="162"/>
      <c r="J616" s="140"/>
      <c r="K616" s="140"/>
      <c r="L616" s="140"/>
      <c r="Z616" s="177"/>
      <c r="AA616" s="141"/>
      <c r="AE616" s="140"/>
      <c r="AI616" s="141"/>
      <c r="AM616" s="141"/>
      <c r="AQ616" s="141"/>
    </row>
    <row r="617" spans="2:43" s="134" customFormat="1" x14ac:dyDescent="0.2">
      <c r="B617" s="145"/>
      <c r="D617" s="145"/>
      <c r="H617" s="162"/>
      <c r="J617" s="140"/>
      <c r="K617" s="140"/>
      <c r="L617" s="140"/>
      <c r="Z617" s="177"/>
      <c r="AA617" s="141"/>
      <c r="AE617" s="140"/>
      <c r="AI617" s="141"/>
      <c r="AM617" s="141"/>
      <c r="AQ617" s="141"/>
    </row>
    <row r="618" spans="2:43" s="134" customFormat="1" x14ac:dyDescent="0.2">
      <c r="B618" s="145"/>
      <c r="D618" s="145"/>
      <c r="H618" s="162"/>
      <c r="J618" s="140"/>
      <c r="K618" s="140"/>
      <c r="L618" s="140"/>
      <c r="Z618" s="177"/>
      <c r="AA618" s="141"/>
      <c r="AE618" s="140"/>
      <c r="AI618" s="141"/>
      <c r="AM618" s="141"/>
      <c r="AQ618" s="141"/>
    </row>
    <row r="619" spans="2:43" s="134" customFormat="1" x14ac:dyDescent="0.2">
      <c r="B619" s="145"/>
      <c r="D619" s="145"/>
      <c r="H619" s="162"/>
      <c r="J619" s="140"/>
      <c r="K619" s="140"/>
      <c r="L619" s="140"/>
      <c r="Z619" s="177"/>
      <c r="AA619" s="141"/>
      <c r="AE619" s="140"/>
      <c r="AI619" s="141"/>
      <c r="AM619" s="141"/>
      <c r="AQ619" s="141"/>
    </row>
    <row r="620" spans="2:43" s="134" customFormat="1" x14ac:dyDescent="0.2">
      <c r="B620" s="145"/>
      <c r="D620" s="145"/>
      <c r="H620" s="162"/>
      <c r="J620" s="140"/>
      <c r="K620" s="140"/>
      <c r="L620" s="140"/>
      <c r="Z620" s="177"/>
      <c r="AA620" s="141"/>
      <c r="AE620" s="140"/>
      <c r="AI620" s="141"/>
      <c r="AM620" s="141"/>
      <c r="AQ620" s="141"/>
    </row>
    <row r="621" spans="2:43" s="134" customFormat="1" x14ac:dyDescent="0.2">
      <c r="B621" s="145"/>
      <c r="D621" s="145"/>
      <c r="H621" s="162"/>
      <c r="J621" s="140"/>
      <c r="K621" s="140"/>
      <c r="L621" s="140"/>
      <c r="Z621" s="177"/>
      <c r="AA621" s="141"/>
      <c r="AE621" s="140"/>
      <c r="AI621" s="141"/>
      <c r="AM621" s="141"/>
      <c r="AQ621" s="141"/>
    </row>
    <row r="622" spans="2:43" s="134" customFormat="1" x14ac:dyDescent="0.2">
      <c r="B622" s="145"/>
      <c r="D622" s="145"/>
      <c r="H622" s="162"/>
      <c r="J622" s="140"/>
      <c r="K622" s="140"/>
      <c r="L622" s="140"/>
      <c r="Z622" s="177"/>
      <c r="AA622" s="141"/>
      <c r="AE622" s="140"/>
      <c r="AI622" s="141"/>
      <c r="AM622" s="141"/>
      <c r="AQ622" s="141"/>
    </row>
    <row r="623" spans="2:43" s="134" customFormat="1" x14ac:dyDescent="0.2">
      <c r="B623" s="145"/>
      <c r="D623" s="145"/>
      <c r="H623" s="162"/>
      <c r="J623" s="140"/>
      <c r="K623" s="140"/>
      <c r="L623" s="140"/>
      <c r="Z623" s="177"/>
      <c r="AA623" s="141"/>
      <c r="AE623" s="140"/>
      <c r="AI623" s="141"/>
      <c r="AM623" s="141"/>
      <c r="AQ623" s="141"/>
    </row>
    <row r="624" spans="2:43" s="134" customFormat="1" x14ac:dyDescent="0.2">
      <c r="B624" s="145"/>
      <c r="D624" s="145"/>
      <c r="H624" s="162"/>
      <c r="J624" s="140"/>
      <c r="K624" s="140"/>
      <c r="L624" s="140"/>
      <c r="Z624" s="177"/>
      <c r="AA624" s="141"/>
      <c r="AE624" s="140"/>
      <c r="AI624" s="141"/>
      <c r="AM624" s="141"/>
      <c r="AQ624" s="141"/>
    </row>
    <row r="625" spans="2:43" s="134" customFormat="1" x14ac:dyDescent="0.2">
      <c r="B625" s="145"/>
      <c r="D625" s="145"/>
      <c r="H625" s="162"/>
      <c r="J625" s="140"/>
      <c r="K625" s="140"/>
      <c r="L625" s="140"/>
      <c r="Z625" s="177"/>
      <c r="AA625" s="141"/>
      <c r="AE625" s="140"/>
      <c r="AI625" s="141"/>
      <c r="AM625" s="141"/>
      <c r="AQ625" s="141"/>
    </row>
  </sheetData>
  <mergeCells count="14">
    <mergeCell ref="B8:AC8"/>
    <mergeCell ref="B1:AC2"/>
    <mergeCell ref="B3:AC4"/>
    <mergeCell ref="B5:AC5"/>
    <mergeCell ref="B6:AC6"/>
    <mergeCell ref="B7:AC7"/>
    <mergeCell ref="AT14:AU14"/>
    <mergeCell ref="B185:I185"/>
    <mergeCell ref="B9:AC10"/>
    <mergeCell ref="Z14:AC14"/>
    <mergeCell ref="AD14:AG14"/>
    <mergeCell ref="AH14:AK14"/>
    <mergeCell ref="AL14:AO14"/>
    <mergeCell ref="AP14:AS14"/>
  </mergeCells>
  <conditionalFormatting sqref="D184">
    <cfRule type="duplicateValues" dxfId="8" priority="6"/>
  </conditionalFormatting>
  <conditionalFormatting sqref="D40:D76">
    <cfRule type="duplicateValues" dxfId="7" priority="4"/>
  </conditionalFormatting>
  <conditionalFormatting sqref="D40:D76">
    <cfRule type="duplicateValues" dxfId="6" priority="5"/>
  </conditionalFormatting>
  <conditionalFormatting sqref="D18:D39">
    <cfRule type="duplicateValues" dxfId="5" priority="2"/>
  </conditionalFormatting>
  <conditionalFormatting sqref="D18:D39">
    <cfRule type="duplicateValues" dxfId="4" priority="3"/>
  </conditionalFormatting>
  <conditionalFormatting sqref="D83:D87">
    <cfRule type="duplicateValues" dxfId="3" priority="7"/>
  </conditionalFormatting>
  <conditionalFormatting sqref="D77:D78">
    <cfRule type="duplicateValues" dxfId="2" priority="8"/>
  </conditionalFormatting>
  <conditionalFormatting sqref="D79:D82">
    <cfRule type="duplicateValues" dxfId="1" priority="9"/>
  </conditionalFormatting>
  <conditionalFormatting sqref="D88:D183">
    <cfRule type="duplicateValues" dxfId="0" priority="1"/>
  </conditionalFormatting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0561</vt:lpstr>
      <vt:lpstr>0562</vt:lpstr>
      <vt:lpstr>0563</vt:lpstr>
      <vt:lpstr>0564</vt:lpstr>
      <vt:lpstr>0565</vt:lpstr>
      <vt:lpstr>0566</vt:lpstr>
      <vt:lpstr>0567</vt:lpstr>
      <vt:lpstr>0568</vt:lpstr>
      <vt:lpstr>0569</vt:lpstr>
      <vt:lpstr>0570</vt:lpstr>
      <vt:lpstr>0571</vt:lpstr>
      <vt:lpstr>0572</vt:lpstr>
      <vt:lpstr>0573</vt:lpstr>
      <vt:lpstr>0574</vt:lpstr>
      <vt:lpstr>0575</vt:lpstr>
      <vt:lpstr>0576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SUBDERE</dc:creator>
  <cp:lastModifiedBy>Nubia Bouffanais Illanes</cp:lastModifiedBy>
  <dcterms:created xsi:type="dcterms:W3CDTF">2021-04-13T21:18:15Z</dcterms:created>
  <dcterms:modified xsi:type="dcterms:W3CDTF">2021-08-05T14:11:40Z</dcterms:modified>
</cp:coreProperties>
</file>